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carte\Dropbox\MXD Process\Financial Statements\2023\October\"/>
    </mc:Choice>
  </mc:AlternateContent>
  <xr:revisionPtr revIDLastSave="0" documentId="13_ncr:1_{0549E137-4A63-4981-9D98-70059F0273BC}" xr6:coauthVersionLast="47" xr6:coauthVersionMax="47" xr10:uidLastSave="{00000000-0000-0000-0000-000000000000}"/>
  <bookViews>
    <workbookView xWindow="-108" yWindow="-108" windowWidth="23256" windowHeight="13896" tabRatio="885" activeTab="6" xr2:uid="{4CCD9A39-B0DB-4A36-A42A-784DF101ECA6}"/>
  </bookViews>
  <sheets>
    <sheet name="MXD P&amp;L" sheetId="24" r:id="rId1"/>
    <sheet name="MXD BS" sheetId="23" r:id="rId2"/>
    <sheet name="HEC Financials" sheetId="27" r:id="rId3"/>
    <sheet name="Branch P&amp;L" sheetId="36" r:id="rId4"/>
    <sheet name="All Statements" sheetId="13" r:id="rId5"/>
    <sheet name="Sources and Uses" sheetId="30" r:id="rId6"/>
    <sheet name="Monthly Summary" sheetId="19" r:id="rId7"/>
    <sheet name="Debt Schedules--&gt;" sheetId="34" r:id="rId8"/>
    <sheet name="HEC 1L Debt" sheetId="28" r:id="rId9"/>
    <sheet name="Brnch 1L Debt" sheetId="31" r:id="rId10"/>
    <sheet name="HEC Seller Debt" sheetId="29" r:id="rId11"/>
    <sheet name="Brnch Seller Debt" sheetId="32" r:id="rId12"/>
    <sheet name="Brnch Sub Debt" sheetId="35" r:id="rId13"/>
    <sheet name="Legacy Tabs --&gt;" sheetId="33" r:id="rId14"/>
    <sheet name="Rev and COGS" sheetId="1" state="hidden" r:id="rId15"/>
    <sheet name="Operations" sheetId="11" state="hidden" r:id="rId16"/>
    <sheet name="Sales &amp; Mktg" sheetId="2" state="hidden" r:id="rId17"/>
    <sheet name="Innovation" sheetId="25" state="hidden" r:id="rId18"/>
    <sheet name="Admin-Finance" sheetId="4" state="hidden" r:id="rId19"/>
    <sheet name="2020 Financials" sheetId="20" state="hidden" r:id="rId20"/>
    <sheet name="Sheet1" sheetId="18" state="hidden" r:id="rId21"/>
    <sheet name="Bart Anderson Loan" sheetId="14" state="hidden" r:id="rId22"/>
    <sheet name="PNC 2020 Equipment Loan" sheetId="16" state="hidden" r:id="rId23"/>
    <sheet name="PNC 2021 Equipment Loan" sheetId="22" state="hidden" r:id="rId24"/>
    <sheet name="Payroll Detail" sheetId="9" state="hidden"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________WC1" hidden="1">[1]Contracts!#REF!</definedName>
    <definedName name="________WC2" hidden="1">[1]Contracts!$A$7:$H$103</definedName>
    <definedName name="_______WC1" hidden="1">[1]Contracts!#REF!</definedName>
    <definedName name="_______WC2" hidden="1">[1]Contracts!$A$7:$H$103</definedName>
    <definedName name="______WC1" hidden="1">[1]Contracts!#REF!</definedName>
    <definedName name="______WC2" hidden="1">[1]Contracts!$A$7:$H$103</definedName>
    <definedName name="_____WC1" hidden="1">[1]Contracts!#REF!</definedName>
    <definedName name="_____WC2" hidden="1">[1]Contracts!$A$7:$H$103</definedName>
    <definedName name="____WC1" hidden="1">[1]Contracts!#REF!</definedName>
    <definedName name="____WC2" hidden="1">[1]Contracts!$A$7:$H$103</definedName>
    <definedName name="___WC1" hidden="1">[1]Contracts!#REF!</definedName>
    <definedName name="___WC2" hidden="1">[1]Contracts!$A$7:$H$103</definedName>
    <definedName name="__123Graph_A" hidden="1">[2]ICFORMAT!$F$8:$F$60</definedName>
    <definedName name="__123Graph_ALRN" hidden="1">[2]ICFORMAT!$F$8:$F$60</definedName>
    <definedName name="__123Graph_ALRNRATE" hidden="1">[2]ICFORMAT!$F$8:$F$60</definedName>
    <definedName name="__123Graph_APROD_MARG" hidden="1">'[3]Op Sch'!#REF!</definedName>
    <definedName name="__123Graph_B" hidden="1">[2]ICFORMAT!$L$7:$L$60</definedName>
    <definedName name="__123Graph_BLRN" hidden="1">[2]ICFORMAT!$L$7:$L$60</definedName>
    <definedName name="__123Graph_BLRNRATE" hidden="1">[2]ICFORMAT!$N$7:$N$60</definedName>
    <definedName name="__123Graph_BPROD_MARG" hidden="1">'[3]Op Sch'!#REF!</definedName>
    <definedName name="__123Graph_C" hidden="1">[2]ICFORMAT!$S$7:$S$65</definedName>
    <definedName name="__123Graph_CLRN" hidden="1">[2]ICFORMAT!$S$7:$S$65</definedName>
    <definedName name="__123Graph_CLRNRATE" hidden="1">[2]ICFORMAT!$T$7:$T$65</definedName>
    <definedName name="__123Graph_CPROD_MARG" hidden="1">'[3]Op Sch'!#REF!</definedName>
    <definedName name="__123Graph_D" hidden="1">'[4]1997-2010 Revenue Details'!#REF!</definedName>
    <definedName name="__123Graph_DPROD_MARG" hidden="1">'[3]Op Sch'!#REF!</definedName>
    <definedName name="__123Graph_E" hidden="1">'[4]1997-2010 Revenue Details'!#REF!</definedName>
    <definedName name="__123Graph_EPROD_MARG" hidden="1">'[3]Op Sch'!#REF!</definedName>
    <definedName name="__123Graph_X" hidden="1">[2]ICFORMAT!$G$7:$G$65</definedName>
    <definedName name="__123Graph_XLRN" hidden="1">[2]ICFORMAT!$G$7:$G$65</definedName>
    <definedName name="__123Graph_XLRNRATE" hidden="1">[2]ICFORMAT!$G$7:$G$65</definedName>
    <definedName name="__bg2" hidden="1">{#N/A,#N/A,TRUE,"Summary - 1";#N/A,#N/A,TRUE,"Summary - 2";#N/A,#N/A,TRUE,"Group Analysis";#N/A,#N/A,TRUE,"FM Analysis";#N/A,#N/A,TRUE,"T&amp;M-Onsite";#N/A,#N/A,TRUE,"FP-Onsite";#N/A,#N/A,TRUE,"NB-Onsite";#N/A,#N/A,TRUE,"T&amp;M-Offshore";#N/A,#N/A,TRUE,"FP-Offshore";#N/A,#N/A,TRUE,"Appendix-A";#N/A,#N/A,TRUE,"Appendix-B"}</definedName>
    <definedName name="__bg3" hidden="1">{#N/A,#N/A,TRUE,"Summary - 1";#N/A,#N/A,TRUE,"Summary - 2";#N/A,#N/A,TRUE,"Group Analysis";#N/A,#N/A,TRUE,"FM Analysis";#N/A,#N/A,TRUE,"T&amp;M-Onsite";#N/A,#N/A,TRUE,"FP-Onsite";#N/A,#N/A,TRUE,"NB-Onsite";#N/A,#N/A,TRUE,"T&amp;M-Offshore";#N/A,#N/A,TRUE,"FP-Offshore";#N/A,#N/A,TRUE,"Appendix-A";#N/A,#N/A,TRUE,"Appendix-B"}</definedName>
    <definedName name="__BU4" hidden="1">{"Page 1",#N/A,TRUE,"Sheet1";"Page 2",#N/A,TRUE,"Sheet1"}</definedName>
    <definedName name="__ControlBit__" hidden="1">"ENCODE_"</definedName>
    <definedName name="__Convert__" hidden="1">"ENCODE_"</definedName>
    <definedName name="__FDS_HYPERLINK_TOGGLE_STATE__" hidden="1">"ON"</definedName>
    <definedName name="__FDS_UNIQUE_RANGE_ID_GENERATOR_COUNTER" hidden="1">1</definedName>
    <definedName name="__IncludeVoucher__" hidden="1">"ENCODE_"</definedName>
    <definedName name="__InRelation__" hidden="1">"ENCODE_"</definedName>
    <definedName name="__IntlFixup" hidden="1">TRUE</definedName>
    <definedName name="__LockDescription__" hidden="1">"ENCODE_"</definedName>
    <definedName name="__LockFormula__" hidden="1">"ENCODE_"</definedName>
    <definedName name="__Q1" hidden="1">{"'Standalone List Price Trends'!$A$1:$X$56"}</definedName>
    <definedName name="__Q2" hidden="1">{"'Standalone List Price Trends'!$A$1:$X$56"}</definedName>
    <definedName name="__Q3" hidden="1">{"'Standalone List Price Trends'!$A$1:$X$56"}</definedName>
    <definedName name="__Q4" hidden="1">{"'Standalone List Price Trends'!$A$1:$X$56"}</definedName>
    <definedName name="__Q5" hidden="1">{"'Standalone List Price Trends'!$A$1:$X$56"}</definedName>
    <definedName name="__Q9" hidden="1">{"'Standalone List Price Trends'!$A$1:$X$56"}</definedName>
    <definedName name="__RoundBit__" hidden="1">"ENCODE_"</definedName>
    <definedName name="__RptBeginDate__" hidden="1">"ENCODE_"</definedName>
    <definedName name="__RptCurrency__" hidden="1">"ENCODE_UgBNAEIA"</definedName>
    <definedName name="__RptEndDate__" hidden="1">"ENCODE_"</definedName>
    <definedName name="__RptEndPeriod__" hidden="1">"ENCODE_MQA="</definedName>
    <definedName name="__RptGroupCurrency__" hidden="1">"ENCODE_"</definedName>
    <definedName name="__RptPeriod__" hidden="1">"ENCODE_MQA="</definedName>
    <definedName name="__RptYear__" hidden="1">"ENCODE_MgAwADAANwA="</definedName>
    <definedName name="__rw1" hidden="1">{"'Standalone List Price Trends'!$A$1:$X$56"}</definedName>
    <definedName name="__rw2" hidden="1">{"'Standalone List Price Trends'!$A$1:$X$56"}</definedName>
    <definedName name="__rw3" hidden="1">{"'Standalone List Price Trends'!$A$1:$X$56"}</definedName>
    <definedName name="__rw4" hidden="1">{"'Standalone List Price Trends'!$A$1:$X$56"}</definedName>
    <definedName name="__SelfDsn__" hidden="1">"ENCODE_"</definedName>
    <definedName name="__VBA__1" hidden="1">"ENCODE_"</definedName>
    <definedName name="__WC1" hidden="1">[1]Contracts!#REF!</definedName>
    <definedName name="__WC2" hidden="1">[1]Contracts!$A$7:$H$103</definedName>
    <definedName name="_1__FDSAUDITLINK__" hidden="1">{"fdsup://IBCentral/FAT Viewer?action=UPDATE&amp;creator=factset&amp;DOC_NAME=fat:reuters_annual_shs_src_window.fat&amp;display_string=Audit&amp;DYN_ARGS=TRUE&amp;VAR:ID1=594327&amp;VAR:RCODE=FDSSHSOUTDEPS&amp;VAR:SDATE=20061299&amp;VAR:FREQ=Y&amp;VAR:RELITEM=RF&amp;VAR:CURRENCY=&amp;VAR:CURRSOURCE=E","XSHARE&amp;VAR:NATFREQ=ANNUAL&amp;VAR:RFIELD=FINALIZED&amp;VAR:DB_TYPE=&amp;VAR:UNITS=MONTHLY&amp;window=popup&amp;width=450&amp;height=300&amp;START_MAXIMIZED=FALSE"}</definedName>
    <definedName name="_1_31_06">[5]MonthlyData!$I$2</definedName>
    <definedName name="_10__FDSAUDITLINK__" hidden="1">{"fdsup://IBCentral/FAT Viewer?action=UPDATE&amp;creator=factset&amp;DOC_NAME=fat:reuters_annual_shs_src_window.fat&amp;display_string=Audit&amp;DYN_ARGS=TRUE&amp;VAR:ID1=04033V20&amp;VAR:RCODE=FDSSHSOUTDEPS&amp;VAR:SDATE=20070999&amp;VAR:FREQ=Y&amp;VAR:RELITEM=RF&amp;VAR:CURRENCY=&amp;VAR:CURRSOURCE","=EXSHARE&amp;VAR:NATFREQ=ANNUAL&amp;VAR:RFIELD=FINALIZED&amp;VAR:DB_TYPE=&amp;VAR:UNITS=MONTHLY&amp;window=popup&amp;width=450&amp;height=300&amp;START_MAXIMIZED=FALSE"}</definedName>
    <definedName name="_10_31_07">[5]MonthlyData!$AD$2</definedName>
    <definedName name="_11__FDSAUDITLINK__" hidden="1">{"fdsup://IBCentral/FAT Viewer?action=UPDATE&amp;creator=factset&amp;DOC_NAME=fat:reuters_annual_shs_src_window.fat&amp;display_string=Audit&amp;DYN_ARGS=TRUE&amp;VAR:ID1=20670810&amp;VAR:RCODE=FDSSHSOUTDEPS&amp;VAR:SDATE=20070999&amp;VAR:FREQ=Y&amp;VAR:RELITEM=RF&amp;VAR:CURRENCY=&amp;VAR:CURRSOURCE","=EXSHARE&amp;VAR:NATFREQ=ANNUAL&amp;VAR:RFIELD=FINALIZED&amp;VAR:DB_TYPE=&amp;VAR:UNITS=MONTHLY&amp;window=popup&amp;width=450&amp;height=300&amp;START_MAXIMIZED=FALSE"}</definedName>
    <definedName name="_11_30_07">[5]MonthlyData!$AE$2</definedName>
    <definedName name="_12__FDSAUDITLINK__" hidden="1">{"fdsup://IBCentral/FAT Viewer?action=UPDATE&amp;creator=factset&amp;DOC_NAME=fat:reuters_annual_shs_src_window.fat&amp;display_string=Audit&amp;DYN_ARGS=TRUE&amp;VAR:ID1=68212S10&amp;VAR:RCODE=FDSSHSOUTDEPS&amp;VAR:SDATE=20071299&amp;VAR:FREQ=Y&amp;VAR:RELITEM=RF&amp;VAR:CURRENCY=&amp;VAR:CURRSOURCE","=EXSHARE&amp;VAR:NATFREQ=ANNUAL&amp;VAR:RFIELD=FINALIZED&amp;VAR:DB_TYPE=&amp;VAR:UNITS=MONTHLY&amp;window=popup&amp;width=450&amp;height=300&amp;START_MAXIMIZED=FALSE"}</definedName>
    <definedName name="_12_31_07">[5]MonthlyData!$AF$2</definedName>
    <definedName name="_123Graph_X" hidden="1">[6]ICFORMAT!$G$7:$G$65</definedName>
    <definedName name="_124graph_BLRNRATE" hidden="1">[6]ICFORMAT!$N$7:$N$60</definedName>
    <definedName name="_124Graph_CLRN" hidden="1">[6]ICFORMAT!$S$7:$S$65</definedName>
    <definedName name="_124Graph_CLRNRATE" hidden="1">[6]ICFORMAT!$T$7:$T$65</definedName>
    <definedName name="_13__FDSAUDITLINK__" hidden="1">{"fdsup://IBCentral/FAT Viewer?action=UPDATE&amp;creator=factset&amp;DOC_NAME=fat:reuters_annual_shs_src_window.fat&amp;display_string=Audit&amp;DYN_ARGS=TRUE&amp;VAR:ID1=17737610&amp;VAR:RCODE=FDSSHSOUTDEPS&amp;VAR:SDATE=20071299&amp;VAR:FREQ=Y&amp;VAR:RELITEM=RF&amp;VAR:CURRENCY=&amp;VAR:CURRSOURCE","=EXSHARE&amp;VAR:NATFREQ=ANNUAL&amp;VAR:RFIELD=FINALIZED&amp;VAR:DB_TYPE=&amp;VAR:UNITS=MONTHLY&amp;window=popup&amp;width=450&amp;height=300&amp;START_MAXIMIZED=FALSE"}</definedName>
    <definedName name="_14__FDSAUDITLINK__" hidden="1">{"fdsup://IBCentral/FAT Viewer?action=UPDATE&amp;creator=factset&amp;DOC_NAME=fat:reuters_annual_shs_src_window.fat&amp;display_string=Audit&amp;DYN_ARGS=TRUE&amp;VAR:ID1=00971T10&amp;VAR:RCODE=FDSSHSOUTDEPS&amp;VAR:SDATE=20071299&amp;VAR:FREQ=Y&amp;VAR:RELITEM=RF&amp;VAR:CURRENCY=&amp;VAR:CURRSOURCE","=EXSHARE&amp;VAR:NATFREQ=ANNUAL&amp;VAR:RFIELD=FINALIZED&amp;VAR:DB_TYPE=&amp;VAR:UNITS=MONTHLY&amp;window=popup&amp;width=450&amp;height=300&amp;START_MAXIMIZED=FALSE"}</definedName>
    <definedName name="_15__FDSAUDITLINK__" hidden="1">{"fdsup://IBCentral/FAT Viewer?action=UPDATE&amp;creator=factset&amp;DOC_NAME=fat:reuters_annual_shs_src_window.fat&amp;display_string=Audit&amp;DYN_ARGS=TRUE&amp;VAR:ID1=79466L30&amp;VAR:RCODE=FDSSHSOUTDEPS&amp;VAR:SDATE=20080199&amp;VAR:FREQ=Y&amp;VAR:RELITEM=RF&amp;VAR:CURRENCY=&amp;VAR:CURRSOURCE","=EXSHARE&amp;VAR:NATFREQ=ANNUAL&amp;VAR:RFIELD=FINALIZED&amp;VAR:DB_TYPE=&amp;VAR:UNITS=MONTHLY&amp;window=popup&amp;width=450&amp;height=300&amp;START_MAXIMIZED=FALSE"}</definedName>
    <definedName name="_2__123Graph_AChart_2" hidden="1">[7]Model!$B$453:$B$462</definedName>
    <definedName name="_2__FDSAUDITLINK__" hidden="1">{"fdsup://IBCentral/FAT Viewer?action=UPDATE&amp;creator=factset&amp;DOC_NAME=fat:reuters_annual_shs_src_window.fat&amp;display_string=Audit&amp;DYN_ARGS=TRUE&amp;VAR:ID1=76657R10&amp;VAR:RCODE=FDSSHSOUTDEPS&amp;VAR:SDATE=20071299&amp;VAR:FREQ=Y&amp;VAR:RELITEM=RF&amp;VAR:CURRENCY=&amp;VAR:CURRSOURCE","=EXSHARE&amp;VAR:NATFREQ=ANNUAL&amp;VAR:RFIELD=FINALIZED&amp;VAR:DB_TYPE=&amp;VAR:UNITS=MONTHLY&amp;window=popup&amp;width=450&amp;height=300&amp;START_MAXIMIZED=FALSE"}</definedName>
    <definedName name="_2_28_07">[5]MonthlyData!$V$2</definedName>
    <definedName name="_3__123Graph_AChart_3" hidden="1">[7]Model!$B$483:$B$489</definedName>
    <definedName name="_3__FDSAUDITLINK__" hidden="1">{"fdsup://IBCentral/FAT Viewer?action=UPDATE&amp;creator=factset&amp;DOC_NAME=fat:reuters_annual_shs_src_window.fat&amp;display_string=Audit&amp;DYN_ARGS=TRUE&amp;VAR:ID1=591344&amp;VAR:RCODE=FDSSHSOUTDEPS&amp;VAR:SDATE=20071299&amp;VAR:FREQ=Y&amp;VAR:RELITEM=RF&amp;VAR:CURRENCY=&amp;VAR:CURRSOURCE=E","XSHARE&amp;VAR:NATFREQ=ANNUAL&amp;VAR:RFIELD=FINALIZED&amp;VAR:DB_TYPE=&amp;VAR:UNITS=MONTHLY&amp;window=popup&amp;width=450&amp;height=300&amp;START_MAXIMIZED=FALSE"}</definedName>
    <definedName name="_3_31_07">[5]MonthlyData!$W$2</definedName>
    <definedName name="_4__123Graph_AChart_4" hidden="1">[7]Model!$B$469:$B$475</definedName>
    <definedName name="_4__FDSAUDITLINK__" hidden="1">{"fdsup://IBCentral/FAT Viewer?action=UPDATE&amp;creator=factset&amp;DOC_NAME=fat:reuters_annual_shs_src_window.fat&amp;display_string=Audit&amp;DYN_ARGS=TRUE&amp;VAR:ID1=64118Q10&amp;VAR:RCODE=FDSSHSOUTDEPS&amp;VAR:SDATE=20071299&amp;VAR:FREQ=Y&amp;VAR:RELITEM=RF&amp;VAR:CURRENCY=&amp;VAR:CURRSOURCE","=EXSHARE&amp;VAR:NATFREQ=ANNUAL&amp;VAR:RFIELD=FINALIZED&amp;VAR:DB_TYPE=&amp;VAR:UNITS=MONTHLY&amp;window=popup&amp;width=450&amp;height=300&amp;START_MAXIMIZED=FALSE"}</definedName>
    <definedName name="_4_30_07">[5]MonthlyData!$X$2</definedName>
    <definedName name="_5__123Graph_BChart_3" hidden="1">[7]Model!$C$483:$C$489</definedName>
    <definedName name="_5__FDSAUDITLINK__" hidden="1">{"fdsup://IBCentral/FAT Viewer?action=UPDATE&amp;creator=factset&amp;DOC_NAME=fat:reuters_annual_shs_src_window.fat&amp;display_string=Audit&amp;DYN_ARGS=TRUE&amp;VAR:ID1=580878&amp;VAR:RCODE=FDSSHSOUTDEPS&amp;VAR:SDATE=20071299&amp;VAR:FREQ=Y&amp;VAR:RELITEM=RF&amp;VAR:CURRENCY=&amp;VAR:CURRSOURCE=E","XSHARE&amp;VAR:NATFREQ=ANNUAL&amp;VAR:RFIELD=FINALIZED&amp;VAR:DB_TYPE=&amp;VAR:UNITS=MONTHLY&amp;window=popup&amp;width=450&amp;height=300&amp;START_MAXIMIZED=FALSE"}</definedName>
    <definedName name="_5_31_07">[5]MonthlyData!$Y$2</definedName>
    <definedName name="_6__123Graph_BChart_4" hidden="1">[7]Model!$C$469:$C$475</definedName>
    <definedName name="_6__FDSAUDITLINK__" hidden="1">{"fdsup://IBCentral/FAT Viewer?action=UPDATE&amp;creator=factset&amp;DOC_NAME=fat:reuters_annual_shs_src_window.fat&amp;display_string=Audit&amp;DYN_ARGS=TRUE&amp;VAR:ID1=48887910&amp;VAR:RCODE=FDSSHSOUTDEPS&amp;VAR:SDATE=20071299&amp;VAR:FREQ=Y&amp;VAR:RELITEM=RF&amp;VAR:CURRENCY=&amp;VAR:CURRSOURCE","=EXSHARE&amp;VAR:NATFREQ=ANNUAL&amp;VAR:RFIELD=FINALIZED&amp;VAR:DB_TYPE=&amp;VAR:UNITS=MONTHLY&amp;window=popup&amp;width=450&amp;height=300&amp;START_MAXIMIZED=FALSE"}</definedName>
    <definedName name="_6_30_07">[5]MonthlyData!$Z$2</definedName>
    <definedName name="_7__123Graph_XChart_2" hidden="1">[7]Model!$A$453:$A$462</definedName>
    <definedName name="_7__FDSAUDITLINK__" hidden="1">{"fdsup://IBCentral/FAT Viewer?action=UPDATE&amp;creator=factset&amp;DOC_NAME=fat:reuters_annual_shs_src_window.fat&amp;display_string=Audit&amp;DYN_ARGS=TRUE&amp;VAR:ID1=90385D10&amp;VAR:RCODE=FDSSHSOUTDEPS&amp;VAR:SDATE=20071299&amp;VAR:FREQ=Y&amp;VAR:RELITEM=RF&amp;VAR:CURRENCY=&amp;VAR:CURRSOURCE","=EXSHARE&amp;VAR:NATFREQ=ANNUAL&amp;VAR:RFIELD=FINALIZED&amp;VAR:DB_TYPE=&amp;VAR:UNITS=MONTHLY&amp;window=popup&amp;width=450&amp;height=300&amp;START_MAXIMIZED=FALSE"}</definedName>
    <definedName name="_7_30_07">[5]MonthlyData!$AA$2</definedName>
    <definedName name="_8__123Graph_XChart_3" hidden="1">[7]Model!$A$483:$A$489</definedName>
    <definedName name="_8__FDSAUDITLINK__" hidden="1">{"fdsup://IBCentral/FAT Viewer?action=UPDATE&amp;creator=factset&amp;DOC_NAME=fat:reuters_annual_shs_src_window.fat&amp;display_string=Audit&amp;DYN_ARGS=TRUE&amp;VAR:ID1=580685&amp;VAR:RCODE=FDSSHSOUTDEPS&amp;VAR:SDATE=20071299&amp;VAR:FREQ=Y&amp;VAR:RELITEM=RF&amp;VAR:CURRENCY=&amp;VAR:CURRSOURCE=E","XSHARE&amp;VAR:NATFREQ=ANNUAL&amp;VAR:RFIELD=FINALIZED&amp;VAR:DB_TYPE=&amp;VAR:UNITS=MONTHLY&amp;window=popup&amp;width=450&amp;height=300&amp;START_MAXIMIZED=FALSE"}</definedName>
    <definedName name="_8_31_07">[5]MonthlyData!$AB$2</definedName>
    <definedName name="_9__123Graph_XChart_4" hidden="1">[7]Model!$A$469:$A$475</definedName>
    <definedName name="_9__FDSAUDITLINK__" hidden="1">{"fdsup://IBCentral/FAT Viewer?action=UPDATE&amp;creator=factset&amp;DOC_NAME=fat:reuters_annual_shs_src_window.fat&amp;display_string=Audit&amp;DYN_ARGS=TRUE&amp;VAR:ID1=87424N10&amp;VAR:RCODE=FDSSHSOUTDEPS&amp;VAR:SDATE=20071299&amp;VAR:FREQ=Y&amp;VAR:RELITEM=RF&amp;VAR:CURRENCY=&amp;VAR:CURRSOURCE","=EXSHARE&amp;VAR:NATFREQ=ANNUAL&amp;VAR:RFIELD=FINALIZED&amp;VAR:DB_TYPE=&amp;VAR:UNITS=MONTHLY&amp;window=popup&amp;width=450&amp;height=300&amp;START_MAXIMIZED=FALSE"}</definedName>
    <definedName name="_9_30_07">[5]MonthlyData!$AC$2</definedName>
    <definedName name="_A">#REF!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1</definedName>
    <definedName name="_AtRisk_SimSetting_ReportOptionCustomItemSummaryGraphType02" hidden="1">1</definedName>
    <definedName name="_AtRisk_SimSetting_ReportOptionCustomItemSummaryGraphType03" hidden="1">1</definedName>
    <definedName name="_AtRisk_SimSetting_ReportOptionCustomItemSummaryGraphType04" hidden="1">1</definedName>
    <definedName name="_AtRisk_SimSetting_ReportOptionCustomItemSummaryGraphType05" hidden="1">1</definedName>
    <definedName name="_AtRisk_SimSetting_ReportOptionCustomItemSummaryGraphType06" hidden="1">1</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AL1">#REF!</definedName>
    <definedName name="_bdm.0212DFFC1A0C410AB03B85791489E314.edm" hidden="1">#REF!</definedName>
    <definedName name="_bdm.0727FB01840844D786CB71C844C9EB4C.edm" hidden="1">#REF!</definedName>
    <definedName name="_bdm.07770C4610E5438D97E300C16D056E98.edm" hidden="1">#REF!</definedName>
    <definedName name="_bdm.08E906A3B032434B809DF8092B86D2B7.edm" hidden="1">#REF!</definedName>
    <definedName name="_bdm.0937F7D5D75D47909A107C4153EF30C5.edm" hidden="1">#REF!</definedName>
    <definedName name="_bdm.159A40241D984E22B6E755BD37282CB3.edm" hidden="1">#REF!</definedName>
    <definedName name="_bdm.1667D34F451B47A291E6F994C4DCF306.edm" hidden="1">#REF!</definedName>
    <definedName name="_bdm.1CDE706ABE974904AB10D5BEDFF51CF1.edm" hidden="1">#REF!</definedName>
    <definedName name="_bdm.1D31ADDD89E94A38B7BE8F46C37088B8.edm" hidden="1">#REF!</definedName>
    <definedName name="_bdm.203A700151E74AC194E303E69BA9C259.edm" hidden="1">#REF!</definedName>
    <definedName name="_bdm.221A9393172942218BF4C88122E45E37.edm" hidden="1">#REF!</definedName>
    <definedName name="_bdm.2CFBB96DCC934281B58C1FC3E874DB82.edm" hidden="1">#REF!</definedName>
    <definedName name="_bdm.2EE9F91D5241460AAC5150A0A8DD30FF.edm" hidden="1">#REF!</definedName>
    <definedName name="_bdm.2F24A8BD52384E19A7A637CDC5866186.edm" hidden="1">#REF!</definedName>
    <definedName name="_bdm.3092689E7F68403C9292BEBC403D2B15.edm" hidden="1">#REF!</definedName>
    <definedName name="_bdm.314BBCC8E133420F829BD730B4381557.edm" hidden="1">#REF!</definedName>
    <definedName name="_bdm.367985CB18ED464082C32C8004AF3DBB.edm" hidden="1">#REF!</definedName>
    <definedName name="_bdm.3A4AF8DBFC4D4164BC2010E4235A20E8.edm" hidden="1">#REF!</definedName>
    <definedName name="_bdm.3C6262B1B9C140AB8A295AD5117BBFC0.edm" hidden="1">#REF!</definedName>
    <definedName name="_bdm.3D4818FE98214A0DA4DD456BC95C9182.edm" hidden="1">#REF!</definedName>
    <definedName name="_bdm.43970535467C4553B38D31CF93689521.edm" hidden="1">#REF!</definedName>
    <definedName name="_bdm.47F6196DA00C4CD0AC70EF2DF9331ED4.edm" hidden="1">#REF!</definedName>
    <definedName name="_bdm.4BA88AF9071C434EB75CA3D111800785.edm" hidden="1">#REF!</definedName>
    <definedName name="_bdm.4CCB1CCC25C4472D8D2F479631AE5C74.edm" hidden="1">#REF!</definedName>
    <definedName name="_bdm.50B0187CEB404A68BF4C1219050ADA96.edm" hidden="1">#REF!</definedName>
    <definedName name="_bdm.599CC5D95B6447BD961CF0BBFC70EB51.edm" hidden="1">#REF!</definedName>
    <definedName name="_bdm.5DFC73F990E4481599AA49889538BDDD.edm" hidden="1">#REF!</definedName>
    <definedName name="_bdm.620DA7BECEC3407AA327D2D103124C67.edm" hidden="1">#REF!</definedName>
    <definedName name="_bdm.6615C7F19C8D442186AE6E09EF77236E.edm" hidden="1">#REF!</definedName>
    <definedName name="_bdm.6936904F447D4EC68E7EF173D0C5D062.edm" hidden="1">#REF!</definedName>
    <definedName name="_bdm.6C3C21AC95604C08847848B124ADF48C.edm" hidden="1">#REF!</definedName>
    <definedName name="_bdm.6FAEE423EE824B2FBD0CF679DDF4C711.edm" hidden="1">'[8]Adj Combined IS'!$A$1:$IV$65536</definedName>
    <definedName name="_bdm.7317FA0965BB429EA337AD9E02AC0386.edm" hidden="1">'[8]PV of Future Price'!$A$1:$IV$65536</definedName>
    <definedName name="_bdm.76AD57D1CB1D43FB8FF4D680B78F4B3B.edm" hidden="1">'[8]DCF Output'!$A$1:$IV$65536</definedName>
    <definedName name="_bdm.7C34919F0F2F4FC08546460F84CA54C2.edm" hidden="1">#REF!</definedName>
    <definedName name="_bdm.81ACE81BBA164E598B7D514CD4E45E03.edm" hidden="1">#REF!</definedName>
    <definedName name="_bdm.8249142CB5874BF5947E26128AE2C536.edm" hidden="1">[8]WACC!$A$1:$IV$65536</definedName>
    <definedName name="_bdm.88CA575C8E4447C184EF246F886F95BD.edm" hidden="1">#REF!</definedName>
    <definedName name="_bdm.8D3EC86C52BA4606BD1A5A5867FE3C64.edm" hidden="1">#REF!</definedName>
    <definedName name="_bdm.A3729AD8894D417EBF0E35167E7CD68C.edm" hidden="1">#REF!</definedName>
    <definedName name="_bdm.A9E3240BA7B34DDDAFEFBD34858D688B.edm" hidden="1">#REF!</definedName>
    <definedName name="_bdm.AAF5CE366D08433B852FFB2FE6BEE7BD.edm" hidden="1">#REF!</definedName>
    <definedName name="_bdm.AB9C13836CED4567B53E9B582B0342DF.edm" hidden="1">#REF!</definedName>
    <definedName name="_bdm.AF35239CE0974434AC10DACCD1E36B59.edm" hidden="1">#REF!</definedName>
    <definedName name="_bdm.B11A7C87792B41DD911022A159DA9FA1.edm" hidden="1">[8]FF!$A$1:$IV$65536</definedName>
    <definedName name="_bdm.B5D0B6F2DA3044C2B0160E4D2F3D091A.edm" hidden="1">#REF!</definedName>
    <definedName name="_bdm.BB7F212D0D9D4770BC65A1D31FBC12B3.edm" hidden="1">#REF!</definedName>
    <definedName name="_bdm.BFB2303463084596B58FFD9A36A7F01F.edm" hidden="1">#REF!</definedName>
    <definedName name="_bdm.CECDD7CB7A09430EA1F498A5A3993152.edm" hidden="1">#REF!</definedName>
    <definedName name="_bdm.D17EA099031C443B89E6C979CDDF3D48.edm" hidden="1">#REF!</definedName>
    <definedName name="_bdm.D39ED324460A4919983487645D644B9D.edm" hidden="1">#REF!</definedName>
    <definedName name="_bdm.D96858F302744E2CBA10106AED3868AC.edm" hidden="1">#REF!</definedName>
    <definedName name="_bdm.E2DE704F545044DBA1F220584FF0BA6E.edm" hidden="1">[9]Charts!$A$1:$IV$65536</definedName>
    <definedName name="_bdm.E9D1D6F0D15A48E0A7C10FEB13081CE7.edm" hidden="1">'[8]Contribution Analysis'!$A$1:$IV$65536</definedName>
    <definedName name="_bdm.E9F20B094B5C432380706435C3F317BD.edm" hidden="1">#REF!</definedName>
    <definedName name="_bdm.EA870B5264F94FBE89EA90292A61304E.edm" hidden="1">'[8]SU-Cap'!$A$1:$IV$65536</definedName>
    <definedName name="_bdm.EDDDE303DB6042A7A2AFAF04708371B2.edm" hidden="1">#REF!</definedName>
    <definedName name="_bdm.EF6677EE4C964AA1A772DC20421CAC95.edm" hidden="1">#REF!</definedName>
    <definedName name="_bdm.F17CC758ADBC4F7AB39097771E7085F1.edm" hidden="1">#REF!</definedName>
    <definedName name="_bdm.F801C78F06134DBDA3240FC7D7B01019.edm" hidden="1">#REF!</definedName>
    <definedName name="_bdm.F9C5C6F8F39E47FABE65D2F9B40626CE.edm" hidden="1">#REF!</definedName>
    <definedName name="_bdm.FastTrackBookmark.3_20_2019_3_10_35_PM.edm" hidden="1">#REF!</definedName>
    <definedName name="_bdm.FastTrackBookmark.7_30_2019_5_03_14_PM.edm" hidden="1">#REF!</definedName>
    <definedName name="_bg2" hidden="1">{#N/A,#N/A,TRUE,"Summary - 1";#N/A,#N/A,TRUE,"Summary - 2";#N/A,#N/A,TRUE,"Group Analysis";#N/A,#N/A,TRUE,"FM Analysis";#N/A,#N/A,TRUE,"T&amp;M-Onsite";#N/A,#N/A,TRUE,"FP-Onsite";#N/A,#N/A,TRUE,"NB-Onsite";#N/A,#N/A,TRUE,"T&amp;M-Offshore";#N/A,#N/A,TRUE,"FP-Offshore";#N/A,#N/A,TRUE,"Appendix-A";#N/A,#N/A,TRUE,"Appendix-B"}</definedName>
    <definedName name="_bg3" hidden="1">{#N/A,#N/A,TRUE,"Summary - 1";#N/A,#N/A,TRUE,"Summary - 2";#N/A,#N/A,TRUE,"Group Analysis";#N/A,#N/A,TRUE,"FM Analysis";#N/A,#N/A,TRUE,"T&amp;M-Onsite";#N/A,#N/A,TRUE,"FP-Onsite";#N/A,#N/A,TRUE,"NB-Onsite";#N/A,#N/A,TRUE,"T&amp;M-Offshore";#N/A,#N/A,TRUE,"FP-Offshore";#N/A,#N/A,TRUE,"Appendix-A";#N/A,#N/A,TRUE,"Appendix-B"}</definedName>
    <definedName name="_BU4" hidden="1">{"Page 1",#N/A,TRUE,"Sheet1";"Page 2",#N/A,TRUE,"Sheet1"}</definedName>
    <definedName name="_COL1">#REF!</definedName>
    <definedName name="_COL10">#REF!</definedName>
    <definedName name="_COL11">#REF!</definedName>
    <definedName name="_COL12">#REF!</definedName>
    <definedName name="_COL13">#REF!</definedName>
    <definedName name="_COL14">#REF!</definedName>
    <definedName name="_COL16">#REF!</definedName>
    <definedName name="_COL17">#REF!</definedName>
    <definedName name="_COL18">#REF!</definedName>
    <definedName name="_COL4">#REF!</definedName>
    <definedName name="_COL5">#REF!</definedName>
    <definedName name="_COL6">#REF!</definedName>
    <definedName name="_COL7">#REF!</definedName>
    <definedName name="_COL8">#REF!</definedName>
    <definedName name="_Fill" hidden="1">#REF!</definedName>
    <definedName name="_xlnm._FilterDatabase" hidden="1">#REF!</definedName>
    <definedName name="_FSA007">[10]FSA002!$A$1</definedName>
    <definedName name="_Key1" hidden="1">[11]Contracts!#REF!</definedName>
    <definedName name="_Key2" hidden="1">[11]Contracts!#REF!</definedName>
    <definedName name="_Order1" hidden="1">0</definedName>
    <definedName name="_Order2" hidden="1">255</definedName>
    <definedName name="_Q1" hidden="1">{"'Standalone List Price Trends'!$A$1:$X$56"}</definedName>
    <definedName name="_Q2" hidden="1">{"'Standalone List Price Trends'!$A$1:$X$56"}</definedName>
    <definedName name="_Q3" hidden="1">{"'Standalone List Price Trends'!$A$1:$X$56"}</definedName>
    <definedName name="_Q4" hidden="1">{"'Standalone List Price Trends'!$A$1:$X$56"}</definedName>
    <definedName name="_Q5" hidden="1">{"'Standalone List Price Trends'!$A$1:$X$56"}</definedName>
    <definedName name="_Q9" hidden="1">{"'Standalone List Price Trends'!$A$1:$X$56"}</definedName>
    <definedName name="_Regression_Out" hidden="1">[2]ICFORMAT!$B$70:$B$70</definedName>
    <definedName name="_Regression_X" hidden="1">[2]ICFORMAT!$H$8:$H$16</definedName>
    <definedName name="_Regression_Y" hidden="1">[2]ICFORMAT!$J$8:$J$16</definedName>
    <definedName name="_rw1" hidden="1">{"'Standalone List Price Trends'!$A$1:$X$56"}</definedName>
    <definedName name="_rw2" hidden="1">{"'Standalone List Price Trends'!$A$1:$X$56"}</definedName>
    <definedName name="_rw3" hidden="1">{"'Standalone List Price Trends'!$A$1:$X$56"}</definedName>
    <definedName name="_rw4" hidden="1">{"'Standalone List Price Trends'!$A$1:$X$56"}</definedName>
    <definedName name="_Sort" hidden="1">[12]A!$A$18:$O$18</definedName>
    <definedName name="_Table2_In1" hidden="1">#REF!</definedName>
    <definedName name="_Table2_In2" hidden="1">#REF!</definedName>
    <definedName name="_Table2_Out" hidden="1">#REF!</definedName>
    <definedName name="_Table3_In2" hidden="1">#REF!</definedName>
    <definedName name="_WC1" hidden="1">[1]Contracts!#REF!</definedName>
    <definedName name="_WC2" hidden="1">[1]Contracts!$A$7:$H$103</definedName>
    <definedName name="_yr1">'[13]Perf Score 2010'!$F$1:$F$65536</definedName>
    <definedName name="_yr10">'[13]Perf Score 2010'!$O$1:$O$65536</definedName>
    <definedName name="_yr11">'[13]Perf Score 2010'!$P$1:$P$65536</definedName>
    <definedName name="_yr12">'[13]Perf Score 2010'!$Q$1:$Q$65536</definedName>
    <definedName name="_yr13">'[13]Perf Score 2010'!$R$1:$R$65536</definedName>
    <definedName name="_yr14">'[13]Perf Score 2010'!$S$1:$S$65536</definedName>
    <definedName name="_yr15">'[13]Perf Score 2010'!$T$1:$T$65536</definedName>
    <definedName name="_yr2">'[13]Perf Score 2010'!$G$1:$G$65536</definedName>
    <definedName name="_yr3">'[13]Perf Score 2010'!$H$1:$H$65536</definedName>
    <definedName name="_yr4">'[13]Perf Score 2010'!$I$1:$I$65536</definedName>
    <definedName name="_yr5">'[13]Perf Score 2010'!$J$1:$J$65536</definedName>
    <definedName name="_yr6">'[13]Perf Score 2010'!$K$1:$K$65536</definedName>
    <definedName name="_yr7">'[13]Perf Score 2010'!$L$1:$L$65536</definedName>
    <definedName name="_yr8">'[13]Perf Score 2010'!$M$1:$M$65536</definedName>
    <definedName name="_yr9">'[13]Perf Score 2010'!$N$1:$N$65536</definedName>
    <definedName name="a" hidden="1">#REF!</definedName>
    <definedName name="AAA_DOCTOPS" hidden="1">"AAA_SET"</definedName>
    <definedName name="AAA_duser" hidden="1">"OFF"</definedName>
    <definedName name="aaaaaaaaaaaaa" hidden="1">{"'Standalone List Price Trends'!$A$1:$X$56"}</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c" hidden="1">{"histincome",#N/A,FALSE,"hyfins";"closing balance",#N/A,FALSE,"hyfins"}</definedName>
    <definedName name="AccessDatabase" hidden="1">"I:\DEPT8900\OEL\FY01\Reports\Budget Comparison\Comparitive Budget TEST.mdb"</definedName>
    <definedName name="Acquistions" hidden="1">39723.3704050926</definedName>
    <definedName name="Actual">#REF!</definedName>
    <definedName name="Actual_month_bs">#REF!</definedName>
    <definedName name="ActualNumberOfPayments" localSheetId="22">IFERROR(IF('PNC 2020 Equipment Loan'!LoanIsGood,IF('PNC 2020 Equipment Loan'!PaymentsPerYear=1,1,MATCH(0.01,'PNC 2020 Equipment Loan'!End_Bal,-1)+1)),"")</definedName>
    <definedName name="ActualNumberOfPayments">IFERROR(IF(LoanIsGood,IF(PaymentsPerYear=1,1,MATCH(0.01,End_Bal,-1)+1)),"")</definedName>
    <definedName name="ad">'[14]Preferred Stock Schedule'!$C$17</definedName>
    <definedName name="Added_Internal">'[13]Perf Score 2010'!$A$25:$IV$25</definedName>
    <definedName name="ADDRESSING">#REF!</definedName>
    <definedName name="adm">#REF!</definedName>
    <definedName name="ai">#REF!</definedName>
    <definedName name="ALCHEMEX_DRILL_SET">"GL_001"</definedName>
    <definedName name="ALLCOLEQUITY">#REF!</definedName>
    <definedName name="ALLFMVEQUITY">#REF!</definedName>
    <definedName name="ANNUALIZE">#REF!</definedName>
    <definedName name="anscount" hidden="1">1</definedName>
    <definedName name="AS2DocOpenMode" hidden="1">"AS2DocumentEdit"</definedName>
    <definedName name="AS2NamedRange" hidden="1">3</definedName>
    <definedName name="AS2ReportLS" hidden="1">1</definedName>
    <definedName name="AS2SyncStepLS" hidden="1">0</definedName>
    <definedName name="AS2TickmarkLS" hidden="1">#REF!</definedName>
    <definedName name="AS2VersionLS" hidden="1">300</definedName>
    <definedName name="asdf" hidden="1">{"'Standalone List Price Trends'!$A$1:$X$56"}</definedName>
    <definedName name="asdtf" hidden="1">{"'Standalone List Price Trends'!$A$1:$X$56"}</definedName>
    <definedName name="asggdasgasdg" hidden="1">{"'Standalone List Price Trends'!$A$1:$X$56"}</definedName>
    <definedName name="ashortname">#REF!</definedName>
    <definedName name="Attrition_Rate">'[13]Perf Score 2010'!$F$12</definedName>
    <definedName name="b" hidden="1">#REF!</definedName>
    <definedName name="B140R206">#REF!</definedName>
    <definedName name="BAAM">[15]Detail!$D$30:$K$32</definedName>
    <definedName name="BACKLOG">#REF!</definedName>
    <definedName name="Badging_Service_Revenue">#REF!</definedName>
    <definedName name="BAIIAR">[15]Detail!$D$53:$K$57</definedName>
    <definedName name="BAL">#REF!</definedName>
    <definedName name="BALA">#REF!</definedName>
    <definedName name="BALANCE">#REF!</definedName>
    <definedName name="BALANCEDETAIL">#REF!</definedName>
    <definedName name="BALANCENOTES">#REF!</definedName>
    <definedName name="BALNOTES">#REF!</definedName>
    <definedName name="BALSHEET">#REF!</definedName>
    <definedName name="BALSHEET1">#REF!</definedName>
    <definedName name="BALSHEET2">#REF!</definedName>
    <definedName name="BANKLONG">#REF!</definedName>
    <definedName name="BANKRATE">#REF!</definedName>
    <definedName name="BANKSHORT">#REF!</definedName>
    <definedName name="bd" hidden="1">#N/A</definedName>
    <definedName name="Beg_RMR">'[13]Perf Score 2010'!$A$24:$IV$24</definedName>
    <definedName name="BENCHMARK1">#REF!</definedName>
    <definedName name="BENCHMARKS1">#REF!</definedName>
    <definedName name="bg" hidden="1">{#N/A,#N/A,TRUE,"Summary - 1";#N/A,#N/A,TRUE,"Summary - 2";#N/A,#N/A,TRUE,"Group Analysis";#N/A,#N/A,TRUE,"FM Analysis";#N/A,#N/A,TRUE,"T&amp;M-Onsite";#N/A,#N/A,TRUE,"FP-Onsite";#N/A,#N/A,TRUE,"NB-Onsite";#N/A,#N/A,TRUE,"T&amp;M-Offshore";#N/A,#N/A,TRUE,"FP-Offshore";#N/A,#N/A,TRUE,"Appendix-A";#N/A,#N/A,TRUE,"Appendix-B"}</definedName>
    <definedName name="BG_Del" hidden="1">15</definedName>
    <definedName name="BG_Ins" hidden="1">4</definedName>
    <definedName name="BG_Mod" hidden="1">6</definedName>
    <definedName name="bg3sheet" hidden="1">{#N/A,#N/A,TRUE,"Summary - 1";#N/A,#N/A,TRUE,"Summary - 2";#N/A,#N/A,TRUE,"Group Analysis";#N/A,#N/A,TRUE,"FM Analysis";#N/A,#N/A,TRUE,"T&amp;M-Onsite";#N/A,#N/A,TRUE,"FP-Onsite";#N/A,#N/A,TRUE,"NB-Onsite";#N/A,#N/A,TRUE,"T&amp;M-Offshore";#N/A,#N/A,TRUE,"FP-Offshore";#N/A,#N/A,TRUE,"Appendix-A";#N/A,#N/A,TRUE,"Appendix-B"}</definedName>
    <definedName name="bgisheet" hidden="1">{#N/A,#N/A,TRUE,"Summary - 1";#N/A,#N/A,TRUE,"Summary - 2";#N/A,#N/A,TRUE,"Group Analysis";#N/A,#N/A,TRUE,"FM Analysis";#N/A,#N/A,TRUE,"T&amp;M-Onsite";#N/A,#N/A,TRUE,"FP-Onsite";#N/A,#N/A,TRUE,"NB-Onsite";#N/A,#N/A,TRUE,"T&amp;M-Offshore";#N/A,#N/A,TRUE,"FP-Offshore";#N/A,#N/A,TRUE,"Appendix-A";#N/A,#N/A,TRUE,"Appendix-B"}</definedName>
    <definedName name="BOP_RMR">'[13]Perf Score 2010'!$F$9</definedName>
    <definedName name="bs">#REF!</definedName>
    <definedName name="bsrcl">'[16]Client Info'!$B$9</definedName>
    <definedName name="Bud">#REF!</definedName>
    <definedName name="budget_month_bs">#REF!</definedName>
    <definedName name="BULK">#REF!</definedName>
    <definedName name="CA_Monitoring_Income">#REF!</definedName>
    <definedName name="capcase">#REF!</definedName>
    <definedName name="CAPITAL">#REF!</definedName>
    <definedName name="CAPITAL1">#REF!</definedName>
    <definedName name="Card">[5]MonthlyData!#REF!</definedName>
    <definedName name="Card___Badging">[5]MonthlyData!#REF!</definedName>
    <definedName name="case">'[17]GTCR Mini Model'!$F$4</definedName>
    <definedName name="Case1">[18]Inputs!$F$11</definedName>
    <definedName name="Case2">[18]Inputs!$F$13</definedName>
    <definedName name="Case3">[18]Inputs!$F$15</definedName>
    <definedName name="CASH">#REF!</definedName>
    <definedName name="CAT">#REF!</definedName>
    <definedName name="CCY">#REF!</definedName>
    <definedName name="cfy">'[16]Client Info'!$B$7</definedName>
    <definedName name="CHARGES">#REF!</definedName>
    <definedName name="CIQWBGuid" hidden="1">"86042940-4950-46e5-afde-60cf29ecb9ec"</definedName>
    <definedName name="circ">[14]Model!$E$35</definedName>
    <definedName name="CJG">#REF!</definedName>
    <definedName name="Client">'[16]Client Info'!$B$2</definedName>
    <definedName name="Code" hidden="1">#REF!</definedName>
    <definedName name="COGS___Commercial_Sales">#REF!</definedName>
    <definedName name="COGS___Industrial_Sales">#REF!</definedName>
    <definedName name="COGS___Lock_Income">#REF!</definedName>
    <definedName name="COGS___Residential_Sales">#REF!</definedName>
    <definedName name="COGS___Security_Card_Sales">#REF!</definedName>
    <definedName name="COGS___Service_Income">#REF!</definedName>
    <definedName name="COLASSETS">#REF!</definedName>
    <definedName name="COLCURRENT">#REF!</definedName>
    <definedName name="COLEQUITY">#REF!</definedName>
    <definedName name="COLFIX">#REF!</definedName>
    <definedName name="COLINDIRECT">#REF!</definedName>
    <definedName name="color">'[17]GTCR Mini Model'!$F$3</definedName>
    <definedName name="ColumnTitle1" localSheetId="22">PaymentSchedule3[[#Headers],[Payment Number]]</definedName>
    <definedName name="ColumnTitle1">#REF!</definedName>
    <definedName name="Commercial_Install">[5]MonthlyData!#REF!</definedName>
    <definedName name="Commercial_Sales">#REF!</definedName>
    <definedName name="COMPANY">'[19]Drop Down List'!$H$1</definedName>
    <definedName name="Comparables">OFFSET([20]SNA_Refs!$A$1,0,0,COUNTA([20]SNA_Refs!$A$1:$A$65536),7)</definedName>
    <definedName name="CoName">[14]Model!$E$17</definedName>
    <definedName name="CORRELATION">#REF!</definedName>
    <definedName name="COST">#REF!</definedName>
    <definedName name="Cost_of_Capital">'[13]Perf Score 2010'!$F$17</definedName>
    <definedName name="cum_interest">OFFSET([21]Amortization!$E$12,2,0,[21]Amortization!$D$6,1)</definedName>
    <definedName name="cum_principal">OFFSET([21]Amortization!$G$12,2,0,[21]Amortization!$D$6,1)</definedName>
    <definedName name="CumAct">#REF!</definedName>
    <definedName name="CumBud">#REF!</definedName>
    <definedName name="CumPrior">#REF!</definedName>
    <definedName name="CurMonth">[5]MonthlyData!$I$1</definedName>
    <definedName name="Curr_Mo">#REF!</definedName>
    <definedName name="Curr_Per">[22]Actual!$B$5</definedName>
    <definedName name="Currency">[23]Details!$B$9</definedName>
    <definedName name="Current">#REF!</definedName>
    <definedName name="Customer_Deposits__Credit">#REF!</definedName>
    <definedName name="Cwvu.GREY_ALL." hidden="1">#REF!</definedName>
    <definedName name="d"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DAKCase">'[24]DAK OpModel'!$C$5</definedName>
    <definedName name="Data">[25]Sheet2!$B$1:$H$5904</definedName>
    <definedName name="DATA_01" localSheetId="19" hidden="1">#REF!</definedName>
    <definedName name="DATA_01" localSheetId="3" hidden="1">#REF!</definedName>
    <definedName name="DATA_01" localSheetId="6" hidden="1">#REF!</definedName>
    <definedName name="DATA_01" hidden="1">#REF!</definedName>
    <definedName name="DATA_02" localSheetId="19" hidden="1">#REF!</definedName>
    <definedName name="DATA_02" localSheetId="3" hidden="1">#REF!</definedName>
    <definedName name="DATA_02" localSheetId="6" hidden="1">#REF!</definedName>
    <definedName name="DATA_02" hidden="1">#REF!</definedName>
    <definedName name="DATA_02SPS" localSheetId="3">#REF!</definedName>
    <definedName name="DATA_02SPS" localSheetId="9" hidden="1">#REF!</definedName>
    <definedName name="DATA_02SPS" localSheetId="11" hidden="1">#REF!</definedName>
    <definedName name="DATA_02SPS" localSheetId="12" hidden="1">#REF!</definedName>
    <definedName name="DATA_02SPS" localSheetId="8" hidden="1">#REF!</definedName>
    <definedName name="DATA_02SPS" localSheetId="10" hidden="1">#REF!</definedName>
    <definedName name="DATA_02SPS" localSheetId="23" hidden="1">#REF!</definedName>
    <definedName name="DATA_02SPS" hidden="1">#REF!</definedName>
    <definedName name="DATA_03" localSheetId="19" hidden="1">#REF!</definedName>
    <definedName name="DATA_03" localSheetId="3" hidden="1">#REF!</definedName>
    <definedName name="DATA_03" localSheetId="6" hidden="1">#REF!</definedName>
    <definedName name="DATA_03" hidden="1">#REF!</definedName>
    <definedName name="DATA_03SPS" localSheetId="3">#REF!</definedName>
    <definedName name="DATA_03SPS" localSheetId="23" hidden="1">#REF!</definedName>
    <definedName name="DATA_03SPS" hidden="1">#REF!</definedName>
    <definedName name="DATA_04" localSheetId="19" hidden="1">#REF!</definedName>
    <definedName name="DATA_04" localSheetId="3" hidden="1">#REF!</definedName>
    <definedName name="DATA_04" localSheetId="6" hidden="1">#REF!</definedName>
    <definedName name="DATA_04" hidden="1">#REF!</definedName>
    <definedName name="DATA_05" localSheetId="19" hidden="1">#REF!</definedName>
    <definedName name="DATA_05" localSheetId="3" hidden="1">#REF!</definedName>
    <definedName name="DATA_05" localSheetId="6" hidden="1">#REF!</definedName>
    <definedName name="DATA_05" hidden="1">#REF!</definedName>
    <definedName name="DATA_06" localSheetId="19" hidden="1">#REF!</definedName>
    <definedName name="DATA_06" localSheetId="3" hidden="1">#REF!</definedName>
    <definedName name="DATA_06" localSheetId="6" hidden="1">#REF!</definedName>
    <definedName name="DATA_06" hidden="1">#REF!</definedName>
    <definedName name="DATA_07" localSheetId="19" hidden="1">#REF!</definedName>
    <definedName name="DATA_07" localSheetId="3" hidden="1">#REF!</definedName>
    <definedName name="DATA_07" localSheetId="6" hidden="1">#REF!</definedName>
    <definedName name="DATA_07" hidden="1">#REF!</definedName>
    <definedName name="DATA_08" localSheetId="19" hidden="1">#REF!</definedName>
    <definedName name="DATA_08" localSheetId="3" hidden="1">#REF!</definedName>
    <definedName name="DATA_08" localSheetId="6" hidden="1">#REF!</definedName>
    <definedName name="DATA_08" hidden="1">#REF!</definedName>
    <definedName name="Data_check">#REF!</definedName>
    <definedName name="data1" hidden="1">#REF!</definedName>
    <definedName name="data2" hidden="1">#REF!</definedName>
    <definedName name="data3" hidden="1">#REF!</definedName>
    <definedName name="DataRange">#REF!</definedName>
    <definedName name="Date">#REF!</definedName>
    <definedName name="Days">[18]Inputs!$F$9</definedName>
    <definedName name="Dimple_Spacing">[26]Sheet2!$M$2</definedName>
    <definedName name="DISCOUNT">#REF!</definedName>
    <definedName name="Discounts_on_Sales">#REF!</definedName>
    <definedName name="display_area_2" hidden="1">#REF!</definedName>
    <definedName name="Division">[23]Details!$B$5</definedName>
    <definedName name="dkdkdk" hidden="1">{#N/A,#N/A,TRUE,"CIN-11";#N/A,#N/A,TRUE,"CIN-13";#N/A,#N/A,TRUE,"CIN-14";#N/A,#N/A,TRUE,"CIN-16";#N/A,#N/A,TRUE,"CIN-17";#N/A,#N/A,TRUE,"CIN-18";#N/A,#N/A,TRUE,"CIN Earnings To Fixed Charges";#N/A,#N/A,TRUE,"CIN Financial Ratios";#N/A,#N/A,TRUE,"CIN-IS";#N/A,#N/A,TRUE,"CIN-BS";#N/A,#N/A,TRUE,"CIN-CS";#N/A,#N/A,TRUE,"Invest In Unconsol Subs"}</definedName>
    <definedName name="DOWN_">#REF!</definedName>
    <definedName name="DOWN_1">#REF!</definedName>
    <definedName name="e" hidden="1">{#N/A,#N/A,FALSE,"WIRE-XXX";#N/A,#N/A,FALSE,"WIRE-COR";#N/A,#N/A,FALSE,"WIRE-SAT";#N/A,#N/A,FALSE,"WIRE-ATP";#N/A,#N/A,FALSE,"WIRE-DEN";#N/A,#N/A,FALSE,"WIRE-STV";#N/A,#N/A,FALSE,"WIRE-ATL";#N/A,#N/A,FALSE,"WIRE-CAR";#N/A,#N/A,FALSE,"WIRE-NVN";#N/A,#N/A,FALSE,"WIRE-RED";#N/A,#N/A,FALSE,"WIRE-SPE"}</definedName>
    <definedName name="EBIT_CCY">#REF!</definedName>
    <definedName name="EBIT_LCY">#REF!</definedName>
    <definedName name="EBIT_LTM">#REF!</definedName>
    <definedName name="EBIT_MM_H_LCY">#REF!</definedName>
    <definedName name="EBIT_MM_H_LTM">#REF!</definedName>
    <definedName name="EBIT_MM_H_NCY">#REF!</definedName>
    <definedName name="EBIT_MM_L_LCY">#REF!</definedName>
    <definedName name="EBIT_MM_L_LTM">#REF!</definedName>
    <definedName name="EBIT_MM_L_NCY">#REF!</definedName>
    <definedName name="EBIT_NCY">#REF!</definedName>
    <definedName name="EBIT_TM_H">#REF!</definedName>
    <definedName name="EBIT_TM_L">#REF!</definedName>
    <definedName name="EBITDA_CCY">#REF!</definedName>
    <definedName name="EBITDA_LCY">#REF!</definedName>
    <definedName name="EBITDA_LTM">#REF!</definedName>
    <definedName name="EBITDA_MM_H_LCY">#REF!</definedName>
    <definedName name="EBITDA_MM_H_LTM">#REF!</definedName>
    <definedName name="EBITDA_MM_H_NCY">#REF!</definedName>
    <definedName name="EBITDA_MM_L_LCY">#REF!</definedName>
    <definedName name="EBITDA_MM_L_LTM">#REF!</definedName>
    <definedName name="EBITDA_MM_L_NCY">#REF!</definedName>
    <definedName name="EBITDA_NCY">#REF!</definedName>
    <definedName name="EBITDA_TM_H">#REF!</definedName>
    <definedName name="EBITDA_TM_L">#REF!</definedName>
    <definedName name="ECODPR">#REF!</definedName>
    <definedName name="effodd" hidden="1">{"'Standalone List Price Trends'!$A$1:$X$56"}</definedName>
    <definedName name="End_Bal" localSheetId="22">PaymentSchedule3[Ending
Balance]</definedName>
    <definedName name="End_Bal">#REF!</definedName>
    <definedName name="End_RMR">'[13]Perf Score 2010'!$A$27:$IV$27</definedName>
    <definedName name="ENG_BI_CORE_LOCATION">"C:\Sage\Sage300\BX66A\"</definedName>
    <definedName name="ENG_BI_EXE_FULL_PATH">"C:\Sage\Sage300\BX66A\BICORE.EXE"</definedName>
    <definedName name="ENG_BI_EXE_NAME" hidden="1">"BICORE.EXE"</definedName>
    <definedName name="ENG_BI_EXEC_CMD_ARGS" hidden="1">"03304607806806909106907504104507303704607512708407308306508709109606708806907006606707607206807409312512707306708509308007306605313413009611212310611910211610507306609207808209007408306207107708708607613413009611212310611910211610507306607607408406908"</definedName>
    <definedName name="ENG_BI_EXEC_CMD_ARGS_2" hidden="1">"10800720650670760720680740911261231041131151101181011211010770750850870740830621190971291280951211211061181061171020730660840700830920960790860730620840710820690820580660550600490600510600550480580640490630680490610590600500520530630620540680600550590"</definedName>
    <definedName name="ENG_BI_EXEC_CMD_ARGS_3" hidden="1">"58050060057049063061053068059053063054056057063049060062059060056060049066060053059059054055050068058052059064050055053059053056049068056056049068051049054059054055057134132095116122099109109099080070078080074080068078062102115125127100112126107108109"</definedName>
    <definedName name="ENG_BI_EXEC_CMD_ARGS_4" hidden="1">"104066068071080069072068075091090080078062054130123099117117107117105103070068068084065071081079080086079085092070083066068069091069075134123083087069070086069072085065091072078083070050126"</definedName>
    <definedName name="ENG_BI_GEN_LIC" hidden="1">"0"</definedName>
    <definedName name="ENG_BI_GEN_LIC_WS" hidden="1">"True"</definedName>
    <definedName name="ENG_BI_LANG_CODE" hidden="1">"en"</definedName>
    <definedName name="ENG_BI_LBI" hidden="1">"IWPJTZOOF5"</definedName>
    <definedName name="ENG_BI_PROFILE_PATH" hidden="1">"C:\ProgramData\Alchemex\AlchemexSmartReporting\MetaData\MAS\Report Designer Add-In S300SQL 1-0\BICORE_profiler_20130121_173608.csv"</definedName>
    <definedName name="ENG_BI_REPOS_FILE" hidden="1">"\\cmserver\Network\Sage\Sage 300 ERP\BXDATA\SQL\alchemex.svd"</definedName>
    <definedName name="ENG_BI_REPOS_PATH" hidden="1">"\\cmserver\Network\Sage\Sage 300 ERP\BXDATA\SQL\"</definedName>
    <definedName name="ENG_BI_TLA" hidden="1">"212;250;83;159;30;9;213;28;37;76;30;243;19;260;123;113;17;94;47;255;122;224;72;141;189;98;114;213;41;73;237;218"</definedName>
    <definedName name="ENG_BI_TLA2" hidden="1">"251;143;33;6;107;116;27;77;136;188;163;74;45;229;172;78;248;189;12;153;251;17;97;205;204;160;34;119;148;135;217;15"</definedName>
    <definedName name="ENTER2">#REF!</definedName>
    <definedName name="ENTER85">#REF!</definedName>
    <definedName name="EnterpriseValue">#REF!</definedName>
    <definedName name="EnterpriseValue_USD">#REF!</definedName>
    <definedName name="EquityValue">#REF!</definedName>
    <definedName name="EquityValue_USD">#REF!</definedName>
    <definedName name="ERR">#REF!</definedName>
    <definedName name="ESS_Category">#REF!</definedName>
    <definedName name="ESS_Channel">#REF!</definedName>
    <definedName name="ESS_Market">#REF!</definedName>
    <definedName name="ESS_Type">#REF!</definedName>
    <definedName name="essbase12month" hidden="1">{"balsheet",#N/A,FALSE,"A"}</definedName>
    <definedName name="ev.Calculation" hidden="1">-4105</definedName>
    <definedName name="ev.Initialized" hidden="1">FALSE</definedName>
    <definedName name="EV__LASTREFTIME__" hidden="1">40310.3834143519</definedName>
    <definedName name="evdef">#REF!</definedName>
    <definedName name="ex_actual">#REF!</definedName>
    <definedName name="ex_budget">#REF!</definedName>
    <definedName name="ex_forecast">#REF!</definedName>
    <definedName name="ex_header">#REF!</definedName>
    <definedName name="ex_prior">#REF!</definedName>
    <definedName name="ex_prior2">#REF!</definedName>
    <definedName name="EXCESS">#REF!</definedName>
    <definedName name="EXCESS1">#REF!</definedName>
    <definedName name="EXCESSOP">#REF!</definedName>
    <definedName name="ExcessPurchPrice">'[14]Goodwill Calculation Schedule'!$C$16</definedName>
    <definedName name="EXCESSRATE">#REF!</definedName>
    <definedName name="_xlnm.Extract">#REF!</definedName>
    <definedName name="ExtraPayments" localSheetId="22">'PNC 2020 Equipment Loan'!$E$11</definedName>
    <definedName name="ExtraPayments">#REF!</definedName>
    <definedName name="FADJUSTRS1" hidden="1">"ENCODE_"</definedName>
    <definedName name="FAsales">#REF!</definedName>
    <definedName name="FCALCSEQUENCE" hidden="1">"ENCODE_KVKmbWiI"</definedName>
    <definedName name="FCHECKOUTBY" hidden="1">-5</definedName>
    <definedName name="FCLASSID" hidden="1">-1</definedName>
    <definedName name="FCLASSVERNUMBER" hidden="1">-1</definedName>
    <definedName name="FCode" hidden="1">#REF!</definedName>
    <definedName name="FCOMPANYID" hidden="1">4</definedName>
    <definedName name="FCURRENCYID" hidden="1">1</definedName>
    <definedName name="FCYCLEID" hidden="1">2</definedName>
    <definedName name="FDP_0_1_aUrv" hidden="1">#REF!</definedName>
    <definedName name="FDP_1_1_aUrv" hidden="1">#REF!</definedName>
    <definedName name="FDP_10_1_aDrv" hidden="1">#REF!</definedName>
    <definedName name="FDP_100_1_aUrv" hidden="1">#REF!</definedName>
    <definedName name="FDP_101_1_aUrv" hidden="1">#REF!</definedName>
    <definedName name="FDP_102_1_aUrv" hidden="1">#REF!</definedName>
    <definedName name="FDP_103_1_aUrv" hidden="1">#REF!</definedName>
    <definedName name="FDP_104_1_aUrv" hidden="1">#REF!</definedName>
    <definedName name="FDP_105_1_aUrv" hidden="1">#REF!</definedName>
    <definedName name="FDP_106_1_aUrv" hidden="1">#REF!</definedName>
    <definedName name="FDP_107_1_aUrv" hidden="1">#REF!</definedName>
    <definedName name="FDP_108_1_aUrv" hidden="1">#REF!</definedName>
    <definedName name="FDP_109_1_aUrv" hidden="1">#REF!</definedName>
    <definedName name="FDP_11_1_aDrv" hidden="1">#REF!</definedName>
    <definedName name="FDP_110_1_aU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16_1_aUrv" hidden="1">#REF!</definedName>
    <definedName name="FDP_117_1_aUrv" hidden="1">#REF!</definedName>
    <definedName name="FDP_118_1_aUrv" hidden="1">#REF!</definedName>
    <definedName name="FDP_119_1_aUrv" hidden="1">#REF!</definedName>
    <definedName name="FDP_12_1_aDrv" hidden="1">#REF!</definedName>
    <definedName name="FDP_120_1_aUrv" hidden="1">#REF!</definedName>
    <definedName name="FDP_121_1_aUrv" hidden="1">#REF!</definedName>
    <definedName name="FDP_122_1_aUrv" hidden="1">#REF!</definedName>
    <definedName name="FDP_123_1_aUrv" hidden="1">#REF!</definedName>
    <definedName name="FDP_124_1_aUrv" hidden="1">#REF!</definedName>
    <definedName name="FDP_125_1_aUrv" hidden="1">#REF!</definedName>
    <definedName name="FDP_126_1_aUrv" hidden="1">#REF!</definedName>
    <definedName name="FDP_127_1_aUrv" hidden="1">#REF!</definedName>
    <definedName name="FDP_128_1_aUrv" hidden="1">#REF!</definedName>
    <definedName name="FDP_129_1_aUrv" hidden="1">#REF!</definedName>
    <definedName name="FDP_13_1_aUrv" hidden="1">#REF!</definedName>
    <definedName name="FDP_130_1_aUrv" hidden="1">#REF!</definedName>
    <definedName name="FDP_131_1_aSrv" hidden="1">#REF!</definedName>
    <definedName name="FDP_132_1_aUrv" hidden="1">#REF!</definedName>
    <definedName name="FDP_133_1_aUrv" hidden="1">#REF!</definedName>
    <definedName name="FDP_134_1_aUrv" hidden="1">#REF!</definedName>
    <definedName name="FDP_135_1_aUrv" hidden="1">#REF!</definedName>
    <definedName name="FDP_136_1_aSrv" hidden="1">#REF!</definedName>
    <definedName name="FDP_137_1_aUrv" hidden="1">#REF!</definedName>
    <definedName name="FDP_138_1_aUrv" hidden="1">#REF!</definedName>
    <definedName name="FDP_139_1_aUrv" hidden="1">#REF!</definedName>
    <definedName name="FDP_14_1_aUrv" hidden="1">#REF!</definedName>
    <definedName name="FDP_140_1_aUrv" hidden="1">#REF!</definedName>
    <definedName name="FDP_141_1_aUrv" hidden="1">#REF!</definedName>
    <definedName name="FDP_142_1_aUrv" hidden="1">#REF!</definedName>
    <definedName name="FDP_143_1_aUrv" hidden="1">#REF!</definedName>
    <definedName name="FDP_144_1_aUrv" hidden="1">#REF!</definedName>
    <definedName name="FDP_145_1_aUrv" hidden="1">#REF!</definedName>
    <definedName name="FDP_146_1_aUrv" hidden="1">#REF!</definedName>
    <definedName name="FDP_147_1_aUrv" hidden="1">#REF!</definedName>
    <definedName name="FDP_148_1_aUrv" hidden="1">#REF!</definedName>
    <definedName name="FDP_149_1_aUrv" hidden="1">#REF!</definedName>
    <definedName name="FDP_15_1_aUrv" hidden="1">#REF!</definedName>
    <definedName name="FDP_150_1_aSrv" hidden="1">#REF!</definedName>
    <definedName name="FDP_151_1_aUrv" hidden="1">#REF!</definedName>
    <definedName name="FDP_152_1_aSrv" hidden="1">#REF!</definedName>
    <definedName name="FDP_153_1_aUrv" hidden="1">#REF!</definedName>
    <definedName name="FDP_154_1_aSrv" hidden="1">#REF!</definedName>
    <definedName name="FDP_155_1_aUrv" hidden="1">#REF!</definedName>
    <definedName name="FDP_156_1_aSrv" hidden="1">#REF!</definedName>
    <definedName name="FDP_157_1_aUrv" hidden="1">#REF!</definedName>
    <definedName name="FDP_158_1_aSrv" hidden="1">#REF!</definedName>
    <definedName name="FDP_158_1_aUrv" hidden="1">#REF!</definedName>
    <definedName name="FDP_159_1_aUrv" hidden="1">#REF!</definedName>
    <definedName name="FDP_16_1_aUrv" hidden="1">#REF!</definedName>
    <definedName name="FDP_160_1_aSrv" hidden="1">#REF!</definedName>
    <definedName name="FDP_160_1_aUrv" hidden="1">#REF!</definedName>
    <definedName name="FDP_161_1_aDrv" hidden="1">#REF!</definedName>
    <definedName name="FDP_161_1_aUrv" hidden="1">#REF!</definedName>
    <definedName name="FDP_162_1_aDrv" hidden="1">#REF!</definedName>
    <definedName name="FDP_163_1_aDrv" hidden="1">#REF!</definedName>
    <definedName name="FDP_164_1_aDrv" hidden="1">#REF!</definedName>
    <definedName name="FDP_165_1_aDrv" hidden="1">#REF!</definedName>
    <definedName name="FDP_166_1_aDrv" hidden="1">#REF!</definedName>
    <definedName name="FDP_166_1_aUrv" hidden="1">#REF!</definedName>
    <definedName name="FDP_167_1_aDrv" hidden="1">#REF!</definedName>
    <definedName name="FDP_167_1_aUrv" hidden="1">#REF!</definedName>
    <definedName name="FDP_168_1_aDrv" hidden="1">#REF!</definedName>
    <definedName name="FDP_168_1_aUrv" hidden="1">#REF!</definedName>
    <definedName name="FDP_169_1_aDrv" hidden="1">#REF!</definedName>
    <definedName name="FDP_17_1_aUrv" hidden="1">#REF!</definedName>
    <definedName name="FDP_170_1_aDrv" hidden="1">#REF!</definedName>
    <definedName name="FDP_170_1_aUrv" hidden="1">#REF!</definedName>
    <definedName name="FDP_171_1_aDrv" hidden="1">#REF!</definedName>
    <definedName name="FDP_171_1_aUrv" hidden="1">#REF!</definedName>
    <definedName name="FDP_172_1_aDrv" hidden="1">#REF!</definedName>
    <definedName name="FDP_172_1_aUrv" hidden="1">#REF!</definedName>
    <definedName name="FDP_173_1_aDrv" hidden="1">#REF!</definedName>
    <definedName name="FDP_173_1_aUrv" hidden="1">#REF!</definedName>
    <definedName name="FDP_174_1_aDrv" hidden="1">#REF!</definedName>
    <definedName name="FDP_174_1_aUrv" hidden="1">#REF!</definedName>
    <definedName name="FDP_175_1_aUrv" hidden="1">#REF!</definedName>
    <definedName name="FDP_176_1_aUrv" hidden="1">#REF!</definedName>
    <definedName name="FDP_177_1_aUrv" hidden="1">#REF!</definedName>
    <definedName name="FDP_178_1_aUrv" hidden="1">#REF!</definedName>
    <definedName name="FDP_179_1_aUrv" hidden="1">#REF!</definedName>
    <definedName name="FDP_18_1_aUrv" hidden="1">#REF!</definedName>
    <definedName name="FDP_180_1_aUdv" hidden="1">#REF!</definedName>
    <definedName name="FDP_180_1_aUrv" hidden="1">#REF!</definedName>
    <definedName name="FDP_181_1_aUdv" hidden="1">#REF!</definedName>
    <definedName name="FDP_181_1_aUrv" hidden="1">#REF!</definedName>
    <definedName name="FDP_182_1_aUdv" hidden="1">#REF!</definedName>
    <definedName name="FDP_183_1_aUdv" hidden="1">#REF!</definedName>
    <definedName name="FDP_184_1_aUdv" hidden="1">#REF!</definedName>
    <definedName name="FDP_185_1_aUdv" hidden="1">#REF!</definedName>
    <definedName name="FDP_186_1_aUdv" hidden="1">#REF!</definedName>
    <definedName name="FDP_187_1_aUdv" hidden="1">#REF!</definedName>
    <definedName name="FDP_188_1_aUdv" hidden="1">#REF!</definedName>
    <definedName name="FDP_189_1_aUdv" hidden="1">#REF!</definedName>
    <definedName name="FDP_19_1_aUrv" hidden="1">#REF!</definedName>
    <definedName name="FDP_190_1_aUdv" hidden="1">#REF!</definedName>
    <definedName name="FDP_191_1_aUdv" hidden="1">#REF!</definedName>
    <definedName name="FDP_192_1_aUdv" hidden="1">#REF!</definedName>
    <definedName name="FDP_193_1_aUdv" hidden="1">#REF!</definedName>
    <definedName name="FDP_194_1_aUdv" hidden="1">#REF!</definedName>
    <definedName name="FDP_195_1_aUdv" hidden="1">#REF!</definedName>
    <definedName name="FDP_196_1_aUdv" hidden="1">#REF!</definedName>
    <definedName name="FDP_196_1aUdv1" hidden="1">#REF!</definedName>
    <definedName name="FDP_197_1_aUdv" hidden="1">#REF!</definedName>
    <definedName name="FDP_198_1_aUdv" hidden="1">#REF!</definedName>
    <definedName name="FDP_199_1_aUdv" hidden="1">#REF!</definedName>
    <definedName name="FDP_2_1_aUrv" hidden="1">#REF!</definedName>
    <definedName name="FDP_20_1_aUrv" hidden="1">#REF!</definedName>
    <definedName name="FDP_21_1_aUrv" hidden="1">#REF!</definedName>
    <definedName name="FDP_22_1_aUrv" hidden="1">#REF!</definedName>
    <definedName name="FDP_23_1_aDrv" hidden="1">#REF!</definedName>
    <definedName name="FDP_23_1_aUrv" hidden="1">#REF!</definedName>
    <definedName name="FDP_24_1_aUrv" hidden="1">#REF!</definedName>
    <definedName name="FDP_25_1_aUrv" hidden="1">#REF!</definedName>
    <definedName name="FDP_26_1_aUrv" hidden="1">#REF!</definedName>
    <definedName name="FDP_27_1_aUrv" hidden="1">#REF!</definedName>
    <definedName name="FDP_28_1_aUrv" hidden="1">#REF!</definedName>
    <definedName name="FDP_29_1_aDrv" hidden="1">#REF!</definedName>
    <definedName name="FDP_29_1_aUrv" hidden="1">#REF!</definedName>
    <definedName name="FDP_3_1_aUrv" hidden="1">#REF!</definedName>
    <definedName name="FDP_30_1_aDrv" hidden="1">#REF!</definedName>
    <definedName name="FDP_30_1_aUrv" hidden="1">#REF!</definedName>
    <definedName name="FDP_31_1_aDrv" hidden="1">#REF!</definedName>
    <definedName name="FDP_31_1_aUrv" hidden="1">#REF!</definedName>
    <definedName name="FDP_32_1_aUrv" hidden="1">#REF!</definedName>
    <definedName name="FDP_33_1_aUrv" hidden="1">#REF!</definedName>
    <definedName name="FDP_34_1_aUrv" hidden="1">#REF!</definedName>
    <definedName name="FDP_35_1_aSrv" hidden="1">#REF!</definedName>
    <definedName name="FDP_35_1_aUrv" hidden="1">#REF!</definedName>
    <definedName name="FDP_36_1_aUrv" hidden="1">#REF!</definedName>
    <definedName name="FDP_37_1_aUrv" hidden="1">#REF!</definedName>
    <definedName name="FDP_38_1_aUrv" hidden="1">#REF!</definedName>
    <definedName name="FDP_39_1_aUrv" hidden="1">#REF!</definedName>
    <definedName name="FDP_4_1_aUrv" hidden="1">#REF!</definedName>
    <definedName name="FDP_40_1_aUrv" hidden="1">#REF!</definedName>
    <definedName name="FDP_41_1_aSrv" hidden="1">#REF!</definedName>
    <definedName name="FDP_42_1_aDrv" hidden="1">#REF!</definedName>
    <definedName name="FDP_42_1_aSrv" hidden="1">#REF!</definedName>
    <definedName name="FDP_43_1_aDrv" hidden="1">#REF!</definedName>
    <definedName name="FDP_43_1_aUrv" hidden="1">#REF!</definedName>
    <definedName name="FDP_44_1_aDrv" hidden="1">#REF!</definedName>
    <definedName name="FDP_44_1_aUrv" hidden="1">#REF!</definedName>
    <definedName name="FDP_45_1_aDrv" hidden="1">#REF!</definedName>
    <definedName name="FDP_45_1_aUrv" hidden="1">#REF!</definedName>
    <definedName name="FDP_46_1_aDrv" hidden="1">#REF!</definedName>
    <definedName name="FDP_46_1_aUrv" hidden="1">#REF!</definedName>
    <definedName name="FDP_47_1_aDrv" hidden="1">#REF!</definedName>
    <definedName name="FDP_47_1_aUrv" hidden="1">#REF!</definedName>
    <definedName name="FDP_48_1_aDrv" hidden="1">#REF!</definedName>
    <definedName name="FDP_48_1_aSrv" hidden="1">#REF!</definedName>
    <definedName name="FDP_49_1_aDrv" hidden="1">#REF!</definedName>
    <definedName name="FDP_49_1_aUrv" hidden="1">#REF!</definedName>
    <definedName name="FDP_5_1_aUrv" hidden="1">#REF!</definedName>
    <definedName name="FDP_50_1_aDrv" hidden="1">#REF!</definedName>
    <definedName name="FDP_50_1_aUrv" hidden="1">#REF!</definedName>
    <definedName name="FDP_51_1_aDrv" hidden="1">#REF!</definedName>
    <definedName name="FDP_51_1_aUrv" hidden="1">#REF!</definedName>
    <definedName name="FDP_52_1_aDrv" hidden="1">#REF!</definedName>
    <definedName name="FDP_52_1_aUrv" hidden="1">#REF!</definedName>
    <definedName name="FDP_53_1_aDrv" hidden="1">#REF!</definedName>
    <definedName name="FDP_53_1_aUrv" hidden="1">#REF!</definedName>
    <definedName name="FDP_54_1_aUrv" hidden="1">#REF!</definedName>
    <definedName name="FDP_55_1_aUrv" hidden="1">#REF!</definedName>
    <definedName name="FDP_56_1_aUrv" hidden="1">#REF!</definedName>
    <definedName name="FDP_57_1_aUrv" hidden="1">#REF!</definedName>
    <definedName name="FDP_58_1_aUrv" hidden="1">#REF!</definedName>
    <definedName name="FDP_59_1_aUrv" hidden="1">#REF!</definedName>
    <definedName name="FDP_6_1_aUrv" hidden="1">#REF!</definedName>
    <definedName name="FDP_60_1_aUrv" hidden="1">#REF!</definedName>
    <definedName name="FDP_61_1_aSrv" hidden="1">#REF!</definedName>
    <definedName name="FDP_61_1_aUrv" hidden="1">#REF!</definedName>
    <definedName name="FDP_62_1_aSrv" hidden="1">#REF!</definedName>
    <definedName name="FDP_62_1_aUrv" hidden="1">#REF!</definedName>
    <definedName name="FDP_63_1_aUrv" hidden="1">#REF!</definedName>
    <definedName name="FDP_64_1_aSrv" hidden="1">#REF!</definedName>
    <definedName name="FDP_64_1_aUrv" hidden="1">#REF!</definedName>
    <definedName name="FDP_65_1_aSrv" hidden="1">#REF!</definedName>
    <definedName name="FDP_65_1_aUrv" hidden="1">#REF!</definedName>
    <definedName name="FDP_66_1_aUrv" hidden="1">#REF!</definedName>
    <definedName name="FDP_67_1_aUrv" hidden="1">#REF!</definedName>
    <definedName name="FDP_68_1_aUrv" hidden="1">#REF!</definedName>
    <definedName name="FDP_69_1_aUrv" hidden="1">#REF!</definedName>
    <definedName name="FDP_7_1_aUrv" hidden="1">#REF!</definedName>
    <definedName name="FDP_70_1_aDrv" hidden="1">#REF!</definedName>
    <definedName name="FDP_70_1_aUrv" hidden="1">#REF!</definedName>
    <definedName name="FDP_71_1_aUrv" hidden="1">#REF!</definedName>
    <definedName name="FDP_72_1_aDrv" hidden="1">#REF!</definedName>
    <definedName name="FDP_72_1_aUrv" hidden="1">#REF!</definedName>
    <definedName name="FDP_73_1_aUrv" hidden="1">#REF!</definedName>
    <definedName name="FDP_74_1_aDdv" hidden="1">#REF!</definedName>
    <definedName name="FDP_74_1_aUrv" hidden="1">#REF!</definedName>
    <definedName name="FDP_75_1_aSrv" hidden="1">#REF!</definedName>
    <definedName name="FDP_75_1_aUrv" hidden="1">#REF!</definedName>
    <definedName name="FDP_76_1_aUrv" hidden="1">#REF!</definedName>
    <definedName name="FDP_77_1_aUrv" hidden="1">#REF!</definedName>
    <definedName name="FDP_78_1_aUrv" hidden="1">#REF!</definedName>
    <definedName name="FDP_79_1_aUrv" hidden="1">#REF!</definedName>
    <definedName name="FDP_8_1_aDrv" hidden="1">#REF!</definedName>
    <definedName name="FDP_80_1_aUrv" hidden="1">#REF!</definedName>
    <definedName name="FDP_81_1_aSrv" hidden="1">#REF!</definedName>
    <definedName name="FDP_82_1_aUrv" hidden="1">#REF!</definedName>
    <definedName name="FDP_83_1_aSrv" hidden="1">#REF!</definedName>
    <definedName name="FDP_84_1_aUrv" hidden="1">#REF!</definedName>
    <definedName name="FDP_85_1_aUrv" hidden="1">#REF!</definedName>
    <definedName name="FDP_86_1_aUrv" hidden="1">#REF!</definedName>
    <definedName name="FDP_87_1_aSrv" hidden="1">#REF!</definedName>
    <definedName name="FDP_87_1_aUrv" hidden="1">#REF!</definedName>
    <definedName name="FDP_87_1_rUrv" hidden="1">#REF!</definedName>
    <definedName name="FDP_88_1_aUrv" hidden="1">#REF!</definedName>
    <definedName name="FDP_89_1_aSrv" hidden="1">#REF!</definedName>
    <definedName name="FDP_89_1_aUrv" hidden="1">#REF!</definedName>
    <definedName name="FDP_9_1_aDrv" hidden="1">#REF!</definedName>
    <definedName name="FDP_90_1_aUrv" hidden="1">#REF!</definedName>
    <definedName name="FDP_91_1_aUrv" hidden="1">#REF!</definedName>
    <definedName name="FDP_92_1_aSrv" hidden="1">#REF!</definedName>
    <definedName name="FDP_93_1_aDrv" hidden="1">#REF!</definedName>
    <definedName name="FDP_94_1_aUrv" hidden="1">#REF!</definedName>
    <definedName name="FDP_95_1_aUrv" hidden="1">#REF!</definedName>
    <definedName name="FDP_96_1_aUrv" hidden="1">#REF!</definedName>
    <definedName name="FDP_97_1_aUrv" hidden="1">#REF!</definedName>
    <definedName name="FDP_98_1_aUrv" hidden="1">#REF!</definedName>
    <definedName name="FDP_99_1_aUrv" hidden="1">#REF!</definedName>
    <definedName name="fdsa" hidden="1">{"'Standalone List Price Trends'!$A$1:$X$56"}</definedName>
    <definedName name="fffffffffff" hidden="1">{"'Standalone List Price Trends'!$A$1:$X$56"}</definedName>
    <definedName name="FG" hidden="1">{#N/A,#N/A,FALSE,"New Depr Sch-150% DB";#N/A,#N/A,FALSE,"Cash Flows RLP";#N/A,#N/A,FALSE,"IRR";#N/A,#N/A,FALSE,"Proforma IS";#N/A,#N/A,FALSE,"Assumptions"}</definedName>
    <definedName name="FGROUPID" hidden="1">"ENCODE_ewAyADAAMgA3AEMAMQBEADMALQBFADYARABGAC0ANAA5ADcAMgAtAEEAQwA2AEMALQA0ADcAOAAyADUARQA0ADMANgA3ADcAQgB9AA=="</definedName>
    <definedName name="fhy">'[16]Client Info'!$B$8</definedName>
    <definedName name="file">'[27]Fin.Pos.'!#REF!</definedName>
    <definedName name="FILENAME">#REF!</definedName>
    <definedName name="fin_year">[23]Details!$G$53</definedName>
    <definedName name="FINANCIALS">#REF!</definedName>
    <definedName name="finunits">#REF!</definedName>
    <definedName name="FISACCEPTED" hidden="1">0</definedName>
    <definedName name="FISAUDIT" hidden="1">1</definedName>
    <definedName name="FISCHANGED" hidden="1">0</definedName>
    <definedName name="FISCHECKED" hidden="1">0</definedName>
    <definedName name="FISHOLDEN" hidden="1">0</definedName>
    <definedName name="FISSUBMITED" hidden="1">0</definedName>
    <definedName name="FMVASSETS">#REF!</definedName>
    <definedName name="FMVCURRENT">#REF!</definedName>
    <definedName name="FMVEQUITY">#REF!</definedName>
    <definedName name="FMVFIX">#REF!</definedName>
    <definedName name="FMVINDIRECT">#REF!</definedName>
    <definedName name="FMVLAND">#REF!</definedName>
    <definedName name="FMVLTD">#REF!</definedName>
    <definedName name="FMVOPINION">#REF!</definedName>
    <definedName name="FORE">#REF!</definedName>
    <definedName name="FORE1">#REF!</definedName>
    <definedName name="FOREA">#REF!</definedName>
    <definedName name="FOREB">#REF!</definedName>
    <definedName name="FP" hidden="1">{#N/A,#N/A,TRUE,"Summary - 1";#N/A,#N/A,TRUE,"Summary - 2";#N/A,#N/A,TRUE,"Group Analysis";#N/A,#N/A,TRUE,"FM Analysis";#N/A,#N/A,TRUE,"T&amp;M-Onsite";#N/A,#N/A,TRUE,"FP-Onsite";#N/A,#N/A,TRUE,"NB-Onsite";#N/A,#N/A,TRUE,"T&amp;M-Offshore";#N/A,#N/A,TRUE,"FP-Offshore";#N/A,#N/A,TRUE,"Appendix-A";#N/A,#N/A,TRUE,"Appendix-B"}</definedName>
    <definedName name="FPERIOD" hidden="1">1</definedName>
    <definedName name="Free_Cash_Flow">'[13]Perf Score 2010'!$A$51:$IV$51</definedName>
    <definedName name="FRPTFRAMEWORKID" hidden="1">2</definedName>
    <definedName name="FSA007a">[10]FSA004!$A$1</definedName>
    <definedName name="FSEQUENCE" hidden="1">-1</definedName>
    <definedName name="FSG">[15]Detail!$D$12:$K$20</definedName>
    <definedName name="full_year_lqa">'[28]East MRB'!#REF!</definedName>
    <definedName name="full_year_lqa_summary">#REF!</definedName>
    <definedName name="FUTURE">#REF!</definedName>
    <definedName name="FUTURE1">#REF!</definedName>
    <definedName name="FUTURE2">#REF!</definedName>
    <definedName name="FUTURERATE">#REF!</definedName>
    <definedName name="FX_LTM">'[29]GUNN - Graph'!$J$29</definedName>
    <definedName name="FXeight">'[29]GUNN - Graph'!$F$29</definedName>
    <definedName name="FXeleven">'[29]GUNN - Graph'!$L$29</definedName>
    <definedName name="FXnine">'[29]GUNN - Graph'!$D$29</definedName>
    <definedName name="FXseven">'[29]GUNN - Graph'!$H$29</definedName>
    <definedName name="FXtwelve">'[29]GUNN - Graph'!$N$29</definedName>
    <definedName name="FY">#REF!</definedName>
    <definedName name="FY14_Alms_Svc_Pct">#REF!</definedName>
    <definedName name="fy14_service">#REF!</definedName>
    <definedName name="FY14_Svc_Pct">#REF!</definedName>
    <definedName name="FY15_Alms_Svc_Pct">#REF!</definedName>
    <definedName name="fy15_service">#REF!</definedName>
    <definedName name="FY15_Svc_Pct">#REF!</definedName>
    <definedName name="FY16_Alms_Svc_Pct">#REF!</definedName>
    <definedName name="fy16_service">#REF!</definedName>
    <definedName name="FY16_Svc_Pct">#REF!</definedName>
    <definedName name="fye">'[16]Client Info'!$B$5</definedName>
    <definedName name="FYEAR" hidden="1">2007</definedName>
    <definedName name="gage">'[26]Table of Tables'!$A$2:$A$8</definedName>
    <definedName name="GCOL1">#REF!</definedName>
    <definedName name="GCOL10">#REF!</definedName>
    <definedName name="GCOL2">#REF!</definedName>
    <definedName name="GCOL3">#REF!</definedName>
    <definedName name="GCOL4">#REF!</definedName>
    <definedName name="GCOL5">#REF!</definedName>
    <definedName name="GCOL6">#REF!</definedName>
    <definedName name="GCOL7">#REF!</definedName>
    <definedName name="GCOL8">#REF!</definedName>
    <definedName name="GCOL9">#REF!</definedName>
    <definedName name="genco" hidden="1">{#N/A,#N/A,TRUE,"CIN-11";#N/A,#N/A,TRUE,"CIN-13";#N/A,#N/A,TRUE,"CIN-14";#N/A,#N/A,TRUE,"CIN-16";#N/A,#N/A,TRUE,"CIN-17";#N/A,#N/A,TRUE,"CIN-18";#N/A,#N/A,TRUE,"CIN Earnings To Fixed Charges";#N/A,#N/A,TRUE,"CIN Financial Ratios";#N/A,#N/A,TRUE,"CIN-IS";#N/A,#N/A,TRUE,"CIN-BS";#N/A,#N/A,TRUE,"CIN-CS";#N/A,#N/A,TRUE,"Invest In Unconsol Subs"}</definedName>
    <definedName name="GL_001">"GL Transactions||AE-SQL-GL05-3-0||1;Param_Year;SelectedPeriod||ActiveSheet||1"</definedName>
    <definedName name="GL_Cat_Code">[30]Lookup!$O:$O</definedName>
    <definedName name="Graphs_input">#REF!</definedName>
    <definedName name="GRAPHTABLE1">#REF!</definedName>
    <definedName name="GRAPHTABLE2">#REF!</definedName>
    <definedName name="GRAPHTABLE2A">#REF!</definedName>
    <definedName name="GRAPHTABLE3">#REF!</definedName>
    <definedName name="grg">#REF!</definedName>
    <definedName name="Gross_RMR">[5]MonthlyData!$A$3:$IV$3</definedName>
    <definedName name="h" hidden="1">{"'Standalone List Price Trends'!$A$1:$X$56"}</definedName>
    <definedName name="head_gage">[26]Sheet2!$B$5</definedName>
    <definedName name="Header2">[18]Inputs!$N$5</definedName>
    <definedName name="HeaderRange">#REF!</definedName>
    <definedName name="Heat_Treat">#REF!</definedName>
    <definedName name="HiddenRows" hidden="1">#REF!</definedName>
    <definedName name="HIDE2">#REF!</definedName>
    <definedName name="HISTORICAL_">#REF!</definedName>
    <definedName name="HISTORICALVIEW1">#REF!</definedName>
    <definedName name="HISTORICALVIEW2">#REF!</definedName>
    <definedName name="hn.ExtDb" hidden="1">FALSE</definedName>
    <definedName name="hn.ModelType" hidden="1">"DEAL"</definedName>
    <definedName name="hn.ModelVersion" hidden="1">1</definedName>
    <definedName name="hn.NoUpload" hidden="1">0</definedName>
    <definedName name="hn.RolledForward" hidden="1">FALSE</definedName>
    <definedName name="hr_dimple">[26]Sheet2!$M$3</definedName>
    <definedName name="HTML_CodePage" hidden="1">1252</definedName>
    <definedName name="HTML_Control" hidden="1">{"'nExecSum1'!$H$9"}</definedName>
    <definedName name="HTML_Description" hidden="1">""</definedName>
    <definedName name="HTML_Email" hidden="1">""</definedName>
    <definedName name="HTML_Header" hidden="1">"nExecSum1"</definedName>
    <definedName name="HTML_LastUpdate" hidden="1">"4/20/2000"</definedName>
    <definedName name="HTML_LineAfter" hidden="1">FALSE</definedName>
    <definedName name="HTML_LineBefore" hidden="1">FALSE</definedName>
    <definedName name="HTML_Name" hidden="1">"Annie Wang"</definedName>
    <definedName name="HTML_OBDlg2" hidden="1">TRUE</definedName>
    <definedName name="HTML_OBDlg4" hidden="1">TRUE</definedName>
    <definedName name="HTML_OS" hidden="1">0</definedName>
    <definedName name="HTML_PathFile" hidden="1">"C:\WINDOWS\Desktop\MyHTML.htm"</definedName>
    <definedName name="HTML_PathFileMac" hidden="1">"Macintosh HD:Web Site “~adamodar”:pc:datasets:MyHTML.html"</definedName>
    <definedName name="HTML_Title" hidden="1">"Mar-00"</definedName>
    <definedName name="HTML1_1" hidden="1">"'[CHARTBK.XLS]OH Summary'!$A$10:$I$34"</definedName>
    <definedName name="HTML1_10" hidden="1">""</definedName>
    <definedName name="HTML1_11" hidden="1">1</definedName>
    <definedName name="HTML1_12" hidden="1">"C:\EXCELDTA\OEL\FY97 Expense Actuals\MyHTML.htm"</definedName>
    <definedName name="HTML1_2" hidden="1">1</definedName>
    <definedName name="HTML1_3" hidden="1">"CHARTBK"</definedName>
    <definedName name="HTML1_4" hidden="1">"OH Summary"</definedName>
    <definedName name="HTML1_5" hidden="1">""</definedName>
    <definedName name="HTML1_6" hidden="1">-4146</definedName>
    <definedName name="HTML1_7" hidden="1">-4146</definedName>
    <definedName name="HTML1_8" hidden="1">"12/11/96"</definedName>
    <definedName name="HTML1_9" hidden="1">"Fred Comolli"</definedName>
    <definedName name="HTMLCount" hidden="1">1</definedName>
    <definedName name="HUh" hidden="1">{"'Standalone List Price Trends'!$A$1:$X$56"}</definedName>
    <definedName name="ii" hidden="1">#REF!</definedName>
    <definedName name="INC">#REF!</definedName>
    <definedName name="INCA">#REF!</definedName>
    <definedName name="INCNOTES">#REF!</definedName>
    <definedName name="INCOME">#REF!</definedName>
    <definedName name="INCPERCENTS">#REF!</definedName>
    <definedName name="INCSTATEMENT">#REF!</definedName>
    <definedName name="Industrial_Sales">#REF!</definedName>
    <definedName name="INFO_BI_EXE_NAME" hidden="1">"BICORE.EXE"</definedName>
    <definedName name="INFO_EXE_SERVER_PATH" hidden="1">"C:\Sage\Sage300\BX66A\BICORE.EXE"</definedName>
    <definedName name="INFO_INSTANCE_ID" hidden="1">"0"</definedName>
    <definedName name="INFO_INSTANCE_NAME" hidden="1">"Craftmaster Financial Reports Package 2019NEW_20210119_09_08_04_088.xls"</definedName>
    <definedName name="INFO_REPORT_CODE" hidden="1">"S300-SQL-AI01-1-0"</definedName>
    <definedName name="INFO_REPORT_ID" hidden="1">"12"</definedName>
    <definedName name="INFO_REPORT_NAME" hidden="1">"Craftmaster Financial Reports Package 2019NEW"</definedName>
    <definedName name="INFO_RUN_USER" hidden="1">""</definedName>
    <definedName name="INFO_RUN_WORKSTATION" hidden="1">"CMREMOTE1"</definedName>
    <definedName name="INP_10">#REF!</definedName>
    <definedName name="INP_10e">#REF!</definedName>
    <definedName name="INP_11">#REF!</definedName>
    <definedName name="INP_12">#REF!</definedName>
    <definedName name="INP_13">#REF!</definedName>
    <definedName name="INP_14">#REF!</definedName>
    <definedName name="INP_15">#REF!</definedName>
    <definedName name="INP_16">#REF!</definedName>
    <definedName name="INP_17">#REF!</definedName>
    <definedName name="INP_18">#REF!</definedName>
    <definedName name="INP_19">#REF!</definedName>
    <definedName name="INP_20">#REF!</definedName>
    <definedName name="INP_8a">#REF!</definedName>
    <definedName name="INP_8b">#REF!</definedName>
    <definedName name="Install_to_Recurring_Ratio">'[13]Perf Score 2010'!$F$15</definedName>
    <definedName name="Installation_Labor___Alarm_Div.">#REF!</definedName>
    <definedName name="Installation_Labor___Lock_Div.">#REF!</definedName>
    <definedName name="InterestRate" localSheetId="22">'PNC 2020 Equipment Loan'!$E$6</definedName>
    <definedName name="InterestRate">#REF!</definedName>
    <definedName name="INTERVIEW">#REF!</definedName>
    <definedName name="IntroPrintArea" localSheetId="19" hidden="1">#REF!</definedName>
    <definedName name="IntroPrintArea" localSheetId="3" hidden="1">#REF!</definedName>
    <definedName name="IntroPrintArea" localSheetId="6" hidden="1">#REF!</definedName>
    <definedName name="IntroPrintArea" hidden="1">#REF!</definedName>
    <definedName name="ip" hidden="1">{"'Standalone List Price Trends'!$A$1:$X$56"}</definedName>
    <definedName name="ipcc" hidden="1">{"'Standalone List Price Trends'!$A$1:$X$56"}</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USTABLE_RATE_LOANS_FDIC" hidden="1">"c6375"</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"c1349"</definedName>
    <definedName name="IQ_BV_SHARE" hidden="1">"c100"</definedName>
    <definedName name="IQ_BV_STDDEV_EST_REUT" hidden="1">"c5408"</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IVIDENDS_NET_INCOME_FDIC" hidden="1">"c6738"</definedName>
    <definedName name="IQ_CASH_DUE_BANKS" hidden="1">"c1351"</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CE_FDIC" hidden="1">"c6296"</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WORKING_CAPITAL" hidden="1">"c1909"</definedName>
    <definedName name="IQ_CHANGE_OTHER_NET_OPER_ASSETS_BR" hidden="1">"c3595"</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COVERAGE_NET_CHARGE_OFFS_FDIC" hidden="1">"c6735"</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 hidden="1">"IQ_EPS"</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STDDEV_EST" hidden="1">"c403"</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REUT" hidden="1">"c5409"</definedName>
    <definedName name="IQ_EST_ACT_EPS" hidden="1">"c1648"</definedName>
    <definedName name="IQ_EST_ACT_EPS_PRIMARY" hidden="1">"c2232"</definedName>
    <definedName name="IQ_EST_ACT_FFO_REUT" hidden="1">"c3843"</definedName>
    <definedName name="IQ_EST_ACT_FFO_SHARE_SHARE_REUT" hidden="1">"c3843"</definedName>
    <definedName name="IQ_EST_BV_DIFF_REUT" hidden="1">"c5433"</definedName>
    <definedName name="IQ_EST_BV_SURPRISE_PERCENT_REUT" hidden="1">"c5434"</definedName>
    <definedName name="IQ_EST_CURRENCY" hidden="1">"c2140"</definedName>
    <definedName name="IQ_EST_DATE" hidden="1">"c1634"</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SURPRISE" hidden="1">"c1635"</definedName>
    <definedName name="IQ_EST_FFO_DIFF_REUT" hidden="1">"c3890"</definedName>
    <definedName name="IQ_EST_FFO_SHARE_SHARE_DIFF_REUT" hidden="1">"c3890"</definedName>
    <definedName name="IQ_EST_FFO_SHARE_SHARE_SURPRISE_PERCENT_REUT" hidden="1">"c3891"</definedName>
    <definedName name="IQ_EST_FFO_SURPRISE_PERCENT_REUT" hidden="1">"c3891"</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REUT" hidden="1">"c3837"</definedName>
    <definedName name="IQ_FFO_HIGH_EST" hidden="1">"c419"</definedName>
    <definedName name="IQ_FFO_HIGH_EST_CIQ" hidden="1">"c3670"</definedName>
    <definedName name="IQ_FFO_HIGH_EST_REUT" hidden="1">"c3839"</definedName>
    <definedName name="IQ_FFO_LOW_EST" hidden="1">"c420"</definedName>
    <definedName name="IQ_FFO_LOW_EST_CIQ" hidden="1">"c3671"</definedName>
    <definedName name="IQ_FFO_LOW_EST_REUT" hidden="1">"c3840"</definedName>
    <definedName name="IQ_FFO_MEDIAN_EST_CIQ" hidden="1">"c3669"</definedName>
    <definedName name="IQ_FFO_MEDIAN_EST_REUT" hidden="1">"c3838"</definedName>
    <definedName name="IQ_FFO_NUM_EST" hidden="1">"c421"</definedName>
    <definedName name="IQ_FFO_NUM_EST_CIQ" hidden="1">"c3672"</definedName>
    <definedName name="IQ_FFO_NUM_EST_REUT" hidden="1">"c3841"</definedName>
    <definedName name="IQ_FFO_SHARE_SHARE_EST_REUT" hidden="1">"c3837"</definedName>
    <definedName name="IQ_FFO_SHARE_SHARE_HIGH_EST_REUT" hidden="1">"c3839"</definedName>
    <definedName name="IQ_FFO_SHARE_SHARE_LOW_EST_REUT" hidden="1">"c3840"</definedName>
    <definedName name="IQ_FFO_SHARE_SHARE_MEDIAN_EST_REUT" hidden="1">"c3838"</definedName>
    <definedName name="IQ_FFO_SHARE_SHARE_NUM_EST_REUT" hidden="1">"c3841"</definedName>
    <definedName name="IQ_FFO_SHARE_SHARE_STDDEV_EST_REUT" hidden="1">"c3842"</definedName>
    <definedName name="IQ_FFO_STDDEV_EST" hidden="1">"c422"</definedName>
    <definedName name="IQ_FFO_STDDEV_EST_CIQ" hidden="1">"c3673"</definedName>
    <definedName name="IQ_FFO_STDDEV_EST_REUT" hidden="1">"c3842"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CP_CDS_MDS_DATE" hidden="1">"c27273"</definedName>
    <definedName name="IQ_GCP_CDS_MDS_SCORE" hidden="1">"c27272"</definedName>
    <definedName name="IQ_GCP_CDS_MDS_Z_SCORE" hidden="1">"c27274"</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D_GUARANTEED_US_FDIC" hidden="1">"c6404"</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ACHINERY" hidden="1">"c711"</definedName>
    <definedName name="IQ_MAINT_CAPEX_ACT_OR_EST" hidden="1">"c4458"</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RKETCAP" hidden="1">"c712"</definedName>
    <definedName name="IQ_MATURITY_ONE_YEAR_LESS_FDIC" hidden="1">"c6425"</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ICING_FDIC" hidden="1">"c6335"</definedName>
    <definedName name="IQ_MTD" hidden="1">800000</definedName>
    <definedName name="IQ_MULTIFAMILY_RESIDENTIAL_LOANS_FDIC" hidden="1">"c6311"</definedName>
    <definedName name="IQ_NAMES_REVISION_DATE_" hidden="1">43019.7923726852</definedName>
    <definedName name="IQ_NAMES_REVISION_DATE__1" hidden="1">42784.8235648148</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MINING_REVENUE_COAL" hidden="1">"c15931"</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TRANSACTIONS_FDIC" hidden="1">"c6504"</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DAY" hidden="1">"c1822"</definedName>
    <definedName name="IQ_PERCENT_CHANGE_EST_FFO_DAY_CIQ" hidden="1">"c3764"</definedName>
    <definedName name="IQ_PERCENT_CHANGE_EST_FFO_DAY_REUT" hidden="1">"c3933"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SHARE_SHARE_12MONTHS" hidden="1">"c1828"</definedName>
    <definedName name="IQ_PERCENT_CHANGE_EST_FFO_SHARE_SHARE_12MONTHS_REUT" hidden="1">"c3938"</definedName>
    <definedName name="IQ_PERCENT_CHANGE_EST_FFO_SHARE_SHARE_18MONTHS" hidden="1">"c1829"</definedName>
    <definedName name="IQ_PERCENT_CHANGE_EST_FFO_SHARE_SHARE_18MONTHS_REUT" hidden="1">"c3939"</definedName>
    <definedName name="IQ_PERCENT_CHANGE_EST_FFO_SHARE_SHARE_3MONTHS" hidden="1">"c1825"</definedName>
    <definedName name="IQ_PERCENT_CHANGE_EST_FFO_SHARE_SHARE_3MONTHS_REUT" hidden="1">"c3935"</definedName>
    <definedName name="IQ_PERCENT_CHANGE_EST_FFO_SHARE_SHARE_6MONTHS" hidden="1">"c1826"</definedName>
    <definedName name="IQ_PERCENT_CHANGE_EST_FFO_SHARE_SHARE_6MONTHS_REUT" hidden="1">"c3936"</definedName>
    <definedName name="IQ_PERCENT_CHANGE_EST_FFO_SHARE_SHARE_9MONTHS" hidden="1">"c1827"</definedName>
    <definedName name="IQ_PERCENT_CHANGE_EST_FFO_SHARE_SHARE_9MONTHS_REUT" hidden="1">"c3937"</definedName>
    <definedName name="IQ_PERCENT_CHANGE_EST_FFO_SHARE_SHARE_DAY" hidden="1">"c1822"</definedName>
    <definedName name="IQ_PERCENT_CHANGE_EST_FFO_SHARE_SHARE_DAY_REUT" hidden="1">"c3933"</definedName>
    <definedName name="IQ_PERCENT_CHANGE_EST_FFO_SHARE_SHARE_MONTH" hidden="1">"c1824"</definedName>
    <definedName name="IQ_PERCENT_CHANGE_EST_FFO_SHARE_SHARE_MONTH_REUT" hidden="1">"c3934"</definedName>
    <definedName name="IQ_PERCENT_CHANGE_EST_FFO_SHARE_SHARE_WEEK" hidden="1">"c1823"</definedName>
    <definedName name="IQ_PERCENT_CHANGE_EST_FFO_SHARE_SHARE_WEEK_REUT" hidden="1">"c3964"</definedName>
    <definedName name="IQ_PERCENT_CHANGE_EST_FFO_WEEK" hidden="1">"c1823"</definedName>
    <definedName name="IQ_PERCENT_CHANGE_EST_FFO_WEEK_CIQ" hidden="1">"c3795"</definedName>
    <definedName name="IQ_PERCENT_CHANGE_EST_FFO_WEEK_REUT" hidden="1">"c3964"</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RETURN_ASSETS_FDIC" hidden="1">"c6731"</definedName>
    <definedName name="IQ_PRICE_OVER_BVPS" hidden="1">"c1412"</definedName>
    <definedName name="IQ_PRICE_OVER_LTM_EPS" hidden="1">"c1413"</definedName>
    <definedName name="IQ_PRICE_TARGET" hidden="1">"c82"</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VG_STORE_SIZE_GROSS" hidden="1">"c2066"</definedName>
    <definedName name="IQ_RETAIL_AVG_STORE_SIZE_NET" hidden="1">"c2067"</definedName>
    <definedName name="IQ_RETAIL_CLOSED_STORES" hidden="1">"c2063"</definedName>
    <definedName name="IQ_RETAIL_DEPOSITS_FDIC" hidden="1">"c6488"</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ALUATION_GAINS_FDIC" hidden="1">"c6428"</definedName>
    <definedName name="IQ_REVALUATION_LOSSES_FDIC" hidden="1">"c6429"</definedName>
    <definedName name="IQ_REVENUE" hidden="1">"c1422"</definedName>
    <definedName name="IQ_REVENUE_EST" hidden="1">"c1126"</definedName>
    <definedName name="IQ_REVENUE_HIGH_EST" hidden="1">"c1127"</definedName>
    <definedName name="IQ_REVENUE_LOW_EST" hidden="1">"c1128"</definedName>
    <definedName name="IQ_REVENUE_NUM_EST" hidden="1">"c1129"</definedName>
    <definedName name="IQ_REVOLVING_SECURED_1_–4_NON_ACCRUAL_FFIEC" hidden="1">"c13314"</definedName>
    <definedName name="IQ_RISK_WEIGHTED_ASSETS_FDIC" hidden="1">"c6370"</definedName>
    <definedName name="IQ_ROYALTY_REVENUE_COAL" hidden="1">"c15932"</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DEBT_FDIC" hidden="1">"c6346"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FDIC" hidden="1">"c6369"</definedName>
    <definedName name="IQ_TIER_ONE_RATIO" hidden="1">"c1229"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R_BUY_ADVISORS" hidden="1">"c2387"</definedName>
    <definedName name="IQ_TR_SELL_ADVISORS" hidden="1">"c2388"</definedName>
    <definedName name="IQ_TR_SUBDEBT" hidden="1">"c2370"</definedName>
    <definedName name="IQ_TR_TARGET_ADVISORS" hidden="1">"c2386"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DIVIDED_PROFITS_FDIC" hidden="1">"c6352"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CA" hidden="1">"c2930"</definedName>
    <definedName name="IQ_US_GAAP_CL" hidden="1">"c2932"</definedName>
    <definedName name="IQ_US_GAAP_COST_REV" hidden="1">"c2965"</definedName>
    <definedName name="IQ_US_GAAP_DO" hidden="1">"c2973"</definedName>
    <definedName name="IQ_US_GAAP_EXTRA_ACC_ITEMS" hidden="1">"c2972"</definedName>
    <definedName name="IQ_US_GAAP_INC_TAX" hidden="1">"c2975"</definedName>
    <definedName name="IQ_US_GAAP_INTEREST_EXP" hidden="1">"c2971"</definedName>
    <definedName name="IQ_US_GAAP_LIAB_LT" hidden="1">"c2933"</definedName>
    <definedName name="IQ_US_GAAP_MINORITY_INTEREST_IS" hidden="1">"c2974"</definedName>
    <definedName name="IQ_US_GAAP_NCA" hidden="1">"c2931"</definedName>
    <definedName name="IQ_US_GAAP_NI_AVAIL_EXCL" hidden="1">"c2977"</definedName>
    <definedName name="IQ_US_GAAP_OTHER_NON_OPER" hidden="1">"c2969"</definedName>
    <definedName name="IQ_US_GAAP_OTHER_OPER" hidden="1">"c2968"</definedName>
    <definedName name="IQ_US_GAAP_RD" hidden="1">"c2967"</definedName>
    <definedName name="IQ_US_GAAP_SGA" hidden="1">"c2966"</definedName>
    <definedName name="IQ_US_GAAP_TOTAL_REV" hidden="1">"c2964"</definedName>
    <definedName name="IQ_US_GAAP_TOTAL_UNUSUAL" hidden="1">"c2970"</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B_BOOKMARK_COUNT" hidden="1">0</definedName>
    <definedName name="IQRADTB81" hidden="1">#REF!</definedName>
    <definedName name="IQRADTD81" hidden="1">#REF!</definedName>
    <definedName name="IQRAFB81" hidden="1">#REF!</definedName>
    <definedName name="IQRAFD81" hidden="1">#REF!</definedName>
    <definedName name="IQRALOG2B81" hidden="1">#REF!</definedName>
    <definedName name="IQRALOG2D81" hidden="1">#REF!</definedName>
    <definedName name="IQRALOGB81" hidden="1">#REF!</definedName>
    <definedName name="IQRALOGD81" hidden="1">#REF!</definedName>
    <definedName name="IQRALRMB81" hidden="1">#REF!</definedName>
    <definedName name="IQRALRMD81" hidden="1">#REF!</definedName>
    <definedName name="IQRASCM2B81" hidden="1">#REF!</definedName>
    <definedName name="IQRASCM2D81" hidden="1">#REF!</definedName>
    <definedName name="IQRASCMB81" hidden="1">#REF!</definedName>
    <definedName name="IQRASCMD81" hidden="1">#REF!</definedName>
    <definedName name="IQRASEIB81" hidden="1">#REF!</definedName>
    <definedName name="IQRASEID81" hidden="1">#REF!</definedName>
    <definedName name="IQRAUTHB81" hidden="1">#REF!</definedName>
    <definedName name="IQRAUTHD81" hidden="1">#REF!</definedName>
    <definedName name="IQRAVOB81" hidden="1">#REF!</definedName>
    <definedName name="IQRAVOD81" hidden="1">#REF!</definedName>
    <definedName name="IQRAVOF81" hidden="1">#REF!</definedName>
    <definedName name="IQRAVOH81" hidden="1">#REF!</definedName>
    <definedName name="IQRAZZB81" hidden="1">#REF!</definedName>
    <definedName name="IQRAZZD81" hidden="1">#REF!</definedName>
    <definedName name="IQRB81" hidden="1">"$B$82:$B$88"</definedName>
    <definedName name="IQRC81" hidden="1">"$C$82:$C$88"</definedName>
    <definedName name="IQRCAMP2B81" hidden="1">#REF!</definedName>
    <definedName name="IQRCAMP2D81" hidden="1">#REF!</definedName>
    <definedName name="IQRCAMPB81" hidden="1">#REF!</definedName>
    <definedName name="IQRCAMPD81" hidden="1">#REF!</definedName>
    <definedName name="IQRCIRB81" hidden="1">#REF!</definedName>
    <definedName name="IQRCIRD81" hidden="1">#REF!</definedName>
    <definedName name="IQRCOHRB81" hidden="1">#REF!</definedName>
    <definedName name="IQRCOHRD81" hidden="1">#REF!</definedName>
    <definedName name="IQRCPHDB81" hidden="1">#REF!</definedName>
    <definedName name="IQRCPHDD81" hidden="1">#REF!</definedName>
    <definedName name="IQRCUBB81" hidden="1">#REF!</definedName>
    <definedName name="IQRCUBD81" hidden="1">#REF!</definedName>
    <definedName name="IQRD81" hidden="1">"$D$82:$D$88"</definedName>
    <definedName name="IQRF4" hidden="1">"$F$5"</definedName>
    <definedName name="IQRF81" hidden="1">"$F$82"</definedName>
    <definedName name="IQRFLIRB81" hidden="1">#REF!</definedName>
    <definedName name="IQRFLIRD81" hidden="1">#REF!</definedName>
    <definedName name="IQRGRMN2B81" hidden="1">#REF!</definedName>
    <definedName name="IQRGRMN2D81" hidden="1">#REF!</definedName>
    <definedName name="IQRGRMNB81" hidden="1">#REF!</definedName>
    <definedName name="IQRGRMND81" hidden="1">#REF!</definedName>
    <definedName name="IQRGSIGB81" hidden="1">#REF!</definedName>
    <definedName name="IQRGSIGD81" hidden="1">#REF!</definedName>
    <definedName name="IQRGTOB81" hidden="1">#REF!</definedName>
    <definedName name="IQRGTOD81" hidden="1">#REF!</definedName>
    <definedName name="IQRH81" hidden="1">"$H$82"</definedName>
    <definedName name="IQRIBMB81" hidden="1">#REF!</definedName>
    <definedName name="IQRIBMD81" hidden="1">#REF!</definedName>
    <definedName name="IQRIDSY2B81" hidden="1">#REF!</definedName>
    <definedName name="IQRIDSY2D81" hidden="1">#REF!</definedName>
    <definedName name="IQRIDSY3B81" hidden="1">#REF!</definedName>
    <definedName name="IQRIDSY3D81" hidden="1">#REF!</definedName>
    <definedName name="IQRIDSY4B81" hidden="1">#REF!</definedName>
    <definedName name="IQRIDSY4D81" hidden="1">#REF!</definedName>
    <definedName name="IQRIDSY5B81" hidden="1">#REF!</definedName>
    <definedName name="IQRIDSY5D81" hidden="1">#REF!</definedName>
    <definedName name="IQRIDSY6B81" hidden="1">#REF!</definedName>
    <definedName name="IQRIDSY6D81" hidden="1">#REF!</definedName>
    <definedName name="IQRIDSYB81" hidden="1">#REF!</definedName>
    <definedName name="IQRIDSYD81" hidden="1">#REF!</definedName>
    <definedName name="IQRIDSYF81" hidden="1">#REF!</definedName>
    <definedName name="IQRIDSYH81" hidden="1">#REF!</definedName>
    <definedName name="IQRIN2B81" hidden="1">#REF!</definedName>
    <definedName name="IQRIN2D81" hidden="1">#REF!</definedName>
    <definedName name="IQRINB81" hidden="1">#REF!</definedName>
    <definedName name="IQRIND81" hidden="1">#REF!</definedName>
    <definedName name="IQRINDB81" hidden="1">#REF!</definedName>
    <definedName name="IQRINDD81" hidden="1">#REF!</definedName>
    <definedName name="IQRINFB81" hidden="1">#REF!</definedName>
    <definedName name="IQRINFD81" hidden="1">#REF!</definedName>
    <definedName name="IQRIPGPB81" hidden="1">#REF!</definedName>
    <definedName name="IQRIPGPD81" hidden="1">#REF!</definedName>
    <definedName name="IQRITRNB81" hidden="1">#REF!</definedName>
    <definedName name="IQRITRND81" hidden="1">#REF!</definedName>
    <definedName name="IQRIXXB81" hidden="1">#REF!</definedName>
    <definedName name="IQRIXXD81" hidden="1">#REF!</definedName>
    <definedName name="IQRKABNB81" hidden="1">#REF!</definedName>
    <definedName name="IQRKABND81" hidden="1">#REF!</definedName>
    <definedName name="IQRKTCGB81" hidden="1">#REF!</definedName>
    <definedName name="IQRKTCGD81" hidden="1">#REF!</definedName>
    <definedName name="IQRLOXB81" hidden="1">#REF!</definedName>
    <definedName name="IQRLOXD81" hidden="1">#REF!</definedName>
    <definedName name="IQRMSA2B81" hidden="1">#REF!</definedName>
    <definedName name="IQRMSA2D81" hidden="1">#REF!</definedName>
    <definedName name="IQRMSAB81" hidden="1">#REF!</definedName>
    <definedName name="IQRMSAD81" hidden="1">#REF!</definedName>
    <definedName name="IQRNICEB81" hidden="1">#REF!</definedName>
    <definedName name="IQRNICED81" hidden="1">#REF!</definedName>
    <definedName name="IQRNMRXB81" hidden="1">#REF!</definedName>
    <definedName name="IQRNMRXD81" hidden="1">#REF!</definedName>
    <definedName name="IQRNMRXF81" hidden="1">#REF!</definedName>
    <definedName name="IQRNMRXH81" hidden="1">#REF!</definedName>
    <definedName name="IQRNXP2B81" hidden="1">#REF!</definedName>
    <definedName name="IQRNXP2D81" hidden="1">#REF!</definedName>
    <definedName name="IQRNXPB81" hidden="1">#REF!</definedName>
    <definedName name="IQRNXPD81" hidden="1">#REF!</definedName>
    <definedName name="IQROSISB81" hidden="1">#REF!</definedName>
    <definedName name="IQROSISD81" hidden="1">#REF!</definedName>
    <definedName name="IQRPNRB81" hidden="1">#REF!</definedName>
    <definedName name="IQRPNRD81" hidden="1">#REF!</definedName>
    <definedName name="IQRPOWLB81" hidden="1">#REF!</definedName>
    <definedName name="IQRPOWLD81" hidden="1">#REF!</definedName>
    <definedName name="IQRROPB81" hidden="1">#REF!</definedName>
    <definedName name="IQRROPD81" hidden="1">#REF!</definedName>
    <definedName name="IQRRSTI2B81" hidden="1">#REF!</definedName>
    <definedName name="IQRRSTI2D81" hidden="1">#REF!</definedName>
    <definedName name="IQRRSTIB81" hidden="1">#REF!</definedName>
    <definedName name="IQRRSTID81" hidden="1">#REF!</definedName>
    <definedName name="IQRRXNB81" hidden="1">#REF!</definedName>
    <definedName name="IQRRXND81" hidden="1">#REF!</definedName>
    <definedName name="IQRSTB81" hidden="1">#REF!</definedName>
    <definedName name="IQRSTD81" hidden="1">#REF!</definedName>
    <definedName name="IQRSWB81" hidden="1">#REF!</definedName>
    <definedName name="IQRSWD81" hidden="1">#REF!</definedName>
    <definedName name="IQRTLVTB81" hidden="1">#REF!</definedName>
    <definedName name="IQRTLVTD81" hidden="1">#REF!</definedName>
    <definedName name="IQRTRMBB81" hidden="1">#REF!</definedName>
    <definedName name="IQRTRMBD81" hidden="1">#REF!</definedName>
    <definedName name="IQRTYCB81" hidden="1">#REF!</definedName>
    <definedName name="IQRTYCD81" hidden="1">#REF!</definedName>
    <definedName name="IQRVIIB81" hidden="1">#REF!</definedName>
    <definedName name="IQRVIID81" hidden="1">#REF!</definedName>
    <definedName name="IQRVIVB81" hidden="1">#REF!</definedName>
    <definedName name="IQRVIVD81" hidden="1">#REF!</definedName>
    <definedName name="IQRVRNTB81" hidden="1">#REF!</definedName>
    <definedName name="IQRVRNTD81" hidden="1">#REF!</definedName>
    <definedName name="IQRVRNTF81" hidden="1">#REF!</definedName>
    <definedName name="IQRVRNTH81" hidden="1">#REF!</definedName>
    <definedName name="IQRWRLSB81" hidden="1">#REF!</definedName>
    <definedName name="IQRWRLSD81" hidden="1">#REF!</definedName>
    <definedName name="IQRWRLSF81" hidden="1">#REF!</definedName>
    <definedName name="IQRWRLSH81" hidden="1">#REF!</definedName>
    <definedName name="IQRWWDB81" hidden="1">#REF!</definedName>
    <definedName name="IQRWWDD81" hidden="1">#REF!</definedName>
    <definedName name="IQRXATAB81" hidden="1">#REF!</definedName>
    <definedName name="IQRXATAD81" hidden="1">#REF!</definedName>
    <definedName name="IQRXATAF81" hidden="1">#REF!</definedName>
    <definedName name="IQRXATAH81" hidden="1">#REF!</definedName>
    <definedName name="IQRZBRAB81" hidden="1">#REF!</definedName>
    <definedName name="IQRZBRAD81" hidden="1">#REF!</definedName>
    <definedName name="is">#REF!</definedName>
    <definedName name="IsColHidden" hidden="1">FALSE</definedName>
    <definedName name="IsLTMColHidden" hidden="1">FALSE</definedName>
    <definedName name="ISNEEDINFO1" hidden="1">0</definedName>
    <definedName name="ISNEEDINFO2" hidden="1">"ENCODE_"</definedName>
    <definedName name="isrcl">'[16]Client Info'!$B$10</definedName>
    <definedName name="jj" hidden="1">{"Page 1",#N/A,FALSE,"Sheet1";"Page 2",#N/A,FALSE,"Sheet1"}</definedName>
    <definedName name="JUNK">#REF!</definedName>
    <definedName name="k" hidden="1">{"'Standalone List Price Trends'!$A$1:$X$56"}</definedName>
    <definedName name="Key1a" hidden="1">[1]Contracts!#REF!</definedName>
    <definedName name="Key2a" hidden="1">[1]Contracts!#REF!</definedName>
    <definedName name="L">#REF!</definedName>
    <definedName name="LAST">#REF!</definedName>
    <definedName name="LAST12">#REF!</definedName>
    <definedName name="LastCol" localSheetId="22">MATCH(REPT("z",255),'PNC 2020 Equipment Loan'!$13:$13)</definedName>
    <definedName name="LastCol">MATCH(REPT("z",255),#REF!)</definedName>
    <definedName name="LastQ">#REF!</definedName>
    <definedName name="LastRow" localSheetId="22">MATCH(9.99E+307,'PNC 2020 Equipment Loan'!$B:$B)</definedName>
    <definedName name="LastRow">MATCH(9.99E+307,#REF!)</definedName>
    <definedName name="LatQ">#REF!</definedName>
    <definedName name="lbo">#REF!</definedName>
    <definedName name="LCY">#REF!</definedName>
    <definedName name="Lease_Income">#REF!</definedName>
    <definedName name="Lease_Installation">#REF!</definedName>
    <definedName name="LEGALNAME">#REF!</definedName>
    <definedName name="Legend">'[28]East MRB'!#REF!</definedName>
    <definedName name="Legend_Rows">'[28]East MRB'!#REF!</definedName>
    <definedName name="LenderName" localSheetId="22">'PNC 2020 Equipment Loan'!$H$11:$I$11</definedName>
    <definedName name="LenderName">#REF!</definedName>
    <definedName name="Level1.xls">#REF!</definedName>
    <definedName name="lfp">'[16]Client Info'!$B$6</definedName>
    <definedName name="LIABS">#REF!</definedName>
    <definedName name="ListOffset" hidden="1">1</definedName>
    <definedName name="ll" hidden="1">{#N/A,#N/A,FALSE,"Aging Summary";#N/A,#N/A,FALSE,"Ratio Analysis";#N/A,#N/A,FALSE,"Test 120 Day Accts";#N/A,#N/A,FALSE,"Tickmarks"}</definedName>
    <definedName name="lnk_CoName" hidden="1">#REF!</definedName>
    <definedName name="lnk_countryID" hidden="1">#REF!</definedName>
    <definedName name="lnk_cpyID" hidden="1">#REF!</definedName>
    <definedName name="lnk_display_Currency" hidden="1">#REF!</definedName>
    <definedName name="lnk_drate_update" hidden="1">#REF!</definedName>
    <definedName name="lnk_IndustryType" hidden="1">#REF!</definedName>
    <definedName name="lnk_LastFiscalYear" hidden="1">#REF!</definedName>
    <definedName name="lnk_numForecastYears" hidden="1">#REF!</definedName>
    <definedName name="lnk_numHistoricalYears" hidden="1">#REF!</definedName>
    <definedName name="lnk_Print_Area" hidden="1">#REF!</definedName>
    <definedName name="lnk_rData_Start_Driver" hidden="1">#REF!</definedName>
    <definedName name="lnk_rData_Start_Result" hidden="1">#REF!</definedName>
    <definedName name="lnk_rDataStart" hidden="1">#REF!</definedName>
    <definedName name="lnk_rSourceFore" hidden="1">#REF!</definedName>
    <definedName name="lnk_rSourceFore1st" hidden="1">#REF!</definedName>
    <definedName name="lnk_rSourceHist" hidden="1">#REF!</definedName>
    <definedName name="lnk_rYearRow" hidden="1">#REF!</definedName>
    <definedName name="lnk_rYearRow_Driver" hidden="1">#REF!</definedName>
    <definedName name="lnk_rYearRow_Result" hidden="1">#REF!</definedName>
    <definedName name="lnk_ScenarioName" hidden="1">#REF!</definedName>
    <definedName name="lnk_TICK" hidden="1">#REF!</definedName>
    <definedName name="lnk_update" hidden="1">#REF!</definedName>
    <definedName name="lnk_version" hidden="1">#REF!</definedName>
    <definedName name="LoanAmount" localSheetId="22">'PNC 2020 Equipment Loan'!$E$5</definedName>
    <definedName name="LoanAmount">#REF!</definedName>
    <definedName name="LoanIsGood" localSheetId="22">('PNC 2020 Equipment Loan'!$E$5*'PNC 2020 Equipment Loan'!$E$6*'PNC 2020 Equipment Loan'!$E$7*'PNC 2020 Equipment Loan'!$E$9)&gt;0</definedName>
    <definedName name="LoanIsGood">(#REF!*#REF!*#REF!*#REF!)&gt;0</definedName>
    <definedName name="LoanPeriod" localSheetId="22">'PNC 2020 Equipment Loan'!$E$7</definedName>
    <definedName name="LoanPeriod">#REF!</definedName>
    <definedName name="LoanStartDate" localSheetId="22">'PNC 2020 Equipment Loan'!$E$9</definedName>
    <definedName name="LoanStartDate">#REF!</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tions">'[31]Sys Lookup'!$A$2:$A$18</definedName>
    <definedName name="Lock">[5]MonthlyData!#REF!</definedName>
    <definedName name="Lock_Income">#REF!</definedName>
    <definedName name="Lock_Installation">[5]MonthlyData!#REF!</definedName>
    <definedName name="Lock_Service">[5]MonthlyData!#REF!</definedName>
    <definedName name="LOD">#REF!</definedName>
    <definedName name="Lost">'[13]Perf Score 2010'!$A$26:$IV$26</definedName>
    <definedName name="LTM">#REF!</definedName>
    <definedName name="LTMM">#REF!</definedName>
    <definedName name="M">1000000</definedName>
    <definedName name="Maintenance_Income">#REF!</definedName>
    <definedName name="May1Forecast" hidden="1">{"Page 1",#N/A,FALSE,"Sheet1";"Page 2",#N/A,FALSE,"Sheet1"}</definedName>
    <definedName name="MayForecast" hidden="1">{"Page 1",#N/A,FALSE,"Sheet1";"Page 2",#N/A,FALSE,"Sheet1"}</definedName>
    <definedName name="mcdate">[32]!mcdate</definedName>
    <definedName name="METHODS">#REF!</definedName>
    <definedName name="Mezz">[15]Detail!$D$41:$K$43</definedName>
    <definedName name="Miscellaneous_Sales_Income">#REF!</definedName>
    <definedName name="mktdisc">#REF!</definedName>
    <definedName name="mktdiscformat">#REF!</definedName>
    <definedName name="Monitoring_Income">#REF!</definedName>
    <definedName name="Month">#REF!</definedName>
    <definedName name="Month_1">#REF!</definedName>
    <definedName name="monthly" hidden="1">{"Monthly",#N/A,FALSE,"1.2"}</definedName>
    <definedName name="Months">{"January",1;"February",2;"March",3;"April",4;"May",5;"June",6;"July",7;"August",8;"September",9;"October",10;"November",11;"December",12;"Off",13}</definedName>
    <definedName name="MORTGAGE">#REF!</definedName>
    <definedName name="mrformat">#REF!</definedName>
    <definedName name="MTR">[14]Model!$E$27</definedName>
    <definedName name="n" hidden="1">{"Page 1",#N/A,FALSE,"Sheet1";"Page 2",#N/A,FALSE,"Sheet1"}</definedName>
    <definedName name="Name">#REF!</definedName>
    <definedName name="NCY">#REF!</definedName>
    <definedName name="ndr">#REF!</definedName>
    <definedName name="Net_Creation_Multiple">'[13]Perf Score 2010'!$F$14</definedName>
    <definedName name="Net_Debt">[33]DCF!$G$13</definedName>
    <definedName name="Net_Margin_Recurring_Service">'[13]Perf Score 2010'!$F$10</definedName>
    <definedName name="new" hidden="1">{#N/A,#N/A,FALSE,"WIRE-XXX";#N/A,#N/A,FALSE,"WIRE-COR";#N/A,#N/A,FALSE,"WIRE-SAT";#N/A,#N/A,FALSE,"WIRE-ATP";#N/A,#N/A,FALSE,"WIRE-DEN";#N/A,#N/A,FALSE,"WIRE-STV";#N/A,#N/A,FALSE,"WIRE-ATL";#N/A,#N/A,FALSE,"WIRE-CAR";#N/A,#N/A,FALSE,"WIRE-NVN";#N/A,#N/A,FALSE,"WIRE-RED";#N/A,#N/A,FALSE,"WIRE-SPE"}</definedName>
    <definedName name="newbp1" hidden="1">{#N/A,#N/A,FALSE,"ACQ_GRAPHS";#N/A,#N/A,FALSE,"T_1 GRAPHS";#N/A,#N/A,FALSE,"T_2 GRAPHS";#N/A,#N/A,FALSE,"COMB_GRAPHS"}</definedName>
    <definedName name="NONEQUITY">#REF!</definedName>
    <definedName name="NORM">#REF!</definedName>
    <definedName name="NORMAL">#REF!</definedName>
    <definedName name="NORMALIZE">#REF!</definedName>
    <definedName name="NORMALNOTES">#REF!</definedName>
    <definedName name="NORMALNOTES1">#REF!</definedName>
    <definedName name="NORMTABLE">#REF!</definedName>
    <definedName name="o" hidden="1">{#N/A,#N/A,FALSE,"New Depr Sch-150% DB";#N/A,#N/A,FALSE,"Cash Flows RLP";#N/A,#N/A,FALSE,"IRR";#N/A,#N/A,FALSE,"Proforma IS";#N/A,#N/A,FALSE,"Assumptions"}</definedName>
    <definedName name="Oat">[5]MonthlyData!#REF!</definedName>
    <definedName name="OD">[26]Sheet2!$B$1</definedName>
    <definedName name="op">#REF!</definedName>
    <definedName name="opcase">#REF!</definedName>
    <definedName name="OrderTable" hidden="1">#REF!</definedName>
    <definedName name="other">#REF!</definedName>
    <definedName name="p" hidden="1">{"Page 1",#N/A,FALSE,"Sheet1";"Page 2",#N/A,FALSE,"Sheet1"}</definedName>
    <definedName name="P_L">'[28]East MRB'!#REF!</definedName>
    <definedName name="Pal_Workbook_GUID" hidden="1">"K14JQ2C1W46NG4979L5LIU6D"</definedName>
    <definedName name="Parts">[5]MonthlyData!#REF!</definedName>
    <definedName name="PaymentsPerYear" localSheetId="22">'PNC 2020 Equipment Loan'!$E$8</definedName>
    <definedName name="PaymentsPerYear">#REF!</definedName>
    <definedName name="Payroll_Taxes___Labor">#REF!</definedName>
    <definedName name="pcenter">'[34]Sys Lookup'!$A$23:$A$30</definedName>
    <definedName name="PE">[15]Detail!$D$35:$K$38</definedName>
    <definedName name="Perimeter">[26]Sheet2!$M$8</definedName>
    <definedName name="period">[23]Details!$B$2</definedName>
    <definedName name="period_number">OFFSET([21]Amortization!$B$12,2,0,[21]Amortization!$D$6,1)</definedName>
    <definedName name="PeriodsInYear">#REF!</definedName>
    <definedName name="Price">#REF!</definedName>
    <definedName name="Price_USD">#REF!</definedName>
    <definedName name="_xlnm.Print_Area" localSheetId="21">OFFSET('Bart Anderson Loan'!$A$1,0,0,ROW('Bart Anderson Loan'!$A$17)+1+'Bart Anderson Loan'!$H$11,COLUMN('Bart Anderson Loan'!$H$1))</definedName>
    <definedName name="_xlnm.Print_Area" localSheetId="9">OFFSET('Brnch 1L Debt'!$A$1,0,0,ROW('Brnch 1L Debt'!$A$17)+1+'Brnch 1L Debt'!$H$10,COLUMN('Brnch 1L Debt'!$H$1))</definedName>
    <definedName name="_xlnm.Print_Area" localSheetId="11">OFFSET('Brnch Seller Debt'!$A$1,0,0,ROW('Brnch Seller Debt'!$A$17)+1+'Brnch Seller Debt'!$H$10,COLUMN('Brnch Seller Debt'!$H$1))</definedName>
    <definedName name="_xlnm.Print_Area" localSheetId="12">OFFSET('Brnch Sub Debt'!$A$1,0,0,ROW('Brnch Sub Debt'!$A$17)+1+'Brnch Sub Debt'!$H$10,COLUMN('Brnch Sub Debt'!$H$1))</definedName>
    <definedName name="_xlnm.Print_Area" localSheetId="8">OFFSET('HEC 1L Debt'!$A$1,0,0,ROW('HEC 1L Debt'!$A$17)+1+'HEC 1L Debt'!$H$10,COLUMN('HEC 1L Debt'!$H$1))</definedName>
    <definedName name="_xlnm.Print_Area" localSheetId="10">OFFSET('HEC Seller Debt'!$A$1,0,0,ROW('HEC Seller Debt'!$A$17)+1+'HEC Seller Debt'!$H$10,COLUMN('HEC Seller Debt'!$H$1))</definedName>
    <definedName name="_xlnm.Print_Area" localSheetId="23">OFFSET('PNC 2021 Equipment Loan'!$A$1,0,0,ROW('PNC 2021 Equipment Loan'!$A$17)+1+'PNC 2021 Equipment Loan'!$H$11,COLUMN('PNC 2021 Equipment Loan'!$H$1))</definedName>
    <definedName name="_xlnm.Print_Area">#REF!</definedName>
    <definedName name="PRINT_AREA_MI">#REF!</definedName>
    <definedName name="Print_Area_Reset">OFFSET(Full_Print,0,0,Last_Row)</definedName>
    <definedName name="Print_functionality">[35]!Print_functionality</definedName>
    <definedName name="_xlnm.Print_Titles" localSheetId="2">'HEC Financials'!$C:$I,'HEC Financials'!$1:$1</definedName>
    <definedName name="_xlnm.Print_Titles" localSheetId="22">'PNC 2020 Equipment Loan'!$13:$13</definedName>
    <definedName name="_xlnm.Print_Titles">#N/A</definedName>
    <definedName name="Print_Titles_MI">[36]Staffing!$A$1:$IV$1,[36]Staffing!$B$1:$B$16264</definedName>
    <definedName name="print1">[37]!print1</definedName>
    <definedName name="PrintArea_SET" localSheetId="22">OFFSET('PNC 2020 Equipment Loan'!#REF!,,,'PNC 2020 Equipment Loan'!LastRow,'PNC 2020 Equipment Loan'!LastCol)</definedName>
    <definedName name="PrintArea_SET">OFFSET(#REF!,,,LastRow,LastCol)</definedName>
    <definedName name="Prior">#REF!</definedName>
    <definedName name="PRIORS">#REF!</definedName>
    <definedName name="PRIORS1">#REF!</definedName>
    <definedName name="PRIORSB">#REF!</definedName>
    <definedName name="PRIORSC">#REF!</definedName>
    <definedName name="ProdCont">#REF!</definedName>
    <definedName name="ProdForm" hidden="1">#REF!</definedName>
    <definedName name="Product" hidden="1">#REF!</definedName>
    <definedName name="PUBLICS">#REF!</definedName>
    <definedName name="PUBLICS1">#REF!</definedName>
    <definedName name="PUBLICSB">#REF!</definedName>
    <definedName name="PYEAR">[38]Inputs!$C$42</definedName>
    <definedName name="Q.1">#REF!</definedName>
    <definedName name="Q.2">#REF!</definedName>
    <definedName name="Q.3">#REF!</definedName>
    <definedName name="Q.4">#REF!</definedName>
    <definedName name="QB_COLUMN_2921" localSheetId="2" hidden="1">'HEC Financials'!$J$1</definedName>
    <definedName name="QB_COLUMN_29210" localSheetId="2" hidden="1">'HEC Financials'!$S$1</definedName>
    <definedName name="QB_COLUMN_29211" localSheetId="2" hidden="1">'HEC Financials'!$T$1</definedName>
    <definedName name="QB_COLUMN_29212" localSheetId="2" hidden="1">'HEC Financials'!$U$1</definedName>
    <definedName name="QB_COLUMN_29213" localSheetId="2" hidden="1">'HEC Financials'!$V$1</definedName>
    <definedName name="QB_COLUMN_29214" localSheetId="2" hidden="1">'HEC Financials'!$W$1</definedName>
    <definedName name="QB_COLUMN_29215" localSheetId="2" hidden="1">'HEC Financials'!$X$1</definedName>
    <definedName name="QB_COLUMN_29216" localSheetId="2" hidden="1">'HEC Financials'!$Y$1</definedName>
    <definedName name="QB_COLUMN_29217" localSheetId="2" hidden="1">'HEC Financials'!$Z$1</definedName>
    <definedName name="QB_COLUMN_29218" localSheetId="2" hidden="1">'HEC Financials'!$AA$1</definedName>
    <definedName name="QB_COLUMN_29219" localSheetId="2" hidden="1">'HEC Financials'!$AB$1</definedName>
    <definedName name="QB_COLUMN_2922" localSheetId="2" hidden="1">'HEC Financials'!$K$1</definedName>
    <definedName name="QB_COLUMN_29220" localSheetId="2" hidden="1">'HEC Financials'!$AC$1</definedName>
    <definedName name="QB_COLUMN_29221" localSheetId="2" hidden="1">'HEC Financials'!$AD$1</definedName>
    <definedName name="QB_COLUMN_29222" localSheetId="2" hidden="1">'HEC Financials'!$AE$1</definedName>
    <definedName name="QB_COLUMN_29223" localSheetId="2" hidden="1">'HEC Financials'!$AF$1</definedName>
    <definedName name="QB_COLUMN_29224" localSheetId="2" hidden="1">'HEC Financials'!$AG$1</definedName>
    <definedName name="QB_COLUMN_29225" localSheetId="2" hidden="1">'HEC Financials'!$AH$1</definedName>
    <definedName name="QB_COLUMN_29226" localSheetId="2" hidden="1">'HEC Financials'!$AI$1</definedName>
    <definedName name="QB_COLUMN_29227" localSheetId="2" hidden="1">'HEC Financials'!$AJ$1</definedName>
    <definedName name="QB_COLUMN_29228" localSheetId="2" hidden="1">'HEC Financials'!$AK$1</definedName>
    <definedName name="QB_COLUMN_29229" localSheetId="2" hidden="1">'HEC Financials'!$AL$1</definedName>
    <definedName name="QB_COLUMN_2923" localSheetId="2" hidden="1">'HEC Financials'!$L$1</definedName>
    <definedName name="QB_COLUMN_29230" localSheetId="2" hidden="1">'HEC Financials'!$AM$1</definedName>
    <definedName name="QB_COLUMN_29231" localSheetId="2" hidden="1">'HEC Financials'!$AN$1</definedName>
    <definedName name="QB_COLUMN_29232" localSheetId="2" hidden="1">'HEC Financials'!$AO$1</definedName>
    <definedName name="QB_COLUMN_29233" localSheetId="2" hidden="1">'HEC Financials'!$AP$1</definedName>
    <definedName name="QB_COLUMN_29234" localSheetId="2" hidden="1">'HEC Financials'!$AQ$1</definedName>
    <definedName name="QB_COLUMN_29235" localSheetId="2" hidden="1">'HEC Financials'!$AR$1</definedName>
    <definedName name="QB_COLUMN_29236" localSheetId="2" hidden="1">'HEC Financials'!$AS$1</definedName>
    <definedName name="QB_COLUMN_29237" localSheetId="2" hidden="1">'HEC Financials'!$AT$1</definedName>
    <definedName name="QB_COLUMN_29238" localSheetId="2" hidden="1">'HEC Financials'!$AU$1</definedName>
    <definedName name="QB_COLUMN_29239" localSheetId="2" hidden="1">'HEC Financials'!$AV$1</definedName>
    <definedName name="QB_COLUMN_2924" localSheetId="2" hidden="1">'HEC Financials'!$M$1</definedName>
    <definedName name="QB_COLUMN_29240" localSheetId="2" hidden="1">'HEC Financials'!#REF!</definedName>
    <definedName name="QB_COLUMN_2925" localSheetId="2" hidden="1">'HEC Financials'!$N$1</definedName>
    <definedName name="QB_COLUMN_2926" localSheetId="2" hidden="1">'HEC Financials'!$O$1</definedName>
    <definedName name="QB_COLUMN_2927" localSheetId="2" hidden="1">'HEC Financials'!$P$1</definedName>
    <definedName name="QB_COLUMN_2928" localSheetId="2" hidden="1">'HEC Financials'!$Q$1</definedName>
    <definedName name="QB_COLUMN_2929" localSheetId="2" hidden="1">'HEC Financials'!$R$1</definedName>
    <definedName name="QB_COLUMN_2930" localSheetId="2" hidden="1">'HEC Financials'!#REF!</definedName>
    <definedName name="QB_DATA_0" localSheetId="2" hidden="1">'HEC Financials'!$4:$4,'HEC Financials'!$5:$5,'HEC Financials'!$6:$6,'HEC Financials'!$9:$9,'HEC Financials'!$10:$10,'HEC Financials'!$11:$11,'HEC Financials'!$17:$17,'HEC Financials'!$18:$18,'HEC Financials'!$19:$19,'HEC Financials'!$20:$20,'HEC Financials'!$23:$23,'HEC Financials'!$24:$24,'HEC Financials'!$25:$25,'HEC Financials'!$26:$26,'HEC Financials'!$27:$27,'HEC Financials'!$28:$28</definedName>
    <definedName name="QB_DATA_1" localSheetId="2" hidden="1">'HEC Financials'!$29:$29,'HEC Financials'!$31:$31,'HEC Financials'!$32:$32,'HEC Financials'!$33:$33,'HEC Financials'!$34:$34,'HEC Financials'!$35:$35,'HEC Financials'!$36:$36,'HEC Financials'!$37:$37,'HEC Financials'!$38:$38,'HEC Financials'!$39:$39,'HEC Financials'!$40:$40,'HEC Financials'!$41:$41,'HEC Financials'!$42:$42,'HEC Financials'!$43:$43,'HEC Financials'!$44:$44,'HEC Financials'!$45:$45</definedName>
    <definedName name="QB_DATA_2" localSheetId="2" hidden="1">'HEC Financials'!$46:$46,'HEC Financials'!$47:$47,'HEC Financials'!$48:$48,'HEC Financials'!$49:$49,'HEC Financials'!$50:$50,'HEC Financials'!$51:$51,'HEC Financials'!$52:$52,'HEC Financials'!$53:$53,'HEC Financials'!$54:$54,'HEC Financials'!$55:$55,'HEC Financials'!$56:$56,'HEC Financials'!$57:$57,'HEC Financials'!$58:$58,'HEC Financials'!$60:$60,'HEC Financials'!$61:$61,'HEC Financials'!$63:$63</definedName>
    <definedName name="QB_DATA_3" localSheetId="2" hidden="1">'HEC Financials'!$64:$64,'HEC Financials'!$65:$65,'HEC Financials'!$67:$67,'HEC Financials'!$68:$68,'HEC Financials'!$69:$69,'HEC Financials'!$70:$70,'HEC Financials'!$71:$71,'HEC Financials'!$73:$73,'HEC Financials'!$74:$74,'HEC Financials'!$79:$79,'HEC Financials'!$80:$80,'HEC Financials'!$81:$81,'HEC Financials'!$84:$84,'HEC Financials'!$85:$85,'HEC Financials'!$87:$87</definedName>
    <definedName name="QB_FORMULA_0" localSheetId="2" hidden="1">'HEC Financials'!#REF!,'HEC Financials'!#REF!,'HEC Financials'!#REF!,'HEC Financials'!$J$7,'HEC Financials'!$K$7,'HEC Financials'!$L$7,'HEC Financials'!$M$7,'HEC Financials'!$N$7,'HEC Financials'!$O$7,'HEC Financials'!$P$7,'HEC Financials'!$Q$7,'HEC Financials'!$R$7,'HEC Financials'!$S$7,'HEC Financials'!$T$7,'HEC Financials'!$U$7,'HEC Financials'!$V$7</definedName>
    <definedName name="QB_FORMULA_1" localSheetId="2" hidden="1">'HEC Financials'!$W$7,'HEC Financials'!$X$7,'HEC Financials'!$Y$7,'HEC Financials'!$Z$7,'HEC Financials'!$AA$7,'HEC Financials'!$AB$7,'HEC Financials'!$AC$7,'HEC Financials'!$AD$7,'HEC Financials'!$AE$7,'HEC Financials'!$AF$7,'HEC Financials'!$AG$7,'HEC Financials'!$AH$7,'HEC Financials'!$AI$7,'HEC Financials'!$AJ$7,'HEC Financials'!$AK$7,'HEC Financials'!$AL$7</definedName>
    <definedName name="QB_FORMULA_10" localSheetId="2" hidden="1">'HEC Financials'!$AK$21,'HEC Financials'!$AL$21,'HEC Financials'!$AM$21,'HEC Financials'!$AN$21,'HEC Financials'!$AO$21,'HEC Financials'!$AP$21,'HEC Financials'!$AQ$21,'HEC Financials'!$AR$21,'HEC Financials'!$AS$21,'HEC Financials'!$AT$21,'HEC Financials'!$AU$21,'HEC Financials'!$AV$21,'HEC Financials'!#REF!,'HEC Financials'!#REF!,'HEC Financials'!#REF!,'HEC Financials'!#REF!</definedName>
    <definedName name="QB_FORMULA_11" localSheetId="2" hidden="1">'HEC Financials'!#REF!,'HEC Financials'!#REF!,'HEC Financials'!#REF!,'HEC Financials'!#REF!,'HEC Financials'!#REF!,'HEC Financials'!$J$30,'HEC Financials'!$K$30,'HEC Financials'!$L$30,'HEC Financials'!$M$30,'HEC Financials'!$N$30,'HEC Financials'!$O$30,'HEC Financials'!$P$30,'HEC Financials'!$Q$30,'HEC Financials'!$R$30,'HEC Financials'!$S$30,'HEC Financials'!$T$30</definedName>
    <definedName name="QB_FORMULA_12" localSheetId="2" hidden="1">'HEC Financials'!$U$30,'HEC Financials'!$V$30,'HEC Financials'!$W$30,'HEC Financials'!$X$30,'HEC Financials'!$Y$30,'HEC Financials'!$Z$30,'HEC Financials'!$AA$30,'HEC Financials'!$AB$30,'HEC Financials'!$AC$30,'HEC Financials'!$AD$30,'HEC Financials'!$AE$30,'HEC Financials'!$AF$30,'HEC Financials'!$AG$30,'HEC Financials'!$AH$30,'HEC Financials'!$AI$30,'HEC Financials'!$AJ$30</definedName>
    <definedName name="QB_FORMULA_13" localSheetId="2" hidden="1">'HEC Financials'!$AK$30,'HEC Financials'!$AL$30,'HEC Financials'!$AM$30,'HEC Financials'!$AN$30,'HEC Financials'!$AO$30,'HEC Financials'!$AP$30,'HEC Financials'!$AQ$30,'HEC Financials'!$AR$30,'HEC Financials'!$AS$30,'HEC Financials'!$AT$30,'HEC Financials'!$AU$30,'HEC Financials'!$AV$30,'HEC Financials'!#REF!,'HEC Financials'!#REF!,'HEC Financials'!#REF!,'HEC Financials'!#REF!</definedName>
    <definedName name="QB_FORMULA_14" localSheetId="2" hidden="1">'HEC Financials'!#REF!,'HEC Financials'!#REF!,'HEC Financials'!#REF!,'HEC Financials'!#REF!,'HEC Financials'!#REF!,'HEC Financials'!#REF!,'HEC Financials'!#REF!,'HEC Financials'!#REF!,'HEC Financials'!#REF!,'HEC Financials'!#REF!,'HEC Financials'!#REF!,'HEC Financials'!#REF!,'HEC Financials'!#REF!,'HEC Financials'!#REF!,'HEC Financials'!#REF!,'HEC Financials'!#REF!</definedName>
    <definedName name="QB_FORMULA_15" localSheetId="2" hidden="1">'HEC Financials'!#REF!,'HEC Financials'!#REF!,'HEC Financials'!#REF!,'HEC Financials'!#REF!,'HEC Financials'!#REF!,'HEC Financials'!#REF!,'HEC Financials'!#REF!,'HEC Financials'!#REF!,'HEC Financials'!#REF!,'HEC Financials'!#REF!,'HEC Financials'!#REF!,'HEC Financials'!#REF!,'HEC Financials'!$J$62,'HEC Financials'!$K$62,'HEC Financials'!$L$62,'HEC Financials'!$M$62</definedName>
    <definedName name="QB_FORMULA_16" localSheetId="2" hidden="1">'HEC Financials'!$N$62,'HEC Financials'!$O$62,'HEC Financials'!$P$62,'HEC Financials'!$Q$62,'HEC Financials'!$R$62,'HEC Financials'!$S$62,'HEC Financials'!$T$62,'HEC Financials'!$U$62,'HEC Financials'!$V$62,'HEC Financials'!$W$62,'HEC Financials'!$X$62,'HEC Financials'!$Y$62,'HEC Financials'!$Z$62,'HEC Financials'!$AA$62,'HEC Financials'!$AB$62,'HEC Financials'!$AC$62</definedName>
    <definedName name="QB_FORMULA_17" localSheetId="2" hidden="1">'HEC Financials'!$AD$62,'HEC Financials'!$AE$62,'HEC Financials'!$AF$62,'HEC Financials'!$AG$62,'HEC Financials'!$AH$62,'HEC Financials'!$AI$62,'HEC Financials'!$AJ$62,'HEC Financials'!$AK$62,'HEC Financials'!$AL$62,'HEC Financials'!$AM$62,'HEC Financials'!$AN$62,'HEC Financials'!$AO$62,'HEC Financials'!$AP$62,'HEC Financials'!$AQ$62,'HEC Financials'!$AR$62,'HEC Financials'!$AS$62</definedName>
    <definedName name="QB_FORMULA_18" localSheetId="2" hidden="1">'HEC Financials'!$AT$62,'HEC Financials'!$AU$62,'HEC Financials'!$AV$62,'HEC Financials'!#REF!,'HEC Financials'!#REF!,'HEC Financials'!#REF!,'HEC Financials'!#REF!,'HEC Financials'!#REF!,'HEC Financials'!#REF!,'HEC Financials'!#REF!,'HEC Financials'!#REF!,'HEC Financials'!#REF!,'HEC Financials'!#REF!,'HEC Financials'!$J$72,'HEC Financials'!$K$72,'HEC Financials'!$L$72</definedName>
    <definedName name="QB_FORMULA_19" localSheetId="2" hidden="1">'HEC Financials'!$M$72,'HEC Financials'!$N$72,'HEC Financials'!$O$72,'HEC Financials'!$P$72,'HEC Financials'!$Q$72,'HEC Financials'!$R$72,'HEC Financials'!$S$72,'HEC Financials'!$T$72,'HEC Financials'!$U$72,'HEC Financials'!$V$72,'HEC Financials'!$W$72,'HEC Financials'!$X$72,'HEC Financials'!$Y$72,'HEC Financials'!$Z$72,'HEC Financials'!$AA$72,'HEC Financials'!$AB$72</definedName>
    <definedName name="QB_FORMULA_2" localSheetId="2" hidden="1">'HEC Financials'!$AM$7,'HEC Financials'!$AN$7,'HEC Financials'!$AO$7,'HEC Financials'!$AP$7,'HEC Financials'!$AQ$7,'HEC Financials'!$AR$7,'HEC Financials'!$AS$7,'HEC Financials'!$AT$7,'HEC Financials'!$AU$7,'HEC Financials'!$AV$7,'HEC Financials'!#REF!,'HEC Financials'!#REF!,'HEC Financials'!#REF!,'HEC Financials'!#REF!,'HEC Financials'!#REF!,'HEC Financials'!$J$12</definedName>
    <definedName name="QB_FORMULA_20" localSheetId="2" hidden="1">'HEC Financials'!$AC$72,'HEC Financials'!$AD$72,'HEC Financials'!$AE$72,'HEC Financials'!$AF$72,'HEC Financials'!$AG$72,'HEC Financials'!$AH$72,'HEC Financials'!$AI$72,'HEC Financials'!$AJ$72,'HEC Financials'!$AK$72,'HEC Financials'!$AL$72,'HEC Financials'!$AM$72,'HEC Financials'!$AN$72,'HEC Financials'!$AO$72,'HEC Financials'!$AP$72,'HEC Financials'!$AQ$72,'HEC Financials'!$AR$72</definedName>
    <definedName name="QB_FORMULA_21" localSheetId="2" hidden="1">'HEC Financials'!$AS$72,'HEC Financials'!$AT$72,'HEC Financials'!$AU$72,'HEC Financials'!$AV$72,'HEC Financials'!#REF!,'HEC Financials'!#REF!,'HEC Financials'!#REF!,'HEC Financials'!#REF!,'HEC Financials'!$J$75,'HEC Financials'!$K$75,'HEC Financials'!$L$75,'HEC Financials'!$M$75,'HEC Financials'!$N$75,'HEC Financials'!$O$75,'HEC Financials'!$P$75,'HEC Financials'!$Q$75</definedName>
    <definedName name="QB_FORMULA_22" localSheetId="2" hidden="1">'HEC Financials'!$R$75,'HEC Financials'!$S$75,'HEC Financials'!$T$75,'HEC Financials'!$U$75,'HEC Financials'!$V$75,'HEC Financials'!$W$75,'HEC Financials'!$X$75,'HEC Financials'!$Y$75,'HEC Financials'!$Z$75,'HEC Financials'!$AA$75,'HEC Financials'!$AB$75,'HEC Financials'!$AC$75,'HEC Financials'!$AD$75,'HEC Financials'!$AE$75,'HEC Financials'!$AF$75,'HEC Financials'!$AG$75</definedName>
    <definedName name="QB_FORMULA_23" localSheetId="2" hidden="1">'HEC Financials'!$AH$75,'HEC Financials'!$AI$75,'HEC Financials'!$AJ$75,'HEC Financials'!$AK$75,'HEC Financials'!$AL$75,'HEC Financials'!$AM$75,'HEC Financials'!$AN$75,'HEC Financials'!$AO$75,'HEC Financials'!$AP$75,'HEC Financials'!$AQ$75,'HEC Financials'!$AR$75,'HEC Financials'!$AS$75,'HEC Financials'!$AT$75,'HEC Financials'!$AU$75,'HEC Financials'!$AV$75,'HEC Financials'!#REF!</definedName>
    <definedName name="QB_FORMULA_24" localSheetId="2" hidden="1">'HEC Financials'!#REF!,'HEC Financials'!$J$76,'HEC Financials'!$K$76,'HEC Financials'!$L$76,'HEC Financials'!$M$76,'HEC Financials'!$N$76,'HEC Financials'!$O$76,'HEC Financials'!$P$76,'HEC Financials'!$Q$76,'HEC Financials'!$R$76,'HEC Financials'!$S$76,'HEC Financials'!$T$76,'HEC Financials'!$U$76,'HEC Financials'!$V$76,'HEC Financials'!$W$76,'HEC Financials'!$X$76</definedName>
    <definedName name="QB_FORMULA_25" localSheetId="2" hidden="1">'HEC Financials'!$Y$76,'HEC Financials'!$Z$76,'HEC Financials'!$AA$76,'HEC Financials'!$AB$76,'HEC Financials'!$AC$76,'HEC Financials'!$AD$76,'HEC Financials'!$AE$76,'HEC Financials'!$AF$76,'HEC Financials'!$AG$76,'HEC Financials'!$AH$76,'HEC Financials'!$AI$76,'HEC Financials'!$AJ$76,'HEC Financials'!$AK$76,'HEC Financials'!$AL$76,'HEC Financials'!$AM$76,'HEC Financials'!$AN$76</definedName>
    <definedName name="QB_FORMULA_26" localSheetId="2" hidden="1">'HEC Financials'!$AO$76,'HEC Financials'!$AP$76,'HEC Financials'!$AQ$76,'HEC Financials'!$AR$76,'HEC Financials'!$AS$76,'HEC Financials'!$AT$76,'HEC Financials'!$AU$76,'HEC Financials'!$AV$76,'HEC Financials'!#REF!,'HEC Financials'!#REF!,'HEC Financials'!#REF!,'HEC Financials'!#REF!,'HEC Financials'!#REF!,'HEC Financials'!$J$83,'HEC Financials'!$K$83,'HEC Financials'!$L$83</definedName>
    <definedName name="QB_FORMULA_27" localSheetId="2" hidden="1">'HEC Financials'!$M$83,'HEC Financials'!$N$83,'HEC Financials'!$O$83,'HEC Financials'!$P$83,'HEC Financials'!$Q$83,'HEC Financials'!$R$83,'HEC Financials'!$S$83,'HEC Financials'!$T$83,'HEC Financials'!$U$83,'HEC Financials'!$V$83,'HEC Financials'!$W$83,'HEC Financials'!$X$83,'HEC Financials'!$Y$83,'HEC Financials'!$Z$83,'HEC Financials'!$AA$83,'HEC Financials'!$AB$83</definedName>
    <definedName name="QB_FORMULA_28" localSheetId="2" hidden="1">'HEC Financials'!$AC$83,'HEC Financials'!$AD$83,'HEC Financials'!$AE$83,'HEC Financials'!$AF$83,'HEC Financials'!$AG$83,'HEC Financials'!$AH$83,'HEC Financials'!$AI$83,'HEC Financials'!$AJ$83,'HEC Financials'!$AK$83,'HEC Financials'!$AL$83,'HEC Financials'!$AM$83,'HEC Financials'!$AN$83,'HEC Financials'!$AO$83,'HEC Financials'!$AP$83,'HEC Financials'!$AQ$83,'HEC Financials'!$AR$83</definedName>
    <definedName name="QB_FORMULA_29" localSheetId="2" hidden="1">'HEC Financials'!$AS$83,'HEC Financials'!$AT$83,'HEC Financials'!$AU$83,'HEC Financials'!$AV$83,'HEC Financials'!#REF!,'HEC Financials'!#REF!,'HEC Financials'!#REF!,'HEC Financials'!#REF!,'HEC Financials'!#REF!,'HEC Financials'!$J$89,'HEC Financials'!$K$89,'HEC Financials'!$L$89,'HEC Financials'!$M$89,'HEC Financials'!$N$89,'HEC Financials'!$O$89,'HEC Financials'!$P$89</definedName>
    <definedName name="QB_FORMULA_3" localSheetId="2" hidden="1">'HEC Financials'!$K$12,'HEC Financials'!$L$12,'HEC Financials'!$M$12,'HEC Financials'!$N$12,'HEC Financials'!$O$12,'HEC Financials'!$P$12,'HEC Financials'!$Q$12,'HEC Financials'!$R$12,'HEC Financials'!$S$12,'HEC Financials'!$T$12,'HEC Financials'!$U$12,'HEC Financials'!$V$12,'HEC Financials'!$W$12,'HEC Financials'!$X$12,'HEC Financials'!$Y$12,'HEC Financials'!$Z$12</definedName>
    <definedName name="QB_FORMULA_30" localSheetId="2" hidden="1">'HEC Financials'!$Q$89,'HEC Financials'!$R$89,'HEC Financials'!$S$89,'HEC Financials'!$T$89,'HEC Financials'!$U$89,'HEC Financials'!$V$89,'HEC Financials'!$W$89,'HEC Financials'!$X$89,'HEC Financials'!$Y$89,'HEC Financials'!$Z$89,'HEC Financials'!$AA$89,'HEC Financials'!$AB$89,'HEC Financials'!$AC$89,'HEC Financials'!$AD$89,'HEC Financials'!$AE$89,'HEC Financials'!$AF$89</definedName>
    <definedName name="QB_FORMULA_31" localSheetId="2" hidden="1">'HEC Financials'!$AG$89,'HEC Financials'!$AH$89,'HEC Financials'!$AI$89,'HEC Financials'!$AJ$89,'HEC Financials'!$AK$89,'HEC Financials'!$AL$89,'HEC Financials'!$AM$89,'HEC Financials'!$AN$89,'HEC Financials'!$AO$89,'HEC Financials'!$AP$89,'HEC Financials'!$AQ$89,'HEC Financials'!$AR$89,'HEC Financials'!$AS$89,'HEC Financials'!$AT$89,'HEC Financials'!$AU$89,'HEC Financials'!$AV$89</definedName>
    <definedName name="QB_FORMULA_32" localSheetId="2" hidden="1">'HEC Financials'!#REF!,'HEC Financials'!#REF!,'HEC Financials'!$J$90,'HEC Financials'!$K$90,'HEC Financials'!$L$90,'HEC Financials'!$M$90,'HEC Financials'!$N$90,'HEC Financials'!$O$90,'HEC Financials'!$P$90,'HEC Financials'!$Q$90,'HEC Financials'!$R$90,'HEC Financials'!$S$90,'HEC Financials'!$T$90,'HEC Financials'!$U$90,'HEC Financials'!$V$90,'HEC Financials'!$W$90</definedName>
    <definedName name="QB_FORMULA_33" localSheetId="2" hidden="1">'HEC Financials'!$X$90,'HEC Financials'!$Y$90,'HEC Financials'!$Z$90,'HEC Financials'!$AA$90,'HEC Financials'!$AB$90,'HEC Financials'!$AC$90,'HEC Financials'!$AD$90,'HEC Financials'!$AE$90,'HEC Financials'!$AF$90,'HEC Financials'!$AG$90,'HEC Financials'!$AH$90,'HEC Financials'!$AI$90,'HEC Financials'!$AJ$90,'HEC Financials'!$AK$90,'HEC Financials'!$AL$90,'HEC Financials'!$AM$90</definedName>
    <definedName name="QB_FORMULA_34" localSheetId="2" hidden="1">'HEC Financials'!$AN$90,'HEC Financials'!$AO$90,'HEC Financials'!$AP$90,'HEC Financials'!$AQ$90,'HEC Financials'!$AR$90,'HEC Financials'!$AS$90,'HEC Financials'!$AT$90,'HEC Financials'!$AU$90,'HEC Financials'!$AV$90,'HEC Financials'!#REF!,'HEC Financials'!#REF!,'HEC Financials'!$J$91,'HEC Financials'!$K$91,'HEC Financials'!$L$91,'HEC Financials'!$M$91,'HEC Financials'!$N$91</definedName>
    <definedName name="QB_FORMULA_35" localSheetId="2" hidden="1">'HEC Financials'!$O$91,'HEC Financials'!$P$91,'HEC Financials'!$Q$91,'HEC Financials'!$R$91,'HEC Financials'!$S$91,'HEC Financials'!$T$91,'HEC Financials'!$U$91,'HEC Financials'!$V$91,'HEC Financials'!$W$91,'HEC Financials'!$X$91,'HEC Financials'!$Y$91,'HEC Financials'!$Z$91,'HEC Financials'!$AA$91,'HEC Financials'!$AB$91,'HEC Financials'!$AC$91,'HEC Financials'!$AD$91</definedName>
    <definedName name="QB_FORMULA_36" localSheetId="2" hidden="1">'HEC Financials'!$AE$91,'HEC Financials'!$AF$91,'HEC Financials'!$AG$91,'HEC Financials'!$AH$91,'HEC Financials'!$AI$91,'HEC Financials'!$AJ$91,'HEC Financials'!$AK$91,'HEC Financials'!$AL$91,'HEC Financials'!$AM$91,'HEC Financials'!$AN$91,'HEC Financials'!$AO$91,'HEC Financials'!$AP$91,'HEC Financials'!$AQ$91,'HEC Financials'!$AR$91,'HEC Financials'!$AS$91,'HEC Financials'!$AT$91</definedName>
    <definedName name="QB_FORMULA_37" localSheetId="2" hidden="1">'HEC Financials'!$AU$91,'HEC Financials'!$AV$91,'HEC Financials'!#REF!,'HEC Financials'!#REF!</definedName>
    <definedName name="QB_FORMULA_4" localSheetId="2" hidden="1">'HEC Financials'!$AA$12,'HEC Financials'!$AB$12,'HEC Financials'!$AC$12,'HEC Financials'!$AD$12,'HEC Financials'!$AE$12,'HEC Financials'!$AF$12,'HEC Financials'!$AG$12,'HEC Financials'!$AH$12,'HEC Financials'!$AI$12,'HEC Financials'!$AJ$12,'HEC Financials'!$AK$12,'HEC Financials'!$AL$12,'HEC Financials'!$AM$12,'HEC Financials'!$AN$12,'HEC Financials'!$AO$12,'HEC Financials'!$AP$12</definedName>
    <definedName name="QB_FORMULA_5" localSheetId="2" hidden="1">'HEC Financials'!$AQ$12,'HEC Financials'!$AR$12,'HEC Financials'!$AS$12,'HEC Financials'!$AT$12,'HEC Financials'!$AU$12,'HEC Financials'!$AV$12,'HEC Financials'!#REF!,'HEC Financials'!#REF!,'HEC Financials'!$J$13,'HEC Financials'!$K$13,'HEC Financials'!$L$13,'HEC Financials'!$M$13,'HEC Financials'!$N$13,'HEC Financials'!$O$13,'HEC Financials'!$P$13,'HEC Financials'!$Q$13</definedName>
    <definedName name="QB_FORMULA_6" localSheetId="2" hidden="1">'HEC Financials'!$R$13,'HEC Financials'!$S$13,'HEC Financials'!$T$13,'HEC Financials'!$U$13,'HEC Financials'!$V$13,'HEC Financials'!$W$13,'HEC Financials'!$X$13,'HEC Financials'!$Y$13,'HEC Financials'!$Z$13,'HEC Financials'!$AA$13,'HEC Financials'!$AB$13,'HEC Financials'!$AC$13,'HEC Financials'!$AD$13,'HEC Financials'!$AE$13,'HEC Financials'!$AF$13,'HEC Financials'!$AG$13</definedName>
    <definedName name="QB_FORMULA_7" localSheetId="2" hidden="1">'HEC Financials'!$AH$13,'HEC Financials'!$AI$13,'HEC Financials'!$AJ$13,'HEC Financials'!$AK$13,'HEC Financials'!$AL$13,'HEC Financials'!$AM$13,'HEC Financials'!$AN$13,'HEC Financials'!$AO$13,'HEC Financials'!$AP$13,'HEC Financials'!$AQ$13,'HEC Financials'!$AR$13,'HEC Financials'!$AS$13,'HEC Financials'!$AT$13,'HEC Financials'!$AU$13,'HEC Financials'!$AV$13,'HEC Financials'!#REF!</definedName>
    <definedName name="QB_FORMULA_8" localSheetId="2" hidden="1">'HEC Financials'!#REF!,'HEC Financials'!#REF!,'HEC Financials'!#REF!,'HEC Financials'!#REF!,'HEC Financials'!#REF!,'HEC Financials'!$J$21,'HEC Financials'!$K$21,'HEC Financials'!$L$21,'HEC Financials'!$M$21,'HEC Financials'!$N$21,'HEC Financials'!$O$21,'HEC Financials'!$P$21,'HEC Financials'!$Q$21,'HEC Financials'!$R$21,'HEC Financials'!$S$21,'HEC Financials'!$T$21</definedName>
    <definedName name="QB_FORMULA_9" localSheetId="2" hidden="1">'HEC Financials'!$U$21,'HEC Financials'!$V$21,'HEC Financials'!$W$21,'HEC Financials'!$X$21,'HEC Financials'!$Y$21,'HEC Financials'!$Z$21,'HEC Financials'!$AA$21,'HEC Financials'!$AB$21,'HEC Financials'!$AC$21,'HEC Financials'!$AD$21,'HEC Financials'!$AE$21,'HEC Financials'!$AF$21,'HEC Financials'!$AG$21,'HEC Financials'!$AH$21,'HEC Financials'!$AI$21,'HEC Financials'!$AJ$21</definedName>
    <definedName name="QB_ROW_100250" localSheetId="2" hidden="1">'HEC Financials'!$H$50</definedName>
    <definedName name="QB_ROW_101250" localSheetId="2" hidden="1">'HEC Financials'!$H$56</definedName>
    <definedName name="QB_ROW_102250" localSheetId="2" hidden="1">'HEC Financials'!$H$57</definedName>
    <definedName name="QB_ROW_103260" localSheetId="2" hidden="1">'HEC Financials'!$I$27</definedName>
    <definedName name="QB_ROW_105250" localSheetId="2" hidden="1">'HEC Financials'!$H$63</definedName>
    <definedName name="QB_ROW_106250" localSheetId="2" hidden="1">'HEC Financials'!$H$64</definedName>
    <definedName name="QB_ROW_107250" localSheetId="2" hidden="1">'HEC Financials'!$H$65</definedName>
    <definedName name="QB_ROW_108250" localSheetId="2" hidden="1">'HEC Financials'!$H$67</definedName>
    <definedName name="QB_ROW_109230" localSheetId="2" hidden="1">'HEC Financials'!$F$85</definedName>
    <definedName name="QB_ROW_110250" localSheetId="2" hidden="1">'HEC Financials'!$H$69</definedName>
    <definedName name="QB_ROW_111250" localSheetId="2" hidden="1">'HEC Financials'!$H$70</definedName>
    <definedName name="QB_ROW_112230" localSheetId="2" hidden="1">'HEC Financials'!$F$86</definedName>
    <definedName name="QB_ROW_118250" localSheetId="2" hidden="1">'HEC Financials'!$H$71</definedName>
    <definedName name="QB_ROW_123260" localSheetId="2" hidden="1">'HEC Financials'!$I$28</definedName>
    <definedName name="QB_ROW_124260" localSheetId="2" hidden="1">'HEC Financials'!$I$26</definedName>
    <definedName name="QB_ROW_125260" localSheetId="2" hidden="1">'HEC Financials'!$I$25</definedName>
    <definedName name="QB_ROW_126260" localSheetId="2" hidden="1">'HEC Financials'!$I$29</definedName>
    <definedName name="QB_ROW_133250" localSheetId="2" hidden="1">'HEC Financials'!$H$33</definedName>
    <definedName name="QB_ROW_145250" localSheetId="2" hidden="1">'HEC Financials'!$H$55</definedName>
    <definedName name="QB_ROW_152260" localSheetId="2" hidden="1">'HEC Financials'!$I$60</definedName>
    <definedName name="QB_ROW_165240" localSheetId="2" hidden="1">'HEC Financials'!$G$9</definedName>
    <definedName name="QB_ROW_167040" localSheetId="2" hidden="1">'HEC Financials'!$G$15</definedName>
    <definedName name="QB_ROW_167340" localSheetId="2" hidden="1">'HEC Financials'!$G$72</definedName>
    <definedName name="QB_ROW_169250" localSheetId="2" hidden="1">'HEC Financials'!$H$53</definedName>
    <definedName name="QB_ROW_176260" localSheetId="2" hidden="1">'HEC Financials'!$I$19</definedName>
    <definedName name="QB_ROW_178250" localSheetId="2" hidden="1">'HEC Financials'!$H$52</definedName>
    <definedName name="QB_ROW_18301" localSheetId="2" hidden="1">'HEC Financials'!$C$91</definedName>
    <definedName name="QB_ROW_188250" localSheetId="2" hidden="1">'HEC Financials'!$H$34</definedName>
    <definedName name="QB_ROW_19011" localSheetId="2" hidden="1">'HEC Financials'!$D$2</definedName>
    <definedName name="QB_ROW_19311" localSheetId="2" hidden="1">'HEC Financials'!$D$76</definedName>
    <definedName name="QB_ROW_199230" localSheetId="2" hidden="1">'HEC Financials'!$F$80</definedName>
    <definedName name="QB_ROW_20031" localSheetId="2" hidden="1">'HEC Financials'!$F$3</definedName>
    <definedName name="QB_ROW_20331" localSheetId="2" hidden="1">'HEC Financials'!$F$7</definedName>
    <definedName name="QB_ROW_204240" localSheetId="2" hidden="1">'HEC Financials'!$G$4</definedName>
    <definedName name="QB_ROW_205240" localSheetId="2" hidden="1">'HEC Financials'!$G$11</definedName>
    <definedName name="QB_ROW_21031" localSheetId="2" hidden="1">'HEC Financials'!$F$14</definedName>
    <definedName name="QB_ROW_213240" localSheetId="2" hidden="1">'HEC Financials'!$G$5</definedName>
    <definedName name="QB_ROW_21331" localSheetId="2" hidden="1">'HEC Financials'!$F$75</definedName>
    <definedName name="QB_ROW_216050" localSheetId="2" hidden="1">'HEC Financials'!$H$22</definedName>
    <definedName name="QB_ROW_216350" localSheetId="2" hidden="1">'HEC Financials'!$H$30</definedName>
    <definedName name="QB_ROW_217050" localSheetId="2" hidden="1">'HEC Financials'!$H$16</definedName>
    <definedName name="QB_ROW_217350" localSheetId="2" hidden="1">'HEC Financials'!$H$21</definedName>
    <definedName name="QB_ROW_218050" localSheetId="2" hidden="1">'HEC Financials'!$H$59</definedName>
    <definedName name="QB_ROW_218350" localSheetId="2" hidden="1">'HEC Financials'!$H$62</definedName>
    <definedName name="QB_ROW_219250" localSheetId="2" hidden="1">'HEC Financials'!$H$43</definedName>
    <definedName name="QB_ROW_22011" localSheetId="2" hidden="1">'HEC Financials'!$D$77</definedName>
    <definedName name="QB_ROW_22311" localSheetId="2" hidden="1">'HEC Financials'!$D$90</definedName>
    <definedName name="QB_ROW_225250" localSheetId="2" hidden="1">'HEC Financials'!$H$37</definedName>
    <definedName name="QB_ROW_227230" localSheetId="2" hidden="1">'HEC Financials'!$F$81</definedName>
    <definedName name="QB_ROW_23021" localSheetId="2" hidden="1">'HEC Financials'!$E$78</definedName>
    <definedName name="QB_ROW_232230" localSheetId="2" hidden="1">'HEC Financials'!$F$88</definedName>
    <definedName name="QB_ROW_23321" localSheetId="2" hidden="1">'HEC Financials'!$E$83</definedName>
    <definedName name="QB_ROW_235260" localSheetId="2" hidden="1">'HEC Financials'!$I$61</definedName>
    <definedName name="QB_ROW_24021" localSheetId="2" hidden="1">'HEC Financials'!$E$84</definedName>
    <definedName name="QB_ROW_24321" localSheetId="2" hidden="1">'HEC Financials'!$E$89</definedName>
    <definedName name="QB_ROW_245250" localSheetId="2" hidden="1">'HEC Financials'!$H$51</definedName>
    <definedName name="QB_ROW_246250" localSheetId="2" hidden="1">'HEC Financials'!$H$54</definedName>
    <definedName name="QB_ROW_247250" localSheetId="2" hidden="1">'HEC Financials'!$H$68</definedName>
    <definedName name="QB_ROW_253240" localSheetId="2" hidden="1">'HEC Financials'!$G$10</definedName>
    <definedName name="QB_ROW_265250" localSheetId="2" hidden="1">'HEC Financials'!$H$58</definedName>
    <definedName name="QB_ROW_267240" localSheetId="2" hidden="1">'HEC Financials'!$G$74</definedName>
    <definedName name="QB_ROW_271240" localSheetId="2" hidden="1">'HEC Financials'!$G$73</definedName>
    <definedName name="QB_ROW_272230" localSheetId="2" hidden="1">'HEC Financials'!$F$82</definedName>
    <definedName name="QB_ROW_65240" localSheetId="2" hidden="1">'HEC Financials'!$G$6</definedName>
    <definedName name="QB_ROW_74260" localSheetId="2" hidden="1">'HEC Financials'!$I$23</definedName>
    <definedName name="QB_ROW_75260" localSheetId="2" hidden="1">'HEC Financials'!$I$24</definedName>
    <definedName name="QB_ROW_76250" localSheetId="2" hidden="1">'HEC Financials'!$H$31</definedName>
    <definedName name="QB_ROW_77250" localSheetId="2" hidden="1">'HEC Financials'!$H$32</definedName>
    <definedName name="QB_ROW_78250" localSheetId="2" hidden="1">'HEC Financials'!$H$35</definedName>
    <definedName name="QB_ROW_81250" localSheetId="2" hidden="1">'HEC Financials'!$H$36</definedName>
    <definedName name="QB_ROW_83250" localSheetId="2" hidden="1">'HEC Financials'!$H$38</definedName>
    <definedName name="QB_ROW_84250" localSheetId="2" hidden="1">'HEC Financials'!$H$39</definedName>
    <definedName name="QB_ROW_86250" localSheetId="2" hidden="1">'HEC Financials'!$H$40</definedName>
    <definedName name="QB_ROW_86321" localSheetId="2" hidden="1">'HEC Financials'!$E$13</definedName>
    <definedName name="QB_ROW_87031" localSheetId="2" hidden="1">'HEC Financials'!$F$8</definedName>
    <definedName name="QB_ROW_87250" localSheetId="2" hidden="1">'HEC Financials'!$H$41</definedName>
    <definedName name="QB_ROW_87331" localSheetId="2" hidden="1">'HEC Financials'!$F$12</definedName>
    <definedName name="QB_ROW_88250" localSheetId="2" hidden="1">'HEC Financials'!$H$42</definedName>
    <definedName name="QB_ROW_89250" localSheetId="2" hidden="1">'HEC Financials'!$H$44</definedName>
    <definedName name="QB_ROW_90250" localSheetId="2" hidden="1">'HEC Financials'!$H$45</definedName>
    <definedName name="QB_ROW_91260" localSheetId="2" hidden="1">'HEC Financials'!$I$17</definedName>
    <definedName name="QB_ROW_92260" localSheetId="2" hidden="1">'HEC Financials'!$I$18</definedName>
    <definedName name="QB_ROW_93260" localSheetId="2" hidden="1">'HEC Financials'!$I$20</definedName>
    <definedName name="QB_ROW_95250" localSheetId="2" hidden="1">'HEC Financials'!$H$46</definedName>
    <definedName name="QB_ROW_96250" localSheetId="2" hidden="1">'HEC Financials'!$H$47</definedName>
    <definedName name="QB_ROW_98250" localSheetId="2" hidden="1">'HEC Financials'!$H$48</definedName>
    <definedName name="QB_ROW_99250" localSheetId="2" hidden="1">'HEC Financials'!$H$49</definedName>
    <definedName name="QBCANSUPPORTUPDATE" localSheetId="2">TRUE</definedName>
    <definedName name="QBCOMPANYFILENAME" localSheetId="2">"\\server\QuickBooks\Heritage.qbw"</definedName>
    <definedName name="QBENDDATE" localSheetId="2">20230430</definedName>
    <definedName name="QBHEADERSONSCREEN" localSheetId="2">FALSE</definedName>
    <definedName name="QBMETADATASIZE" localSheetId="2">5924</definedName>
    <definedName name="QBPRESERVECOLOR" localSheetId="2">TRUE</definedName>
    <definedName name="QBPRESERVEFONT" localSheetId="2">TRUE</definedName>
    <definedName name="QBPRESERVEROWHEIGHT" localSheetId="2">TRUE</definedName>
    <definedName name="QBPRESERVESPACE" localSheetId="2">TRUE</definedName>
    <definedName name="QBREPORTCOLAXIS" localSheetId="2">6</definedName>
    <definedName name="QBREPORTCOMPANYID" localSheetId="2">"8fff5125083f4cdb85ba71e548d5956f"</definedName>
    <definedName name="QBREPORTCOMPARECOL_ANNUALBUDGET" localSheetId="2">FALSE</definedName>
    <definedName name="QBREPORTCOMPARECOL_AVGCOGS" localSheetId="2">FALSE</definedName>
    <definedName name="QBREPORTCOMPARECOL_AVGPRICE" localSheetId="2">FALSE</definedName>
    <definedName name="QBREPORTCOMPARECOL_BUDDIFF" localSheetId="2">FALSE</definedName>
    <definedName name="QBREPORTCOMPARECOL_BUDGET" localSheetId="2">FALSE</definedName>
    <definedName name="QBREPORTCOMPARECOL_BUDPCT" localSheetId="2">FALSE</definedName>
    <definedName name="QBREPORTCOMPARECOL_COGS" localSheetId="2">FALSE</definedName>
    <definedName name="QBREPORTCOMPARECOL_EXCLUDEAMOUNT" localSheetId="2">FALSE</definedName>
    <definedName name="QBREPORTCOMPARECOL_EXCLUDECURPERIOD" localSheetId="2">FALSE</definedName>
    <definedName name="QBREPORTCOMPARECOL_FORECAST" localSheetId="2">FALSE</definedName>
    <definedName name="QBREPORTCOMPARECOL_GROSSMARGIN" localSheetId="2">FALSE</definedName>
    <definedName name="QBREPORTCOMPARECOL_GROSSMARGINPCT" localSheetId="2">FALSE</definedName>
    <definedName name="QBREPORTCOMPARECOL_HOURS" localSheetId="2">FALSE</definedName>
    <definedName name="QBREPORTCOMPARECOL_PCTCOL" localSheetId="2">FALSE</definedName>
    <definedName name="QBREPORTCOMPARECOL_PCTEXPENSE" localSheetId="2">FALSE</definedName>
    <definedName name="QBREPORTCOMPARECOL_PCTINCOME" localSheetId="2">FALSE</definedName>
    <definedName name="QBREPORTCOMPARECOL_PCTOFSALES" localSheetId="2">FALSE</definedName>
    <definedName name="QBREPORTCOMPARECOL_PCTROW" localSheetId="2">FALSE</definedName>
    <definedName name="QBREPORTCOMPARECOL_PPDIFF" localSheetId="2">FALSE</definedName>
    <definedName name="QBREPORTCOMPARECOL_PPPCT" localSheetId="2">FALSE</definedName>
    <definedName name="QBREPORTCOMPARECOL_PREVPERIOD" localSheetId="2">FALSE</definedName>
    <definedName name="QBREPORTCOMPARECOL_PREVYEAR" localSheetId="2">FALSE</definedName>
    <definedName name="QBREPORTCOMPARECOL_PYDIFF" localSheetId="2">FALSE</definedName>
    <definedName name="QBREPORTCOMPARECOL_PYPCT" localSheetId="2">FALSE</definedName>
    <definedName name="QBREPORTCOMPARECOL_QTY" localSheetId="2">FALSE</definedName>
    <definedName name="QBREPORTCOMPARECOL_RATE" localSheetId="2">FALSE</definedName>
    <definedName name="QBREPORTCOMPARECOL_TRIPBILLEDMILES" localSheetId="2">FALSE</definedName>
    <definedName name="QBREPORTCOMPARECOL_TRIPBILLINGAMOUNT" localSheetId="2">FALSE</definedName>
    <definedName name="QBREPORTCOMPARECOL_TRIPMILES" localSheetId="2">FALSE</definedName>
    <definedName name="QBREPORTCOMPARECOL_TRIPNOTBILLABLEMILES" localSheetId="2">FALSE</definedName>
    <definedName name="QBREPORTCOMPARECOL_TRIPTAXDEDUCTIBLEAMOUNT" localSheetId="2">FALSE</definedName>
    <definedName name="QBREPORTCOMPARECOL_TRIPUNBILLEDMILES" localSheetId="2">FALSE</definedName>
    <definedName name="QBREPORTCOMPARECOL_YTD" localSheetId="2">FALSE</definedName>
    <definedName name="QBREPORTCOMPARECOL_YTDBUDGET" localSheetId="2">FALSE</definedName>
    <definedName name="QBREPORTCOMPARECOL_YTDPCT" localSheetId="2">FALSE</definedName>
    <definedName name="QBREPORTROWAXIS" localSheetId="2">11</definedName>
    <definedName name="QBREPORTSUBCOLAXIS" localSheetId="2">0</definedName>
    <definedName name="QBREPORTTYPE" localSheetId="2">0</definedName>
    <definedName name="QBROWHEADERS" localSheetId="2">7</definedName>
    <definedName name="QBSTARTDATE" localSheetId="2">20200101</definedName>
    <definedName name="R_">#REF!</definedName>
    <definedName name="RANGE">#REF!</definedName>
    <definedName name="rap" hidden="1">{"Page 1",#N/A,FALSE,"Sheet1";"Page 2",#N/A,FALSE,"Sheet1"}</definedName>
    <definedName name="RCArea" hidden="1">#REF!</definedName>
    <definedName name="RDArea" hidden="1">#REF!</definedName>
    <definedName name="RE">[15]Detail!$D$46:$K$50</definedName>
    <definedName name="REALEQUITY">#REF!</definedName>
    <definedName name="RECORDDATE">#REF!</definedName>
    <definedName name="redo" hidden="1">{#N/A,#N/A,FALSE,"ACQ_GRAPHS";#N/A,#N/A,FALSE,"T_1 GRAPHS";#N/A,#N/A,FALSE,"T_2 GRAPHS";#N/A,#N/A,FALSE,"COMB_GRAPHS"}</definedName>
    <definedName name="Reduce_Setup_time">#REF!</definedName>
    <definedName name="REGRESSION">#REF!</definedName>
    <definedName name="Rental_Income">#REF!</definedName>
    <definedName name="repay">#REF!</definedName>
    <definedName name="REPCURRENT">#REF!</definedName>
    <definedName name="REPORTDATE">#REF!</definedName>
    <definedName name="Residential_Sales">#REF!</definedName>
    <definedName name="Restruct">#REF!</definedName>
    <definedName name="RESULTS">#REF!</definedName>
    <definedName name="REV_CCY">#REF!</definedName>
    <definedName name="REV_LCY">#REF!</definedName>
    <definedName name="REV_LTM">#REF!</definedName>
    <definedName name="REV_MM_H_LCY">#REF!</definedName>
    <definedName name="REV_MM_H_LTM">#REF!</definedName>
    <definedName name="REV_MM_H_NCY">#REF!</definedName>
    <definedName name="REV_MM_L_LCY">#REF!</definedName>
    <definedName name="REV_MM_L_LTM">#REF!</definedName>
    <definedName name="REV_MM_L_NCY">#REF!</definedName>
    <definedName name="REV_NCY">#REF!</definedName>
    <definedName name="REV_TM_H">#REF!</definedName>
    <definedName name="REV_TM_L">#REF!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"$D$16"</definedName>
    <definedName name="RiskSelectedNameCell1" hidden="1">"$C$16"</definedName>
    <definedName name="RiskSelectedNameCell2" hidden="1">"$N$1"</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ngCopyFormulasSource" hidden="1">#REF!</definedName>
    <definedName name="Rock2" hidden="1">{"LBO Summary",#N/A,FALSE,"Summary";"Income Statement",#N/A,FALSE,"Model";"Cash Flow",#N/A,FALSE,"Model";"Balance Sheet",#N/A,FALSE,"Model";"Working Capital",#N/A,FALSE,"Model";"Pro Forma Balance Sheets",#N/A,FALSE,"PFBS";"Debt Balances",#N/A,FALSE,"Model";"Fee Schedules",#N/A,FALSE,"Model"}</definedName>
    <definedName name="Rockwell" hidden="1">{"LBO Summary",#N/A,FALSE,"Summary"}</definedName>
    <definedName name="roller">#REF!</definedName>
    <definedName name="roundOpt">[39]Calculator!$E$13</definedName>
    <definedName name="RowTitleRegion1..E9" localSheetId="22">'PNC 2020 Equipment Loan'!$B$5:$D$5</definedName>
    <definedName name="RowTitleRegion1..E9">#REF!</definedName>
    <definedName name="RowTitleRegion2..I7" localSheetId="22">'PNC 2020 Equipment Loan'!$G$5:$H$5</definedName>
    <definedName name="RowTitleRegion2..I7">#REF!</definedName>
    <definedName name="RowTitleRegion3..E9" localSheetId="22">'PNC 2020 Equipment Loan'!$B$11</definedName>
    <definedName name="RowTitleRegion3..E9">#REF!</definedName>
    <definedName name="RowTitleRegion4..H9" localSheetId="22">'PNC 2020 Equipment Loan'!$G$11</definedName>
    <definedName name="RowTitleRegion4..H9">#REF!</definedName>
    <definedName name="rsep">#REF!</definedName>
    <definedName name="rw" hidden="1">{"'Standalone List Price Trends'!$A$1:$X$56"}</definedName>
    <definedName name="rwrwr" hidden="1">{"'Standalone List Price Trends'!$A$1:$X$56"}</definedName>
    <definedName name="rwrwrwrwr" hidden="1">{"'Standalone List Price Trends'!$A$1:$X$56"}</definedName>
    <definedName name="rwwr" hidden="1">{"'Standalone List Price Trends'!$A$1:$X$56"}</definedName>
    <definedName name="Salary">'[28]East MRB'!#REF!</definedName>
    <definedName name="Salary_Rows">'[28]East MRB'!#REF!</definedName>
    <definedName name="Sales_Forecast">'[28]East MRB'!#REF!</definedName>
    <definedName name="Sales_forecast_outyears">#REF!</definedName>
    <definedName name="Sales_Marketing">#REF!</definedName>
    <definedName name="sasndr">'[27]Fin.Pos.'!#REF!</definedName>
    <definedName name="sc" hidden="1">{"Page 1",#N/A,FALSE,"Sheet1";"Page 2",#N/A,FALSE,"Sheet1"}</definedName>
    <definedName name="Scale">[23]Details!$B$10</definedName>
    <definedName name="sch_10a">#REF!</definedName>
    <definedName name="sch_10b">#REF!</definedName>
    <definedName name="sch_10c">#REF!</definedName>
    <definedName name="sch_10d">#REF!</definedName>
    <definedName name="sch_10e">#REF!</definedName>
    <definedName name="sch_11a">#REF!</definedName>
    <definedName name="sch_11b">#REF!</definedName>
    <definedName name="sch_11c">#REF!</definedName>
    <definedName name="sch_11d">#REF!</definedName>
    <definedName name="sch_12a">#REF!</definedName>
    <definedName name="sch_12b">#REF!</definedName>
    <definedName name="sch_12c">#REF!</definedName>
    <definedName name="sch_13a">#REF!</definedName>
    <definedName name="sch_13b">#REF!</definedName>
    <definedName name="sch_13c">#REF!</definedName>
    <definedName name="sch_14a">#REF!</definedName>
    <definedName name="sch_14b">#REF!</definedName>
    <definedName name="sch_14c">#REF!</definedName>
    <definedName name="sch_15a">#REF!</definedName>
    <definedName name="sch_15b">#REF!</definedName>
    <definedName name="sch_15c">#REF!</definedName>
    <definedName name="sch_16a">#REF!</definedName>
    <definedName name="sch_16b">#REF!</definedName>
    <definedName name="sch_16c">#REF!</definedName>
    <definedName name="sch_17a">#REF!</definedName>
    <definedName name="sch_17b">#REF!</definedName>
    <definedName name="sch_17c">#REF!</definedName>
    <definedName name="sch_18a">#REF!</definedName>
    <definedName name="sch_18b">#REF!</definedName>
    <definedName name="sch_18c">#REF!</definedName>
    <definedName name="sch_19a">#REF!</definedName>
    <definedName name="sch_19b">#REF!</definedName>
    <definedName name="sch_19c">#REF!</definedName>
    <definedName name="Sch_1a">#REF!</definedName>
    <definedName name="sch_1b">#REF!</definedName>
    <definedName name="sch_1c">#REF!</definedName>
    <definedName name="sch_20a">#REF!</definedName>
    <definedName name="sch_20b">#REF!</definedName>
    <definedName name="sch_20c">#REF!</definedName>
    <definedName name="sch_2a">#REF!</definedName>
    <definedName name="sch_2b">#REF!</definedName>
    <definedName name="sch_2c">#REF!</definedName>
    <definedName name="sch_3a">#REF!</definedName>
    <definedName name="sch_3b">#REF!</definedName>
    <definedName name="sch_3c">#REF!</definedName>
    <definedName name="sch_4a">#REF!</definedName>
    <definedName name="sch_4b">#REF!</definedName>
    <definedName name="sch_4c">#REF!</definedName>
    <definedName name="sch_5a">#REF!</definedName>
    <definedName name="sch_5b">#REF!</definedName>
    <definedName name="sch_5c">#REF!</definedName>
    <definedName name="sch_6a">#REF!</definedName>
    <definedName name="sch_6b">#REF!</definedName>
    <definedName name="sch_6c">#REF!</definedName>
    <definedName name="sch_6d">#REF!</definedName>
    <definedName name="sch_7a">#REF!</definedName>
    <definedName name="sch_7b">#REF!</definedName>
    <definedName name="sch_7c">#REF!</definedName>
    <definedName name="sch_8a">#REF!</definedName>
    <definedName name="sch_8b">#REF!</definedName>
    <definedName name="sch_9a">#REF!</definedName>
    <definedName name="sch_9b">#REF!</definedName>
    <definedName name="sch_9c">#REF!</definedName>
    <definedName name="sch_9d">#REF!</definedName>
    <definedName name="sch_con">#REF!</definedName>
    <definedName name="SCH_MGM1">#REF!</definedName>
    <definedName name="SCH_MPR1">#REF!</definedName>
    <definedName name="SCH_MPR11">#REF!</definedName>
    <definedName name="SCH_MPR11C">#REF!</definedName>
    <definedName name="SCH_MPR12">#REF!</definedName>
    <definedName name="SCH_MPR12C">#REF!</definedName>
    <definedName name="SCH_MPR13">#REF!</definedName>
    <definedName name="SCH_MPR13C">#REF!</definedName>
    <definedName name="SCH_MPR14">#REF!</definedName>
    <definedName name="SCH_MPR14B">#REF!</definedName>
    <definedName name="SCH_MPR14C">#REF!</definedName>
    <definedName name="SCH_MPR15">#REF!</definedName>
    <definedName name="SCH_MPR15C">#REF!</definedName>
    <definedName name="SCH_MPR16">#REF!</definedName>
    <definedName name="SCH_MPR16C">#REF!</definedName>
    <definedName name="SCH_MPR17">#REF!</definedName>
    <definedName name="SCH_MPR17C">#REF!</definedName>
    <definedName name="SCH_MPR18">#REF!</definedName>
    <definedName name="SCH_MPR19">#REF!</definedName>
    <definedName name="SCH_MPR1C">#REF!</definedName>
    <definedName name="SCH_MPR2">#REF!</definedName>
    <definedName name="SCH_MPR3">#REF!</definedName>
    <definedName name="SCH_MPR4">#REF!</definedName>
    <definedName name="SCH_MPR4C">#REF!</definedName>
    <definedName name="SCH_MPR5">#REF!</definedName>
    <definedName name="SCH_MPR5C">#REF!</definedName>
    <definedName name="SCH_MPR6">#REF!</definedName>
    <definedName name="SCH_MPR6b">#REF!</definedName>
    <definedName name="SCH_MPR6C">#REF!</definedName>
    <definedName name="SCH_MPR7">#REF!</definedName>
    <definedName name="SCH_MPR7C">#REF!</definedName>
    <definedName name="SCH_MPR8">#REF!</definedName>
    <definedName name="SCH_MPR8C">#REF!</definedName>
    <definedName name="SCH_MPR9">#REF!</definedName>
    <definedName name="SCH_MPR9C">#REF!</definedName>
    <definedName name="sch_val1">#REF!</definedName>
    <definedName name="sch_val2">#REF!</definedName>
    <definedName name="ScheduledNumberOfPayments" localSheetId="22">'PNC 2020 Equipment Loan'!$I$6</definedName>
    <definedName name="ScheduledNumberOfPayments">#REF!</definedName>
    <definedName name="ScheduledPayment" localSheetId="22">'PNC 2020 Equipment Loan'!$I$5</definedName>
    <definedName name="ScheduledPayment">#REF!</definedName>
    <definedName name="sdddd" hidden="1">#REF!</definedName>
    <definedName name="sdf">'[40]East MRB'!#REF!</definedName>
    <definedName name="sdfds" hidden="1">{"'Standalone List Price Trends'!$A$1:$X$56"}</definedName>
    <definedName name="Security_Card_Sales">#REF!</definedName>
    <definedName name="Seg_LBO_Summ" hidden="1">{"LBO Summary",#N/A,FALSE,"Summary"}</definedName>
    <definedName name="SelectedDate">[30]Lookup!$A$1</definedName>
    <definedName name="Ser">[5]MonthlyData!#REF!</definedName>
    <definedName name="Service">[5]MonthlyData!#REF!</definedName>
    <definedName name="Service_Income">#REF!</definedName>
    <definedName name="Service_Labor___Alarm_Div.">#REF!</definedName>
    <definedName name="Service_Percent">'[13]Perf Score 2010'!$F$11</definedName>
    <definedName name="SETUP">#REF!</definedName>
    <definedName name="SHARES">#REF!</definedName>
    <definedName name="Shares_OS">[33]DCF!$G$14</definedName>
    <definedName name="shareunits">[14]Model!$E$33</definedName>
    <definedName name="shell_gage">[26]Sheet2!$B$3</definedName>
    <definedName name="shell_perim">[26]Sheet2!$M$13</definedName>
    <definedName name="shell_sections">[26]Sheet2!$E$1</definedName>
    <definedName name="shell_surf_area">[26]Sheet2!$M$15</definedName>
    <definedName name="Shell_used">[26]Sheet2!$B$4</definedName>
    <definedName name="shortname">[41]Shortname!$A$2:$B$535</definedName>
    <definedName name="SMCS">#REF!</definedName>
    <definedName name="solver_cvg" localSheetId="21" hidden="1">0.0001</definedName>
    <definedName name="solver_cvg" localSheetId="9" hidden="1">0.0001</definedName>
    <definedName name="solver_cvg" localSheetId="11" hidden="1">0.0001</definedName>
    <definedName name="solver_cvg" localSheetId="12" hidden="1">0.0001</definedName>
    <definedName name="solver_cvg" localSheetId="8" hidden="1">0.0001</definedName>
    <definedName name="solver_cvg" localSheetId="10" hidden="1">0.0001</definedName>
    <definedName name="solver_cvg" localSheetId="23" hidden="1">0.0001</definedName>
    <definedName name="solver_drv" localSheetId="21" hidden="1">1</definedName>
    <definedName name="solver_drv" localSheetId="9" hidden="1">1</definedName>
    <definedName name="solver_drv" localSheetId="11" hidden="1">1</definedName>
    <definedName name="solver_drv" localSheetId="12" hidden="1">1</definedName>
    <definedName name="solver_drv" localSheetId="8" hidden="1">1</definedName>
    <definedName name="solver_drv" localSheetId="10" hidden="1">1</definedName>
    <definedName name="solver_drv" localSheetId="23" hidden="1">1</definedName>
    <definedName name="solver_est" localSheetId="21" hidden="1">1</definedName>
    <definedName name="solver_est" localSheetId="9" hidden="1">1</definedName>
    <definedName name="solver_est" localSheetId="11" hidden="1">1</definedName>
    <definedName name="solver_est" localSheetId="12" hidden="1">1</definedName>
    <definedName name="solver_est" localSheetId="8" hidden="1">1</definedName>
    <definedName name="solver_est" localSheetId="10" hidden="1">1</definedName>
    <definedName name="solver_est" localSheetId="23" hidden="1">1</definedName>
    <definedName name="solver_itr" localSheetId="21" hidden="1">100</definedName>
    <definedName name="solver_itr" localSheetId="9" hidden="1">100</definedName>
    <definedName name="solver_itr" localSheetId="11" hidden="1">100</definedName>
    <definedName name="solver_itr" localSheetId="12" hidden="1">100</definedName>
    <definedName name="solver_itr" localSheetId="8" hidden="1">100</definedName>
    <definedName name="solver_itr" localSheetId="10" hidden="1">100</definedName>
    <definedName name="solver_itr" localSheetId="23" hidden="1">100</definedName>
    <definedName name="solver_lhs1" localSheetId="21" hidden="1">'Bart Anderson Loan'!#REF!</definedName>
    <definedName name="solver_lhs1" localSheetId="9" hidden="1">'Brnch 1L Debt'!#REF!</definedName>
    <definedName name="solver_lhs1" localSheetId="11" hidden="1">'Brnch Seller Debt'!#REF!</definedName>
    <definedName name="solver_lhs1" localSheetId="12" hidden="1">'Brnch Sub Debt'!#REF!</definedName>
    <definedName name="solver_lhs1" localSheetId="8" hidden="1">'HEC 1L Debt'!#REF!</definedName>
    <definedName name="solver_lhs1" localSheetId="10" hidden="1">'HEC Seller Debt'!#REF!</definedName>
    <definedName name="solver_lhs1" localSheetId="23" hidden="1">'PNC 2021 Equipment Loan'!#REF!</definedName>
    <definedName name="solver_lin" localSheetId="21" hidden="1">2</definedName>
    <definedName name="solver_lin" localSheetId="9" hidden="1">2</definedName>
    <definedName name="solver_lin" localSheetId="11" hidden="1">2</definedName>
    <definedName name="solver_lin" localSheetId="12" hidden="1">2</definedName>
    <definedName name="solver_lin" localSheetId="8" hidden="1">2</definedName>
    <definedName name="solver_lin" localSheetId="10" hidden="1">2</definedName>
    <definedName name="solver_lin" localSheetId="23" hidden="1">2</definedName>
    <definedName name="solver_neg" localSheetId="21" hidden="1">2</definedName>
    <definedName name="solver_neg" localSheetId="9" hidden="1">2</definedName>
    <definedName name="solver_neg" localSheetId="11" hidden="1">2</definedName>
    <definedName name="solver_neg" localSheetId="12" hidden="1">2</definedName>
    <definedName name="solver_neg" localSheetId="8" hidden="1">2</definedName>
    <definedName name="solver_neg" localSheetId="10" hidden="1">2</definedName>
    <definedName name="solver_neg" localSheetId="23" hidden="1">2</definedName>
    <definedName name="solver_num" localSheetId="21" hidden="1">0</definedName>
    <definedName name="solver_num" localSheetId="9" hidden="1">0</definedName>
    <definedName name="solver_num" localSheetId="11" hidden="1">0</definedName>
    <definedName name="solver_num" localSheetId="12" hidden="1">0</definedName>
    <definedName name="solver_num" localSheetId="8" hidden="1">0</definedName>
    <definedName name="solver_num" localSheetId="10" hidden="1">0</definedName>
    <definedName name="solver_num" localSheetId="23" hidden="1">0</definedName>
    <definedName name="solver_nwt" localSheetId="21" hidden="1">1</definedName>
    <definedName name="solver_nwt" localSheetId="9" hidden="1">1</definedName>
    <definedName name="solver_nwt" localSheetId="11" hidden="1">1</definedName>
    <definedName name="solver_nwt" localSheetId="12" hidden="1">1</definedName>
    <definedName name="solver_nwt" localSheetId="8" hidden="1">1</definedName>
    <definedName name="solver_nwt" localSheetId="10" hidden="1">1</definedName>
    <definedName name="solver_nwt" localSheetId="23" hidden="1">1</definedName>
    <definedName name="solver_pre" localSheetId="21" hidden="1">0.000001</definedName>
    <definedName name="solver_pre" localSheetId="9" hidden="1">0.000001</definedName>
    <definedName name="solver_pre" localSheetId="11" hidden="1">0.000001</definedName>
    <definedName name="solver_pre" localSheetId="12" hidden="1">0.000001</definedName>
    <definedName name="solver_pre" localSheetId="8" hidden="1">0.000001</definedName>
    <definedName name="solver_pre" localSheetId="10" hidden="1">0.000001</definedName>
    <definedName name="solver_pre" localSheetId="23" hidden="1">0.000001</definedName>
    <definedName name="solver_rel1" localSheetId="21" hidden="1">1</definedName>
    <definedName name="solver_rel1" localSheetId="9" hidden="1">1</definedName>
    <definedName name="solver_rel1" localSheetId="11" hidden="1">1</definedName>
    <definedName name="solver_rel1" localSheetId="12" hidden="1">1</definedName>
    <definedName name="solver_rel1" localSheetId="8" hidden="1">1</definedName>
    <definedName name="solver_rel1" localSheetId="10" hidden="1">1</definedName>
    <definedName name="solver_rel1" localSheetId="23" hidden="1">1</definedName>
    <definedName name="solver_rhs1" localSheetId="21" hidden="1">30</definedName>
    <definedName name="solver_rhs1" localSheetId="9" hidden="1">30</definedName>
    <definedName name="solver_rhs1" localSheetId="11" hidden="1">30</definedName>
    <definedName name="solver_rhs1" localSheetId="12" hidden="1">30</definedName>
    <definedName name="solver_rhs1" localSheetId="8" hidden="1">30</definedName>
    <definedName name="solver_rhs1" localSheetId="10" hidden="1">30</definedName>
    <definedName name="solver_rhs1" localSheetId="23" hidden="1">30</definedName>
    <definedName name="solver_scl" localSheetId="21" hidden="1">2</definedName>
    <definedName name="solver_scl" localSheetId="9" hidden="1">2</definedName>
    <definedName name="solver_scl" localSheetId="11" hidden="1">2</definedName>
    <definedName name="solver_scl" localSheetId="12" hidden="1">2</definedName>
    <definedName name="solver_scl" localSheetId="8" hidden="1">2</definedName>
    <definedName name="solver_scl" localSheetId="10" hidden="1">2</definedName>
    <definedName name="solver_scl" localSheetId="23" hidden="1">2</definedName>
    <definedName name="solver_sho" localSheetId="21" hidden="1">2</definedName>
    <definedName name="solver_sho" localSheetId="9" hidden="1">2</definedName>
    <definedName name="solver_sho" localSheetId="11" hidden="1">2</definedName>
    <definedName name="solver_sho" localSheetId="12" hidden="1">2</definedName>
    <definedName name="solver_sho" localSheetId="8" hidden="1">2</definedName>
    <definedName name="solver_sho" localSheetId="10" hidden="1">2</definedName>
    <definedName name="solver_sho" localSheetId="23" hidden="1">2</definedName>
    <definedName name="solver_tim" localSheetId="21" hidden="1">100</definedName>
    <definedName name="solver_tim" localSheetId="9" hidden="1">100</definedName>
    <definedName name="solver_tim" localSheetId="11" hidden="1">100</definedName>
    <definedName name="solver_tim" localSheetId="12" hidden="1">100</definedName>
    <definedName name="solver_tim" localSheetId="8" hidden="1">100</definedName>
    <definedName name="solver_tim" localSheetId="10" hidden="1">100</definedName>
    <definedName name="solver_tim" localSheetId="23" hidden="1">100</definedName>
    <definedName name="solver_tol" localSheetId="21" hidden="1">0.05</definedName>
    <definedName name="solver_tol" localSheetId="9" hidden="1">0.05</definedName>
    <definedName name="solver_tol" localSheetId="11" hidden="1">0.05</definedName>
    <definedName name="solver_tol" localSheetId="12" hidden="1">0.05</definedName>
    <definedName name="solver_tol" localSheetId="8" hidden="1">0.05</definedName>
    <definedName name="solver_tol" localSheetId="10" hidden="1">0.05</definedName>
    <definedName name="solver_tol" localSheetId="23" hidden="1">0.05</definedName>
    <definedName name="solver_typ" localSheetId="21" hidden="1">1</definedName>
    <definedName name="solver_typ" localSheetId="9" hidden="1">1</definedName>
    <definedName name="solver_typ" localSheetId="11" hidden="1">1</definedName>
    <definedName name="solver_typ" localSheetId="12" hidden="1">1</definedName>
    <definedName name="solver_typ" localSheetId="8" hidden="1">1</definedName>
    <definedName name="solver_typ" localSheetId="10" hidden="1">1</definedName>
    <definedName name="solver_typ" localSheetId="23" hidden="1">1</definedName>
    <definedName name="solver_val" localSheetId="21" hidden="1">0</definedName>
    <definedName name="solver_val" localSheetId="9" hidden="1">0</definedName>
    <definedName name="solver_val" localSheetId="11" hidden="1">0</definedName>
    <definedName name="solver_val" localSheetId="12" hidden="1">0</definedName>
    <definedName name="solver_val" localSheetId="8" hidden="1">0</definedName>
    <definedName name="solver_val" localSheetId="10" hidden="1">0</definedName>
    <definedName name="solver_val" localSheetId="23" hidden="1">0</definedName>
    <definedName name="Sort1" hidden="1">[1]Contracts!$A$7:$H$103</definedName>
    <definedName name="SortRange">#REF!</definedName>
    <definedName name="Spec">#REF!</definedName>
    <definedName name="SpecialPrice" hidden="1">#REF!</definedName>
    <definedName name="spoc" hidden="1">{"Page 1",#N/A,FALSE,"Sheet1";"Page 2",#N/A,FALSE,"Sheet1"}</definedName>
    <definedName name="SSHt">[26]Sheet2!$B$2</definedName>
    <definedName name="start_day">[42]February!$AD$24</definedName>
    <definedName name="status_codes">[43]Details!$B$172:$B$174</definedName>
    <definedName name="STMT_OF_ACT_CY">'[27]Fin.Pos.'!#REF!</definedName>
    <definedName name="STMT_OF_ACT_PY">'[27]Fin.Pos.'!#REF!</definedName>
    <definedName name="STMT_OF_CHANGES">'[27]Fin.Pos.'!#REF!</definedName>
    <definedName name="Structure">[18]Inputs!$N$3</definedName>
    <definedName name="stub">#REF!</definedName>
    <definedName name="Subcontract_Labor___Alarm_Div.">#REF!</definedName>
    <definedName name="Subcontract_Labor___Lock_Div.">#REF!</definedName>
    <definedName name="Subcontractors___Alarm_Div.">#REF!</definedName>
    <definedName name="Subcontractors___Lock_Div.">#REF!</definedName>
    <definedName name="subdiv">[23]Details!$B$6</definedName>
    <definedName name="Subheader">[18]Inputs!$F$5</definedName>
    <definedName name="SUMM1">#REF!</definedName>
    <definedName name="SUMM2">#REF!</definedName>
    <definedName name="Surf_Area">[26]Sheet2!$M$6</definedName>
    <definedName name="SV_AUTO_CONN_CATALOG" hidden="1">"CHCDAT"</definedName>
    <definedName name="SV_AUTO_CONN_SERVER" hidden="1">"CMSQL"</definedName>
    <definedName name="SV_DBTYPE">"5"</definedName>
    <definedName name="SV_ENCPT_AUTO_CONN_PASSWORD" hidden="1">"083096084083070078065115102087068116051051"</definedName>
    <definedName name="SV_ENCPT_AUTO_CONN_USER" hidden="1">"095094088070084121098"</definedName>
    <definedName name="SV_ENCPT_LOGON_PWD" hidden="1">"078104085088070"</definedName>
    <definedName name="SV_ENCPT_LOGON_USER" hidden="1">"095094088070084074066087071066"</definedName>
    <definedName name="SV_REPORT_CODE">"S300-SQL-AI01-1-0"</definedName>
    <definedName name="SV_REPORT_ID">"12"</definedName>
    <definedName name="SV_REPORT_NAME">"Craftmaster Financial Reports Package 2019NEW"</definedName>
    <definedName name="SV_REPOSCODE">""</definedName>
    <definedName name="SV_SOLUTION_ID">"33"</definedName>
    <definedName name="SV_TENANT_CODE">"CHCDAT"</definedName>
    <definedName name="Svc_Office_EE_Count">#REF!</definedName>
    <definedName name="t" hidden="1">{"'Sheet1'!$A$1:$H$96"}</definedName>
    <definedName name="TABLE1">#REF!</definedName>
    <definedName name="Tax_Rate">'[13]Perf Score 2010'!$F$16</definedName>
    <definedName name="taxcase">[14]Model!$E$29</definedName>
    <definedName name="TaxRate">#REF!</definedName>
    <definedName name="tbl_ProdInfo" hidden="1">#REF!</definedName>
    <definedName name="TCOL1">#REF!</definedName>
    <definedName name="TCOL10">#REF!</definedName>
    <definedName name="TCOL2">#REF!</definedName>
    <definedName name="TCOL3">#REF!</definedName>
    <definedName name="TCOL4">#REF!</definedName>
    <definedName name="TCOL5">#REF!</definedName>
    <definedName name="TCOL6">#REF!</definedName>
    <definedName name="TCOL7">#REF!</definedName>
    <definedName name="TCOL8">#REF!</definedName>
    <definedName name="TCOL9">#REF!</definedName>
    <definedName name="temp">#REF!</definedName>
    <definedName name="temp1">#REF!</definedName>
    <definedName name="temp2">#REF!</definedName>
    <definedName name="temp3">#REF!</definedName>
    <definedName name="Temporary_Labor___Alarm_Div.">#REF!</definedName>
    <definedName name="Temporary_Labor___Lock_Div.">#REF!</definedName>
    <definedName name="TEST">#REF!</definedName>
    <definedName name="TEST1">#REF!</definedName>
    <definedName name="test2" hidden="1">{"Page 1",#N/A,FALSE,"Sheet1";"Page 2",#N/A,FALSE,"Sheet1"}</definedName>
    <definedName name="TESTCOLUMN">#REF!</definedName>
    <definedName name="testpage" hidden="1">{"Page 1",#N/A,FALSE,"Sheet1";"Page 2",#N/A,FALSE,"Sheet1"}</definedName>
    <definedName name="TESTRANGE">#REF!</definedName>
    <definedName name="TESTTABLE">#REF!</definedName>
    <definedName name="TextRefCopyRangeCount" hidden="1">6</definedName>
    <definedName name="Timberline_Data_Source__not_sharable">#REF!</definedName>
    <definedName name="TITLE">[38]Inputs!$Q$66</definedName>
    <definedName name="Titles">#REF!</definedName>
    <definedName name="tlongname">#REF!</definedName>
    <definedName name="TopHeadType">[26]Sheet2!$B$8</definedName>
    <definedName name="TopSection">#REF!</definedName>
    <definedName name="Tot_Group">#REF!</definedName>
    <definedName name="Total_Direct_Expense">'[13]Perf Score 2010'!$A$50:$IV$50</definedName>
    <definedName name="Total_Group">#REF!</definedName>
    <definedName name="Total_Group1">#REF!</definedName>
    <definedName name="Total_Revenue">'[13]Perf Score 2010'!$A$49:$IV$49</definedName>
    <definedName name="Total_Sales">[5]MonthlyData!$A$4:$IV$4</definedName>
    <definedName name="TotalEarlyPayments" localSheetId="22">SUM(PaymentSchedule3[Extra
Payment])</definedName>
    <definedName name="TotalEarlyPayments">SUM(#REF!)</definedName>
    <definedName name="TotalGroup">#REF!</definedName>
    <definedName name="TotalInterest" localSheetId="22">SUM(PaymentSchedule3[Interest])</definedName>
    <definedName name="TotalInterest">SUM(#REF!)</definedName>
    <definedName name="transcase">[14]Model!$E$14</definedName>
    <definedName name="transtype">[14]Model!$N$510</definedName>
    <definedName name="trend" hidden="1">{#N/A,#N/A,FALSE,"Aging Summary";#N/A,#N/A,FALSE,"Ratio Analysis";#N/A,#N/A,FALSE,"Test 120 Day Accts";#N/A,#N/A,FALSE,"Tickmarks"}</definedName>
    <definedName name="TRENDTABLE">#REF!</definedName>
    <definedName name="tshortname">#REF!</definedName>
    <definedName name="UFPrn20040308111222">#REF!</definedName>
    <definedName name="unit_code">[23]Details!$B$8</definedName>
    <definedName name="unit_name">[23]Details!$B$7</definedName>
    <definedName name="Validations">#REF!</definedName>
    <definedName name="Valuation2" hidden="1">'[3]Op Sch'!#REF!</definedName>
    <definedName name="VALUES">[38]Inputs!$C$43</definedName>
    <definedName name="valuevx">42.314159</definedName>
    <definedName name="Version">[23]Details!$B$16</definedName>
    <definedName name="WACC">#REF!</definedName>
    <definedName name="wc">#REF!</definedName>
    <definedName name="WEIGHTS">#REF!</definedName>
    <definedName name="WEIGHTS1">#REF!</definedName>
    <definedName name="WEIGHTS2">#REF!</definedName>
    <definedName name="WEIGHTTABLE">#REF!</definedName>
    <definedName name="Weld_hrs">[26]Sheet2!$M$7</definedName>
    <definedName name="weld_rate">[26]Sheet2!$M$4</definedName>
    <definedName name="Work_In_Process___Labor">#REF!</definedName>
    <definedName name="Work_In_Process___Material">#REF!</definedName>
    <definedName name="wrn.Accretion." hidden="1">{"Accretion",#N/A,FALSE,"Assum"}</definedName>
    <definedName name="wrn.Aging._.and._.Trend._.Analysis." hidden="1">{#N/A,#N/A,FALSE,"Aging Summary";#N/A,#N/A,FALSE,"Ratio Analysis";#N/A,#N/A,FALSE,"Test 120 Day Accts";#N/A,#N/A,FALSE,"Tickmarks"}</definedName>
    <definedName name="wrn.ALL." hidden="1">{#N/A,#N/A,FALSE,"INPUTS";#N/A,#N/A,FALSE,"PROFORMA BSHEET";#N/A,#N/A,FALSE,"COMBINED";#N/A,#N/A,FALSE,"ACQUIROR";#N/A,#N/A,FALSE,"TARGET 1";#N/A,#N/A,FALSE,"TARGET 2";#N/A,#N/A,FALSE,"HIGH YIELD";#N/A,#N/A,FALSE,"OVERFUND"}</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mortization." hidden="1">{"Exist Debt Amort",#N/A,TRUE,"Financials";"Intangible Amort",#N/A,TRUE,"Financials";"Proj Debt Amort",#N/A,TRUE,"Financials";"Proj Pfd Amort",#N/A,TRUE,"Financials"}</definedName>
    <definedName name="wrn.asg." hidden="1">{#N/A,#N/A,FALSE,"Exh 1";#N/A,#N/A,FALSE,"Exh 2";#N/A,#N/A,FALSE,"Exh 2a";#N/A,#N/A,FALSE,"Exh 3";#N/A,#N/A,FALSE,"Exhib 4";#N/A,#N/A,FALSE,"eh 5";#N/A,#N/A,FALSE,"Exh 6"}</definedName>
    <definedName name="wrn.Assumptions." hidden="1">{"Assumptions",#N/A,FALSE,"Assum"}</definedName>
    <definedName name="wrn.balsheet." hidden="1">{"balsheet",#N/A,FALSE,"A"}</definedName>
    <definedName name="wrn.Basic." hidden="1">{#N/A,#N/A,FALSE,"e-Svc Level";#N/A,#N/A,FALSE,"e-Hosted";#N/A,#N/A,FALSE,"e-Licensed";#N/A,#N/A,FALSE,"Assumptions"}</definedName>
    <definedName name="wrn.Basic._.Report." hidden="1">{#N/A,#N/A,FALSE,"New Depr Sch-150% DB";#N/A,#N/A,FALSE,"Cash Flows RLP";#N/A,#N/A,FALSE,"IRR";#N/A,#N/A,FALSE,"Proforma IS";#N/A,#N/A,FALSE,"Assumptions"}</definedName>
    <definedName name="wrn.CAG." hidden="1">{#N/A,#N/A,FALSE,"CAG"}</definedName>
    <definedName name="wrn.CGE" hidden="1">{#N/A,#N/A,TRUE,"CIN-11";#N/A,#N/A,TRUE,"CIN-13";#N/A,#N/A,TRUE,"CIN-14";#N/A,#N/A,TRUE,"CIN-16";#N/A,#N/A,TRUE,"CIN-17";#N/A,#N/A,TRUE,"CIN-18";#N/A,#N/A,TRUE,"CIN Earnings To Fixed Charges";#N/A,#N/A,TRUE,"CIN Financial Ratios";#N/A,#N/A,TRUE,"CIN-IS";#N/A,#N/A,TRUE,"CIN-BS";#N/A,#N/A,TRUE,"CIN-CS";#N/A,#N/A,TRUE,"Invest In Unconsol Subs"}</definedName>
    <definedName name="wrn.cge2" hidden="1">{#N/A,#N/A,TRUE,"CIN-11";#N/A,#N/A,TRUE,"CIN-13";#N/A,#N/A,TRUE,"CIN-14";#N/A,#N/A,TRUE,"CIN-16";#N/A,#N/A,TRUE,"CIN-17";#N/A,#N/A,TRUE,"CIN-18";#N/A,#N/A,TRUE,"CIN Earnings To Fixed Charges";#N/A,#N/A,TRUE,"CIN Financial Ratios";#N/A,#N/A,TRUE,"CIN-IS";#N/A,#N/A,TRUE,"CIN-BS";#N/A,#N/A,TRUE,"CIN-CS";#N/A,#N/A,TRUE,"Invest In Unconsol Subs"}</definedName>
    <definedName name="wrn.CIN." hidden="1">{#N/A,#N/A,TRUE,"CIN-11";#N/A,#N/A,TRUE,"CIN-13";#N/A,#N/A,TRUE,"CIN-14";#N/A,#N/A,TRUE,"CIN-16";#N/A,#N/A,TRUE,"CIN-17";#N/A,#N/A,TRUE,"CIN-18";#N/A,#N/A,TRUE,"CIN Earnings To Fixed Charges";#N/A,#N/A,TRUE,"CIN Financial Ratios";#N/A,#N/A,TRUE,"CIN-IS";#N/A,#N/A,TRUE,"CIN-BS";#N/A,#N/A,TRUE,"CIN-CS";#N/A,#N/A,TRUE,"Invest In Unconsol Subs"}</definedName>
    <definedName name="wrn.cinergy." hidden="1">{#N/A,#N/A,FALSE,"CINERGY"}</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BINED." hidden="1">{#N/A,#N/A,FALSE,"INPUTS";#N/A,#N/A,FALSE,"PROFORMA BSHEET";#N/A,#N/A,FALSE,"COMBINED";#N/A,#N/A,FALSE,"HIGH YIELD";#N/A,#N/A,FALSE,"COMB_GRAPHS"}</definedName>
    <definedName name="wrn.Complete._.Report." hidden="1">{#N/A,#N/A,FALSE,"Assumptions";#N/A,#N/A,FALSE,"Proforma IS";#N/A,#N/A,FALSE,"Cash Flows RLP";#N/A,#N/A,FALSE,"IRR";#N/A,#N/A,FALSE,"New Depr Sch-150% DB";#N/A,#N/A,FALSE,"Comments"}</definedName>
    <definedName name="wrn.CPB." hidden="1">{#N/A,#N/A,FALSE,"CPB"}</definedName>
    <definedName name="wrn.Credit._.Summary." hidden="1">{#N/A,#N/A,FALSE,"Credit Summary"}</definedName>
    <definedName name="wrn.crossroads." hidden="1">{#N/A,#N/A,FALSE,"RENT ROLL";#N/A,#N/A,FALSE,"CAM";#N/A,#N/A,FALSE,"TAXES";#N/A,#N/A,FALSE,"INSURANCE";#N/A,#N/A,FALSE,"HVAC";#N/A,#N/A,FALSE,"MARKETING"}</definedName>
    <definedName name="wrn.dcf." hidden="1">{"mgmt forecast",#N/A,FALSE,"Mgmt Forecast";"dcf table",#N/A,FALSE,"Mgmt Forecast";"sensitivity",#N/A,FALSE,"Mgmt Forecast";"table inputs",#N/A,FALSE,"Mgmt Forecast";"calculations",#N/A,FALSE,"Mgmt Forecast"}</definedName>
    <definedName name="wrn.Depreciation." hidden="1">{"GAAP Deprec",#N/A,TRUE,"Financials";"Tax Deprec",#N/A,TRUE,"Financials"}</definedName>
    <definedName name="wrn.Development._.Hours." hidden="1">{#N/A,#N/A,FALSE,"July 95";#N/A,#N/A,FALSE,"Aug 95";#N/A,#N/A,FALSE,"Sep 95";#N/A,#N/A,FALSE,"October 95"}</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_.A." hidden="1">{"Page 1",#N/A,TRUE,"Sheet1";"Page 2",#N/A,TRUE,"Sheet1"}</definedName>
    <definedName name="wrn.FCB." hidden="1">{"FCB_ALL",#N/A,FALSE,"FCB"}</definedName>
    <definedName name="wrn.fcb2" hidden="1">{"FCB_ALL",#N/A,FALSE,"FCB"}</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nancials." hidden="1">{"Inc Stmt",#N/A,TRUE,"Financials";"Common Size",#N/A,TRUE,"Financials";"BS Assets",#N/A,TRUE,"Financials";"BS Liabilities",#N/A,TRUE,"Financials";"Cash Flow Stmt",#N/A,TRUE,"Financials";"DCF",#N/A,TRUE,"Financials"}</definedName>
    <definedName name="wrn.Full._.Model."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GIS." hidden="1">{#N/A,#N/A,FALSE,"GIS"}</definedName>
    <definedName name="wrn.GRAPHS." hidden="1">{#N/A,#N/A,FALSE,"ACQ_GRAPHS";#N/A,#N/A,FALSE,"T_1 GRAPHS";#N/A,#N/A,FALSE,"T_2 GRAPHS";#N/A,#N/A,FALSE,"COMB_GRAPHS"}</definedName>
    <definedName name="wrn.HNZ." hidden="1">{#N/A,#N/A,FALSE,"HNZ"}</definedName>
    <definedName name="wrn.IPO._.Valuation." hidden="1">{"assumptions",#N/A,FALSE,"Scenario 1";"valuation",#N/A,FALSE,"Scenario 1"}</definedName>
    <definedName name="wrn.K." hidden="1">{#N/A,#N/A,FALSE,"K"}</definedName>
    <definedName name="wrn.LBO._.Summary." hidden="1">{"LBO Summary",#N/A,FALSE,"Summary"}</definedName>
    <definedName name="wrn.MCCRK." hidden="1">{#N/A,#N/A,FALSE,"MCCRK"}</definedName>
    <definedName name="wrn.Monthly._.Act._.P_L." hidden="1">{"Monthly",#N/A,FALSE,"1.2"}</definedName>
    <definedName name="wrn.Mor._.Pack._.January." hidden="1">{#N/A,#N/A,FALSE,"Contents";"Jan 96",#N/A,FALSE,"1.1";#N/A,#N/A,FALSE,"1.2";#N/A,#N/A,FALSE,"1.3";#N/A,#N/A,FALSE,"1.4";#N/A,#N/A,FALSE,"2.0";#N/A,#N/A,FALSE,"3.1";#N/A,#N/A,FALSE,"3.2";#N/A,#N/A,FALSE,"4.1";#N/A,#N/A,FALSE,"4.2";#N/A,#N/A,FALSE,"5.1";#N/A,#N/A,FALSE,"5.2";#N/A,#N/A,FALSE,"5.3";#N/A,#N/A,FALSE,"6.1";#N/A,#N/A,FALSE,"6.2";#N/A,#N/A,FALSE,"7.0";#N/A,#N/A,FALSE,"8.0"}</definedName>
    <definedName name="wrn.MRP._.Pack._.excl._.cash."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definedName>
    <definedName name="wrn.MRP._.Pack._.excl._.commentary." hidden="1">{#N/A,#N/A,FALSE,"Header";#N/A,#N/A,FALSE,"Group Statement";#N/A,#N/A,FALSE,"Group P&amp;L Analysis";#N/A,#N/A,FALSE,"Tog Report";#N/A,#N/A,FALSE,"Customer Admin Report";#N/A,#N/A,FALSE,"Insure Report";#N/A,#N/A,FALSE,"XCS Report";#N/A,#N/A,FALSE,"Proc Report";#N/A,#N/A,FALSE,"New Entity (0502) Report";#N/A,#N/A,FALSE,"Bus Serv &amp; Invest ";#N/A,#N/A,FALSE,"Cash Flow"}</definedName>
    <definedName name="wrn.MRP._.Pack._.inc._.commentary."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";#N/A,#N/A,FALSE,"Cash Flow"}</definedName>
    <definedName name="wrn.NA." hidden="1">{#N/A,#N/A,FALSE,"NA"}</definedName>
    <definedName name="wrn.Page._.1." hidden="1">{"Page 1",#N/A,FALSE,"Sheet1";"Page 2",#N/A,FALSE,"Sheet1"}</definedName>
    <definedName name="wrn.print." hidden="1">{#N/A,#N/A,FALSE,"Japan 2003";#N/A,#N/A,FALSE,"Sheet2"}</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All._.Worksheets." hidden="1">{#N/A,#N/A,FALSE,"Capitaliztion Matrix";#N/A,#N/A,FALSE,"4YR P&amp;L";#N/A,#N/A,FALSE,"Program Contributions";#N/A,#N/A,FALSE,"P&amp;L Trans YR 2";#N/A,#N/A,FALSE,"Rev &amp; EBITDA YR2";#N/A,#N/A,FALSE,"P&amp;L Trans YR 1";#N/A,#N/A,FALSE,"Rev &amp; EBITDA YR1"}</definedName>
    <definedName name="wrn.print._.graphs." hidden="1">{"cap_structure",#N/A,FALSE,"Graph-Mkt Cap";"price",#N/A,FALSE,"Graph-Price";"ebit",#N/A,FALSE,"Graph-EBITDA";"ebitda",#N/A,FALSE,"Graph-EBITDA"}</definedName>
    <definedName name="wrn.print._.raw._.data._.entry." hidden="1">{"inputs raw data",#N/A,TRUE,"INPUT"}</definedName>
    <definedName name="wrn.print._.standalone." hidden="1">{"standalone1",#N/A,FALSE,"DCFBase";"standalone2",#N/A,FALSE,"DCFBase"}</definedName>
    <definedName name="wrn.print._.summary._.sheets." hidden="1">{"summary1",#N/A,TRUE,"Comps";"summary2",#N/A,TRUE,"Comps";"summary3",#N/A,TRUE,"Comps"}</definedName>
    <definedName name="wrn.print._.summary._.sheets.2" hidden="1">{"summary1",#N/A,TRUE,"Comps";"summary2",#N/A,TRUE,"Comps";"summary3",#N/A,TRUE,"Comps"}</definedName>
    <definedName name="wrn.Print_Buyer." hidden="1">{#N/A,"DR",FALSE,"increm pf";#N/A,"MAMSI",FALSE,"increm pf";#N/A,"MAXI",FALSE,"increm pf";#N/A,"PCAM",FALSE,"increm pf";#N/A,"PHSV",FALSE,"increm pf";#N/A,"SIE",FALSE,"increm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Qtrs_PL." hidden="1">{"Quarters",#N/A,FALSE,"1.2"}</definedName>
    <definedName name="wrn.Report1." hidden="1">{#N/A,#N/A,FALSE,"July 95";#N/A,#N/A,FALSE,"Aug 95";#N/A,#N/A,FALSE,"Sep 95";#N/A,#N/A,FALSE,"October 95";#N/A,#N/A,FALSE,"November 95";#N/A,#N/A,FALSE,"December 95";#N/A,#N/A,FALSE,"February 96";#N/A,#N/A,FALSE,"March 96"}</definedName>
    <definedName name="wrn.rpts." hidden="1">{#N/A,#N/A,TRUE,"Services";#N/A,#N/A,TRUE,"Sales - QM";#N/A,#N/A,TRUE,"Sales - HC";#N/A,#N/A,TRUE,"Int'l";#N/A,#N/A,TRUE,"PW Institute";#N/A,#N/A,TRUE,"Mktg Dept";#N/A,#N/A,TRUE,"R&amp;D";#N/A,#N/A,TRUE,"G&amp;A"}</definedName>
    <definedName name="wrn.Seven._.Page." hidden="1">{"Income",#N/A,FALSE,"income";"Sales",#N/A,FALSE,"income";"Critical",#N/A,FALSE,"income";"Market",#N/A,FALSE,"Market";"Returns",#N/A,FALSE,"returns";"Balance",#N/A,FALSE,"balance";"Cash Flow",#N/A,FALSE,"balance"}</definedName>
    <definedName name="wrn.Six._.Page." hidden="1">{"Income",#N/A,FALSE,"Earnings";"Critical Measures",#N/A,FALSE,"Earnings";"Balance",#N/A,FALSE,"Balance";"Cash Flow",#N/A,FALSE,"Balance";"Market",#N/A,FALSE,"Market";"Returns",#N/A,FALSE,"Returns"}</definedName>
    <definedName name="wrn.Sixpage." hidden="1">{"Income",#N/A,FALSE,"income";"Critical",#N/A,FALSE,"income";"Balance",#N/A,FALSE,"Balance";"Cash Flow",#N/A,FALSE,"Balance";"Returns",#N/A,FALSE,"Returns";"Market",#N/A,FALSE,"Market"}</definedName>
    <definedName name="wrn.SKSCS1." hidden="1">{#N/A,#N/A,FALSE,"Antony Financials";#N/A,#N/A,FALSE,"Cowboy Financials";#N/A,#N/A,FALSE,"Combined";#N/A,#N/A,FALSE,"Valuematrix";#N/A,#N/A,FALSE,"DCFAntony";#N/A,#N/A,FALSE,"DCFCowboy";#N/A,#N/A,FALSE,"DCFCombined"}</definedName>
    <definedName name="wrn.STAND_ALONE_BOTH." hidden="1">{"FCB_ALL",#N/A,FALSE,"FCB";"GREY_ALL",#N/A,FALSE,"GREY"}</definedName>
    <definedName name="wrn.Statements." hidden="1">{"Co1statements",#N/A,FALSE,"Cmpy1";"Co2statement",#N/A,FALSE,"Cmpy2";"co1pm",#N/A,FALSE,"Co1PM";"co2PM",#N/A,FALSE,"Co2PM";"value",#N/A,FALSE,"value";"opco",#N/A,FALSE,"NewSparkle";"adjusts",#N/A,FALSE,"Adjustments"}</definedName>
    <definedName name="wrn.status." hidden="1">{#N/A,#N/A,TRUE,"Summary - 1";#N/A,#N/A,TRUE,"Summary - 2";#N/A,#N/A,TRUE,"Group Analysis";#N/A,#N/A,TRUE,"FM Analysis";#N/A,#N/A,TRUE,"T&amp;M-Onsite";#N/A,#N/A,TRUE,"FP-Onsite";#N/A,#N/A,TRUE,"NB-Onsite";#N/A,#N/A,TRUE,"T&amp;M-Offshore";#N/A,#N/A,TRUE,"FP-Offshore";#N/A,#N/A,TRUE,"Appendix-A";#N/A,#N/A,TRUE,"Appendix-B"}</definedName>
    <definedName name="wrn.SummaryPgs." hidden="1">{#N/A,#N/A,FALSE,"CreditStat";#N/A,#N/A,FALSE,"SPbrkup";#N/A,#N/A,FALSE,"MerSPsyn";#N/A,#N/A,FALSE,"MerSPwKCsyn";#N/A,#N/A,FALSE,"MerSPwKCsyn (2)";#N/A,#N/A,FALSE,"CreditStat (2)"}</definedName>
    <definedName name="wrn.Taxes." hidden="1">{"Def Tax Long",#N/A,TRUE,"Financials";"Def Tax Short",#N/A,TRUE,"Financials";"Cons Tax Sched",#N/A,TRUE,"Financials"}</definedName>
    <definedName name="wrn.Trading._.Summary." hidden="1">{#N/A,#N/A,FALSE,"Trading Summary"}</definedName>
    <definedName name="wrn.Tweety." hidden="1">{#N/A,#N/A,FALSE,"A&amp;E";#N/A,#N/A,FALSE,"HighTop";#N/A,#N/A,FALSE,"JG";#N/A,#N/A,FALSE,"RI";#N/A,#N/A,FALSE,"woHT";#N/A,#N/A,FALSE,"woHT&amp;JG"}</definedName>
    <definedName name="wrn.upstairs." hidden="1">{"histincome",#N/A,FALSE,"hyfins";"closing balance",#N/A,FALSE,"hyfins"}</definedName>
    <definedName name="wrn.VALUATION." hidden="1">{#N/A,#N/A,FALSE,"Valuation Assumptions";#N/A,#N/A,FALSE,"Summary";#N/A,#N/A,FALSE,"DCF";#N/A,#N/A,FALSE,"Valuation";#N/A,#N/A,FALSE,"WACC";#N/A,#N/A,FALSE,"UBVH";#N/A,#N/A,FALSE,"Free Cash Flow"}</definedName>
    <definedName name="wrn.WSTS._.Trade._.Statistics." hidden="1">{#N/A,#N/A,FALSE,"Table of Contents";#N/A,#N/A,FALSE,"Overview";#N/A,#N/A,FALSE,"Data"}</definedName>
    <definedName name="wrn.WWY." hidden="1">{#N/A,#N/A,FALSE,"WWY"}</definedName>
    <definedName name="wrn.YTD_ROY_PL." hidden="1">{"ROY_YTD",#N/A,FALSE,"1.2"}</definedName>
    <definedName name="wrn2.Basic" hidden="1">{#N/A,#N/A,FALSE,"e-Svc Level";#N/A,#N/A,FALSE,"e-Hosted";#N/A,#N/A,FALSE,"e-Licensed";#N/A,#N/A,FALSE,"Assumptions"}</definedName>
    <definedName name="wrn2.Basic." hidden="1">{#N/A,#N/A,FALSE,"e-Svc Level";#N/A,#N/A,FALSE,"e-Hosted";#N/A,#N/A,FALSE,"e-Licensed";#N/A,#N/A,FALSE,"Assumptions"}</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x" hidden="1">{"'Standalone List Price Trends'!$A$1:$X$56"}</definedName>
    <definedName name="xyz" hidden="1">{"histincome",#N/A,FALSE,"hyfins";"closing balance",#N/A,FALSE,"hyfins"}</definedName>
    <definedName name="YEAR">'[19]Drop Down List'!$H$3</definedName>
    <definedName name="yrto" hidden="1">#N/A</definedName>
    <definedName name="z" hidden="1">{#N/A,#N/A,FALSE,"e-Svc Level";#N/A,#N/A,FALSE,"e-Hosted";#N/A,#N/A,FALSE,"e-Licensed";#N/A,#N/A,FALSE,"Assumptions"}</definedName>
    <definedName name="Z_35EE6504_DE6F_4E57_9C0F_322110BA2375_.wvu.Cols" hidden="1">[44]Database!#REF!</definedName>
    <definedName name="Z_35EE6504_DE6F_4E57_9C0F_322110BA2375_.wvu.PrintTitles" hidden="1">[44]Database!$B$1:$C$65536,[44]Database!$A$2:$IV$7</definedName>
    <definedName name="Z_75B9147C_00F9_45A1_96FE_F85762BF4AE3_.wvu.Cols" hidden="1">[44]Database!#REF!,[44]Database!$F$1:$K$65536,[44]Database!$Q$1:$T$65536</definedName>
    <definedName name="Z_75B9147C_00F9_45A1_96FE_F85762BF4AE3_.wvu.PrintTitles" hidden="1">[44]Database!$B$1:$C$65536,[44]Database!$A$2:$IV$7</definedName>
    <definedName name="Z_7A2F654B_040B_4CA4_A0BD_513F12FBEB45_.wvu.PrintTitles" hidden="1">[44]Database!$B$1:$C$65536,[44]Database!$A$2:$IV$7</definedName>
    <definedName name="Z_B6336CF9_9221_4D20_9BCC_AC01EA989C5C_.wvu.Cols" hidden="1">[44]Database!#REF!,[44]Database!$E$1:$K$65536,[44]Database!$Q$1:$T$65536</definedName>
    <definedName name="Z_B6336CF9_9221_4D20_9BCC_AC01EA989C5C_.wvu.PrintTitles" hidden="1">[44]Database!$B$1:$C$65536,[44]Database!$A$2:$IV$7</definedName>
    <definedName name="Z_B7EF290F_8BB6_4090_9A9A_66648A3F7039_.wvu.PrintTitles" hidden="1">[44]Database!$B$1:$C$65536,[44]Database!$A$2:$IV$7</definedName>
    <definedName name="Z_D74243C8_6E24_43D1_AFD0_BBACF366C3BD_.wvu.Cols" hidden="1">[44]Database!#REF!</definedName>
    <definedName name="Z_E2E5C84D_0317_4C6A_9480_DE153328A143_.wvu.PrintTitles" hidden="1">[44]Database!$B$1:$C$65536,[44]Database!$A$2:$IV$7</definedName>
    <definedName name="Z_F1837C9B_7BC5_48F9_A11C_077C0094B52B_.wvu.Cols" hidden="1">[44]Database!#REF!</definedName>
    <definedName name="交际应酬费实际发生额">#REF!</definedName>
    <definedName name="交际应酬费计税调整数">#REF!</definedName>
    <definedName name="汇率">#REF!</definedName>
    <definedName name="生产列1">#REF!</definedName>
    <definedName name="生产列11">#REF!</definedName>
    <definedName name="生产列15">#REF!</definedName>
    <definedName name="生产列16">#REF!</definedName>
    <definedName name="生产列17">#REF!</definedName>
    <definedName name="生产列19">#REF!</definedName>
    <definedName name="生产列2">#REF!</definedName>
    <definedName name="生产列20">#REF!</definedName>
    <definedName name="生产列3">#REF!</definedName>
    <definedName name="生产列4">#REF!</definedName>
    <definedName name="生产列5">[45]中资产!$G$6:$G$37</definedName>
    <definedName name="生产列6">#REF!</definedName>
    <definedName name="生产列7">#REF!</definedName>
    <definedName name="生产列8">#REF!</definedName>
    <definedName name="生产列9">#REF!</definedName>
    <definedName name="生产期">#REF!</definedName>
    <definedName name="生产期1">#REF!</definedName>
    <definedName name="生产期11">#REF!</definedName>
    <definedName name="生产期15">#REF!</definedName>
    <definedName name="生产期16">#REF!</definedName>
    <definedName name="生产期17">#REF!</definedName>
    <definedName name="生产期19">#REF!</definedName>
    <definedName name="生产期2">#REF!</definedName>
    <definedName name="生产期20">#REF!</definedName>
    <definedName name="生产期3">#REF!</definedName>
    <definedName name="生产期4">#REF!</definedName>
    <definedName name="生产期5">[45]中资产!#REF!</definedName>
    <definedName name="生产期6">#REF!</definedName>
    <definedName name="生产期7">#REF!</definedName>
    <definedName name="生产期8">#REF!</definedName>
    <definedName name="生产期9">#REF!</definedName>
    <definedName name="销货净额">#REF!</definedName>
  </definedNames>
  <calcPr calcId="191029" iterate="1"/>
  <pivotCaches>
    <pivotCache cacheId="15" r:id="rId7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121" i="13" l="1"/>
  <c r="BC292" i="13"/>
  <c r="BB292" i="13"/>
  <c r="BA292" i="13"/>
  <c r="AR292" i="13"/>
  <c r="BC291" i="13"/>
  <c r="BB291" i="13"/>
  <c r="BA291" i="13"/>
  <c r="AZ291" i="13"/>
  <c r="AZ292" i="13" s="1"/>
  <c r="AZ294" i="13" s="1"/>
  <c r="AY291" i="13"/>
  <c r="AY292" i="13" s="1"/>
  <c r="AY294" i="13" s="1"/>
  <c r="AX291" i="13"/>
  <c r="AX292" i="13" s="1"/>
  <c r="AX294" i="13" s="1"/>
  <c r="AW291" i="13"/>
  <c r="AW292" i="13" s="1"/>
  <c r="AW294" i="13" s="1"/>
  <c r="AV291" i="13"/>
  <c r="AV292" i="13" s="1"/>
  <c r="AU291" i="13"/>
  <c r="AU292" i="13" s="1"/>
  <c r="AT291" i="13"/>
  <c r="AT292" i="13" s="1"/>
  <c r="AS291" i="13"/>
  <c r="AS292" i="13" s="1"/>
  <c r="AR291" i="13"/>
  <c r="AV289" i="13"/>
  <c r="AU289" i="13"/>
  <c r="AT289" i="13"/>
  <c r="AS289" i="13"/>
  <c r="AR289" i="13"/>
  <c r="BC288" i="13"/>
  <c r="BC289" i="13" s="1"/>
  <c r="BB288" i="13"/>
  <c r="BB289" i="13" s="1"/>
  <c r="BA288" i="13"/>
  <c r="BA289" i="13" s="1"/>
  <c r="AZ288" i="13"/>
  <c r="AZ289" i="13" s="1"/>
  <c r="AY288" i="13"/>
  <c r="AY289" i="13" s="1"/>
  <c r="AX288" i="13"/>
  <c r="AX289" i="13" s="1"/>
  <c r="AW288" i="13"/>
  <c r="AW289" i="13" s="1"/>
  <c r="AV288" i="13"/>
  <c r="AU288" i="13"/>
  <c r="AT288" i="13"/>
  <c r="AS288" i="13"/>
  <c r="AR288" i="13"/>
  <c r="AR286" i="13"/>
  <c r="AR294" i="13" s="1"/>
  <c r="BC285" i="13"/>
  <c r="BC286" i="13" s="1"/>
  <c r="BB285" i="13"/>
  <c r="BB286" i="13" s="1"/>
  <c r="BA285" i="13"/>
  <c r="BA286" i="13" s="1"/>
  <c r="AR285" i="13"/>
  <c r="BC284" i="13"/>
  <c r="BB284" i="13"/>
  <c r="BA284" i="13"/>
  <c r="AZ284" i="13"/>
  <c r="AZ285" i="13" s="1"/>
  <c r="AZ286" i="13" s="1"/>
  <c r="AY284" i="13"/>
  <c r="AY285" i="13" s="1"/>
  <c r="AY286" i="13" s="1"/>
  <c r="AX284" i="13"/>
  <c r="AX285" i="13" s="1"/>
  <c r="AX286" i="13" s="1"/>
  <c r="AW284" i="13"/>
  <c r="AW285" i="13" s="1"/>
  <c r="AW286" i="13" s="1"/>
  <c r="AV284" i="13"/>
  <c r="AV285" i="13" s="1"/>
  <c r="AV286" i="13" s="1"/>
  <c r="AU284" i="13"/>
  <c r="AU285" i="13" s="1"/>
  <c r="AU286" i="13" s="1"/>
  <c r="AT284" i="13"/>
  <c r="AT285" i="13" s="1"/>
  <c r="AT286" i="13" s="1"/>
  <c r="AS284" i="13"/>
  <c r="AS285" i="13" s="1"/>
  <c r="AS286" i="13" s="1"/>
  <c r="AR284" i="13"/>
  <c r="BB273" i="13"/>
  <c r="BA273" i="13"/>
  <c r="AY273" i="13"/>
  <c r="AX273" i="13"/>
  <c r="AV273" i="13"/>
  <c r="AU273" i="13"/>
  <c r="AS273" i="13"/>
  <c r="AR273" i="13"/>
  <c r="BG99" i="13"/>
  <c r="AT211" i="13"/>
  <c r="AU211" i="13" s="1"/>
  <c r="AV211" i="13" s="1"/>
  <c r="AW211" i="13" s="1"/>
  <c r="AX211" i="13" s="1"/>
  <c r="AY211" i="13" s="1"/>
  <c r="AZ211" i="13" s="1"/>
  <c r="BA211" i="13" s="1"/>
  <c r="BB211" i="13" s="1"/>
  <c r="BC211" i="13" s="1"/>
  <c r="AS211" i="13"/>
  <c r="AR184" i="13"/>
  <c r="AR211" i="13"/>
  <c r="AR210" i="13"/>
  <c r="AR209" i="13"/>
  <c r="AR255" i="13"/>
  <c r="AR254" i="13"/>
  <c r="AR250" i="13"/>
  <c r="AR112" i="13"/>
  <c r="D9" i="32"/>
  <c r="D9" i="31"/>
  <c r="K5" i="30"/>
  <c r="K8" i="30"/>
  <c r="Q3" i="30" s="1"/>
  <c r="P3" i="30"/>
  <c r="AR113" i="13"/>
  <c r="BC99" i="13"/>
  <c r="BB99" i="13"/>
  <c r="BA99" i="13"/>
  <c r="AZ99" i="13"/>
  <c r="AY99" i="13"/>
  <c r="AX99" i="13"/>
  <c r="AW99" i="13"/>
  <c r="AV99" i="13"/>
  <c r="AU99" i="13"/>
  <c r="AT99" i="13"/>
  <c r="AS99" i="13"/>
  <c r="AR99" i="13"/>
  <c r="BK2" i="36"/>
  <c r="BL2" i="36" s="1"/>
  <c r="BM2" i="36" s="1"/>
  <c r="BN2" i="36" s="1"/>
  <c r="BO2" i="36" s="1"/>
  <c r="BP2" i="36" s="1"/>
  <c r="BQ2" i="36" s="1"/>
  <c r="BR2" i="36" s="1"/>
  <c r="BS2" i="36" s="1"/>
  <c r="BT2" i="36" s="1"/>
  <c r="BU2" i="36" s="1"/>
  <c r="BU7" i="36" s="1"/>
  <c r="BK7" i="36"/>
  <c r="BJ7" i="36"/>
  <c r="BK6" i="36"/>
  <c r="BK5" i="36"/>
  <c r="BM6" i="36"/>
  <c r="BR6" i="36"/>
  <c r="BQ6" i="36"/>
  <c r="BR5" i="36"/>
  <c r="BR12" i="36" s="1"/>
  <c r="BQ5" i="36"/>
  <c r="BM5" i="36"/>
  <c r="CG22" i="36"/>
  <c r="CI21" i="36"/>
  <c r="CI20" i="36"/>
  <c r="CI19" i="36"/>
  <c r="CI18" i="36"/>
  <c r="CI17" i="36"/>
  <c r="CI16" i="36"/>
  <c r="CI15" i="36"/>
  <c r="CI14" i="36"/>
  <c r="CI22" i="36" s="1"/>
  <c r="CI13" i="36"/>
  <c r="CI12" i="36"/>
  <c r="CI11" i="36"/>
  <c r="BI70" i="36"/>
  <c r="BJ70" i="36" s="1"/>
  <c r="BK70" i="36" s="1"/>
  <c r="BL70" i="36" s="1"/>
  <c r="BM70" i="36" s="1"/>
  <c r="BN70" i="36" s="1"/>
  <c r="BO70" i="36" s="1"/>
  <c r="BP70" i="36" s="1"/>
  <c r="BQ70" i="36" s="1"/>
  <c r="BR70" i="36" s="1"/>
  <c r="BS70" i="36" s="1"/>
  <c r="BT70" i="36" s="1"/>
  <c r="BU70" i="36" s="1"/>
  <c r="BH70" i="36"/>
  <c r="BI69" i="36"/>
  <c r="BJ69" i="36" s="1"/>
  <c r="BK69" i="36" s="1"/>
  <c r="BL69" i="36" s="1"/>
  <c r="BM69" i="36" s="1"/>
  <c r="BN69" i="36" s="1"/>
  <c r="BO69" i="36" s="1"/>
  <c r="BP69" i="36" s="1"/>
  <c r="BQ69" i="36" s="1"/>
  <c r="BR69" i="36" s="1"/>
  <c r="BS69" i="36" s="1"/>
  <c r="BT69" i="36" s="1"/>
  <c r="BU69" i="36" s="1"/>
  <c r="BH69" i="36"/>
  <c r="BH68" i="36"/>
  <c r="BI68" i="36" s="1"/>
  <c r="BJ68" i="36" s="1"/>
  <c r="BI67" i="36"/>
  <c r="BJ67" i="36" s="1"/>
  <c r="BK67" i="36" s="1"/>
  <c r="BL67" i="36" s="1"/>
  <c r="BM67" i="36" s="1"/>
  <c r="BN67" i="36" s="1"/>
  <c r="BO67" i="36" s="1"/>
  <c r="BP67" i="36" s="1"/>
  <c r="BQ67" i="36" s="1"/>
  <c r="BR67" i="36" s="1"/>
  <c r="BS67" i="36" s="1"/>
  <c r="BT67" i="36" s="1"/>
  <c r="BU67" i="36" s="1"/>
  <c r="BJ66" i="36"/>
  <c r="BK66" i="36" s="1"/>
  <c r="BI66" i="36"/>
  <c r="BT61" i="36"/>
  <c r="BS61" i="36"/>
  <c r="BR61" i="36"/>
  <c r="BQ61" i="36"/>
  <c r="BJ61" i="36"/>
  <c r="AP61" i="36"/>
  <c r="AN61" i="36"/>
  <c r="AM61" i="36"/>
  <c r="AL61" i="36"/>
  <c r="AK61" i="36"/>
  <c r="AE61" i="36"/>
  <c r="Y61" i="36"/>
  <c r="U61" i="36"/>
  <c r="T61" i="36"/>
  <c r="S61" i="36"/>
  <c r="N61" i="36"/>
  <c r="L61" i="36"/>
  <c r="BU60" i="36"/>
  <c r="BU61" i="36" s="1"/>
  <c r="BT60" i="36"/>
  <c r="BS60" i="36"/>
  <c r="BR60" i="36"/>
  <c r="BQ60" i="36"/>
  <c r="BP60" i="36"/>
  <c r="BP61" i="36" s="1"/>
  <c r="BO60" i="36"/>
  <c r="BO61" i="36" s="1"/>
  <c r="BN60" i="36"/>
  <c r="BN61" i="36" s="1"/>
  <c r="BM60" i="36"/>
  <c r="BM61" i="36" s="1"/>
  <c r="BL60" i="36"/>
  <c r="BL61" i="36" s="1"/>
  <c r="BK60" i="36"/>
  <c r="BK61" i="36" s="1"/>
  <c r="BJ60" i="36"/>
  <c r="AR60" i="36"/>
  <c r="AQ60" i="36"/>
  <c r="AP60" i="36"/>
  <c r="AO60" i="36"/>
  <c r="AO61" i="36" s="1"/>
  <c r="AN60" i="36"/>
  <c r="AM60" i="36"/>
  <c r="AL60" i="36"/>
  <c r="AK60" i="36"/>
  <c r="AJ60" i="36"/>
  <c r="AJ61" i="36" s="1"/>
  <c r="AI60" i="36"/>
  <c r="AH60" i="36"/>
  <c r="AG60" i="36"/>
  <c r="AF60" i="36"/>
  <c r="AE60" i="36"/>
  <c r="AD60" i="36"/>
  <c r="AC60" i="36"/>
  <c r="AB60" i="36"/>
  <c r="AA60" i="36"/>
  <c r="Z60" i="36"/>
  <c r="Z61" i="36" s="1"/>
  <c r="Y60" i="36"/>
  <c r="X60" i="36"/>
  <c r="W60" i="36"/>
  <c r="V60" i="36"/>
  <c r="U60" i="36"/>
  <c r="T60" i="36"/>
  <c r="S60" i="36"/>
  <c r="R60" i="36"/>
  <c r="Q60" i="36"/>
  <c r="P60" i="36"/>
  <c r="P61" i="36" s="1"/>
  <c r="O60" i="36"/>
  <c r="N60" i="36"/>
  <c r="M60" i="36"/>
  <c r="L60" i="36"/>
  <c r="J60" i="36"/>
  <c r="I60" i="36"/>
  <c r="H60" i="36"/>
  <c r="G60" i="36"/>
  <c r="K59" i="36"/>
  <c r="I59" i="36"/>
  <c r="H59" i="36"/>
  <c r="G59" i="36"/>
  <c r="K58" i="36"/>
  <c r="K60" i="36" s="1"/>
  <c r="I58" i="36"/>
  <c r="H58" i="36"/>
  <c r="G58" i="36"/>
  <c r="AR56" i="36"/>
  <c r="AR61" i="36" s="1"/>
  <c r="AQ56" i="36"/>
  <c r="AQ61" i="36" s="1"/>
  <c r="AP56" i="36"/>
  <c r="AO56" i="36"/>
  <c r="AN56" i="36"/>
  <c r="AM56" i="36"/>
  <c r="AL56" i="36"/>
  <c r="AK56" i="36"/>
  <c r="AJ56" i="36"/>
  <c r="AI56" i="36"/>
  <c r="AI61" i="36" s="1"/>
  <c r="AH56" i="36"/>
  <c r="AH61" i="36" s="1"/>
  <c r="AG56" i="36"/>
  <c r="AG61" i="36" s="1"/>
  <c r="AF56" i="36"/>
  <c r="AF61" i="36" s="1"/>
  <c r="AE56" i="36"/>
  <c r="AD56" i="36"/>
  <c r="AC56" i="36"/>
  <c r="AB56" i="36"/>
  <c r="AB61" i="36" s="1"/>
  <c r="AA56" i="36"/>
  <c r="Z56" i="36"/>
  <c r="Y56" i="36"/>
  <c r="X56" i="36"/>
  <c r="X61" i="36" s="1"/>
  <c r="W56" i="36"/>
  <c r="W61" i="36" s="1"/>
  <c r="V56" i="36"/>
  <c r="V61" i="36" s="1"/>
  <c r="U56" i="36"/>
  <c r="T56" i="36"/>
  <c r="S56" i="36"/>
  <c r="R56" i="36"/>
  <c r="R61" i="36" s="1"/>
  <c r="Q56" i="36"/>
  <c r="Q61" i="36" s="1"/>
  <c r="P56" i="36"/>
  <c r="O56" i="36"/>
  <c r="O61" i="36" s="1"/>
  <c r="N56" i="36"/>
  <c r="M56" i="36"/>
  <c r="M61" i="36" s="1"/>
  <c r="L56" i="36"/>
  <c r="J56" i="36"/>
  <c r="I56" i="36"/>
  <c r="H56" i="36"/>
  <c r="G56" i="36"/>
  <c r="I55" i="36"/>
  <c r="H55" i="36"/>
  <c r="G55" i="36"/>
  <c r="K55" i="36" s="1"/>
  <c r="L52" i="36"/>
  <c r="L62" i="36" s="1"/>
  <c r="AR51" i="36"/>
  <c r="AO51" i="36"/>
  <c r="AN51" i="36"/>
  <c r="AM51" i="36"/>
  <c r="AL51" i="36"/>
  <c r="AK51" i="36"/>
  <c r="AH51" i="36"/>
  <c r="AB51" i="36"/>
  <c r="AA51" i="36"/>
  <c r="X51" i="36"/>
  <c r="W51" i="36"/>
  <c r="V51" i="36"/>
  <c r="U51" i="36"/>
  <c r="T51" i="36"/>
  <c r="R51" i="36"/>
  <c r="Q51" i="36"/>
  <c r="P51" i="36"/>
  <c r="P52" i="36" s="1"/>
  <c r="P62" i="36" s="1"/>
  <c r="N51" i="36"/>
  <c r="BJ50" i="36"/>
  <c r="BK50" i="36" s="1"/>
  <c r="BL50" i="36" s="1"/>
  <c r="BM50" i="36" s="1"/>
  <c r="BN50" i="36" s="1"/>
  <c r="BO50" i="36" s="1"/>
  <c r="BP50" i="36" s="1"/>
  <c r="BQ50" i="36" s="1"/>
  <c r="BR50" i="36" s="1"/>
  <c r="BS50" i="36" s="1"/>
  <c r="BT50" i="36" s="1"/>
  <c r="BU50" i="36" s="1"/>
  <c r="I50" i="36"/>
  <c r="K50" i="36" s="1"/>
  <c r="H50" i="36"/>
  <c r="G50" i="36"/>
  <c r="BJ49" i="36"/>
  <c r="BK49" i="36" s="1"/>
  <c r="BL49" i="36" s="1"/>
  <c r="BM49" i="36" s="1"/>
  <c r="BN49" i="36" s="1"/>
  <c r="BO49" i="36" s="1"/>
  <c r="BP49" i="36" s="1"/>
  <c r="BQ49" i="36" s="1"/>
  <c r="BR49" i="36" s="1"/>
  <c r="BS49" i="36" s="1"/>
  <c r="BT49" i="36" s="1"/>
  <c r="BU49" i="36" s="1"/>
  <c r="I49" i="36"/>
  <c r="H49" i="36"/>
  <c r="G49" i="36"/>
  <c r="K49" i="36" s="1"/>
  <c r="BJ48" i="36"/>
  <c r="BK48" i="36" s="1"/>
  <c r="BL48" i="36" s="1"/>
  <c r="BM48" i="36" s="1"/>
  <c r="BN48" i="36" s="1"/>
  <c r="BO48" i="36" s="1"/>
  <c r="BP48" i="36" s="1"/>
  <c r="BQ48" i="36" s="1"/>
  <c r="BR48" i="36" s="1"/>
  <c r="BS48" i="36" s="1"/>
  <c r="BT48" i="36" s="1"/>
  <c r="BU48" i="36" s="1"/>
  <c r="I48" i="36"/>
  <c r="H48" i="36"/>
  <c r="G48" i="36"/>
  <c r="K48" i="36" s="1"/>
  <c r="BJ47" i="36"/>
  <c r="BK47" i="36" s="1"/>
  <c r="BL47" i="36" s="1"/>
  <c r="BM47" i="36" s="1"/>
  <c r="BN47" i="36" s="1"/>
  <c r="BO47" i="36" s="1"/>
  <c r="BP47" i="36" s="1"/>
  <c r="BQ47" i="36" s="1"/>
  <c r="BR47" i="36" s="1"/>
  <c r="BS47" i="36" s="1"/>
  <c r="BT47" i="36" s="1"/>
  <c r="BU47" i="36" s="1"/>
  <c r="I47" i="36"/>
  <c r="H47" i="36"/>
  <c r="G47" i="36"/>
  <c r="I46" i="36"/>
  <c r="K46" i="36" s="1"/>
  <c r="H46" i="36"/>
  <c r="G46" i="36"/>
  <c r="I45" i="36"/>
  <c r="H45" i="36"/>
  <c r="G45" i="36"/>
  <c r="K45" i="36" s="1"/>
  <c r="BJ44" i="36"/>
  <c r="BK44" i="36" s="1"/>
  <c r="BL44" i="36" s="1"/>
  <c r="BM44" i="36" s="1"/>
  <c r="BN44" i="36" s="1"/>
  <c r="BO44" i="36" s="1"/>
  <c r="BP44" i="36" s="1"/>
  <c r="BQ44" i="36" s="1"/>
  <c r="BR44" i="36" s="1"/>
  <c r="BS44" i="36" s="1"/>
  <c r="BT44" i="36" s="1"/>
  <c r="BU44" i="36" s="1"/>
  <c r="I44" i="36"/>
  <c r="H44" i="36"/>
  <c r="G44" i="36"/>
  <c r="K44" i="36" s="1"/>
  <c r="I43" i="36"/>
  <c r="H43" i="36"/>
  <c r="G43" i="36"/>
  <c r="K43" i="36" s="1"/>
  <c r="BJ42" i="36"/>
  <c r="BK42" i="36" s="1"/>
  <c r="BL42" i="36" s="1"/>
  <c r="BM42" i="36" s="1"/>
  <c r="BN42" i="36" s="1"/>
  <c r="BO42" i="36" s="1"/>
  <c r="BP42" i="36" s="1"/>
  <c r="BQ42" i="36" s="1"/>
  <c r="BR42" i="36" s="1"/>
  <c r="BS42" i="36" s="1"/>
  <c r="BT42" i="36" s="1"/>
  <c r="BU42" i="36" s="1"/>
  <c r="I42" i="36"/>
  <c r="H42" i="36"/>
  <c r="G42" i="36"/>
  <c r="K42" i="36" s="1"/>
  <c r="I41" i="36"/>
  <c r="H41" i="36"/>
  <c r="G41" i="36"/>
  <c r="K41" i="36" s="1"/>
  <c r="I40" i="36"/>
  <c r="H40" i="36"/>
  <c r="G40" i="36"/>
  <c r="K40" i="36" s="1"/>
  <c r="BJ39" i="36"/>
  <c r="BK39" i="36" s="1"/>
  <c r="BL39" i="36" s="1"/>
  <c r="BM39" i="36" s="1"/>
  <c r="BN39" i="36" s="1"/>
  <c r="BO39" i="36" s="1"/>
  <c r="BP39" i="36" s="1"/>
  <c r="BQ39" i="36" s="1"/>
  <c r="BR39" i="36" s="1"/>
  <c r="BS39" i="36" s="1"/>
  <c r="BT39" i="36" s="1"/>
  <c r="BU39" i="36" s="1"/>
  <c r="K39" i="36"/>
  <c r="I39" i="36"/>
  <c r="H39" i="36"/>
  <c r="G39" i="36"/>
  <c r="BK38" i="36"/>
  <c r="BL38" i="36" s="1"/>
  <c r="BM38" i="36" s="1"/>
  <c r="BN38" i="36" s="1"/>
  <c r="BO38" i="36" s="1"/>
  <c r="BP38" i="36" s="1"/>
  <c r="BQ38" i="36" s="1"/>
  <c r="BR38" i="36" s="1"/>
  <c r="BS38" i="36" s="1"/>
  <c r="BT38" i="36" s="1"/>
  <c r="BU38" i="36" s="1"/>
  <c r="BJ38" i="36"/>
  <c r="I38" i="36"/>
  <c r="H38" i="36"/>
  <c r="G38" i="36"/>
  <c r="K38" i="36" s="1"/>
  <c r="BK37" i="36"/>
  <c r="BL37" i="36" s="1"/>
  <c r="BM37" i="36" s="1"/>
  <c r="BN37" i="36" s="1"/>
  <c r="BO37" i="36" s="1"/>
  <c r="BP37" i="36" s="1"/>
  <c r="BQ37" i="36" s="1"/>
  <c r="BR37" i="36" s="1"/>
  <c r="BS37" i="36" s="1"/>
  <c r="BT37" i="36" s="1"/>
  <c r="BU37" i="36" s="1"/>
  <c r="BJ37" i="36"/>
  <c r="I37" i="36"/>
  <c r="H37" i="36"/>
  <c r="G37" i="36"/>
  <c r="K37" i="36" s="1"/>
  <c r="BJ36" i="36"/>
  <c r="BK36" i="36" s="1"/>
  <c r="BL36" i="36" s="1"/>
  <c r="BM36" i="36" s="1"/>
  <c r="BN36" i="36" s="1"/>
  <c r="BO36" i="36" s="1"/>
  <c r="BP36" i="36" s="1"/>
  <c r="BQ36" i="36" s="1"/>
  <c r="BR36" i="36" s="1"/>
  <c r="BS36" i="36" s="1"/>
  <c r="BT36" i="36" s="1"/>
  <c r="BU36" i="36" s="1"/>
  <c r="I36" i="36"/>
  <c r="H36" i="36"/>
  <c r="G36" i="36"/>
  <c r="I35" i="36"/>
  <c r="H35" i="36"/>
  <c r="G35" i="36"/>
  <c r="K35" i="36" s="1"/>
  <c r="BP34" i="36"/>
  <c r="BQ34" i="36" s="1"/>
  <c r="BR34" i="36" s="1"/>
  <c r="BS34" i="36" s="1"/>
  <c r="BT34" i="36" s="1"/>
  <c r="BU34" i="36" s="1"/>
  <c r="BJ34" i="36"/>
  <c r="BK34" i="36" s="1"/>
  <c r="BL34" i="36" s="1"/>
  <c r="BM34" i="36" s="1"/>
  <c r="BN34" i="36" s="1"/>
  <c r="BO34" i="36" s="1"/>
  <c r="I34" i="36"/>
  <c r="H34" i="36"/>
  <c r="G34" i="36"/>
  <c r="BJ33" i="36"/>
  <c r="BK33" i="36" s="1"/>
  <c r="BL33" i="36" s="1"/>
  <c r="BM33" i="36" s="1"/>
  <c r="BN33" i="36" s="1"/>
  <c r="BO33" i="36" s="1"/>
  <c r="BP33" i="36" s="1"/>
  <c r="BQ33" i="36" s="1"/>
  <c r="BR33" i="36" s="1"/>
  <c r="BS33" i="36" s="1"/>
  <c r="BT33" i="36" s="1"/>
  <c r="BU33" i="36" s="1"/>
  <c r="I33" i="36"/>
  <c r="H33" i="36"/>
  <c r="G33" i="36"/>
  <c r="I32" i="36"/>
  <c r="H32" i="36"/>
  <c r="G32" i="36"/>
  <c r="K32" i="36" s="1"/>
  <c r="BJ31" i="36"/>
  <c r="BK31" i="36" s="1"/>
  <c r="BL31" i="36" s="1"/>
  <c r="BM31" i="36" s="1"/>
  <c r="BN31" i="36" s="1"/>
  <c r="BO31" i="36" s="1"/>
  <c r="BP31" i="36" s="1"/>
  <c r="BQ31" i="36" s="1"/>
  <c r="BR31" i="36" s="1"/>
  <c r="BS31" i="36" s="1"/>
  <c r="BT31" i="36" s="1"/>
  <c r="BU31" i="36" s="1"/>
  <c r="I31" i="36"/>
  <c r="H31" i="36"/>
  <c r="G31" i="36"/>
  <c r="K31" i="36" s="1"/>
  <c r="I30" i="36"/>
  <c r="H30" i="36"/>
  <c r="G30" i="36"/>
  <c r="AR29" i="36"/>
  <c r="AQ29" i="36"/>
  <c r="AQ51" i="36" s="1"/>
  <c r="AP29" i="36"/>
  <c r="AP51" i="36" s="1"/>
  <c r="AO29" i="36"/>
  <c r="AN29" i="36"/>
  <c r="AM29" i="36"/>
  <c r="AL29" i="36"/>
  <c r="AK29" i="36"/>
  <c r="AJ29" i="36"/>
  <c r="AJ51" i="36" s="1"/>
  <c r="AI29" i="36"/>
  <c r="AI51" i="36" s="1"/>
  <c r="AH29" i="36"/>
  <c r="AG29" i="36"/>
  <c r="AG51" i="36" s="1"/>
  <c r="AF29" i="36"/>
  <c r="AF51" i="36" s="1"/>
  <c r="AE29" i="36"/>
  <c r="AE51" i="36" s="1"/>
  <c r="AD29" i="36"/>
  <c r="AD51" i="36" s="1"/>
  <c r="AC29" i="36"/>
  <c r="AC51" i="36" s="1"/>
  <c r="AB29" i="36"/>
  <c r="AA29" i="36"/>
  <c r="Z29" i="36"/>
  <c r="Z51" i="36" s="1"/>
  <c r="Y29" i="36"/>
  <c r="Y51" i="36" s="1"/>
  <c r="X29" i="36"/>
  <c r="W29" i="36"/>
  <c r="V29" i="36"/>
  <c r="U29" i="36"/>
  <c r="T29" i="36"/>
  <c r="S29" i="36"/>
  <c r="S51" i="36" s="1"/>
  <c r="R29" i="36"/>
  <c r="Q29" i="36"/>
  <c r="P29" i="36"/>
  <c r="O29" i="36"/>
  <c r="O51" i="36" s="1"/>
  <c r="N29" i="36"/>
  <c r="M29" i="36"/>
  <c r="M51" i="36" s="1"/>
  <c r="L29" i="36"/>
  <c r="L51" i="36" s="1"/>
  <c r="J29" i="36"/>
  <c r="J51" i="36" s="1"/>
  <c r="I29" i="36"/>
  <c r="BJ28" i="36"/>
  <c r="BK28" i="36" s="1"/>
  <c r="BL28" i="36" s="1"/>
  <c r="BM28" i="36" s="1"/>
  <c r="BN28" i="36" s="1"/>
  <c r="BO28" i="36" s="1"/>
  <c r="BP28" i="36" s="1"/>
  <c r="BQ28" i="36" s="1"/>
  <c r="BR28" i="36" s="1"/>
  <c r="BS28" i="36" s="1"/>
  <c r="BT28" i="36" s="1"/>
  <c r="BU28" i="36" s="1"/>
  <c r="K28" i="36"/>
  <c r="I28" i="36"/>
  <c r="H28" i="36"/>
  <c r="G28" i="36"/>
  <c r="BJ27" i="36"/>
  <c r="BK27" i="36" s="1"/>
  <c r="BL27" i="36" s="1"/>
  <c r="BM27" i="36" s="1"/>
  <c r="BN27" i="36" s="1"/>
  <c r="BO27" i="36" s="1"/>
  <c r="BP27" i="36" s="1"/>
  <c r="BQ27" i="36" s="1"/>
  <c r="BR27" i="36" s="1"/>
  <c r="BS27" i="36" s="1"/>
  <c r="BT27" i="36" s="1"/>
  <c r="BU27" i="36" s="1"/>
  <c r="I27" i="36"/>
  <c r="K27" i="36" s="1"/>
  <c r="H27" i="36"/>
  <c r="G27" i="36"/>
  <c r="BJ26" i="36"/>
  <c r="I26" i="36"/>
  <c r="H26" i="36"/>
  <c r="H29" i="36" s="1"/>
  <c r="G26" i="36"/>
  <c r="BK25" i="36"/>
  <c r="AX25" i="36"/>
  <c r="AV25" i="36"/>
  <c r="BJ24" i="36"/>
  <c r="BK24" i="36" s="1"/>
  <c r="BL24" i="36" s="1"/>
  <c r="BM24" i="36" s="1"/>
  <c r="BN24" i="36" s="1"/>
  <c r="BO24" i="36" s="1"/>
  <c r="BP24" i="36" s="1"/>
  <c r="BQ24" i="36" s="1"/>
  <c r="BR24" i="36" s="1"/>
  <c r="BS24" i="36" s="1"/>
  <c r="BT24" i="36" s="1"/>
  <c r="BU24" i="36" s="1"/>
  <c r="K24" i="36"/>
  <c r="I24" i="36"/>
  <c r="H24" i="36"/>
  <c r="G24" i="36"/>
  <c r="BJ23" i="36"/>
  <c r="BK23" i="36" s="1"/>
  <c r="BL23" i="36" s="1"/>
  <c r="BM23" i="36" s="1"/>
  <c r="BN23" i="36" s="1"/>
  <c r="BO23" i="36" s="1"/>
  <c r="BP23" i="36" s="1"/>
  <c r="BQ23" i="36" s="1"/>
  <c r="BR23" i="36" s="1"/>
  <c r="BS23" i="36" s="1"/>
  <c r="BT23" i="36" s="1"/>
  <c r="BU23" i="36" s="1"/>
  <c r="AZ23" i="36"/>
  <c r="AZ25" i="36" s="1"/>
  <c r="AX23" i="36"/>
  <c r="I23" i="36"/>
  <c r="H23" i="36"/>
  <c r="G23" i="36"/>
  <c r="K23" i="36" s="1"/>
  <c r="BN22" i="36"/>
  <c r="BO22" i="36" s="1"/>
  <c r="BP22" i="36" s="1"/>
  <c r="BQ22" i="36" s="1"/>
  <c r="BR22" i="36" s="1"/>
  <c r="BS22" i="36" s="1"/>
  <c r="BT22" i="36" s="1"/>
  <c r="BU22" i="36" s="1"/>
  <c r="BJ22" i="36"/>
  <c r="BK22" i="36" s="1"/>
  <c r="BL22" i="36" s="1"/>
  <c r="BM22" i="36" s="1"/>
  <c r="I22" i="36"/>
  <c r="H22" i="36"/>
  <c r="K22" i="36" s="1"/>
  <c r="G22" i="36"/>
  <c r="BJ21" i="36"/>
  <c r="BK21" i="36" s="1"/>
  <c r="BL21" i="36" s="1"/>
  <c r="BM21" i="36" s="1"/>
  <c r="BN21" i="36" s="1"/>
  <c r="BO21" i="36" s="1"/>
  <c r="BP21" i="36" s="1"/>
  <c r="BQ21" i="36" s="1"/>
  <c r="BR21" i="36" s="1"/>
  <c r="BS21" i="36" s="1"/>
  <c r="BT21" i="36" s="1"/>
  <c r="BU21" i="36" s="1"/>
  <c r="I21" i="36"/>
  <c r="H21" i="36"/>
  <c r="G21" i="36"/>
  <c r="K21" i="36" s="1"/>
  <c r="BM20" i="36"/>
  <c r="BN20" i="36" s="1"/>
  <c r="BO20" i="36" s="1"/>
  <c r="BP20" i="36" s="1"/>
  <c r="BQ20" i="36" s="1"/>
  <c r="BR20" i="36" s="1"/>
  <c r="BS20" i="36" s="1"/>
  <c r="BT20" i="36" s="1"/>
  <c r="BU20" i="36" s="1"/>
  <c r="BJ20" i="36"/>
  <c r="BK20" i="36" s="1"/>
  <c r="BL20" i="36" s="1"/>
  <c r="I20" i="36"/>
  <c r="H20" i="36"/>
  <c r="H51" i="36" s="1"/>
  <c r="AX8" i="36" s="1"/>
  <c r="AY8" i="36" s="1"/>
  <c r="G20" i="36"/>
  <c r="BJ19" i="36"/>
  <c r="AZ19" i="36"/>
  <c r="I19" i="36"/>
  <c r="H19" i="36"/>
  <c r="G19" i="36"/>
  <c r="K19" i="36" s="1"/>
  <c r="AR16" i="36"/>
  <c r="AR52" i="36" s="1"/>
  <c r="AR62" i="36" s="1"/>
  <c r="AN16" i="36"/>
  <c r="AN52" i="36" s="1"/>
  <c r="AL16" i="36"/>
  <c r="AJ16" i="36"/>
  <c r="AI16" i="36"/>
  <c r="AI52" i="36" s="1"/>
  <c r="AI62" i="36" s="1"/>
  <c r="AE16" i="36"/>
  <c r="AE52" i="36" s="1"/>
  <c r="AE62" i="36" s="1"/>
  <c r="Z16" i="36"/>
  <c r="Z52" i="36" s="1"/>
  <c r="X16" i="36"/>
  <c r="X52" i="36" s="1"/>
  <c r="X62" i="36" s="1"/>
  <c r="W16" i="36"/>
  <c r="W52" i="36" s="1"/>
  <c r="W62" i="36" s="1"/>
  <c r="V16" i="36"/>
  <c r="V52" i="36" s="1"/>
  <c r="U16" i="36"/>
  <c r="U52" i="36" s="1"/>
  <c r="U62" i="36" s="1"/>
  <c r="AR15" i="36"/>
  <c r="AQ15" i="36"/>
  <c r="AP15" i="36"/>
  <c r="AP16" i="36" s="1"/>
  <c r="AO15" i="36"/>
  <c r="AO16" i="36" s="1"/>
  <c r="AO52" i="36" s="1"/>
  <c r="AO62" i="36" s="1"/>
  <c r="AN15" i="36"/>
  <c r="AM15" i="36"/>
  <c r="AL15" i="36"/>
  <c r="AK15" i="36"/>
  <c r="AK16" i="36" s="1"/>
  <c r="AK52" i="36" s="1"/>
  <c r="AJ15" i="36"/>
  <c r="AI15" i="36"/>
  <c r="AH15" i="36"/>
  <c r="AG15" i="36"/>
  <c r="AF15" i="36"/>
  <c r="AE15" i="36"/>
  <c r="AD15" i="36"/>
  <c r="AC15" i="36"/>
  <c r="AB15" i="36"/>
  <c r="AA15" i="36"/>
  <c r="AA16" i="36" s="1"/>
  <c r="AA52" i="36" s="1"/>
  <c r="Z15" i="36"/>
  <c r="Y15" i="36"/>
  <c r="X15" i="36"/>
  <c r="W15" i="36"/>
  <c r="V15" i="36"/>
  <c r="U15" i="36"/>
  <c r="T15" i="36"/>
  <c r="S15" i="36"/>
  <c r="R15" i="36"/>
  <c r="R16" i="36" s="1"/>
  <c r="R52" i="36" s="1"/>
  <c r="R62" i="36" s="1"/>
  <c r="Q15" i="36"/>
  <c r="Q16" i="36" s="1"/>
  <c r="P15" i="36"/>
  <c r="O15" i="36"/>
  <c r="N15" i="36"/>
  <c r="M15" i="36"/>
  <c r="L15" i="36"/>
  <c r="J15" i="36"/>
  <c r="I15" i="36"/>
  <c r="H15" i="36"/>
  <c r="AX5" i="36" s="1"/>
  <c r="G15" i="36"/>
  <c r="AV5" i="36" s="1"/>
  <c r="BU13" i="36"/>
  <c r="BT13" i="36"/>
  <c r="BS13" i="36"/>
  <c r="BP13" i="36"/>
  <c r="BO13" i="36"/>
  <c r="BN13" i="36"/>
  <c r="BM13" i="36"/>
  <c r="BL13" i="36"/>
  <c r="BK13" i="36"/>
  <c r="BU12" i="36"/>
  <c r="BT12" i="36"/>
  <c r="BS12" i="36"/>
  <c r="BQ12" i="36"/>
  <c r="BP12" i="36"/>
  <c r="BO12" i="36"/>
  <c r="BN12" i="36"/>
  <c r="BM12" i="36"/>
  <c r="BL12" i="36"/>
  <c r="K11" i="36"/>
  <c r="K15" i="36" s="1"/>
  <c r="I11" i="36"/>
  <c r="H11" i="36"/>
  <c r="G11" i="36"/>
  <c r="AR9" i="36"/>
  <c r="AQ9" i="36"/>
  <c r="AP9" i="36"/>
  <c r="AO9" i="36"/>
  <c r="AN9" i="36"/>
  <c r="AM9" i="36"/>
  <c r="AL9" i="36"/>
  <c r="AK9" i="36"/>
  <c r="AJ9" i="36"/>
  <c r="AI9" i="36"/>
  <c r="AH9" i="36"/>
  <c r="AH16" i="36" s="1"/>
  <c r="AH52" i="36" s="1"/>
  <c r="AH62" i="36" s="1"/>
  <c r="AG9" i="36"/>
  <c r="AG16" i="36" s="1"/>
  <c r="AF9" i="36"/>
  <c r="AF16" i="36" s="1"/>
  <c r="AF52" i="36" s="1"/>
  <c r="AE9" i="36"/>
  <c r="AD9" i="36"/>
  <c r="AD16" i="36" s="1"/>
  <c r="AC9" i="36"/>
  <c r="AC16" i="36" s="1"/>
  <c r="AC52" i="36" s="1"/>
  <c r="AB9" i="36"/>
  <c r="AA9" i="36"/>
  <c r="Z9" i="36"/>
  <c r="Y9" i="36"/>
  <c r="Y16" i="36" s="1"/>
  <c r="Y52" i="36" s="1"/>
  <c r="Y62" i="36" s="1"/>
  <c r="X9" i="36"/>
  <c r="W9" i="36"/>
  <c r="V9" i="36"/>
  <c r="U9" i="36"/>
  <c r="T9" i="36"/>
  <c r="T16" i="36" s="1"/>
  <c r="T52" i="36" s="1"/>
  <c r="T62" i="36" s="1"/>
  <c r="S9" i="36"/>
  <c r="S16" i="36" s="1"/>
  <c r="S52" i="36" s="1"/>
  <c r="S62" i="36" s="1"/>
  <c r="R9" i="36"/>
  <c r="Q9" i="36"/>
  <c r="P9" i="36"/>
  <c r="P16" i="36" s="1"/>
  <c r="O9" i="36"/>
  <c r="O16" i="36" s="1"/>
  <c r="O52" i="36" s="1"/>
  <c r="O62" i="36" s="1"/>
  <c r="N9" i="36"/>
  <c r="N16" i="36" s="1"/>
  <c r="N52" i="36" s="1"/>
  <c r="M9" i="36"/>
  <c r="M16" i="36" s="1"/>
  <c r="L9" i="36"/>
  <c r="L16" i="36" s="1"/>
  <c r="J9" i="36"/>
  <c r="J16" i="36" s="1"/>
  <c r="I9" i="36"/>
  <c r="I16" i="36" s="1"/>
  <c r="BR13" i="36"/>
  <c r="BQ13" i="36"/>
  <c r="BJ12" i="36"/>
  <c r="AZ5" i="36"/>
  <c r="AX4" i="36"/>
  <c r="AY4" i="36" s="1"/>
  <c r="I4" i="36"/>
  <c r="H4" i="36"/>
  <c r="H9" i="36" s="1"/>
  <c r="G4" i="36"/>
  <c r="BJ1" i="36"/>
  <c r="BK1" i="36" s="1"/>
  <c r="BL1" i="36" s="1"/>
  <c r="BM1" i="36" s="1"/>
  <c r="BN1" i="36" s="1"/>
  <c r="BO1" i="36" s="1"/>
  <c r="BP1" i="36" s="1"/>
  <c r="BQ1" i="36" s="1"/>
  <c r="BR1" i="36" s="1"/>
  <c r="BS1" i="36" s="1"/>
  <c r="BT1" i="36" s="1"/>
  <c r="BU1" i="36" s="1"/>
  <c r="BD12" i="27"/>
  <c r="BC12" i="27"/>
  <c r="BA12" i="27"/>
  <c r="AZ12" i="27"/>
  <c r="BB12" i="27"/>
  <c r="BA294" i="13" l="1"/>
  <c r="BB294" i="13"/>
  <c r="BC294" i="13"/>
  <c r="AT294" i="13"/>
  <c r="AU294" i="13"/>
  <c r="AS294" i="13"/>
  <c r="AV294" i="13"/>
  <c r="BL7" i="36"/>
  <c r="BM7" i="36"/>
  <c r="BN7" i="36"/>
  <c r="BN9" i="36" s="1"/>
  <c r="BO7" i="36"/>
  <c r="BP7" i="36"/>
  <c r="BQ7" i="36"/>
  <c r="BR7" i="36"/>
  <c r="BR14" i="36" s="1"/>
  <c r="BS7" i="36"/>
  <c r="BS9" i="36" s="1"/>
  <c r="BA50" i="13" s="1"/>
  <c r="BT7" i="36"/>
  <c r="BT14" i="36" s="1"/>
  <c r="BT15" i="36" s="1"/>
  <c r="BK68" i="36"/>
  <c r="BL68" i="36" s="1"/>
  <c r="BM68" i="36" s="1"/>
  <c r="BN68" i="36" s="1"/>
  <c r="BO68" i="36" s="1"/>
  <c r="BP68" i="36" s="1"/>
  <c r="BQ68" i="36" s="1"/>
  <c r="BR68" i="36" s="1"/>
  <c r="BS68" i="36" s="1"/>
  <c r="BT68" i="36" s="1"/>
  <c r="BU68" i="36" s="1"/>
  <c r="BJ72" i="36"/>
  <c r="V62" i="36"/>
  <c r="BN14" i="36"/>
  <c r="BN15" i="36" s="1"/>
  <c r="AA62" i="36"/>
  <c r="AC62" i="36"/>
  <c r="AY5" i="36"/>
  <c r="AX6" i="36"/>
  <c r="J52" i="36"/>
  <c r="J17" i="36"/>
  <c r="BL66" i="36"/>
  <c r="AF62" i="36"/>
  <c r="M52" i="36"/>
  <c r="M62" i="36" s="1"/>
  <c r="AG52" i="36"/>
  <c r="AG62" i="36" s="1"/>
  <c r="AL52" i="36"/>
  <c r="AL62" i="36" s="1"/>
  <c r="G9" i="36"/>
  <c r="K4" i="36"/>
  <c r="K9" i="36" s="1"/>
  <c r="K16" i="36" s="1"/>
  <c r="N62" i="36"/>
  <c r="BR15" i="36"/>
  <c r="AN62" i="36"/>
  <c r="H61" i="36"/>
  <c r="H16" i="36"/>
  <c r="BJ29" i="36"/>
  <c r="BK26" i="36"/>
  <c r="BL26" i="36" s="1"/>
  <c r="BM26" i="36" s="1"/>
  <c r="BN26" i="36" s="1"/>
  <c r="BO26" i="36" s="1"/>
  <c r="BP26" i="36" s="1"/>
  <c r="BQ26" i="36" s="1"/>
  <c r="BR26" i="36" s="1"/>
  <c r="BS26" i="36" s="1"/>
  <c r="BT26" i="36" s="1"/>
  <c r="BU26" i="36" s="1"/>
  <c r="AP52" i="36"/>
  <c r="AP62" i="36" s="1"/>
  <c r="G29" i="36"/>
  <c r="G51" i="36" s="1"/>
  <c r="AV8" i="36" s="1"/>
  <c r="K26" i="36"/>
  <c r="K29" i="36" s="1"/>
  <c r="I51" i="36"/>
  <c r="AZ8" i="36" s="1"/>
  <c r="K20" i="36"/>
  <c r="Q52" i="36"/>
  <c r="Q62" i="36" s="1"/>
  <c r="Z62" i="36"/>
  <c r="BK19" i="36"/>
  <c r="AJ52" i="36"/>
  <c r="AJ62" i="36" s="1"/>
  <c r="AZ4" i="36"/>
  <c r="BA5" i="36" s="1"/>
  <c r="BK14" i="36"/>
  <c r="BQ14" i="36"/>
  <c r="BQ15" i="36" s="1"/>
  <c r="AM16" i="36"/>
  <c r="AM52" i="36" s="1"/>
  <c r="AM62" i="36" s="1"/>
  <c r="BI7" i="36"/>
  <c r="AK62" i="36"/>
  <c r="AQ16" i="36"/>
  <c r="AQ52" i="36" s="1"/>
  <c r="AQ62" i="36" s="1"/>
  <c r="I17" i="36"/>
  <c r="K36" i="36"/>
  <c r="BW5" i="36"/>
  <c r="BX5" i="36" s="1"/>
  <c r="BY5" i="36" s="1"/>
  <c r="BK12" i="36"/>
  <c r="AD52" i="36"/>
  <c r="AD62" i="36" s="1"/>
  <c r="K47" i="36"/>
  <c r="K30" i="36"/>
  <c r="K51" i="36" s="1"/>
  <c r="K33" i="36"/>
  <c r="G61" i="36"/>
  <c r="AA61" i="36"/>
  <c r="I61" i="36"/>
  <c r="J61" i="36"/>
  <c r="AD61" i="36"/>
  <c r="AC61" i="36"/>
  <c r="BW6" i="36"/>
  <c r="BX6" i="36" s="1"/>
  <c r="BY6" i="36" s="1"/>
  <c r="BJ13" i="36"/>
  <c r="AB16" i="36"/>
  <c r="AB52" i="36" s="1"/>
  <c r="AB62" i="36" s="1"/>
  <c r="BK29" i="36"/>
  <c r="K56" i="36"/>
  <c r="K61" i="36" s="1"/>
  <c r="K34" i="36"/>
  <c r="BL25" i="36"/>
  <c r="U8" i="27"/>
  <c r="X8" i="27"/>
  <c r="AA8" i="27"/>
  <c r="AD8" i="27"/>
  <c r="AG8" i="27"/>
  <c r="AJ8" i="27"/>
  <c r="AM8" i="27"/>
  <c r="AP8" i="27"/>
  <c r="AS8" i="27"/>
  <c r="AV8" i="27"/>
  <c r="AZ8" i="27"/>
  <c r="AY12" i="27"/>
  <c r="AX12" i="27"/>
  <c r="AW12" i="27"/>
  <c r="AV12" i="27"/>
  <c r="AU12" i="27"/>
  <c r="AT12" i="27"/>
  <c r="AS12" i="27"/>
  <c r="AR12" i="27"/>
  <c r="AQ12" i="27"/>
  <c r="AP12" i="27"/>
  <c r="AO12" i="27"/>
  <c r="AN12" i="27"/>
  <c r="AM12" i="27"/>
  <c r="AL12" i="27"/>
  <c r="AK12" i="27"/>
  <c r="AJ12" i="27"/>
  <c r="AI12" i="27"/>
  <c r="AH12" i="27"/>
  <c r="AG12" i="27"/>
  <c r="AF12" i="27"/>
  <c r="AE12" i="27"/>
  <c r="AD12" i="27"/>
  <c r="AC12" i="27"/>
  <c r="AB12" i="27"/>
  <c r="AA12" i="27"/>
  <c r="Z12" i="27"/>
  <c r="Y12" i="27"/>
  <c r="X12" i="27"/>
  <c r="W12" i="27"/>
  <c r="V12" i="27"/>
  <c r="U12" i="27"/>
  <c r="T12" i="27"/>
  <c r="S12" i="27"/>
  <c r="R12" i="27"/>
  <c r="Q12" i="27"/>
  <c r="P12" i="27"/>
  <c r="O12" i="27"/>
  <c r="N12" i="27"/>
  <c r="M12" i="27"/>
  <c r="L12" i="27"/>
  <c r="K12" i="27"/>
  <c r="J12" i="27"/>
  <c r="BC8" i="27"/>
  <c r="BS14" i="36" l="1"/>
  <c r="BS15" i="36" s="1"/>
  <c r="BT9" i="36"/>
  <c r="BB50" i="13" s="1"/>
  <c r="BR9" i="36"/>
  <c r="AZ50" i="13" s="1"/>
  <c r="BN16" i="36"/>
  <c r="AV74" i="13" s="1"/>
  <c r="AV50" i="13"/>
  <c r="BL29" i="36"/>
  <c r="BM25" i="36"/>
  <c r="BL19" i="36"/>
  <c r="BK15" i="36"/>
  <c r="BR16" i="36"/>
  <c r="AZ74" i="13" s="1"/>
  <c r="AV4" i="36"/>
  <c r="G16" i="36"/>
  <c r="BJ73" i="36"/>
  <c r="BJ45" i="36" s="1"/>
  <c r="BJ40" i="36"/>
  <c r="BJ51" i="36" s="1"/>
  <c r="BK9" i="36"/>
  <c r="BO14" i="36"/>
  <c r="BO15" i="36" s="1"/>
  <c r="BO9" i="36"/>
  <c r="AW50" i="13" s="1"/>
  <c r="BL14" i="36"/>
  <c r="BL15" i="36" s="1"/>
  <c r="BL9" i="36"/>
  <c r="BS16" i="36"/>
  <c r="BA74" i="13" s="1"/>
  <c r="K52" i="36"/>
  <c r="K62" i="36" s="1"/>
  <c r="BA8" i="36"/>
  <c r="BM14" i="36"/>
  <c r="BM15" i="36" s="1"/>
  <c r="BM9" i="36"/>
  <c r="BT16" i="36"/>
  <c r="BB74" i="13" s="1"/>
  <c r="BK72" i="36"/>
  <c r="AZ14" i="36"/>
  <c r="BA14" i="36" s="1"/>
  <c r="AZ11" i="36"/>
  <c r="BA11" i="36" s="1"/>
  <c r="J62" i="36"/>
  <c r="BW7" i="36"/>
  <c r="BJ14" i="36"/>
  <c r="BJ15" i="36" s="1"/>
  <c r="BJ9" i="36"/>
  <c r="AR50" i="13" s="1"/>
  <c r="H52" i="36"/>
  <c r="H62" i="36" s="1"/>
  <c r="H17" i="36"/>
  <c r="BA4" i="36"/>
  <c r="AZ6" i="36"/>
  <c r="AX14" i="36"/>
  <c r="AY14" i="36" s="1"/>
  <c r="AX11" i="36"/>
  <c r="AY11" i="36" s="1"/>
  <c r="BL72" i="36"/>
  <c r="BM66" i="36"/>
  <c r="BQ9" i="36"/>
  <c r="BU14" i="36"/>
  <c r="BU15" i="36" s="1"/>
  <c r="BU9" i="36"/>
  <c r="I52" i="36"/>
  <c r="I62" i="36" s="1"/>
  <c r="AV14" i="36"/>
  <c r="AV11" i="36"/>
  <c r="BP14" i="36"/>
  <c r="BP15" i="36" s="1"/>
  <c r="BP9" i="36"/>
  <c r="AX9" i="36"/>
  <c r="AY6" i="36"/>
  <c r="C15" i="30"/>
  <c r="C16" i="30" s="1"/>
  <c r="AP30" i="13"/>
  <c r="AQ30" i="13" s="1"/>
  <c r="AR30" i="13" s="1"/>
  <c r="AS30" i="13" s="1"/>
  <c r="AT30" i="13" s="1"/>
  <c r="AU30" i="13" s="1"/>
  <c r="AV30" i="13" s="1"/>
  <c r="AW30" i="13" s="1"/>
  <c r="AX30" i="13" s="1"/>
  <c r="AY30" i="13" s="1"/>
  <c r="AZ30" i="13" s="1"/>
  <c r="BA30" i="13" s="1"/>
  <c r="BB30" i="13" s="1"/>
  <c r="BC30" i="13" s="1"/>
  <c r="BG224" i="13"/>
  <c r="BG221" i="13"/>
  <c r="BG212" i="13"/>
  <c r="BG205" i="13"/>
  <c r="BG203" i="13"/>
  <c r="BG192" i="13"/>
  <c r="BG190" i="13"/>
  <c r="BG180" i="13"/>
  <c r="BG174" i="13"/>
  <c r="BG173" i="13"/>
  <c r="BG169" i="13"/>
  <c r="BG168" i="13"/>
  <c r="BG167" i="13"/>
  <c r="BG166" i="13"/>
  <c r="BG146" i="13"/>
  <c r="BG142" i="13"/>
  <c r="BG131" i="13"/>
  <c r="BG130" i="13"/>
  <c r="BG129" i="13"/>
  <c r="BG126" i="13"/>
  <c r="BG113" i="13"/>
  <c r="BG108" i="13"/>
  <c r="BG105" i="13"/>
  <c r="BG258" i="13"/>
  <c r="BG257" i="13"/>
  <c r="BG253" i="13"/>
  <c r="BG252" i="13"/>
  <c r="BG250" i="13"/>
  <c r="BG246" i="13"/>
  <c r="BG239" i="13"/>
  <c r="BG93" i="13"/>
  <c r="BG92" i="13"/>
  <c r="BG91" i="13"/>
  <c r="BG90" i="13"/>
  <c r="BG88" i="13"/>
  <c r="BG68" i="13"/>
  <c r="BG26" i="13"/>
  <c r="BC259" i="13"/>
  <c r="BC256" i="13"/>
  <c r="BG211" i="13" s="1"/>
  <c r="BC251" i="13"/>
  <c r="BC87" i="13"/>
  <c r="BB259" i="13"/>
  <c r="BB256" i="13"/>
  <c r="BB251" i="13"/>
  <c r="BB87" i="13"/>
  <c r="BA259" i="13"/>
  <c r="BA256" i="13"/>
  <c r="BA251" i="13"/>
  <c r="BA87" i="13"/>
  <c r="AZ259" i="13"/>
  <c r="AZ256" i="13"/>
  <c r="AZ251" i="13"/>
  <c r="AZ87" i="13"/>
  <c r="AY259" i="13"/>
  <c r="AY256" i="13"/>
  <c r="AY251" i="13"/>
  <c r="AY87" i="13"/>
  <c r="AX259" i="13"/>
  <c r="AX256" i="13"/>
  <c r="AX251" i="13"/>
  <c r="AX87" i="13"/>
  <c r="AW259" i="13"/>
  <c r="AW256" i="13"/>
  <c r="AW251" i="13"/>
  <c r="AW87" i="13"/>
  <c r="AV259" i="13"/>
  <c r="AV256" i="13"/>
  <c r="AV251" i="13"/>
  <c r="AV87" i="13"/>
  <c r="AU259" i="13"/>
  <c r="AU256" i="13"/>
  <c r="AU251" i="13"/>
  <c r="AU87" i="13"/>
  <c r="AT259" i="13"/>
  <c r="AT256" i="13"/>
  <c r="AT251" i="13"/>
  <c r="AT87" i="13"/>
  <c r="AS259" i="13"/>
  <c r="AS256" i="13"/>
  <c r="AS251" i="13"/>
  <c r="AS87" i="13"/>
  <c r="AR259" i="13"/>
  <c r="AR256" i="13"/>
  <c r="AR251" i="13"/>
  <c r="AR87" i="13"/>
  <c r="AV91" i="19"/>
  <c r="AV92" i="19"/>
  <c r="AV93" i="19"/>
  <c r="CM50" i="19"/>
  <c r="CM34" i="19"/>
  <c r="CM28" i="19"/>
  <c r="CM24" i="19"/>
  <c r="CM20" i="19"/>
  <c r="BA50" i="19"/>
  <c r="AZ50" i="19"/>
  <c r="AZ34" i="19"/>
  <c r="AZ28" i="19"/>
  <c r="AV2" i="19"/>
  <c r="AV52" i="19"/>
  <c r="AV53" i="19"/>
  <c r="AV54" i="19"/>
  <c r="AV55" i="19"/>
  <c r="AV56" i="19"/>
  <c r="AV57" i="19"/>
  <c r="AV58" i="19"/>
  <c r="AV59" i="19"/>
  <c r="BQ16" i="36" l="1"/>
  <c r="AY74" i="13" s="1"/>
  <c r="AY50" i="13"/>
  <c r="BM16" i="36"/>
  <c r="AU74" i="13" s="1"/>
  <c r="AU50" i="13"/>
  <c r="BU16" i="36"/>
  <c r="BC74" i="13" s="1"/>
  <c r="BC50" i="13"/>
  <c r="BP16" i="36"/>
  <c r="AX74" i="13" s="1"/>
  <c r="AX50" i="13"/>
  <c r="BL16" i="36"/>
  <c r="AT74" i="13" s="1"/>
  <c r="AT50" i="13"/>
  <c r="BK16" i="36"/>
  <c r="AS74" i="13" s="1"/>
  <c r="AS50" i="13"/>
  <c r="BG50" i="13" s="1"/>
  <c r="BW15" i="36"/>
  <c r="BM72" i="36"/>
  <c r="BN66" i="36"/>
  <c r="AZ9" i="36"/>
  <c r="BA6" i="36"/>
  <c r="BJ16" i="36"/>
  <c r="AR74" i="13" s="1"/>
  <c r="BW9" i="36"/>
  <c r="G17" i="36"/>
  <c r="K17" i="36" s="1"/>
  <c r="G52" i="36"/>
  <c r="G62" i="36" s="1"/>
  <c r="AW4" i="36"/>
  <c r="BF4" i="36"/>
  <c r="AV6" i="36"/>
  <c r="AW5" i="36"/>
  <c r="BG5" i="36" s="1"/>
  <c r="AW11" i="36"/>
  <c r="BM29" i="36"/>
  <c r="BN25" i="36"/>
  <c r="AW8" i="36"/>
  <c r="BG8" i="36" s="1"/>
  <c r="BL73" i="36"/>
  <c r="BL45" i="36" s="1"/>
  <c r="BL40" i="36"/>
  <c r="BO16" i="36"/>
  <c r="AW74" i="13" s="1"/>
  <c r="AY9" i="36"/>
  <c r="AX12" i="36"/>
  <c r="BM19" i="36"/>
  <c r="BL51" i="36"/>
  <c r="BK40" i="36"/>
  <c r="BK51" i="36" s="1"/>
  <c r="BK73" i="36"/>
  <c r="BK45" i="36" s="1"/>
  <c r="AW14" i="36"/>
  <c r="BG30" i="13"/>
  <c r="AO253" i="13"/>
  <c r="AO252" i="13"/>
  <c r="AO273" i="13"/>
  <c r="AO288" i="13"/>
  <c r="AO289" i="13" s="1"/>
  <c r="AO47" i="13"/>
  <c r="AO48" i="13"/>
  <c r="AO71" i="13"/>
  <c r="AO72" i="13"/>
  <c r="AO73" i="13"/>
  <c r="W225" i="24" s="1"/>
  <c r="AO87" i="13"/>
  <c r="AO97" i="13"/>
  <c r="AO98" i="13"/>
  <c r="AO104" i="13"/>
  <c r="AO108" i="13"/>
  <c r="AO109" i="13"/>
  <c r="AO277" i="13" s="1"/>
  <c r="AO113" i="13"/>
  <c r="AO126" i="13"/>
  <c r="AO127" i="13"/>
  <c r="AO138" i="13" s="1"/>
  <c r="AO128" i="13"/>
  <c r="AO140" i="13" s="1"/>
  <c r="AP87" i="13"/>
  <c r="AP113" i="13"/>
  <c r="AO158" i="13"/>
  <c r="AO159" i="13"/>
  <c r="AO160" i="13"/>
  <c r="AV30" i="19" s="1"/>
  <c r="AO161" i="13"/>
  <c r="AO162" i="13"/>
  <c r="AO163" i="13"/>
  <c r="AO164" i="13"/>
  <c r="AO165" i="13"/>
  <c r="AO166" i="13"/>
  <c r="AO168" i="13"/>
  <c r="AO170" i="13"/>
  <c r="AO171" i="13"/>
  <c r="AO172" i="13"/>
  <c r="AO173" i="13"/>
  <c r="AO174" i="13"/>
  <c r="AO178" i="13"/>
  <c r="AO179" i="13"/>
  <c r="AO181" i="13"/>
  <c r="AO182" i="13"/>
  <c r="AO183" i="13"/>
  <c r="AO191" i="13"/>
  <c r="AO193" i="13"/>
  <c r="AO194" i="13"/>
  <c r="AO195" i="13"/>
  <c r="AO196" i="13"/>
  <c r="AV33" i="19" s="1"/>
  <c r="AO197" i="13"/>
  <c r="AO198" i="13"/>
  <c r="AO199" i="13"/>
  <c r="AO200" i="13"/>
  <c r="AO207" i="13"/>
  <c r="AO208" i="13"/>
  <c r="AO212" i="13"/>
  <c r="AO214" i="13"/>
  <c r="AO215" i="13"/>
  <c r="AO221" i="13"/>
  <c r="AO222" i="13"/>
  <c r="AO224" i="13"/>
  <c r="AO225" i="13"/>
  <c r="AO226" i="13"/>
  <c r="AO227" i="13"/>
  <c r="BD205" i="27"/>
  <c r="BD206" i="27" s="1"/>
  <c r="BD195" i="27"/>
  <c r="BD196" i="27" s="1"/>
  <c r="BD181" i="27"/>
  <c r="BD182" i="27" s="1"/>
  <c r="BD175" i="27"/>
  <c r="BD161" i="27"/>
  <c r="BD154" i="27"/>
  <c r="BD155" i="27"/>
  <c r="BD146" i="27"/>
  <c r="BD133" i="27"/>
  <c r="BD132" i="27"/>
  <c r="BD122" i="27"/>
  <c r="BD109" i="27"/>
  <c r="BD106" i="27"/>
  <c r="BD93" i="27"/>
  <c r="BD94" i="27"/>
  <c r="BD96" i="27"/>
  <c r="BD89" i="27"/>
  <c r="BD83" i="27"/>
  <c r="BD62" i="27"/>
  <c r="BD30" i="27"/>
  <c r="W220" i="24"/>
  <c r="W221" i="24"/>
  <c r="W222" i="24"/>
  <c r="U129" i="23"/>
  <c r="V129" i="23"/>
  <c r="D9" i="35"/>
  <c r="H798" i="35"/>
  <c r="G798" i="35"/>
  <c r="F798" i="35"/>
  <c r="D798" i="35"/>
  <c r="H797" i="35"/>
  <c r="A798" i="35" s="1"/>
  <c r="G797" i="35"/>
  <c r="F797" i="35"/>
  <c r="D797" i="35"/>
  <c r="H796" i="35"/>
  <c r="A797" i="35" s="1"/>
  <c r="G796" i="35"/>
  <c r="F796" i="35"/>
  <c r="D796" i="35"/>
  <c r="H795" i="35"/>
  <c r="A796" i="35" s="1"/>
  <c r="G795" i="35"/>
  <c r="F795" i="35"/>
  <c r="D795" i="35"/>
  <c r="H794" i="35"/>
  <c r="A795" i="35" s="1"/>
  <c r="G794" i="35"/>
  <c r="F794" i="35"/>
  <c r="D794" i="35"/>
  <c r="H793" i="35"/>
  <c r="A794" i="35" s="1"/>
  <c r="G793" i="35"/>
  <c r="F793" i="35"/>
  <c r="D793" i="35"/>
  <c r="H792" i="35"/>
  <c r="A793" i="35" s="1"/>
  <c r="G792" i="35"/>
  <c r="F792" i="35"/>
  <c r="D792" i="35"/>
  <c r="H791" i="35"/>
  <c r="A792" i="35" s="1"/>
  <c r="G791" i="35"/>
  <c r="F791" i="35"/>
  <c r="D791" i="35"/>
  <c r="H790" i="35"/>
  <c r="A791" i="35" s="1"/>
  <c r="G790" i="35"/>
  <c r="F790" i="35"/>
  <c r="D790" i="35"/>
  <c r="H789" i="35"/>
  <c r="A790" i="35" s="1"/>
  <c r="G789" i="35"/>
  <c r="F789" i="35"/>
  <c r="D789" i="35"/>
  <c r="H788" i="35"/>
  <c r="A789" i="35" s="1"/>
  <c r="G788" i="35"/>
  <c r="F788" i="35"/>
  <c r="D788" i="35"/>
  <c r="H787" i="35"/>
  <c r="A788" i="35" s="1"/>
  <c r="G787" i="35"/>
  <c r="F787" i="35"/>
  <c r="D787" i="35"/>
  <c r="H786" i="35"/>
  <c r="A787" i="35" s="1"/>
  <c r="G786" i="35"/>
  <c r="F786" i="35"/>
  <c r="D786" i="35"/>
  <c r="H785" i="35"/>
  <c r="A786" i="35" s="1"/>
  <c r="G785" i="35"/>
  <c r="F785" i="35"/>
  <c r="D785" i="35"/>
  <c r="H784" i="35"/>
  <c r="A785" i="35" s="1"/>
  <c r="G784" i="35"/>
  <c r="F784" i="35"/>
  <c r="D784" i="35"/>
  <c r="H783" i="35"/>
  <c r="A784" i="35" s="1"/>
  <c r="G783" i="35"/>
  <c r="F783" i="35"/>
  <c r="D783" i="35"/>
  <c r="H782" i="35"/>
  <c r="A783" i="35" s="1"/>
  <c r="G782" i="35"/>
  <c r="F782" i="35"/>
  <c r="D782" i="35"/>
  <c r="H781" i="35"/>
  <c r="A782" i="35" s="1"/>
  <c r="G781" i="35"/>
  <c r="F781" i="35"/>
  <c r="D781" i="35"/>
  <c r="H780" i="35"/>
  <c r="A781" i="35" s="1"/>
  <c r="G780" i="35"/>
  <c r="F780" i="35"/>
  <c r="D780" i="35"/>
  <c r="H779" i="35"/>
  <c r="A780" i="35" s="1"/>
  <c r="G779" i="35"/>
  <c r="F779" i="35"/>
  <c r="D779" i="35"/>
  <c r="H778" i="35"/>
  <c r="A779" i="35" s="1"/>
  <c r="G778" i="35"/>
  <c r="F778" i="35"/>
  <c r="D778" i="35"/>
  <c r="H777" i="35"/>
  <c r="A778" i="35" s="1"/>
  <c r="G777" i="35"/>
  <c r="F777" i="35"/>
  <c r="D777" i="35"/>
  <c r="H776" i="35"/>
  <c r="A777" i="35" s="1"/>
  <c r="G776" i="35"/>
  <c r="F776" i="35"/>
  <c r="D776" i="35"/>
  <c r="H775" i="35"/>
  <c r="A776" i="35" s="1"/>
  <c r="G775" i="35"/>
  <c r="F775" i="35"/>
  <c r="D775" i="35"/>
  <c r="H774" i="35"/>
  <c r="A775" i="35" s="1"/>
  <c r="G774" i="35"/>
  <c r="F774" i="35"/>
  <c r="D774" i="35"/>
  <c r="H773" i="35"/>
  <c r="A774" i="35" s="1"/>
  <c r="G773" i="35"/>
  <c r="F773" i="35"/>
  <c r="D773" i="35"/>
  <c r="H772" i="35"/>
  <c r="A773" i="35" s="1"/>
  <c r="G772" i="35"/>
  <c r="F772" i="35"/>
  <c r="D772" i="35"/>
  <c r="H771" i="35"/>
  <c r="A772" i="35" s="1"/>
  <c r="G771" i="35"/>
  <c r="F771" i="35"/>
  <c r="D771" i="35"/>
  <c r="H770" i="35"/>
  <c r="A771" i="35" s="1"/>
  <c r="G770" i="35"/>
  <c r="F770" i="35"/>
  <c r="D770" i="35"/>
  <c r="H769" i="35"/>
  <c r="A770" i="35" s="1"/>
  <c r="G769" i="35"/>
  <c r="F769" i="35"/>
  <c r="D769" i="35"/>
  <c r="H768" i="35"/>
  <c r="A769" i="35" s="1"/>
  <c r="G768" i="35"/>
  <c r="F768" i="35"/>
  <c r="D768" i="35"/>
  <c r="H767" i="35"/>
  <c r="A768" i="35" s="1"/>
  <c r="G767" i="35"/>
  <c r="F767" i="35"/>
  <c r="D767" i="35"/>
  <c r="H766" i="35"/>
  <c r="A767" i="35" s="1"/>
  <c r="G766" i="35"/>
  <c r="F766" i="35"/>
  <c r="D766" i="35"/>
  <c r="H765" i="35"/>
  <c r="A766" i="35" s="1"/>
  <c r="G765" i="35"/>
  <c r="F765" i="35"/>
  <c r="D765" i="35"/>
  <c r="H764" i="35"/>
  <c r="A765" i="35" s="1"/>
  <c r="G764" i="35"/>
  <c r="F764" i="35"/>
  <c r="D764" i="35"/>
  <c r="H763" i="35"/>
  <c r="A764" i="35" s="1"/>
  <c r="G763" i="35"/>
  <c r="F763" i="35"/>
  <c r="D763" i="35"/>
  <c r="H762" i="35"/>
  <c r="A763" i="35" s="1"/>
  <c r="G762" i="35"/>
  <c r="F762" i="35"/>
  <c r="D762" i="35"/>
  <c r="H761" i="35"/>
  <c r="A762" i="35" s="1"/>
  <c r="G761" i="35"/>
  <c r="F761" i="35"/>
  <c r="D761" i="35"/>
  <c r="H760" i="35"/>
  <c r="A761" i="35" s="1"/>
  <c r="G760" i="35"/>
  <c r="F760" i="35"/>
  <c r="D760" i="35"/>
  <c r="H759" i="35"/>
  <c r="A760" i="35" s="1"/>
  <c r="G759" i="35"/>
  <c r="F759" i="35"/>
  <c r="D759" i="35"/>
  <c r="H758" i="35"/>
  <c r="A759" i="35" s="1"/>
  <c r="G758" i="35"/>
  <c r="F758" i="35"/>
  <c r="D758" i="35"/>
  <c r="H757" i="35"/>
  <c r="A758" i="35" s="1"/>
  <c r="G757" i="35"/>
  <c r="F757" i="35"/>
  <c r="D757" i="35"/>
  <c r="H756" i="35"/>
  <c r="A757" i="35" s="1"/>
  <c r="G756" i="35"/>
  <c r="F756" i="35"/>
  <c r="D756" i="35"/>
  <c r="H755" i="35"/>
  <c r="A756" i="35" s="1"/>
  <c r="G755" i="35"/>
  <c r="F755" i="35"/>
  <c r="D755" i="35"/>
  <c r="A755" i="35"/>
  <c r="H754" i="35"/>
  <c r="G754" i="35"/>
  <c r="F754" i="35"/>
  <c r="D754" i="35"/>
  <c r="H753" i="35"/>
  <c r="A754" i="35" s="1"/>
  <c r="G753" i="35"/>
  <c r="F753" i="35"/>
  <c r="D753" i="35"/>
  <c r="H752" i="35"/>
  <c r="A753" i="35" s="1"/>
  <c r="G752" i="35"/>
  <c r="F752" i="35"/>
  <c r="D752" i="35"/>
  <c r="H751" i="35"/>
  <c r="A752" i="35" s="1"/>
  <c r="G751" i="35"/>
  <c r="F751" i="35"/>
  <c r="D751" i="35"/>
  <c r="H750" i="35"/>
  <c r="A751" i="35" s="1"/>
  <c r="G750" i="35"/>
  <c r="F750" i="35"/>
  <c r="D750" i="35"/>
  <c r="H749" i="35"/>
  <c r="A750" i="35" s="1"/>
  <c r="G749" i="35"/>
  <c r="F749" i="35"/>
  <c r="D749" i="35"/>
  <c r="H748" i="35"/>
  <c r="A749" i="35" s="1"/>
  <c r="G748" i="35"/>
  <c r="F748" i="35"/>
  <c r="D748" i="35"/>
  <c r="H747" i="35"/>
  <c r="A748" i="35" s="1"/>
  <c r="G747" i="35"/>
  <c r="F747" i="35"/>
  <c r="D747" i="35"/>
  <c r="H746" i="35"/>
  <c r="A747" i="35" s="1"/>
  <c r="G746" i="35"/>
  <c r="F746" i="35"/>
  <c r="D746" i="35"/>
  <c r="H745" i="35"/>
  <c r="A746" i="35" s="1"/>
  <c r="G745" i="35"/>
  <c r="F745" i="35"/>
  <c r="D745" i="35"/>
  <c r="H744" i="35"/>
  <c r="A745" i="35" s="1"/>
  <c r="G744" i="35"/>
  <c r="F744" i="35"/>
  <c r="D744" i="35"/>
  <c r="H743" i="35"/>
  <c r="A744" i="35" s="1"/>
  <c r="G743" i="35"/>
  <c r="F743" i="35"/>
  <c r="D743" i="35"/>
  <c r="A743" i="35"/>
  <c r="H742" i="35"/>
  <c r="G742" i="35"/>
  <c r="F742" i="35"/>
  <c r="D742" i="35"/>
  <c r="H741" i="35"/>
  <c r="A742" i="35" s="1"/>
  <c r="G741" i="35"/>
  <c r="F741" i="35"/>
  <c r="D741" i="35"/>
  <c r="H740" i="35"/>
  <c r="A741" i="35" s="1"/>
  <c r="G740" i="35"/>
  <c r="F740" i="35"/>
  <c r="D740" i="35"/>
  <c r="H739" i="35"/>
  <c r="A740" i="35" s="1"/>
  <c r="G739" i="35"/>
  <c r="F739" i="35"/>
  <c r="D739" i="35"/>
  <c r="A739" i="35"/>
  <c r="H738" i="35"/>
  <c r="G738" i="35"/>
  <c r="F738" i="35"/>
  <c r="D738" i="35"/>
  <c r="H737" i="35"/>
  <c r="A738" i="35" s="1"/>
  <c r="G737" i="35"/>
  <c r="F737" i="35"/>
  <c r="D737" i="35"/>
  <c r="H736" i="35"/>
  <c r="A737" i="35" s="1"/>
  <c r="G736" i="35"/>
  <c r="F736" i="35"/>
  <c r="D736" i="35"/>
  <c r="H735" i="35"/>
  <c r="A736" i="35" s="1"/>
  <c r="G735" i="35"/>
  <c r="F735" i="35"/>
  <c r="D735" i="35"/>
  <c r="H734" i="35"/>
  <c r="A735" i="35" s="1"/>
  <c r="G734" i="35"/>
  <c r="F734" i="35"/>
  <c r="D734" i="35"/>
  <c r="H733" i="35"/>
  <c r="A734" i="35" s="1"/>
  <c r="G733" i="35"/>
  <c r="F733" i="35"/>
  <c r="D733" i="35"/>
  <c r="H732" i="35"/>
  <c r="A733" i="35" s="1"/>
  <c r="G732" i="35"/>
  <c r="F732" i="35"/>
  <c r="D732" i="35"/>
  <c r="A732" i="35"/>
  <c r="H731" i="35"/>
  <c r="G731" i="35"/>
  <c r="F731" i="35"/>
  <c r="D731" i="35"/>
  <c r="H730" i="35"/>
  <c r="A731" i="35" s="1"/>
  <c r="G730" i="35"/>
  <c r="F730" i="35"/>
  <c r="D730" i="35"/>
  <c r="H729" i="35"/>
  <c r="A730" i="35" s="1"/>
  <c r="G729" i="35"/>
  <c r="F729" i="35"/>
  <c r="D729" i="35"/>
  <c r="H728" i="35"/>
  <c r="A729" i="35" s="1"/>
  <c r="G728" i="35"/>
  <c r="F728" i="35"/>
  <c r="D728" i="35"/>
  <c r="H727" i="35"/>
  <c r="A728" i="35" s="1"/>
  <c r="G727" i="35"/>
  <c r="F727" i="35"/>
  <c r="D727" i="35"/>
  <c r="H726" i="35"/>
  <c r="A727" i="35" s="1"/>
  <c r="G726" i="35"/>
  <c r="F726" i="35"/>
  <c r="D726" i="35"/>
  <c r="H725" i="35"/>
  <c r="A726" i="35" s="1"/>
  <c r="G725" i="35"/>
  <c r="F725" i="35"/>
  <c r="D725" i="35"/>
  <c r="H724" i="35"/>
  <c r="A725" i="35" s="1"/>
  <c r="G724" i="35"/>
  <c r="F724" i="35"/>
  <c r="D724" i="35"/>
  <c r="H723" i="35"/>
  <c r="A724" i="35" s="1"/>
  <c r="G723" i="35"/>
  <c r="F723" i="35"/>
  <c r="D723" i="35"/>
  <c r="A723" i="35"/>
  <c r="H722" i="35"/>
  <c r="G722" i="35"/>
  <c r="F722" i="35"/>
  <c r="D722" i="35"/>
  <c r="H721" i="35"/>
  <c r="A722" i="35" s="1"/>
  <c r="G721" i="35"/>
  <c r="F721" i="35"/>
  <c r="D721" i="35"/>
  <c r="H720" i="35"/>
  <c r="A721" i="35" s="1"/>
  <c r="G720" i="35"/>
  <c r="F720" i="35"/>
  <c r="D720" i="35"/>
  <c r="H719" i="35"/>
  <c r="A720" i="35" s="1"/>
  <c r="G719" i="35"/>
  <c r="F719" i="35"/>
  <c r="D719" i="35"/>
  <c r="H718" i="35"/>
  <c r="A719" i="35" s="1"/>
  <c r="G718" i="35"/>
  <c r="F718" i="35"/>
  <c r="D718" i="35"/>
  <c r="H717" i="35"/>
  <c r="A718" i="35" s="1"/>
  <c r="G717" i="35"/>
  <c r="F717" i="35"/>
  <c r="D717" i="35"/>
  <c r="H716" i="35"/>
  <c r="A717" i="35" s="1"/>
  <c r="G716" i="35"/>
  <c r="F716" i="35"/>
  <c r="D716" i="35"/>
  <c r="H715" i="35"/>
  <c r="A716" i="35" s="1"/>
  <c r="G715" i="35"/>
  <c r="F715" i="35"/>
  <c r="D715" i="35"/>
  <c r="H714" i="35"/>
  <c r="A715" i="35" s="1"/>
  <c r="G714" i="35"/>
  <c r="F714" i="35"/>
  <c r="D714" i="35"/>
  <c r="H713" i="35"/>
  <c r="A714" i="35" s="1"/>
  <c r="G713" i="35"/>
  <c r="F713" i="35"/>
  <c r="D713" i="35"/>
  <c r="H712" i="35"/>
  <c r="A713" i="35" s="1"/>
  <c r="G712" i="35"/>
  <c r="F712" i="35"/>
  <c r="D712" i="35"/>
  <c r="H711" i="35"/>
  <c r="A712" i="35" s="1"/>
  <c r="G711" i="35"/>
  <c r="F711" i="35"/>
  <c r="D711" i="35"/>
  <c r="H710" i="35"/>
  <c r="A711" i="35" s="1"/>
  <c r="G710" i="35"/>
  <c r="F710" i="35"/>
  <c r="D710" i="35"/>
  <c r="H709" i="35"/>
  <c r="A710" i="35" s="1"/>
  <c r="G709" i="35"/>
  <c r="F709" i="35"/>
  <c r="D709" i="35"/>
  <c r="H708" i="35"/>
  <c r="A709" i="35" s="1"/>
  <c r="G708" i="35"/>
  <c r="F708" i="35"/>
  <c r="D708" i="35"/>
  <c r="H707" i="35"/>
  <c r="A708" i="35" s="1"/>
  <c r="G707" i="35"/>
  <c r="F707" i="35"/>
  <c r="D707" i="35"/>
  <c r="H706" i="35"/>
  <c r="A707" i="35" s="1"/>
  <c r="G706" i="35"/>
  <c r="F706" i="35"/>
  <c r="D706" i="35"/>
  <c r="H705" i="35"/>
  <c r="A706" i="35" s="1"/>
  <c r="G705" i="35"/>
  <c r="F705" i="35"/>
  <c r="D705" i="35"/>
  <c r="H704" i="35"/>
  <c r="A705" i="35" s="1"/>
  <c r="G704" i="35"/>
  <c r="F704" i="35"/>
  <c r="D704" i="35"/>
  <c r="H703" i="35"/>
  <c r="A704" i="35" s="1"/>
  <c r="G703" i="35"/>
  <c r="F703" i="35"/>
  <c r="D703" i="35"/>
  <c r="H702" i="35"/>
  <c r="A703" i="35" s="1"/>
  <c r="G702" i="35"/>
  <c r="F702" i="35"/>
  <c r="D702" i="35"/>
  <c r="A702" i="35"/>
  <c r="H701" i="35"/>
  <c r="G701" i="35"/>
  <c r="F701" i="35"/>
  <c r="D701" i="35"/>
  <c r="H700" i="35"/>
  <c r="A701" i="35" s="1"/>
  <c r="G700" i="35"/>
  <c r="F700" i="35"/>
  <c r="D700" i="35"/>
  <c r="H699" i="35"/>
  <c r="A700" i="35" s="1"/>
  <c r="G699" i="35"/>
  <c r="F699" i="35"/>
  <c r="D699" i="35"/>
  <c r="H698" i="35"/>
  <c r="A699" i="35" s="1"/>
  <c r="G698" i="35"/>
  <c r="F698" i="35"/>
  <c r="D698" i="35"/>
  <c r="H697" i="35"/>
  <c r="A698" i="35" s="1"/>
  <c r="G697" i="35"/>
  <c r="F697" i="35"/>
  <c r="D697" i="35"/>
  <c r="H696" i="35"/>
  <c r="A697" i="35" s="1"/>
  <c r="G696" i="35"/>
  <c r="F696" i="35"/>
  <c r="D696" i="35"/>
  <c r="H695" i="35"/>
  <c r="A696" i="35" s="1"/>
  <c r="G695" i="35"/>
  <c r="F695" i="35"/>
  <c r="D695" i="35"/>
  <c r="H694" i="35"/>
  <c r="A695" i="35" s="1"/>
  <c r="G694" i="35"/>
  <c r="F694" i="35"/>
  <c r="D694" i="35"/>
  <c r="H693" i="35"/>
  <c r="A694" i="35" s="1"/>
  <c r="G693" i="35"/>
  <c r="F693" i="35"/>
  <c r="D693" i="35"/>
  <c r="H692" i="35"/>
  <c r="A693" i="35" s="1"/>
  <c r="G692" i="35"/>
  <c r="F692" i="35"/>
  <c r="D692" i="35"/>
  <c r="H691" i="35"/>
  <c r="A692" i="35" s="1"/>
  <c r="G691" i="35"/>
  <c r="F691" i="35"/>
  <c r="D691" i="35"/>
  <c r="H690" i="35"/>
  <c r="A691" i="35" s="1"/>
  <c r="G690" i="35"/>
  <c r="F690" i="35"/>
  <c r="D690" i="35"/>
  <c r="H689" i="35"/>
  <c r="A690" i="35" s="1"/>
  <c r="G689" i="35"/>
  <c r="F689" i="35"/>
  <c r="D689" i="35"/>
  <c r="H688" i="35"/>
  <c r="A689" i="35" s="1"/>
  <c r="G688" i="35"/>
  <c r="F688" i="35"/>
  <c r="D688" i="35"/>
  <c r="H687" i="35"/>
  <c r="A688" i="35" s="1"/>
  <c r="G687" i="35"/>
  <c r="F687" i="35"/>
  <c r="D687" i="35"/>
  <c r="H686" i="35"/>
  <c r="A687" i="35" s="1"/>
  <c r="G686" i="35"/>
  <c r="F686" i="35"/>
  <c r="D686" i="35"/>
  <c r="H685" i="35"/>
  <c r="A686" i="35" s="1"/>
  <c r="G685" i="35"/>
  <c r="F685" i="35"/>
  <c r="D685" i="35"/>
  <c r="H684" i="35"/>
  <c r="A685" i="35" s="1"/>
  <c r="G684" i="35"/>
  <c r="F684" i="35"/>
  <c r="D684" i="35"/>
  <c r="H683" i="35"/>
  <c r="A684" i="35" s="1"/>
  <c r="G683" i="35"/>
  <c r="F683" i="35"/>
  <c r="D683" i="35"/>
  <c r="H682" i="35"/>
  <c r="A683" i="35" s="1"/>
  <c r="G682" i="35"/>
  <c r="F682" i="35"/>
  <c r="D682" i="35"/>
  <c r="H681" i="35"/>
  <c r="A682" i="35" s="1"/>
  <c r="G681" i="35"/>
  <c r="F681" i="35"/>
  <c r="D681" i="35"/>
  <c r="H680" i="35"/>
  <c r="A681" i="35" s="1"/>
  <c r="G680" i="35"/>
  <c r="F680" i="35"/>
  <c r="D680" i="35"/>
  <c r="H679" i="35"/>
  <c r="A680" i="35" s="1"/>
  <c r="G679" i="35"/>
  <c r="F679" i="35"/>
  <c r="D679" i="35"/>
  <c r="H678" i="35"/>
  <c r="A679" i="35" s="1"/>
  <c r="G678" i="35"/>
  <c r="F678" i="35"/>
  <c r="D678" i="35"/>
  <c r="H677" i="35"/>
  <c r="A678" i="35" s="1"/>
  <c r="G677" i="35"/>
  <c r="F677" i="35"/>
  <c r="D677" i="35"/>
  <c r="H676" i="35"/>
  <c r="A677" i="35" s="1"/>
  <c r="G676" i="35"/>
  <c r="F676" i="35"/>
  <c r="D676" i="35"/>
  <c r="H675" i="35"/>
  <c r="A676" i="35" s="1"/>
  <c r="G675" i="35"/>
  <c r="F675" i="35"/>
  <c r="D675" i="35"/>
  <c r="H674" i="35"/>
  <c r="A675" i="35" s="1"/>
  <c r="G674" i="35"/>
  <c r="F674" i="35"/>
  <c r="D674" i="35"/>
  <c r="H673" i="35"/>
  <c r="A674" i="35" s="1"/>
  <c r="G673" i="35"/>
  <c r="F673" i="35"/>
  <c r="D673" i="35"/>
  <c r="H672" i="35"/>
  <c r="A673" i="35" s="1"/>
  <c r="G672" i="35"/>
  <c r="F672" i="35"/>
  <c r="D672" i="35"/>
  <c r="H671" i="35"/>
  <c r="A672" i="35" s="1"/>
  <c r="G671" i="35"/>
  <c r="F671" i="35"/>
  <c r="D671" i="35"/>
  <c r="H670" i="35"/>
  <c r="A671" i="35" s="1"/>
  <c r="G670" i="35"/>
  <c r="F670" i="35"/>
  <c r="D670" i="35"/>
  <c r="H669" i="35"/>
  <c r="A670" i="35" s="1"/>
  <c r="G669" i="35"/>
  <c r="F669" i="35"/>
  <c r="D669" i="35"/>
  <c r="H668" i="35"/>
  <c r="A669" i="35" s="1"/>
  <c r="G668" i="35"/>
  <c r="F668" i="35"/>
  <c r="D668" i="35"/>
  <c r="H667" i="35"/>
  <c r="A668" i="35" s="1"/>
  <c r="G667" i="35"/>
  <c r="F667" i="35"/>
  <c r="D667" i="35"/>
  <c r="H666" i="35"/>
  <c r="A667" i="35" s="1"/>
  <c r="G666" i="35"/>
  <c r="F666" i="35"/>
  <c r="D666" i="35"/>
  <c r="H665" i="35"/>
  <c r="A666" i="35" s="1"/>
  <c r="G665" i="35"/>
  <c r="F665" i="35"/>
  <c r="D665" i="35"/>
  <c r="H664" i="35"/>
  <c r="A665" i="35" s="1"/>
  <c r="G664" i="35"/>
  <c r="F664" i="35"/>
  <c r="D664" i="35"/>
  <c r="H663" i="35"/>
  <c r="A664" i="35" s="1"/>
  <c r="G663" i="35"/>
  <c r="F663" i="35"/>
  <c r="D663" i="35"/>
  <c r="A663" i="35"/>
  <c r="H662" i="35"/>
  <c r="G662" i="35"/>
  <c r="F662" i="35"/>
  <c r="D662" i="35"/>
  <c r="H661" i="35"/>
  <c r="A662" i="35" s="1"/>
  <c r="G661" i="35"/>
  <c r="F661" i="35"/>
  <c r="D661" i="35"/>
  <c r="H660" i="35"/>
  <c r="A661" i="35" s="1"/>
  <c r="G660" i="35"/>
  <c r="F660" i="35"/>
  <c r="D660" i="35"/>
  <c r="H659" i="35"/>
  <c r="A660" i="35" s="1"/>
  <c r="G659" i="35"/>
  <c r="F659" i="35"/>
  <c r="D659" i="35"/>
  <c r="H658" i="35"/>
  <c r="A659" i="35" s="1"/>
  <c r="G658" i="35"/>
  <c r="F658" i="35"/>
  <c r="D658" i="35"/>
  <c r="H657" i="35"/>
  <c r="A658" i="35" s="1"/>
  <c r="G657" i="35"/>
  <c r="F657" i="35"/>
  <c r="D657" i="35"/>
  <c r="H656" i="35"/>
  <c r="A657" i="35" s="1"/>
  <c r="G656" i="35"/>
  <c r="F656" i="35"/>
  <c r="D656" i="35"/>
  <c r="H655" i="35"/>
  <c r="A656" i="35" s="1"/>
  <c r="G655" i="35"/>
  <c r="F655" i="35"/>
  <c r="D655" i="35"/>
  <c r="H654" i="35"/>
  <c r="A655" i="35" s="1"/>
  <c r="G654" i="35"/>
  <c r="F654" i="35"/>
  <c r="D654" i="35"/>
  <c r="H653" i="35"/>
  <c r="A654" i="35" s="1"/>
  <c r="G653" i="35"/>
  <c r="F653" i="35"/>
  <c r="D653" i="35"/>
  <c r="H652" i="35"/>
  <c r="A653" i="35" s="1"/>
  <c r="G652" i="35"/>
  <c r="F652" i="35"/>
  <c r="D652" i="35"/>
  <c r="H651" i="35"/>
  <c r="A652" i="35" s="1"/>
  <c r="G651" i="35"/>
  <c r="F651" i="35"/>
  <c r="D651" i="35"/>
  <c r="A651" i="35"/>
  <c r="H650" i="35"/>
  <c r="G650" i="35"/>
  <c r="F650" i="35"/>
  <c r="D650" i="35"/>
  <c r="H649" i="35"/>
  <c r="A650" i="35" s="1"/>
  <c r="G649" i="35"/>
  <c r="F649" i="35"/>
  <c r="D649" i="35"/>
  <c r="H648" i="35"/>
  <c r="A649" i="35" s="1"/>
  <c r="G648" i="35"/>
  <c r="F648" i="35"/>
  <c r="D648" i="35"/>
  <c r="H647" i="35"/>
  <c r="A648" i="35" s="1"/>
  <c r="G647" i="35"/>
  <c r="F647" i="35"/>
  <c r="D647" i="35"/>
  <c r="A647" i="35"/>
  <c r="H646" i="35"/>
  <c r="G646" i="35"/>
  <c r="F646" i="35"/>
  <c r="D646" i="35"/>
  <c r="H645" i="35"/>
  <c r="A646" i="35" s="1"/>
  <c r="G645" i="35"/>
  <c r="F645" i="35"/>
  <c r="D645" i="35"/>
  <c r="H644" i="35"/>
  <c r="A645" i="35" s="1"/>
  <c r="G644" i="35"/>
  <c r="F644" i="35"/>
  <c r="D644" i="35"/>
  <c r="H643" i="35"/>
  <c r="A644" i="35" s="1"/>
  <c r="G643" i="35"/>
  <c r="F643" i="35"/>
  <c r="D643" i="35"/>
  <c r="A643" i="35"/>
  <c r="H642" i="35"/>
  <c r="G642" i="35"/>
  <c r="F642" i="35"/>
  <c r="D642" i="35"/>
  <c r="H641" i="35"/>
  <c r="A642" i="35" s="1"/>
  <c r="G641" i="35"/>
  <c r="F641" i="35"/>
  <c r="D641" i="35"/>
  <c r="H640" i="35"/>
  <c r="A641" i="35" s="1"/>
  <c r="G640" i="35"/>
  <c r="F640" i="35"/>
  <c r="D640" i="35"/>
  <c r="H639" i="35"/>
  <c r="A640" i="35" s="1"/>
  <c r="G639" i="35"/>
  <c r="F639" i="35"/>
  <c r="D639" i="35"/>
  <c r="H638" i="35"/>
  <c r="A639" i="35" s="1"/>
  <c r="G638" i="35"/>
  <c r="F638" i="35"/>
  <c r="D638" i="35"/>
  <c r="H637" i="35"/>
  <c r="A638" i="35" s="1"/>
  <c r="G637" i="35"/>
  <c r="F637" i="35"/>
  <c r="D637" i="35"/>
  <c r="H636" i="35"/>
  <c r="A637" i="35" s="1"/>
  <c r="G636" i="35"/>
  <c r="F636" i="35"/>
  <c r="D636" i="35"/>
  <c r="H635" i="35"/>
  <c r="A636" i="35" s="1"/>
  <c r="G635" i="35"/>
  <c r="F635" i="35"/>
  <c r="D635" i="35"/>
  <c r="H634" i="35"/>
  <c r="A635" i="35" s="1"/>
  <c r="G634" i="35"/>
  <c r="F634" i="35"/>
  <c r="D634" i="35"/>
  <c r="H633" i="35"/>
  <c r="A634" i="35" s="1"/>
  <c r="G633" i="35"/>
  <c r="F633" i="35"/>
  <c r="D633" i="35"/>
  <c r="H632" i="35"/>
  <c r="A633" i="35" s="1"/>
  <c r="G632" i="35"/>
  <c r="F632" i="35"/>
  <c r="D632" i="35"/>
  <c r="H631" i="35"/>
  <c r="A632" i="35" s="1"/>
  <c r="G631" i="35"/>
  <c r="F631" i="35"/>
  <c r="D631" i="35"/>
  <c r="H630" i="35"/>
  <c r="A631" i="35" s="1"/>
  <c r="G630" i="35"/>
  <c r="F630" i="35"/>
  <c r="D630" i="35"/>
  <c r="H629" i="35"/>
  <c r="A630" i="35" s="1"/>
  <c r="G629" i="35"/>
  <c r="F629" i="35"/>
  <c r="D629" i="35"/>
  <c r="H628" i="35"/>
  <c r="A629" i="35" s="1"/>
  <c r="G628" i="35"/>
  <c r="F628" i="35"/>
  <c r="D628" i="35"/>
  <c r="H627" i="35"/>
  <c r="A628" i="35" s="1"/>
  <c r="G627" i="35"/>
  <c r="F627" i="35"/>
  <c r="D627" i="35"/>
  <c r="H626" i="35"/>
  <c r="A627" i="35" s="1"/>
  <c r="G626" i="35"/>
  <c r="F626" i="35"/>
  <c r="D626" i="35"/>
  <c r="H625" i="35"/>
  <c r="A626" i="35" s="1"/>
  <c r="G625" i="35"/>
  <c r="F625" i="35"/>
  <c r="D625" i="35"/>
  <c r="H624" i="35"/>
  <c r="A625" i="35" s="1"/>
  <c r="G624" i="35"/>
  <c r="F624" i="35"/>
  <c r="D624" i="35"/>
  <c r="H623" i="35"/>
  <c r="A624" i="35" s="1"/>
  <c r="G623" i="35"/>
  <c r="F623" i="35"/>
  <c r="D623" i="35"/>
  <c r="H622" i="35"/>
  <c r="A623" i="35" s="1"/>
  <c r="G622" i="35"/>
  <c r="F622" i="35"/>
  <c r="D622" i="35"/>
  <c r="H621" i="35"/>
  <c r="A622" i="35" s="1"/>
  <c r="G621" i="35"/>
  <c r="F621" i="35"/>
  <c r="D621" i="35"/>
  <c r="H620" i="35"/>
  <c r="A621" i="35" s="1"/>
  <c r="G620" i="35"/>
  <c r="F620" i="35"/>
  <c r="D620" i="35"/>
  <c r="H619" i="35"/>
  <c r="A620" i="35" s="1"/>
  <c r="G619" i="35"/>
  <c r="F619" i="35"/>
  <c r="D619" i="35"/>
  <c r="H618" i="35"/>
  <c r="A619" i="35" s="1"/>
  <c r="G618" i="35"/>
  <c r="F618" i="35"/>
  <c r="D618" i="35"/>
  <c r="H617" i="35"/>
  <c r="A618" i="35" s="1"/>
  <c r="G617" i="35"/>
  <c r="F617" i="35"/>
  <c r="D617" i="35"/>
  <c r="H616" i="35"/>
  <c r="A617" i="35" s="1"/>
  <c r="G616" i="35"/>
  <c r="F616" i="35"/>
  <c r="D616" i="35"/>
  <c r="H615" i="35"/>
  <c r="A616" i="35" s="1"/>
  <c r="G615" i="35"/>
  <c r="F615" i="35"/>
  <c r="D615" i="35"/>
  <c r="H614" i="35"/>
  <c r="A615" i="35" s="1"/>
  <c r="G614" i="35"/>
  <c r="F614" i="35"/>
  <c r="D614" i="35"/>
  <c r="H613" i="35"/>
  <c r="A614" i="35" s="1"/>
  <c r="G613" i="35"/>
  <c r="F613" i="35"/>
  <c r="D613" i="35"/>
  <c r="H612" i="35"/>
  <c r="A613" i="35" s="1"/>
  <c r="G612" i="35"/>
  <c r="F612" i="35"/>
  <c r="D612" i="35"/>
  <c r="H611" i="35"/>
  <c r="A612" i="35" s="1"/>
  <c r="G611" i="35"/>
  <c r="F611" i="35"/>
  <c r="D611" i="35"/>
  <c r="H610" i="35"/>
  <c r="A611" i="35" s="1"/>
  <c r="G610" i="35"/>
  <c r="F610" i="35"/>
  <c r="D610" i="35"/>
  <c r="H609" i="35"/>
  <c r="A610" i="35" s="1"/>
  <c r="G609" i="35"/>
  <c r="F609" i="35"/>
  <c r="D609" i="35"/>
  <c r="H608" i="35"/>
  <c r="A609" i="35" s="1"/>
  <c r="G608" i="35"/>
  <c r="F608" i="35"/>
  <c r="D608" i="35"/>
  <c r="H607" i="35"/>
  <c r="A608" i="35" s="1"/>
  <c r="G607" i="35"/>
  <c r="F607" i="35"/>
  <c r="D607" i="35"/>
  <c r="H606" i="35"/>
  <c r="A607" i="35" s="1"/>
  <c r="G606" i="35"/>
  <c r="F606" i="35"/>
  <c r="D606" i="35"/>
  <c r="H605" i="35"/>
  <c r="A606" i="35" s="1"/>
  <c r="G605" i="35"/>
  <c r="F605" i="35"/>
  <c r="D605" i="35"/>
  <c r="H604" i="35"/>
  <c r="A605" i="35" s="1"/>
  <c r="G604" i="35"/>
  <c r="F604" i="35"/>
  <c r="D604" i="35"/>
  <c r="H603" i="35"/>
  <c r="A604" i="35" s="1"/>
  <c r="G603" i="35"/>
  <c r="F603" i="35"/>
  <c r="D603" i="35"/>
  <c r="H602" i="35"/>
  <c r="A603" i="35" s="1"/>
  <c r="G602" i="35"/>
  <c r="F602" i="35"/>
  <c r="D602" i="35"/>
  <c r="H601" i="35"/>
  <c r="A602" i="35" s="1"/>
  <c r="G601" i="35"/>
  <c r="F601" i="35"/>
  <c r="D601" i="35"/>
  <c r="H600" i="35"/>
  <c r="A601" i="35" s="1"/>
  <c r="G600" i="35"/>
  <c r="F600" i="35"/>
  <c r="D600" i="35"/>
  <c r="H599" i="35"/>
  <c r="A600" i="35" s="1"/>
  <c r="G599" i="35"/>
  <c r="F599" i="35"/>
  <c r="D599" i="35"/>
  <c r="H598" i="35"/>
  <c r="A599" i="35" s="1"/>
  <c r="G598" i="35"/>
  <c r="F598" i="35"/>
  <c r="D598" i="35"/>
  <c r="H597" i="35"/>
  <c r="A598" i="35" s="1"/>
  <c r="G597" i="35"/>
  <c r="F597" i="35"/>
  <c r="D597" i="35"/>
  <c r="H596" i="35"/>
  <c r="A597" i="35" s="1"/>
  <c r="G596" i="35"/>
  <c r="F596" i="35"/>
  <c r="D596" i="35"/>
  <c r="H595" i="35"/>
  <c r="A596" i="35" s="1"/>
  <c r="G595" i="35"/>
  <c r="F595" i="35"/>
  <c r="D595" i="35"/>
  <c r="H594" i="35"/>
  <c r="A595" i="35" s="1"/>
  <c r="G594" i="35"/>
  <c r="F594" i="35"/>
  <c r="D594" i="35"/>
  <c r="H593" i="35"/>
  <c r="A594" i="35" s="1"/>
  <c r="G593" i="35"/>
  <c r="F593" i="35"/>
  <c r="D593" i="35"/>
  <c r="H592" i="35"/>
  <c r="A593" i="35" s="1"/>
  <c r="G592" i="35"/>
  <c r="F592" i="35"/>
  <c r="D592" i="35"/>
  <c r="H591" i="35"/>
  <c r="A592" i="35" s="1"/>
  <c r="G591" i="35"/>
  <c r="F591" i="35"/>
  <c r="D591" i="35"/>
  <c r="H590" i="35"/>
  <c r="A591" i="35" s="1"/>
  <c r="G590" i="35"/>
  <c r="F590" i="35"/>
  <c r="D590" i="35"/>
  <c r="H589" i="35"/>
  <c r="A590" i="35" s="1"/>
  <c r="G589" i="35"/>
  <c r="F589" i="35"/>
  <c r="D589" i="35"/>
  <c r="H588" i="35"/>
  <c r="A589" i="35" s="1"/>
  <c r="G588" i="35"/>
  <c r="F588" i="35"/>
  <c r="D588" i="35"/>
  <c r="H587" i="35"/>
  <c r="A588" i="35" s="1"/>
  <c r="G587" i="35"/>
  <c r="F587" i="35"/>
  <c r="D587" i="35"/>
  <c r="A587" i="35"/>
  <c r="H586" i="35"/>
  <c r="G586" i="35"/>
  <c r="F586" i="35"/>
  <c r="D586" i="35"/>
  <c r="H585" i="35"/>
  <c r="A586" i="35" s="1"/>
  <c r="G585" i="35"/>
  <c r="F585" i="35"/>
  <c r="D585" i="35"/>
  <c r="H584" i="35"/>
  <c r="A585" i="35" s="1"/>
  <c r="G584" i="35"/>
  <c r="F584" i="35"/>
  <c r="D584" i="35"/>
  <c r="H583" i="35"/>
  <c r="A584" i="35" s="1"/>
  <c r="G583" i="35"/>
  <c r="F583" i="35"/>
  <c r="D583" i="35"/>
  <c r="H582" i="35"/>
  <c r="A583" i="35" s="1"/>
  <c r="G582" i="35"/>
  <c r="F582" i="35"/>
  <c r="D582" i="35"/>
  <c r="H581" i="35"/>
  <c r="A582" i="35" s="1"/>
  <c r="G581" i="35"/>
  <c r="F581" i="35"/>
  <c r="D581" i="35"/>
  <c r="H580" i="35"/>
  <c r="A581" i="35" s="1"/>
  <c r="G580" i="35"/>
  <c r="F580" i="35"/>
  <c r="D580" i="35"/>
  <c r="H579" i="35"/>
  <c r="A580" i="35" s="1"/>
  <c r="G579" i="35"/>
  <c r="F579" i="35"/>
  <c r="D579" i="35"/>
  <c r="H578" i="35"/>
  <c r="A579" i="35" s="1"/>
  <c r="G578" i="35"/>
  <c r="F578" i="35"/>
  <c r="D578" i="35"/>
  <c r="H577" i="35"/>
  <c r="A578" i="35" s="1"/>
  <c r="G577" i="35"/>
  <c r="F577" i="35"/>
  <c r="D577" i="35"/>
  <c r="H576" i="35"/>
  <c r="A577" i="35" s="1"/>
  <c r="G576" i="35"/>
  <c r="F576" i="35"/>
  <c r="D576" i="35"/>
  <c r="H575" i="35"/>
  <c r="A576" i="35" s="1"/>
  <c r="G575" i="35"/>
  <c r="F575" i="35"/>
  <c r="D575" i="35"/>
  <c r="H574" i="35"/>
  <c r="A575" i="35" s="1"/>
  <c r="G574" i="35"/>
  <c r="F574" i="35"/>
  <c r="D574" i="35"/>
  <c r="H573" i="35"/>
  <c r="A574" i="35" s="1"/>
  <c r="G573" i="35"/>
  <c r="F573" i="35"/>
  <c r="D573" i="35"/>
  <c r="H572" i="35"/>
  <c r="A573" i="35" s="1"/>
  <c r="G572" i="35"/>
  <c r="F572" i="35"/>
  <c r="D572" i="35"/>
  <c r="H571" i="35"/>
  <c r="A572" i="35" s="1"/>
  <c r="G571" i="35"/>
  <c r="F571" i="35"/>
  <c r="D571" i="35"/>
  <c r="A571" i="35"/>
  <c r="H570" i="35"/>
  <c r="G570" i="35"/>
  <c r="F570" i="35"/>
  <c r="D570" i="35"/>
  <c r="H569" i="35"/>
  <c r="A570" i="35" s="1"/>
  <c r="G569" i="35"/>
  <c r="F569" i="35"/>
  <c r="D569" i="35"/>
  <c r="H568" i="35"/>
  <c r="A569" i="35" s="1"/>
  <c r="G568" i="35"/>
  <c r="F568" i="35"/>
  <c r="D568" i="35"/>
  <c r="H567" i="35"/>
  <c r="A568" i="35" s="1"/>
  <c r="G567" i="35"/>
  <c r="F567" i="35"/>
  <c r="D567" i="35"/>
  <c r="H566" i="35"/>
  <c r="A567" i="35" s="1"/>
  <c r="G566" i="35"/>
  <c r="F566" i="35"/>
  <c r="D566" i="35"/>
  <c r="H565" i="35"/>
  <c r="A566" i="35" s="1"/>
  <c r="G565" i="35"/>
  <c r="F565" i="35"/>
  <c r="D565" i="35"/>
  <c r="H564" i="35"/>
  <c r="A565" i="35" s="1"/>
  <c r="G564" i="35"/>
  <c r="F564" i="35"/>
  <c r="D564" i="35"/>
  <c r="H563" i="35"/>
  <c r="A564" i="35" s="1"/>
  <c r="G563" i="35"/>
  <c r="F563" i="35"/>
  <c r="D563" i="35"/>
  <c r="H562" i="35"/>
  <c r="A563" i="35" s="1"/>
  <c r="G562" i="35"/>
  <c r="F562" i="35"/>
  <c r="D562" i="35"/>
  <c r="H561" i="35"/>
  <c r="A562" i="35" s="1"/>
  <c r="G561" i="35"/>
  <c r="F561" i="35"/>
  <c r="D561" i="35"/>
  <c r="H560" i="35"/>
  <c r="A561" i="35" s="1"/>
  <c r="G560" i="35"/>
  <c r="F560" i="35"/>
  <c r="D560" i="35"/>
  <c r="H559" i="35"/>
  <c r="A560" i="35" s="1"/>
  <c r="G559" i="35"/>
  <c r="F559" i="35"/>
  <c r="D559" i="35"/>
  <c r="A559" i="35"/>
  <c r="H558" i="35"/>
  <c r="G558" i="35"/>
  <c r="F558" i="35"/>
  <c r="D558" i="35"/>
  <c r="H557" i="35"/>
  <c r="A558" i="35" s="1"/>
  <c r="G557" i="35"/>
  <c r="F557" i="35"/>
  <c r="D557" i="35"/>
  <c r="H556" i="35"/>
  <c r="A557" i="35" s="1"/>
  <c r="G556" i="35"/>
  <c r="F556" i="35"/>
  <c r="D556" i="35"/>
  <c r="H555" i="35"/>
  <c r="A556" i="35" s="1"/>
  <c r="G555" i="35"/>
  <c r="F555" i="35"/>
  <c r="D555" i="35"/>
  <c r="H554" i="35"/>
  <c r="A555" i="35" s="1"/>
  <c r="G554" i="35"/>
  <c r="F554" i="35"/>
  <c r="D554" i="35"/>
  <c r="H553" i="35"/>
  <c r="A554" i="35" s="1"/>
  <c r="G553" i="35"/>
  <c r="F553" i="35"/>
  <c r="D553" i="35"/>
  <c r="H552" i="35"/>
  <c r="A553" i="35" s="1"/>
  <c r="G552" i="35"/>
  <c r="F552" i="35"/>
  <c r="D552" i="35"/>
  <c r="H551" i="35"/>
  <c r="A552" i="35" s="1"/>
  <c r="G551" i="35"/>
  <c r="F551" i="35"/>
  <c r="D551" i="35"/>
  <c r="H550" i="35"/>
  <c r="A551" i="35" s="1"/>
  <c r="G550" i="35"/>
  <c r="F550" i="35"/>
  <c r="D550" i="35"/>
  <c r="H549" i="35"/>
  <c r="A550" i="35" s="1"/>
  <c r="G549" i="35"/>
  <c r="F549" i="35"/>
  <c r="D549" i="35"/>
  <c r="H548" i="35"/>
  <c r="A549" i="35" s="1"/>
  <c r="G548" i="35"/>
  <c r="F548" i="35"/>
  <c r="D548" i="35"/>
  <c r="H547" i="35"/>
  <c r="A548" i="35" s="1"/>
  <c r="G547" i="35"/>
  <c r="F547" i="35"/>
  <c r="D547" i="35"/>
  <c r="H546" i="35"/>
  <c r="A547" i="35" s="1"/>
  <c r="G546" i="35"/>
  <c r="F546" i="35"/>
  <c r="D546" i="35"/>
  <c r="H545" i="35"/>
  <c r="A546" i="35" s="1"/>
  <c r="G545" i="35"/>
  <c r="F545" i="35"/>
  <c r="D545" i="35"/>
  <c r="H544" i="35"/>
  <c r="A545" i="35" s="1"/>
  <c r="G544" i="35"/>
  <c r="F544" i="35"/>
  <c r="D544" i="35"/>
  <c r="H543" i="35"/>
  <c r="A544" i="35" s="1"/>
  <c r="G543" i="35"/>
  <c r="F543" i="35"/>
  <c r="D543" i="35"/>
  <c r="A543" i="35"/>
  <c r="H542" i="35"/>
  <c r="G542" i="35"/>
  <c r="F542" i="35"/>
  <c r="D542" i="35"/>
  <c r="H541" i="35"/>
  <c r="A542" i="35" s="1"/>
  <c r="G541" i="35"/>
  <c r="F541" i="35"/>
  <c r="D541" i="35"/>
  <c r="H540" i="35"/>
  <c r="A541" i="35" s="1"/>
  <c r="G540" i="35"/>
  <c r="F540" i="35"/>
  <c r="D540" i="35"/>
  <c r="H539" i="35"/>
  <c r="A540" i="35" s="1"/>
  <c r="G539" i="35"/>
  <c r="F539" i="35"/>
  <c r="D539" i="35"/>
  <c r="H538" i="35"/>
  <c r="A539" i="35" s="1"/>
  <c r="G538" i="35"/>
  <c r="F538" i="35"/>
  <c r="D538" i="35"/>
  <c r="H537" i="35"/>
  <c r="A538" i="35" s="1"/>
  <c r="G537" i="35"/>
  <c r="F537" i="35"/>
  <c r="D537" i="35"/>
  <c r="H536" i="35"/>
  <c r="A537" i="35" s="1"/>
  <c r="G536" i="35"/>
  <c r="F536" i="35"/>
  <c r="D536" i="35"/>
  <c r="H535" i="35"/>
  <c r="A536" i="35" s="1"/>
  <c r="G535" i="35"/>
  <c r="F535" i="35"/>
  <c r="D535" i="35"/>
  <c r="H534" i="35"/>
  <c r="A535" i="35" s="1"/>
  <c r="G534" i="35"/>
  <c r="F534" i="35"/>
  <c r="D534" i="35"/>
  <c r="H533" i="35"/>
  <c r="A534" i="35" s="1"/>
  <c r="G533" i="35"/>
  <c r="F533" i="35"/>
  <c r="D533" i="35"/>
  <c r="H532" i="35"/>
  <c r="A533" i="35" s="1"/>
  <c r="G532" i="35"/>
  <c r="F532" i="35"/>
  <c r="D532" i="35"/>
  <c r="H531" i="35"/>
  <c r="A532" i="35" s="1"/>
  <c r="G531" i="35"/>
  <c r="F531" i="35"/>
  <c r="D531" i="35"/>
  <c r="H530" i="35"/>
  <c r="A531" i="35" s="1"/>
  <c r="G530" i="35"/>
  <c r="F530" i="35"/>
  <c r="D530" i="35"/>
  <c r="H529" i="35"/>
  <c r="A530" i="35" s="1"/>
  <c r="G529" i="35"/>
  <c r="F529" i="35"/>
  <c r="D529" i="35"/>
  <c r="H528" i="35"/>
  <c r="A529" i="35" s="1"/>
  <c r="G528" i="35"/>
  <c r="F528" i="35"/>
  <c r="D528" i="35"/>
  <c r="H527" i="35"/>
  <c r="A528" i="35" s="1"/>
  <c r="G527" i="35"/>
  <c r="F527" i="35"/>
  <c r="D527" i="35"/>
  <c r="H526" i="35"/>
  <c r="A527" i="35" s="1"/>
  <c r="G526" i="35"/>
  <c r="F526" i="35"/>
  <c r="D526" i="35"/>
  <c r="H525" i="35"/>
  <c r="A526" i="35" s="1"/>
  <c r="G525" i="35"/>
  <c r="F525" i="35"/>
  <c r="D525" i="35"/>
  <c r="H524" i="35"/>
  <c r="A525" i="35" s="1"/>
  <c r="G524" i="35"/>
  <c r="F524" i="35"/>
  <c r="D524" i="35"/>
  <c r="H523" i="35"/>
  <c r="A524" i="35" s="1"/>
  <c r="G523" i="35"/>
  <c r="F523" i="35"/>
  <c r="D523" i="35"/>
  <c r="H522" i="35"/>
  <c r="A523" i="35" s="1"/>
  <c r="G522" i="35"/>
  <c r="F522" i="35"/>
  <c r="D522" i="35"/>
  <c r="H521" i="35"/>
  <c r="A522" i="35" s="1"/>
  <c r="G521" i="35"/>
  <c r="F521" i="35"/>
  <c r="D521" i="35"/>
  <c r="H520" i="35"/>
  <c r="A521" i="35" s="1"/>
  <c r="G520" i="35"/>
  <c r="F520" i="35"/>
  <c r="D520" i="35"/>
  <c r="H519" i="35"/>
  <c r="A520" i="35" s="1"/>
  <c r="G519" i="35"/>
  <c r="F519" i="35"/>
  <c r="D519" i="35"/>
  <c r="H518" i="35"/>
  <c r="A519" i="35" s="1"/>
  <c r="G518" i="35"/>
  <c r="F518" i="35"/>
  <c r="D518" i="35"/>
  <c r="H517" i="35"/>
  <c r="A518" i="35" s="1"/>
  <c r="G517" i="35"/>
  <c r="F517" i="35"/>
  <c r="D517" i="35"/>
  <c r="H516" i="35"/>
  <c r="A517" i="35" s="1"/>
  <c r="G516" i="35"/>
  <c r="F516" i="35"/>
  <c r="D516" i="35"/>
  <c r="H515" i="35"/>
  <c r="A516" i="35" s="1"/>
  <c r="G515" i="35"/>
  <c r="F515" i="35"/>
  <c r="D515" i="35"/>
  <c r="H514" i="35"/>
  <c r="A515" i="35" s="1"/>
  <c r="G514" i="35"/>
  <c r="F514" i="35"/>
  <c r="D514" i="35"/>
  <c r="H513" i="35"/>
  <c r="A514" i="35" s="1"/>
  <c r="G513" i="35"/>
  <c r="F513" i="35"/>
  <c r="D513" i="35"/>
  <c r="H512" i="35"/>
  <c r="A513" i="35" s="1"/>
  <c r="G512" i="35"/>
  <c r="F512" i="35"/>
  <c r="D512" i="35"/>
  <c r="H511" i="35"/>
  <c r="A512" i="35" s="1"/>
  <c r="G511" i="35"/>
  <c r="F511" i="35"/>
  <c r="D511" i="35"/>
  <c r="A511" i="35"/>
  <c r="H510" i="35"/>
  <c r="G510" i="35"/>
  <c r="F510" i="35"/>
  <c r="D510" i="35"/>
  <c r="H509" i="35"/>
  <c r="A510" i="35" s="1"/>
  <c r="G509" i="35"/>
  <c r="F509" i="35"/>
  <c r="D509" i="35"/>
  <c r="H508" i="35"/>
  <c r="A509" i="35" s="1"/>
  <c r="G508" i="35"/>
  <c r="F508" i="35"/>
  <c r="D508" i="35"/>
  <c r="H507" i="35"/>
  <c r="A508" i="35" s="1"/>
  <c r="G507" i="35"/>
  <c r="F507" i="35"/>
  <c r="D507" i="35"/>
  <c r="H506" i="35"/>
  <c r="A507" i="35" s="1"/>
  <c r="G506" i="35"/>
  <c r="F506" i="35"/>
  <c r="D506" i="35"/>
  <c r="H505" i="35"/>
  <c r="A506" i="35" s="1"/>
  <c r="G505" i="35"/>
  <c r="F505" i="35"/>
  <c r="D505" i="35"/>
  <c r="H504" i="35"/>
  <c r="A505" i="35" s="1"/>
  <c r="G504" i="35"/>
  <c r="F504" i="35"/>
  <c r="D504" i="35"/>
  <c r="A504" i="35"/>
  <c r="H503" i="35"/>
  <c r="G503" i="35"/>
  <c r="F503" i="35"/>
  <c r="D503" i="35"/>
  <c r="H502" i="35"/>
  <c r="A503" i="35" s="1"/>
  <c r="G502" i="35"/>
  <c r="F502" i="35"/>
  <c r="D502" i="35"/>
  <c r="H501" i="35"/>
  <c r="A502" i="35" s="1"/>
  <c r="G501" i="35"/>
  <c r="F501" i="35"/>
  <c r="D501" i="35"/>
  <c r="H500" i="35"/>
  <c r="A501" i="35" s="1"/>
  <c r="G500" i="35"/>
  <c r="F500" i="35"/>
  <c r="D500" i="35"/>
  <c r="H499" i="35"/>
  <c r="A500" i="35" s="1"/>
  <c r="G499" i="35"/>
  <c r="F499" i="35"/>
  <c r="D499" i="35"/>
  <c r="H498" i="35"/>
  <c r="A499" i="35" s="1"/>
  <c r="G498" i="35"/>
  <c r="F498" i="35"/>
  <c r="D498" i="35"/>
  <c r="H497" i="35"/>
  <c r="A498" i="35" s="1"/>
  <c r="G497" i="35"/>
  <c r="F497" i="35"/>
  <c r="D497" i="35"/>
  <c r="H496" i="35"/>
  <c r="A497" i="35" s="1"/>
  <c r="G496" i="35"/>
  <c r="F496" i="35"/>
  <c r="D496" i="35"/>
  <c r="H495" i="35"/>
  <c r="A496" i="35" s="1"/>
  <c r="G495" i="35"/>
  <c r="F495" i="35"/>
  <c r="D495" i="35"/>
  <c r="A495" i="35"/>
  <c r="H494" i="35"/>
  <c r="G494" i="35"/>
  <c r="F494" i="35"/>
  <c r="D494" i="35"/>
  <c r="H493" i="35"/>
  <c r="A494" i="35" s="1"/>
  <c r="G493" i="35"/>
  <c r="F493" i="35"/>
  <c r="D493" i="35"/>
  <c r="H492" i="35"/>
  <c r="A493" i="35" s="1"/>
  <c r="G492" i="35"/>
  <c r="F492" i="35"/>
  <c r="D492" i="35"/>
  <c r="H491" i="35"/>
  <c r="A492" i="35" s="1"/>
  <c r="G491" i="35"/>
  <c r="F491" i="35"/>
  <c r="D491" i="35"/>
  <c r="H490" i="35"/>
  <c r="A491" i="35" s="1"/>
  <c r="G490" i="35"/>
  <c r="F490" i="35"/>
  <c r="D490" i="35"/>
  <c r="H489" i="35"/>
  <c r="A490" i="35" s="1"/>
  <c r="G489" i="35"/>
  <c r="F489" i="35"/>
  <c r="D489" i="35"/>
  <c r="H488" i="35"/>
  <c r="A489" i="35" s="1"/>
  <c r="G488" i="35"/>
  <c r="F488" i="35"/>
  <c r="D488" i="35"/>
  <c r="H487" i="35"/>
  <c r="A488" i="35" s="1"/>
  <c r="G487" i="35"/>
  <c r="F487" i="35"/>
  <c r="D487" i="35"/>
  <c r="H486" i="35"/>
  <c r="A487" i="35" s="1"/>
  <c r="G486" i="35"/>
  <c r="F486" i="35"/>
  <c r="D486" i="35"/>
  <c r="A486" i="35"/>
  <c r="H485" i="35"/>
  <c r="G485" i="35"/>
  <c r="F485" i="35"/>
  <c r="D485" i="35"/>
  <c r="H484" i="35"/>
  <c r="A485" i="35" s="1"/>
  <c r="G484" i="35"/>
  <c r="F484" i="35"/>
  <c r="D484" i="35"/>
  <c r="H483" i="35"/>
  <c r="A484" i="35" s="1"/>
  <c r="G483" i="35"/>
  <c r="F483" i="35"/>
  <c r="D483" i="35"/>
  <c r="H482" i="35"/>
  <c r="A483" i="35" s="1"/>
  <c r="G482" i="35"/>
  <c r="F482" i="35"/>
  <c r="D482" i="35"/>
  <c r="H481" i="35"/>
  <c r="A482" i="35" s="1"/>
  <c r="G481" i="35"/>
  <c r="F481" i="35"/>
  <c r="D481" i="35"/>
  <c r="H480" i="35"/>
  <c r="A481" i="35" s="1"/>
  <c r="G480" i="35"/>
  <c r="F480" i="35"/>
  <c r="D480" i="35"/>
  <c r="H479" i="35"/>
  <c r="A480" i="35" s="1"/>
  <c r="G479" i="35"/>
  <c r="F479" i="35"/>
  <c r="D479" i="35"/>
  <c r="H478" i="35"/>
  <c r="A479" i="35" s="1"/>
  <c r="G478" i="35"/>
  <c r="F478" i="35"/>
  <c r="D478" i="35"/>
  <c r="H477" i="35"/>
  <c r="A478" i="35" s="1"/>
  <c r="G477" i="35"/>
  <c r="F477" i="35"/>
  <c r="D477" i="35"/>
  <c r="H476" i="35"/>
  <c r="A477" i="35" s="1"/>
  <c r="G476" i="35"/>
  <c r="F476" i="35"/>
  <c r="D476" i="35"/>
  <c r="A476" i="35"/>
  <c r="H475" i="35"/>
  <c r="G475" i="35"/>
  <c r="F475" i="35"/>
  <c r="D475" i="35"/>
  <c r="H474" i="35"/>
  <c r="A475" i="35" s="1"/>
  <c r="G474" i="35"/>
  <c r="F474" i="35"/>
  <c r="D474" i="35"/>
  <c r="H473" i="35"/>
  <c r="A474" i="35" s="1"/>
  <c r="G473" i="35"/>
  <c r="F473" i="35"/>
  <c r="D473" i="35"/>
  <c r="H472" i="35"/>
  <c r="A473" i="35" s="1"/>
  <c r="G472" i="35"/>
  <c r="F472" i="35"/>
  <c r="D472" i="35"/>
  <c r="H471" i="35"/>
  <c r="A472" i="35" s="1"/>
  <c r="G471" i="35"/>
  <c r="F471" i="35"/>
  <c r="D471" i="35"/>
  <c r="H470" i="35"/>
  <c r="A471" i="35" s="1"/>
  <c r="G470" i="35"/>
  <c r="F470" i="35"/>
  <c r="D470" i="35"/>
  <c r="H469" i="35"/>
  <c r="A470" i="35" s="1"/>
  <c r="G469" i="35"/>
  <c r="F469" i="35"/>
  <c r="D469" i="35"/>
  <c r="H468" i="35"/>
  <c r="A469" i="35" s="1"/>
  <c r="G468" i="35"/>
  <c r="F468" i="35"/>
  <c r="D468" i="35"/>
  <c r="H467" i="35"/>
  <c r="A468" i="35" s="1"/>
  <c r="G467" i="35"/>
  <c r="F467" i="35"/>
  <c r="D467" i="35"/>
  <c r="H466" i="35"/>
  <c r="A467" i="35" s="1"/>
  <c r="G466" i="35"/>
  <c r="F466" i="35"/>
  <c r="D466" i="35"/>
  <c r="H465" i="35"/>
  <c r="A466" i="35" s="1"/>
  <c r="G465" i="35"/>
  <c r="F465" i="35"/>
  <c r="D465" i="35"/>
  <c r="H464" i="35"/>
  <c r="A465" i="35" s="1"/>
  <c r="G464" i="35"/>
  <c r="F464" i="35"/>
  <c r="D464" i="35"/>
  <c r="H463" i="35"/>
  <c r="A464" i="35" s="1"/>
  <c r="G463" i="35"/>
  <c r="F463" i="35"/>
  <c r="D463" i="35"/>
  <c r="H462" i="35"/>
  <c r="A463" i="35" s="1"/>
  <c r="G462" i="35"/>
  <c r="F462" i="35"/>
  <c r="D462" i="35"/>
  <c r="H461" i="35"/>
  <c r="A462" i="35" s="1"/>
  <c r="G461" i="35"/>
  <c r="F461" i="35"/>
  <c r="D461" i="35"/>
  <c r="H460" i="35"/>
  <c r="A461" i="35" s="1"/>
  <c r="G460" i="35"/>
  <c r="F460" i="35"/>
  <c r="D460" i="35"/>
  <c r="H459" i="35"/>
  <c r="A460" i="35" s="1"/>
  <c r="G459" i="35"/>
  <c r="F459" i="35"/>
  <c r="D459" i="35"/>
  <c r="H458" i="35"/>
  <c r="A459" i="35" s="1"/>
  <c r="G458" i="35"/>
  <c r="F458" i="35"/>
  <c r="D458" i="35"/>
  <c r="H457" i="35"/>
  <c r="A458" i="35" s="1"/>
  <c r="G457" i="35"/>
  <c r="F457" i="35"/>
  <c r="D457" i="35"/>
  <c r="H456" i="35"/>
  <c r="A457" i="35" s="1"/>
  <c r="G456" i="35"/>
  <c r="F456" i="35"/>
  <c r="D456" i="35"/>
  <c r="H455" i="35"/>
  <c r="A456" i="35" s="1"/>
  <c r="G455" i="35"/>
  <c r="F455" i="35"/>
  <c r="D455" i="35"/>
  <c r="H454" i="35"/>
  <c r="A455" i="35" s="1"/>
  <c r="G454" i="35"/>
  <c r="F454" i="35"/>
  <c r="D454" i="35"/>
  <c r="H453" i="35"/>
  <c r="A454" i="35" s="1"/>
  <c r="G453" i="35"/>
  <c r="F453" i="35"/>
  <c r="D453" i="35"/>
  <c r="H452" i="35"/>
  <c r="A453" i="35" s="1"/>
  <c r="G452" i="35"/>
  <c r="F452" i="35"/>
  <c r="D452" i="35"/>
  <c r="H451" i="35"/>
  <c r="A452" i="35" s="1"/>
  <c r="G451" i="35"/>
  <c r="F451" i="35"/>
  <c r="D451" i="35"/>
  <c r="H450" i="35"/>
  <c r="A451" i="35" s="1"/>
  <c r="G450" i="35"/>
  <c r="F450" i="35"/>
  <c r="D450" i="35"/>
  <c r="H449" i="35"/>
  <c r="A450" i="35" s="1"/>
  <c r="G449" i="35"/>
  <c r="F449" i="35"/>
  <c r="D449" i="35"/>
  <c r="H448" i="35"/>
  <c r="A449" i="35" s="1"/>
  <c r="G448" i="35"/>
  <c r="F448" i="35"/>
  <c r="D448" i="35"/>
  <c r="H447" i="35"/>
  <c r="A448" i="35" s="1"/>
  <c r="G447" i="35"/>
  <c r="F447" i="35"/>
  <c r="D447" i="35"/>
  <c r="H446" i="35"/>
  <c r="A447" i="35" s="1"/>
  <c r="G446" i="35"/>
  <c r="F446" i="35"/>
  <c r="D446" i="35"/>
  <c r="H445" i="35"/>
  <c r="A446" i="35" s="1"/>
  <c r="G445" i="35"/>
  <c r="F445" i="35"/>
  <c r="D445" i="35"/>
  <c r="H444" i="35"/>
  <c r="A445" i="35" s="1"/>
  <c r="G444" i="35"/>
  <c r="F444" i="35"/>
  <c r="D444" i="35"/>
  <c r="H443" i="35"/>
  <c r="A444" i="35" s="1"/>
  <c r="G443" i="35"/>
  <c r="F443" i="35"/>
  <c r="D443" i="35"/>
  <c r="H442" i="35"/>
  <c r="A443" i="35" s="1"/>
  <c r="G442" i="35"/>
  <c r="F442" i="35"/>
  <c r="D442" i="35"/>
  <c r="H441" i="35"/>
  <c r="A442" i="35" s="1"/>
  <c r="G441" i="35"/>
  <c r="F441" i="35"/>
  <c r="D441" i="35"/>
  <c r="H440" i="35"/>
  <c r="A441" i="35" s="1"/>
  <c r="G440" i="35"/>
  <c r="F440" i="35"/>
  <c r="D440" i="35"/>
  <c r="H439" i="35"/>
  <c r="A440" i="35" s="1"/>
  <c r="G439" i="35"/>
  <c r="F439" i="35"/>
  <c r="D439" i="35"/>
  <c r="H438" i="35"/>
  <c r="A439" i="35" s="1"/>
  <c r="G438" i="35"/>
  <c r="F438" i="35"/>
  <c r="D438" i="35"/>
  <c r="H437" i="35"/>
  <c r="A438" i="35" s="1"/>
  <c r="G437" i="35"/>
  <c r="F437" i="35"/>
  <c r="D437" i="35"/>
  <c r="H436" i="35"/>
  <c r="A437" i="35" s="1"/>
  <c r="G436" i="35"/>
  <c r="F436" i="35"/>
  <c r="D436" i="35"/>
  <c r="H435" i="35"/>
  <c r="A436" i="35" s="1"/>
  <c r="G435" i="35"/>
  <c r="F435" i="35"/>
  <c r="D435" i="35"/>
  <c r="A435" i="35"/>
  <c r="H434" i="35"/>
  <c r="G434" i="35"/>
  <c r="F434" i="35"/>
  <c r="D434" i="35"/>
  <c r="H433" i="35"/>
  <c r="A434" i="35" s="1"/>
  <c r="G433" i="35"/>
  <c r="F433" i="35"/>
  <c r="D433" i="35"/>
  <c r="H432" i="35"/>
  <c r="A433" i="35" s="1"/>
  <c r="G432" i="35"/>
  <c r="F432" i="35"/>
  <c r="D432" i="35"/>
  <c r="H431" i="35"/>
  <c r="A432" i="35" s="1"/>
  <c r="G431" i="35"/>
  <c r="F431" i="35"/>
  <c r="D431" i="35"/>
  <c r="H430" i="35"/>
  <c r="A431" i="35" s="1"/>
  <c r="G430" i="35"/>
  <c r="F430" i="35"/>
  <c r="D430" i="35"/>
  <c r="H429" i="35"/>
  <c r="A430" i="35" s="1"/>
  <c r="G429" i="35"/>
  <c r="F429" i="35"/>
  <c r="D429" i="35"/>
  <c r="H428" i="35"/>
  <c r="A429" i="35" s="1"/>
  <c r="G428" i="35"/>
  <c r="F428" i="35"/>
  <c r="D428" i="35"/>
  <c r="H427" i="35"/>
  <c r="A428" i="35" s="1"/>
  <c r="G427" i="35"/>
  <c r="F427" i="35"/>
  <c r="D427" i="35"/>
  <c r="H426" i="35"/>
  <c r="A427" i="35" s="1"/>
  <c r="G426" i="35"/>
  <c r="F426" i="35"/>
  <c r="D426" i="35"/>
  <c r="H425" i="35"/>
  <c r="A426" i="35" s="1"/>
  <c r="G425" i="35"/>
  <c r="F425" i="35"/>
  <c r="D425" i="35"/>
  <c r="H424" i="35"/>
  <c r="A425" i="35" s="1"/>
  <c r="G424" i="35"/>
  <c r="F424" i="35"/>
  <c r="D424" i="35"/>
  <c r="H423" i="35"/>
  <c r="A424" i="35" s="1"/>
  <c r="G423" i="35"/>
  <c r="F423" i="35"/>
  <c r="D423" i="35"/>
  <c r="H422" i="35"/>
  <c r="A423" i="35" s="1"/>
  <c r="G422" i="35"/>
  <c r="F422" i="35"/>
  <c r="D422" i="35"/>
  <c r="H421" i="35"/>
  <c r="A422" i="35" s="1"/>
  <c r="G421" i="35"/>
  <c r="F421" i="35"/>
  <c r="D421" i="35"/>
  <c r="H420" i="35"/>
  <c r="A421" i="35" s="1"/>
  <c r="G420" i="35"/>
  <c r="F420" i="35"/>
  <c r="D420" i="35"/>
  <c r="H419" i="35"/>
  <c r="A420" i="35" s="1"/>
  <c r="G419" i="35"/>
  <c r="F419" i="35"/>
  <c r="D419" i="35"/>
  <c r="H418" i="35"/>
  <c r="A419" i="35" s="1"/>
  <c r="G418" i="35"/>
  <c r="F418" i="35"/>
  <c r="D418" i="35"/>
  <c r="H417" i="35"/>
  <c r="A418" i="35" s="1"/>
  <c r="G417" i="35"/>
  <c r="F417" i="35"/>
  <c r="D417" i="35"/>
  <c r="H416" i="35"/>
  <c r="A417" i="35" s="1"/>
  <c r="G416" i="35"/>
  <c r="F416" i="35"/>
  <c r="D416" i="35"/>
  <c r="H415" i="35"/>
  <c r="A416" i="35" s="1"/>
  <c r="G415" i="35"/>
  <c r="F415" i="35"/>
  <c r="D415" i="35"/>
  <c r="H414" i="35"/>
  <c r="A415" i="35" s="1"/>
  <c r="G414" i="35"/>
  <c r="F414" i="35"/>
  <c r="D414" i="35"/>
  <c r="H413" i="35"/>
  <c r="A414" i="35" s="1"/>
  <c r="G413" i="35"/>
  <c r="F413" i="35"/>
  <c r="D413" i="35"/>
  <c r="H412" i="35"/>
  <c r="A413" i="35" s="1"/>
  <c r="G412" i="35"/>
  <c r="F412" i="35"/>
  <c r="D412" i="35"/>
  <c r="H411" i="35"/>
  <c r="A412" i="35" s="1"/>
  <c r="G411" i="35"/>
  <c r="F411" i="35"/>
  <c r="D411" i="35"/>
  <c r="H410" i="35"/>
  <c r="A411" i="35" s="1"/>
  <c r="G410" i="35"/>
  <c r="F410" i="35"/>
  <c r="D410" i="35"/>
  <c r="H409" i="35"/>
  <c r="A410" i="35" s="1"/>
  <c r="G409" i="35"/>
  <c r="F409" i="35"/>
  <c r="D409" i="35"/>
  <c r="H408" i="35"/>
  <c r="A409" i="35" s="1"/>
  <c r="G408" i="35"/>
  <c r="F408" i="35"/>
  <c r="D408" i="35"/>
  <c r="H407" i="35"/>
  <c r="A408" i="35" s="1"/>
  <c r="G407" i="35"/>
  <c r="F407" i="35"/>
  <c r="D407" i="35"/>
  <c r="A407" i="35"/>
  <c r="H406" i="35"/>
  <c r="G406" i="35"/>
  <c r="F406" i="35"/>
  <c r="D406" i="35"/>
  <c r="H405" i="35"/>
  <c r="A406" i="35" s="1"/>
  <c r="G405" i="35"/>
  <c r="F405" i="35"/>
  <c r="D405" i="35"/>
  <c r="H404" i="35"/>
  <c r="A405" i="35" s="1"/>
  <c r="G404" i="35"/>
  <c r="F404" i="35"/>
  <c r="D404" i="35"/>
  <c r="H403" i="35"/>
  <c r="A404" i="35" s="1"/>
  <c r="G403" i="35"/>
  <c r="F403" i="35"/>
  <c r="D403" i="35"/>
  <c r="A403" i="35"/>
  <c r="H402" i="35"/>
  <c r="G402" i="35"/>
  <c r="F402" i="35"/>
  <c r="D402" i="35"/>
  <c r="H401" i="35"/>
  <c r="A402" i="35" s="1"/>
  <c r="G401" i="35"/>
  <c r="F401" i="35"/>
  <c r="D401" i="35"/>
  <c r="H400" i="35"/>
  <c r="A401" i="35" s="1"/>
  <c r="G400" i="35"/>
  <c r="F400" i="35"/>
  <c r="D400" i="35"/>
  <c r="H399" i="35"/>
  <c r="A400" i="35" s="1"/>
  <c r="G399" i="35"/>
  <c r="F399" i="35"/>
  <c r="D399" i="35"/>
  <c r="H398" i="35"/>
  <c r="A399" i="35" s="1"/>
  <c r="G398" i="35"/>
  <c r="F398" i="35"/>
  <c r="D398" i="35"/>
  <c r="H397" i="35"/>
  <c r="A398" i="35" s="1"/>
  <c r="G397" i="35"/>
  <c r="F397" i="35"/>
  <c r="D397" i="35"/>
  <c r="H396" i="35"/>
  <c r="A397" i="35" s="1"/>
  <c r="G396" i="35"/>
  <c r="F396" i="35"/>
  <c r="D396" i="35"/>
  <c r="H395" i="35"/>
  <c r="A396" i="35" s="1"/>
  <c r="G395" i="35"/>
  <c r="F395" i="35"/>
  <c r="D395" i="35"/>
  <c r="H394" i="35"/>
  <c r="A395" i="35" s="1"/>
  <c r="G394" i="35"/>
  <c r="F394" i="35"/>
  <c r="D394" i="35"/>
  <c r="H393" i="35"/>
  <c r="A394" i="35" s="1"/>
  <c r="G393" i="35"/>
  <c r="F393" i="35"/>
  <c r="D393" i="35"/>
  <c r="H392" i="35"/>
  <c r="A393" i="35" s="1"/>
  <c r="G392" i="35"/>
  <c r="F392" i="35"/>
  <c r="D392" i="35"/>
  <c r="H391" i="35"/>
  <c r="A392" i="35" s="1"/>
  <c r="G391" i="35"/>
  <c r="F391" i="35"/>
  <c r="D391" i="35"/>
  <c r="H390" i="35"/>
  <c r="A391" i="35" s="1"/>
  <c r="G390" i="35"/>
  <c r="F390" i="35"/>
  <c r="D390" i="35"/>
  <c r="H389" i="35"/>
  <c r="A390" i="35" s="1"/>
  <c r="G389" i="35"/>
  <c r="F389" i="35"/>
  <c r="D389" i="35"/>
  <c r="H388" i="35"/>
  <c r="A389" i="35" s="1"/>
  <c r="G388" i="35"/>
  <c r="F388" i="35"/>
  <c r="D388" i="35"/>
  <c r="H387" i="35"/>
  <c r="A388" i="35" s="1"/>
  <c r="G387" i="35"/>
  <c r="F387" i="35"/>
  <c r="D387" i="35"/>
  <c r="H386" i="35"/>
  <c r="A387" i="35" s="1"/>
  <c r="G386" i="35"/>
  <c r="F386" i="35"/>
  <c r="D386" i="35"/>
  <c r="H385" i="35"/>
  <c r="A386" i="35" s="1"/>
  <c r="G385" i="35"/>
  <c r="F385" i="35"/>
  <c r="D385" i="35"/>
  <c r="H384" i="35"/>
  <c r="A385" i="35" s="1"/>
  <c r="G384" i="35"/>
  <c r="F384" i="35"/>
  <c r="D384" i="35"/>
  <c r="H383" i="35"/>
  <c r="A384" i="35" s="1"/>
  <c r="G383" i="35"/>
  <c r="F383" i="35"/>
  <c r="D383" i="35"/>
  <c r="A383" i="35"/>
  <c r="H382" i="35"/>
  <c r="G382" i="35"/>
  <c r="F382" i="35"/>
  <c r="D382" i="35"/>
  <c r="H381" i="35"/>
  <c r="A382" i="35" s="1"/>
  <c r="G381" i="35"/>
  <c r="F381" i="35"/>
  <c r="D381" i="35"/>
  <c r="H380" i="35"/>
  <c r="A381" i="35" s="1"/>
  <c r="G380" i="35"/>
  <c r="F380" i="35"/>
  <c r="D380" i="35"/>
  <c r="H379" i="35"/>
  <c r="A380" i="35" s="1"/>
  <c r="G379" i="35"/>
  <c r="F379" i="35"/>
  <c r="D379" i="35"/>
  <c r="H378" i="35"/>
  <c r="A379" i="35" s="1"/>
  <c r="G378" i="35"/>
  <c r="F378" i="35"/>
  <c r="D378" i="35"/>
  <c r="H377" i="35"/>
  <c r="A378" i="35" s="1"/>
  <c r="G377" i="35"/>
  <c r="F377" i="35"/>
  <c r="D377" i="35"/>
  <c r="H376" i="35"/>
  <c r="A377" i="35" s="1"/>
  <c r="G376" i="35"/>
  <c r="F376" i="35"/>
  <c r="D376" i="35"/>
  <c r="H375" i="35"/>
  <c r="A376" i="35" s="1"/>
  <c r="G375" i="35"/>
  <c r="F375" i="35"/>
  <c r="D375" i="35"/>
  <c r="H374" i="35"/>
  <c r="A375" i="35" s="1"/>
  <c r="G374" i="35"/>
  <c r="F374" i="35"/>
  <c r="D374" i="35"/>
  <c r="H373" i="35"/>
  <c r="A374" i="35" s="1"/>
  <c r="G373" i="35"/>
  <c r="F373" i="35"/>
  <c r="D373" i="35"/>
  <c r="H372" i="35"/>
  <c r="A373" i="35" s="1"/>
  <c r="G372" i="35"/>
  <c r="F372" i="35"/>
  <c r="D372" i="35"/>
  <c r="H371" i="35"/>
  <c r="A372" i="35" s="1"/>
  <c r="G371" i="35"/>
  <c r="F371" i="35"/>
  <c r="D371" i="35"/>
  <c r="H370" i="35"/>
  <c r="A371" i="35" s="1"/>
  <c r="G370" i="35"/>
  <c r="F370" i="35"/>
  <c r="D370" i="35"/>
  <c r="H369" i="35"/>
  <c r="A370" i="35" s="1"/>
  <c r="G369" i="35"/>
  <c r="F369" i="35"/>
  <c r="D369" i="35"/>
  <c r="H368" i="35"/>
  <c r="A369" i="35" s="1"/>
  <c r="G368" i="35"/>
  <c r="F368" i="35"/>
  <c r="D368" i="35"/>
  <c r="H367" i="35"/>
  <c r="A368" i="35" s="1"/>
  <c r="G367" i="35"/>
  <c r="F367" i="35"/>
  <c r="D367" i="35"/>
  <c r="A367" i="35"/>
  <c r="H366" i="35"/>
  <c r="G366" i="35"/>
  <c r="F366" i="35"/>
  <c r="D366" i="35"/>
  <c r="H365" i="35"/>
  <c r="A366" i="35" s="1"/>
  <c r="G365" i="35"/>
  <c r="F365" i="35"/>
  <c r="D365" i="35"/>
  <c r="H364" i="35"/>
  <c r="A365" i="35" s="1"/>
  <c r="G364" i="35"/>
  <c r="F364" i="35"/>
  <c r="D364" i="35"/>
  <c r="H363" i="35"/>
  <c r="A364" i="35" s="1"/>
  <c r="G363" i="35"/>
  <c r="F363" i="35"/>
  <c r="D363" i="35"/>
  <c r="A363" i="35"/>
  <c r="H362" i="35"/>
  <c r="G362" i="35"/>
  <c r="F362" i="35"/>
  <c r="D362" i="35"/>
  <c r="H361" i="35"/>
  <c r="A362" i="35" s="1"/>
  <c r="G361" i="35"/>
  <c r="F361" i="35"/>
  <c r="D361" i="35"/>
  <c r="H360" i="35"/>
  <c r="A361" i="35" s="1"/>
  <c r="G360" i="35"/>
  <c r="F360" i="35"/>
  <c r="D360" i="35"/>
  <c r="H359" i="35"/>
  <c r="A360" i="35" s="1"/>
  <c r="G359" i="35"/>
  <c r="F359" i="35"/>
  <c r="D359" i="35"/>
  <c r="H358" i="35"/>
  <c r="A359" i="35" s="1"/>
  <c r="G358" i="35"/>
  <c r="F358" i="35"/>
  <c r="D358" i="35"/>
  <c r="H357" i="35"/>
  <c r="A358" i="35" s="1"/>
  <c r="G357" i="35"/>
  <c r="F357" i="35"/>
  <c r="D357" i="35"/>
  <c r="H356" i="35"/>
  <c r="A357" i="35" s="1"/>
  <c r="G356" i="35"/>
  <c r="F356" i="35"/>
  <c r="D356" i="35"/>
  <c r="H355" i="35"/>
  <c r="A356" i="35" s="1"/>
  <c r="G355" i="35"/>
  <c r="F355" i="35"/>
  <c r="D355" i="35"/>
  <c r="H354" i="35"/>
  <c r="A355" i="35" s="1"/>
  <c r="G354" i="35"/>
  <c r="F354" i="35"/>
  <c r="D354" i="35"/>
  <c r="H353" i="35"/>
  <c r="A354" i="35" s="1"/>
  <c r="G353" i="35"/>
  <c r="F353" i="35"/>
  <c r="D353" i="35"/>
  <c r="H352" i="35"/>
  <c r="A353" i="35" s="1"/>
  <c r="G352" i="35"/>
  <c r="F352" i="35"/>
  <c r="D352" i="35"/>
  <c r="H351" i="35"/>
  <c r="A352" i="35" s="1"/>
  <c r="G351" i="35"/>
  <c r="F351" i="35"/>
  <c r="D351" i="35"/>
  <c r="H350" i="35"/>
  <c r="A351" i="35" s="1"/>
  <c r="G350" i="35"/>
  <c r="F350" i="35"/>
  <c r="D350" i="35"/>
  <c r="H349" i="35"/>
  <c r="A350" i="35" s="1"/>
  <c r="G349" i="35"/>
  <c r="F349" i="35"/>
  <c r="D349" i="35"/>
  <c r="H348" i="35"/>
  <c r="A349" i="35" s="1"/>
  <c r="G348" i="35"/>
  <c r="F348" i="35"/>
  <c r="D348" i="35"/>
  <c r="H347" i="35"/>
  <c r="A348" i="35" s="1"/>
  <c r="G347" i="35"/>
  <c r="F347" i="35"/>
  <c r="D347" i="35"/>
  <c r="H346" i="35"/>
  <c r="A347" i="35" s="1"/>
  <c r="G346" i="35"/>
  <c r="F346" i="35"/>
  <c r="D346" i="35"/>
  <c r="H345" i="35"/>
  <c r="A346" i="35" s="1"/>
  <c r="G345" i="35"/>
  <c r="F345" i="35"/>
  <c r="D345" i="35"/>
  <c r="H344" i="35"/>
  <c r="A345" i="35" s="1"/>
  <c r="G344" i="35"/>
  <c r="F344" i="35"/>
  <c r="D344" i="35"/>
  <c r="H343" i="35"/>
  <c r="A344" i="35" s="1"/>
  <c r="G343" i="35"/>
  <c r="F343" i="35"/>
  <c r="D343" i="35"/>
  <c r="A343" i="35"/>
  <c r="H342" i="35"/>
  <c r="G342" i="35"/>
  <c r="F342" i="35"/>
  <c r="D342" i="35"/>
  <c r="H341" i="35"/>
  <c r="A342" i="35" s="1"/>
  <c r="G341" i="35"/>
  <c r="F341" i="35"/>
  <c r="D341" i="35"/>
  <c r="H340" i="35"/>
  <c r="A341" i="35" s="1"/>
  <c r="G340" i="35"/>
  <c r="F340" i="35"/>
  <c r="D340" i="35"/>
  <c r="H339" i="35"/>
  <c r="A340" i="35" s="1"/>
  <c r="G339" i="35"/>
  <c r="F339" i="35"/>
  <c r="D339" i="35"/>
  <c r="H338" i="35"/>
  <c r="A339" i="35" s="1"/>
  <c r="G338" i="35"/>
  <c r="F338" i="35"/>
  <c r="D338" i="35"/>
  <c r="H337" i="35"/>
  <c r="A338" i="35" s="1"/>
  <c r="G337" i="35"/>
  <c r="F337" i="35"/>
  <c r="D337" i="35"/>
  <c r="H336" i="35"/>
  <c r="A337" i="35" s="1"/>
  <c r="G336" i="35"/>
  <c r="F336" i="35"/>
  <c r="D336" i="35"/>
  <c r="H335" i="35"/>
  <c r="A336" i="35" s="1"/>
  <c r="G335" i="35"/>
  <c r="F335" i="35"/>
  <c r="D335" i="35"/>
  <c r="H334" i="35"/>
  <c r="A335" i="35" s="1"/>
  <c r="G334" i="35"/>
  <c r="F334" i="35"/>
  <c r="D334" i="35"/>
  <c r="H333" i="35"/>
  <c r="A334" i="35" s="1"/>
  <c r="G333" i="35"/>
  <c r="F333" i="35"/>
  <c r="D333" i="35"/>
  <c r="H332" i="35"/>
  <c r="A333" i="35" s="1"/>
  <c r="G332" i="35"/>
  <c r="F332" i="35"/>
  <c r="D332" i="35"/>
  <c r="H331" i="35"/>
  <c r="A332" i="35" s="1"/>
  <c r="G331" i="35"/>
  <c r="F331" i="35"/>
  <c r="D331" i="35"/>
  <c r="H330" i="35"/>
  <c r="A331" i="35" s="1"/>
  <c r="G330" i="35"/>
  <c r="F330" i="35"/>
  <c r="D330" i="35"/>
  <c r="H329" i="35"/>
  <c r="A330" i="35" s="1"/>
  <c r="G329" i="35"/>
  <c r="F329" i="35"/>
  <c r="D329" i="35"/>
  <c r="H328" i="35"/>
  <c r="A329" i="35" s="1"/>
  <c r="G328" i="35"/>
  <c r="F328" i="35"/>
  <c r="D328" i="35"/>
  <c r="H327" i="35"/>
  <c r="A328" i="35" s="1"/>
  <c r="G327" i="35"/>
  <c r="F327" i="35"/>
  <c r="D327" i="35"/>
  <c r="A327" i="35"/>
  <c r="H326" i="35"/>
  <c r="G326" i="35"/>
  <c r="F326" i="35"/>
  <c r="D326" i="35"/>
  <c r="H325" i="35"/>
  <c r="A326" i="35" s="1"/>
  <c r="G325" i="35"/>
  <c r="F325" i="35"/>
  <c r="D325" i="35"/>
  <c r="H324" i="35"/>
  <c r="A325" i="35" s="1"/>
  <c r="G324" i="35"/>
  <c r="F324" i="35"/>
  <c r="D324" i="35"/>
  <c r="H323" i="35"/>
  <c r="A324" i="35" s="1"/>
  <c r="G323" i="35"/>
  <c r="F323" i="35"/>
  <c r="D323" i="35"/>
  <c r="A323" i="35"/>
  <c r="H322" i="35"/>
  <c r="G322" i="35"/>
  <c r="F322" i="35"/>
  <c r="D322" i="35"/>
  <c r="H321" i="35"/>
  <c r="A322" i="35" s="1"/>
  <c r="G321" i="35"/>
  <c r="F321" i="35"/>
  <c r="D321" i="35"/>
  <c r="H320" i="35"/>
  <c r="A321" i="35" s="1"/>
  <c r="G320" i="35"/>
  <c r="F320" i="35"/>
  <c r="D320" i="35"/>
  <c r="H319" i="35"/>
  <c r="A320" i="35" s="1"/>
  <c r="G319" i="35"/>
  <c r="F319" i="35"/>
  <c r="D319" i="35"/>
  <c r="A319" i="35"/>
  <c r="H318" i="35"/>
  <c r="G318" i="35"/>
  <c r="F318" i="35"/>
  <c r="D318" i="35"/>
  <c r="H317" i="35"/>
  <c r="A318" i="35" s="1"/>
  <c r="G317" i="35"/>
  <c r="F317" i="35"/>
  <c r="D317" i="35"/>
  <c r="H316" i="35"/>
  <c r="A317" i="35" s="1"/>
  <c r="G316" i="35"/>
  <c r="F316" i="35"/>
  <c r="D316" i="35"/>
  <c r="H315" i="35"/>
  <c r="A316" i="35" s="1"/>
  <c r="G315" i="35"/>
  <c r="F315" i="35"/>
  <c r="D315" i="35"/>
  <c r="H314" i="35"/>
  <c r="A315" i="35" s="1"/>
  <c r="G314" i="35"/>
  <c r="F314" i="35"/>
  <c r="D314" i="35"/>
  <c r="H313" i="35"/>
  <c r="A314" i="35" s="1"/>
  <c r="G313" i="35"/>
  <c r="F313" i="35"/>
  <c r="D313" i="35"/>
  <c r="H312" i="35"/>
  <c r="A313" i="35" s="1"/>
  <c r="G312" i="35"/>
  <c r="F312" i="35"/>
  <c r="D312" i="35"/>
  <c r="H311" i="35"/>
  <c r="A312" i="35" s="1"/>
  <c r="G311" i="35"/>
  <c r="F311" i="35"/>
  <c r="D311" i="35"/>
  <c r="H310" i="35"/>
  <c r="A311" i="35" s="1"/>
  <c r="G310" i="35"/>
  <c r="F310" i="35"/>
  <c r="D310" i="35"/>
  <c r="H309" i="35"/>
  <c r="A310" i="35" s="1"/>
  <c r="G309" i="35"/>
  <c r="F309" i="35"/>
  <c r="D309" i="35"/>
  <c r="H308" i="35"/>
  <c r="A309" i="35" s="1"/>
  <c r="G308" i="35"/>
  <c r="F308" i="35"/>
  <c r="D308" i="35"/>
  <c r="H307" i="35"/>
  <c r="A308" i="35" s="1"/>
  <c r="G307" i="35"/>
  <c r="F307" i="35"/>
  <c r="D307" i="35"/>
  <c r="H306" i="35"/>
  <c r="A307" i="35" s="1"/>
  <c r="G306" i="35"/>
  <c r="F306" i="35"/>
  <c r="D306" i="35"/>
  <c r="H305" i="35"/>
  <c r="A306" i="35" s="1"/>
  <c r="G305" i="35"/>
  <c r="F305" i="35"/>
  <c r="D305" i="35"/>
  <c r="H304" i="35"/>
  <c r="A305" i="35" s="1"/>
  <c r="G304" i="35"/>
  <c r="F304" i="35"/>
  <c r="D304" i="35"/>
  <c r="H303" i="35"/>
  <c r="A304" i="35" s="1"/>
  <c r="G303" i="35"/>
  <c r="F303" i="35"/>
  <c r="D303" i="35"/>
  <c r="A303" i="35"/>
  <c r="H302" i="35"/>
  <c r="G302" i="35"/>
  <c r="F302" i="35"/>
  <c r="D302" i="35"/>
  <c r="H301" i="35"/>
  <c r="A302" i="35" s="1"/>
  <c r="G301" i="35"/>
  <c r="F301" i="35"/>
  <c r="D301" i="35"/>
  <c r="H300" i="35"/>
  <c r="A301" i="35" s="1"/>
  <c r="G300" i="35"/>
  <c r="F300" i="35"/>
  <c r="D300" i="35"/>
  <c r="H299" i="35"/>
  <c r="A300" i="35" s="1"/>
  <c r="G299" i="35"/>
  <c r="F299" i="35"/>
  <c r="D299" i="35"/>
  <c r="H298" i="35"/>
  <c r="A299" i="35" s="1"/>
  <c r="G298" i="35"/>
  <c r="F298" i="35"/>
  <c r="D298" i="35"/>
  <c r="H297" i="35"/>
  <c r="A298" i="35" s="1"/>
  <c r="G297" i="35"/>
  <c r="F297" i="35"/>
  <c r="D297" i="35"/>
  <c r="H296" i="35"/>
  <c r="A297" i="35" s="1"/>
  <c r="G296" i="35"/>
  <c r="F296" i="35"/>
  <c r="D296" i="35"/>
  <c r="H295" i="35"/>
  <c r="A296" i="35" s="1"/>
  <c r="G295" i="35"/>
  <c r="F295" i="35"/>
  <c r="D295" i="35"/>
  <c r="H294" i="35"/>
  <c r="A295" i="35" s="1"/>
  <c r="G294" i="35"/>
  <c r="F294" i="35"/>
  <c r="D294" i="35"/>
  <c r="H293" i="35"/>
  <c r="A294" i="35" s="1"/>
  <c r="G293" i="35"/>
  <c r="F293" i="35"/>
  <c r="D293" i="35"/>
  <c r="H292" i="35"/>
  <c r="A293" i="35" s="1"/>
  <c r="G292" i="35"/>
  <c r="F292" i="35"/>
  <c r="D292" i="35"/>
  <c r="H291" i="35"/>
  <c r="A292" i="35" s="1"/>
  <c r="G291" i="35"/>
  <c r="F291" i="35"/>
  <c r="D291" i="35"/>
  <c r="H290" i="35"/>
  <c r="A291" i="35" s="1"/>
  <c r="G290" i="35"/>
  <c r="F290" i="35"/>
  <c r="D290" i="35"/>
  <c r="H289" i="35"/>
  <c r="A290" i="35" s="1"/>
  <c r="G289" i="35"/>
  <c r="F289" i="35"/>
  <c r="D289" i="35"/>
  <c r="H288" i="35"/>
  <c r="A289" i="35" s="1"/>
  <c r="G288" i="35"/>
  <c r="F288" i="35"/>
  <c r="D288" i="35"/>
  <c r="H287" i="35"/>
  <c r="A288" i="35" s="1"/>
  <c r="G287" i="35"/>
  <c r="F287" i="35"/>
  <c r="D287" i="35"/>
  <c r="A287" i="35"/>
  <c r="H286" i="35"/>
  <c r="G286" i="35"/>
  <c r="F286" i="35"/>
  <c r="D286" i="35"/>
  <c r="H285" i="35"/>
  <c r="A286" i="35" s="1"/>
  <c r="G285" i="35"/>
  <c r="F285" i="35"/>
  <c r="D285" i="35"/>
  <c r="H284" i="35"/>
  <c r="A285" i="35" s="1"/>
  <c r="G284" i="35"/>
  <c r="F284" i="35"/>
  <c r="D284" i="35"/>
  <c r="H283" i="35"/>
  <c r="A284" i="35" s="1"/>
  <c r="G283" i="35"/>
  <c r="F283" i="35"/>
  <c r="D283" i="35"/>
  <c r="A283" i="35"/>
  <c r="H282" i="35"/>
  <c r="G282" i="35"/>
  <c r="F282" i="35"/>
  <c r="D282" i="35"/>
  <c r="H281" i="35"/>
  <c r="A282" i="35" s="1"/>
  <c r="G281" i="35"/>
  <c r="F281" i="35"/>
  <c r="D281" i="35"/>
  <c r="H280" i="35"/>
  <c r="A281" i="35" s="1"/>
  <c r="G280" i="35"/>
  <c r="F280" i="35"/>
  <c r="D280" i="35"/>
  <c r="H279" i="35"/>
  <c r="A280" i="35" s="1"/>
  <c r="G279" i="35"/>
  <c r="F279" i="35"/>
  <c r="D279" i="35"/>
  <c r="H278" i="35"/>
  <c r="A279" i="35" s="1"/>
  <c r="G278" i="35"/>
  <c r="F278" i="35"/>
  <c r="D278" i="35"/>
  <c r="A278" i="35"/>
  <c r="H277" i="35"/>
  <c r="G277" i="35"/>
  <c r="F277" i="35"/>
  <c r="D277" i="35"/>
  <c r="H276" i="35"/>
  <c r="A277" i="35" s="1"/>
  <c r="G276" i="35"/>
  <c r="F276" i="35"/>
  <c r="D276" i="35"/>
  <c r="H275" i="35"/>
  <c r="A276" i="35" s="1"/>
  <c r="G275" i="35"/>
  <c r="F275" i="35"/>
  <c r="D275" i="35"/>
  <c r="H274" i="35"/>
  <c r="A275" i="35" s="1"/>
  <c r="G274" i="35"/>
  <c r="F274" i="35"/>
  <c r="D274" i="35"/>
  <c r="H273" i="35"/>
  <c r="A274" i="35" s="1"/>
  <c r="G273" i="35"/>
  <c r="F273" i="35"/>
  <c r="D273" i="35"/>
  <c r="H272" i="35"/>
  <c r="A273" i="35" s="1"/>
  <c r="G272" i="35"/>
  <c r="F272" i="35"/>
  <c r="D272" i="35"/>
  <c r="H271" i="35"/>
  <c r="A272" i="35" s="1"/>
  <c r="G271" i="35"/>
  <c r="F271" i="35"/>
  <c r="D271" i="35"/>
  <c r="H270" i="35"/>
  <c r="A271" i="35" s="1"/>
  <c r="G270" i="35"/>
  <c r="F270" i="35"/>
  <c r="D270" i="35"/>
  <c r="H269" i="35"/>
  <c r="A270" i="35" s="1"/>
  <c r="G269" i="35"/>
  <c r="F269" i="35"/>
  <c r="D269" i="35"/>
  <c r="H268" i="35"/>
  <c r="A269" i="35" s="1"/>
  <c r="G268" i="35"/>
  <c r="F268" i="35"/>
  <c r="D268" i="35"/>
  <c r="H267" i="35"/>
  <c r="A268" i="35" s="1"/>
  <c r="G267" i="35"/>
  <c r="F267" i="35"/>
  <c r="D267" i="35"/>
  <c r="H266" i="35"/>
  <c r="A267" i="35" s="1"/>
  <c r="G266" i="35"/>
  <c r="F266" i="35"/>
  <c r="D266" i="35"/>
  <c r="H265" i="35"/>
  <c r="A266" i="35" s="1"/>
  <c r="G265" i="35"/>
  <c r="F265" i="35"/>
  <c r="D265" i="35"/>
  <c r="H264" i="35"/>
  <c r="A265" i="35" s="1"/>
  <c r="G264" i="35"/>
  <c r="F264" i="35"/>
  <c r="D264" i="35"/>
  <c r="H263" i="35"/>
  <c r="A264" i="35" s="1"/>
  <c r="G263" i="35"/>
  <c r="F263" i="35"/>
  <c r="D263" i="35"/>
  <c r="A263" i="35"/>
  <c r="H262" i="35"/>
  <c r="G262" i="35"/>
  <c r="F262" i="35"/>
  <c r="D262" i="35"/>
  <c r="H261" i="35"/>
  <c r="A262" i="35" s="1"/>
  <c r="G261" i="35"/>
  <c r="F261" i="35"/>
  <c r="D261" i="35"/>
  <c r="H260" i="35"/>
  <c r="A261" i="35" s="1"/>
  <c r="G260" i="35"/>
  <c r="F260" i="35"/>
  <c r="D260" i="35"/>
  <c r="H259" i="35"/>
  <c r="A260" i="35" s="1"/>
  <c r="G259" i="35"/>
  <c r="F259" i="35"/>
  <c r="D259" i="35"/>
  <c r="H258" i="35"/>
  <c r="A259" i="35" s="1"/>
  <c r="G258" i="35"/>
  <c r="F258" i="35"/>
  <c r="D258" i="35"/>
  <c r="H257" i="35"/>
  <c r="A258" i="35" s="1"/>
  <c r="G257" i="35"/>
  <c r="F257" i="35"/>
  <c r="D257" i="35"/>
  <c r="H256" i="35"/>
  <c r="A257" i="35" s="1"/>
  <c r="G256" i="35"/>
  <c r="F256" i="35"/>
  <c r="D256" i="35"/>
  <c r="H255" i="35"/>
  <c r="A256" i="35" s="1"/>
  <c r="G255" i="35"/>
  <c r="F255" i="35"/>
  <c r="D255" i="35"/>
  <c r="H254" i="35"/>
  <c r="A255" i="35" s="1"/>
  <c r="G254" i="35"/>
  <c r="F254" i="35"/>
  <c r="D254" i="35"/>
  <c r="H253" i="35"/>
  <c r="A254" i="35" s="1"/>
  <c r="G253" i="35"/>
  <c r="F253" i="35"/>
  <c r="D253" i="35"/>
  <c r="H252" i="35"/>
  <c r="A253" i="35" s="1"/>
  <c r="G252" i="35"/>
  <c r="F252" i="35"/>
  <c r="D252" i="35"/>
  <c r="H251" i="35"/>
  <c r="A252" i="35" s="1"/>
  <c r="G251" i="35"/>
  <c r="F251" i="35"/>
  <c r="D251" i="35"/>
  <c r="H250" i="35"/>
  <c r="A251" i="35" s="1"/>
  <c r="G250" i="35"/>
  <c r="F250" i="35"/>
  <c r="D250" i="35"/>
  <c r="H249" i="35"/>
  <c r="A250" i="35" s="1"/>
  <c r="G249" i="35"/>
  <c r="F249" i="35"/>
  <c r="D249" i="35"/>
  <c r="H248" i="35"/>
  <c r="A249" i="35" s="1"/>
  <c r="G248" i="35"/>
  <c r="F248" i="35"/>
  <c r="D248" i="35"/>
  <c r="H247" i="35"/>
  <c r="A248" i="35" s="1"/>
  <c r="G247" i="35"/>
  <c r="F247" i="35"/>
  <c r="D247" i="35"/>
  <c r="A247" i="35"/>
  <c r="H246" i="35"/>
  <c r="G246" i="35"/>
  <c r="F246" i="35"/>
  <c r="D246" i="35"/>
  <c r="H245" i="35"/>
  <c r="A246" i="35" s="1"/>
  <c r="G245" i="35"/>
  <c r="F245" i="35"/>
  <c r="D245" i="35"/>
  <c r="H244" i="35"/>
  <c r="A245" i="35" s="1"/>
  <c r="G244" i="35"/>
  <c r="F244" i="35"/>
  <c r="D244" i="35"/>
  <c r="H243" i="35"/>
  <c r="A244" i="35" s="1"/>
  <c r="G243" i="35"/>
  <c r="F243" i="35"/>
  <c r="D243" i="35"/>
  <c r="A243" i="35"/>
  <c r="H242" i="35"/>
  <c r="G242" i="35"/>
  <c r="F242" i="35"/>
  <c r="D242" i="35"/>
  <c r="H241" i="35"/>
  <c r="A242" i="35" s="1"/>
  <c r="G241" i="35"/>
  <c r="F241" i="35"/>
  <c r="D241" i="35"/>
  <c r="H240" i="35"/>
  <c r="A241" i="35" s="1"/>
  <c r="G240" i="35"/>
  <c r="F240" i="35"/>
  <c r="D240" i="35"/>
  <c r="H239" i="35"/>
  <c r="A240" i="35" s="1"/>
  <c r="G239" i="35"/>
  <c r="F239" i="35"/>
  <c r="D239" i="35"/>
  <c r="H238" i="35"/>
  <c r="A239" i="35" s="1"/>
  <c r="G238" i="35"/>
  <c r="F238" i="35"/>
  <c r="D238" i="35"/>
  <c r="H237" i="35"/>
  <c r="A238" i="35" s="1"/>
  <c r="G237" i="35"/>
  <c r="F237" i="35"/>
  <c r="D237" i="35"/>
  <c r="H236" i="35"/>
  <c r="A237" i="35" s="1"/>
  <c r="G236" i="35"/>
  <c r="F236" i="35"/>
  <c r="D236" i="35"/>
  <c r="H235" i="35"/>
  <c r="A236" i="35" s="1"/>
  <c r="G235" i="35"/>
  <c r="F235" i="35"/>
  <c r="D235" i="35"/>
  <c r="H234" i="35"/>
  <c r="A235" i="35" s="1"/>
  <c r="G234" i="35"/>
  <c r="F234" i="35"/>
  <c r="D234" i="35"/>
  <c r="H233" i="35"/>
  <c r="A234" i="35" s="1"/>
  <c r="G233" i="35"/>
  <c r="F233" i="35"/>
  <c r="D233" i="35"/>
  <c r="H232" i="35"/>
  <c r="A233" i="35" s="1"/>
  <c r="G232" i="35"/>
  <c r="F232" i="35"/>
  <c r="D232" i="35"/>
  <c r="H231" i="35"/>
  <c r="A232" i="35" s="1"/>
  <c r="G231" i="35"/>
  <c r="F231" i="35"/>
  <c r="D231" i="35"/>
  <c r="H230" i="35"/>
  <c r="A231" i="35" s="1"/>
  <c r="G230" i="35"/>
  <c r="F230" i="35"/>
  <c r="D230" i="35"/>
  <c r="A230" i="35"/>
  <c r="H229" i="35"/>
  <c r="G229" i="35"/>
  <c r="F229" i="35"/>
  <c r="D229" i="35"/>
  <c r="H228" i="35"/>
  <c r="A229" i="35" s="1"/>
  <c r="G228" i="35"/>
  <c r="F228" i="35"/>
  <c r="D228" i="35"/>
  <c r="H227" i="35"/>
  <c r="A228" i="35" s="1"/>
  <c r="G227" i="35"/>
  <c r="F227" i="35"/>
  <c r="D227" i="35"/>
  <c r="H226" i="35"/>
  <c r="A227" i="35" s="1"/>
  <c r="G226" i="35"/>
  <c r="F226" i="35"/>
  <c r="D226" i="35"/>
  <c r="H225" i="35"/>
  <c r="A226" i="35" s="1"/>
  <c r="G225" i="35"/>
  <c r="F225" i="35"/>
  <c r="D225" i="35"/>
  <c r="H224" i="35"/>
  <c r="A225" i="35" s="1"/>
  <c r="G224" i="35"/>
  <c r="F224" i="35"/>
  <c r="D224" i="35"/>
  <c r="H223" i="35"/>
  <c r="A224" i="35" s="1"/>
  <c r="G223" i="35"/>
  <c r="F223" i="35"/>
  <c r="D223" i="35"/>
  <c r="A223" i="35"/>
  <c r="H222" i="35"/>
  <c r="G222" i="35"/>
  <c r="F222" i="35"/>
  <c r="D222" i="35"/>
  <c r="H221" i="35"/>
  <c r="A222" i="35" s="1"/>
  <c r="G221" i="35"/>
  <c r="F221" i="35"/>
  <c r="D221" i="35"/>
  <c r="H220" i="35"/>
  <c r="A221" i="35" s="1"/>
  <c r="G220" i="35"/>
  <c r="F220" i="35"/>
  <c r="D220" i="35"/>
  <c r="H219" i="35"/>
  <c r="A220" i="35" s="1"/>
  <c r="G219" i="35"/>
  <c r="F219" i="35"/>
  <c r="D219" i="35"/>
  <c r="H218" i="35"/>
  <c r="A219" i="35" s="1"/>
  <c r="G218" i="35"/>
  <c r="F218" i="35"/>
  <c r="D218" i="35"/>
  <c r="H217" i="35"/>
  <c r="A218" i="35" s="1"/>
  <c r="G217" i="35"/>
  <c r="F217" i="35"/>
  <c r="D217" i="35"/>
  <c r="H216" i="35"/>
  <c r="A217" i="35" s="1"/>
  <c r="G216" i="35"/>
  <c r="F216" i="35"/>
  <c r="D216" i="35"/>
  <c r="H215" i="35"/>
  <c r="A216" i="35" s="1"/>
  <c r="G215" i="35"/>
  <c r="F215" i="35"/>
  <c r="D215" i="35"/>
  <c r="H214" i="35"/>
  <c r="A215" i="35" s="1"/>
  <c r="G214" i="35"/>
  <c r="F214" i="35"/>
  <c r="D214" i="35"/>
  <c r="H213" i="35"/>
  <c r="A214" i="35" s="1"/>
  <c r="G213" i="35"/>
  <c r="F213" i="35"/>
  <c r="D213" i="35"/>
  <c r="H212" i="35"/>
  <c r="A213" i="35" s="1"/>
  <c r="G212" i="35"/>
  <c r="F212" i="35"/>
  <c r="D212" i="35"/>
  <c r="H211" i="35"/>
  <c r="A212" i="35" s="1"/>
  <c r="G211" i="35"/>
  <c r="F211" i="35"/>
  <c r="D211" i="35"/>
  <c r="H210" i="35"/>
  <c r="A211" i="35" s="1"/>
  <c r="G210" i="35"/>
  <c r="F210" i="35"/>
  <c r="D210" i="35"/>
  <c r="H209" i="35"/>
  <c r="A210" i="35" s="1"/>
  <c r="G209" i="35"/>
  <c r="F209" i="35"/>
  <c r="D209" i="35"/>
  <c r="H208" i="35"/>
  <c r="A209" i="35" s="1"/>
  <c r="G208" i="35"/>
  <c r="F208" i="35"/>
  <c r="D208" i="35"/>
  <c r="H207" i="35"/>
  <c r="A208" i="35" s="1"/>
  <c r="G207" i="35"/>
  <c r="F207" i="35"/>
  <c r="D207" i="35"/>
  <c r="A207" i="35"/>
  <c r="H206" i="35"/>
  <c r="G206" i="35"/>
  <c r="F206" i="35"/>
  <c r="D206" i="35"/>
  <c r="H205" i="35"/>
  <c r="A206" i="35" s="1"/>
  <c r="G205" i="35"/>
  <c r="F205" i="35"/>
  <c r="D205" i="35"/>
  <c r="H204" i="35"/>
  <c r="A205" i="35" s="1"/>
  <c r="G204" i="35"/>
  <c r="F204" i="35"/>
  <c r="D204" i="35"/>
  <c r="H203" i="35"/>
  <c r="A204" i="35" s="1"/>
  <c r="G203" i="35"/>
  <c r="F203" i="35"/>
  <c r="D203" i="35"/>
  <c r="A203" i="35"/>
  <c r="H202" i="35"/>
  <c r="G202" i="35"/>
  <c r="F202" i="35"/>
  <c r="D202" i="35"/>
  <c r="H201" i="35"/>
  <c r="A202" i="35" s="1"/>
  <c r="G201" i="35"/>
  <c r="F201" i="35"/>
  <c r="D201" i="35"/>
  <c r="H200" i="35"/>
  <c r="A201" i="35" s="1"/>
  <c r="G200" i="35"/>
  <c r="F200" i="35"/>
  <c r="D200" i="35"/>
  <c r="H199" i="35"/>
  <c r="A200" i="35" s="1"/>
  <c r="G199" i="35"/>
  <c r="F199" i="35"/>
  <c r="D199" i="35"/>
  <c r="H198" i="35"/>
  <c r="A199" i="35" s="1"/>
  <c r="G198" i="35"/>
  <c r="F198" i="35"/>
  <c r="D198" i="35"/>
  <c r="H197" i="35"/>
  <c r="A198" i="35" s="1"/>
  <c r="G197" i="35"/>
  <c r="F197" i="35"/>
  <c r="D197" i="35"/>
  <c r="H196" i="35"/>
  <c r="A197" i="35" s="1"/>
  <c r="G196" i="35"/>
  <c r="F196" i="35"/>
  <c r="D196" i="35"/>
  <c r="H195" i="35"/>
  <c r="A196" i="35" s="1"/>
  <c r="G195" i="35"/>
  <c r="F195" i="35"/>
  <c r="D195" i="35"/>
  <c r="H194" i="35"/>
  <c r="A195" i="35" s="1"/>
  <c r="G194" i="35"/>
  <c r="F194" i="35"/>
  <c r="D194" i="35"/>
  <c r="H193" i="35"/>
  <c r="A194" i="35" s="1"/>
  <c r="G193" i="35"/>
  <c r="F193" i="35"/>
  <c r="D193" i="35"/>
  <c r="H192" i="35"/>
  <c r="A193" i="35" s="1"/>
  <c r="G192" i="35"/>
  <c r="F192" i="35"/>
  <c r="D192" i="35"/>
  <c r="H191" i="35"/>
  <c r="A192" i="35" s="1"/>
  <c r="G191" i="35"/>
  <c r="F191" i="35"/>
  <c r="D191" i="35"/>
  <c r="H190" i="35"/>
  <c r="A191" i="35" s="1"/>
  <c r="G190" i="35"/>
  <c r="F190" i="35"/>
  <c r="D190" i="35"/>
  <c r="H189" i="35"/>
  <c r="A190" i="35" s="1"/>
  <c r="G189" i="35"/>
  <c r="F189" i="35"/>
  <c r="D189" i="35"/>
  <c r="H188" i="35"/>
  <c r="A189" i="35" s="1"/>
  <c r="G188" i="35"/>
  <c r="F188" i="35"/>
  <c r="D188" i="35"/>
  <c r="H187" i="35"/>
  <c r="A188" i="35" s="1"/>
  <c r="G187" i="35"/>
  <c r="F187" i="35"/>
  <c r="D187" i="35"/>
  <c r="H186" i="35"/>
  <c r="A187" i="35" s="1"/>
  <c r="G186" i="35"/>
  <c r="F186" i="35"/>
  <c r="D186" i="35"/>
  <c r="H185" i="35"/>
  <c r="A186" i="35" s="1"/>
  <c r="G185" i="35"/>
  <c r="F185" i="35"/>
  <c r="D185" i="35"/>
  <c r="H184" i="35"/>
  <c r="A185" i="35" s="1"/>
  <c r="G184" i="35"/>
  <c r="F184" i="35"/>
  <c r="D184" i="35"/>
  <c r="H183" i="35"/>
  <c r="A184" i="35" s="1"/>
  <c r="G183" i="35"/>
  <c r="F183" i="35"/>
  <c r="D183" i="35"/>
  <c r="A183" i="35"/>
  <c r="H182" i="35"/>
  <c r="G182" i="35"/>
  <c r="F182" i="35"/>
  <c r="D182" i="35"/>
  <c r="H181" i="35"/>
  <c r="A182" i="35" s="1"/>
  <c r="G181" i="35"/>
  <c r="F181" i="35"/>
  <c r="D181" i="35"/>
  <c r="H180" i="35"/>
  <c r="A181" i="35" s="1"/>
  <c r="G180" i="35"/>
  <c r="F180" i="35"/>
  <c r="D180" i="35"/>
  <c r="H179" i="35"/>
  <c r="A180" i="35" s="1"/>
  <c r="G179" i="35"/>
  <c r="F179" i="35"/>
  <c r="D179" i="35"/>
  <c r="H178" i="35"/>
  <c r="A179" i="35" s="1"/>
  <c r="G178" i="35"/>
  <c r="F178" i="35"/>
  <c r="D178" i="35"/>
  <c r="H177" i="35"/>
  <c r="A178" i="35" s="1"/>
  <c r="G177" i="35"/>
  <c r="F177" i="35"/>
  <c r="D177" i="35"/>
  <c r="H176" i="35"/>
  <c r="A177" i="35" s="1"/>
  <c r="G176" i="35"/>
  <c r="F176" i="35"/>
  <c r="D176" i="35"/>
  <c r="H175" i="35"/>
  <c r="A176" i="35" s="1"/>
  <c r="G175" i="35"/>
  <c r="F175" i="35"/>
  <c r="D175" i="35"/>
  <c r="H174" i="35"/>
  <c r="A175" i="35" s="1"/>
  <c r="G174" i="35"/>
  <c r="F174" i="35"/>
  <c r="D174" i="35"/>
  <c r="H173" i="35"/>
  <c r="A174" i="35" s="1"/>
  <c r="G173" i="35"/>
  <c r="F173" i="35"/>
  <c r="D173" i="35"/>
  <c r="H172" i="35"/>
  <c r="A173" i="35" s="1"/>
  <c r="G172" i="35"/>
  <c r="F172" i="35"/>
  <c r="D172" i="35"/>
  <c r="H171" i="35"/>
  <c r="A172" i="35" s="1"/>
  <c r="G171" i="35"/>
  <c r="F171" i="35"/>
  <c r="D171" i="35"/>
  <c r="H170" i="35"/>
  <c r="A171" i="35" s="1"/>
  <c r="G170" i="35"/>
  <c r="F170" i="35"/>
  <c r="D170" i="35"/>
  <c r="H169" i="35"/>
  <c r="A170" i="35" s="1"/>
  <c r="G169" i="35"/>
  <c r="F169" i="35"/>
  <c r="D169" i="35"/>
  <c r="H168" i="35"/>
  <c r="A169" i="35" s="1"/>
  <c r="G168" i="35"/>
  <c r="F168" i="35"/>
  <c r="D168" i="35"/>
  <c r="H167" i="35"/>
  <c r="A168" i="35" s="1"/>
  <c r="G167" i="35"/>
  <c r="F167" i="35"/>
  <c r="D167" i="35"/>
  <c r="A167" i="35"/>
  <c r="H166" i="35"/>
  <c r="G166" i="35"/>
  <c r="F166" i="35"/>
  <c r="D166" i="35"/>
  <c r="H165" i="35"/>
  <c r="A166" i="35" s="1"/>
  <c r="G165" i="35"/>
  <c r="F165" i="35"/>
  <c r="D165" i="35"/>
  <c r="H164" i="35"/>
  <c r="A165" i="35" s="1"/>
  <c r="G164" i="35"/>
  <c r="F164" i="35"/>
  <c r="D164" i="35"/>
  <c r="H163" i="35"/>
  <c r="A164" i="35" s="1"/>
  <c r="G163" i="35"/>
  <c r="F163" i="35"/>
  <c r="D163" i="35"/>
  <c r="A163" i="35"/>
  <c r="H162" i="35"/>
  <c r="G162" i="35"/>
  <c r="F162" i="35"/>
  <c r="D162" i="35"/>
  <c r="H161" i="35"/>
  <c r="A162" i="35" s="1"/>
  <c r="G161" i="35"/>
  <c r="F161" i="35"/>
  <c r="D161" i="35"/>
  <c r="H160" i="35"/>
  <c r="A161" i="35" s="1"/>
  <c r="G160" i="35"/>
  <c r="F160" i="35"/>
  <c r="D160" i="35"/>
  <c r="H159" i="35"/>
  <c r="A160" i="35" s="1"/>
  <c r="G159" i="35"/>
  <c r="F159" i="35"/>
  <c r="D159" i="35"/>
  <c r="H158" i="35"/>
  <c r="A159" i="35" s="1"/>
  <c r="G158" i="35"/>
  <c r="F158" i="35"/>
  <c r="D158" i="35"/>
  <c r="H157" i="35"/>
  <c r="A158" i="35" s="1"/>
  <c r="G157" i="35"/>
  <c r="F157" i="35"/>
  <c r="D157" i="35"/>
  <c r="H156" i="35"/>
  <c r="A157" i="35" s="1"/>
  <c r="G156" i="35"/>
  <c r="F156" i="35"/>
  <c r="D156" i="35"/>
  <c r="H155" i="35"/>
  <c r="A156" i="35" s="1"/>
  <c r="G155" i="35"/>
  <c r="F155" i="35"/>
  <c r="D155" i="35"/>
  <c r="H154" i="35"/>
  <c r="A155" i="35" s="1"/>
  <c r="G154" i="35"/>
  <c r="F154" i="35"/>
  <c r="D154" i="35"/>
  <c r="H153" i="35"/>
  <c r="A154" i="35" s="1"/>
  <c r="G153" i="35"/>
  <c r="F153" i="35"/>
  <c r="D153" i="35"/>
  <c r="H152" i="35"/>
  <c r="A153" i="35" s="1"/>
  <c r="G152" i="35"/>
  <c r="F152" i="35"/>
  <c r="D152" i="35"/>
  <c r="H151" i="35"/>
  <c r="A152" i="35" s="1"/>
  <c r="G151" i="35"/>
  <c r="F151" i="35"/>
  <c r="D151" i="35"/>
  <c r="H150" i="35"/>
  <c r="A151" i="35" s="1"/>
  <c r="G150" i="35"/>
  <c r="F150" i="35"/>
  <c r="D150" i="35"/>
  <c r="H149" i="35"/>
  <c r="A150" i="35" s="1"/>
  <c r="G149" i="35"/>
  <c r="F149" i="35"/>
  <c r="D149" i="35"/>
  <c r="H148" i="35"/>
  <c r="A149" i="35" s="1"/>
  <c r="G148" i="35"/>
  <c r="F148" i="35"/>
  <c r="D148" i="35"/>
  <c r="H147" i="35"/>
  <c r="A148" i="35" s="1"/>
  <c r="G147" i="35"/>
  <c r="F147" i="35"/>
  <c r="D147" i="35"/>
  <c r="H146" i="35"/>
  <c r="A147" i="35" s="1"/>
  <c r="G146" i="35"/>
  <c r="F146" i="35"/>
  <c r="D146" i="35"/>
  <c r="H145" i="35"/>
  <c r="A146" i="35" s="1"/>
  <c r="G145" i="35"/>
  <c r="F145" i="35"/>
  <c r="D145" i="35"/>
  <c r="H144" i="35"/>
  <c r="A145" i="35" s="1"/>
  <c r="G144" i="35"/>
  <c r="F144" i="35"/>
  <c r="D144" i="35"/>
  <c r="H143" i="35"/>
  <c r="A144" i="35" s="1"/>
  <c r="G143" i="35"/>
  <c r="F143" i="35"/>
  <c r="D143" i="35"/>
  <c r="A143" i="35"/>
  <c r="H142" i="35"/>
  <c r="G142" i="35"/>
  <c r="F142" i="35"/>
  <c r="D142" i="35"/>
  <c r="H141" i="35"/>
  <c r="A142" i="35" s="1"/>
  <c r="G141" i="35"/>
  <c r="F141" i="35"/>
  <c r="D141" i="35"/>
  <c r="H140" i="35"/>
  <c r="A141" i="35" s="1"/>
  <c r="G140" i="35"/>
  <c r="F140" i="35"/>
  <c r="D140" i="35"/>
  <c r="H139" i="35"/>
  <c r="A140" i="35" s="1"/>
  <c r="G139" i="35"/>
  <c r="F139" i="35"/>
  <c r="D139" i="35"/>
  <c r="M18" i="35"/>
  <c r="G18" i="35"/>
  <c r="L23" i="35" s="1"/>
  <c r="M19" i="35" s="1"/>
  <c r="B18" i="35"/>
  <c r="H10" i="35"/>
  <c r="H9" i="35"/>
  <c r="H2" i="35"/>
  <c r="AK246" i="13"/>
  <c r="AQ223" i="13"/>
  <c r="AQ256" i="13"/>
  <c r="AQ211" i="13" s="1"/>
  <c r="BF211" i="13" s="1"/>
  <c r="S217" i="24"/>
  <c r="T225" i="24"/>
  <c r="S225" i="24"/>
  <c r="V222" i="24"/>
  <c r="U222" i="24"/>
  <c r="T222" i="24"/>
  <c r="V221" i="24"/>
  <c r="U221" i="24"/>
  <c r="T221" i="24"/>
  <c r="V220" i="24"/>
  <c r="U220" i="24"/>
  <c r="T220" i="24"/>
  <c r="V219" i="24"/>
  <c r="U219" i="24"/>
  <c r="T219" i="24"/>
  <c r="AJ128" i="13"/>
  <c r="AI128" i="13"/>
  <c r="AH128" i="13"/>
  <c r="AG128" i="13"/>
  <c r="AJ127" i="13"/>
  <c r="AI127" i="13"/>
  <c r="AH127" i="13"/>
  <c r="AG127" i="13"/>
  <c r="AJ126" i="13"/>
  <c r="AI126" i="13"/>
  <c r="AH126" i="13"/>
  <c r="AG126" i="13"/>
  <c r="AJ125" i="13"/>
  <c r="AI125" i="13"/>
  <c r="AH125" i="13"/>
  <c r="AG125" i="13"/>
  <c r="AF128" i="13"/>
  <c r="AF125" i="13"/>
  <c r="BG74" i="13" l="1"/>
  <c r="BL52" i="36"/>
  <c r="BL62" i="36" s="1"/>
  <c r="BK52" i="36"/>
  <c r="BK62" i="36" s="1"/>
  <c r="AV9" i="36"/>
  <c r="AW6" i="36"/>
  <c r="BG6" i="36" s="1"/>
  <c r="BN29" i="36"/>
  <c r="BO25" i="36"/>
  <c r="BF8" i="36"/>
  <c r="BF5" i="36"/>
  <c r="BF6" i="36"/>
  <c r="BN19" i="36"/>
  <c r="BW16" i="36"/>
  <c r="BW17" i="36" s="1"/>
  <c r="BX17" i="36" s="1"/>
  <c r="BJ52" i="36"/>
  <c r="BJ62" i="36" s="1"/>
  <c r="AX15" i="36"/>
  <c r="AY12" i="36"/>
  <c r="BA9" i="36"/>
  <c r="AZ12" i="36"/>
  <c r="BN72" i="36"/>
  <c r="BO66" i="36"/>
  <c r="BM40" i="36"/>
  <c r="BM51" i="36" s="1"/>
  <c r="BM73" i="36"/>
  <c r="BM45" i="36" s="1"/>
  <c r="AO216" i="13"/>
  <c r="AV16" i="19" s="1"/>
  <c r="AZ16" i="19" s="1"/>
  <c r="AV32" i="19"/>
  <c r="CM32" i="19" s="1"/>
  <c r="AO75" i="13"/>
  <c r="AO15" i="13" s="1"/>
  <c r="AO16" i="13" s="1"/>
  <c r="AV40" i="19" s="1"/>
  <c r="AV14" i="19"/>
  <c r="AZ14" i="19" s="1"/>
  <c r="AO185" i="13"/>
  <c r="AO291" i="13"/>
  <c r="AO292" i="13" s="1"/>
  <c r="AO114" i="13"/>
  <c r="AO295" i="13"/>
  <c r="AO106" i="13"/>
  <c r="AO201" i="13"/>
  <c r="AO22" i="13" s="1"/>
  <c r="AV29" i="19"/>
  <c r="CM29" i="19" s="1"/>
  <c r="AO284" i="13"/>
  <c r="AO285" i="13" s="1"/>
  <c r="AO286" i="13" s="1"/>
  <c r="AO294" i="13" s="1"/>
  <c r="AO296" i="13" s="1"/>
  <c r="AO51" i="13"/>
  <c r="AP127" i="13"/>
  <c r="AP138" i="13" s="1"/>
  <c r="AX127" i="13"/>
  <c r="AX138" i="13" s="1"/>
  <c r="AZ127" i="13"/>
  <c r="AZ138" i="13" s="1"/>
  <c r="AY127" i="13"/>
  <c r="AY138" i="13" s="1"/>
  <c r="BB127" i="13"/>
  <c r="BB138" i="13" s="1"/>
  <c r="AW127" i="13"/>
  <c r="AW138" i="13" s="1"/>
  <c r="AW240" i="13" s="1"/>
  <c r="BC127" i="13"/>
  <c r="BC138" i="13" s="1"/>
  <c r="BA127" i="13"/>
  <c r="BA138" i="13" s="1"/>
  <c r="BA240" i="13" s="1"/>
  <c r="AP128" i="13"/>
  <c r="AP140" i="13" s="1"/>
  <c r="AO13" i="13"/>
  <c r="AO228" i="13"/>
  <c r="AV19" i="19" s="1"/>
  <c r="AO20" i="13"/>
  <c r="AZ32" i="19"/>
  <c r="AZ33" i="19"/>
  <c r="CM33" i="19"/>
  <c r="AO175" i="13"/>
  <c r="AO176" i="13" s="1"/>
  <c r="AO125" i="13"/>
  <c r="CM30" i="19"/>
  <c r="AZ30" i="19"/>
  <c r="AO188" i="13"/>
  <c r="W223" i="24"/>
  <c r="H18" i="35"/>
  <c r="N18" i="35"/>
  <c r="B19" i="35"/>
  <c r="D14" i="35"/>
  <c r="C19" i="35" s="1"/>
  <c r="U223" i="24"/>
  <c r="V223" i="24"/>
  <c r="T223" i="24"/>
  <c r="BM52" i="36" l="1"/>
  <c r="BM62" i="36" s="1"/>
  <c r="BO72" i="36"/>
  <c r="BP66" i="36"/>
  <c r="BN40" i="36"/>
  <c r="BN73" i="36"/>
  <c r="BN45" i="36" s="1"/>
  <c r="AZ15" i="36"/>
  <c r="BA12" i="36"/>
  <c r="AX27" i="36"/>
  <c r="AY27" i="36" s="1"/>
  <c r="AY15" i="36"/>
  <c r="BN51" i="36"/>
  <c r="BN52" i="36" s="1"/>
  <c r="BN62" i="36" s="1"/>
  <c r="BO19" i="36"/>
  <c r="BP25" i="36"/>
  <c r="BO29" i="36"/>
  <c r="AW9" i="36"/>
  <c r="BG9" i="36" s="1"/>
  <c r="BF9" i="36" s="1"/>
  <c r="AV12" i="36"/>
  <c r="AO141" i="13"/>
  <c r="AV39" i="19"/>
  <c r="AZ39" i="19" s="1"/>
  <c r="CM16" i="19"/>
  <c r="CM14" i="19"/>
  <c r="AZ29" i="19"/>
  <c r="AO147" i="13"/>
  <c r="AV4" i="19"/>
  <c r="AV51" i="19" s="1"/>
  <c r="CM51" i="19" s="1"/>
  <c r="AO186" i="13"/>
  <c r="AO187" i="13" s="1"/>
  <c r="AZ240" i="13"/>
  <c r="AV37" i="19"/>
  <c r="AO14" i="13"/>
  <c r="AV38" i="19" s="1"/>
  <c r="AX240" i="13"/>
  <c r="AO23" i="13"/>
  <c r="AY240" i="13"/>
  <c r="AO78" i="13"/>
  <c r="AV5" i="19" s="1"/>
  <c r="CM5" i="19" s="1"/>
  <c r="AO139" i="13"/>
  <c r="BC240" i="13"/>
  <c r="AO11" i="13"/>
  <c r="AO12" i="13" s="1"/>
  <c r="AV36" i="19" s="1"/>
  <c r="AO21" i="13"/>
  <c r="AO52" i="13"/>
  <c r="AO231" i="13"/>
  <c r="BB240" i="13"/>
  <c r="AZ19" i="19"/>
  <c r="CM19" i="19"/>
  <c r="AZ40" i="19"/>
  <c r="CM40" i="19"/>
  <c r="I19" i="35"/>
  <c r="D19" i="35"/>
  <c r="E19" i="35" s="1"/>
  <c r="O18" i="35"/>
  <c r="AW96" i="27"/>
  <c r="AV96" i="27"/>
  <c r="AU96" i="27"/>
  <c r="AT96" i="27"/>
  <c r="AS96" i="27"/>
  <c r="AR96" i="27"/>
  <c r="AQ96" i="27"/>
  <c r="AW94" i="27"/>
  <c r="AV94" i="27"/>
  <c r="AU94" i="27"/>
  <c r="AT94" i="27"/>
  <c r="AS94" i="27"/>
  <c r="AR94" i="27"/>
  <c r="AQ94" i="27"/>
  <c r="AW93" i="27"/>
  <c r="AV93" i="27"/>
  <c r="AU93" i="27"/>
  <c r="AT93" i="27"/>
  <c r="AS93" i="27"/>
  <c r="AR93" i="27"/>
  <c r="AQ93" i="27"/>
  <c r="AX96" i="27"/>
  <c r="AX94" i="27"/>
  <c r="AX93" i="27"/>
  <c r="BB96" i="27"/>
  <c r="AM128" i="13" s="1"/>
  <c r="BA96" i="27"/>
  <c r="AL128" i="13" s="1"/>
  <c r="AZ96" i="27"/>
  <c r="BB94" i="27"/>
  <c r="BA94" i="27"/>
  <c r="AZ94" i="27"/>
  <c r="BB93" i="27"/>
  <c r="BA93" i="27"/>
  <c r="AZ93" i="27"/>
  <c r="BC96" i="27"/>
  <c r="AN128" i="13" s="1"/>
  <c r="BC94" i="27"/>
  <c r="BC93" i="27"/>
  <c r="AQ288" i="13"/>
  <c r="AP288" i="13"/>
  <c r="AM288" i="13"/>
  <c r="AL288" i="13"/>
  <c r="AK288" i="13"/>
  <c r="AJ288" i="13"/>
  <c r="AN288" i="13"/>
  <c r="CM39" i="19" l="1"/>
  <c r="AV15" i="36"/>
  <c r="AW12" i="36"/>
  <c r="BQ25" i="36"/>
  <c r="BP29" i="36"/>
  <c r="BA15" i="36"/>
  <c r="AZ27" i="36"/>
  <c r="BA27" i="36" s="1"/>
  <c r="BP72" i="36"/>
  <c r="BQ66" i="36"/>
  <c r="BO40" i="36"/>
  <c r="BO73" i="36"/>
  <c r="BO45" i="36" s="1"/>
  <c r="BO51" i="36"/>
  <c r="BO52" i="36" s="1"/>
  <c r="BO62" i="36" s="1"/>
  <c r="BP19" i="36"/>
  <c r="CM4" i="19"/>
  <c r="AV35" i="19"/>
  <c r="AZ35" i="19" s="1"/>
  <c r="AZ37" i="19"/>
  <c r="CM37" i="19"/>
  <c r="AZ38" i="19"/>
  <c r="CM38" i="19"/>
  <c r="AO6" i="13"/>
  <c r="AO79" i="13"/>
  <c r="AV6" i="19" s="1"/>
  <c r="CM6" i="19" s="1"/>
  <c r="AO101" i="13"/>
  <c r="AV7" i="19" s="1"/>
  <c r="CM7" i="19" s="1"/>
  <c r="AZ36" i="19"/>
  <c r="CM36" i="19"/>
  <c r="F19" i="35"/>
  <c r="G19" i="35"/>
  <c r="P18" i="35"/>
  <c r="BC205" i="27"/>
  <c r="BC195" i="27"/>
  <c r="BC175" i="27"/>
  <c r="BC181" i="27" s="1"/>
  <c r="BC161" i="27"/>
  <c r="BC154" i="27"/>
  <c r="BC146" i="27"/>
  <c r="BC122" i="27"/>
  <c r="BC132" i="27" s="1"/>
  <c r="BC109" i="27"/>
  <c r="BC106" i="27"/>
  <c r="BQ19" i="36" l="1"/>
  <c r="BQ72" i="36"/>
  <c r="BR66" i="36"/>
  <c r="BP40" i="36"/>
  <c r="BP51" i="36" s="1"/>
  <c r="BP52" i="36" s="1"/>
  <c r="BP62" i="36" s="1"/>
  <c r="BP73" i="36"/>
  <c r="BP45" i="36" s="1"/>
  <c r="BR25" i="36"/>
  <c r="BQ29" i="36"/>
  <c r="AW15" i="36"/>
  <c r="AV27" i="36"/>
  <c r="CM35" i="19"/>
  <c r="AO115" i="13"/>
  <c r="AV8" i="19" s="1"/>
  <c r="CM8" i="19" s="1"/>
  <c r="AO7" i="13"/>
  <c r="BC133" i="27"/>
  <c r="BC155" i="27" s="1"/>
  <c r="BC182" i="27"/>
  <c r="BC196" i="27" s="1"/>
  <c r="BC206" i="27" s="1"/>
  <c r="H19" i="35"/>
  <c r="A20" i="35" s="1"/>
  <c r="C20" i="35" s="1"/>
  <c r="Q18" i="35"/>
  <c r="BC89" i="27"/>
  <c r="BC83" i="27"/>
  <c r="BC62" i="27"/>
  <c r="BC30" i="27"/>
  <c r="BC21" i="27"/>
  <c r="AN72" i="13"/>
  <c r="BC7" i="27"/>
  <c r="BF30" i="36" l="1"/>
  <c r="AW27" i="36"/>
  <c r="BG27" i="36" s="1"/>
  <c r="BF27" i="36" s="1"/>
  <c r="BR29" i="36"/>
  <c r="BS25" i="36"/>
  <c r="BR72" i="36"/>
  <c r="BS66" i="36"/>
  <c r="BQ40" i="36"/>
  <c r="BQ73" i="36"/>
  <c r="BQ45" i="36" s="1"/>
  <c r="BQ51" i="36"/>
  <c r="BQ52" i="36" s="1"/>
  <c r="BQ62" i="36" s="1"/>
  <c r="BR19" i="36"/>
  <c r="AO122" i="13"/>
  <c r="AO116" i="13"/>
  <c r="AV9" i="19" s="1"/>
  <c r="CM9" i="19" s="1"/>
  <c r="AO134" i="13"/>
  <c r="AV10" i="19" s="1"/>
  <c r="CM10" i="19" s="1"/>
  <c r="AO10" i="13"/>
  <c r="AO8" i="13"/>
  <c r="AO272" i="13"/>
  <c r="AO274" i="13" s="1"/>
  <c r="AO136" i="13"/>
  <c r="AO137" i="13" s="1"/>
  <c r="BC72" i="27"/>
  <c r="BC75" i="27" s="1"/>
  <c r="BC13" i="27"/>
  <c r="B20" i="35"/>
  <c r="I20" i="35" s="1"/>
  <c r="R18" i="35"/>
  <c r="BC90" i="27"/>
  <c r="BS19" i="36" l="1"/>
  <c r="BS72" i="36"/>
  <c r="BT66" i="36"/>
  <c r="BR73" i="36"/>
  <c r="BR45" i="36" s="1"/>
  <c r="BR40" i="36"/>
  <c r="BR51" i="36" s="1"/>
  <c r="BR52" i="36" s="1"/>
  <c r="BR62" i="36" s="1"/>
  <c r="BS29" i="36"/>
  <c r="BT25" i="36"/>
  <c r="AO135" i="13"/>
  <c r="AV11" i="19" s="1"/>
  <c r="CM11" i="19" s="1"/>
  <c r="BC76" i="27"/>
  <c r="BC91" i="27" s="1"/>
  <c r="BC97" i="27" s="1"/>
  <c r="V224" i="24" s="1"/>
  <c r="D20" i="35"/>
  <c r="E20" i="35" s="1"/>
  <c r="S18" i="35"/>
  <c r="AN251" i="13"/>
  <c r="AN227" i="13"/>
  <c r="AN226" i="13"/>
  <c r="AN225" i="13"/>
  <c r="AN224" i="13"/>
  <c r="AN222" i="13"/>
  <c r="AN221" i="13"/>
  <c r="AN215" i="13"/>
  <c r="AN214" i="13"/>
  <c r="AN212" i="13"/>
  <c r="AN208" i="13"/>
  <c r="AN207" i="13"/>
  <c r="AN200" i="13"/>
  <c r="AN199" i="13"/>
  <c r="AN198" i="13"/>
  <c r="AN197" i="13"/>
  <c r="AN196" i="13"/>
  <c r="AN195" i="13"/>
  <c r="AN194" i="13"/>
  <c r="AN193" i="13"/>
  <c r="AN191" i="13"/>
  <c r="AN183" i="13"/>
  <c r="AN289" i="13" s="1"/>
  <c r="AN182" i="13"/>
  <c r="AN181" i="13"/>
  <c r="AN179" i="13"/>
  <c r="AN178" i="13"/>
  <c r="AN174" i="13"/>
  <c r="AN173" i="13"/>
  <c r="AN172" i="13"/>
  <c r="AN171" i="13"/>
  <c r="AN170" i="13"/>
  <c r="AN168" i="13"/>
  <c r="AN167" i="13"/>
  <c r="AN166" i="13"/>
  <c r="AN165" i="13"/>
  <c r="AN164" i="13"/>
  <c r="AN163" i="13"/>
  <c r="AN162" i="13"/>
  <c r="AN161" i="13"/>
  <c r="AN160" i="13"/>
  <c r="AN159" i="13"/>
  <c r="AN158" i="13"/>
  <c r="AU14" i="19" s="1"/>
  <c r="AN127" i="13"/>
  <c r="AN138" i="13" s="1"/>
  <c r="AN240" i="13" s="1"/>
  <c r="AN126" i="13"/>
  <c r="AN113" i="13"/>
  <c r="AN109" i="13"/>
  <c r="AN277" i="13" s="1"/>
  <c r="AN108" i="13"/>
  <c r="AN104" i="13"/>
  <c r="AN98" i="13"/>
  <c r="AN97" i="13"/>
  <c r="AN87" i="13"/>
  <c r="AN73" i="13"/>
  <c r="V225" i="24" s="1"/>
  <c r="AN71" i="13"/>
  <c r="AN48" i="13"/>
  <c r="AP48" i="13" s="1"/>
  <c r="AN47" i="13"/>
  <c r="AN51" i="13" s="1"/>
  <c r="AN52" i="13" s="1"/>
  <c r="AM73" i="13"/>
  <c r="U225" i="24" s="1"/>
  <c r="BT29" i="36" l="1"/>
  <c r="BU25" i="36"/>
  <c r="BU29" i="36" s="1"/>
  <c r="BT72" i="36"/>
  <c r="BU66" i="36"/>
  <c r="BU72" i="36" s="1"/>
  <c r="BS73" i="36"/>
  <c r="BS45" i="36" s="1"/>
  <c r="BS40" i="36"/>
  <c r="BT19" i="36"/>
  <c r="BS51" i="36"/>
  <c r="BS52" i="36" s="1"/>
  <c r="BS62" i="36" s="1"/>
  <c r="AN106" i="13"/>
  <c r="V226" i="24"/>
  <c r="AN295" i="13"/>
  <c r="F20" i="35"/>
  <c r="G20" i="35"/>
  <c r="T18" i="35"/>
  <c r="AN114" i="13"/>
  <c r="AN201" i="13"/>
  <c r="AN22" i="13" s="1"/>
  <c r="AN291" i="13"/>
  <c r="AN292" i="13" s="1"/>
  <c r="AN185" i="13"/>
  <c r="AN20" i="13"/>
  <c r="AN21" i="13" s="1"/>
  <c r="AN284" i="13"/>
  <c r="AN285" i="13" s="1"/>
  <c r="AN286" i="13" s="1"/>
  <c r="AN13" i="13"/>
  <c r="AN14" i="13" s="1"/>
  <c r="AN228" i="13"/>
  <c r="AN231" i="13" s="1"/>
  <c r="AN175" i="13"/>
  <c r="AN75" i="13"/>
  <c r="AN15" i="13" s="1"/>
  <c r="AN11" i="13"/>
  <c r="AN147" i="13"/>
  <c r="AN139" i="13"/>
  <c r="AN216" i="13"/>
  <c r="AN188" i="13"/>
  <c r="AN125" i="13"/>
  <c r="BU19" i="36" l="1"/>
  <c r="BU73" i="36"/>
  <c r="BU45" i="36" s="1"/>
  <c r="BU40" i="36"/>
  <c r="BT73" i="36"/>
  <c r="BT45" i="36" s="1"/>
  <c r="BT40" i="36"/>
  <c r="BT51" i="36" s="1"/>
  <c r="BT52" i="36" s="1"/>
  <c r="BT62" i="36" s="1"/>
  <c r="AN12" i="13"/>
  <c r="AN16" i="13"/>
  <c r="AN23" i="13"/>
  <c r="AN176" i="13"/>
  <c r="H20" i="35"/>
  <c r="A21" i="35" s="1"/>
  <c r="C21" i="35" s="1"/>
  <c r="U18" i="35"/>
  <c r="AN294" i="13"/>
  <c r="AN296" i="13" s="1"/>
  <c r="AN186" i="13"/>
  <c r="AN187" i="13" s="1"/>
  <c r="AN78" i="13"/>
  <c r="AN80" i="13" s="1"/>
  <c r="BU51" i="36" l="1"/>
  <c r="B21" i="35"/>
  <c r="I21" i="35" s="1"/>
  <c r="V18" i="35"/>
  <c r="AN6" i="13"/>
  <c r="AN101" i="13"/>
  <c r="AN102" i="13" s="1"/>
  <c r="AN79" i="13"/>
  <c r="BU52" i="36" l="1"/>
  <c r="BU62" i="36" s="1"/>
  <c r="BW62" i="36" s="1"/>
  <c r="BW51" i="36"/>
  <c r="BX51" i="36" s="1"/>
  <c r="AN115" i="13"/>
  <c r="AN117" i="13" s="1"/>
  <c r="AN7" i="13"/>
  <c r="D21" i="35"/>
  <c r="E21" i="35" s="1"/>
  <c r="W18" i="35"/>
  <c r="BW63" i="36" l="1"/>
  <c r="AN116" i="13"/>
  <c r="AN122" i="13"/>
  <c r="AN8" i="13"/>
  <c r="AN10" i="13"/>
  <c r="AN236" i="13"/>
  <c r="G21" i="35"/>
  <c r="F21" i="35"/>
  <c r="H21" i="35" s="1"/>
  <c r="A22" i="35" s="1"/>
  <c r="C22" i="35" s="1"/>
  <c r="AQ2" i="19"/>
  <c r="AR2" i="19" s="1"/>
  <c r="AS2" i="19" s="1"/>
  <c r="AT2" i="19" s="1"/>
  <c r="AU2" i="19" s="1"/>
  <c r="AU33" i="19"/>
  <c r="AU30" i="19"/>
  <c r="AV31" i="19" s="1"/>
  <c r="G18" i="32"/>
  <c r="H18" i="32" s="1"/>
  <c r="H798" i="32"/>
  <c r="G798" i="32"/>
  <c r="F798" i="32"/>
  <c r="D798" i="32"/>
  <c r="H797" i="32"/>
  <c r="A798" i="32" s="1"/>
  <c r="G797" i="32"/>
  <c r="F797" i="32"/>
  <c r="D797" i="32"/>
  <c r="H796" i="32"/>
  <c r="A797" i="32" s="1"/>
  <c r="G796" i="32"/>
  <c r="F796" i="32"/>
  <c r="D796" i="32"/>
  <c r="H795" i="32"/>
  <c r="A796" i="32" s="1"/>
  <c r="G795" i="32"/>
  <c r="F795" i="32"/>
  <c r="D795" i="32"/>
  <c r="H794" i="32"/>
  <c r="A795" i="32" s="1"/>
  <c r="G794" i="32"/>
  <c r="F794" i="32"/>
  <c r="D794" i="32"/>
  <c r="H793" i="32"/>
  <c r="A794" i="32" s="1"/>
  <c r="G793" i="32"/>
  <c r="F793" i="32"/>
  <c r="D793" i="32"/>
  <c r="H792" i="32"/>
  <c r="A793" i="32" s="1"/>
  <c r="G792" i="32"/>
  <c r="F792" i="32"/>
  <c r="D792" i="32"/>
  <c r="H791" i="32"/>
  <c r="A792" i="32" s="1"/>
  <c r="G791" i="32"/>
  <c r="F791" i="32"/>
  <c r="D791" i="32"/>
  <c r="H790" i="32"/>
  <c r="A791" i="32" s="1"/>
  <c r="G790" i="32"/>
  <c r="F790" i="32"/>
  <c r="D790" i="32"/>
  <c r="H789" i="32"/>
  <c r="A790" i="32" s="1"/>
  <c r="G789" i="32"/>
  <c r="F789" i="32"/>
  <c r="D789" i="32"/>
  <c r="A789" i="32"/>
  <c r="H788" i="32"/>
  <c r="G788" i="32"/>
  <c r="F788" i="32"/>
  <c r="D788" i="32"/>
  <c r="H787" i="32"/>
  <c r="A788" i="32" s="1"/>
  <c r="G787" i="32"/>
  <c r="F787" i="32"/>
  <c r="D787" i="32"/>
  <c r="H786" i="32"/>
  <c r="A787" i="32" s="1"/>
  <c r="G786" i="32"/>
  <c r="F786" i="32"/>
  <c r="D786" i="32"/>
  <c r="H785" i="32"/>
  <c r="A786" i="32" s="1"/>
  <c r="G785" i="32"/>
  <c r="F785" i="32"/>
  <c r="D785" i="32"/>
  <c r="H784" i="32"/>
  <c r="A785" i="32" s="1"/>
  <c r="G784" i="32"/>
  <c r="F784" i="32"/>
  <c r="D784" i="32"/>
  <c r="H783" i="32"/>
  <c r="A784" i="32" s="1"/>
  <c r="G783" i="32"/>
  <c r="F783" i="32"/>
  <c r="D783" i="32"/>
  <c r="H782" i="32"/>
  <c r="A783" i="32" s="1"/>
  <c r="G782" i="32"/>
  <c r="F782" i="32"/>
  <c r="D782" i="32"/>
  <c r="H781" i="32"/>
  <c r="A782" i="32" s="1"/>
  <c r="G781" i="32"/>
  <c r="F781" i="32"/>
  <c r="D781" i="32"/>
  <c r="H780" i="32"/>
  <c r="A781" i="32" s="1"/>
  <c r="G780" i="32"/>
  <c r="F780" i="32"/>
  <c r="D780" i="32"/>
  <c r="A780" i="32"/>
  <c r="H779" i="32"/>
  <c r="G779" i="32"/>
  <c r="F779" i="32"/>
  <c r="D779" i="32"/>
  <c r="H778" i="32"/>
  <c r="A779" i="32" s="1"/>
  <c r="G778" i="32"/>
  <c r="F778" i="32"/>
  <c r="D778" i="32"/>
  <c r="H777" i="32"/>
  <c r="A778" i="32" s="1"/>
  <c r="G777" i="32"/>
  <c r="F777" i="32"/>
  <c r="D777" i="32"/>
  <c r="H776" i="32"/>
  <c r="A777" i="32" s="1"/>
  <c r="G776" i="32"/>
  <c r="F776" i="32"/>
  <c r="D776" i="32"/>
  <c r="H775" i="32"/>
  <c r="A776" i="32" s="1"/>
  <c r="G775" i="32"/>
  <c r="F775" i="32"/>
  <c r="D775" i="32"/>
  <c r="H774" i="32"/>
  <c r="A775" i="32" s="1"/>
  <c r="G774" i="32"/>
  <c r="F774" i="32"/>
  <c r="D774" i="32"/>
  <c r="H773" i="32"/>
  <c r="A774" i="32" s="1"/>
  <c r="G773" i="32"/>
  <c r="F773" i="32"/>
  <c r="D773" i="32"/>
  <c r="H772" i="32"/>
  <c r="A773" i="32" s="1"/>
  <c r="G772" i="32"/>
  <c r="F772" i="32"/>
  <c r="D772" i="32"/>
  <c r="H771" i="32"/>
  <c r="A772" i="32" s="1"/>
  <c r="G771" i="32"/>
  <c r="F771" i="32"/>
  <c r="D771" i="32"/>
  <c r="A771" i="32"/>
  <c r="H770" i="32"/>
  <c r="G770" i="32"/>
  <c r="F770" i="32"/>
  <c r="D770" i="32"/>
  <c r="H769" i="32"/>
  <c r="A770" i="32" s="1"/>
  <c r="G769" i="32"/>
  <c r="F769" i="32"/>
  <c r="D769" i="32"/>
  <c r="H768" i="32"/>
  <c r="A769" i="32" s="1"/>
  <c r="G768" i="32"/>
  <c r="F768" i="32"/>
  <c r="D768" i="32"/>
  <c r="H767" i="32"/>
  <c r="A768" i="32" s="1"/>
  <c r="G767" i="32"/>
  <c r="F767" i="32"/>
  <c r="D767" i="32"/>
  <c r="H766" i="32"/>
  <c r="A767" i="32" s="1"/>
  <c r="G766" i="32"/>
  <c r="F766" i="32"/>
  <c r="D766" i="32"/>
  <c r="H765" i="32"/>
  <c r="A766" i="32" s="1"/>
  <c r="G765" i="32"/>
  <c r="F765" i="32"/>
  <c r="D765" i="32"/>
  <c r="H764" i="32"/>
  <c r="A765" i="32" s="1"/>
  <c r="G764" i="32"/>
  <c r="F764" i="32"/>
  <c r="D764" i="32"/>
  <c r="H763" i="32"/>
  <c r="A764" i="32" s="1"/>
  <c r="G763" i="32"/>
  <c r="F763" i="32"/>
  <c r="D763" i="32"/>
  <c r="A763" i="32"/>
  <c r="H762" i="32"/>
  <c r="G762" i="32"/>
  <c r="F762" i="32"/>
  <c r="D762" i="32"/>
  <c r="H761" i="32"/>
  <c r="A762" i="32" s="1"/>
  <c r="G761" i="32"/>
  <c r="F761" i="32"/>
  <c r="D761" i="32"/>
  <c r="H760" i="32"/>
  <c r="A761" i="32" s="1"/>
  <c r="G760" i="32"/>
  <c r="F760" i="32"/>
  <c r="D760" i="32"/>
  <c r="H759" i="32"/>
  <c r="A760" i="32" s="1"/>
  <c r="G759" i="32"/>
  <c r="F759" i="32"/>
  <c r="D759" i="32"/>
  <c r="H758" i="32"/>
  <c r="A759" i="32" s="1"/>
  <c r="G758" i="32"/>
  <c r="F758" i="32"/>
  <c r="D758" i="32"/>
  <c r="H757" i="32"/>
  <c r="A758" i="32" s="1"/>
  <c r="G757" i="32"/>
  <c r="F757" i="32"/>
  <c r="D757" i="32"/>
  <c r="H756" i="32"/>
  <c r="A757" i="32" s="1"/>
  <c r="G756" i="32"/>
  <c r="F756" i="32"/>
  <c r="D756" i="32"/>
  <c r="H755" i="32"/>
  <c r="A756" i="32" s="1"/>
  <c r="G755" i="32"/>
  <c r="F755" i="32"/>
  <c r="D755" i="32"/>
  <c r="H754" i="32"/>
  <c r="A755" i="32" s="1"/>
  <c r="G754" i="32"/>
  <c r="F754" i="32"/>
  <c r="D754" i="32"/>
  <c r="H753" i="32"/>
  <c r="A754" i="32" s="1"/>
  <c r="G753" i="32"/>
  <c r="F753" i="32"/>
  <c r="D753" i="32"/>
  <c r="H752" i="32"/>
  <c r="A753" i="32" s="1"/>
  <c r="G752" i="32"/>
  <c r="F752" i="32"/>
  <c r="D752" i="32"/>
  <c r="H751" i="32"/>
  <c r="A752" i="32" s="1"/>
  <c r="G751" i="32"/>
  <c r="F751" i="32"/>
  <c r="D751" i="32"/>
  <c r="H750" i="32"/>
  <c r="A751" i="32" s="1"/>
  <c r="G750" i="32"/>
  <c r="F750" i="32"/>
  <c r="D750" i="32"/>
  <c r="H749" i="32"/>
  <c r="A750" i="32" s="1"/>
  <c r="G749" i="32"/>
  <c r="F749" i="32"/>
  <c r="D749" i="32"/>
  <c r="H748" i="32"/>
  <c r="A749" i="32" s="1"/>
  <c r="G748" i="32"/>
  <c r="F748" i="32"/>
  <c r="D748" i="32"/>
  <c r="H747" i="32"/>
  <c r="A748" i="32" s="1"/>
  <c r="G747" i="32"/>
  <c r="F747" i="32"/>
  <c r="D747" i="32"/>
  <c r="H746" i="32"/>
  <c r="A747" i="32" s="1"/>
  <c r="G746" i="32"/>
  <c r="F746" i="32"/>
  <c r="D746" i="32"/>
  <c r="H745" i="32"/>
  <c r="A746" i="32" s="1"/>
  <c r="G745" i="32"/>
  <c r="F745" i="32"/>
  <c r="D745" i="32"/>
  <c r="A745" i="32"/>
  <c r="H744" i="32"/>
  <c r="G744" i="32"/>
  <c r="F744" i="32"/>
  <c r="D744" i="32"/>
  <c r="H743" i="32"/>
  <c r="A744" i="32" s="1"/>
  <c r="G743" i="32"/>
  <c r="F743" i="32"/>
  <c r="D743" i="32"/>
  <c r="A743" i="32"/>
  <c r="H742" i="32"/>
  <c r="G742" i="32"/>
  <c r="F742" i="32"/>
  <c r="D742" i="32"/>
  <c r="H741" i="32"/>
  <c r="A742" i="32" s="1"/>
  <c r="G741" i="32"/>
  <c r="F741" i="32"/>
  <c r="D741" i="32"/>
  <c r="H740" i="32"/>
  <c r="A741" i="32" s="1"/>
  <c r="G740" i="32"/>
  <c r="F740" i="32"/>
  <c r="D740" i="32"/>
  <c r="A740" i="32"/>
  <c r="H739" i="32"/>
  <c r="G739" i="32"/>
  <c r="F739" i="32"/>
  <c r="D739" i="32"/>
  <c r="A739" i="32"/>
  <c r="H738" i="32"/>
  <c r="G738" i="32"/>
  <c r="F738" i="32"/>
  <c r="D738" i="32"/>
  <c r="H737" i="32"/>
  <c r="A738" i="32" s="1"/>
  <c r="G737" i="32"/>
  <c r="F737" i="32"/>
  <c r="D737" i="32"/>
  <c r="H736" i="32"/>
  <c r="A737" i="32" s="1"/>
  <c r="G736" i="32"/>
  <c r="F736" i="32"/>
  <c r="D736" i="32"/>
  <c r="H735" i="32"/>
  <c r="A736" i="32" s="1"/>
  <c r="G735" i="32"/>
  <c r="F735" i="32"/>
  <c r="D735" i="32"/>
  <c r="H734" i="32"/>
  <c r="A735" i="32" s="1"/>
  <c r="G734" i="32"/>
  <c r="F734" i="32"/>
  <c r="D734" i="32"/>
  <c r="H733" i="32"/>
  <c r="A734" i="32" s="1"/>
  <c r="G733" i="32"/>
  <c r="F733" i="32"/>
  <c r="D733" i="32"/>
  <c r="H732" i="32"/>
  <c r="A733" i="32" s="1"/>
  <c r="G732" i="32"/>
  <c r="F732" i="32"/>
  <c r="D732" i="32"/>
  <c r="H731" i="32"/>
  <c r="A732" i="32" s="1"/>
  <c r="G731" i="32"/>
  <c r="F731" i="32"/>
  <c r="D731" i="32"/>
  <c r="A731" i="32"/>
  <c r="H730" i="32"/>
  <c r="G730" i="32"/>
  <c r="F730" i="32"/>
  <c r="D730" i="32"/>
  <c r="H729" i="32"/>
  <c r="A730" i="32" s="1"/>
  <c r="G729" i="32"/>
  <c r="F729" i="32"/>
  <c r="D729" i="32"/>
  <c r="H728" i="32"/>
  <c r="A729" i="32" s="1"/>
  <c r="G728" i="32"/>
  <c r="F728" i="32"/>
  <c r="D728" i="32"/>
  <c r="H727" i="32"/>
  <c r="A728" i="32" s="1"/>
  <c r="G727" i="32"/>
  <c r="F727" i="32"/>
  <c r="D727" i="32"/>
  <c r="H726" i="32"/>
  <c r="A727" i="32" s="1"/>
  <c r="G726" i="32"/>
  <c r="F726" i="32"/>
  <c r="D726" i="32"/>
  <c r="H725" i="32"/>
  <c r="A726" i="32" s="1"/>
  <c r="G725" i="32"/>
  <c r="F725" i="32"/>
  <c r="D725" i="32"/>
  <c r="H724" i="32"/>
  <c r="A725" i="32" s="1"/>
  <c r="G724" i="32"/>
  <c r="F724" i="32"/>
  <c r="D724" i="32"/>
  <c r="H723" i="32"/>
  <c r="A724" i="32" s="1"/>
  <c r="G723" i="32"/>
  <c r="F723" i="32"/>
  <c r="D723" i="32"/>
  <c r="H722" i="32"/>
  <c r="A723" i="32" s="1"/>
  <c r="G722" i="32"/>
  <c r="F722" i="32"/>
  <c r="D722" i="32"/>
  <c r="H721" i="32"/>
  <c r="A722" i="32" s="1"/>
  <c r="G721" i="32"/>
  <c r="F721" i="32"/>
  <c r="D721" i="32"/>
  <c r="A721" i="32"/>
  <c r="H720" i="32"/>
  <c r="G720" i="32"/>
  <c r="F720" i="32"/>
  <c r="D720" i="32"/>
  <c r="H719" i="32"/>
  <c r="A720" i="32" s="1"/>
  <c r="G719" i="32"/>
  <c r="F719" i="32"/>
  <c r="D719" i="32"/>
  <c r="H718" i="32"/>
  <c r="A719" i="32" s="1"/>
  <c r="G718" i="32"/>
  <c r="F718" i="32"/>
  <c r="D718" i="32"/>
  <c r="H717" i="32"/>
  <c r="A718" i="32" s="1"/>
  <c r="G717" i="32"/>
  <c r="F717" i="32"/>
  <c r="D717" i="32"/>
  <c r="H716" i="32"/>
  <c r="A717" i="32" s="1"/>
  <c r="G716" i="32"/>
  <c r="F716" i="32"/>
  <c r="D716" i="32"/>
  <c r="H715" i="32"/>
  <c r="A716" i="32" s="1"/>
  <c r="G715" i="32"/>
  <c r="F715" i="32"/>
  <c r="D715" i="32"/>
  <c r="H714" i="32"/>
  <c r="A715" i="32" s="1"/>
  <c r="G714" i="32"/>
  <c r="F714" i="32"/>
  <c r="D714" i="32"/>
  <c r="H713" i="32"/>
  <c r="A714" i="32" s="1"/>
  <c r="G713" i="32"/>
  <c r="F713" i="32"/>
  <c r="D713" i="32"/>
  <c r="H712" i="32"/>
  <c r="A713" i="32" s="1"/>
  <c r="G712" i="32"/>
  <c r="F712" i="32"/>
  <c r="D712" i="32"/>
  <c r="A712" i="32"/>
  <c r="H711" i="32"/>
  <c r="G711" i="32"/>
  <c r="F711" i="32"/>
  <c r="D711" i="32"/>
  <c r="H710" i="32"/>
  <c r="A711" i="32" s="1"/>
  <c r="G710" i="32"/>
  <c r="F710" i="32"/>
  <c r="D710" i="32"/>
  <c r="H709" i="32"/>
  <c r="A710" i="32" s="1"/>
  <c r="G709" i="32"/>
  <c r="F709" i="32"/>
  <c r="D709" i="32"/>
  <c r="H708" i="32"/>
  <c r="A709" i="32" s="1"/>
  <c r="G708" i="32"/>
  <c r="F708" i="32"/>
  <c r="D708" i="32"/>
  <c r="H707" i="32"/>
  <c r="A708" i="32" s="1"/>
  <c r="G707" i="32"/>
  <c r="F707" i="32"/>
  <c r="D707" i="32"/>
  <c r="H706" i="32"/>
  <c r="A707" i="32" s="1"/>
  <c r="G706" i="32"/>
  <c r="F706" i="32"/>
  <c r="D706" i="32"/>
  <c r="H705" i="32"/>
  <c r="A706" i="32" s="1"/>
  <c r="G705" i="32"/>
  <c r="F705" i="32"/>
  <c r="D705" i="32"/>
  <c r="H704" i="32"/>
  <c r="A705" i="32" s="1"/>
  <c r="G704" i="32"/>
  <c r="F704" i="32"/>
  <c r="D704" i="32"/>
  <c r="H703" i="32"/>
  <c r="A704" i="32" s="1"/>
  <c r="G703" i="32"/>
  <c r="F703" i="32"/>
  <c r="D703" i="32"/>
  <c r="A703" i="32"/>
  <c r="H702" i="32"/>
  <c r="G702" i="32"/>
  <c r="F702" i="32"/>
  <c r="D702" i="32"/>
  <c r="H701" i="32"/>
  <c r="A702" i="32" s="1"/>
  <c r="G701" i="32"/>
  <c r="F701" i="32"/>
  <c r="D701" i="32"/>
  <c r="H700" i="32"/>
  <c r="A701" i="32" s="1"/>
  <c r="G700" i="32"/>
  <c r="F700" i="32"/>
  <c r="D700" i="32"/>
  <c r="H699" i="32"/>
  <c r="A700" i="32" s="1"/>
  <c r="G699" i="32"/>
  <c r="F699" i="32"/>
  <c r="D699" i="32"/>
  <c r="H698" i="32"/>
  <c r="A699" i="32" s="1"/>
  <c r="G698" i="32"/>
  <c r="F698" i="32"/>
  <c r="D698" i="32"/>
  <c r="H697" i="32"/>
  <c r="A698" i="32" s="1"/>
  <c r="G697" i="32"/>
  <c r="F697" i="32"/>
  <c r="D697" i="32"/>
  <c r="H696" i="32"/>
  <c r="A697" i="32" s="1"/>
  <c r="G696" i="32"/>
  <c r="F696" i="32"/>
  <c r="D696" i="32"/>
  <c r="H695" i="32"/>
  <c r="A696" i="32" s="1"/>
  <c r="G695" i="32"/>
  <c r="F695" i="32"/>
  <c r="D695" i="32"/>
  <c r="A695" i="32"/>
  <c r="H694" i="32"/>
  <c r="G694" i="32"/>
  <c r="F694" i="32"/>
  <c r="D694" i="32"/>
  <c r="H693" i="32"/>
  <c r="A694" i="32" s="1"/>
  <c r="G693" i="32"/>
  <c r="F693" i="32"/>
  <c r="D693" i="32"/>
  <c r="H692" i="32"/>
  <c r="A693" i="32" s="1"/>
  <c r="G692" i="32"/>
  <c r="F692" i="32"/>
  <c r="D692" i="32"/>
  <c r="H691" i="32"/>
  <c r="A692" i="32" s="1"/>
  <c r="G691" i="32"/>
  <c r="F691" i="32"/>
  <c r="D691" i="32"/>
  <c r="A691" i="32"/>
  <c r="H690" i="32"/>
  <c r="G690" i="32"/>
  <c r="F690" i="32"/>
  <c r="D690" i="32"/>
  <c r="H689" i="32"/>
  <c r="A690" i="32" s="1"/>
  <c r="G689" i="32"/>
  <c r="F689" i="32"/>
  <c r="D689" i="32"/>
  <c r="H688" i="32"/>
  <c r="A689" i="32" s="1"/>
  <c r="G688" i="32"/>
  <c r="F688" i="32"/>
  <c r="D688" i="32"/>
  <c r="H687" i="32"/>
  <c r="A688" i="32" s="1"/>
  <c r="G687" i="32"/>
  <c r="F687" i="32"/>
  <c r="D687" i="32"/>
  <c r="H686" i="32"/>
  <c r="A687" i="32" s="1"/>
  <c r="G686" i="32"/>
  <c r="F686" i="32"/>
  <c r="D686" i="32"/>
  <c r="H685" i="32"/>
  <c r="A686" i="32" s="1"/>
  <c r="G685" i="32"/>
  <c r="F685" i="32"/>
  <c r="D685" i="32"/>
  <c r="A685" i="32"/>
  <c r="H684" i="32"/>
  <c r="G684" i="32"/>
  <c r="F684" i="32"/>
  <c r="D684" i="32"/>
  <c r="H683" i="32"/>
  <c r="A684" i="32" s="1"/>
  <c r="G683" i="32"/>
  <c r="F683" i="32"/>
  <c r="D683" i="32"/>
  <c r="H682" i="32"/>
  <c r="A683" i="32" s="1"/>
  <c r="G682" i="32"/>
  <c r="F682" i="32"/>
  <c r="D682" i="32"/>
  <c r="H681" i="32"/>
  <c r="A682" i="32" s="1"/>
  <c r="G681" i="32"/>
  <c r="F681" i="32"/>
  <c r="D681" i="32"/>
  <c r="H680" i="32"/>
  <c r="A681" i="32" s="1"/>
  <c r="G680" i="32"/>
  <c r="F680" i="32"/>
  <c r="D680" i="32"/>
  <c r="H679" i="32"/>
  <c r="A680" i="32" s="1"/>
  <c r="G679" i="32"/>
  <c r="F679" i="32"/>
  <c r="D679" i="32"/>
  <c r="H678" i="32"/>
  <c r="A679" i="32" s="1"/>
  <c r="G678" i="32"/>
  <c r="F678" i="32"/>
  <c r="D678" i="32"/>
  <c r="H677" i="32"/>
  <c r="A678" i="32" s="1"/>
  <c r="G677" i="32"/>
  <c r="F677" i="32"/>
  <c r="D677" i="32"/>
  <c r="H676" i="32"/>
  <c r="A677" i="32" s="1"/>
  <c r="G676" i="32"/>
  <c r="F676" i="32"/>
  <c r="D676" i="32"/>
  <c r="H675" i="32"/>
  <c r="A676" i="32" s="1"/>
  <c r="G675" i="32"/>
  <c r="F675" i="32"/>
  <c r="D675" i="32"/>
  <c r="H674" i="32"/>
  <c r="A675" i="32" s="1"/>
  <c r="G674" i="32"/>
  <c r="F674" i="32"/>
  <c r="D674" i="32"/>
  <c r="H673" i="32"/>
  <c r="A674" i="32" s="1"/>
  <c r="G673" i="32"/>
  <c r="F673" i="32"/>
  <c r="D673" i="32"/>
  <c r="H672" i="32"/>
  <c r="A673" i="32" s="1"/>
  <c r="G672" i="32"/>
  <c r="F672" i="32"/>
  <c r="D672" i="32"/>
  <c r="H671" i="32"/>
  <c r="A672" i="32" s="1"/>
  <c r="G671" i="32"/>
  <c r="F671" i="32"/>
  <c r="D671" i="32"/>
  <c r="H670" i="32"/>
  <c r="A671" i="32" s="1"/>
  <c r="G670" i="32"/>
  <c r="F670" i="32"/>
  <c r="D670" i="32"/>
  <c r="H669" i="32"/>
  <c r="A670" i="32" s="1"/>
  <c r="G669" i="32"/>
  <c r="F669" i="32"/>
  <c r="D669" i="32"/>
  <c r="H668" i="32"/>
  <c r="A669" i="32" s="1"/>
  <c r="G668" i="32"/>
  <c r="F668" i="32"/>
  <c r="D668" i="32"/>
  <c r="A668" i="32"/>
  <c r="H667" i="32"/>
  <c r="G667" i="32"/>
  <c r="F667" i="32"/>
  <c r="D667" i="32"/>
  <c r="A667" i="32"/>
  <c r="H666" i="32"/>
  <c r="G666" i="32"/>
  <c r="F666" i="32"/>
  <c r="D666" i="32"/>
  <c r="H665" i="32"/>
  <c r="A666" i="32" s="1"/>
  <c r="G665" i="32"/>
  <c r="F665" i="32"/>
  <c r="D665" i="32"/>
  <c r="H664" i="32"/>
  <c r="A665" i="32" s="1"/>
  <c r="G664" i="32"/>
  <c r="F664" i="32"/>
  <c r="D664" i="32"/>
  <c r="H663" i="32"/>
  <c r="A664" i="32" s="1"/>
  <c r="G663" i="32"/>
  <c r="F663" i="32"/>
  <c r="D663" i="32"/>
  <c r="H662" i="32"/>
  <c r="A663" i="32" s="1"/>
  <c r="G662" i="32"/>
  <c r="F662" i="32"/>
  <c r="D662" i="32"/>
  <c r="H661" i="32"/>
  <c r="A662" i="32" s="1"/>
  <c r="G661" i="32"/>
  <c r="F661" i="32"/>
  <c r="D661" i="32"/>
  <c r="H660" i="32"/>
  <c r="A661" i="32" s="1"/>
  <c r="G660" i="32"/>
  <c r="F660" i="32"/>
  <c r="D660" i="32"/>
  <c r="A660" i="32"/>
  <c r="H659" i="32"/>
  <c r="G659" i="32"/>
  <c r="F659" i="32"/>
  <c r="D659" i="32"/>
  <c r="H658" i="32"/>
  <c r="A659" i="32" s="1"/>
  <c r="G658" i="32"/>
  <c r="F658" i="32"/>
  <c r="D658" i="32"/>
  <c r="H657" i="32"/>
  <c r="A658" i="32" s="1"/>
  <c r="G657" i="32"/>
  <c r="F657" i="32"/>
  <c r="D657" i="32"/>
  <c r="H656" i="32"/>
  <c r="A657" i="32" s="1"/>
  <c r="G656" i="32"/>
  <c r="F656" i="32"/>
  <c r="D656" i="32"/>
  <c r="H655" i="32"/>
  <c r="A656" i="32" s="1"/>
  <c r="G655" i="32"/>
  <c r="F655" i="32"/>
  <c r="D655" i="32"/>
  <c r="H654" i="32"/>
  <c r="A655" i="32" s="1"/>
  <c r="G654" i="32"/>
  <c r="F654" i="32"/>
  <c r="D654" i="32"/>
  <c r="H653" i="32"/>
  <c r="A654" i="32" s="1"/>
  <c r="G653" i="32"/>
  <c r="F653" i="32"/>
  <c r="D653" i="32"/>
  <c r="H652" i="32"/>
  <c r="A653" i="32" s="1"/>
  <c r="G652" i="32"/>
  <c r="F652" i="32"/>
  <c r="D652" i="32"/>
  <c r="H651" i="32"/>
  <c r="A652" i="32" s="1"/>
  <c r="G651" i="32"/>
  <c r="F651" i="32"/>
  <c r="D651" i="32"/>
  <c r="H650" i="32"/>
  <c r="A651" i="32" s="1"/>
  <c r="G650" i="32"/>
  <c r="F650" i="32"/>
  <c r="D650" i="32"/>
  <c r="H649" i="32"/>
  <c r="A650" i="32" s="1"/>
  <c r="G649" i="32"/>
  <c r="F649" i="32"/>
  <c r="D649" i="32"/>
  <c r="H648" i="32"/>
  <c r="A649" i="32" s="1"/>
  <c r="G648" i="32"/>
  <c r="F648" i="32"/>
  <c r="D648" i="32"/>
  <c r="H647" i="32"/>
  <c r="A648" i="32" s="1"/>
  <c r="G647" i="32"/>
  <c r="F647" i="32"/>
  <c r="D647" i="32"/>
  <c r="H646" i="32"/>
  <c r="A647" i="32" s="1"/>
  <c r="G646" i="32"/>
  <c r="F646" i="32"/>
  <c r="D646" i="32"/>
  <c r="H645" i="32"/>
  <c r="A646" i="32" s="1"/>
  <c r="G645" i="32"/>
  <c r="F645" i="32"/>
  <c r="D645" i="32"/>
  <c r="H644" i="32"/>
  <c r="A645" i="32" s="1"/>
  <c r="G644" i="32"/>
  <c r="F644" i="32"/>
  <c r="D644" i="32"/>
  <c r="H643" i="32"/>
  <c r="A644" i="32" s="1"/>
  <c r="G643" i="32"/>
  <c r="F643" i="32"/>
  <c r="D643" i="32"/>
  <c r="H642" i="32"/>
  <c r="A643" i="32" s="1"/>
  <c r="G642" i="32"/>
  <c r="F642" i="32"/>
  <c r="D642" i="32"/>
  <c r="H641" i="32"/>
  <c r="A642" i="32" s="1"/>
  <c r="G641" i="32"/>
  <c r="F641" i="32"/>
  <c r="D641" i="32"/>
  <c r="A641" i="32"/>
  <c r="H640" i="32"/>
  <c r="G640" i="32"/>
  <c r="F640" i="32"/>
  <c r="D640" i="32"/>
  <c r="H639" i="32"/>
  <c r="A640" i="32" s="1"/>
  <c r="G639" i="32"/>
  <c r="F639" i="32"/>
  <c r="D639" i="32"/>
  <c r="H638" i="32"/>
  <c r="A639" i="32" s="1"/>
  <c r="G638" i="32"/>
  <c r="F638" i="32"/>
  <c r="D638" i="32"/>
  <c r="H637" i="32"/>
  <c r="A638" i="32" s="1"/>
  <c r="G637" i="32"/>
  <c r="F637" i="32"/>
  <c r="D637" i="32"/>
  <c r="H636" i="32"/>
  <c r="A637" i="32" s="1"/>
  <c r="G636" i="32"/>
  <c r="F636" i="32"/>
  <c r="D636" i="32"/>
  <c r="H635" i="32"/>
  <c r="A636" i="32" s="1"/>
  <c r="G635" i="32"/>
  <c r="F635" i="32"/>
  <c r="D635" i="32"/>
  <c r="H634" i="32"/>
  <c r="A635" i="32" s="1"/>
  <c r="G634" i="32"/>
  <c r="F634" i="32"/>
  <c r="D634" i="32"/>
  <c r="H633" i="32"/>
  <c r="A634" i="32" s="1"/>
  <c r="G633" i="32"/>
  <c r="F633" i="32"/>
  <c r="D633" i="32"/>
  <c r="H632" i="32"/>
  <c r="A633" i="32" s="1"/>
  <c r="G632" i="32"/>
  <c r="F632" i="32"/>
  <c r="D632" i="32"/>
  <c r="H631" i="32"/>
  <c r="A632" i="32" s="1"/>
  <c r="G631" i="32"/>
  <c r="F631" i="32"/>
  <c r="D631" i="32"/>
  <c r="H630" i="32"/>
  <c r="A631" i="32" s="1"/>
  <c r="G630" i="32"/>
  <c r="F630" i="32"/>
  <c r="D630" i="32"/>
  <c r="H629" i="32"/>
  <c r="A630" i="32" s="1"/>
  <c r="G629" i="32"/>
  <c r="F629" i="32"/>
  <c r="D629" i="32"/>
  <c r="H628" i="32"/>
  <c r="A629" i="32" s="1"/>
  <c r="G628" i="32"/>
  <c r="F628" i="32"/>
  <c r="D628" i="32"/>
  <c r="H627" i="32"/>
  <c r="A628" i="32" s="1"/>
  <c r="G627" i="32"/>
  <c r="F627" i="32"/>
  <c r="D627" i="32"/>
  <c r="H626" i="32"/>
  <c r="A627" i="32" s="1"/>
  <c r="G626" i="32"/>
  <c r="F626" i="32"/>
  <c r="D626" i="32"/>
  <c r="H625" i="32"/>
  <c r="A626" i="32" s="1"/>
  <c r="G625" i="32"/>
  <c r="F625" i="32"/>
  <c r="D625" i="32"/>
  <c r="H624" i="32"/>
  <c r="A625" i="32" s="1"/>
  <c r="G624" i="32"/>
  <c r="F624" i="32"/>
  <c r="D624" i="32"/>
  <c r="H623" i="32"/>
  <c r="A624" i="32" s="1"/>
  <c r="G623" i="32"/>
  <c r="F623" i="32"/>
  <c r="D623" i="32"/>
  <c r="H622" i="32"/>
  <c r="A623" i="32" s="1"/>
  <c r="G622" i="32"/>
  <c r="F622" i="32"/>
  <c r="D622" i="32"/>
  <c r="H621" i="32"/>
  <c r="A622" i="32" s="1"/>
  <c r="G621" i="32"/>
  <c r="F621" i="32"/>
  <c r="D621" i="32"/>
  <c r="H620" i="32"/>
  <c r="A621" i="32" s="1"/>
  <c r="G620" i="32"/>
  <c r="F620" i="32"/>
  <c r="D620" i="32"/>
  <c r="H619" i="32"/>
  <c r="A620" i="32" s="1"/>
  <c r="G619" i="32"/>
  <c r="F619" i="32"/>
  <c r="D619" i="32"/>
  <c r="H618" i="32"/>
  <c r="A619" i="32" s="1"/>
  <c r="G618" i="32"/>
  <c r="F618" i="32"/>
  <c r="D618" i="32"/>
  <c r="H617" i="32"/>
  <c r="A618" i="32" s="1"/>
  <c r="G617" i="32"/>
  <c r="F617" i="32"/>
  <c r="D617" i="32"/>
  <c r="H616" i="32"/>
  <c r="A617" i="32" s="1"/>
  <c r="G616" i="32"/>
  <c r="F616" i="32"/>
  <c r="D616" i="32"/>
  <c r="H615" i="32"/>
  <c r="A616" i="32" s="1"/>
  <c r="G615" i="32"/>
  <c r="F615" i="32"/>
  <c r="D615" i="32"/>
  <c r="H614" i="32"/>
  <c r="A615" i="32" s="1"/>
  <c r="G614" i="32"/>
  <c r="F614" i="32"/>
  <c r="D614" i="32"/>
  <c r="H613" i="32"/>
  <c r="A614" i="32" s="1"/>
  <c r="G613" i="32"/>
  <c r="F613" i="32"/>
  <c r="D613" i="32"/>
  <c r="H612" i="32"/>
  <c r="A613" i="32" s="1"/>
  <c r="G612" i="32"/>
  <c r="F612" i="32"/>
  <c r="D612" i="32"/>
  <c r="H611" i="32"/>
  <c r="A612" i="32" s="1"/>
  <c r="G611" i="32"/>
  <c r="F611" i="32"/>
  <c r="D611" i="32"/>
  <c r="H610" i="32"/>
  <c r="A611" i="32" s="1"/>
  <c r="G610" i="32"/>
  <c r="F610" i="32"/>
  <c r="D610" i="32"/>
  <c r="H609" i="32"/>
  <c r="A610" i="32" s="1"/>
  <c r="G609" i="32"/>
  <c r="F609" i="32"/>
  <c r="D609" i="32"/>
  <c r="H608" i="32"/>
  <c r="A609" i="32" s="1"/>
  <c r="G608" i="32"/>
  <c r="F608" i="32"/>
  <c r="D608" i="32"/>
  <c r="H607" i="32"/>
  <c r="A608" i="32" s="1"/>
  <c r="G607" i="32"/>
  <c r="F607" i="32"/>
  <c r="D607" i="32"/>
  <c r="H606" i="32"/>
  <c r="A607" i="32" s="1"/>
  <c r="G606" i="32"/>
  <c r="F606" i="32"/>
  <c r="D606" i="32"/>
  <c r="H605" i="32"/>
  <c r="A606" i="32" s="1"/>
  <c r="G605" i="32"/>
  <c r="F605" i="32"/>
  <c r="D605" i="32"/>
  <c r="H604" i="32"/>
  <c r="A605" i="32" s="1"/>
  <c r="G604" i="32"/>
  <c r="F604" i="32"/>
  <c r="D604" i="32"/>
  <c r="H603" i="32"/>
  <c r="A604" i="32" s="1"/>
  <c r="G603" i="32"/>
  <c r="F603" i="32"/>
  <c r="D603" i="32"/>
  <c r="H602" i="32"/>
  <c r="A603" i="32" s="1"/>
  <c r="G602" i="32"/>
  <c r="F602" i="32"/>
  <c r="D602" i="32"/>
  <c r="H601" i="32"/>
  <c r="A602" i="32" s="1"/>
  <c r="G601" i="32"/>
  <c r="F601" i="32"/>
  <c r="D601" i="32"/>
  <c r="H600" i="32"/>
  <c r="A601" i="32" s="1"/>
  <c r="G600" i="32"/>
  <c r="F600" i="32"/>
  <c r="D600" i="32"/>
  <c r="H599" i="32"/>
  <c r="A600" i="32" s="1"/>
  <c r="G599" i="32"/>
  <c r="F599" i="32"/>
  <c r="D599" i="32"/>
  <c r="H598" i="32"/>
  <c r="A599" i="32" s="1"/>
  <c r="G598" i="32"/>
  <c r="F598" i="32"/>
  <c r="D598" i="32"/>
  <c r="H597" i="32"/>
  <c r="A598" i="32" s="1"/>
  <c r="G597" i="32"/>
  <c r="F597" i="32"/>
  <c r="D597" i="32"/>
  <c r="H596" i="32"/>
  <c r="A597" i="32" s="1"/>
  <c r="G596" i="32"/>
  <c r="F596" i="32"/>
  <c r="D596" i="32"/>
  <c r="H595" i="32"/>
  <c r="A596" i="32" s="1"/>
  <c r="G595" i="32"/>
  <c r="F595" i="32"/>
  <c r="D595" i="32"/>
  <c r="A595" i="32"/>
  <c r="H594" i="32"/>
  <c r="G594" i="32"/>
  <c r="F594" i="32"/>
  <c r="D594" i="32"/>
  <c r="H593" i="32"/>
  <c r="A594" i="32" s="1"/>
  <c r="G593" i="32"/>
  <c r="F593" i="32"/>
  <c r="D593" i="32"/>
  <c r="H592" i="32"/>
  <c r="A593" i="32" s="1"/>
  <c r="G592" i="32"/>
  <c r="F592" i="32"/>
  <c r="D592" i="32"/>
  <c r="H591" i="32"/>
  <c r="A592" i="32" s="1"/>
  <c r="G591" i="32"/>
  <c r="F591" i="32"/>
  <c r="D591" i="32"/>
  <c r="H590" i="32"/>
  <c r="A591" i="32" s="1"/>
  <c r="G590" i="32"/>
  <c r="F590" i="32"/>
  <c r="D590" i="32"/>
  <c r="H589" i="32"/>
  <c r="A590" i="32" s="1"/>
  <c r="G589" i="32"/>
  <c r="F589" i="32"/>
  <c r="D589" i="32"/>
  <c r="H588" i="32"/>
  <c r="A589" i="32" s="1"/>
  <c r="G588" i="32"/>
  <c r="F588" i="32"/>
  <c r="D588" i="32"/>
  <c r="H587" i="32"/>
  <c r="A588" i="32" s="1"/>
  <c r="G587" i="32"/>
  <c r="F587" i="32"/>
  <c r="D587" i="32"/>
  <c r="H586" i="32"/>
  <c r="A587" i="32" s="1"/>
  <c r="G586" i="32"/>
  <c r="F586" i="32"/>
  <c r="D586" i="32"/>
  <c r="H585" i="32"/>
  <c r="A586" i="32" s="1"/>
  <c r="G585" i="32"/>
  <c r="F585" i="32"/>
  <c r="D585" i="32"/>
  <c r="H584" i="32"/>
  <c r="A585" i="32" s="1"/>
  <c r="G584" i="32"/>
  <c r="F584" i="32"/>
  <c r="D584" i="32"/>
  <c r="H583" i="32"/>
  <c r="A584" i="32" s="1"/>
  <c r="G583" i="32"/>
  <c r="F583" i="32"/>
  <c r="D583" i="32"/>
  <c r="H582" i="32"/>
  <c r="A583" i="32" s="1"/>
  <c r="G582" i="32"/>
  <c r="F582" i="32"/>
  <c r="D582" i="32"/>
  <c r="H581" i="32"/>
  <c r="A582" i="32" s="1"/>
  <c r="G581" i="32"/>
  <c r="F581" i="32"/>
  <c r="D581" i="32"/>
  <c r="H580" i="32"/>
  <c r="A581" i="32" s="1"/>
  <c r="G580" i="32"/>
  <c r="F580" i="32"/>
  <c r="D580" i="32"/>
  <c r="A580" i="32"/>
  <c r="H579" i="32"/>
  <c r="G579" i="32"/>
  <c r="F579" i="32"/>
  <c r="D579" i="32"/>
  <c r="H578" i="32"/>
  <c r="A579" i="32" s="1"/>
  <c r="G578" i="32"/>
  <c r="F578" i="32"/>
  <c r="D578" i="32"/>
  <c r="H577" i="32"/>
  <c r="A578" i="32" s="1"/>
  <c r="G577" i="32"/>
  <c r="F577" i="32"/>
  <c r="D577" i="32"/>
  <c r="H576" i="32"/>
  <c r="A577" i="32" s="1"/>
  <c r="G576" i="32"/>
  <c r="F576" i="32"/>
  <c r="D576" i="32"/>
  <c r="H575" i="32"/>
  <c r="A576" i="32" s="1"/>
  <c r="G575" i="32"/>
  <c r="F575" i="32"/>
  <c r="D575" i="32"/>
  <c r="H574" i="32"/>
  <c r="A575" i="32" s="1"/>
  <c r="G574" i="32"/>
  <c r="F574" i="32"/>
  <c r="D574" i="32"/>
  <c r="H573" i="32"/>
  <c r="A574" i="32" s="1"/>
  <c r="G573" i="32"/>
  <c r="F573" i="32"/>
  <c r="D573" i="32"/>
  <c r="H572" i="32"/>
  <c r="A573" i="32" s="1"/>
  <c r="G572" i="32"/>
  <c r="F572" i="32"/>
  <c r="D572" i="32"/>
  <c r="H571" i="32"/>
  <c r="A572" i="32" s="1"/>
  <c r="G571" i="32"/>
  <c r="F571" i="32"/>
  <c r="D571" i="32"/>
  <c r="H570" i="32"/>
  <c r="A571" i="32" s="1"/>
  <c r="G570" i="32"/>
  <c r="F570" i="32"/>
  <c r="D570" i="32"/>
  <c r="H569" i="32"/>
  <c r="A570" i="32" s="1"/>
  <c r="G569" i="32"/>
  <c r="F569" i="32"/>
  <c r="D569" i="32"/>
  <c r="H568" i="32"/>
  <c r="A569" i="32" s="1"/>
  <c r="G568" i="32"/>
  <c r="F568" i="32"/>
  <c r="D568" i="32"/>
  <c r="H567" i="32"/>
  <c r="A568" i="32" s="1"/>
  <c r="G567" i="32"/>
  <c r="F567" i="32"/>
  <c r="D567" i="32"/>
  <c r="A567" i="32"/>
  <c r="H566" i="32"/>
  <c r="G566" i="32"/>
  <c r="F566" i="32"/>
  <c r="D566" i="32"/>
  <c r="H565" i="32"/>
  <c r="A566" i="32" s="1"/>
  <c r="G565" i="32"/>
  <c r="F565" i="32"/>
  <c r="D565" i="32"/>
  <c r="H564" i="32"/>
  <c r="A565" i="32" s="1"/>
  <c r="G564" i="32"/>
  <c r="F564" i="32"/>
  <c r="D564" i="32"/>
  <c r="H563" i="32"/>
  <c r="A564" i="32" s="1"/>
  <c r="G563" i="32"/>
  <c r="F563" i="32"/>
  <c r="D563" i="32"/>
  <c r="A563" i="32"/>
  <c r="H562" i="32"/>
  <c r="G562" i="32"/>
  <c r="F562" i="32"/>
  <c r="D562" i="32"/>
  <c r="H561" i="32"/>
  <c r="A562" i="32" s="1"/>
  <c r="G561" i="32"/>
  <c r="F561" i="32"/>
  <c r="D561" i="32"/>
  <c r="H560" i="32"/>
  <c r="A561" i="32" s="1"/>
  <c r="G560" i="32"/>
  <c r="F560" i="32"/>
  <c r="D560" i="32"/>
  <c r="H559" i="32"/>
  <c r="A560" i="32" s="1"/>
  <c r="G559" i="32"/>
  <c r="F559" i="32"/>
  <c r="D559" i="32"/>
  <c r="H558" i="32"/>
  <c r="A559" i="32" s="1"/>
  <c r="G558" i="32"/>
  <c r="F558" i="32"/>
  <c r="D558" i="32"/>
  <c r="H557" i="32"/>
  <c r="A558" i="32" s="1"/>
  <c r="G557" i="32"/>
  <c r="F557" i="32"/>
  <c r="D557" i="32"/>
  <c r="H556" i="32"/>
  <c r="A557" i="32" s="1"/>
  <c r="G556" i="32"/>
  <c r="F556" i="32"/>
  <c r="D556" i="32"/>
  <c r="H555" i="32"/>
  <c r="A556" i="32" s="1"/>
  <c r="G555" i="32"/>
  <c r="F555" i="32"/>
  <c r="D555" i="32"/>
  <c r="H554" i="32"/>
  <c r="A555" i="32" s="1"/>
  <c r="G554" i="32"/>
  <c r="F554" i="32"/>
  <c r="D554" i="32"/>
  <c r="H553" i="32"/>
  <c r="A554" i="32" s="1"/>
  <c r="G553" i="32"/>
  <c r="F553" i="32"/>
  <c r="D553" i="32"/>
  <c r="H552" i="32"/>
  <c r="A553" i="32" s="1"/>
  <c r="G552" i="32"/>
  <c r="F552" i="32"/>
  <c r="D552" i="32"/>
  <c r="H551" i="32"/>
  <c r="A552" i="32" s="1"/>
  <c r="G551" i="32"/>
  <c r="F551" i="32"/>
  <c r="D551" i="32"/>
  <c r="H550" i="32"/>
  <c r="A551" i="32" s="1"/>
  <c r="G550" i="32"/>
  <c r="F550" i="32"/>
  <c r="D550" i="32"/>
  <c r="H549" i="32"/>
  <c r="A550" i="32" s="1"/>
  <c r="G549" i="32"/>
  <c r="F549" i="32"/>
  <c r="D549" i="32"/>
  <c r="A549" i="32"/>
  <c r="H548" i="32"/>
  <c r="G548" i="32"/>
  <c r="F548" i="32"/>
  <c r="D548" i="32"/>
  <c r="H547" i="32"/>
  <c r="A548" i="32" s="1"/>
  <c r="G547" i="32"/>
  <c r="F547" i="32"/>
  <c r="D547" i="32"/>
  <c r="A547" i="32"/>
  <c r="H546" i="32"/>
  <c r="G546" i="32"/>
  <c r="F546" i="32"/>
  <c r="D546" i="32"/>
  <c r="H545" i="32"/>
  <c r="A546" i="32" s="1"/>
  <c r="G545" i="32"/>
  <c r="F545" i="32"/>
  <c r="D545" i="32"/>
  <c r="H544" i="32"/>
  <c r="A545" i="32" s="1"/>
  <c r="G544" i="32"/>
  <c r="F544" i="32"/>
  <c r="D544" i="32"/>
  <c r="H543" i="32"/>
  <c r="A544" i="32" s="1"/>
  <c r="G543" i="32"/>
  <c r="F543" i="32"/>
  <c r="D543" i="32"/>
  <c r="H542" i="32"/>
  <c r="A543" i="32" s="1"/>
  <c r="G542" i="32"/>
  <c r="F542" i="32"/>
  <c r="D542" i="32"/>
  <c r="H541" i="32"/>
  <c r="A542" i="32" s="1"/>
  <c r="G541" i="32"/>
  <c r="F541" i="32"/>
  <c r="D541" i="32"/>
  <c r="H540" i="32"/>
  <c r="A541" i="32" s="1"/>
  <c r="G540" i="32"/>
  <c r="F540" i="32"/>
  <c r="D540" i="32"/>
  <c r="H539" i="32"/>
  <c r="A540" i="32" s="1"/>
  <c r="G539" i="32"/>
  <c r="F539" i="32"/>
  <c r="D539" i="32"/>
  <c r="A539" i="32"/>
  <c r="H538" i="32"/>
  <c r="G538" i="32"/>
  <c r="F538" i="32"/>
  <c r="D538" i="32"/>
  <c r="H537" i="32"/>
  <c r="A538" i="32" s="1"/>
  <c r="G537" i="32"/>
  <c r="F537" i="32"/>
  <c r="D537" i="32"/>
  <c r="H536" i="32"/>
  <c r="A537" i="32" s="1"/>
  <c r="G536" i="32"/>
  <c r="F536" i="32"/>
  <c r="D536" i="32"/>
  <c r="H535" i="32"/>
  <c r="A536" i="32" s="1"/>
  <c r="G535" i="32"/>
  <c r="F535" i="32"/>
  <c r="D535" i="32"/>
  <c r="H534" i="32"/>
  <c r="A535" i="32" s="1"/>
  <c r="G534" i="32"/>
  <c r="F534" i="32"/>
  <c r="D534" i="32"/>
  <c r="H533" i="32"/>
  <c r="A534" i="32" s="1"/>
  <c r="G533" i="32"/>
  <c r="F533" i="32"/>
  <c r="D533" i="32"/>
  <c r="H532" i="32"/>
  <c r="A533" i="32" s="1"/>
  <c r="G532" i="32"/>
  <c r="F532" i="32"/>
  <c r="D532" i="32"/>
  <c r="H531" i="32"/>
  <c r="A532" i="32" s="1"/>
  <c r="G531" i="32"/>
  <c r="F531" i="32"/>
  <c r="D531" i="32"/>
  <c r="H530" i="32"/>
  <c r="A531" i="32" s="1"/>
  <c r="G530" i="32"/>
  <c r="F530" i="32"/>
  <c r="D530" i="32"/>
  <c r="H529" i="32"/>
  <c r="A530" i="32" s="1"/>
  <c r="G529" i="32"/>
  <c r="F529" i="32"/>
  <c r="D529" i="32"/>
  <c r="H528" i="32"/>
  <c r="A529" i="32" s="1"/>
  <c r="G528" i="32"/>
  <c r="F528" i="32"/>
  <c r="D528" i="32"/>
  <c r="A528" i="32"/>
  <c r="H527" i="32"/>
  <c r="G527" i="32"/>
  <c r="F527" i="32"/>
  <c r="D527" i="32"/>
  <c r="H526" i="32"/>
  <c r="A527" i="32" s="1"/>
  <c r="G526" i="32"/>
  <c r="F526" i="32"/>
  <c r="D526" i="32"/>
  <c r="H525" i="32"/>
  <c r="A526" i="32" s="1"/>
  <c r="G525" i="32"/>
  <c r="F525" i="32"/>
  <c r="D525" i="32"/>
  <c r="A525" i="32"/>
  <c r="H524" i="32"/>
  <c r="G524" i="32"/>
  <c r="F524" i="32"/>
  <c r="D524" i="32"/>
  <c r="H523" i="32"/>
  <c r="A524" i="32" s="1"/>
  <c r="G523" i="32"/>
  <c r="F523" i="32"/>
  <c r="D523" i="32"/>
  <c r="H522" i="32"/>
  <c r="A523" i="32" s="1"/>
  <c r="G522" i="32"/>
  <c r="F522" i="32"/>
  <c r="D522" i="32"/>
  <c r="H521" i="32"/>
  <c r="A522" i="32" s="1"/>
  <c r="G521" i="32"/>
  <c r="F521" i="32"/>
  <c r="D521" i="32"/>
  <c r="A521" i="32"/>
  <c r="H520" i="32"/>
  <c r="G520" i="32"/>
  <c r="F520" i="32"/>
  <c r="D520" i="32"/>
  <c r="H519" i="32"/>
  <c r="A520" i="32" s="1"/>
  <c r="G519" i="32"/>
  <c r="F519" i="32"/>
  <c r="D519" i="32"/>
  <c r="H518" i="32"/>
  <c r="A519" i="32" s="1"/>
  <c r="G518" i="32"/>
  <c r="F518" i="32"/>
  <c r="D518" i="32"/>
  <c r="H517" i="32"/>
  <c r="A518" i="32" s="1"/>
  <c r="G517" i="32"/>
  <c r="F517" i="32"/>
  <c r="D517" i="32"/>
  <c r="H516" i="32"/>
  <c r="A517" i="32" s="1"/>
  <c r="G516" i="32"/>
  <c r="F516" i="32"/>
  <c r="D516" i="32"/>
  <c r="H515" i="32"/>
  <c r="A516" i="32" s="1"/>
  <c r="G515" i="32"/>
  <c r="F515" i="32"/>
  <c r="D515" i="32"/>
  <c r="H514" i="32"/>
  <c r="A515" i="32" s="1"/>
  <c r="G514" i="32"/>
  <c r="F514" i="32"/>
  <c r="D514" i="32"/>
  <c r="H513" i="32"/>
  <c r="A514" i="32" s="1"/>
  <c r="G513" i="32"/>
  <c r="F513" i="32"/>
  <c r="D513" i="32"/>
  <c r="H512" i="32"/>
  <c r="A513" i="32" s="1"/>
  <c r="G512" i="32"/>
  <c r="F512" i="32"/>
  <c r="D512" i="32"/>
  <c r="H511" i="32"/>
  <c r="A512" i="32" s="1"/>
  <c r="G511" i="32"/>
  <c r="F511" i="32"/>
  <c r="D511" i="32"/>
  <c r="H510" i="32"/>
  <c r="A511" i="32" s="1"/>
  <c r="G510" i="32"/>
  <c r="F510" i="32"/>
  <c r="D510" i="32"/>
  <c r="H509" i="32"/>
  <c r="A510" i="32" s="1"/>
  <c r="G509" i="32"/>
  <c r="F509" i="32"/>
  <c r="D509" i="32"/>
  <c r="H508" i="32"/>
  <c r="A509" i="32" s="1"/>
  <c r="G508" i="32"/>
  <c r="F508" i="32"/>
  <c r="D508" i="32"/>
  <c r="H507" i="32"/>
  <c r="A508" i="32" s="1"/>
  <c r="G507" i="32"/>
  <c r="F507" i="32"/>
  <c r="D507" i="32"/>
  <c r="H506" i="32"/>
  <c r="A507" i="32" s="1"/>
  <c r="G506" i="32"/>
  <c r="F506" i="32"/>
  <c r="D506" i="32"/>
  <c r="H505" i="32"/>
  <c r="A506" i="32" s="1"/>
  <c r="G505" i="32"/>
  <c r="F505" i="32"/>
  <c r="D505" i="32"/>
  <c r="H504" i="32"/>
  <c r="A505" i="32" s="1"/>
  <c r="G504" i="32"/>
  <c r="F504" i="32"/>
  <c r="D504" i="32"/>
  <c r="H503" i="32"/>
  <c r="A504" i="32" s="1"/>
  <c r="G503" i="32"/>
  <c r="F503" i="32"/>
  <c r="D503" i="32"/>
  <c r="H502" i="32"/>
  <c r="A503" i="32" s="1"/>
  <c r="G502" i="32"/>
  <c r="F502" i="32"/>
  <c r="D502" i="32"/>
  <c r="H501" i="32"/>
  <c r="A502" i="32" s="1"/>
  <c r="G501" i="32"/>
  <c r="F501" i="32"/>
  <c r="D501" i="32"/>
  <c r="H500" i="32"/>
  <c r="A501" i="32" s="1"/>
  <c r="G500" i="32"/>
  <c r="F500" i="32"/>
  <c r="D500" i="32"/>
  <c r="H499" i="32"/>
  <c r="A500" i="32" s="1"/>
  <c r="G499" i="32"/>
  <c r="F499" i="32"/>
  <c r="D499" i="32"/>
  <c r="H498" i="32"/>
  <c r="A499" i="32" s="1"/>
  <c r="G498" i="32"/>
  <c r="F498" i="32"/>
  <c r="D498" i="32"/>
  <c r="H497" i="32"/>
  <c r="A498" i="32" s="1"/>
  <c r="G497" i="32"/>
  <c r="F497" i="32"/>
  <c r="D497" i="32"/>
  <c r="H496" i="32"/>
  <c r="A497" i="32" s="1"/>
  <c r="G496" i="32"/>
  <c r="F496" i="32"/>
  <c r="D496" i="32"/>
  <c r="H495" i="32"/>
  <c r="A496" i="32" s="1"/>
  <c r="G495" i="32"/>
  <c r="F495" i="32"/>
  <c r="D495" i="32"/>
  <c r="H494" i="32"/>
  <c r="A495" i="32" s="1"/>
  <c r="G494" i="32"/>
  <c r="F494" i="32"/>
  <c r="D494" i="32"/>
  <c r="H493" i="32"/>
  <c r="A494" i="32" s="1"/>
  <c r="G493" i="32"/>
  <c r="F493" i="32"/>
  <c r="D493" i="32"/>
  <c r="H492" i="32"/>
  <c r="A493" i="32" s="1"/>
  <c r="G492" i="32"/>
  <c r="F492" i="32"/>
  <c r="D492" i="32"/>
  <c r="H491" i="32"/>
  <c r="A492" i="32" s="1"/>
  <c r="G491" i="32"/>
  <c r="F491" i="32"/>
  <c r="D491" i="32"/>
  <c r="H490" i="32"/>
  <c r="A491" i="32" s="1"/>
  <c r="G490" i="32"/>
  <c r="F490" i="32"/>
  <c r="D490" i="32"/>
  <c r="H489" i="32"/>
  <c r="A490" i="32" s="1"/>
  <c r="G489" i="32"/>
  <c r="F489" i="32"/>
  <c r="D489" i="32"/>
  <c r="H488" i="32"/>
  <c r="A489" i="32" s="1"/>
  <c r="G488" i="32"/>
  <c r="F488" i="32"/>
  <c r="D488" i="32"/>
  <c r="H487" i="32"/>
  <c r="A488" i="32" s="1"/>
  <c r="G487" i="32"/>
  <c r="F487" i="32"/>
  <c r="D487" i="32"/>
  <c r="H486" i="32"/>
  <c r="A487" i="32" s="1"/>
  <c r="G486" i="32"/>
  <c r="F486" i="32"/>
  <c r="D486" i="32"/>
  <c r="H485" i="32"/>
  <c r="A486" i="32" s="1"/>
  <c r="G485" i="32"/>
  <c r="F485" i="32"/>
  <c r="D485" i="32"/>
  <c r="H484" i="32"/>
  <c r="A485" i="32" s="1"/>
  <c r="G484" i="32"/>
  <c r="F484" i="32"/>
  <c r="D484" i="32"/>
  <c r="H483" i="32"/>
  <c r="A484" i="32" s="1"/>
  <c r="G483" i="32"/>
  <c r="F483" i="32"/>
  <c r="D483" i="32"/>
  <c r="A483" i="32"/>
  <c r="H482" i="32"/>
  <c r="G482" i="32"/>
  <c r="F482" i="32"/>
  <c r="D482" i="32"/>
  <c r="H481" i="32"/>
  <c r="A482" i="32" s="1"/>
  <c r="G481" i="32"/>
  <c r="F481" i="32"/>
  <c r="D481" i="32"/>
  <c r="H480" i="32"/>
  <c r="A481" i="32" s="1"/>
  <c r="G480" i="32"/>
  <c r="F480" i="32"/>
  <c r="D480" i="32"/>
  <c r="H479" i="32"/>
  <c r="A480" i="32" s="1"/>
  <c r="G479" i="32"/>
  <c r="F479" i="32"/>
  <c r="D479" i="32"/>
  <c r="A479" i="32"/>
  <c r="H478" i="32"/>
  <c r="G478" i="32"/>
  <c r="F478" i="32"/>
  <c r="D478" i="32"/>
  <c r="H477" i="32"/>
  <c r="A478" i="32" s="1"/>
  <c r="G477" i="32"/>
  <c r="F477" i="32"/>
  <c r="D477" i="32"/>
  <c r="H476" i="32"/>
  <c r="A477" i="32" s="1"/>
  <c r="G476" i="32"/>
  <c r="F476" i="32"/>
  <c r="D476" i="32"/>
  <c r="H475" i="32"/>
  <c r="A476" i="32" s="1"/>
  <c r="G475" i="32"/>
  <c r="F475" i="32"/>
  <c r="D475" i="32"/>
  <c r="H474" i="32"/>
  <c r="A475" i="32" s="1"/>
  <c r="G474" i="32"/>
  <c r="F474" i="32"/>
  <c r="D474" i="32"/>
  <c r="H473" i="32"/>
  <c r="A474" i="32" s="1"/>
  <c r="G473" i="32"/>
  <c r="F473" i="32"/>
  <c r="D473" i="32"/>
  <c r="H472" i="32"/>
  <c r="A473" i="32" s="1"/>
  <c r="G472" i="32"/>
  <c r="F472" i="32"/>
  <c r="D472" i="32"/>
  <c r="H471" i="32"/>
  <c r="A472" i="32" s="1"/>
  <c r="G471" i="32"/>
  <c r="F471" i="32"/>
  <c r="D471" i="32"/>
  <c r="H470" i="32"/>
  <c r="A471" i="32" s="1"/>
  <c r="G470" i="32"/>
  <c r="F470" i="32"/>
  <c r="D470" i="32"/>
  <c r="H469" i="32"/>
  <c r="A470" i="32" s="1"/>
  <c r="G469" i="32"/>
  <c r="F469" i="32"/>
  <c r="D469" i="32"/>
  <c r="A469" i="32"/>
  <c r="H468" i="32"/>
  <c r="G468" i="32"/>
  <c r="F468" i="32"/>
  <c r="D468" i="32"/>
  <c r="H467" i="32"/>
  <c r="A468" i="32" s="1"/>
  <c r="G467" i="32"/>
  <c r="F467" i="32"/>
  <c r="D467" i="32"/>
  <c r="H466" i="32"/>
  <c r="A467" i="32" s="1"/>
  <c r="G466" i="32"/>
  <c r="F466" i="32"/>
  <c r="D466" i="32"/>
  <c r="H465" i="32"/>
  <c r="A466" i="32" s="1"/>
  <c r="G465" i="32"/>
  <c r="F465" i="32"/>
  <c r="D465" i="32"/>
  <c r="H464" i="32"/>
  <c r="A465" i="32" s="1"/>
  <c r="G464" i="32"/>
  <c r="F464" i="32"/>
  <c r="D464" i="32"/>
  <c r="H463" i="32"/>
  <c r="A464" i="32" s="1"/>
  <c r="G463" i="32"/>
  <c r="F463" i="32"/>
  <c r="D463" i="32"/>
  <c r="H462" i="32"/>
  <c r="A463" i="32" s="1"/>
  <c r="G462" i="32"/>
  <c r="F462" i="32"/>
  <c r="D462" i="32"/>
  <c r="H461" i="32"/>
  <c r="A462" i="32" s="1"/>
  <c r="G461" i="32"/>
  <c r="F461" i="32"/>
  <c r="D461" i="32"/>
  <c r="H460" i="32"/>
  <c r="A461" i="32" s="1"/>
  <c r="G460" i="32"/>
  <c r="F460" i="32"/>
  <c r="D460" i="32"/>
  <c r="H459" i="32"/>
  <c r="A460" i="32" s="1"/>
  <c r="G459" i="32"/>
  <c r="F459" i="32"/>
  <c r="D459" i="32"/>
  <c r="H458" i="32"/>
  <c r="A459" i="32" s="1"/>
  <c r="G458" i="32"/>
  <c r="F458" i="32"/>
  <c r="D458" i="32"/>
  <c r="H457" i="32"/>
  <c r="A458" i="32" s="1"/>
  <c r="G457" i="32"/>
  <c r="F457" i="32"/>
  <c r="D457" i="32"/>
  <c r="H456" i="32"/>
  <c r="A457" i="32" s="1"/>
  <c r="G456" i="32"/>
  <c r="F456" i="32"/>
  <c r="D456" i="32"/>
  <c r="A456" i="32"/>
  <c r="H455" i="32"/>
  <c r="G455" i="32"/>
  <c r="F455" i="32"/>
  <c r="D455" i="32"/>
  <c r="H454" i="32"/>
  <c r="A455" i="32" s="1"/>
  <c r="G454" i="32"/>
  <c r="F454" i="32"/>
  <c r="D454" i="32"/>
  <c r="H453" i="32"/>
  <c r="A454" i="32" s="1"/>
  <c r="G453" i="32"/>
  <c r="F453" i="32"/>
  <c r="D453" i="32"/>
  <c r="H452" i="32"/>
  <c r="A453" i="32" s="1"/>
  <c r="G452" i="32"/>
  <c r="F452" i="32"/>
  <c r="D452" i="32"/>
  <c r="H451" i="32"/>
  <c r="A452" i="32" s="1"/>
  <c r="G451" i="32"/>
  <c r="F451" i="32"/>
  <c r="D451" i="32"/>
  <c r="A451" i="32"/>
  <c r="H450" i="32"/>
  <c r="G450" i="32"/>
  <c r="F450" i="32"/>
  <c r="D450" i="32"/>
  <c r="A450" i="32"/>
  <c r="H449" i="32"/>
  <c r="G449" i="32"/>
  <c r="F449" i="32"/>
  <c r="D449" i="32"/>
  <c r="H448" i="32"/>
  <c r="A449" i="32" s="1"/>
  <c r="G448" i="32"/>
  <c r="F448" i="32"/>
  <c r="D448" i="32"/>
  <c r="H447" i="32"/>
  <c r="A448" i="32" s="1"/>
  <c r="G447" i="32"/>
  <c r="F447" i="32"/>
  <c r="D447" i="32"/>
  <c r="H446" i="32"/>
  <c r="A447" i="32" s="1"/>
  <c r="G446" i="32"/>
  <c r="F446" i="32"/>
  <c r="D446" i="32"/>
  <c r="H445" i="32"/>
  <c r="A446" i="32" s="1"/>
  <c r="G445" i="32"/>
  <c r="F445" i="32"/>
  <c r="D445" i="32"/>
  <c r="H444" i="32"/>
  <c r="A445" i="32" s="1"/>
  <c r="G444" i="32"/>
  <c r="F444" i="32"/>
  <c r="D444" i="32"/>
  <c r="H443" i="32"/>
  <c r="A444" i="32" s="1"/>
  <c r="G443" i="32"/>
  <c r="F443" i="32"/>
  <c r="D443" i="32"/>
  <c r="H442" i="32"/>
  <c r="A443" i="32" s="1"/>
  <c r="G442" i="32"/>
  <c r="F442" i="32"/>
  <c r="D442" i="32"/>
  <c r="A442" i="32"/>
  <c r="H441" i="32"/>
  <c r="G441" i="32"/>
  <c r="F441" i="32"/>
  <c r="D441" i="32"/>
  <c r="H440" i="32"/>
  <c r="A441" i="32" s="1"/>
  <c r="G440" i="32"/>
  <c r="F440" i="32"/>
  <c r="D440" i="32"/>
  <c r="H439" i="32"/>
  <c r="A440" i="32" s="1"/>
  <c r="G439" i="32"/>
  <c r="F439" i="32"/>
  <c r="D439" i="32"/>
  <c r="H438" i="32"/>
  <c r="A439" i="32" s="1"/>
  <c r="G438" i="32"/>
  <c r="F438" i="32"/>
  <c r="D438" i="32"/>
  <c r="A438" i="32"/>
  <c r="H437" i="32"/>
  <c r="G437" i="32"/>
  <c r="F437" i="32"/>
  <c r="D437" i="32"/>
  <c r="H436" i="32"/>
  <c r="A437" i="32" s="1"/>
  <c r="G436" i="32"/>
  <c r="F436" i="32"/>
  <c r="D436" i="32"/>
  <c r="H435" i="32"/>
  <c r="A436" i="32" s="1"/>
  <c r="G435" i="32"/>
  <c r="F435" i="32"/>
  <c r="D435" i="32"/>
  <c r="H434" i="32"/>
  <c r="A435" i="32" s="1"/>
  <c r="G434" i="32"/>
  <c r="F434" i="32"/>
  <c r="D434" i="32"/>
  <c r="A434" i="32"/>
  <c r="H433" i="32"/>
  <c r="G433" i="32"/>
  <c r="F433" i="32"/>
  <c r="D433" i="32"/>
  <c r="H432" i="32"/>
  <c r="A433" i="32" s="1"/>
  <c r="G432" i="32"/>
  <c r="F432" i="32"/>
  <c r="D432" i="32"/>
  <c r="H431" i="32"/>
  <c r="A432" i="32" s="1"/>
  <c r="G431" i="32"/>
  <c r="F431" i="32"/>
  <c r="D431" i="32"/>
  <c r="H430" i="32"/>
  <c r="A431" i="32" s="1"/>
  <c r="G430" i="32"/>
  <c r="F430" i="32"/>
  <c r="D430" i="32"/>
  <c r="H429" i="32"/>
  <c r="A430" i="32" s="1"/>
  <c r="G429" i="32"/>
  <c r="F429" i="32"/>
  <c r="D429" i="32"/>
  <c r="H428" i="32"/>
  <c r="A429" i="32" s="1"/>
  <c r="G428" i="32"/>
  <c r="F428" i="32"/>
  <c r="D428" i="32"/>
  <c r="H427" i="32"/>
  <c r="A428" i="32" s="1"/>
  <c r="G427" i="32"/>
  <c r="F427" i="32"/>
  <c r="D427" i="32"/>
  <c r="H426" i="32"/>
  <c r="A427" i="32" s="1"/>
  <c r="G426" i="32"/>
  <c r="F426" i="32"/>
  <c r="D426" i="32"/>
  <c r="A426" i="32"/>
  <c r="H425" i="32"/>
  <c r="G425" i="32"/>
  <c r="F425" i="32"/>
  <c r="D425" i="32"/>
  <c r="H424" i="32"/>
  <c r="A425" i="32" s="1"/>
  <c r="G424" i="32"/>
  <c r="F424" i="32"/>
  <c r="D424" i="32"/>
  <c r="H423" i="32"/>
  <c r="A424" i="32" s="1"/>
  <c r="G423" i="32"/>
  <c r="F423" i="32"/>
  <c r="D423" i="32"/>
  <c r="H422" i="32"/>
  <c r="A423" i="32" s="1"/>
  <c r="G422" i="32"/>
  <c r="F422" i="32"/>
  <c r="D422" i="32"/>
  <c r="H421" i="32"/>
  <c r="A422" i="32" s="1"/>
  <c r="G421" i="32"/>
  <c r="F421" i="32"/>
  <c r="D421" i="32"/>
  <c r="H420" i="32"/>
  <c r="A421" i="32" s="1"/>
  <c r="G420" i="32"/>
  <c r="F420" i="32"/>
  <c r="D420" i="32"/>
  <c r="H419" i="32"/>
  <c r="A420" i="32" s="1"/>
  <c r="G419" i="32"/>
  <c r="F419" i="32"/>
  <c r="D419" i="32"/>
  <c r="H418" i="32"/>
  <c r="A419" i="32" s="1"/>
  <c r="G418" i="32"/>
  <c r="F418" i="32"/>
  <c r="D418" i="32"/>
  <c r="H417" i="32"/>
  <c r="A418" i="32" s="1"/>
  <c r="G417" i="32"/>
  <c r="F417" i="32"/>
  <c r="D417" i="32"/>
  <c r="H416" i="32"/>
  <c r="A417" i="32" s="1"/>
  <c r="G416" i="32"/>
  <c r="F416" i="32"/>
  <c r="D416" i="32"/>
  <c r="A416" i="32"/>
  <c r="H415" i="32"/>
  <c r="G415" i="32"/>
  <c r="F415" i="32"/>
  <c r="D415" i="32"/>
  <c r="H414" i="32"/>
  <c r="A415" i="32" s="1"/>
  <c r="G414" i="32"/>
  <c r="F414" i="32"/>
  <c r="D414" i="32"/>
  <c r="H413" i="32"/>
  <c r="A414" i="32" s="1"/>
  <c r="G413" i="32"/>
  <c r="F413" i="32"/>
  <c r="D413" i="32"/>
  <c r="H412" i="32"/>
  <c r="A413" i="32" s="1"/>
  <c r="G412" i="32"/>
  <c r="F412" i="32"/>
  <c r="D412" i="32"/>
  <c r="A412" i="32"/>
  <c r="H411" i="32"/>
  <c r="G411" i="32"/>
  <c r="F411" i="32"/>
  <c r="D411" i="32"/>
  <c r="H410" i="32"/>
  <c r="A411" i="32" s="1"/>
  <c r="G410" i="32"/>
  <c r="F410" i="32"/>
  <c r="D410" i="32"/>
  <c r="H409" i="32"/>
  <c r="A410" i="32" s="1"/>
  <c r="G409" i="32"/>
  <c r="F409" i="32"/>
  <c r="D409" i="32"/>
  <c r="H408" i="32"/>
  <c r="A409" i="32" s="1"/>
  <c r="G408" i="32"/>
  <c r="F408" i="32"/>
  <c r="D408" i="32"/>
  <c r="H407" i="32"/>
  <c r="A408" i="32" s="1"/>
  <c r="G407" i="32"/>
  <c r="F407" i="32"/>
  <c r="D407" i="32"/>
  <c r="H406" i="32"/>
  <c r="A407" i="32" s="1"/>
  <c r="G406" i="32"/>
  <c r="F406" i="32"/>
  <c r="D406" i="32"/>
  <c r="H405" i="32"/>
  <c r="A406" i="32" s="1"/>
  <c r="G405" i="32"/>
  <c r="F405" i="32"/>
  <c r="D405" i="32"/>
  <c r="H404" i="32"/>
  <c r="A405" i="32" s="1"/>
  <c r="G404" i="32"/>
  <c r="F404" i="32"/>
  <c r="D404" i="32"/>
  <c r="A404" i="32"/>
  <c r="H403" i="32"/>
  <c r="G403" i="32"/>
  <c r="F403" i="32"/>
  <c r="D403" i="32"/>
  <c r="H402" i="32"/>
  <c r="A403" i="32" s="1"/>
  <c r="G402" i="32"/>
  <c r="F402" i="32"/>
  <c r="D402" i="32"/>
  <c r="H401" i="32"/>
  <c r="A402" i="32" s="1"/>
  <c r="G401" i="32"/>
  <c r="F401" i="32"/>
  <c r="D401" i="32"/>
  <c r="H400" i="32"/>
  <c r="A401" i="32" s="1"/>
  <c r="G400" i="32"/>
  <c r="F400" i="32"/>
  <c r="D400" i="32"/>
  <c r="H399" i="32"/>
  <c r="A400" i="32" s="1"/>
  <c r="G399" i="32"/>
  <c r="F399" i="32"/>
  <c r="D399" i="32"/>
  <c r="H398" i="32"/>
  <c r="A399" i="32" s="1"/>
  <c r="G398" i="32"/>
  <c r="F398" i="32"/>
  <c r="D398" i="32"/>
  <c r="H397" i="32"/>
  <c r="A398" i="32" s="1"/>
  <c r="G397" i="32"/>
  <c r="F397" i="32"/>
  <c r="D397" i="32"/>
  <c r="H396" i="32"/>
  <c r="A397" i="32" s="1"/>
  <c r="G396" i="32"/>
  <c r="F396" i="32"/>
  <c r="D396" i="32"/>
  <c r="H395" i="32"/>
  <c r="A396" i="32" s="1"/>
  <c r="G395" i="32"/>
  <c r="F395" i="32"/>
  <c r="D395" i="32"/>
  <c r="H394" i="32"/>
  <c r="A395" i="32" s="1"/>
  <c r="G394" i="32"/>
  <c r="F394" i="32"/>
  <c r="D394" i="32"/>
  <c r="H393" i="32"/>
  <c r="A394" i="32" s="1"/>
  <c r="G393" i="32"/>
  <c r="F393" i="32"/>
  <c r="D393" i="32"/>
  <c r="H392" i="32"/>
  <c r="A393" i="32" s="1"/>
  <c r="G392" i="32"/>
  <c r="F392" i="32"/>
  <c r="D392" i="32"/>
  <c r="H391" i="32"/>
  <c r="A392" i="32" s="1"/>
  <c r="G391" i="32"/>
  <c r="F391" i="32"/>
  <c r="D391" i="32"/>
  <c r="H390" i="32"/>
  <c r="A391" i="32" s="1"/>
  <c r="G390" i="32"/>
  <c r="F390" i="32"/>
  <c r="D390" i="32"/>
  <c r="A390" i="32"/>
  <c r="H389" i="32"/>
  <c r="G389" i="32"/>
  <c r="F389" i="32"/>
  <c r="D389" i="32"/>
  <c r="H388" i="32"/>
  <c r="A389" i="32" s="1"/>
  <c r="G388" i="32"/>
  <c r="F388" i="32"/>
  <c r="D388" i="32"/>
  <c r="H387" i="32"/>
  <c r="A388" i="32" s="1"/>
  <c r="G387" i="32"/>
  <c r="F387" i="32"/>
  <c r="D387" i="32"/>
  <c r="H386" i="32"/>
  <c r="A387" i="32" s="1"/>
  <c r="G386" i="32"/>
  <c r="F386" i="32"/>
  <c r="D386" i="32"/>
  <c r="H385" i="32"/>
  <c r="A386" i="32" s="1"/>
  <c r="G385" i="32"/>
  <c r="F385" i="32"/>
  <c r="D385" i="32"/>
  <c r="H384" i="32"/>
  <c r="A385" i="32" s="1"/>
  <c r="G384" i="32"/>
  <c r="F384" i="32"/>
  <c r="D384" i="32"/>
  <c r="H383" i="32"/>
  <c r="A384" i="32" s="1"/>
  <c r="G383" i="32"/>
  <c r="F383" i="32"/>
  <c r="D383" i="32"/>
  <c r="H382" i="32"/>
  <c r="A383" i="32" s="1"/>
  <c r="G382" i="32"/>
  <c r="F382" i="32"/>
  <c r="D382" i="32"/>
  <c r="A382" i="32"/>
  <c r="H381" i="32"/>
  <c r="G381" i="32"/>
  <c r="F381" i="32"/>
  <c r="D381" i="32"/>
  <c r="H380" i="32"/>
  <c r="A381" i="32" s="1"/>
  <c r="G380" i="32"/>
  <c r="F380" i="32"/>
  <c r="D380" i="32"/>
  <c r="H379" i="32"/>
  <c r="A380" i="32" s="1"/>
  <c r="G379" i="32"/>
  <c r="F379" i="32"/>
  <c r="D379" i="32"/>
  <c r="H378" i="32"/>
  <c r="A379" i="32" s="1"/>
  <c r="G378" i="32"/>
  <c r="F378" i="32"/>
  <c r="D378" i="32"/>
  <c r="H377" i="32"/>
  <c r="A378" i="32" s="1"/>
  <c r="G377" i="32"/>
  <c r="F377" i="32"/>
  <c r="D377" i="32"/>
  <c r="H376" i="32"/>
  <c r="A377" i="32" s="1"/>
  <c r="G376" i="32"/>
  <c r="F376" i="32"/>
  <c r="D376" i="32"/>
  <c r="H375" i="32"/>
  <c r="A376" i="32" s="1"/>
  <c r="G375" i="32"/>
  <c r="F375" i="32"/>
  <c r="D375" i="32"/>
  <c r="H374" i="32"/>
  <c r="A375" i="32" s="1"/>
  <c r="G374" i="32"/>
  <c r="F374" i="32"/>
  <c r="D374" i="32"/>
  <c r="H373" i="32"/>
  <c r="A374" i="32" s="1"/>
  <c r="G373" i="32"/>
  <c r="F373" i="32"/>
  <c r="D373" i="32"/>
  <c r="H372" i="32"/>
  <c r="A373" i="32" s="1"/>
  <c r="G372" i="32"/>
  <c r="F372" i="32"/>
  <c r="D372" i="32"/>
  <c r="A372" i="32"/>
  <c r="H371" i="32"/>
  <c r="G371" i="32"/>
  <c r="F371" i="32"/>
  <c r="D371" i="32"/>
  <c r="A371" i="32"/>
  <c r="H370" i="32"/>
  <c r="G370" i="32"/>
  <c r="F370" i="32"/>
  <c r="D370" i="32"/>
  <c r="H369" i="32"/>
  <c r="A370" i="32" s="1"/>
  <c r="G369" i="32"/>
  <c r="F369" i="32"/>
  <c r="D369" i="32"/>
  <c r="H368" i="32"/>
  <c r="A369" i="32" s="1"/>
  <c r="G368" i="32"/>
  <c r="F368" i="32"/>
  <c r="D368" i="32"/>
  <c r="A368" i="32"/>
  <c r="H367" i="32"/>
  <c r="G367" i="32"/>
  <c r="F367" i="32"/>
  <c r="D367" i="32"/>
  <c r="H366" i="32"/>
  <c r="A367" i="32" s="1"/>
  <c r="G366" i="32"/>
  <c r="F366" i="32"/>
  <c r="D366" i="32"/>
  <c r="H365" i="32"/>
  <c r="A366" i="32" s="1"/>
  <c r="G365" i="32"/>
  <c r="F365" i="32"/>
  <c r="D365" i="32"/>
  <c r="H364" i="32"/>
  <c r="A365" i="32" s="1"/>
  <c r="G364" i="32"/>
  <c r="F364" i="32"/>
  <c r="D364" i="32"/>
  <c r="A364" i="32"/>
  <c r="H363" i="32"/>
  <c r="G363" i="32"/>
  <c r="F363" i="32"/>
  <c r="D363" i="32"/>
  <c r="H362" i="32"/>
  <c r="A363" i="32" s="1"/>
  <c r="G362" i="32"/>
  <c r="F362" i="32"/>
  <c r="D362" i="32"/>
  <c r="H361" i="32"/>
  <c r="A362" i="32" s="1"/>
  <c r="G361" i="32"/>
  <c r="F361" i="32"/>
  <c r="D361" i="32"/>
  <c r="H360" i="32"/>
  <c r="A361" i="32" s="1"/>
  <c r="G360" i="32"/>
  <c r="F360" i="32"/>
  <c r="D360" i="32"/>
  <c r="H359" i="32"/>
  <c r="A360" i="32" s="1"/>
  <c r="G359" i="32"/>
  <c r="F359" i="32"/>
  <c r="D359" i="32"/>
  <c r="H358" i="32"/>
  <c r="A359" i="32" s="1"/>
  <c r="G358" i="32"/>
  <c r="F358" i="32"/>
  <c r="D358" i="32"/>
  <c r="H357" i="32"/>
  <c r="A358" i="32" s="1"/>
  <c r="G357" i="32"/>
  <c r="F357" i="32"/>
  <c r="D357" i="32"/>
  <c r="H356" i="32"/>
  <c r="A357" i="32" s="1"/>
  <c r="G356" i="32"/>
  <c r="F356" i="32"/>
  <c r="D356" i="32"/>
  <c r="A356" i="32"/>
  <c r="H355" i="32"/>
  <c r="G355" i="32"/>
  <c r="F355" i="32"/>
  <c r="D355" i="32"/>
  <c r="A355" i="32"/>
  <c r="H354" i="32"/>
  <c r="G354" i="32"/>
  <c r="F354" i="32"/>
  <c r="D354" i="32"/>
  <c r="A354" i="32"/>
  <c r="H353" i="32"/>
  <c r="G353" i="32"/>
  <c r="F353" i="32"/>
  <c r="D353" i="32"/>
  <c r="H352" i="32"/>
  <c r="A353" i="32" s="1"/>
  <c r="G352" i="32"/>
  <c r="F352" i="32"/>
  <c r="D352" i="32"/>
  <c r="H351" i="32"/>
  <c r="A352" i="32" s="1"/>
  <c r="G351" i="32"/>
  <c r="F351" i="32"/>
  <c r="D351" i="32"/>
  <c r="H350" i="32"/>
  <c r="A351" i="32" s="1"/>
  <c r="G350" i="32"/>
  <c r="F350" i="32"/>
  <c r="D350" i="32"/>
  <c r="A350" i="32"/>
  <c r="H349" i="32"/>
  <c r="G349" i="32"/>
  <c r="F349" i="32"/>
  <c r="D349" i="32"/>
  <c r="H348" i="32"/>
  <c r="A349" i="32" s="1"/>
  <c r="G348" i="32"/>
  <c r="F348" i="32"/>
  <c r="D348" i="32"/>
  <c r="H347" i="32"/>
  <c r="A348" i="32" s="1"/>
  <c r="G347" i="32"/>
  <c r="F347" i="32"/>
  <c r="D347" i="32"/>
  <c r="H346" i="32"/>
  <c r="A347" i="32" s="1"/>
  <c r="G346" i="32"/>
  <c r="F346" i="32"/>
  <c r="D346" i="32"/>
  <c r="H345" i="32"/>
  <c r="A346" i="32" s="1"/>
  <c r="G345" i="32"/>
  <c r="F345" i="32"/>
  <c r="D345" i="32"/>
  <c r="H344" i="32"/>
  <c r="A345" i="32" s="1"/>
  <c r="G344" i="32"/>
  <c r="F344" i="32"/>
  <c r="D344" i="32"/>
  <c r="H343" i="32"/>
  <c r="A344" i="32" s="1"/>
  <c r="G343" i="32"/>
  <c r="F343" i="32"/>
  <c r="D343" i="32"/>
  <c r="H342" i="32"/>
  <c r="A343" i="32" s="1"/>
  <c r="G342" i="32"/>
  <c r="F342" i="32"/>
  <c r="D342" i="32"/>
  <c r="A342" i="32"/>
  <c r="H341" i="32"/>
  <c r="G341" i="32"/>
  <c r="F341" i="32"/>
  <c r="D341" i="32"/>
  <c r="H340" i="32"/>
  <c r="A341" i="32" s="1"/>
  <c r="G340" i="32"/>
  <c r="F340" i="32"/>
  <c r="D340" i="32"/>
  <c r="H339" i="32"/>
  <c r="A340" i="32" s="1"/>
  <c r="G339" i="32"/>
  <c r="F339" i="32"/>
  <c r="D339" i="32"/>
  <c r="H338" i="32"/>
  <c r="A339" i="32" s="1"/>
  <c r="G338" i="32"/>
  <c r="F338" i="32"/>
  <c r="D338" i="32"/>
  <c r="H337" i="32"/>
  <c r="A338" i="32" s="1"/>
  <c r="G337" i="32"/>
  <c r="F337" i="32"/>
  <c r="D337" i="32"/>
  <c r="H336" i="32"/>
  <c r="A337" i="32" s="1"/>
  <c r="G336" i="32"/>
  <c r="F336" i="32"/>
  <c r="D336" i="32"/>
  <c r="H335" i="32"/>
  <c r="A336" i="32" s="1"/>
  <c r="G335" i="32"/>
  <c r="F335" i="32"/>
  <c r="D335" i="32"/>
  <c r="H334" i="32"/>
  <c r="A335" i="32" s="1"/>
  <c r="G334" i="32"/>
  <c r="F334" i="32"/>
  <c r="D334" i="32"/>
  <c r="H333" i="32"/>
  <c r="A334" i="32" s="1"/>
  <c r="G333" i="32"/>
  <c r="F333" i="32"/>
  <c r="D333" i="32"/>
  <c r="H332" i="32"/>
  <c r="A333" i="32" s="1"/>
  <c r="G332" i="32"/>
  <c r="F332" i="32"/>
  <c r="D332" i="32"/>
  <c r="A332" i="32"/>
  <c r="H331" i="32"/>
  <c r="G331" i="32"/>
  <c r="F331" i="32"/>
  <c r="D331" i="32"/>
  <c r="H330" i="32"/>
  <c r="A331" i="32" s="1"/>
  <c r="G330" i="32"/>
  <c r="F330" i="32"/>
  <c r="D330" i="32"/>
  <c r="H329" i="32"/>
  <c r="A330" i="32" s="1"/>
  <c r="G329" i="32"/>
  <c r="F329" i="32"/>
  <c r="D329" i="32"/>
  <c r="H328" i="32"/>
  <c r="A329" i="32" s="1"/>
  <c r="G328" i="32"/>
  <c r="F328" i="32"/>
  <c r="D328" i="32"/>
  <c r="A328" i="32"/>
  <c r="H327" i="32"/>
  <c r="G327" i="32"/>
  <c r="F327" i="32"/>
  <c r="D327" i="32"/>
  <c r="H326" i="32"/>
  <c r="A327" i="32" s="1"/>
  <c r="G326" i="32"/>
  <c r="F326" i="32"/>
  <c r="D326" i="32"/>
  <c r="H325" i="32"/>
  <c r="A326" i="32" s="1"/>
  <c r="G325" i="32"/>
  <c r="F325" i="32"/>
  <c r="D325" i="32"/>
  <c r="H324" i="32"/>
  <c r="A325" i="32" s="1"/>
  <c r="G324" i="32"/>
  <c r="F324" i="32"/>
  <c r="D324" i="32"/>
  <c r="H323" i="32"/>
  <c r="A324" i="32" s="1"/>
  <c r="G323" i="32"/>
  <c r="F323" i="32"/>
  <c r="D323" i="32"/>
  <c r="H322" i="32"/>
  <c r="A323" i="32" s="1"/>
  <c r="G322" i="32"/>
  <c r="F322" i="32"/>
  <c r="D322" i="32"/>
  <c r="H321" i="32"/>
  <c r="A322" i="32" s="1"/>
  <c r="G321" i="32"/>
  <c r="F321" i="32"/>
  <c r="D321" i="32"/>
  <c r="H320" i="32"/>
  <c r="A321" i="32" s="1"/>
  <c r="G320" i="32"/>
  <c r="F320" i="32"/>
  <c r="D320" i="32"/>
  <c r="A320" i="32"/>
  <c r="H319" i="32"/>
  <c r="G319" i="32"/>
  <c r="F319" i="32"/>
  <c r="D319" i="32"/>
  <c r="H318" i="32"/>
  <c r="A319" i="32" s="1"/>
  <c r="G318" i="32"/>
  <c r="F318" i="32"/>
  <c r="D318" i="32"/>
  <c r="H317" i="32"/>
  <c r="A318" i="32" s="1"/>
  <c r="G317" i="32"/>
  <c r="F317" i="32"/>
  <c r="D317" i="32"/>
  <c r="H316" i="32"/>
  <c r="A317" i="32" s="1"/>
  <c r="G316" i="32"/>
  <c r="F316" i="32"/>
  <c r="D316" i="32"/>
  <c r="A316" i="32"/>
  <c r="H315" i="32"/>
  <c r="G315" i="32"/>
  <c r="F315" i="32"/>
  <c r="D315" i="32"/>
  <c r="A315" i="32"/>
  <c r="H314" i="32"/>
  <c r="G314" i="32"/>
  <c r="F314" i="32"/>
  <c r="D314" i="32"/>
  <c r="H313" i="32"/>
  <c r="A314" i="32" s="1"/>
  <c r="G313" i="32"/>
  <c r="F313" i="32"/>
  <c r="D313" i="32"/>
  <c r="H312" i="32"/>
  <c r="A313" i="32" s="1"/>
  <c r="G312" i="32"/>
  <c r="F312" i="32"/>
  <c r="D312" i="32"/>
  <c r="H311" i="32"/>
  <c r="A312" i="32" s="1"/>
  <c r="G311" i="32"/>
  <c r="F311" i="32"/>
  <c r="D311" i="32"/>
  <c r="H310" i="32"/>
  <c r="A311" i="32" s="1"/>
  <c r="G310" i="32"/>
  <c r="F310" i="32"/>
  <c r="D310" i="32"/>
  <c r="H309" i="32"/>
  <c r="A310" i="32" s="1"/>
  <c r="G309" i="32"/>
  <c r="F309" i="32"/>
  <c r="D309" i="32"/>
  <c r="H308" i="32"/>
  <c r="A309" i="32" s="1"/>
  <c r="G308" i="32"/>
  <c r="F308" i="32"/>
  <c r="D308" i="32"/>
  <c r="A308" i="32"/>
  <c r="H307" i="32"/>
  <c r="G307" i="32"/>
  <c r="F307" i="32"/>
  <c r="D307" i="32"/>
  <c r="H306" i="32"/>
  <c r="A307" i="32" s="1"/>
  <c r="G306" i="32"/>
  <c r="F306" i="32"/>
  <c r="D306" i="32"/>
  <c r="H305" i="32"/>
  <c r="A306" i="32" s="1"/>
  <c r="G305" i="32"/>
  <c r="F305" i="32"/>
  <c r="D305" i="32"/>
  <c r="H304" i="32"/>
  <c r="A305" i="32" s="1"/>
  <c r="G304" i="32"/>
  <c r="F304" i="32"/>
  <c r="D304" i="32"/>
  <c r="H303" i="32"/>
  <c r="A304" i="32" s="1"/>
  <c r="G303" i="32"/>
  <c r="F303" i="32"/>
  <c r="D303" i="32"/>
  <c r="H302" i="32"/>
  <c r="A303" i="32" s="1"/>
  <c r="G302" i="32"/>
  <c r="F302" i="32"/>
  <c r="D302" i="32"/>
  <c r="H301" i="32"/>
  <c r="A302" i="32" s="1"/>
  <c r="G301" i="32"/>
  <c r="F301" i="32"/>
  <c r="D301" i="32"/>
  <c r="H300" i="32"/>
  <c r="A301" i="32" s="1"/>
  <c r="G300" i="32"/>
  <c r="F300" i="32"/>
  <c r="D300" i="32"/>
  <c r="H299" i="32"/>
  <c r="A300" i="32" s="1"/>
  <c r="G299" i="32"/>
  <c r="F299" i="32"/>
  <c r="D299" i="32"/>
  <c r="H298" i="32"/>
  <c r="A299" i="32" s="1"/>
  <c r="G298" i="32"/>
  <c r="F298" i="32"/>
  <c r="D298" i="32"/>
  <c r="A298" i="32"/>
  <c r="H297" i="32"/>
  <c r="G297" i="32"/>
  <c r="F297" i="32"/>
  <c r="D297" i="32"/>
  <c r="H296" i="32"/>
  <c r="A297" i="32" s="1"/>
  <c r="G296" i="32"/>
  <c r="F296" i="32"/>
  <c r="D296" i="32"/>
  <c r="H295" i="32"/>
  <c r="A296" i="32" s="1"/>
  <c r="G295" i="32"/>
  <c r="F295" i="32"/>
  <c r="D295" i="32"/>
  <c r="H294" i="32"/>
  <c r="A295" i="32" s="1"/>
  <c r="G294" i="32"/>
  <c r="F294" i="32"/>
  <c r="D294" i="32"/>
  <c r="A294" i="32"/>
  <c r="H293" i="32"/>
  <c r="G293" i="32"/>
  <c r="F293" i="32"/>
  <c r="D293" i="32"/>
  <c r="H292" i="32"/>
  <c r="A293" i="32" s="1"/>
  <c r="G292" i="32"/>
  <c r="F292" i="32"/>
  <c r="D292" i="32"/>
  <c r="H291" i="32"/>
  <c r="A292" i="32" s="1"/>
  <c r="G291" i="32"/>
  <c r="F291" i="32"/>
  <c r="D291" i="32"/>
  <c r="H290" i="32"/>
  <c r="A291" i="32" s="1"/>
  <c r="G290" i="32"/>
  <c r="F290" i="32"/>
  <c r="D290" i="32"/>
  <c r="H289" i="32"/>
  <c r="A290" i="32" s="1"/>
  <c r="G289" i="32"/>
  <c r="F289" i="32"/>
  <c r="D289" i="32"/>
  <c r="H288" i="32"/>
  <c r="A289" i="32" s="1"/>
  <c r="G288" i="32"/>
  <c r="F288" i="32"/>
  <c r="D288" i="32"/>
  <c r="H287" i="32"/>
  <c r="A288" i="32" s="1"/>
  <c r="G287" i="32"/>
  <c r="F287" i="32"/>
  <c r="D287" i="32"/>
  <c r="H286" i="32"/>
  <c r="A287" i="32" s="1"/>
  <c r="G286" i="32"/>
  <c r="F286" i="32"/>
  <c r="D286" i="32"/>
  <c r="H285" i="32"/>
  <c r="A286" i="32" s="1"/>
  <c r="G285" i="32"/>
  <c r="F285" i="32"/>
  <c r="D285" i="32"/>
  <c r="H284" i="32"/>
  <c r="A285" i="32" s="1"/>
  <c r="G284" i="32"/>
  <c r="F284" i="32"/>
  <c r="D284" i="32"/>
  <c r="A284" i="32"/>
  <c r="H283" i="32"/>
  <c r="G283" i="32"/>
  <c r="F283" i="32"/>
  <c r="D283" i="32"/>
  <c r="H282" i="32"/>
  <c r="A283" i="32" s="1"/>
  <c r="G282" i="32"/>
  <c r="F282" i="32"/>
  <c r="D282" i="32"/>
  <c r="H281" i="32"/>
  <c r="A282" i="32" s="1"/>
  <c r="G281" i="32"/>
  <c r="F281" i="32"/>
  <c r="D281" i="32"/>
  <c r="H280" i="32"/>
  <c r="A281" i="32" s="1"/>
  <c r="G280" i="32"/>
  <c r="F280" i="32"/>
  <c r="D280" i="32"/>
  <c r="A280" i="32"/>
  <c r="H279" i="32"/>
  <c r="G279" i="32"/>
  <c r="F279" i="32"/>
  <c r="D279" i="32"/>
  <c r="H278" i="32"/>
  <c r="A279" i="32" s="1"/>
  <c r="G278" i="32"/>
  <c r="F278" i="32"/>
  <c r="D278" i="32"/>
  <c r="H277" i="32"/>
  <c r="A278" i="32" s="1"/>
  <c r="G277" i="32"/>
  <c r="F277" i="32"/>
  <c r="D277" i="32"/>
  <c r="H276" i="32"/>
  <c r="A277" i="32" s="1"/>
  <c r="G276" i="32"/>
  <c r="F276" i="32"/>
  <c r="D276" i="32"/>
  <c r="H275" i="32"/>
  <c r="A276" i="32" s="1"/>
  <c r="G275" i="32"/>
  <c r="F275" i="32"/>
  <c r="D275" i="32"/>
  <c r="H274" i="32"/>
  <c r="A275" i="32" s="1"/>
  <c r="G274" i="32"/>
  <c r="F274" i="32"/>
  <c r="D274" i="32"/>
  <c r="H273" i="32"/>
  <c r="A274" i="32" s="1"/>
  <c r="G273" i="32"/>
  <c r="F273" i="32"/>
  <c r="D273" i="32"/>
  <c r="H272" i="32"/>
  <c r="A273" i="32" s="1"/>
  <c r="G272" i="32"/>
  <c r="F272" i="32"/>
  <c r="D272" i="32"/>
  <c r="H271" i="32"/>
  <c r="A272" i="32" s="1"/>
  <c r="G271" i="32"/>
  <c r="F271" i="32"/>
  <c r="D271" i="32"/>
  <c r="H270" i="32"/>
  <c r="A271" i="32" s="1"/>
  <c r="G270" i="32"/>
  <c r="F270" i="32"/>
  <c r="D270" i="32"/>
  <c r="H269" i="32"/>
  <c r="A270" i="32" s="1"/>
  <c r="G269" i="32"/>
  <c r="F269" i="32"/>
  <c r="D269" i="32"/>
  <c r="H268" i="32"/>
  <c r="A269" i="32" s="1"/>
  <c r="G268" i="32"/>
  <c r="F268" i="32"/>
  <c r="D268" i="32"/>
  <c r="A268" i="32"/>
  <c r="H267" i="32"/>
  <c r="G267" i="32"/>
  <c r="F267" i="32"/>
  <c r="D267" i="32"/>
  <c r="H266" i="32"/>
  <c r="A267" i="32" s="1"/>
  <c r="G266" i="32"/>
  <c r="F266" i="32"/>
  <c r="D266" i="32"/>
  <c r="H265" i="32"/>
  <c r="A266" i="32" s="1"/>
  <c r="G265" i="32"/>
  <c r="F265" i="32"/>
  <c r="D265" i="32"/>
  <c r="H264" i="32"/>
  <c r="A265" i="32" s="1"/>
  <c r="G264" i="32"/>
  <c r="F264" i="32"/>
  <c r="D264" i="32"/>
  <c r="A264" i="32"/>
  <c r="H263" i="32"/>
  <c r="G263" i="32"/>
  <c r="F263" i="32"/>
  <c r="D263" i="32"/>
  <c r="A263" i="32"/>
  <c r="H262" i="32"/>
  <c r="G262" i="32"/>
  <c r="F262" i="32"/>
  <c r="D262" i="32"/>
  <c r="H261" i="32"/>
  <c r="A262" i="32" s="1"/>
  <c r="G261" i="32"/>
  <c r="F261" i="32"/>
  <c r="D261" i="32"/>
  <c r="H260" i="32"/>
  <c r="A261" i="32" s="1"/>
  <c r="G260" i="32"/>
  <c r="F260" i="32"/>
  <c r="D260" i="32"/>
  <c r="H259" i="32"/>
  <c r="A260" i="32" s="1"/>
  <c r="G259" i="32"/>
  <c r="F259" i="32"/>
  <c r="D259" i="32"/>
  <c r="H258" i="32"/>
  <c r="A259" i="32" s="1"/>
  <c r="G258" i="32"/>
  <c r="F258" i="32"/>
  <c r="D258" i="32"/>
  <c r="H257" i="32"/>
  <c r="A258" i="32" s="1"/>
  <c r="G257" i="32"/>
  <c r="F257" i="32"/>
  <c r="D257" i="32"/>
  <c r="H256" i="32"/>
  <c r="A257" i="32" s="1"/>
  <c r="G256" i="32"/>
  <c r="F256" i="32"/>
  <c r="D256" i="32"/>
  <c r="A256" i="32"/>
  <c r="H255" i="32"/>
  <c r="G255" i="32"/>
  <c r="F255" i="32"/>
  <c r="D255" i="32"/>
  <c r="H254" i="32"/>
  <c r="A255" i="32" s="1"/>
  <c r="G254" i="32"/>
  <c r="F254" i="32"/>
  <c r="D254" i="32"/>
  <c r="H253" i="32"/>
  <c r="A254" i="32" s="1"/>
  <c r="G253" i="32"/>
  <c r="F253" i="32"/>
  <c r="D253" i="32"/>
  <c r="H252" i="32"/>
  <c r="A253" i="32" s="1"/>
  <c r="G252" i="32"/>
  <c r="F252" i="32"/>
  <c r="D252" i="32"/>
  <c r="H251" i="32"/>
  <c r="A252" i="32" s="1"/>
  <c r="G251" i="32"/>
  <c r="F251" i="32"/>
  <c r="D251" i="32"/>
  <c r="H250" i="32"/>
  <c r="A251" i="32" s="1"/>
  <c r="G250" i="32"/>
  <c r="F250" i="32"/>
  <c r="D250" i="32"/>
  <c r="H249" i="32"/>
  <c r="A250" i="32" s="1"/>
  <c r="G249" i="32"/>
  <c r="F249" i="32"/>
  <c r="D249" i="32"/>
  <c r="H248" i="32"/>
  <c r="A249" i="32" s="1"/>
  <c r="G248" i="32"/>
  <c r="F248" i="32"/>
  <c r="D248" i="32"/>
  <c r="H247" i="32"/>
  <c r="A248" i="32" s="1"/>
  <c r="G247" i="32"/>
  <c r="F247" i="32"/>
  <c r="D247" i="32"/>
  <c r="H246" i="32"/>
  <c r="A247" i="32" s="1"/>
  <c r="G246" i="32"/>
  <c r="F246" i="32"/>
  <c r="D246" i="32"/>
  <c r="A246" i="32"/>
  <c r="H245" i="32"/>
  <c r="G245" i="32"/>
  <c r="F245" i="32"/>
  <c r="D245" i="32"/>
  <c r="H244" i="32"/>
  <c r="A245" i="32" s="1"/>
  <c r="G244" i="32"/>
  <c r="F244" i="32"/>
  <c r="D244" i="32"/>
  <c r="H243" i="32"/>
  <c r="A244" i="32" s="1"/>
  <c r="G243" i="32"/>
  <c r="F243" i="32"/>
  <c r="D243" i="32"/>
  <c r="H242" i="32"/>
  <c r="A243" i="32" s="1"/>
  <c r="G242" i="32"/>
  <c r="F242" i="32"/>
  <c r="D242" i="32"/>
  <c r="A242" i="32"/>
  <c r="H241" i="32"/>
  <c r="G241" i="32"/>
  <c r="F241" i="32"/>
  <c r="D241" i="32"/>
  <c r="H240" i="32"/>
  <c r="A241" i="32" s="1"/>
  <c r="G240" i="32"/>
  <c r="F240" i="32"/>
  <c r="D240" i="32"/>
  <c r="H239" i="32"/>
  <c r="A240" i="32" s="1"/>
  <c r="G239" i="32"/>
  <c r="F239" i="32"/>
  <c r="D239" i="32"/>
  <c r="H238" i="32"/>
  <c r="A239" i="32" s="1"/>
  <c r="G238" i="32"/>
  <c r="F238" i="32"/>
  <c r="D238" i="32"/>
  <c r="H237" i="32"/>
  <c r="A238" i="32" s="1"/>
  <c r="G237" i="32"/>
  <c r="F237" i="32"/>
  <c r="D237" i="32"/>
  <c r="H236" i="32"/>
  <c r="A237" i="32" s="1"/>
  <c r="G236" i="32"/>
  <c r="F236" i="32"/>
  <c r="D236" i="32"/>
  <c r="A236" i="32"/>
  <c r="H235" i="32"/>
  <c r="G235" i="32"/>
  <c r="F235" i="32"/>
  <c r="D235" i="32"/>
  <c r="H234" i="32"/>
  <c r="A235" i="32" s="1"/>
  <c r="G234" i="32"/>
  <c r="F234" i="32"/>
  <c r="D234" i="32"/>
  <c r="A234" i="32"/>
  <c r="H233" i="32"/>
  <c r="G233" i="32"/>
  <c r="F233" i="32"/>
  <c r="D233" i="32"/>
  <c r="H232" i="32"/>
  <c r="A233" i="32" s="1"/>
  <c r="G232" i="32"/>
  <c r="F232" i="32"/>
  <c r="D232" i="32"/>
  <c r="H231" i="32"/>
  <c r="A232" i="32" s="1"/>
  <c r="G231" i="32"/>
  <c r="F231" i="32"/>
  <c r="D231" i="32"/>
  <c r="H230" i="32"/>
  <c r="A231" i="32" s="1"/>
  <c r="G230" i="32"/>
  <c r="F230" i="32"/>
  <c r="D230" i="32"/>
  <c r="H229" i="32"/>
  <c r="A230" i="32" s="1"/>
  <c r="G229" i="32"/>
  <c r="F229" i="32"/>
  <c r="D229" i="32"/>
  <c r="H228" i="32"/>
  <c r="A229" i="32" s="1"/>
  <c r="G228" i="32"/>
  <c r="F228" i="32"/>
  <c r="D228" i="32"/>
  <c r="A228" i="32"/>
  <c r="H227" i="32"/>
  <c r="G227" i="32"/>
  <c r="F227" i="32"/>
  <c r="D227" i="32"/>
  <c r="H226" i="32"/>
  <c r="A227" i="32" s="1"/>
  <c r="G226" i="32"/>
  <c r="F226" i="32"/>
  <c r="D226" i="32"/>
  <c r="H225" i="32"/>
  <c r="A226" i="32" s="1"/>
  <c r="G225" i="32"/>
  <c r="F225" i="32"/>
  <c r="D225" i="32"/>
  <c r="H224" i="32"/>
  <c r="A225" i="32" s="1"/>
  <c r="G224" i="32"/>
  <c r="F224" i="32"/>
  <c r="D224" i="32"/>
  <c r="H223" i="32"/>
  <c r="A224" i="32" s="1"/>
  <c r="G223" i="32"/>
  <c r="F223" i="32"/>
  <c r="D223" i="32"/>
  <c r="H222" i="32"/>
  <c r="A223" i="32" s="1"/>
  <c r="G222" i="32"/>
  <c r="F222" i="32"/>
  <c r="D222" i="32"/>
  <c r="H221" i="32"/>
  <c r="A222" i="32" s="1"/>
  <c r="G221" i="32"/>
  <c r="F221" i="32"/>
  <c r="D221" i="32"/>
  <c r="H220" i="32"/>
  <c r="A221" i="32" s="1"/>
  <c r="G220" i="32"/>
  <c r="F220" i="32"/>
  <c r="D220" i="32"/>
  <c r="A220" i="32"/>
  <c r="H219" i="32"/>
  <c r="G219" i="32"/>
  <c r="F219" i="32"/>
  <c r="D219" i="32"/>
  <c r="H218" i="32"/>
  <c r="A219" i="32" s="1"/>
  <c r="G218" i="32"/>
  <c r="F218" i="32"/>
  <c r="D218" i="32"/>
  <c r="H217" i="32"/>
  <c r="A218" i="32" s="1"/>
  <c r="G217" i="32"/>
  <c r="F217" i="32"/>
  <c r="D217" i="32"/>
  <c r="H216" i="32"/>
  <c r="A217" i="32" s="1"/>
  <c r="G216" i="32"/>
  <c r="F216" i="32"/>
  <c r="D216" i="32"/>
  <c r="H215" i="32"/>
  <c r="A216" i="32" s="1"/>
  <c r="G215" i="32"/>
  <c r="F215" i="32"/>
  <c r="D215" i="32"/>
  <c r="H214" i="32"/>
  <c r="A215" i="32" s="1"/>
  <c r="G214" i="32"/>
  <c r="F214" i="32"/>
  <c r="D214" i="32"/>
  <c r="H213" i="32"/>
  <c r="A214" i="32" s="1"/>
  <c r="G213" i="32"/>
  <c r="F213" i="32"/>
  <c r="D213" i="32"/>
  <c r="H212" i="32"/>
  <c r="A213" i="32" s="1"/>
  <c r="G212" i="32"/>
  <c r="F212" i="32"/>
  <c r="D212" i="32"/>
  <c r="A212" i="32"/>
  <c r="H211" i="32"/>
  <c r="G211" i="32"/>
  <c r="F211" i="32"/>
  <c r="D211" i="32"/>
  <c r="A211" i="32"/>
  <c r="H210" i="32"/>
  <c r="G210" i="32"/>
  <c r="F210" i="32"/>
  <c r="D210" i="32"/>
  <c r="A210" i="32"/>
  <c r="H209" i="32"/>
  <c r="G209" i="32"/>
  <c r="F209" i="32"/>
  <c r="D209" i="32"/>
  <c r="H208" i="32"/>
  <c r="A209" i="32" s="1"/>
  <c r="G208" i="32"/>
  <c r="F208" i="32"/>
  <c r="D208" i="32"/>
  <c r="H207" i="32"/>
  <c r="A208" i="32" s="1"/>
  <c r="G207" i="32"/>
  <c r="F207" i="32"/>
  <c r="D207" i="32"/>
  <c r="A207" i="32"/>
  <c r="H206" i="32"/>
  <c r="G206" i="32"/>
  <c r="F206" i="32"/>
  <c r="D206" i="32"/>
  <c r="H205" i="32"/>
  <c r="A206" i="32" s="1"/>
  <c r="G205" i="32"/>
  <c r="F205" i="32"/>
  <c r="D205" i="32"/>
  <c r="H204" i="32"/>
  <c r="A205" i="32" s="1"/>
  <c r="G204" i="32"/>
  <c r="F204" i="32"/>
  <c r="D204" i="32"/>
  <c r="H203" i="32"/>
  <c r="A204" i="32" s="1"/>
  <c r="G203" i="32"/>
  <c r="F203" i="32"/>
  <c r="D203" i="32"/>
  <c r="H202" i="32"/>
  <c r="A203" i="32" s="1"/>
  <c r="G202" i="32"/>
  <c r="F202" i="32"/>
  <c r="D202" i="32"/>
  <c r="H201" i="32"/>
  <c r="A202" i="32" s="1"/>
  <c r="G201" i="32"/>
  <c r="F201" i="32"/>
  <c r="D201" i="32"/>
  <c r="H200" i="32"/>
  <c r="A201" i="32" s="1"/>
  <c r="G200" i="32"/>
  <c r="F200" i="32"/>
  <c r="D200" i="32"/>
  <c r="H199" i="32"/>
  <c r="A200" i="32" s="1"/>
  <c r="G199" i="32"/>
  <c r="F199" i="32"/>
  <c r="D199" i="32"/>
  <c r="H198" i="32"/>
  <c r="A199" i="32" s="1"/>
  <c r="G198" i="32"/>
  <c r="F198" i="32"/>
  <c r="D198" i="32"/>
  <c r="H197" i="32"/>
  <c r="A198" i="32" s="1"/>
  <c r="G197" i="32"/>
  <c r="F197" i="32"/>
  <c r="D197" i="32"/>
  <c r="H196" i="32"/>
  <c r="A197" i="32" s="1"/>
  <c r="G196" i="32"/>
  <c r="F196" i="32"/>
  <c r="D196" i="32"/>
  <c r="H195" i="32"/>
  <c r="A196" i="32" s="1"/>
  <c r="G195" i="32"/>
  <c r="F195" i="32"/>
  <c r="D195" i="32"/>
  <c r="A195" i="32"/>
  <c r="H194" i="32"/>
  <c r="G194" i="32"/>
  <c r="F194" i="32"/>
  <c r="D194" i="32"/>
  <c r="A194" i="32"/>
  <c r="H193" i="32"/>
  <c r="G193" i="32"/>
  <c r="F193" i="32"/>
  <c r="D193" i="32"/>
  <c r="H192" i="32"/>
  <c r="A193" i="32" s="1"/>
  <c r="G192" i="32"/>
  <c r="F192" i="32"/>
  <c r="D192" i="32"/>
  <c r="H191" i="32"/>
  <c r="A192" i="32" s="1"/>
  <c r="G191" i="32"/>
  <c r="F191" i="32"/>
  <c r="D191" i="32"/>
  <c r="H190" i="32"/>
  <c r="A191" i="32" s="1"/>
  <c r="G190" i="32"/>
  <c r="F190" i="32"/>
  <c r="D190" i="32"/>
  <c r="A190" i="32"/>
  <c r="H189" i="32"/>
  <c r="G189" i="32"/>
  <c r="F189" i="32"/>
  <c r="D189" i="32"/>
  <c r="H188" i="32"/>
  <c r="A189" i="32" s="1"/>
  <c r="G188" i="32"/>
  <c r="F188" i="32"/>
  <c r="D188" i="32"/>
  <c r="H187" i="32"/>
  <c r="A188" i="32" s="1"/>
  <c r="G187" i="32"/>
  <c r="F187" i="32"/>
  <c r="D187" i="32"/>
  <c r="H186" i="32"/>
  <c r="A187" i="32" s="1"/>
  <c r="G186" i="32"/>
  <c r="F186" i="32"/>
  <c r="D186" i="32"/>
  <c r="H185" i="32"/>
  <c r="A186" i="32" s="1"/>
  <c r="G185" i="32"/>
  <c r="F185" i="32"/>
  <c r="D185" i="32"/>
  <c r="H184" i="32"/>
  <c r="A185" i="32" s="1"/>
  <c r="G184" i="32"/>
  <c r="F184" i="32"/>
  <c r="D184" i="32"/>
  <c r="A184" i="32"/>
  <c r="H183" i="32"/>
  <c r="G183" i="32"/>
  <c r="F183" i="32"/>
  <c r="D183" i="32"/>
  <c r="H182" i="32"/>
  <c r="A183" i="32" s="1"/>
  <c r="G182" i="32"/>
  <c r="F182" i="32"/>
  <c r="D182" i="32"/>
  <c r="H181" i="32"/>
  <c r="A182" i="32" s="1"/>
  <c r="G181" i="32"/>
  <c r="F181" i="32"/>
  <c r="D181" i="32"/>
  <c r="H180" i="32"/>
  <c r="A181" i="32" s="1"/>
  <c r="G180" i="32"/>
  <c r="F180" i="32"/>
  <c r="D180" i="32"/>
  <c r="A180" i="32"/>
  <c r="H179" i="32"/>
  <c r="G179" i="32"/>
  <c r="F179" i="32"/>
  <c r="D179" i="32"/>
  <c r="H178" i="32"/>
  <c r="A179" i="32" s="1"/>
  <c r="G178" i="32"/>
  <c r="F178" i="32"/>
  <c r="D178" i="32"/>
  <c r="H177" i="32"/>
  <c r="A178" i="32" s="1"/>
  <c r="G177" i="32"/>
  <c r="F177" i="32"/>
  <c r="D177" i="32"/>
  <c r="H176" i="32"/>
  <c r="A177" i="32" s="1"/>
  <c r="G176" i="32"/>
  <c r="F176" i="32"/>
  <c r="D176" i="32"/>
  <c r="H175" i="32"/>
  <c r="A176" i="32" s="1"/>
  <c r="G175" i="32"/>
  <c r="F175" i="32"/>
  <c r="D175" i="32"/>
  <c r="H174" i="32"/>
  <c r="A175" i="32" s="1"/>
  <c r="G174" i="32"/>
  <c r="F174" i="32"/>
  <c r="D174" i="32"/>
  <c r="H173" i="32"/>
  <c r="A174" i="32" s="1"/>
  <c r="G173" i="32"/>
  <c r="F173" i="32"/>
  <c r="D173" i="32"/>
  <c r="H172" i="32"/>
  <c r="A173" i="32" s="1"/>
  <c r="G172" i="32"/>
  <c r="F172" i="32"/>
  <c r="D172" i="32"/>
  <c r="A172" i="32"/>
  <c r="H171" i="32"/>
  <c r="G171" i="32"/>
  <c r="F171" i="32"/>
  <c r="D171" i="32"/>
  <c r="H170" i="32"/>
  <c r="A171" i="32" s="1"/>
  <c r="G170" i="32"/>
  <c r="F170" i="32"/>
  <c r="D170" i="32"/>
  <c r="H169" i="32"/>
  <c r="A170" i="32" s="1"/>
  <c r="G169" i="32"/>
  <c r="F169" i="32"/>
  <c r="D169" i="32"/>
  <c r="H168" i="32"/>
  <c r="A169" i="32" s="1"/>
  <c r="G168" i="32"/>
  <c r="F168" i="32"/>
  <c r="D168" i="32"/>
  <c r="A168" i="32"/>
  <c r="H167" i="32"/>
  <c r="G167" i="32"/>
  <c r="F167" i="32"/>
  <c r="D167" i="32"/>
  <c r="H166" i="32"/>
  <c r="A167" i="32" s="1"/>
  <c r="G166" i="32"/>
  <c r="F166" i="32"/>
  <c r="D166" i="32"/>
  <c r="H165" i="32"/>
  <c r="A166" i="32" s="1"/>
  <c r="G165" i="32"/>
  <c r="F165" i="32"/>
  <c r="D165" i="32"/>
  <c r="H164" i="32"/>
  <c r="A165" i="32" s="1"/>
  <c r="G164" i="32"/>
  <c r="F164" i="32"/>
  <c r="D164" i="32"/>
  <c r="H163" i="32"/>
  <c r="A164" i="32" s="1"/>
  <c r="G163" i="32"/>
  <c r="F163" i="32"/>
  <c r="D163" i="32"/>
  <c r="H162" i="32"/>
  <c r="A163" i="32" s="1"/>
  <c r="G162" i="32"/>
  <c r="F162" i="32"/>
  <c r="D162" i="32"/>
  <c r="A162" i="32"/>
  <c r="H161" i="32"/>
  <c r="G161" i="32"/>
  <c r="F161" i="32"/>
  <c r="D161" i="32"/>
  <c r="H160" i="32"/>
  <c r="A161" i="32" s="1"/>
  <c r="G160" i="32"/>
  <c r="F160" i="32"/>
  <c r="D160" i="32"/>
  <c r="H159" i="32"/>
  <c r="A160" i="32" s="1"/>
  <c r="G159" i="32"/>
  <c r="F159" i="32"/>
  <c r="D159" i="32"/>
  <c r="H158" i="32"/>
  <c r="A159" i="32" s="1"/>
  <c r="G158" i="32"/>
  <c r="F158" i="32"/>
  <c r="D158" i="32"/>
  <c r="A158" i="32"/>
  <c r="H157" i="32"/>
  <c r="G157" i="32"/>
  <c r="F157" i="32"/>
  <c r="D157" i="32"/>
  <c r="H156" i="32"/>
  <c r="A157" i="32" s="1"/>
  <c r="G156" i="32"/>
  <c r="F156" i="32"/>
  <c r="D156" i="32"/>
  <c r="H155" i="32"/>
  <c r="A156" i="32" s="1"/>
  <c r="G155" i="32"/>
  <c r="F155" i="32"/>
  <c r="D155" i="32"/>
  <c r="H154" i="32"/>
  <c r="A155" i="32" s="1"/>
  <c r="G154" i="32"/>
  <c r="F154" i="32"/>
  <c r="D154" i="32"/>
  <c r="H153" i="32"/>
  <c r="A154" i="32" s="1"/>
  <c r="G153" i="32"/>
  <c r="F153" i="32"/>
  <c r="D153" i="32"/>
  <c r="H152" i="32"/>
  <c r="A153" i="32" s="1"/>
  <c r="G152" i="32"/>
  <c r="F152" i="32"/>
  <c r="D152" i="32"/>
  <c r="H151" i="32"/>
  <c r="A152" i="32" s="1"/>
  <c r="G151" i="32"/>
  <c r="F151" i="32"/>
  <c r="D151" i="32"/>
  <c r="H150" i="32"/>
  <c r="A151" i="32" s="1"/>
  <c r="G150" i="32"/>
  <c r="F150" i="32"/>
  <c r="D150" i="32"/>
  <c r="A150" i="32"/>
  <c r="H149" i="32"/>
  <c r="G149" i="32"/>
  <c r="F149" i="32"/>
  <c r="D149" i="32"/>
  <c r="H148" i="32"/>
  <c r="A149" i="32" s="1"/>
  <c r="G148" i="32"/>
  <c r="F148" i="32"/>
  <c r="D148" i="32"/>
  <c r="H147" i="32"/>
  <c r="A148" i="32" s="1"/>
  <c r="G147" i="32"/>
  <c r="F147" i="32"/>
  <c r="D147" i="32"/>
  <c r="H146" i="32"/>
  <c r="A147" i="32" s="1"/>
  <c r="G146" i="32"/>
  <c r="F146" i="32"/>
  <c r="D146" i="32"/>
  <c r="A146" i="32"/>
  <c r="H145" i="32"/>
  <c r="G145" i="32"/>
  <c r="F145" i="32"/>
  <c r="D145" i="32"/>
  <c r="H144" i="32"/>
  <c r="A145" i="32" s="1"/>
  <c r="G144" i="32"/>
  <c r="F144" i="32"/>
  <c r="D144" i="32"/>
  <c r="H143" i="32"/>
  <c r="A144" i="32" s="1"/>
  <c r="G143" i="32"/>
  <c r="F143" i="32"/>
  <c r="D143" i="32"/>
  <c r="H142" i="32"/>
  <c r="A143" i="32" s="1"/>
  <c r="G142" i="32"/>
  <c r="F142" i="32"/>
  <c r="D142" i="32"/>
  <c r="H141" i="32"/>
  <c r="A142" i="32" s="1"/>
  <c r="G141" i="32"/>
  <c r="F141" i="32"/>
  <c r="D141" i="32"/>
  <c r="H140" i="32"/>
  <c r="A141" i="32" s="1"/>
  <c r="G140" i="32"/>
  <c r="F140" i="32"/>
  <c r="D140" i="32"/>
  <c r="A140" i="32"/>
  <c r="H139" i="32"/>
  <c r="G139" i="32"/>
  <c r="F139" i="32"/>
  <c r="D139" i="32"/>
  <c r="B19" i="32"/>
  <c r="M18" i="32"/>
  <c r="B18" i="32"/>
  <c r="H10" i="32"/>
  <c r="H9" i="32"/>
  <c r="H2" i="32"/>
  <c r="D9" i="29"/>
  <c r="H10" i="31"/>
  <c r="H798" i="31"/>
  <c r="G798" i="31"/>
  <c r="F798" i="31"/>
  <c r="D798" i="31"/>
  <c r="H797" i="31"/>
  <c r="A798" i="31" s="1"/>
  <c r="G797" i="31"/>
  <c r="F797" i="31"/>
  <c r="D797" i="31"/>
  <c r="H796" i="31"/>
  <c r="A797" i="31" s="1"/>
  <c r="G796" i="31"/>
  <c r="F796" i="31"/>
  <c r="D796" i="31"/>
  <c r="H795" i="31"/>
  <c r="A796" i="31" s="1"/>
  <c r="G795" i="31"/>
  <c r="F795" i="31"/>
  <c r="D795" i="31"/>
  <c r="H794" i="31"/>
  <c r="A795" i="31" s="1"/>
  <c r="G794" i="31"/>
  <c r="F794" i="31"/>
  <c r="D794" i="31"/>
  <c r="H793" i="31"/>
  <c r="A794" i="31" s="1"/>
  <c r="G793" i="31"/>
  <c r="F793" i="31"/>
  <c r="D793" i="31"/>
  <c r="H792" i="31"/>
  <c r="A793" i="31" s="1"/>
  <c r="G792" i="31"/>
  <c r="F792" i="31"/>
  <c r="D792" i="31"/>
  <c r="H791" i="31"/>
  <c r="A792" i="31" s="1"/>
  <c r="G791" i="31"/>
  <c r="F791" i="31"/>
  <c r="D791" i="31"/>
  <c r="H790" i="31"/>
  <c r="A791" i="31" s="1"/>
  <c r="G790" i="31"/>
  <c r="F790" i="31"/>
  <c r="D790" i="31"/>
  <c r="H789" i="31"/>
  <c r="A790" i="31" s="1"/>
  <c r="G789" i="31"/>
  <c r="F789" i="31"/>
  <c r="D789" i="31"/>
  <c r="H788" i="31"/>
  <c r="A789" i="31" s="1"/>
  <c r="G788" i="31"/>
  <c r="F788" i="31"/>
  <c r="D788" i="31"/>
  <c r="H787" i="31"/>
  <c r="A788" i="31" s="1"/>
  <c r="G787" i="31"/>
  <c r="F787" i="31"/>
  <c r="D787" i="31"/>
  <c r="H786" i="31"/>
  <c r="A787" i="31" s="1"/>
  <c r="G786" i="31"/>
  <c r="F786" i="31"/>
  <c r="D786" i="31"/>
  <c r="H785" i="31"/>
  <c r="A786" i="31" s="1"/>
  <c r="G785" i="31"/>
  <c r="F785" i="31"/>
  <c r="D785" i="31"/>
  <c r="H784" i="31"/>
  <c r="A785" i="31" s="1"/>
  <c r="G784" i="31"/>
  <c r="F784" i="31"/>
  <c r="D784" i="31"/>
  <c r="H783" i="31"/>
  <c r="A784" i="31" s="1"/>
  <c r="G783" i="31"/>
  <c r="F783" i="31"/>
  <c r="D783" i="31"/>
  <c r="A783" i="31"/>
  <c r="H782" i="31"/>
  <c r="G782" i="31"/>
  <c r="F782" i="31"/>
  <c r="D782" i="31"/>
  <c r="H781" i="31"/>
  <c r="A782" i="31" s="1"/>
  <c r="G781" i="31"/>
  <c r="F781" i="31"/>
  <c r="D781" i="31"/>
  <c r="H780" i="31"/>
  <c r="A781" i="31" s="1"/>
  <c r="G780" i="31"/>
  <c r="F780" i="31"/>
  <c r="D780" i="31"/>
  <c r="H779" i="31"/>
  <c r="A780" i="31" s="1"/>
  <c r="G779" i="31"/>
  <c r="F779" i="31"/>
  <c r="D779" i="31"/>
  <c r="H778" i="31"/>
  <c r="A779" i="31" s="1"/>
  <c r="G778" i="31"/>
  <c r="F778" i="31"/>
  <c r="D778" i="31"/>
  <c r="H777" i="31"/>
  <c r="A778" i="31" s="1"/>
  <c r="G777" i="31"/>
  <c r="F777" i="31"/>
  <c r="D777" i="31"/>
  <c r="H776" i="31"/>
  <c r="A777" i="31" s="1"/>
  <c r="G776" i="31"/>
  <c r="F776" i="31"/>
  <c r="D776" i="31"/>
  <c r="H775" i="31"/>
  <c r="A776" i="31" s="1"/>
  <c r="G775" i="31"/>
  <c r="F775" i="31"/>
  <c r="D775" i="31"/>
  <c r="H774" i="31"/>
  <c r="A775" i="31" s="1"/>
  <c r="G774" i="31"/>
  <c r="F774" i="31"/>
  <c r="D774" i="31"/>
  <c r="H773" i="31"/>
  <c r="A774" i="31" s="1"/>
  <c r="G773" i="31"/>
  <c r="F773" i="31"/>
  <c r="D773" i="31"/>
  <c r="H772" i="31"/>
  <c r="A773" i="31" s="1"/>
  <c r="G772" i="31"/>
  <c r="F772" i="31"/>
  <c r="D772" i="31"/>
  <c r="H771" i="31"/>
  <c r="A772" i="31" s="1"/>
  <c r="G771" i="31"/>
  <c r="F771" i="31"/>
  <c r="D771" i="31"/>
  <c r="H770" i="31"/>
  <c r="A771" i="31" s="1"/>
  <c r="G770" i="31"/>
  <c r="F770" i="31"/>
  <c r="D770" i="31"/>
  <c r="H769" i="31"/>
  <c r="A770" i="31" s="1"/>
  <c r="G769" i="31"/>
  <c r="F769" i="31"/>
  <c r="D769" i="31"/>
  <c r="H768" i="31"/>
  <c r="A769" i="31" s="1"/>
  <c r="G768" i="31"/>
  <c r="F768" i="31"/>
  <c r="D768" i="31"/>
  <c r="H767" i="31"/>
  <c r="A768" i="31" s="1"/>
  <c r="G767" i="31"/>
  <c r="F767" i="31"/>
  <c r="D767" i="31"/>
  <c r="A767" i="31"/>
  <c r="H766" i="31"/>
  <c r="G766" i="31"/>
  <c r="F766" i="31"/>
  <c r="D766" i="31"/>
  <c r="H765" i="31"/>
  <c r="A766" i="31" s="1"/>
  <c r="G765" i="31"/>
  <c r="F765" i="31"/>
  <c r="D765" i="31"/>
  <c r="H764" i="31"/>
  <c r="A765" i="31" s="1"/>
  <c r="G764" i="31"/>
  <c r="F764" i="31"/>
  <c r="D764" i="31"/>
  <c r="H763" i="31"/>
  <c r="A764" i="31" s="1"/>
  <c r="G763" i="31"/>
  <c r="F763" i="31"/>
  <c r="D763" i="31"/>
  <c r="H762" i="31"/>
  <c r="A763" i="31" s="1"/>
  <c r="G762" i="31"/>
  <c r="F762" i="31"/>
  <c r="D762" i="31"/>
  <c r="H761" i="31"/>
  <c r="A762" i="31" s="1"/>
  <c r="G761" i="31"/>
  <c r="F761" i="31"/>
  <c r="D761" i="31"/>
  <c r="H760" i="31"/>
  <c r="A761" i="31" s="1"/>
  <c r="G760" i="31"/>
  <c r="F760" i="31"/>
  <c r="D760" i="31"/>
  <c r="H759" i="31"/>
  <c r="A760" i="31" s="1"/>
  <c r="G759" i="31"/>
  <c r="F759" i="31"/>
  <c r="D759" i="31"/>
  <c r="H758" i="31"/>
  <c r="A759" i="31" s="1"/>
  <c r="G758" i="31"/>
  <c r="F758" i="31"/>
  <c r="D758" i="31"/>
  <c r="H757" i="31"/>
  <c r="A758" i="31" s="1"/>
  <c r="G757" i="31"/>
  <c r="F757" i="31"/>
  <c r="D757" i="31"/>
  <c r="H756" i="31"/>
  <c r="A757" i="31" s="1"/>
  <c r="G756" i="31"/>
  <c r="F756" i="31"/>
  <c r="D756" i="31"/>
  <c r="H755" i="31"/>
  <c r="A756" i="31" s="1"/>
  <c r="G755" i="31"/>
  <c r="F755" i="31"/>
  <c r="D755" i="31"/>
  <c r="H754" i="31"/>
  <c r="A755" i="31" s="1"/>
  <c r="G754" i="31"/>
  <c r="F754" i="31"/>
  <c r="D754" i="31"/>
  <c r="H753" i="31"/>
  <c r="A754" i="31" s="1"/>
  <c r="G753" i="31"/>
  <c r="F753" i="31"/>
  <c r="D753" i="31"/>
  <c r="H752" i="31"/>
  <c r="A753" i="31" s="1"/>
  <c r="G752" i="31"/>
  <c r="F752" i="31"/>
  <c r="D752" i="31"/>
  <c r="H751" i="31"/>
  <c r="A752" i="31" s="1"/>
  <c r="G751" i="31"/>
  <c r="F751" i="31"/>
  <c r="D751" i="31"/>
  <c r="H750" i="31"/>
  <c r="A751" i="31" s="1"/>
  <c r="G750" i="31"/>
  <c r="F750" i="31"/>
  <c r="D750" i="31"/>
  <c r="H749" i="31"/>
  <c r="A750" i="31" s="1"/>
  <c r="G749" i="31"/>
  <c r="F749" i="31"/>
  <c r="D749" i="31"/>
  <c r="H748" i="31"/>
  <c r="A749" i="31" s="1"/>
  <c r="G748" i="31"/>
  <c r="F748" i="31"/>
  <c r="D748" i="31"/>
  <c r="H747" i="31"/>
  <c r="A748" i="31" s="1"/>
  <c r="G747" i="31"/>
  <c r="F747" i="31"/>
  <c r="D747" i="31"/>
  <c r="H746" i="31"/>
  <c r="A747" i="31" s="1"/>
  <c r="G746" i="31"/>
  <c r="F746" i="31"/>
  <c r="D746" i="31"/>
  <c r="H745" i="31"/>
  <c r="A746" i="31" s="1"/>
  <c r="G745" i="31"/>
  <c r="F745" i="31"/>
  <c r="D745" i="31"/>
  <c r="H744" i="31"/>
  <c r="A745" i="31" s="1"/>
  <c r="G744" i="31"/>
  <c r="F744" i="31"/>
  <c r="D744" i="31"/>
  <c r="H743" i="31"/>
  <c r="A744" i="31" s="1"/>
  <c r="G743" i="31"/>
  <c r="F743" i="31"/>
  <c r="D743" i="31"/>
  <c r="H742" i="31"/>
  <c r="A743" i="31" s="1"/>
  <c r="G742" i="31"/>
  <c r="F742" i="31"/>
  <c r="D742" i="31"/>
  <c r="H741" i="31"/>
  <c r="A742" i="31" s="1"/>
  <c r="G741" i="31"/>
  <c r="F741" i="31"/>
  <c r="D741" i="31"/>
  <c r="H740" i="31"/>
  <c r="A741" i="31" s="1"/>
  <c r="G740" i="31"/>
  <c r="F740" i="31"/>
  <c r="D740" i="31"/>
  <c r="A740" i="31"/>
  <c r="H739" i="31"/>
  <c r="G739" i="31"/>
  <c r="F739" i="31"/>
  <c r="D739" i="31"/>
  <c r="H738" i="31"/>
  <c r="A739" i="31" s="1"/>
  <c r="G738" i="31"/>
  <c r="F738" i="31"/>
  <c r="D738" i="31"/>
  <c r="H737" i="31"/>
  <c r="A738" i="31" s="1"/>
  <c r="G737" i="31"/>
  <c r="F737" i="31"/>
  <c r="D737" i="31"/>
  <c r="H736" i="31"/>
  <c r="A737" i="31" s="1"/>
  <c r="G736" i="31"/>
  <c r="F736" i="31"/>
  <c r="D736" i="31"/>
  <c r="H735" i="31"/>
  <c r="A736" i="31" s="1"/>
  <c r="G735" i="31"/>
  <c r="F735" i="31"/>
  <c r="D735" i="31"/>
  <c r="H734" i="31"/>
  <c r="A735" i="31" s="1"/>
  <c r="G734" i="31"/>
  <c r="F734" i="31"/>
  <c r="D734" i="31"/>
  <c r="H733" i="31"/>
  <c r="A734" i="31" s="1"/>
  <c r="G733" i="31"/>
  <c r="F733" i="31"/>
  <c r="D733" i="31"/>
  <c r="H732" i="31"/>
  <c r="A733" i="31" s="1"/>
  <c r="G732" i="31"/>
  <c r="F732" i="31"/>
  <c r="D732" i="31"/>
  <c r="H731" i="31"/>
  <c r="A732" i="31" s="1"/>
  <c r="G731" i="31"/>
  <c r="F731" i="31"/>
  <c r="D731" i="31"/>
  <c r="A731" i="31"/>
  <c r="H730" i="31"/>
  <c r="G730" i="31"/>
  <c r="F730" i="31"/>
  <c r="D730" i="31"/>
  <c r="H729" i="31"/>
  <c r="A730" i="31" s="1"/>
  <c r="G729" i="31"/>
  <c r="F729" i="31"/>
  <c r="D729" i="31"/>
  <c r="H728" i="31"/>
  <c r="A729" i="31" s="1"/>
  <c r="G728" i="31"/>
  <c r="F728" i="31"/>
  <c r="D728" i="31"/>
  <c r="H727" i="31"/>
  <c r="A728" i="31" s="1"/>
  <c r="G727" i="31"/>
  <c r="F727" i="31"/>
  <c r="D727" i="31"/>
  <c r="H726" i="31"/>
  <c r="A727" i="31" s="1"/>
  <c r="G726" i="31"/>
  <c r="F726" i="31"/>
  <c r="D726" i="31"/>
  <c r="H725" i="31"/>
  <c r="A726" i="31" s="1"/>
  <c r="G725" i="31"/>
  <c r="F725" i="31"/>
  <c r="D725" i="31"/>
  <c r="H724" i="31"/>
  <c r="A725" i="31" s="1"/>
  <c r="G724" i="31"/>
  <c r="F724" i="31"/>
  <c r="D724" i="31"/>
  <c r="H723" i="31"/>
  <c r="A724" i="31" s="1"/>
  <c r="G723" i="31"/>
  <c r="F723" i="31"/>
  <c r="D723" i="31"/>
  <c r="H722" i="31"/>
  <c r="A723" i="31" s="1"/>
  <c r="G722" i="31"/>
  <c r="F722" i="31"/>
  <c r="D722" i="31"/>
  <c r="H721" i="31"/>
  <c r="A722" i="31" s="1"/>
  <c r="G721" i="31"/>
  <c r="F721" i="31"/>
  <c r="D721" i="31"/>
  <c r="H720" i="31"/>
  <c r="A721" i="31" s="1"/>
  <c r="G720" i="31"/>
  <c r="F720" i="31"/>
  <c r="D720" i="31"/>
  <c r="H719" i="31"/>
  <c r="A720" i="31" s="1"/>
  <c r="G719" i="31"/>
  <c r="F719" i="31"/>
  <c r="D719" i="31"/>
  <c r="H718" i="31"/>
  <c r="A719" i="31" s="1"/>
  <c r="G718" i="31"/>
  <c r="F718" i="31"/>
  <c r="D718" i="31"/>
  <c r="H717" i="31"/>
  <c r="A718" i="31" s="1"/>
  <c r="G717" i="31"/>
  <c r="F717" i="31"/>
  <c r="D717" i="31"/>
  <c r="H716" i="31"/>
  <c r="A717" i="31" s="1"/>
  <c r="G716" i="31"/>
  <c r="F716" i="31"/>
  <c r="D716" i="31"/>
  <c r="H715" i="31"/>
  <c r="A716" i="31" s="1"/>
  <c r="G715" i="31"/>
  <c r="F715" i="31"/>
  <c r="D715" i="31"/>
  <c r="H714" i="31"/>
  <c r="A715" i="31" s="1"/>
  <c r="G714" i="31"/>
  <c r="F714" i="31"/>
  <c r="D714" i="31"/>
  <c r="H713" i="31"/>
  <c r="A714" i="31" s="1"/>
  <c r="G713" i="31"/>
  <c r="F713" i="31"/>
  <c r="D713" i="31"/>
  <c r="H712" i="31"/>
  <c r="A713" i="31" s="1"/>
  <c r="G712" i="31"/>
  <c r="F712" i="31"/>
  <c r="D712" i="31"/>
  <c r="H711" i="31"/>
  <c r="A712" i="31" s="1"/>
  <c r="G711" i="31"/>
  <c r="F711" i="31"/>
  <c r="D711" i="31"/>
  <c r="H710" i="31"/>
  <c r="A711" i="31" s="1"/>
  <c r="G710" i="31"/>
  <c r="F710" i="31"/>
  <c r="D710" i="31"/>
  <c r="H709" i="31"/>
  <c r="A710" i="31" s="1"/>
  <c r="G709" i="31"/>
  <c r="F709" i="31"/>
  <c r="D709" i="31"/>
  <c r="A709" i="31"/>
  <c r="H708" i="31"/>
  <c r="G708" i="31"/>
  <c r="F708" i="31"/>
  <c r="D708" i="31"/>
  <c r="H707" i="31"/>
  <c r="A708" i="31" s="1"/>
  <c r="G707" i="31"/>
  <c r="F707" i="31"/>
  <c r="D707" i="31"/>
  <c r="H706" i="31"/>
  <c r="A707" i="31" s="1"/>
  <c r="G706" i="31"/>
  <c r="F706" i="31"/>
  <c r="D706" i="31"/>
  <c r="H705" i="31"/>
  <c r="A706" i="31" s="1"/>
  <c r="G705" i="31"/>
  <c r="F705" i="31"/>
  <c r="D705" i="31"/>
  <c r="H704" i="31"/>
  <c r="A705" i="31" s="1"/>
  <c r="G704" i="31"/>
  <c r="F704" i="31"/>
  <c r="D704" i="31"/>
  <c r="H703" i="31"/>
  <c r="A704" i="31" s="1"/>
  <c r="G703" i="31"/>
  <c r="F703" i="31"/>
  <c r="D703" i="31"/>
  <c r="H702" i="31"/>
  <c r="A703" i="31" s="1"/>
  <c r="G702" i="31"/>
  <c r="F702" i="31"/>
  <c r="D702" i="31"/>
  <c r="H701" i="31"/>
  <c r="A702" i="31" s="1"/>
  <c r="G701" i="31"/>
  <c r="F701" i="31"/>
  <c r="D701" i="31"/>
  <c r="H700" i="31"/>
  <c r="A701" i="31" s="1"/>
  <c r="G700" i="31"/>
  <c r="F700" i="31"/>
  <c r="D700" i="31"/>
  <c r="H699" i="31"/>
  <c r="A700" i="31" s="1"/>
  <c r="G699" i="31"/>
  <c r="F699" i="31"/>
  <c r="D699" i="31"/>
  <c r="H698" i="31"/>
  <c r="A699" i="31" s="1"/>
  <c r="G698" i="31"/>
  <c r="F698" i="31"/>
  <c r="D698" i="31"/>
  <c r="H697" i="31"/>
  <c r="A698" i="31" s="1"/>
  <c r="G697" i="31"/>
  <c r="F697" i="31"/>
  <c r="D697" i="31"/>
  <c r="H696" i="31"/>
  <c r="A697" i="31" s="1"/>
  <c r="G696" i="31"/>
  <c r="F696" i="31"/>
  <c r="D696" i="31"/>
  <c r="H695" i="31"/>
  <c r="A696" i="31" s="1"/>
  <c r="G695" i="31"/>
  <c r="F695" i="31"/>
  <c r="D695" i="31"/>
  <c r="H694" i="31"/>
  <c r="A695" i="31" s="1"/>
  <c r="G694" i="31"/>
  <c r="F694" i="31"/>
  <c r="D694" i="31"/>
  <c r="H693" i="31"/>
  <c r="A694" i="31" s="1"/>
  <c r="G693" i="31"/>
  <c r="F693" i="31"/>
  <c r="D693" i="31"/>
  <c r="H692" i="31"/>
  <c r="A693" i="31" s="1"/>
  <c r="G692" i="31"/>
  <c r="F692" i="31"/>
  <c r="D692" i="31"/>
  <c r="H691" i="31"/>
  <c r="A692" i="31" s="1"/>
  <c r="G691" i="31"/>
  <c r="F691" i="31"/>
  <c r="D691" i="31"/>
  <c r="A691" i="31"/>
  <c r="H690" i="31"/>
  <c r="G690" i="31"/>
  <c r="F690" i="31"/>
  <c r="D690" i="31"/>
  <c r="H689" i="31"/>
  <c r="A690" i="31" s="1"/>
  <c r="G689" i="31"/>
  <c r="F689" i="31"/>
  <c r="D689" i="31"/>
  <c r="H688" i="31"/>
  <c r="A689" i="31" s="1"/>
  <c r="G688" i="31"/>
  <c r="F688" i="31"/>
  <c r="D688" i="31"/>
  <c r="H687" i="31"/>
  <c r="A688" i="31" s="1"/>
  <c r="G687" i="31"/>
  <c r="F687" i="31"/>
  <c r="D687" i="31"/>
  <c r="H686" i="31"/>
  <c r="A687" i="31" s="1"/>
  <c r="G686" i="31"/>
  <c r="F686" i="31"/>
  <c r="D686" i="31"/>
  <c r="H685" i="31"/>
  <c r="A686" i="31" s="1"/>
  <c r="G685" i="31"/>
  <c r="F685" i="31"/>
  <c r="D685" i="31"/>
  <c r="H684" i="31"/>
  <c r="A685" i="31" s="1"/>
  <c r="G684" i="31"/>
  <c r="F684" i="31"/>
  <c r="D684" i="31"/>
  <c r="H683" i="31"/>
  <c r="A684" i="31" s="1"/>
  <c r="G683" i="31"/>
  <c r="F683" i="31"/>
  <c r="D683" i="31"/>
  <c r="H682" i="31"/>
  <c r="A683" i="31" s="1"/>
  <c r="G682" i="31"/>
  <c r="F682" i="31"/>
  <c r="D682" i="31"/>
  <c r="H681" i="31"/>
  <c r="A682" i="31" s="1"/>
  <c r="G681" i="31"/>
  <c r="F681" i="31"/>
  <c r="D681" i="31"/>
  <c r="H680" i="31"/>
  <c r="A681" i="31" s="1"/>
  <c r="G680" i="31"/>
  <c r="F680" i="31"/>
  <c r="D680" i="31"/>
  <c r="H679" i="31"/>
  <c r="A680" i="31" s="1"/>
  <c r="G679" i="31"/>
  <c r="F679" i="31"/>
  <c r="D679" i="31"/>
  <c r="H678" i="31"/>
  <c r="A679" i="31" s="1"/>
  <c r="G678" i="31"/>
  <c r="F678" i="31"/>
  <c r="D678" i="31"/>
  <c r="H677" i="31"/>
  <c r="A678" i="31" s="1"/>
  <c r="G677" i="31"/>
  <c r="F677" i="31"/>
  <c r="D677" i="31"/>
  <c r="H676" i="31"/>
  <c r="A677" i="31" s="1"/>
  <c r="G676" i="31"/>
  <c r="F676" i="31"/>
  <c r="D676" i="31"/>
  <c r="H675" i="31"/>
  <c r="A676" i="31" s="1"/>
  <c r="G675" i="31"/>
  <c r="F675" i="31"/>
  <c r="D675" i="31"/>
  <c r="H674" i="31"/>
  <c r="A675" i="31" s="1"/>
  <c r="G674" i="31"/>
  <c r="F674" i="31"/>
  <c r="D674" i="31"/>
  <c r="H673" i="31"/>
  <c r="A674" i="31" s="1"/>
  <c r="G673" i="31"/>
  <c r="F673" i="31"/>
  <c r="D673" i="31"/>
  <c r="H672" i="31"/>
  <c r="A673" i="31" s="1"/>
  <c r="G672" i="31"/>
  <c r="F672" i="31"/>
  <c r="D672" i="31"/>
  <c r="H671" i="31"/>
  <c r="A672" i="31" s="1"/>
  <c r="G671" i="31"/>
  <c r="F671" i="31"/>
  <c r="D671" i="31"/>
  <c r="H670" i="31"/>
  <c r="A671" i="31" s="1"/>
  <c r="G670" i="31"/>
  <c r="F670" i="31"/>
  <c r="D670" i="31"/>
  <c r="H669" i="31"/>
  <c r="A670" i="31" s="1"/>
  <c r="G669" i="31"/>
  <c r="F669" i="31"/>
  <c r="D669" i="31"/>
  <c r="H668" i="31"/>
  <c r="A669" i="31" s="1"/>
  <c r="G668" i="31"/>
  <c r="F668" i="31"/>
  <c r="D668" i="31"/>
  <c r="H667" i="31"/>
  <c r="A668" i="31" s="1"/>
  <c r="G667" i="31"/>
  <c r="F667" i="31"/>
  <c r="D667" i="31"/>
  <c r="H666" i="31"/>
  <c r="A667" i="31" s="1"/>
  <c r="G666" i="31"/>
  <c r="F666" i="31"/>
  <c r="D666" i="31"/>
  <c r="H665" i="31"/>
  <c r="A666" i="31" s="1"/>
  <c r="G665" i="31"/>
  <c r="F665" i="31"/>
  <c r="D665" i="31"/>
  <c r="H664" i="31"/>
  <c r="A665" i="31" s="1"/>
  <c r="G664" i="31"/>
  <c r="F664" i="31"/>
  <c r="D664" i="31"/>
  <c r="H663" i="31"/>
  <c r="A664" i="31" s="1"/>
  <c r="G663" i="31"/>
  <c r="F663" i="31"/>
  <c r="D663" i="31"/>
  <c r="H662" i="31"/>
  <c r="A663" i="31" s="1"/>
  <c r="G662" i="31"/>
  <c r="F662" i="31"/>
  <c r="D662" i="31"/>
  <c r="H661" i="31"/>
  <c r="A662" i="31" s="1"/>
  <c r="G661" i="31"/>
  <c r="F661" i="31"/>
  <c r="D661" i="31"/>
  <c r="H660" i="31"/>
  <c r="A661" i="31" s="1"/>
  <c r="G660" i="31"/>
  <c r="F660" i="31"/>
  <c r="D660" i="31"/>
  <c r="H659" i="31"/>
  <c r="A660" i="31" s="1"/>
  <c r="G659" i="31"/>
  <c r="F659" i="31"/>
  <c r="D659" i="31"/>
  <c r="H658" i="31"/>
  <c r="A659" i="31" s="1"/>
  <c r="G658" i="31"/>
  <c r="F658" i="31"/>
  <c r="D658" i="31"/>
  <c r="H657" i="31"/>
  <c r="A658" i="31" s="1"/>
  <c r="G657" i="31"/>
  <c r="F657" i="31"/>
  <c r="D657" i="31"/>
  <c r="H656" i="31"/>
  <c r="A657" i="31" s="1"/>
  <c r="G656" i="31"/>
  <c r="F656" i="31"/>
  <c r="D656" i="31"/>
  <c r="H655" i="31"/>
  <c r="A656" i="31" s="1"/>
  <c r="G655" i="31"/>
  <c r="F655" i="31"/>
  <c r="D655" i="31"/>
  <c r="A655" i="31"/>
  <c r="H654" i="31"/>
  <c r="G654" i="31"/>
  <c r="F654" i="31"/>
  <c r="D654" i="31"/>
  <c r="H653" i="31"/>
  <c r="A654" i="31" s="1"/>
  <c r="G653" i="31"/>
  <c r="F653" i="31"/>
  <c r="D653" i="31"/>
  <c r="H652" i="31"/>
  <c r="A653" i="31" s="1"/>
  <c r="G652" i="31"/>
  <c r="F652" i="31"/>
  <c r="D652" i="31"/>
  <c r="H651" i="31"/>
  <c r="A652" i="31" s="1"/>
  <c r="G651" i="31"/>
  <c r="F651" i="31"/>
  <c r="D651" i="31"/>
  <c r="H650" i="31"/>
  <c r="A651" i="31" s="1"/>
  <c r="G650" i="31"/>
  <c r="F650" i="31"/>
  <c r="D650" i="31"/>
  <c r="H649" i="31"/>
  <c r="A650" i="31" s="1"/>
  <c r="G649" i="31"/>
  <c r="F649" i="31"/>
  <c r="D649" i="31"/>
  <c r="H648" i="31"/>
  <c r="A649" i="31" s="1"/>
  <c r="G648" i="31"/>
  <c r="F648" i="31"/>
  <c r="D648" i="31"/>
  <c r="H647" i="31"/>
  <c r="A648" i="31" s="1"/>
  <c r="G647" i="31"/>
  <c r="F647" i="31"/>
  <c r="D647" i="31"/>
  <c r="H646" i="31"/>
  <c r="A647" i="31" s="1"/>
  <c r="G646" i="31"/>
  <c r="F646" i="31"/>
  <c r="D646" i="31"/>
  <c r="H645" i="31"/>
  <c r="A646" i="31" s="1"/>
  <c r="G645" i="31"/>
  <c r="F645" i="31"/>
  <c r="D645" i="31"/>
  <c r="H644" i="31"/>
  <c r="A645" i="31" s="1"/>
  <c r="G644" i="31"/>
  <c r="F644" i="31"/>
  <c r="D644" i="31"/>
  <c r="H643" i="31"/>
  <c r="A644" i="31" s="1"/>
  <c r="G643" i="31"/>
  <c r="F643" i="31"/>
  <c r="D643" i="31"/>
  <c r="H642" i="31"/>
  <c r="A643" i="31" s="1"/>
  <c r="G642" i="31"/>
  <c r="F642" i="31"/>
  <c r="D642" i="31"/>
  <c r="H641" i="31"/>
  <c r="A642" i="31" s="1"/>
  <c r="G641" i="31"/>
  <c r="F641" i="31"/>
  <c r="D641" i="31"/>
  <c r="H640" i="31"/>
  <c r="A641" i="31" s="1"/>
  <c r="G640" i="31"/>
  <c r="F640" i="31"/>
  <c r="D640" i="31"/>
  <c r="H639" i="31"/>
  <c r="A640" i="31" s="1"/>
  <c r="G639" i="31"/>
  <c r="F639" i="31"/>
  <c r="D639" i="31"/>
  <c r="H638" i="31"/>
  <c r="A639" i="31" s="1"/>
  <c r="G638" i="31"/>
  <c r="F638" i="31"/>
  <c r="D638" i="31"/>
  <c r="H637" i="31"/>
  <c r="A638" i="31" s="1"/>
  <c r="G637" i="31"/>
  <c r="F637" i="31"/>
  <c r="D637" i="31"/>
  <c r="H636" i="31"/>
  <c r="A637" i="31" s="1"/>
  <c r="G636" i="31"/>
  <c r="F636" i="31"/>
  <c r="D636" i="31"/>
  <c r="H635" i="31"/>
  <c r="A636" i="31" s="1"/>
  <c r="G635" i="31"/>
  <c r="F635" i="31"/>
  <c r="D635" i="31"/>
  <c r="A635" i="31"/>
  <c r="H634" i="31"/>
  <c r="G634" i="31"/>
  <c r="F634" i="31"/>
  <c r="D634" i="31"/>
  <c r="H633" i="31"/>
  <c r="A634" i="31" s="1"/>
  <c r="G633" i="31"/>
  <c r="F633" i="31"/>
  <c r="D633" i="31"/>
  <c r="H632" i="31"/>
  <c r="A633" i="31" s="1"/>
  <c r="G632" i="31"/>
  <c r="F632" i="31"/>
  <c r="D632" i="31"/>
  <c r="H631" i="31"/>
  <c r="A632" i="31" s="1"/>
  <c r="G631" i="31"/>
  <c r="F631" i="31"/>
  <c r="D631" i="31"/>
  <c r="H630" i="31"/>
  <c r="A631" i="31" s="1"/>
  <c r="G630" i="31"/>
  <c r="F630" i="31"/>
  <c r="D630" i="31"/>
  <c r="H629" i="31"/>
  <c r="A630" i="31" s="1"/>
  <c r="G629" i="31"/>
  <c r="F629" i="31"/>
  <c r="D629" i="31"/>
  <c r="H628" i="31"/>
  <c r="A629" i="31" s="1"/>
  <c r="G628" i="31"/>
  <c r="F628" i="31"/>
  <c r="D628" i="31"/>
  <c r="H627" i="31"/>
  <c r="A628" i="31" s="1"/>
  <c r="G627" i="31"/>
  <c r="F627" i="31"/>
  <c r="D627" i="31"/>
  <c r="H626" i="31"/>
  <c r="A627" i="31" s="1"/>
  <c r="G626" i="31"/>
  <c r="F626" i="31"/>
  <c r="D626" i="31"/>
  <c r="H625" i="31"/>
  <c r="A626" i="31" s="1"/>
  <c r="G625" i="31"/>
  <c r="F625" i="31"/>
  <c r="D625" i="31"/>
  <c r="H624" i="31"/>
  <c r="A625" i="31" s="1"/>
  <c r="G624" i="31"/>
  <c r="F624" i="31"/>
  <c r="D624" i="31"/>
  <c r="H623" i="31"/>
  <c r="A624" i="31" s="1"/>
  <c r="G623" i="31"/>
  <c r="F623" i="31"/>
  <c r="D623" i="31"/>
  <c r="A623" i="31"/>
  <c r="H622" i="31"/>
  <c r="G622" i="31"/>
  <c r="F622" i="31"/>
  <c r="D622" i="31"/>
  <c r="H621" i="31"/>
  <c r="A622" i="31" s="1"/>
  <c r="G621" i="31"/>
  <c r="F621" i="31"/>
  <c r="D621" i="31"/>
  <c r="H620" i="31"/>
  <c r="A621" i="31" s="1"/>
  <c r="G620" i="31"/>
  <c r="F620" i="31"/>
  <c r="D620" i="31"/>
  <c r="H619" i="31"/>
  <c r="A620" i="31" s="1"/>
  <c r="G619" i="31"/>
  <c r="F619" i="31"/>
  <c r="D619" i="31"/>
  <c r="H618" i="31"/>
  <c r="A619" i="31" s="1"/>
  <c r="G618" i="31"/>
  <c r="F618" i="31"/>
  <c r="D618" i="31"/>
  <c r="H617" i="31"/>
  <c r="A618" i="31" s="1"/>
  <c r="G617" i="31"/>
  <c r="F617" i="31"/>
  <c r="D617" i="31"/>
  <c r="H616" i="31"/>
  <c r="A617" i="31" s="1"/>
  <c r="G616" i="31"/>
  <c r="F616" i="31"/>
  <c r="D616" i="31"/>
  <c r="H615" i="31"/>
  <c r="A616" i="31" s="1"/>
  <c r="G615" i="31"/>
  <c r="F615" i="31"/>
  <c r="D615" i="31"/>
  <c r="H614" i="31"/>
  <c r="A615" i="31" s="1"/>
  <c r="G614" i="31"/>
  <c r="F614" i="31"/>
  <c r="D614" i="31"/>
  <c r="H613" i="31"/>
  <c r="A614" i="31" s="1"/>
  <c r="G613" i="31"/>
  <c r="F613" i="31"/>
  <c r="D613" i="31"/>
  <c r="H612" i="31"/>
  <c r="A613" i="31" s="1"/>
  <c r="G612" i="31"/>
  <c r="F612" i="31"/>
  <c r="D612" i="31"/>
  <c r="H611" i="31"/>
  <c r="A612" i="31" s="1"/>
  <c r="G611" i="31"/>
  <c r="F611" i="31"/>
  <c r="D611" i="31"/>
  <c r="H610" i="31"/>
  <c r="A611" i="31" s="1"/>
  <c r="G610" i="31"/>
  <c r="F610" i="31"/>
  <c r="D610" i="31"/>
  <c r="H609" i="31"/>
  <c r="A610" i="31" s="1"/>
  <c r="G609" i="31"/>
  <c r="F609" i="31"/>
  <c r="D609" i="31"/>
  <c r="H608" i="31"/>
  <c r="A609" i="31" s="1"/>
  <c r="G608" i="31"/>
  <c r="F608" i="31"/>
  <c r="D608" i="31"/>
  <c r="H607" i="31"/>
  <c r="A608" i="31" s="1"/>
  <c r="G607" i="31"/>
  <c r="F607" i="31"/>
  <c r="D607" i="31"/>
  <c r="A607" i="31"/>
  <c r="H606" i="31"/>
  <c r="G606" i="31"/>
  <c r="F606" i="31"/>
  <c r="D606" i="31"/>
  <c r="H605" i="31"/>
  <c r="A606" i="31" s="1"/>
  <c r="G605" i="31"/>
  <c r="F605" i="31"/>
  <c r="D605" i="31"/>
  <c r="H604" i="31"/>
  <c r="A605" i="31" s="1"/>
  <c r="G604" i="31"/>
  <c r="F604" i="31"/>
  <c r="D604" i="31"/>
  <c r="H603" i="31"/>
  <c r="A604" i="31" s="1"/>
  <c r="G603" i="31"/>
  <c r="F603" i="31"/>
  <c r="D603" i="31"/>
  <c r="H602" i="31"/>
  <c r="A603" i="31" s="1"/>
  <c r="G602" i="31"/>
  <c r="F602" i="31"/>
  <c r="D602" i="31"/>
  <c r="H601" i="31"/>
  <c r="A602" i="31" s="1"/>
  <c r="G601" i="31"/>
  <c r="F601" i="31"/>
  <c r="D601" i="31"/>
  <c r="H600" i="31"/>
  <c r="A601" i="31" s="1"/>
  <c r="G600" i="31"/>
  <c r="F600" i="31"/>
  <c r="D600" i="31"/>
  <c r="H599" i="31"/>
  <c r="A600" i="31" s="1"/>
  <c r="G599" i="31"/>
  <c r="F599" i="31"/>
  <c r="D599" i="31"/>
  <c r="H598" i="31"/>
  <c r="A599" i="31" s="1"/>
  <c r="G598" i="31"/>
  <c r="F598" i="31"/>
  <c r="D598" i="31"/>
  <c r="H597" i="31"/>
  <c r="A598" i="31" s="1"/>
  <c r="G597" i="31"/>
  <c r="F597" i="31"/>
  <c r="D597" i="31"/>
  <c r="H596" i="31"/>
  <c r="A597" i="31" s="1"/>
  <c r="G596" i="31"/>
  <c r="F596" i="31"/>
  <c r="D596" i="31"/>
  <c r="A596" i="31"/>
  <c r="H595" i="31"/>
  <c r="G595" i="31"/>
  <c r="F595" i="31"/>
  <c r="D595" i="31"/>
  <c r="H594" i="31"/>
  <c r="A595" i="31" s="1"/>
  <c r="G594" i="31"/>
  <c r="F594" i="31"/>
  <c r="D594" i="31"/>
  <c r="H593" i="31"/>
  <c r="A594" i="31" s="1"/>
  <c r="G593" i="31"/>
  <c r="F593" i="31"/>
  <c r="D593" i="31"/>
  <c r="H592" i="31"/>
  <c r="A593" i="31" s="1"/>
  <c r="G592" i="31"/>
  <c r="F592" i="31"/>
  <c r="D592" i="31"/>
  <c r="H591" i="31"/>
  <c r="A592" i="31" s="1"/>
  <c r="G591" i="31"/>
  <c r="F591" i="31"/>
  <c r="D591" i="31"/>
  <c r="A591" i="31"/>
  <c r="H590" i="31"/>
  <c r="G590" i="31"/>
  <c r="F590" i="31"/>
  <c r="D590" i="31"/>
  <c r="H589" i="31"/>
  <c r="A590" i="31" s="1"/>
  <c r="G589" i="31"/>
  <c r="F589" i="31"/>
  <c r="D589" i="31"/>
  <c r="A589" i="31"/>
  <c r="H588" i="31"/>
  <c r="G588" i="31"/>
  <c r="F588" i="31"/>
  <c r="D588" i="31"/>
  <c r="H587" i="31"/>
  <c r="A588" i="31" s="1"/>
  <c r="G587" i="31"/>
  <c r="F587" i="31"/>
  <c r="D587" i="31"/>
  <c r="A587" i="31"/>
  <c r="H586" i="31"/>
  <c r="G586" i="31"/>
  <c r="F586" i="31"/>
  <c r="D586" i="31"/>
  <c r="H585" i="31"/>
  <c r="A586" i="31" s="1"/>
  <c r="G585" i="31"/>
  <c r="F585" i="31"/>
  <c r="D585" i="31"/>
  <c r="H584" i="31"/>
  <c r="A585" i="31" s="1"/>
  <c r="G584" i="31"/>
  <c r="F584" i="31"/>
  <c r="D584" i="31"/>
  <c r="H583" i="31"/>
  <c r="A584" i="31" s="1"/>
  <c r="G583" i="31"/>
  <c r="F583" i="31"/>
  <c r="D583" i="31"/>
  <c r="H582" i="31"/>
  <c r="A583" i="31" s="1"/>
  <c r="G582" i="31"/>
  <c r="F582" i="31"/>
  <c r="D582" i="31"/>
  <c r="H581" i="31"/>
  <c r="A582" i="31" s="1"/>
  <c r="G581" i="31"/>
  <c r="F581" i="31"/>
  <c r="D581" i="31"/>
  <c r="H580" i="31"/>
  <c r="A581" i="31" s="1"/>
  <c r="G580" i="31"/>
  <c r="F580" i="31"/>
  <c r="D580" i="31"/>
  <c r="H579" i="31"/>
  <c r="A580" i="31" s="1"/>
  <c r="G579" i="31"/>
  <c r="F579" i="31"/>
  <c r="D579" i="31"/>
  <c r="H578" i="31"/>
  <c r="A579" i="31" s="1"/>
  <c r="G578" i="31"/>
  <c r="F578" i="31"/>
  <c r="D578" i="31"/>
  <c r="H577" i="31"/>
  <c r="A578" i="31" s="1"/>
  <c r="G577" i="31"/>
  <c r="F577" i="31"/>
  <c r="D577" i="31"/>
  <c r="H576" i="31"/>
  <c r="A577" i="31" s="1"/>
  <c r="G576" i="31"/>
  <c r="F576" i="31"/>
  <c r="D576" i="31"/>
  <c r="H575" i="31"/>
  <c r="A576" i="31" s="1"/>
  <c r="G575" i="31"/>
  <c r="F575" i="31"/>
  <c r="D575" i="31"/>
  <c r="A575" i="31"/>
  <c r="H574" i="31"/>
  <c r="G574" i="31"/>
  <c r="F574" i="31"/>
  <c r="D574" i="31"/>
  <c r="H573" i="31"/>
  <c r="A574" i="31" s="1"/>
  <c r="G573" i="31"/>
  <c r="F573" i="31"/>
  <c r="D573" i="31"/>
  <c r="H572" i="31"/>
  <c r="A573" i="31" s="1"/>
  <c r="G572" i="31"/>
  <c r="F572" i="31"/>
  <c r="D572" i="31"/>
  <c r="H571" i="31"/>
  <c r="A572" i="31" s="1"/>
  <c r="G571" i="31"/>
  <c r="F571" i="31"/>
  <c r="D571" i="31"/>
  <c r="H570" i="31"/>
  <c r="A571" i="31" s="1"/>
  <c r="G570" i="31"/>
  <c r="F570" i="31"/>
  <c r="D570" i="31"/>
  <c r="H569" i="31"/>
  <c r="A570" i="31" s="1"/>
  <c r="G569" i="31"/>
  <c r="F569" i="31"/>
  <c r="D569" i="31"/>
  <c r="H568" i="31"/>
  <c r="A569" i="31" s="1"/>
  <c r="G568" i="31"/>
  <c r="F568" i="31"/>
  <c r="D568" i="31"/>
  <c r="A568" i="31"/>
  <c r="H567" i="31"/>
  <c r="G567" i="31"/>
  <c r="F567" i="31"/>
  <c r="D567" i="31"/>
  <c r="H566" i="31"/>
  <c r="A567" i="31" s="1"/>
  <c r="G566" i="31"/>
  <c r="F566" i="31"/>
  <c r="D566" i="31"/>
  <c r="H565" i="31"/>
  <c r="A566" i="31" s="1"/>
  <c r="G565" i="31"/>
  <c r="F565" i="31"/>
  <c r="D565" i="31"/>
  <c r="H564" i="31"/>
  <c r="A565" i="31" s="1"/>
  <c r="G564" i="31"/>
  <c r="F564" i="31"/>
  <c r="D564" i="31"/>
  <c r="H563" i="31"/>
  <c r="A564" i="31" s="1"/>
  <c r="G563" i="31"/>
  <c r="F563" i="31"/>
  <c r="D563" i="31"/>
  <c r="H562" i="31"/>
  <c r="A563" i="31" s="1"/>
  <c r="G562" i="31"/>
  <c r="F562" i="31"/>
  <c r="D562" i="31"/>
  <c r="H561" i="31"/>
  <c r="A562" i="31" s="1"/>
  <c r="G561" i="31"/>
  <c r="F561" i="31"/>
  <c r="D561" i="31"/>
  <c r="H560" i="31"/>
  <c r="A561" i="31" s="1"/>
  <c r="G560" i="31"/>
  <c r="F560" i="31"/>
  <c r="D560" i="31"/>
  <c r="H559" i="31"/>
  <c r="A560" i="31" s="1"/>
  <c r="G559" i="31"/>
  <c r="F559" i="31"/>
  <c r="D559" i="31"/>
  <c r="H558" i="31"/>
  <c r="A559" i="31" s="1"/>
  <c r="G558" i="31"/>
  <c r="F558" i="31"/>
  <c r="D558" i="31"/>
  <c r="H557" i="31"/>
  <c r="A558" i="31" s="1"/>
  <c r="G557" i="31"/>
  <c r="F557" i="31"/>
  <c r="D557" i="31"/>
  <c r="H556" i="31"/>
  <c r="A557" i="31" s="1"/>
  <c r="G556" i="31"/>
  <c r="F556" i="31"/>
  <c r="D556" i="31"/>
  <c r="H555" i="31"/>
  <c r="A556" i="31" s="1"/>
  <c r="G555" i="31"/>
  <c r="F555" i="31"/>
  <c r="D555" i="31"/>
  <c r="H554" i="31"/>
  <c r="A555" i="31" s="1"/>
  <c r="G554" i="31"/>
  <c r="F554" i="31"/>
  <c r="D554" i="31"/>
  <c r="H553" i="31"/>
  <c r="A554" i="31" s="1"/>
  <c r="G553" i="31"/>
  <c r="F553" i="31"/>
  <c r="D553" i="31"/>
  <c r="H552" i="31"/>
  <c r="A553" i="31" s="1"/>
  <c r="G552" i="31"/>
  <c r="F552" i="31"/>
  <c r="D552" i="31"/>
  <c r="H551" i="31"/>
  <c r="A552" i="31" s="1"/>
  <c r="G551" i="31"/>
  <c r="F551" i="31"/>
  <c r="D551" i="31"/>
  <c r="H550" i="31"/>
  <c r="A551" i="31" s="1"/>
  <c r="G550" i="31"/>
  <c r="F550" i="31"/>
  <c r="D550" i="31"/>
  <c r="H549" i="31"/>
  <c r="A550" i="31" s="1"/>
  <c r="G549" i="31"/>
  <c r="F549" i="31"/>
  <c r="D549" i="31"/>
  <c r="H548" i="31"/>
  <c r="A549" i="31" s="1"/>
  <c r="G548" i="31"/>
  <c r="F548" i="31"/>
  <c r="D548" i="31"/>
  <c r="H547" i="31"/>
  <c r="A548" i="31" s="1"/>
  <c r="G547" i="31"/>
  <c r="F547" i="31"/>
  <c r="D547" i="31"/>
  <c r="H546" i="31"/>
  <c r="A547" i="31" s="1"/>
  <c r="G546" i="31"/>
  <c r="F546" i="31"/>
  <c r="D546" i="31"/>
  <c r="H545" i="31"/>
  <c r="A546" i="31" s="1"/>
  <c r="G545" i="31"/>
  <c r="F545" i="31"/>
  <c r="D545" i="31"/>
  <c r="H544" i="31"/>
  <c r="A545" i="31" s="1"/>
  <c r="G544" i="31"/>
  <c r="F544" i="31"/>
  <c r="D544" i="31"/>
  <c r="H543" i="31"/>
  <c r="A544" i="31" s="1"/>
  <c r="G543" i="31"/>
  <c r="F543" i="31"/>
  <c r="D543" i="31"/>
  <c r="H542" i="31"/>
  <c r="A543" i="31" s="1"/>
  <c r="G542" i="31"/>
  <c r="F542" i="31"/>
  <c r="D542" i="31"/>
  <c r="H541" i="31"/>
  <c r="A542" i="31" s="1"/>
  <c r="G541" i="31"/>
  <c r="F541" i="31"/>
  <c r="D541" i="31"/>
  <c r="H540" i="31"/>
  <c r="A541" i="31" s="1"/>
  <c r="G540" i="31"/>
  <c r="F540" i="31"/>
  <c r="D540" i="31"/>
  <c r="A540" i="31"/>
  <c r="H539" i="31"/>
  <c r="G539" i="31"/>
  <c r="F539" i="31"/>
  <c r="D539" i="31"/>
  <c r="H538" i="31"/>
  <c r="A539" i="31" s="1"/>
  <c r="G538" i="31"/>
  <c r="F538" i="31"/>
  <c r="D538" i="31"/>
  <c r="H537" i="31"/>
  <c r="A538" i="31" s="1"/>
  <c r="G537" i="31"/>
  <c r="F537" i="31"/>
  <c r="D537" i="31"/>
  <c r="H536" i="31"/>
  <c r="A537" i="31" s="1"/>
  <c r="G536" i="31"/>
  <c r="F536" i="31"/>
  <c r="D536" i="31"/>
  <c r="H535" i="31"/>
  <c r="A536" i="31" s="1"/>
  <c r="G535" i="31"/>
  <c r="F535" i="31"/>
  <c r="D535" i="31"/>
  <c r="H534" i="31"/>
  <c r="A535" i="31" s="1"/>
  <c r="G534" i="31"/>
  <c r="F534" i="31"/>
  <c r="D534" i="31"/>
  <c r="H533" i="31"/>
  <c r="A534" i="31" s="1"/>
  <c r="G533" i="31"/>
  <c r="F533" i="31"/>
  <c r="D533" i="31"/>
  <c r="H532" i="31"/>
  <c r="A533" i="31" s="1"/>
  <c r="G532" i="31"/>
  <c r="F532" i="31"/>
  <c r="D532" i="31"/>
  <c r="H531" i="31"/>
  <c r="A532" i="31" s="1"/>
  <c r="G531" i="31"/>
  <c r="F531" i="31"/>
  <c r="D531" i="31"/>
  <c r="A531" i="31"/>
  <c r="H530" i="31"/>
  <c r="G530" i="31"/>
  <c r="F530" i="31"/>
  <c r="D530" i="31"/>
  <c r="H529" i="31"/>
  <c r="A530" i="31" s="1"/>
  <c r="G529" i="31"/>
  <c r="F529" i="31"/>
  <c r="D529" i="31"/>
  <c r="H528" i="31"/>
  <c r="A529" i="31" s="1"/>
  <c r="G528" i="31"/>
  <c r="F528" i="31"/>
  <c r="D528" i="31"/>
  <c r="H527" i="31"/>
  <c r="A528" i="31" s="1"/>
  <c r="G527" i="31"/>
  <c r="F527" i="31"/>
  <c r="D527" i="31"/>
  <c r="H526" i="31"/>
  <c r="A527" i="31" s="1"/>
  <c r="G526" i="31"/>
  <c r="F526" i="31"/>
  <c r="D526" i="31"/>
  <c r="H525" i="31"/>
  <c r="A526" i="31" s="1"/>
  <c r="G525" i="31"/>
  <c r="F525" i="31"/>
  <c r="D525" i="31"/>
  <c r="H524" i="31"/>
  <c r="A525" i="31" s="1"/>
  <c r="G524" i="31"/>
  <c r="F524" i="31"/>
  <c r="D524" i="31"/>
  <c r="H523" i="31"/>
  <c r="A524" i="31" s="1"/>
  <c r="G523" i="31"/>
  <c r="F523" i="31"/>
  <c r="D523" i="31"/>
  <c r="H522" i="31"/>
  <c r="A523" i="31" s="1"/>
  <c r="G522" i="31"/>
  <c r="F522" i="31"/>
  <c r="D522" i="31"/>
  <c r="H521" i="31"/>
  <c r="A522" i="31" s="1"/>
  <c r="G521" i="31"/>
  <c r="F521" i="31"/>
  <c r="D521" i="31"/>
  <c r="H520" i="31"/>
  <c r="A521" i="31" s="1"/>
  <c r="G520" i="31"/>
  <c r="F520" i="31"/>
  <c r="D520" i="31"/>
  <c r="H519" i="31"/>
  <c r="A520" i="31" s="1"/>
  <c r="G519" i="31"/>
  <c r="F519" i="31"/>
  <c r="D519" i="31"/>
  <c r="H518" i="31"/>
  <c r="A519" i="31" s="1"/>
  <c r="G518" i="31"/>
  <c r="F518" i="31"/>
  <c r="D518" i="31"/>
  <c r="H517" i="31"/>
  <c r="A518" i="31" s="1"/>
  <c r="G517" i="31"/>
  <c r="F517" i="31"/>
  <c r="D517" i="31"/>
  <c r="H516" i="31"/>
  <c r="A517" i="31" s="1"/>
  <c r="G516" i="31"/>
  <c r="F516" i="31"/>
  <c r="D516" i="31"/>
  <c r="H515" i="31"/>
  <c r="A516" i="31" s="1"/>
  <c r="G515" i="31"/>
  <c r="F515" i="31"/>
  <c r="D515" i="31"/>
  <c r="H514" i="31"/>
  <c r="A515" i="31" s="1"/>
  <c r="G514" i="31"/>
  <c r="F514" i="31"/>
  <c r="D514" i="31"/>
  <c r="H513" i="31"/>
  <c r="A514" i="31" s="1"/>
  <c r="G513" i="31"/>
  <c r="F513" i="31"/>
  <c r="D513" i="31"/>
  <c r="H512" i="31"/>
  <c r="A513" i="31" s="1"/>
  <c r="G512" i="31"/>
  <c r="F512" i="31"/>
  <c r="D512" i="31"/>
  <c r="H511" i="31"/>
  <c r="A512" i="31" s="1"/>
  <c r="G511" i="31"/>
  <c r="F511" i="31"/>
  <c r="D511" i="31"/>
  <c r="H510" i="31"/>
  <c r="A511" i="31" s="1"/>
  <c r="G510" i="31"/>
  <c r="F510" i="31"/>
  <c r="D510" i="31"/>
  <c r="H509" i="31"/>
  <c r="A510" i="31" s="1"/>
  <c r="G509" i="31"/>
  <c r="F509" i="31"/>
  <c r="D509" i="31"/>
  <c r="H508" i="31"/>
  <c r="A509" i="31" s="1"/>
  <c r="G508" i="31"/>
  <c r="F508" i="31"/>
  <c r="D508" i="31"/>
  <c r="H507" i="31"/>
  <c r="A508" i="31" s="1"/>
  <c r="G507" i="31"/>
  <c r="F507" i="31"/>
  <c r="D507" i="31"/>
  <c r="H506" i="31"/>
  <c r="A507" i="31" s="1"/>
  <c r="G506" i="31"/>
  <c r="F506" i="31"/>
  <c r="D506" i="31"/>
  <c r="H505" i="31"/>
  <c r="A506" i="31" s="1"/>
  <c r="G505" i="31"/>
  <c r="F505" i="31"/>
  <c r="D505" i="31"/>
  <c r="H504" i="31"/>
  <c r="A505" i="31" s="1"/>
  <c r="G504" i="31"/>
  <c r="F504" i="31"/>
  <c r="D504" i="31"/>
  <c r="H503" i="31"/>
  <c r="A504" i="31" s="1"/>
  <c r="G503" i="31"/>
  <c r="F503" i="31"/>
  <c r="D503" i="31"/>
  <c r="A503" i="31"/>
  <c r="H502" i="31"/>
  <c r="G502" i="31"/>
  <c r="F502" i="31"/>
  <c r="D502" i="31"/>
  <c r="H501" i="31"/>
  <c r="A502" i="31" s="1"/>
  <c r="G501" i="31"/>
  <c r="F501" i="31"/>
  <c r="D501" i="31"/>
  <c r="H500" i="31"/>
  <c r="A501" i="31" s="1"/>
  <c r="G500" i="31"/>
  <c r="F500" i="31"/>
  <c r="D500" i="31"/>
  <c r="H499" i="31"/>
  <c r="A500" i="31" s="1"/>
  <c r="G499" i="31"/>
  <c r="F499" i="31"/>
  <c r="D499" i="31"/>
  <c r="H498" i="31"/>
  <c r="A499" i="31" s="1"/>
  <c r="G498" i="31"/>
  <c r="F498" i="31"/>
  <c r="D498" i="31"/>
  <c r="H497" i="31"/>
  <c r="A498" i="31" s="1"/>
  <c r="G497" i="31"/>
  <c r="F497" i="31"/>
  <c r="D497" i="31"/>
  <c r="H496" i="31"/>
  <c r="A497" i="31" s="1"/>
  <c r="G496" i="31"/>
  <c r="F496" i="31"/>
  <c r="D496" i="31"/>
  <c r="A496" i="31"/>
  <c r="H495" i="31"/>
  <c r="G495" i="31"/>
  <c r="F495" i="31"/>
  <c r="D495" i="31"/>
  <c r="H494" i="31"/>
  <c r="A495" i="31" s="1"/>
  <c r="G494" i="31"/>
  <c r="F494" i="31"/>
  <c r="D494" i="31"/>
  <c r="H493" i="31"/>
  <c r="A494" i="31" s="1"/>
  <c r="G493" i="31"/>
  <c r="F493" i="31"/>
  <c r="D493" i="31"/>
  <c r="H492" i="31"/>
  <c r="A493" i="31" s="1"/>
  <c r="G492" i="31"/>
  <c r="F492" i="31"/>
  <c r="D492" i="31"/>
  <c r="H491" i="31"/>
  <c r="A492" i="31" s="1"/>
  <c r="G491" i="31"/>
  <c r="F491" i="31"/>
  <c r="D491" i="31"/>
  <c r="H490" i="31"/>
  <c r="A491" i="31" s="1"/>
  <c r="G490" i="31"/>
  <c r="F490" i="31"/>
  <c r="D490" i="31"/>
  <c r="H489" i="31"/>
  <c r="A490" i="31" s="1"/>
  <c r="G489" i="31"/>
  <c r="F489" i="31"/>
  <c r="D489" i="31"/>
  <c r="H488" i="31"/>
  <c r="A489" i="31" s="1"/>
  <c r="G488" i="31"/>
  <c r="F488" i="31"/>
  <c r="D488" i="31"/>
  <c r="H487" i="31"/>
  <c r="A488" i="31" s="1"/>
  <c r="G487" i="31"/>
  <c r="F487" i="31"/>
  <c r="D487" i="31"/>
  <c r="H486" i="31"/>
  <c r="A487" i="31" s="1"/>
  <c r="G486" i="31"/>
  <c r="F486" i="31"/>
  <c r="D486" i="31"/>
  <c r="H485" i="31"/>
  <c r="A486" i="31" s="1"/>
  <c r="G485" i="31"/>
  <c r="F485" i="31"/>
  <c r="D485" i="31"/>
  <c r="H484" i="31"/>
  <c r="A485" i="31" s="1"/>
  <c r="G484" i="31"/>
  <c r="F484" i="31"/>
  <c r="D484" i="31"/>
  <c r="H483" i="31"/>
  <c r="A484" i="31" s="1"/>
  <c r="G483" i="31"/>
  <c r="F483" i="31"/>
  <c r="D483" i="31"/>
  <c r="H482" i="31"/>
  <c r="A483" i="31" s="1"/>
  <c r="G482" i="31"/>
  <c r="F482" i="31"/>
  <c r="D482" i="31"/>
  <c r="H481" i="31"/>
  <c r="A482" i="31" s="1"/>
  <c r="G481" i="31"/>
  <c r="F481" i="31"/>
  <c r="D481" i="31"/>
  <c r="H480" i="31"/>
  <c r="A481" i="31" s="1"/>
  <c r="G480" i="31"/>
  <c r="F480" i="31"/>
  <c r="D480" i="31"/>
  <c r="H479" i="31"/>
  <c r="A480" i="31" s="1"/>
  <c r="G479" i="31"/>
  <c r="F479" i="31"/>
  <c r="D479" i="31"/>
  <c r="A479" i="31"/>
  <c r="H478" i="31"/>
  <c r="G478" i="31"/>
  <c r="F478" i="31"/>
  <c r="D478" i="31"/>
  <c r="H477" i="31"/>
  <c r="A478" i="31" s="1"/>
  <c r="G477" i="31"/>
  <c r="F477" i="31"/>
  <c r="D477" i="31"/>
  <c r="A477" i="31"/>
  <c r="H476" i="31"/>
  <c r="G476" i="31"/>
  <c r="F476" i="31"/>
  <c r="D476" i="31"/>
  <c r="H475" i="31"/>
  <c r="A476" i="31" s="1"/>
  <c r="G475" i="31"/>
  <c r="F475" i="31"/>
  <c r="D475" i="31"/>
  <c r="H474" i="31"/>
  <c r="A475" i="31" s="1"/>
  <c r="G474" i="31"/>
  <c r="F474" i="31"/>
  <c r="D474" i="31"/>
  <c r="H473" i="31"/>
  <c r="A474" i="31" s="1"/>
  <c r="G473" i="31"/>
  <c r="F473" i="31"/>
  <c r="D473" i="31"/>
  <c r="H472" i="31"/>
  <c r="A473" i="31" s="1"/>
  <c r="G472" i="31"/>
  <c r="F472" i="31"/>
  <c r="D472" i="31"/>
  <c r="H471" i="31"/>
  <c r="A472" i="31" s="1"/>
  <c r="G471" i="31"/>
  <c r="F471" i="31"/>
  <c r="D471" i="31"/>
  <c r="H470" i="31"/>
  <c r="A471" i="31" s="1"/>
  <c r="G470" i="31"/>
  <c r="F470" i="31"/>
  <c r="D470" i="31"/>
  <c r="H469" i="31"/>
  <c r="A470" i="31" s="1"/>
  <c r="G469" i="31"/>
  <c r="F469" i="31"/>
  <c r="D469" i="31"/>
  <c r="H468" i="31"/>
  <c r="A469" i="31" s="1"/>
  <c r="G468" i="31"/>
  <c r="F468" i="31"/>
  <c r="D468" i="31"/>
  <c r="H467" i="31"/>
  <c r="A468" i="31" s="1"/>
  <c r="G467" i="31"/>
  <c r="F467" i="31"/>
  <c r="D467" i="31"/>
  <c r="H466" i="31"/>
  <c r="A467" i="31" s="1"/>
  <c r="G466" i="31"/>
  <c r="F466" i="31"/>
  <c r="D466" i="31"/>
  <c r="H465" i="31"/>
  <c r="A466" i="31" s="1"/>
  <c r="G465" i="31"/>
  <c r="F465" i="31"/>
  <c r="D465" i="31"/>
  <c r="H464" i="31"/>
  <c r="A465" i="31" s="1"/>
  <c r="G464" i="31"/>
  <c r="F464" i="31"/>
  <c r="D464" i="31"/>
  <c r="H463" i="31"/>
  <c r="A464" i="31" s="1"/>
  <c r="G463" i="31"/>
  <c r="F463" i="31"/>
  <c r="D463" i="31"/>
  <c r="H462" i="31"/>
  <c r="A463" i="31" s="1"/>
  <c r="G462" i="31"/>
  <c r="F462" i="31"/>
  <c r="D462" i="31"/>
  <c r="H461" i="31"/>
  <c r="A462" i="31" s="1"/>
  <c r="G461" i="31"/>
  <c r="F461" i="31"/>
  <c r="D461" i="31"/>
  <c r="H460" i="31"/>
  <c r="A461" i="31" s="1"/>
  <c r="G460" i="31"/>
  <c r="F460" i="31"/>
  <c r="D460" i="31"/>
  <c r="A460" i="31"/>
  <c r="H459" i="31"/>
  <c r="G459" i="31"/>
  <c r="F459" i="31"/>
  <c r="D459" i="31"/>
  <c r="H458" i="31"/>
  <c r="A459" i="31" s="1"/>
  <c r="G458" i="31"/>
  <c r="F458" i="31"/>
  <c r="D458" i="31"/>
  <c r="A458" i="31"/>
  <c r="H457" i="31"/>
  <c r="G457" i="31"/>
  <c r="F457" i="31"/>
  <c r="D457" i="31"/>
  <c r="H456" i="31"/>
  <c r="A457" i="31" s="1"/>
  <c r="G456" i="31"/>
  <c r="F456" i="31"/>
  <c r="D456" i="31"/>
  <c r="H455" i="31"/>
  <c r="A456" i="31" s="1"/>
  <c r="G455" i="31"/>
  <c r="F455" i="31"/>
  <c r="D455" i="31"/>
  <c r="H454" i="31"/>
  <c r="A455" i="31" s="1"/>
  <c r="G454" i="31"/>
  <c r="F454" i="31"/>
  <c r="D454" i="31"/>
  <c r="H453" i="31"/>
  <c r="A454" i="31" s="1"/>
  <c r="G453" i="31"/>
  <c r="F453" i="31"/>
  <c r="D453" i="31"/>
  <c r="H452" i="31"/>
  <c r="A453" i="31" s="1"/>
  <c r="G452" i="31"/>
  <c r="F452" i="31"/>
  <c r="D452" i="31"/>
  <c r="H451" i="31"/>
  <c r="A452" i="31" s="1"/>
  <c r="G451" i="31"/>
  <c r="F451" i="31"/>
  <c r="D451" i="31"/>
  <c r="A451" i="31"/>
  <c r="H450" i="31"/>
  <c r="G450" i="31"/>
  <c r="F450" i="31"/>
  <c r="D450" i="31"/>
  <c r="H449" i="31"/>
  <c r="A450" i="31" s="1"/>
  <c r="G449" i="31"/>
  <c r="F449" i="31"/>
  <c r="D449" i="31"/>
  <c r="H448" i="31"/>
  <c r="A449" i="31" s="1"/>
  <c r="G448" i="31"/>
  <c r="F448" i="31"/>
  <c r="D448" i="31"/>
  <c r="H447" i="31"/>
  <c r="A448" i="31" s="1"/>
  <c r="G447" i="31"/>
  <c r="F447" i="31"/>
  <c r="D447" i="31"/>
  <c r="H446" i="31"/>
  <c r="A447" i="31" s="1"/>
  <c r="G446" i="31"/>
  <c r="F446" i="31"/>
  <c r="D446" i="31"/>
  <c r="H445" i="31"/>
  <c r="A446" i="31" s="1"/>
  <c r="G445" i="31"/>
  <c r="F445" i="31"/>
  <c r="D445" i="31"/>
  <c r="H444" i="31"/>
  <c r="A445" i="31" s="1"/>
  <c r="G444" i="31"/>
  <c r="F444" i="31"/>
  <c r="D444" i="31"/>
  <c r="H443" i="31"/>
  <c r="A444" i="31" s="1"/>
  <c r="G443" i="31"/>
  <c r="F443" i="31"/>
  <c r="D443" i="31"/>
  <c r="H442" i="31"/>
  <c r="A443" i="31" s="1"/>
  <c r="G442" i="31"/>
  <c r="F442" i="31"/>
  <c r="D442" i="31"/>
  <c r="A442" i="31"/>
  <c r="H441" i="31"/>
  <c r="G441" i="31"/>
  <c r="F441" i="31"/>
  <c r="D441" i="31"/>
  <c r="H440" i="31"/>
  <c r="A441" i="31" s="1"/>
  <c r="G440" i="31"/>
  <c r="F440" i="31"/>
  <c r="D440" i="31"/>
  <c r="A440" i="31"/>
  <c r="H439" i="31"/>
  <c r="G439" i="31"/>
  <c r="F439" i="31"/>
  <c r="D439" i="31"/>
  <c r="H438" i="31"/>
  <c r="A439" i="31" s="1"/>
  <c r="G438" i="31"/>
  <c r="F438" i="31"/>
  <c r="D438" i="31"/>
  <c r="A438" i="31"/>
  <c r="H437" i="31"/>
  <c r="G437" i="31"/>
  <c r="F437" i="31"/>
  <c r="D437" i="31"/>
  <c r="H436" i="31"/>
  <c r="A437" i="31" s="1"/>
  <c r="G436" i="31"/>
  <c r="F436" i="31"/>
  <c r="D436" i="31"/>
  <c r="H435" i="31"/>
  <c r="A436" i="31" s="1"/>
  <c r="G435" i="31"/>
  <c r="F435" i="31"/>
  <c r="D435" i="31"/>
  <c r="H434" i="31"/>
  <c r="A435" i="31" s="1"/>
  <c r="G434" i="31"/>
  <c r="F434" i="31"/>
  <c r="D434" i="31"/>
  <c r="H433" i="31"/>
  <c r="A434" i="31" s="1"/>
  <c r="G433" i="31"/>
  <c r="F433" i="31"/>
  <c r="D433" i="31"/>
  <c r="H432" i="31"/>
  <c r="A433" i="31" s="1"/>
  <c r="G432" i="31"/>
  <c r="F432" i="31"/>
  <c r="D432" i="31"/>
  <c r="H431" i="31"/>
  <c r="A432" i="31" s="1"/>
  <c r="G431" i="31"/>
  <c r="F431" i="31"/>
  <c r="D431" i="31"/>
  <c r="H430" i="31"/>
  <c r="A431" i="31" s="1"/>
  <c r="G430" i="31"/>
  <c r="F430" i="31"/>
  <c r="D430" i="31"/>
  <c r="H429" i="31"/>
  <c r="A430" i="31" s="1"/>
  <c r="G429" i="31"/>
  <c r="F429" i="31"/>
  <c r="D429" i="31"/>
  <c r="H428" i="31"/>
  <c r="A429" i="31" s="1"/>
  <c r="G428" i="31"/>
  <c r="F428" i="31"/>
  <c r="D428" i="31"/>
  <c r="H427" i="31"/>
  <c r="A428" i="31" s="1"/>
  <c r="G427" i="31"/>
  <c r="F427" i="31"/>
  <c r="D427" i="31"/>
  <c r="H426" i="31"/>
  <c r="A427" i="31" s="1"/>
  <c r="G426" i="31"/>
  <c r="F426" i="31"/>
  <c r="D426" i="31"/>
  <c r="H425" i="31"/>
  <c r="A426" i="31" s="1"/>
  <c r="G425" i="31"/>
  <c r="F425" i="31"/>
  <c r="D425" i="31"/>
  <c r="H424" i="31"/>
  <c r="A425" i="31" s="1"/>
  <c r="G424" i="31"/>
  <c r="F424" i="31"/>
  <c r="D424" i="31"/>
  <c r="H423" i="31"/>
  <c r="A424" i="31" s="1"/>
  <c r="G423" i="31"/>
  <c r="F423" i="31"/>
  <c r="D423" i="31"/>
  <c r="H422" i="31"/>
  <c r="A423" i="31" s="1"/>
  <c r="G422" i="31"/>
  <c r="F422" i="31"/>
  <c r="D422" i="31"/>
  <c r="H421" i="31"/>
  <c r="A422" i="31" s="1"/>
  <c r="G421" i="31"/>
  <c r="F421" i="31"/>
  <c r="D421" i="31"/>
  <c r="H420" i="31"/>
  <c r="A421" i="31" s="1"/>
  <c r="G420" i="31"/>
  <c r="F420" i="31"/>
  <c r="D420" i="31"/>
  <c r="A420" i="31"/>
  <c r="H419" i="31"/>
  <c r="G419" i="31"/>
  <c r="F419" i="31"/>
  <c r="D419" i="31"/>
  <c r="H418" i="31"/>
  <c r="A419" i="31" s="1"/>
  <c r="G418" i="31"/>
  <c r="F418" i="31"/>
  <c r="D418" i="31"/>
  <c r="A418" i="31"/>
  <c r="H417" i="31"/>
  <c r="G417" i="31"/>
  <c r="F417" i="31"/>
  <c r="D417" i="31"/>
  <c r="H416" i="31"/>
  <c r="A417" i="31" s="1"/>
  <c r="G416" i="31"/>
  <c r="F416" i="31"/>
  <c r="D416" i="31"/>
  <c r="H415" i="31"/>
  <c r="A416" i="31" s="1"/>
  <c r="G415" i="31"/>
  <c r="F415" i="31"/>
  <c r="D415" i="31"/>
  <c r="H414" i="31"/>
  <c r="A415" i="31" s="1"/>
  <c r="G414" i="31"/>
  <c r="F414" i="31"/>
  <c r="D414" i="31"/>
  <c r="H413" i="31"/>
  <c r="A414" i="31" s="1"/>
  <c r="G413" i="31"/>
  <c r="F413" i="31"/>
  <c r="D413" i="31"/>
  <c r="H412" i="31"/>
  <c r="A413" i="31" s="1"/>
  <c r="G412" i="31"/>
  <c r="F412" i="31"/>
  <c r="D412" i="31"/>
  <c r="H411" i="31"/>
  <c r="A412" i="31" s="1"/>
  <c r="G411" i="31"/>
  <c r="F411" i="31"/>
  <c r="D411" i="31"/>
  <c r="A411" i="31"/>
  <c r="H410" i="31"/>
  <c r="G410" i="31"/>
  <c r="F410" i="31"/>
  <c r="D410" i="31"/>
  <c r="H409" i="31"/>
  <c r="A410" i="31" s="1"/>
  <c r="G409" i="31"/>
  <c r="F409" i="31"/>
  <c r="D409" i="31"/>
  <c r="H408" i="31"/>
  <c r="A409" i="31" s="1"/>
  <c r="G408" i="31"/>
  <c r="F408" i="31"/>
  <c r="D408" i="31"/>
  <c r="H407" i="31"/>
  <c r="A408" i="31" s="1"/>
  <c r="G407" i="31"/>
  <c r="F407" i="31"/>
  <c r="D407" i="31"/>
  <c r="H406" i="31"/>
  <c r="A407" i="31" s="1"/>
  <c r="G406" i="31"/>
  <c r="F406" i="31"/>
  <c r="D406" i="31"/>
  <c r="H405" i="31"/>
  <c r="A406" i="31" s="1"/>
  <c r="G405" i="31"/>
  <c r="F405" i="31"/>
  <c r="D405" i="31"/>
  <c r="H404" i="31"/>
  <c r="A405" i="31" s="1"/>
  <c r="G404" i="31"/>
  <c r="F404" i="31"/>
  <c r="D404" i="31"/>
  <c r="H403" i="31"/>
  <c r="A404" i="31" s="1"/>
  <c r="G403" i="31"/>
  <c r="F403" i="31"/>
  <c r="D403" i="31"/>
  <c r="H402" i="31"/>
  <c r="A403" i="31" s="1"/>
  <c r="G402" i="31"/>
  <c r="F402" i="31"/>
  <c r="D402" i="31"/>
  <c r="A402" i="31"/>
  <c r="H401" i="31"/>
  <c r="G401" i="31"/>
  <c r="F401" i="31"/>
  <c r="D401" i="31"/>
  <c r="H400" i="31"/>
  <c r="A401" i="31" s="1"/>
  <c r="G400" i="31"/>
  <c r="F400" i="31"/>
  <c r="D400" i="31"/>
  <c r="H399" i="31"/>
  <c r="A400" i="31" s="1"/>
  <c r="G399" i="31"/>
  <c r="F399" i="31"/>
  <c r="D399" i="31"/>
  <c r="H398" i="31"/>
  <c r="A399" i="31" s="1"/>
  <c r="G398" i="31"/>
  <c r="F398" i="31"/>
  <c r="D398" i="31"/>
  <c r="H397" i="31"/>
  <c r="A398" i="31" s="1"/>
  <c r="G397" i="31"/>
  <c r="F397" i="31"/>
  <c r="D397" i="31"/>
  <c r="H396" i="31"/>
  <c r="A397" i="31" s="1"/>
  <c r="G396" i="31"/>
  <c r="F396" i="31"/>
  <c r="D396" i="31"/>
  <c r="H395" i="31"/>
  <c r="A396" i="31" s="1"/>
  <c r="G395" i="31"/>
  <c r="F395" i="31"/>
  <c r="D395" i="31"/>
  <c r="H394" i="31"/>
  <c r="A395" i="31" s="1"/>
  <c r="G394" i="31"/>
  <c r="F394" i="31"/>
  <c r="D394" i="31"/>
  <c r="H393" i="31"/>
  <c r="A394" i="31" s="1"/>
  <c r="G393" i="31"/>
  <c r="F393" i="31"/>
  <c r="D393" i="31"/>
  <c r="H392" i="31"/>
  <c r="A393" i="31" s="1"/>
  <c r="G392" i="31"/>
  <c r="F392" i="31"/>
  <c r="D392" i="31"/>
  <c r="H391" i="31"/>
  <c r="A392" i="31" s="1"/>
  <c r="G391" i="31"/>
  <c r="F391" i="31"/>
  <c r="D391" i="31"/>
  <c r="A391" i="31"/>
  <c r="H390" i="31"/>
  <c r="G390" i="31"/>
  <c r="F390" i="31"/>
  <c r="D390" i="31"/>
  <c r="H389" i="31"/>
  <c r="A390" i="31" s="1"/>
  <c r="G389" i="31"/>
  <c r="F389" i="31"/>
  <c r="D389" i="31"/>
  <c r="H388" i="31"/>
  <c r="A389" i="31" s="1"/>
  <c r="G388" i="31"/>
  <c r="F388" i="31"/>
  <c r="D388" i="31"/>
  <c r="H387" i="31"/>
  <c r="A388" i="31" s="1"/>
  <c r="G387" i="31"/>
  <c r="F387" i="31"/>
  <c r="D387" i="31"/>
  <c r="H386" i="31"/>
  <c r="A387" i="31" s="1"/>
  <c r="G386" i="31"/>
  <c r="F386" i="31"/>
  <c r="D386" i="31"/>
  <c r="H385" i="31"/>
  <c r="A386" i="31" s="1"/>
  <c r="G385" i="31"/>
  <c r="F385" i="31"/>
  <c r="D385" i="31"/>
  <c r="H384" i="31"/>
  <c r="A385" i="31" s="1"/>
  <c r="G384" i="31"/>
  <c r="F384" i="31"/>
  <c r="D384" i="31"/>
  <c r="H383" i="31"/>
  <c r="A384" i="31" s="1"/>
  <c r="G383" i="31"/>
  <c r="F383" i="31"/>
  <c r="D383" i="31"/>
  <c r="H382" i="31"/>
  <c r="A383" i="31" s="1"/>
  <c r="G382" i="31"/>
  <c r="F382" i="31"/>
  <c r="D382" i="31"/>
  <c r="H381" i="31"/>
  <c r="A382" i="31" s="1"/>
  <c r="G381" i="31"/>
  <c r="F381" i="31"/>
  <c r="D381" i="31"/>
  <c r="H380" i="31"/>
  <c r="A381" i="31" s="1"/>
  <c r="G380" i="31"/>
  <c r="F380" i="31"/>
  <c r="D380" i="31"/>
  <c r="H379" i="31"/>
  <c r="A380" i="31" s="1"/>
  <c r="G379" i="31"/>
  <c r="F379" i="31"/>
  <c r="D379" i="31"/>
  <c r="H378" i="31"/>
  <c r="A379" i="31" s="1"/>
  <c r="G378" i="31"/>
  <c r="F378" i="31"/>
  <c r="D378" i="31"/>
  <c r="H377" i="31"/>
  <c r="A378" i="31" s="1"/>
  <c r="G377" i="31"/>
  <c r="F377" i="31"/>
  <c r="D377" i="31"/>
  <c r="H376" i="31"/>
  <c r="A377" i="31" s="1"/>
  <c r="G376" i="31"/>
  <c r="F376" i="31"/>
  <c r="D376" i="31"/>
  <c r="H375" i="31"/>
  <c r="A376" i="31" s="1"/>
  <c r="G375" i="31"/>
  <c r="F375" i="31"/>
  <c r="D375" i="31"/>
  <c r="H374" i="31"/>
  <c r="A375" i="31" s="1"/>
  <c r="G374" i="31"/>
  <c r="F374" i="31"/>
  <c r="D374" i="31"/>
  <c r="H373" i="31"/>
  <c r="A374" i="31" s="1"/>
  <c r="G373" i="31"/>
  <c r="F373" i="31"/>
  <c r="D373" i="31"/>
  <c r="H372" i="31"/>
  <c r="A373" i="31" s="1"/>
  <c r="G372" i="31"/>
  <c r="F372" i="31"/>
  <c r="D372" i="31"/>
  <c r="H371" i="31"/>
  <c r="A372" i="31" s="1"/>
  <c r="G371" i="31"/>
  <c r="F371" i="31"/>
  <c r="D371" i="31"/>
  <c r="H370" i="31"/>
  <c r="A371" i="31" s="1"/>
  <c r="G370" i="31"/>
  <c r="F370" i="31"/>
  <c r="D370" i="31"/>
  <c r="H369" i="31"/>
  <c r="A370" i="31" s="1"/>
  <c r="G369" i="31"/>
  <c r="F369" i="31"/>
  <c r="D369" i="31"/>
  <c r="H368" i="31"/>
  <c r="A369" i="31" s="1"/>
  <c r="G368" i="31"/>
  <c r="F368" i="31"/>
  <c r="D368" i="31"/>
  <c r="H367" i="31"/>
  <c r="A368" i="31" s="1"/>
  <c r="G367" i="31"/>
  <c r="F367" i="31"/>
  <c r="D367" i="31"/>
  <c r="H366" i="31"/>
  <c r="A367" i="31" s="1"/>
  <c r="G366" i="31"/>
  <c r="F366" i="31"/>
  <c r="D366" i="31"/>
  <c r="A366" i="31"/>
  <c r="H365" i="31"/>
  <c r="G365" i="31"/>
  <c r="F365" i="31"/>
  <c r="D365" i="31"/>
  <c r="H364" i="31"/>
  <c r="A365" i="31" s="1"/>
  <c r="G364" i="31"/>
  <c r="F364" i="31"/>
  <c r="D364" i="31"/>
  <c r="H363" i="31"/>
  <c r="A364" i="31" s="1"/>
  <c r="G363" i="31"/>
  <c r="F363" i="31"/>
  <c r="D363" i="31"/>
  <c r="H362" i="31"/>
  <c r="A363" i="31" s="1"/>
  <c r="G362" i="31"/>
  <c r="F362" i="31"/>
  <c r="D362" i="31"/>
  <c r="H361" i="31"/>
  <c r="A362" i="31" s="1"/>
  <c r="G361" i="31"/>
  <c r="F361" i="31"/>
  <c r="D361" i="31"/>
  <c r="H360" i="31"/>
  <c r="A361" i="31" s="1"/>
  <c r="G360" i="31"/>
  <c r="F360" i="31"/>
  <c r="D360" i="31"/>
  <c r="H359" i="31"/>
  <c r="A360" i="31" s="1"/>
  <c r="G359" i="31"/>
  <c r="F359" i="31"/>
  <c r="D359" i="31"/>
  <c r="A359" i="31"/>
  <c r="H358" i="31"/>
  <c r="G358" i="31"/>
  <c r="F358" i="31"/>
  <c r="D358" i="31"/>
  <c r="H357" i="31"/>
  <c r="A358" i="31" s="1"/>
  <c r="G357" i="31"/>
  <c r="F357" i="31"/>
  <c r="D357" i="31"/>
  <c r="H356" i="31"/>
  <c r="A357" i="31" s="1"/>
  <c r="G356" i="31"/>
  <c r="F356" i="31"/>
  <c r="D356" i="31"/>
  <c r="H355" i="31"/>
  <c r="A356" i="31" s="1"/>
  <c r="G355" i="31"/>
  <c r="F355" i="31"/>
  <c r="D355" i="31"/>
  <c r="H354" i="31"/>
  <c r="A355" i="31" s="1"/>
  <c r="G354" i="31"/>
  <c r="F354" i="31"/>
  <c r="D354" i="31"/>
  <c r="H353" i="31"/>
  <c r="A354" i="31" s="1"/>
  <c r="G353" i="31"/>
  <c r="F353" i="31"/>
  <c r="D353" i="31"/>
  <c r="H352" i="31"/>
  <c r="A353" i="31" s="1"/>
  <c r="G352" i="31"/>
  <c r="F352" i="31"/>
  <c r="D352" i="31"/>
  <c r="A352" i="31"/>
  <c r="H351" i="31"/>
  <c r="G351" i="31"/>
  <c r="F351" i="31"/>
  <c r="D351" i="31"/>
  <c r="H350" i="31"/>
  <c r="A351" i="31" s="1"/>
  <c r="G350" i="31"/>
  <c r="F350" i="31"/>
  <c r="D350" i="31"/>
  <c r="A350" i="31"/>
  <c r="H349" i="31"/>
  <c r="G349" i="31"/>
  <c r="F349" i="31"/>
  <c r="D349" i="31"/>
  <c r="H348" i="31"/>
  <c r="A349" i="31" s="1"/>
  <c r="G348" i="31"/>
  <c r="F348" i="31"/>
  <c r="D348" i="31"/>
  <c r="H347" i="31"/>
  <c r="A348" i="31" s="1"/>
  <c r="G347" i="31"/>
  <c r="F347" i="31"/>
  <c r="D347" i="31"/>
  <c r="H346" i="31"/>
  <c r="A347" i="31" s="1"/>
  <c r="G346" i="31"/>
  <c r="F346" i="31"/>
  <c r="D346" i="31"/>
  <c r="H345" i="31"/>
  <c r="A346" i="31" s="1"/>
  <c r="G345" i="31"/>
  <c r="F345" i="31"/>
  <c r="D345" i="31"/>
  <c r="H344" i="31"/>
  <c r="A345" i="31" s="1"/>
  <c r="G344" i="31"/>
  <c r="F344" i="31"/>
  <c r="D344" i="31"/>
  <c r="H343" i="31"/>
  <c r="A344" i="31" s="1"/>
  <c r="G343" i="31"/>
  <c r="F343" i="31"/>
  <c r="D343" i="31"/>
  <c r="H342" i="31"/>
  <c r="A343" i="31" s="1"/>
  <c r="G342" i="31"/>
  <c r="F342" i="31"/>
  <c r="D342" i="31"/>
  <c r="H341" i="31"/>
  <c r="A342" i="31" s="1"/>
  <c r="G341" i="31"/>
  <c r="F341" i="31"/>
  <c r="D341" i="31"/>
  <c r="H340" i="31"/>
  <c r="A341" i="31" s="1"/>
  <c r="G340" i="31"/>
  <c r="F340" i="31"/>
  <c r="D340" i="31"/>
  <c r="H339" i="31"/>
  <c r="A340" i="31" s="1"/>
  <c r="G339" i="31"/>
  <c r="F339" i="31"/>
  <c r="D339" i="31"/>
  <c r="H338" i="31"/>
  <c r="A339" i="31" s="1"/>
  <c r="G338" i="31"/>
  <c r="F338" i="31"/>
  <c r="D338" i="31"/>
  <c r="H337" i="31"/>
  <c r="A338" i="31" s="1"/>
  <c r="G337" i="31"/>
  <c r="F337" i="31"/>
  <c r="D337" i="31"/>
  <c r="H336" i="31"/>
  <c r="A337" i="31" s="1"/>
  <c r="G336" i="31"/>
  <c r="F336" i="31"/>
  <c r="D336" i="31"/>
  <c r="H335" i="31"/>
  <c r="A336" i="31" s="1"/>
  <c r="G335" i="31"/>
  <c r="F335" i="31"/>
  <c r="D335" i="31"/>
  <c r="H334" i="31"/>
  <c r="A335" i="31" s="1"/>
  <c r="G334" i="31"/>
  <c r="F334" i="31"/>
  <c r="D334" i="31"/>
  <c r="H333" i="31"/>
  <c r="A334" i="31" s="1"/>
  <c r="G333" i="31"/>
  <c r="F333" i="31"/>
  <c r="D333" i="31"/>
  <c r="H332" i="31"/>
  <c r="A333" i="31" s="1"/>
  <c r="G332" i="31"/>
  <c r="F332" i="31"/>
  <c r="D332" i="31"/>
  <c r="H331" i="31"/>
  <c r="A332" i="31" s="1"/>
  <c r="G331" i="31"/>
  <c r="F331" i="31"/>
  <c r="D331" i="31"/>
  <c r="H330" i="31"/>
  <c r="A331" i="31" s="1"/>
  <c r="G330" i="31"/>
  <c r="F330" i="31"/>
  <c r="D330" i="31"/>
  <c r="A330" i="31"/>
  <c r="H329" i="31"/>
  <c r="G329" i="31"/>
  <c r="F329" i="31"/>
  <c r="D329" i="31"/>
  <c r="H328" i="31"/>
  <c r="A329" i="31" s="1"/>
  <c r="G328" i="31"/>
  <c r="F328" i="31"/>
  <c r="D328" i="31"/>
  <c r="H327" i="31"/>
  <c r="A328" i="31" s="1"/>
  <c r="G327" i="31"/>
  <c r="F327" i="31"/>
  <c r="D327" i="31"/>
  <c r="H326" i="31"/>
  <c r="A327" i="31" s="1"/>
  <c r="G326" i="31"/>
  <c r="F326" i="31"/>
  <c r="D326" i="31"/>
  <c r="H325" i="31"/>
  <c r="A326" i="31" s="1"/>
  <c r="G325" i="31"/>
  <c r="F325" i="31"/>
  <c r="D325" i="31"/>
  <c r="H324" i="31"/>
  <c r="A325" i="31" s="1"/>
  <c r="G324" i="31"/>
  <c r="F324" i="31"/>
  <c r="D324" i="31"/>
  <c r="H323" i="31"/>
  <c r="A324" i="31" s="1"/>
  <c r="G323" i="31"/>
  <c r="F323" i="31"/>
  <c r="D323" i="31"/>
  <c r="H322" i="31"/>
  <c r="A323" i="31" s="1"/>
  <c r="G322" i="31"/>
  <c r="F322" i="31"/>
  <c r="D322" i="31"/>
  <c r="H321" i="31"/>
  <c r="A322" i="31" s="1"/>
  <c r="G321" i="31"/>
  <c r="F321" i="31"/>
  <c r="D321" i="31"/>
  <c r="H320" i="31"/>
  <c r="A321" i="31" s="1"/>
  <c r="G320" i="31"/>
  <c r="F320" i="31"/>
  <c r="D320" i="31"/>
  <c r="H319" i="31"/>
  <c r="A320" i="31" s="1"/>
  <c r="G319" i="31"/>
  <c r="F319" i="31"/>
  <c r="D319" i="31"/>
  <c r="A319" i="31"/>
  <c r="H318" i="31"/>
  <c r="G318" i="31"/>
  <c r="F318" i="31"/>
  <c r="D318" i="31"/>
  <c r="H317" i="31"/>
  <c r="A318" i="31" s="1"/>
  <c r="G317" i="31"/>
  <c r="F317" i="31"/>
  <c r="D317" i="31"/>
  <c r="H316" i="31"/>
  <c r="A317" i="31" s="1"/>
  <c r="G316" i="31"/>
  <c r="F316" i="31"/>
  <c r="D316" i="31"/>
  <c r="H315" i="31"/>
  <c r="A316" i="31" s="1"/>
  <c r="G315" i="31"/>
  <c r="F315" i="31"/>
  <c r="D315" i="31"/>
  <c r="H314" i="31"/>
  <c r="A315" i="31" s="1"/>
  <c r="G314" i="31"/>
  <c r="F314" i="31"/>
  <c r="D314" i="31"/>
  <c r="H313" i="31"/>
  <c r="A314" i="31" s="1"/>
  <c r="G313" i="31"/>
  <c r="F313" i="31"/>
  <c r="D313" i="31"/>
  <c r="H312" i="31"/>
  <c r="A313" i="31" s="1"/>
  <c r="G312" i="31"/>
  <c r="F312" i="31"/>
  <c r="D312" i="31"/>
  <c r="A312" i="31"/>
  <c r="H311" i="31"/>
  <c r="G311" i="31"/>
  <c r="F311" i="31"/>
  <c r="D311" i="31"/>
  <c r="H310" i="31"/>
  <c r="A311" i="31" s="1"/>
  <c r="G310" i="31"/>
  <c r="F310" i="31"/>
  <c r="D310" i="31"/>
  <c r="A310" i="31"/>
  <c r="H309" i="31"/>
  <c r="G309" i="31"/>
  <c r="F309" i="31"/>
  <c r="D309" i="31"/>
  <c r="H308" i="31"/>
  <c r="A309" i="31" s="1"/>
  <c r="G308" i="31"/>
  <c r="F308" i="31"/>
  <c r="D308" i="31"/>
  <c r="H307" i="31"/>
  <c r="A308" i="31" s="1"/>
  <c r="G307" i="31"/>
  <c r="F307" i="31"/>
  <c r="D307" i="31"/>
  <c r="H306" i="31"/>
  <c r="A307" i="31" s="1"/>
  <c r="G306" i="31"/>
  <c r="F306" i="31"/>
  <c r="D306" i="31"/>
  <c r="H305" i="31"/>
  <c r="A306" i="31" s="1"/>
  <c r="G305" i="31"/>
  <c r="F305" i="31"/>
  <c r="D305" i="31"/>
  <c r="H304" i="31"/>
  <c r="A305" i="31" s="1"/>
  <c r="G304" i="31"/>
  <c r="F304" i="31"/>
  <c r="D304" i="31"/>
  <c r="H303" i="31"/>
  <c r="A304" i="31" s="1"/>
  <c r="G303" i="31"/>
  <c r="F303" i="31"/>
  <c r="D303" i="31"/>
  <c r="A303" i="31"/>
  <c r="H302" i="31"/>
  <c r="G302" i="31"/>
  <c r="F302" i="31"/>
  <c r="D302" i="31"/>
  <c r="H301" i="31"/>
  <c r="A302" i="31" s="1"/>
  <c r="G301" i="31"/>
  <c r="F301" i="31"/>
  <c r="D301" i="31"/>
  <c r="H300" i="31"/>
  <c r="A301" i="31" s="1"/>
  <c r="G300" i="31"/>
  <c r="F300" i="31"/>
  <c r="D300" i="31"/>
  <c r="H299" i="31"/>
  <c r="A300" i="31" s="1"/>
  <c r="G299" i="31"/>
  <c r="F299" i="31"/>
  <c r="D299" i="31"/>
  <c r="H298" i="31"/>
  <c r="A299" i="31" s="1"/>
  <c r="G298" i="31"/>
  <c r="F298" i="31"/>
  <c r="D298" i="31"/>
  <c r="H297" i="31"/>
  <c r="A298" i="31" s="1"/>
  <c r="G297" i="31"/>
  <c r="F297" i="31"/>
  <c r="D297" i="31"/>
  <c r="H296" i="31"/>
  <c r="A297" i="31" s="1"/>
  <c r="G296" i="31"/>
  <c r="F296" i="31"/>
  <c r="D296" i="31"/>
  <c r="H295" i="31"/>
  <c r="A296" i="31" s="1"/>
  <c r="G295" i="31"/>
  <c r="F295" i="31"/>
  <c r="D295" i="31"/>
  <c r="A295" i="31"/>
  <c r="H294" i="31"/>
  <c r="G294" i="31"/>
  <c r="F294" i="31"/>
  <c r="D294" i="31"/>
  <c r="H293" i="31"/>
  <c r="A294" i="31" s="1"/>
  <c r="G293" i="31"/>
  <c r="F293" i="31"/>
  <c r="D293" i="31"/>
  <c r="H292" i="31"/>
  <c r="A293" i="31" s="1"/>
  <c r="G292" i="31"/>
  <c r="F292" i="31"/>
  <c r="D292" i="31"/>
  <c r="H291" i="31"/>
  <c r="A292" i="31" s="1"/>
  <c r="G291" i="31"/>
  <c r="F291" i="31"/>
  <c r="D291" i="31"/>
  <c r="H290" i="31"/>
  <c r="A291" i="31" s="1"/>
  <c r="G290" i="31"/>
  <c r="F290" i="31"/>
  <c r="D290" i="31"/>
  <c r="A290" i="31"/>
  <c r="H289" i="31"/>
  <c r="G289" i="31"/>
  <c r="F289" i="31"/>
  <c r="D289" i="31"/>
  <c r="H288" i="31"/>
  <c r="A289" i="31" s="1"/>
  <c r="G288" i="31"/>
  <c r="F288" i="31"/>
  <c r="D288" i="31"/>
  <c r="H287" i="31"/>
  <c r="A288" i="31" s="1"/>
  <c r="G287" i="31"/>
  <c r="F287" i="31"/>
  <c r="D287" i="31"/>
  <c r="H286" i="31"/>
  <c r="A287" i="31" s="1"/>
  <c r="G286" i="31"/>
  <c r="F286" i="31"/>
  <c r="D286" i="31"/>
  <c r="H285" i="31"/>
  <c r="A286" i="31" s="1"/>
  <c r="G285" i="31"/>
  <c r="F285" i="31"/>
  <c r="D285" i="31"/>
  <c r="H284" i="31"/>
  <c r="A285" i="31" s="1"/>
  <c r="G284" i="31"/>
  <c r="F284" i="31"/>
  <c r="D284" i="31"/>
  <c r="H283" i="31"/>
  <c r="A284" i="31" s="1"/>
  <c r="G283" i="31"/>
  <c r="F283" i="31"/>
  <c r="D283" i="31"/>
  <c r="H282" i="31"/>
  <c r="A283" i="31" s="1"/>
  <c r="G282" i="31"/>
  <c r="F282" i="31"/>
  <c r="D282" i="31"/>
  <c r="H281" i="31"/>
  <c r="A282" i="31" s="1"/>
  <c r="G281" i="31"/>
  <c r="F281" i="31"/>
  <c r="D281" i="31"/>
  <c r="H280" i="31"/>
  <c r="A281" i="31" s="1"/>
  <c r="G280" i="31"/>
  <c r="F280" i="31"/>
  <c r="D280" i="31"/>
  <c r="H279" i="31"/>
  <c r="A280" i="31" s="1"/>
  <c r="G279" i="31"/>
  <c r="F279" i="31"/>
  <c r="D279" i="31"/>
  <c r="H278" i="31"/>
  <c r="A279" i="31" s="1"/>
  <c r="G278" i="31"/>
  <c r="F278" i="31"/>
  <c r="D278" i="31"/>
  <c r="H277" i="31"/>
  <c r="A278" i="31" s="1"/>
  <c r="G277" i="31"/>
  <c r="F277" i="31"/>
  <c r="D277" i="31"/>
  <c r="H276" i="31"/>
  <c r="A277" i="31" s="1"/>
  <c r="G276" i="31"/>
  <c r="F276" i="31"/>
  <c r="D276" i="31"/>
  <c r="H275" i="31"/>
  <c r="A276" i="31" s="1"/>
  <c r="G275" i="31"/>
  <c r="F275" i="31"/>
  <c r="D275" i="31"/>
  <c r="H274" i="31"/>
  <c r="A275" i="31" s="1"/>
  <c r="G274" i="31"/>
  <c r="F274" i="31"/>
  <c r="D274" i="31"/>
  <c r="H273" i="31"/>
  <c r="A274" i="31" s="1"/>
  <c r="G273" i="31"/>
  <c r="F273" i="31"/>
  <c r="D273" i="31"/>
  <c r="H272" i="31"/>
  <c r="A273" i="31" s="1"/>
  <c r="G272" i="31"/>
  <c r="F272" i="31"/>
  <c r="D272" i="31"/>
  <c r="A272" i="31"/>
  <c r="H271" i="31"/>
  <c r="G271" i="31"/>
  <c r="F271" i="31"/>
  <c r="D271" i="31"/>
  <c r="H270" i="31"/>
  <c r="A271" i="31" s="1"/>
  <c r="G270" i="31"/>
  <c r="F270" i="31"/>
  <c r="D270" i="31"/>
  <c r="A270" i="31"/>
  <c r="H269" i="31"/>
  <c r="G269" i="31"/>
  <c r="F269" i="31"/>
  <c r="D269" i="31"/>
  <c r="H268" i="31"/>
  <c r="A269" i="31" s="1"/>
  <c r="G268" i="31"/>
  <c r="F268" i="31"/>
  <c r="D268" i="31"/>
  <c r="H267" i="31"/>
  <c r="A268" i="31" s="1"/>
  <c r="G267" i="31"/>
  <c r="F267" i="31"/>
  <c r="D267" i="31"/>
  <c r="H266" i="31"/>
  <c r="A267" i="31" s="1"/>
  <c r="G266" i="31"/>
  <c r="F266" i="31"/>
  <c r="D266" i="31"/>
  <c r="H265" i="31"/>
  <c r="A266" i="31" s="1"/>
  <c r="G265" i="31"/>
  <c r="F265" i="31"/>
  <c r="D265" i="31"/>
  <c r="H264" i="31"/>
  <c r="A265" i="31" s="1"/>
  <c r="G264" i="31"/>
  <c r="F264" i="31"/>
  <c r="D264" i="31"/>
  <c r="H263" i="31"/>
  <c r="A264" i="31" s="1"/>
  <c r="G263" i="31"/>
  <c r="F263" i="31"/>
  <c r="D263" i="31"/>
  <c r="H262" i="31"/>
  <c r="A263" i="31" s="1"/>
  <c r="G262" i="31"/>
  <c r="F262" i="31"/>
  <c r="D262" i="31"/>
  <c r="H261" i="31"/>
  <c r="A262" i="31" s="1"/>
  <c r="G261" i="31"/>
  <c r="F261" i="31"/>
  <c r="D261" i="31"/>
  <c r="H260" i="31"/>
  <c r="A261" i="31" s="1"/>
  <c r="G260" i="31"/>
  <c r="F260" i="31"/>
  <c r="D260" i="31"/>
  <c r="H259" i="31"/>
  <c r="A260" i="31" s="1"/>
  <c r="G259" i="31"/>
  <c r="F259" i="31"/>
  <c r="D259" i="31"/>
  <c r="H258" i="31"/>
  <c r="A259" i="31" s="1"/>
  <c r="G258" i="31"/>
  <c r="F258" i="31"/>
  <c r="D258" i="31"/>
  <c r="H257" i="31"/>
  <c r="A258" i="31" s="1"/>
  <c r="G257" i="31"/>
  <c r="F257" i="31"/>
  <c r="D257" i="31"/>
  <c r="H256" i="31"/>
  <c r="A257" i="31" s="1"/>
  <c r="G256" i="31"/>
  <c r="F256" i="31"/>
  <c r="D256" i="31"/>
  <c r="H255" i="31"/>
  <c r="A256" i="31" s="1"/>
  <c r="G255" i="31"/>
  <c r="F255" i="31"/>
  <c r="D255" i="31"/>
  <c r="H254" i="31"/>
  <c r="A255" i="31" s="1"/>
  <c r="G254" i="31"/>
  <c r="F254" i="31"/>
  <c r="D254" i="31"/>
  <c r="A254" i="31"/>
  <c r="H253" i="31"/>
  <c r="G253" i="31"/>
  <c r="F253" i="31"/>
  <c r="D253" i="31"/>
  <c r="H252" i="31"/>
  <c r="A253" i="31" s="1"/>
  <c r="G252" i="31"/>
  <c r="F252" i="31"/>
  <c r="D252" i="31"/>
  <c r="A252" i="31"/>
  <c r="H251" i="31"/>
  <c r="G251" i="31"/>
  <c r="F251" i="31"/>
  <c r="D251" i="31"/>
  <c r="H250" i="31"/>
  <c r="A251" i="31" s="1"/>
  <c r="G250" i="31"/>
  <c r="F250" i="31"/>
  <c r="D250" i="31"/>
  <c r="A250" i="31"/>
  <c r="H249" i="31"/>
  <c r="G249" i="31"/>
  <c r="F249" i="31"/>
  <c r="D249" i="31"/>
  <c r="H248" i="31"/>
  <c r="A249" i="31" s="1"/>
  <c r="G248" i="31"/>
  <c r="F248" i="31"/>
  <c r="D248" i="31"/>
  <c r="H247" i="31"/>
  <c r="A248" i="31" s="1"/>
  <c r="G247" i="31"/>
  <c r="F247" i="31"/>
  <c r="D247" i="31"/>
  <c r="H246" i="31"/>
  <c r="A247" i="31" s="1"/>
  <c r="G246" i="31"/>
  <c r="F246" i="31"/>
  <c r="D246" i="31"/>
  <c r="H245" i="31"/>
  <c r="A246" i="31" s="1"/>
  <c r="G245" i="31"/>
  <c r="F245" i="31"/>
  <c r="D245" i="31"/>
  <c r="H244" i="31"/>
  <c r="A245" i="31" s="1"/>
  <c r="G244" i="31"/>
  <c r="F244" i="31"/>
  <c r="D244" i="31"/>
  <c r="H243" i="31"/>
  <c r="A244" i="31" s="1"/>
  <c r="G243" i="31"/>
  <c r="F243" i="31"/>
  <c r="D243" i="31"/>
  <c r="H242" i="31"/>
  <c r="A243" i="31" s="1"/>
  <c r="G242" i="31"/>
  <c r="F242" i="31"/>
  <c r="D242" i="31"/>
  <c r="H241" i="31"/>
  <c r="A242" i="31" s="1"/>
  <c r="G241" i="31"/>
  <c r="F241" i="31"/>
  <c r="D241" i="31"/>
  <c r="H240" i="31"/>
  <c r="A241" i="31" s="1"/>
  <c r="G240" i="31"/>
  <c r="F240" i="31"/>
  <c r="D240" i="31"/>
  <c r="H239" i="31"/>
  <c r="A240" i="31" s="1"/>
  <c r="G239" i="31"/>
  <c r="F239" i="31"/>
  <c r="D239" i="31"/>
  <c r="A239" i="31"/>
  <c r="H238" i="31"/>
  <c r="G238" i="31"/>
  <c r="F238" i="31"/>
  <c r="D238" i="31"/>
  <c r="H237" i="31"/>
  <c r="A238" i="31" s="1"/>
  <c r="G237" i="31"/>
  <c r="F237" i="31"/>
  <c r="D237" i="31"/>
  <c r="H236" i="31"/>
  <c r="A237" i="31" s="1"/>
  <c r="G236" i="31"/>
  <c r="F236" i="31"/>
  <c r="D236" i="31"/>
  <c r="H235" i="31"/>
  <c r="A236" i="31" s="1"/>
  <c r="G235" i="31"/>
  <c r="F235" i="31"/>
  <c r="D235" i="31"/>
  <c r="H234" i="31"/>
  <c r="A235" i="31" s="1"/>
  <c r="G234" i="31"/>
  <c r="F234" i="31"/>
  <c r="D234" i="31"/>
  <c r="H233" i="31"/>
  <c r="A234" i="31" s="1"/>
  <c r="G233" i="31"/>
  <c r="F233" i="31"/>
  <c r="D233" i="31"/>
  <c r="H232" i="31"/>
  <c r="A233" i="31" s="1"/>
  <c r="G232" i="31"/>
  <c r="F232" i="31"/>
  <c r="D232" i="31"/>
  <c r="H231" i="31"/>
  <c r="A232" i="31" s="1"/>
  <c r="G231" i="31"/>
  <c r="F231" i="31"/>
  <c r="D231" i="31"/>
  <c r="H230" i="31"/>
  <c r="A231" i="31" s="1"/>
  <c r="G230" i="31"/>
  <c r="F230" i="31"/>
  <c r="D230" i="31"/>
  <c r="H229" i="31"/>
  <c r="A230" i="31" s="1"/>
  <c r="G229" i="31"/>
  <c r="F229" i="31"/>
  <c r="D229" i="31"/>
  <c r="H228" i="31"/>
  <c r="A229" i="31" s="1"/>
  <c r="G228" i="31"/>
  <c r="F228" i="31"/>
  <c r="D228" i="31"/>
  <c r="H227" i="31"/>
  <c r="A228" i="31" s="1"/>
  <c r="G227" i="31"/>
  <c r="F227" i="31"/>
  <c r="D227" i="31"/>
  <c r="H226" i="31"/>
  <c r="A227" i="31" s="1"/>
  <c r="G226" i="31"/>
  <c r="F226" i="31"/>
  <c r="D226" i="31"/>
  <c r="H225" i="31"/>
  <c r="A226" i="31" s="1"/>
  <c r="G225" i="31"/>
  <c r="F225" i="31"/>
  <c r="D225" i="31"/>
  <c r="H224" i="31"/>
  <c r="A225" i="31" s="1"/>
  <c r="G224" i="31"/>
  <c r="F224" i="31"/>
  <c r="D224" i="31"/>
  <c r="H223" i="31"/>
  <c r="A224" i="31" s="1"/>
  <c r="G223" i="31"/>
  <c r="F223" i="31"/>
  <c r="D223" i="31"/>
  <c r="H222" i="31"/>
  <c r="A223" i="31" s="1"/>
  <c r="G222" i="31"/>
  <c r="F222" i="31"/>
  <c r="D222" i="31"/>
  <c r="H221" i="31"/>
  <c r="A222" i="31" s="1"/>
  <c r="G221" i="31"/>
  <c r="F221" i="31"/>
  <c r="D221" i="31"/>
  <c r="H220" i="31"/>
  <c r="A221" i="31" s="1"/>
  <c r="G220" i="31"/>
  <c r="F220" i="31"/>
  <c r="D220" i="31"/>
  <c r="H219" i="31"/>
  <c r="A220" i="31" s="1"/>
  <c r="G219" i="31"/>
  <c r="F219" i="31"/>
  <c r="D219" i="31"/>
  <c r="A219" i="31"/>
  <c r="H218" i="31"/>
  <c r="G218" i="31"/>
  <c r="F218" i="31"/>
  <c r="D218" i="31"/>
  <c r="H217" i="31"/>
  <c r="A218" i="31" s="1"/>
  <c r="G217" i="31"/>
  <c r="F217" i="31"/>
  <c r="D217" i="31"/>
  <c r="H216" i="31"/>
  <c r="A217" i="31" s="1"/>
  <c r="G216" i="31"/>
  <c r="F216" i="31"/>
  <c r="D216" i="31"/>
  <c r="H215" i="31"/>
  <c r="A216" i="31" s="1"/>
  <c r="G215" i="31"/>
  <c r="F215" i="31"/>
  <c r="D215" i="31"/>
  <c r="H214" i="31"/>
  <c r="A215" i="31" s="1"/>
  <c r="G214" i="31"/>
  <c r="F214" i="31"/>
  <c r="D214" i="31"/>
  <c r="H213" i="31"/>
  <c r="A214" i="31" s="1"/>
  <c r="G213" i="31"/>
  <c r="F213" i="31"/>
  <c r="D213" i="31"/>
  <c r="H212" i="31"/>
  <c r="A213" i="31" s="1"/>
  <c r="G212" i="31"/>
  <c r="F212" i="31"/>
  <c r="D212" i="31"/>
  <c r="H211" i="31"/>
  <c r="A212" i="31" s="1"/>
  <c r="G211" i="31"/>
  <c r="F211" i="31"/>
  <c r="D211" i="31"/>
  <c r="H210" i="31"/>
  <c r="A211" i="31" s="1"/>
  <c r="G210" i="31"/>
  <c r="F210" i="31"/>
  <c r="D210" i="31"/>
  <c r="A210" i="31"/>
  <c r="H209" i="31"/>
  <c r="G209" i="31"/>
  <c r="F209" i="31"/>
  <c r="D209" i="31"/>
  <c r="H208" i="31"/>
  <c r="A209" i="31" s="1"/>
  <c r="G208" i="31"/>
  <c r="F208" i="31"/>
  <c r="D208" i="31"/>
  <c r="H207" i="31"/>
  <c r="A208" i="31" s="1"/>
  <c r="G207" i="31"/>
  <c r="F207" i="31"/>
  <c r="D207" i="31"/>
  <c r="H206" i="31"/>
  <c r="A207" i="31" s="1"/>
  <c r="G206" i="31"/>
  <c r="F206" i="31"/>
  <c r="D206" i="31"/>
  <c r="H205" i="31"/>
  <c r="A206" i="31" s="1"/>
  <c r="G205" i="31"/>
  <c r="F205" i="31"/>
  <c r="D205" i="31"/>
  <c r="H204" i="31"/>
  <c r="A205" i="31" s="1"/>
  <c r="G204" i="31"/>
  <c r="F204" i="31"/>
  <c r="D204" i="31"/>
  <c r="H203" i="31"/>
  <c r="A204" i="31" s="1"/>
  <c r="G203" i="31"/>
  <c r="F203" i="31"/>
  <c r="D203" i="31"/>
  <c r="H202" i="31"/>
  <c r="A203" i="31" s="1"/>
  <c r="G202" i="31"/>
  <c r="F202" i="31"/>
  <c r="D202" i="31"/>
  <c r="H201" i="31"/>
  <c r="A202" i="31" s="1"/>
  <c r="G201" i="31"/>
  <c r="F201" i="31"/>
  <c r="D201" i="31"/>
  <c r="H200" i="31"/>
  <c r="A201" i="31" s="1"/>
  <c r="G200" i="31"/>
  <c r="F200" i="31"/>
  <c r="D200" i="31"/>
  <c r="H199" i="31"/>
  <c r="A200" i="31" s="1"/>
  <c r="G199" i="31"/>
  <c r="F199" i="31"/>
  <c r="D199" i="31"/>
  <c r="H198" i="31"/>
  <c r="A199" i="31" s="1"/>
  <c r="G198" i="31"/>
  <c r="F198" i="31"/>
  <c r="D198" i="31"/>
  <c r="H197" i="31"/>
  <c r="A198" i="31" s="1"/>
  <c r="G197" i="31"/>
  <c r="F197" i="31"/>
  <c r="D197" i="31"/>
  <c r="H196" i="31"/>
  <c r="A197" i="31" s="1"/>
  <c r="G196" i="31"/>
  <c r="F196" i="31"/>
  <c r="D196" i="31"/>
  <c r="H195" i="31"/>
  <c r="A196" i="31" s="1"/>
  <c r="G195" i="31"/>
  <c r="F195" i="31"/>
  <c r="D195" i="31"/>
  <c r="H194" i="31"/>
  <c r="A195" i="31" s="1"/>
  <c r="G194" i="31"/>
  <c r="F194" i="31"/>
  <c r="D194" i="31"/>
  <c r="H193" i="31"/>
  <c r="A194" i="31" s="1"/>
  <c r="G193" i="31"/>
  <c r="F193" i="31"/>
  <c r="D193" i="31"/>
  <c r="H192" i="31"/>
  <c r="A193" i="31" s="1"/>
  <c r="G192" i="31"/>
  <c r="F192" i="31"/>
  <c r="D192" i="31"/>
  <c r="A192" i="31"/>
  <c r="H191" i="31"/>
  <c r="G191" i="31"/>
  <c r="F191" i="31"/>
  <c r="D191" i="31"/>
  <c r="H190" i="31"/>
  <c r="A191" i="31" s="1"/>
  <c r="G190" i="31"/>
  <c r="F190" i="31"/>
  <c r="D190" i="31"/>
  <c r="H189" i="31"/>
  <c r="A190" i="31" s="1"/>
  <c r="G189" i="31"/>
  <c r="F189" i="31"/>
  <c r="D189" i="31"/>
  <c r="H188" i="31"/>
  <c r="A189" i="31" s="1"/>
  <c r="G188" i="31"/>
  <c r="F188" i="31"/>
  <c r="D188" i="31"/>
  <c r="H187" i="31"/>
  <c r="A188" i="31" s="1"/>
  <c r="G187" i="31"/>
  <c r="F187" i="31"/>
  <c r="D187" i="31"/>
  <c r="H186" i="31"/>
  <c r="A187" i="31" s="1"/>
  <c r="G186" i="31"/>
  <c r="F186" i="31"/>
  <c r="D186" i="31"/>
  <c r="H185" i="31"/>
  <c r="A186" i="31" s="1"/>
  <c r="G185" i="31"/>
  <c r="F185" i="31"/>
  <c r="D185" i="31"/>
  <c r="H184" i="31"/>
  <c r="A185" i="31" s="1"/>
  <c r="G184" i="31"/>
  <c r="F184" i="31"/>
  <c r="D184" i="31"/>
  <c r="H183" i="31"/>
  <c r="A184" i="31" s="1"/>
  <c r="G183" i="31"/>
  <c r="F183" i="31"/>
  <c r="D183" i="31"/>
  <c r="H182" i="31"/>
  <c r="A183" i="31" s="1"/>
  <c r="G182" i="31"/>
  <c r="F182" i="31"/>
  <c r="D182" i="31"/>
  <c r="H181" i="31"/>
  <c r="A182" i="31" s="1"/>
  <c r="G181" i="31"/>
  <c r="F181" i="31"/>
  <c r="D181" i="31"/>
  <c r="H180" i="31"/>
  <c r="A181" i="31" s="1"/>
  <c r="G180" i="31"/>
  <c r="F180" i="31"/>
  <c r="D180" i="31"/>
  <c r="H179" i="31"/>
  <c r="A180" i="31" s="1"/>
  <c r="G179" i="31"/>
  <c r="F179" i="31"/>
  <c r="D179" i="31"/>
  <c r="H178" i="31"/>
  <c r="A179" i="31" s="1"/>
  <c r="G178" i="31"/>
  <c r="F178" i="31"/>
  <c r="D178" i="31"/>
  <c r="H177" i="31"/>
  <c r="A178" i="31" s="1"/>
  <c r="G177" i="31"/>
  <c r="F177" i="31"/>
  <c r="D177" i="31"/>
  <c r="H176" i="31"/>
  <c r="A177" i="31" s="1"/>
  <c r="G176" i="31"/>
  <c r="F176" i="31"/>
  <c r="D176" i="31"/>
  <c r="H175" i="31"/>
  <c r="A176" i="31" s="1"/>
  <c r="G175" i="31"/>
  <c r="F175" i="31"/>
  <c r="D175" i="31"/>
  <c r="H174" i="31"/>
  <c r="A175" i="31" s="1"/>
  <c r="G174" i="31"/>
  <c r="F174" i="31"/>
  <c r="D174" i="31"/>
  <c r="A174" i="31"/>
  <c r="H173" i="31"/>
  <c r="G173" i="31"/>
  <c r="F173" i="31"/>
  <c r="D173" i="31"/>
  <c r="H172" i="31"/>
  <c r="A173" i="31" s="1"/>
  <c r="G172" i="31"/>
  <c r="F172" i="31"/>
  <c r="D172" i="31"/>
  <c r="H171" i="31"/>
  <c r="A172" i="31" s="1"/>
  <c r="G171" i="31"/>
  <c r="F171" i="31"/>
  <c r="D171" i="31"/>
  <c r="H170" i="31"/>
  <c r="A171" i="31" s="1"/>
  <c r="G170" i="31"/>
  <c r="F170" i="31"/>
  <c r="D170" i="31"/>
  <c r="H169" i="31"/>
  <c r="A170" i="31" s="1"/>
  <c r="G169" i="31"/>
  <c r="F169" i="31"/>
  <c r="D169" i="31"/>
  <c r="H168" i="31"/>
  <c r="A169" i="31" s="1"/>
  <c r="G168" i="31"/>
  <c r="F168" i="31"/>
  <c r="D168" i="31"/>
  <c r="H167" i="31"/>
  <c r="A168" i="31" s="1"/>
  <c r="G167" i="31"/>
  <c r="F167" i="31"/>
  <c r="D167" i="31"/>
  <c r="H166" i="31"/>
  <c r="A167" i="31" s="1"/>
  <c r="G166" i="31"/>
  <c r="F166" i="31"/>
  <c r="D166" i="31"/>
  <c r="H165" i="31"/>
  <c r="A166" i="31" s="1"/>
  <c r="G165" i="31"/>
  <c r="F165" i="31"/>
  <c r="D165" i="31"/>
  <c r="H164" i="31"/>
  <c r="A165" i="31" s="1"/>
  <c r="G164" i="31"/>
  <c r="F164" i="31"/>
  <c r="D164" i="31"/>
  <c r="H163" i="31"/>
  <c r="A164" i="31" s="1"/>
  <c r="G163" i="31"/>
  <c r="F163" i="31"/>
  <c r="D163" i="31"/>
  <c r="H162" i="31"/>
  <c r="A163" i="31" s="1"/>
  <c r="G162" i="31"/>
  <c r="F162" i="31"/>
  <c r="D162" i="31"/>
  <c r="H161" i="31"/>
  <c r="A162" i="31" s="1"/>
  <c r="G161" i="31"/>
  <c r="F161" i="31"/>
  <c r="D161" i="31"/>
  <c r="H160" i="31"/>
  <c r="A161" i="31" s="1"/>
  <c r="G160" i="31"/>
  <c r="F160" i="31"/>
  <c r="D160" i="31"/>
  <c r="H159" i="31"/>
  <c r="A160" i="31" s="1"/>
  <c r="G159" i="31"/>
  <c r="F159" i="31"/>
  <c r="D159" i="31"/>
  <c r="H158" i="31"/>
  <c r="A159" i="31" s="1"/>
  <c r="G158" i="31"/>
  <c r="F158" i="31"/>
  <c r="D158" i="31"/>
  <c r="H157" i="31"/>
  <c r="A158" i="31" s="1"/>
  <c r="G157" i="31"/>
  <c r="F157" i="31"/>
  <c r="D157" i="31"/>
  <c r="H156" i="31"/>
  <c r="A157" i="31" s="1"/>
  <c r="G156" i="31"/>
  <c r="F156" i="31"/>
  <c r="D156" i="31"/>
  <c r="A156" i="31"/>
  <c r="H155" i="31"/>
  <c r="G155" i="31"/>
  <c r="F155" i="31"/>
  <c r="D155" i="31"/>
  <c r="H154" i="31"/>
  <c r="A155" i="31" s="1"/>
  <c r="G154" i="31"/>
  <c r="F154" i="31"/>
  <c r="D154" i="31"/>
  <c r="H153" i="31"/>
  <c r="A154" i="31" s="1"/>
  <c r="G153" i="31"/>
  <c r="F153" i="31"/>
  <c r="D153" i="31"/>
  <c r="H152" i="31"/>
  <c r="A153" i="31" s="1"/>
  <c r="G152" i="31"/>
  <c r="F152" i="31"/>
  <c r="D152" i="31"/>
  <c r="H151" i="31"/>
  <c r="A152" i="31" s="1"/>
  <c r="G151" i="31"/>
  <c r="F151" i="31"/>
  <c r="D151" i="31"/>
  <c r="H150" i="31"/>
  <c r="A151" i="31" s="1"/>
  <c r="G150" i="31"/>
  <c r="F150" i="31"/>
  <c r="D150" i="31"/>
  <c r="H149" i="31"/>
  <c r="A150" i="31" s="1"/>
  <c r="G149" i="31"/>
  <c r="F149" i="31"/>
  <c r="D149" i="31"/>
  <c r="H148" i="31"/>
  <c r="A149" i="31" s="1"/>
  <c r="G148" i="31"/>
  <c r="F148" i="31"/>
  <c r="D148" i="31"/>
  <c r="H147" i="31"/>
  <c r="A148" i="31" s="1"/>
  <c r="G147" i="31"/>
  <c r="F147" i="31"/>
  <c r="D147" i="31"/>
  <c r="H146" i="31"/>
  <c r="A147" i="31" s="1"/>
  <c r="G146" i="31"/>
  <c r="F146" i="31"/>
  <c r="D146" i="31"/>
  <c r="H145" i="31"/>
  <c r="A146" i="31" s="1"/>
  <c r="G145" i="31"/>
  <c r="F145" i="31"/>
  <c r="D145" i="31"/>
  <c r="H144" i="31"/>
  <c r="A145" i="31" s="1"/>
  <c r="G144" i="31"/>
  <c r="F144" i="31"/>
  <c r="D144" i="31"/>
  <c r="H143" i="31"/>
  <c r="A144" i="31" s="1"/>
  <c r="G143" i="31"/>
  <c r="F143" i="31"/>
  <c r="D143" i="31"/>
  <c r="H142" i="31"/>
  <c r="A143" i="31" s="1"/>
  <c r="G142" i="31"/>
  <c r="F142" i="31"/>
  <c r="D142" i="31"/>
  <c r="A142" i="31"/>
  <c r="H141" i="31"/>
  <c r="G141" i="31"/>
  <c r="F141" i="31"/>
  <c r="D141" i="31"/>
  <c r="H140" i="31"/>
  <c r="A141" i="31" s="1"/>
  <c r="G140" i="31"/>
  <c r="F140" i="31"/>
  <c r="D140" i="31"/>
  <c r="A140" i="31"/>
  <c r="H139" i="31"/>
  <c r="G139" i="31"/>
  <c r="F139" i="31"/>
  <c r="D139" i="31"/>
  <c r="B19" i="31"/>
  <c r="M18" i="31"/>
  <c r="N18" i="31" s="1"/>
  <c r="B18" i="31"/>
  <c r="H9" i="31"/>
  <c r="H2" i="31"/>
  <c r="AS184" i="13"/>
  <c r="AT184" i="13" s="1"/>
  <c r="AU184" i="13" s="1"/>
  <c r="AV184" i="13" s="1"/>
  <c r="AW184" i="13" s="1"/>
  <c r="AX184" i="13" s="1"/>
  <c r="AY184" i="13" s="1"/>
  <c r="AZ184" i="13" s="1"/>
  <c r="BA184" i="13" s="1"/>
  <c r="BB184" i="13" s="1"/>
  <c r="BC184" i="13" s="1"/>
  <c r="BG184" i="13" s="1"/>
  <c r="AQ121" i="13"/>
  <c r="M10" i="30"/>
  <c r="S9" i="30"/>
  <c r="M9" i="30"/>
  <c r="S8" i="30"/>
  <c r="Q11" i="30"/>
  <c r="M8" i="30"/>
  <c r="S6" i="30"/>
  <c r="M6" i="30"/>
  <c r="M4" i="30"/>
  <c r="K11" i="30"/>
  <c r="P2" i="30"/>
  <c r="BF210" i="13" l="1"/>
  <c r="CM31" i="19"/>
  <c r="AZ31" i="19"/>
  <c r="B22" i="35"/>
  <c r="I22" i="35" s="1"/>
  <c r="L23" i="32"/>
  <c r="M19" i="32" s="1"/>
  <c r="AU29" i="19"/>
  <c r="AU32" i="19"/>
  <c r="N18" i="32"/>
  <c r="I19" i="32"/>
  <c r="D19" i="32"/>
  <c r="D14" i="32"/>
  <c r="C19" i="32" s="1"/>
  <c r="O18" i="31"/>
  <c r="I19" i="31"/>
  <c r="R11" i="30"/>
  <c r="S5" i="30"/>
  <c r="S3" i="30"/>
  <c r="S4" i="30"/>
  <c r="M5" i="30"/>
  <c r="L11" i="30"/>
  <c r="G19" i="32" l="1"/>
  <c r="D22" i="35"/>
  <c r="G22" i="35" s="1"/>
  <c r="F19" i="32"/>
  <c r="H19" i="32" s="1"/>
  <c r="A20" i="32" s="1"/>
  <c r="E19" i="32"/>
  <c r="O18" i="32"/>
  <c r="P18" i="31"/>
  <c r="Q2" i="30"/>
  <c r="R2" i="30"/>
  <c r="E22" i="35" l="1"/>
  <c r="F22" i="35"/>
  <c r="H22" i="35" s="1"/>
  <c r="A23" i="35" s="1"/>
  <c r="C23" i="35" s="1"/>
  <c r="J23" i="35" s="1"/>
  <c r="C20" i="32"/>
  <c r="B20" i="32"/>
  <c r="P18" i="32"/>
  <c r="Q18" i="31"/>
  <c r="B23" i="35" l="1"/>
  <c r="D23" i="35" s="1"/>
  <c r="E23" i="35" s="1"/>
  <c r="Q18" i="32"/>
  <c r="I20" i="32"/>
  <c r="D20" i="32"/>
  <c r="R18" i="31"/>
  <c r="F23" i="35" l="1"/>
  <c r="G23" i="35"/>
  <c r="I23" i="35"/>
  <c r="R18" i="32"/>
  <c r="E20" i="32"/>
  <c r="F20" i="32"/>
  <c r="G20" i="32"/>
  <c r="S18" i="31"/>
  <c r="H23" i="35" l="1"/>
  <c r="A24" i="35" s="1"/>
  <c r="C24" i="35" s="1"/>
  <c r="H20" i="32"/>
  <c r="A21" i="32" s="1"/>
  <c r="C21" i="32" s="1"/>
  <c r="S18" i="32"/>
  <c r="T18" i="31"/>
  <c r="B24" i="35" l="1"/>
  <c r="D24" i="35" s="1"/>
  <c r="G24" i="35" s="1"/>
  <c r="B21" i="32"/>
  <c r="I21" i="32" s="1"/>
  <c r="T18" i="32"/>
  <c r="U18" i="31"/>
  <c r="I24" i="35" l="1"/>
  <c r="F24" i="35"/>
  <c r="H24" i="35" s="1"/>
  <c r="A25" i="35" s="1"/>
  <c r="B25" i="35" s="1"/>
  <c r="I25" i="35" s="1"/>
  <c r="E24" i="35"/>
  <c r="D21" i="32"/>
  <c r="F21" i="32" s="1"/>
  <c r="U18" i="32"/>
  <c r="V18" i="31"/>
  <c r="C25" i="35" l="1"/>
  <c r="D25" i="35"/>
  <c r="E21" i="32"/>
  <c r="G21" i="32"/>
  <c r="H21" i="32" s="1"/>
  <c r="A22" i="32" s="1"/>
  <c r="C22" i="32" s="1"/>
  <c r="V18" i="32"/>
  <c r="W18" i="31"/>
  <c r="E25" i="35" l="1"/>
  <c r="G25" i="35"/>
  <c r="F25" i="35"/>
  <c r="H25" i="35"/>
  <c r="A26" i="35" s="1"/>
  <c r="B26" i="35" s="1"/>
  <c r="I26" i="35" s="1"/>
  <c r="B22" i="32"/>
  <c r="D22" i="32" s="1"/>
  <c r="G22" i="32" s="1"/>
  <c r="W18" i="32"/>
  <c r="C26" i="35" l="1"/>
  <c r="D26" i="35"/>
  <c r="I22" i="32"/>
  <c r="F22" i="32"/>
  <c r="H22" i="32" s="1"/>
  <c r="A23" i="32" s="1"/>
  <c r="E22" i="32"/>
  <c r="G26" i="35" l="1"/>
  <c r="E26" i="35"/>
  <c r="F26" i="35"/>
  <c r="H26" i="35" s="1"/>
  <c r="A27" i="35" s="1"/>
  <c r="B27" i="35" s="1"/>
  <c r="I27" i="35" s="1"/>
  <c r="C23" i="32"/>
  <c r="B23" i="32"/>
  <c r="D27" i="35" l="1"/>
  <c r="C27" i="35"/>
  <c r="D23" i="32"/>
  <c r="E23" i="32" s="1"/>
  <c r="I23" i="32"/>
  <c r="J23" i="32"/>
  <c r="E27" i="35" l="1"/>
  <c r="G27" i="35"/>
  <c r="F27" i="35"/>
  <c r="F23" i="32"/>
  <c r="G23" i="32"/>
  <c r="H27" i="35" l="1"/>
  <c r="A28" i="35" s="1"/>
  <c r="C28" i="35" s="1"/>
  <c r="H23" i="32"/>
  <c r="A24" i="32" s="1"/>
  <c r="B24" i="32" s="1"/>
  <c r="B28" i="35" l="1"/>
  <c r="I28" i="35" s="1"/>
  <c r="C24" i="32"/>
  <c r="D24" i="32"/>
  <c r="I24" i="32"/>
  <c r="D28" i="35" l="1"/>
  <c r="G28" i="35" s="1"/>
  <c r="F28" i="35"/>
  <c r="H28" i="35" s="1"/>
  <c r="A29" i="35" s="1"/>
  <c r="B29" i="35" s="1"/>
  <c r="E28" i="35"/>
  <c r="F24" i="32"/>
  <c r="G24" i="32"/>
  <c r="E24" i="32"/>
  <c r="C29" i="35" l="1"/>
  <c r="D29" i="35"/>
  <c r="E29" i="35" s="1"/>
  <c r="I29" i="35"/>
  <c r="H24" i="32"/>
  <c r="A25" i="32" s="1"/>
  <c r="C25" i="32" s="1"/>
  <c r="F29" i="35" l="1"/>
  <c r="G29" i="35"/>
  <c r="B25" i="32"/>
  <c r="D25" i="32" s="1"/>
  <c r="F25" i="32" s="1"/>
  <c r="H29" i="35" l="1"/>
  <c r="A30" i="35" s="1"/>
  <c r="B30" i="35" s="1"/>
  <c r="G25" i="32"/>
  <c r="H25" i="32" s="1"/>
  <c r="A26" i="32" s="1"/>
  <c r="C26" i="32" s="1"/>
  <c r="E25" i="32"/>
  <c r="I25" i="32"/>
  <c r="C30" i="35" l="1"/>
  <c r="D30" i="35"/>
  <c r="I30" i="35"/>
  <c r="B26" i="32"/>
  <c r="D26" i="32" s="1"/>
  <c r="G26" i="32" s="1"/>
  <c r="G30" i="35" l="1"/>
  <c r="E30" i="35"/>
  <c r="F30" i="35"/>
  <c r="I26" i="32"/>
  <c r="E26" i="32"/>
  <c r="F26" i="32"/>
  <c r="H26" i="32" s="1"/>
  <c r="A27" i="32" s="1"/>
  <c r="H30" i="35" l="1"/>
  <c r="A31" i="35" s="1"/>
  <c r="C31" i="35" s="1"/>
  <c r="B27" i="32"/>
  <c r="C27" i="32"/>
  <c r="B31" i="35" l="1"/>
  <c r="D31" i="35" s="1"/>
  <c r="F31" i="35" s="1"/>
  <c r="D27" i="32"/>
  <c r="E27" i="32" s="1"/>
  <c r="I27" i="32"/>
  <c r="G31" i="35" l="1"/>
  <c r="E31" i="35"/>
  <c r="I31" i="35"/>
  <c r="H31" i="35"/>
  <c r="A32" i="35" s="1"/>
  <c r="C32" i="35" s="1"/>
  <c r="F27" i="32"/>
  <c r="G27" i="32"/>
  <c r="B32" i="35" l="1"/>
  <c r="I32" i="35" s="1"/>
  <c r="H27" i="32"/>
  <c r="A28" i="32" s="1"/>
  <c r="B28" i="32" s="1"/>
  <c r="I28" i="32" s="1"/>
  <c r="D32" i="35" l="1"/>
  <c r="F32" i="35" s="1"/>
  <c r="D28" i="32"/>
  <c r="C28" i="32"/>
  <c r="E32" i="35" l="1"/>
  <c r="G32" i="35"/>
  <c r="H32" i="35" s="1"/>
  <c r="A33" i="35" s="1"/>
  <c r="B33" i="35" s="1"/>
  <c r="E28" i="32"/>
  <c r="G28" i="32"/>
  <c r="F28" i="32"/>
  <c r="C33" i="35" l="1"/>
  <c r="I33" i="35"/>
  <c r="D33" i="35"/>
  <c r="H28" i="32"/>
  <c r="A29" i="32" s="1"/>
  <c r="C29" i="32" s="1"/>
  <c r="G33" i="35" l="1"/>
  <c r="E33" i="35"/>
  <c r="F33" i="35"/>
  <c r="B29" i="32"/>
  <c r="D29" i="32" s="1"/>
  <c r="E29" i="32" s="1"/>
  <c r="H33" i="35" l="1"/>
  <c r="A34" i="35" s="1"/>
  <c r="B34" i="35" s="1"/>
  <c r="I29" i="32"/>
  <c r="F29" i="32"/>
  <c r="G29" i="32"/>
  <c r="C34" i="35" l="1"/>
  <c r="D34" i="35"/>
  <c r="I34" i="35"/>
  <c r="H29" i="32"/>
  <c r="A30" i="32" s="1"/>
  <c r="B30" i="32" s="1"/>
  <c r="I30" i="32" s="1"/>
  <c r="G34" i="35" l="1"/>
  <c r="E34" i="35"/>
  <c r="F34" i="35"/>
  <c r="C30" i="32"/>
  <c r="D30" i="32"/>
  <c r="H34" i="35" l="1"/>
  <c r="A35" i="35" s="1"/>
  <c r="B35" i="35" s="1"/>
  <c r="F30" i="32"/>
  <c r="E30" i="32"/>
  <c r="G30" i="32"/>
  <c r="C35" i="35" l="1"/>
  <c r="J35" i="35" s="1"/>
  <c r="I35" i="35"/>
  <c r="D35" i="35"/>
  <c r="F35" i="35" s="1"/>
  <c r="H30" i="32"/>
  <c r="A31" i="32" s="1"/>
  <c r="C31" i="32" s="1"/>
  <c r="E35" i="35" l="1"/>
  <c r="G35" i="35"/>
  <c r="H35" i="35" s="1"/>
  <c r="A36" i="35" s="1"/>
  <c r="B31" i="32"/>
  <c r="I31" i="32" s="1"/>
  <c r="C36" i="35" l="1"/>
  <c r="B36" i="35"/>
  <c r="D31" i="32"/>
  <c r="F31" i="32" s="1"/>
  <c r="I36" i="35" l="1"/>
  <c r="D36" i="35"/>
  <c r="F36" i="35" s="1"/>
  <c r="B37" i="35"/>
  <c r="C37" i="35"/>
  <c r="E31" i="32"/>
  <c r="G31" i="32"/>
  <c r="H31" i="32" s="1"/>
  <c r="A32" i="32" s="1"/>
  <c r="C32" i="32" s="1"/>
  <c r="E36" i="35" l="1"/>
  <c r="I37" i="35"/>
  <c r="G36" i="35"/>
  <c r="H36" i="35" s="1"/>
  <c r="B32" i="32"/>
  <c r="I32" i="32" s="1"/>
  <c r="D37" i="35" l="1"/>
  <c r="E37" i="35" s="1"/>
  <c r="D32" i="32"/>
  <c r="G32" i="32" s="1"/>
  <c r="G37" i="35" l="1"/>
  <c r="F37" i="35"/>
  <c r="F32" i="32"/>
  <c r="H32" i="32" s="1"/>
  <c r="A33" i="32" s="1"/>
  <c r="B33" i="32" s="1"/>
  <c r="D33" i="32" s="1"/>
  <c r="E32" i="32"/>
  <c r="H37" i="35" l="1"/>
  <c r="A38" i="35" s="1"/>
  <c r="I33" i="32"/>
  <c r="C33" i="32"/>
  <c r="G33" i="32" s="1"/>
  <c r="B38" i="35" l="1"/>
  <c r="C38" i="35"/>
  <c r="E33" i="32"/>
  <c r="F33" i="32"/>
  <c r="H33" i="32" s="1"/>
  <c r="A34" i="32" s="1"/>
  <c r="C34" i="32" s="1"/>
  <c r="I38" i="35" l="1"/>
  <c r="D38" i="35"/>
  <c r="E38" i="35" s="1"/>
  <c r="B34" i="32"/>
  <c r="I34" i="32" s="1"/>
  <c r="F38" i="35" l="1"/>
  <c r="G38" i="35"/>
  <c r="D34" i="32"/>
  <c r="F34" i="32" s="1"/>
  <c r="H38" i="35" l="1"/>
  <c r="A39" i="35" s="1"/>
  <c r="C39" i="35" s="1"/>
  <c r="E34" i="32"/>
  <c r="G34" i="32"/>
  <c r="H34" i="32" s="1"/>
  <c r="A35" i="32" s="1"/>
  <c r="C35" i="32" s="1"/>
  <c r="J35" i="32" s="1"/>
  <c r="B39" i="35" l="1"/>
  <c r="D39" i="35" s="1"/>
  <c r="C40" i="35"/>
  <c r="B35" i="32"/>
  <c r="I35" i="32" s="1"/>
  <c r="G39" i="35" l="1"/>
  <c r="E39" i="35"/>
  <c r="I39" i="35"/>
  <c r="B40" i="35"/>
  <c r="F39" i="35"/>
  <c r="D35" i="32"/>
  <c r="G35" i="32" s="1"/>
  <c r="H39" i="35" l="1"/>
  <c r="D40" i="35"/>
  <c r="F40" i="35" s="1"/>
  <c r="I40" i="35"/>
  <c r="F35" i="32"/>
  <c r="H35" i="32" s="1"/>
  <c r="A36" i="32" s="1"/>
  <c r="B36" i="32" s="1"/>
  <c r="E35" i="32"/>
  <c r="E40" i="35" l="1"/>
  <c r="G40" i="35"/>
  <c r="H40" i="35" s="1"/>
  <c r="A41" i="35" s="1"/>
  <c r="B41" i="35" s="1"/>
  <c r="C36" i="32"/>
  <c r="C37" i="32" s="1"/>
  <c r="D36" i="32"/>
  <c r="I36" i="32"/>
  <c r="B37" i="32"/>
  <c r="I37" i="32" s="1"/>
  <c r="C41" i="35" l="1"/>
  <c r="D41" i="35"/>
  <c r="I41" i="35"/>
  <c r="E36" i="32"/>
  <c r="F36" i="32"/>
  <c r="G36" i="32"/>
  <c r="G41" i="35" l="1"/>
  <c r="F41" i="35"/>
  <c r="E41" i="35"/>
  <c r="D37" i="32"/>
  <c r="H36" i="32"/>
  <c r="H41" i="35" l="1"/>
  <c r="A42" i="35" s="1"/>
  <c r="B42" i="35" s="1"/>
  <c r="I42" i="35" s="1"/>
  <c r="E37" i="32"/>
  <c r="G37" i="32"/>
  <c r="F37" i="32"/>
  <c r="D42" i="35" l="1"/>
  <c r="C42" i="35"/>
  <c r="G42" i="35" s="1"/>
  <c r="H37" i="32"/>
  <c r="A38" i="32" s="1"/>
  <c r="E42" i="35" l="1"/>
  <c r="F42" i="35"/>
  <c r="H42" i="35"/>
  <c r="A43" i="35" s="1"/>
  <c r="C43" i="35" s="1"/>
  <c r="C38" i="32"/>
  <c r="B38" i="32"/>
  <c r="B43" i="35" l="1"/>
  <c r="D43" i="35" s="1"/>
  <c r="E43" i="35" s="1"/>
  <c r="I38" i="32"/>
  <c r="D38" i="32"/>
  <c r="G38" i="32" s="1"/>
  <c r="I43" i="35" l="1"/>
  <c r="G43" i="35"/>
  <c r="F43" i="35"/>
  <c r="E38" i="32"/>
  <c r="F38" i="32"/>
  <c r="H38" i="32" s="1"/>
  <c r="A39" i="32" s="1"/>
  <c r="H43" i="35" l="1"/>
  <c r="A44" i="35" s="1"/>
  <c r="C44" i="35" s="1"/>
  <c r="C39" i="32"/>
  <c r="B39" i="32"/>
  <c r="B44" i="35" l="1"/>
  <c r="I44" i="35" s="1"/>
  <c r="D39" i="32"/>
  <c r="G39" i="32" s="1"/>
  <c r="I39" i="32"/>
  <c r="B40" i="32"/>
  <c r="C40" i="32"/>
  <c r="D44" i="35" l="1"/>
  <c r="F44" i="35" s="1"/>
  <c r="F39" i="32"/>
  <c r="H39" i="32" s="1"/>
  <c r="E39" i="32"/>
  <c r="I40" i="32"/>
  <c r="D40" i="32"/>
  <c r="E40" i="32" s="1"/>
  <c r="E44" i="35" l="1"/>
  <c r="G44" i="35"/>
  <c r="H44" i="35" s="1"/>
  <c r="A45" i="35" s="1"/>
  <c r="C45" i="35" s="1"/>
  <c r="F40" i="32"/>
  <c r="G40" i="32"/>
  <c r="B45" i="35" l="1"/>
  <c r="I45" i="35" s="1"/>
  <c r="H40" i="32"/>
  <c r="A41" i="32" s="1"/>
  <c r="C41" i="32" s="1"/>
  <c r="D45" i="35" l="1"/>
  <c r="E45" i="35" s="1"/>
  <c r="F45" i="35"/>
  <c r="G45" i="35"/>
  <c r="B41" i="32"/>
  <c r="I41" i="32" s="1"/>
  <c r="H45" i="35" l="1"/>
  <c r="A46" i="35" s="1"/>
  <c r="C46" i="35" s="1"/>
  <c r="D41" i="32"/>
  <c r="B46" i="35" l="1"/>
  <c r="D46" i="35" s="1"/>
  <c r="F46" i="35" s="1"/>
  <c r="G41" i="32"/>
  <c r="E41" i="32"/>
  <c r="F41" i="32"/>
  <c r="I46" i="35" l="1"/>
  <c r="G46" i="35"/>
  <c r="H46" i="35" s="1"/>
  <c r="A47" i="35" s="1"/>
  <c r="B47" i="35" s="1"/>
  <c r="E46" i="35"/>
  <c r="H41" i="32"/>
  <c r="A42" i="32" s="1"/>
  <c r="C42" i="32" s="1"/>
  <c r="C47" i="35" l="1"/>
  <c r="I47" i="35"/>
  <c r="D47" i="35"/>
  <c r="B42" i="32"/>
  <c r="I42" i="32" s="1"/>
  <c r="E47" i="35" l="1"/>
  <c r="J47" i="35"/>
  <c r="F47" i="35"/>
  <c r="G47" i="35"/>
  <c r="D42" i="32"/>
  <c r="G42" i="32" s="1"/>
  <c r="H47" i="35" l="1"/>
  <c r="A48" i="35" s="1"/>
  <c r="B48" i="35" s="1"/>
  <c r="E42" i="32"/>
  <c r="F42" i="32"/>
  <c r="H42" i="32" s="1"/>
  <c r="A43" i="32" s="1"/>
  <c r="C43" i="32" s="1"/>
  <c r="C48" i="35" l="1"/>
  <c r="I48" i="35"/>
  <c r="D48" i="35"/>
  <c r="B43" i="32"/>
  <c r="D43" i="32" s="1"/>
  <c r="E43" i="32" s="1"/>
  <c r="E48" i="35" l="1"/>
  <c r="F48" i="35"/>
  <c r="G48" i="35"/>
  <c r="I43" i="32"/>
  <c r="F43" i="32"/>
  <c r="G43" i="32"/>
  <c r="H48" i="35" l="1"/>
  <c r="A49" i="35" s="1"/>
  <c r="B49" i="35" s="1"/>
  <c r="H43" i="32"/>
  <c r="A44" i="32" s="1"/>
  <c r="C44" i="32" s="1"/>
  <c r="C49" i="35" l="1"/>
  <c r="D49" i="35"/>
  <c r="G49" i="35" s="1"/>
  <c r="I49" i="35"/>
  <c r="B44" i="32"/>
  <c r="I44" i="32" s="1"/>
  <c r="F49" i="35" l="1"/>
  <c r="H49" i="35" s="1"/>
  <c r="A50" i="35" s="1"/>
  <c r="B50" i="35" s="1"/>
  <c r="E49" i="35"/>
  <c r="D44" i="32"/>
  <c r="E44" i="32" s="1"/>
  <c r="C50" i="35" l="1"/>
  <c r="D50" i="35"/>
  <c r="I50" i="35"/>
  <c r="F44" i="32"/>
  <c r="G44" i="32"/>
  <c r="G50" i="35" l="1"/>
  <c r="F50" i="35"/>
  <c r="E50" i="35"/>
  <c r="H44" i="32"/>
  <c r="A45" i="32" s="1"/>
  <c r="C45" i="32" s="1"/>
  <c r="H50" i="35" l="1"/>
  <c r="A51" i="35" s="1"/>
  <c r="C51" i="35" s="1"/>
  <c r="B45" i="32"/>
  <c r="D45" i="32" s="1"/>
  <c r="G45" i="32" s="1"/>
  <c r="B51" i="35" l="1"/>
  <c r="I51" i="35" s="1"/>
  <c r="E45" i="32"/>
  <c r="I45" i="32"/>
  <c r="F45" i="32"/>
  <c r="H45" i="32" s="1"/>
  <c r="A46" i="32" s="1"/>
  <c r="C46" i="32" s="1"/>
  <c r="D51" i="35" l="1"/>
  <c r="F51" i="35" s="1"/>
  <c r="G51" i="35"/>
  <c r="H51" i="35" s="1"/>
  <c r="A52" i="35" s="1"/>
  <c r="C52" i="35" s="1"/>
  <c r="E51" i="35"/>
  <c r="B46" i="32"/>
  <c r="D46" i="32" s="1"/>
  <c r="F46" i="32" s="1"/>
  <c r="B52" i="35" l="1"/>
  <c r="I52" i="35" s="1"/>
  <c r="G46" i="32"/>
  <c r="H46" i="32" s="1"/>
  <c r="A47" i="32" s="1"/>
  <c r="B47" i="32" s="1"/>
  <c r="D47" i="32" s="1"/>
  <c r="E46" i="32"/>
  <c r="I46" i="32"/>
  <c r="D52" i="35" l="1"/>
  <c r="G52" i="35" s="1"/>
  <c r="C47" i="32"/>
  <c r="J47" i="32" s="1"/>
  <c r="I47" i="32"/>
  <c r="F52" i="35" l="1"/>
  <c r="H52" i="35" s="1"/>
  <c r="A53" i="35" s="1"/>
  <c r="C53" i="35" s="1"/>
  <c r="E52" i="35"/>
  <c r="E47" i="32"/>
  <c r="G47" i="32"/>
  <c r="F47" i="32"/>
  <c r="B53" i="35" l="1"/>
  <c r="I53" i="35" s="1"/>
  <c r="H47" i="32"/>
  <c r="A48" i="32" s="1"/>
  <c r="D53" i="35" l="1"/>
  <c r="G53" i="35" s="1"/>
  <c r="C48" i="32"/>
  <c r="B48" i="32"/>
  <c r="E53" i="35" l="1"/>
  <c r="F53" i="35"/>
  <c r="H53" i="35" s="1"/>
  <c r="A54" i="35" s="1"/>
  <c r="C54" i="35" s="1"/>
  <c r="I48" i="32"/>
  <c r="D48" i="32"/>
  <c r="B54" i="35" l="1"/>
  <c r="D54" i="35" s="1"/>
  <c r="E54" i="35" s="1"/>
  <c r="J54" i="35"/>
  <c r="G48" i="32"/>
  <c r="E48" i="32"/>
  <c r="F48" i="32"/>
  <c r="I54" i="35" l="1"/>
  <c r="G54" i="35"/>
  <c r="F54" i="35"/>
  <c r="H48" i="32"/>
  <c r="A49" i="32" s="1"/>
  <c r="B49" i="32" s="1"/>
  <c r="H54" i="35" l="1"/>
  <c r="A55" i="35" s="1"/>
  <c r="C49" i="32"/>
  <c r="I49" i="32"/>
  <c r="D49" i="32"/>
  <c r="C55" i="35" l="1"/>
  <c r="B55" i="35"/>
  <c r="E49" i="32"/>
  <c r="G49" i="32"/>
  <c r="F49" i="32"/>
  <c r="D55" i="35" l="1"/>
  <c r="F55" i="35" s="1"/>
  <c r="I55" i="35"/>
  <c r="H49" i="32"/>
  <c r="A50" i="32" s="1"/>
  <c r="E55" i="35" l="1"/>
  <c r="G55" i="35"/>
  <c r="H55" i="35" s="1"/>
  <c r="A56" i="35" s="1"/>
  <c r="C50" i="32"/>
  <c r="B50" i="32"/>
  <c r="C56" i="35" l="1"/>
  <c r="B56" i="35"/>
  <c r="D50" i="32"/>
  <c r="E50" i="32" s="1"/>
  <c r="I50" i="32"/>
  <c r="D56" i="35" l="1"/>
  <c r="F56" i="35" s="1"/>
  <c r="I56" i="35"/>
  <c r="G50" i="32"/>
  <c r="F50" i="32"/>
  <c r="G56" i="35" l="1"/>
  <c r="H56" i="35" s="1"/>
  <c r="A57" i="35" s="1"/>
  <c r="C57" i="35" s="1"/>
  <c r="E56" i="35"/>
  <c r="H50" i="32"/>
  <c r="A51" i="32" s="1"/>
  <c r="B51" i="32" s="1"/>
  <c r="B57" i="35" l="1"/>
  <c r="D57" i="35" s="1"/>
  <c r="G57" i="35" s="1"/>
  <c r="C51" i="32"/>
  <c r="D51" i="32"/>
  <c r="I51" i="32"/>
  <c r="I57" i="35" l="1"/>
  <c r="E57" i="35"/>
  <c r="F57" i="35"/>
  <c r="H57" i="35" s="1"/>
  <c r="A58" i="35" s="1"/>
  <c r="E51" i="32"/>
  <c r="G51" i="32"/>
  <c r="F51" i="32"/>
  <c r="C58" i="35" l="1"/>
  <c r="B58" i="35"/>
  <c r="H51" i="32"/>
  <c r="A52" i="32" s="1"/>
  <c r="I58" i="35" l="1"/>
  <c r="D58" i="35"/>
  <c r="E58" i="35" s="1"/>
  <c r="C52" i="32"/>
  <c r="B52" i="32"/>
  <c r="F58" i="35" l="1"/>
  <c r="G58" i="35"/>
  <c r="D52" i="32"/>
  <c r="E52" i="32" s="1"/>
  <c r="I52" i="32"/>
  <c r="H58" i="35" l="1"/>
  <c r="A59" i="35" s="1"/>
  <c r="G52" i="32"/>
  <c r="F52" i="32"/>
  <c r="B59" i="35" l="1"/>
  <c r="C59" i="35"/>
  <c r="H52" i="32"/>
  <c r="A53" i="32" s="1"/>
  <c r="B53" i="32" s="1"/>
  <c r="D53" i="32" s="1"/>
  <c r="I59" i="35" l="1"/>
  <c r="D59" i="35"/>
  <c r="E59" i="35" s="1"/>
  <c r="I53" i="32"/>
  <c r="C53" i="32"/>
  <c r="F53" i="32" s="1"/>
  <c r="G59" i="35" l="1"/>
  <c r="F59" i="35"/>
  <c r="G53" i="32"/>
  <c r="H53" i="32" s="1"/>
  <c r="A54" i="32" s="1"/>
  <c r="C54" i="32" s="1"/>
  <c r="J54" i="32" s="1"/>
  <c r="E53" i="32"/>
  <c r="H59" i="35" l="1"/>
  <c r="A60" i="35" s="1"/>
  <c r="C60" i="35" s="1"/>
  <c r="B54" i="32"/>
  <c r="I54" i="32" s="1"/>
  <c r="B60" i="35" l="1"/>
  <c r="I60" i="35" s="1"/>
  <c r="D54" i="32"/>
  <c r="F54" i="32" s="1"/>
  <c r="D60" i="35" l="1"/>
  <c r="G60" i="35" s="1"/>
  <c r="E54" i="32"/>
  <c r="G54" i="32"/>
  <c r="H54" i="32" s="1"/>
  <c r="A55" i="32" s="1"/>
  <c r="C55" i="32" s="1"/>
  <c r="F60" i="35" l="1"/>
  <c r="H60" i="35" s="1"/>
  <c r="A61" i="35" s="1"/>
  <c r="C61" i="35" s="1"/>
  <c r="E60" i="35"/>
  <c r="B55" i="32"/>
  <c r="I55" i="32" s="1"/>
  <c r="B61" i="35" l="1"/>
  <c r="D61" i="35" s="1"/>
  <c r="G61" i="35" s="1"/>
  <c r="D55" i="32"/>
  <c r="G55" i="32" s="1"/>
  <c r="I61" i="35" l="1"/>
  <c r="E61" i="35"/>
  <c r="F61" i="35"/>
  <c r="H61" i="35" s="1"/>
  <c r="A62" i="35" s="1"/>
  <c r="F55" i="32"/>
  <c r="H55" i="32" s="1"/>
  <c r="A56" i="32" s="1"/>
  <c r="B56" i="32" s="1"/>
  <c r="I56" i="32" s="1"/>
  <c r="E55" i="32"/>
  <c r="B62" i="35" l="1"/>
  <c r="C62" i="35"/>
  <c r="D56" i="32"/>
  <c r="C56" i="32"/>
  <c r="D62" i="35" l="1"/>
  <c r="G62" i="35" s="1"/>
  <c r="I62" i="35"/>
  <c r="E56" i="32"/>
  <c r="G56" i="32"/>
  <c r="F56" i="32"/>
  <c r="F62" i="35" l="1"/>
  <c r="H62" i="35" s="1"/>
  <c r="A63" i="35" s="1"/>
  <c r="C63" i="35" s="1"/>
  <c r="E62" i="35"/>
  <c r="H56" i="32"/>
  <c r="A57" i="32" s="1"/>
  <c r="C57" i="32" s="1"/>
  <c r="B63" i="35" l="1"/>
  <c r="D63" i="35" s="1"/>
  <c r="F63" i="35" s="1"/>
  <c r="B57" i="32"/>
  <c r="I57" i="32" s="1"/>
  <c r="G63" i="35" l="1"/>
  <c r="H63" i="35" s="1"/>
  <c r="A64" i="35" s="1"/>
  <c r="B64" i="35" s="1"/>
  <c r="I63" i="35"/>
  <c r="E63" i="35"/>
  <c r="D57" i="32"/>
  <c r="E57" i="32" s="1"/>
  <c r="C64" i="35" l="1"/>
  <c r="I64" i="35"/>
  <c r="K64" i="35" s="1"/>
  <c r="D64" i="35"/>
  <c r="G57" i="32"/>
  <c r="F57" i="32"/>
  <c r="F64" i="35" l="1"/>
  <c r="E64" i="35"/>
  <c r="G64" i="35"/>
  <c r="H57" i="32"/>
  <c r="A58" i="32" s="1"/>
  <c r="C58" i="32" s="1"/>
  <c r="H64" i="35" l="1"/>
  <c r="A65" i="35" s="1"/>
  <c r="B58" i="32"/>
  <c r="D58" i="32" s="1"/>
  <c r="E58" i="32" s="1"/>
  <c r="B65" i="35" l="1"/>
  <c r="C65" i="35"/>
  <c r="I58" i="32"/>
  <c r="G58" i="32"/>
  <c r="F58" i="32"/>
  <c r="D65" i="35" l="1"/>
  <c r="E65" i="35" s="1"/>
  <c r="I65" i="35"/>
  <c r="K65" i="35" s="1"/>
  <c r="H58" i="32"/>
  <c r="A59" i="32" s="1"/>
  <c r="C59" i="32" s="1"/>
  <c r="G65" i="35" l="1"/>
  <c r="F65" i="35"/>
  <c r="B59" i="32"/>
  <c r="D59" i="32" s="1"/>
  <c r="G59" i="32" s="1"/>
  <c r="H65" i="35" l="1"/>
  <c r="A66" i="35" s="1"/>
  <c r="F59" i="32"/>
  <c r="H59" i="32" s="1"/>
  <c r="A60" i="32" s="1"/>
  <c r="B60" i="32" s="1"/>
  <c r="D60" i="32" s="1"/>
  <c r="E59" i="32"/>
  <c r="I59" i="32"/>
  <c r="B66" i="35" l="1"/>
  <c r="C66" i="35"/>
  <c r="I60" i="32"/>
  <c r="C60" i="32"/>
  <c r="E60" i="32" s="1"/>
  <c r="I66" i="35" l="1"/>
  <c r="K66" i="35" s="1"/>
  <c r="D66" i="35"/>
  <c r="E66" i="35" s="1"/>
  <c r="G60" i="32"/>
  <c r="F60" i="32"/>
  <c r="F66" i="35" l="1"/>
  <c r="G66" i="35"/>
  <c r="H60" i="32"/>
  <c r="A61" i="32" s="1"/>
  <c r="B61" i="32" s="1"/>
  <c r="D61" i="32" s="1"/>
  <c r="H66" i="35" l="1"/>
  <c r="A67" i="35" s="1"/>
  <c r="C67" i="35" s="1"/>
  <c r="C61" i="32"/>
  <c r="F61" i="32" s="1"/>
  <c r="I61" i="32"/>
  <c r="B67" i="35" l="1"/>
  <c r="D67" i="35" s="1"/>
  <c r="F67" i="35" s="1"/>
  <c r="E61" i="32"/>
  <c r="G61" i="32"/>
  <c r="H61" i="32" s="1"/>
  <c r="A62" i="32" s="1"/>
  <c r="B62" i="32" s="1"/>
  <c r="E67" i="35" l="1"/>
  <c r="G67" i="35"/>
  <c r="H67" i="35" s="1"/>
  <c r="A68" i="35" s="1"/>
  <c r="B68" i="35" s="1"/>
  <c r="D68" i="35" s="1"/>
  <c r="I67" i="35"/>
  <c r="K67" i="35" s="1"/>
  <c r="C62" i="32"/>
  <c r="I62" i="32"/>
  <c r="D62" i="32"/>
  <c r="I68" i="35" l="1"/>
  <c r="K68" i="35" s="1"/>
  <c r="C68" i="35"/>
  <c r="F68" i="35" s="1"/>
  <c r="G62" i="32"/>
  <c r="E62" i="32"/>
  <c r="F62" i="32"/>
  <c r="E68" i="35" l="1"/>
  <c r="G68" i="35"/>
  <c r="L64" i="35" s="1"/>
  <c r="H68" i="35"/>
  <c r="A69" i="35" s="1"/>
  <c r="B69" i="35" s="1"/>
  <c r="H62" i="32"/>
  <c r="A63" i="32" s="1"/>
  <c r="C63" i="32" s="1"/>
  <c r="C69" i="35" l="1"/>
  <c r="D69" i="35"/>
  <c r="E69" i="35" s="1"/>
  <c r="I69" i="35"/>
  <c r="K69" i="35" s="1"/>
  <c r="B63" i="32"/>
  <c r="D63" i="32" s="1"/>
  <c r="F63" i="32" s="1"/>
  <c r="G69" i="35" l="1"/>
  <c r="F69" i="35"/>
  <c r="I63" i="32"/>
  <c r="G63" i="32"/>
  <c r="H63" i="32" s="1"/>
  <c r="A64" i="32" s="1"/>
  <c r="E63" i="32"/>
  <c r="H69" i="35" l="1"/>
  <c r="A70" i="35" s="1"/>
  <c r="C64" i="32"/>
  <c r="B64" i="32"/>
  <c r="C70" i="35" l="1"/>
  <c r="B70" i="35"/>
  <c r="D64" i="32"/>
  <c r="E64" i="32" s="1"/>
  <c r="I64" i="32"/>
  <c r="K64" i="32" s="1"/>
  <c r="I70" i="35" l="1"/>
  <c r="K70" i="35" s="1"/>
  <c r="D70" i="35"/>
  <c r="G70" i="35" s="1"/>
  <c r="F64" i="32"/>
  <c r="G64" i="32"/>
  <c r="F70" i="35" l="1"/>
  <c r="H70" i="35" s="1"/>
  <c r="A71" i="35" s="1"/>
  <c r="C71" i="35" s="1"/>
  <c r="E70" i="35"/>
  <c r="H64" i="32"/>
  <c r="A65" i="32" s="1"/>
  <c r="B71" i="35" l="1"/>
  <c r="D71" i="35" s="1"/>
  <c r="E71" i="35" s="1"/>
  <c r="B65" i="32"/>
  <c r="C65" i="32"/>
  <c r="I71" i="35" l="1"/>
  <c r="K71" i="35" s="1"/>
  <c r="F71" i="35"/>
  <c r="G71" i="35"/>
  <c r="I65" i="32"/>
  <c r="K65" i="32" s="1"/>
  <c r="D65" i="32"/>
  <c r="G65" i="32" s="1"/>
  <c r="H71" i="35" l="1"/>
  <c r="A72" i="35" s="1"/>
  <c r="B72" i="35" s="1"/>
  <c r="F65" i="32"/>
  <c r="H65" i="32" s="1"/>
  <c r="A66" i="32" s="1"/>
  <c r="E65" i="32"/>
  <c r="C72" i="35" l="1"/>
  <c r="D72" i="35"/>
  <c r="I72" i="35"/>
  <c r="K72" i="35" s="1"/>
  <c r="C66" i="32"/>
  <c r="B66" i="32"/>
  <c r="F72" i="35" l="1"/>
  <c r="G72" i="35"/>
  <c r="E72" i="35"/>
  <c r="D66" i="32"/>
  <c r="F66" i="32" s="1"/>
  <c r="I66" i="32"/>
  <c r="K66" i="32" s="1"/>
  <c r="H72" i="35" l="1"/>
  <c r="A73" i="35" s="1"/>
  <c r="C73" i="35" s="1"/>
  <c r="G66" i="32"/>
  <c r="H66" i="32" s="1"/>
  <c r="A67" i="32" s="1"/>
  <c r="B67" i="32" s="1"/>
  <c r="E66" i="32"/>
  <c r="B73" i="35" l="1"/>
  <c r="D73" i="35" s="1"/>
  <c r="F73" i="35" s="1"/>
  <c r="C67" i="32"/>
  <c r="I67" i="32"/>
  <c r="K67" i="32" s="1"/>
  <c r="D67" i="32"/>
  <c r="I73" i="35" l="1"/>
  <c r="K73" i="35" s="1"/>
  <c r="G73" i="35"/>
  <c r="H73" i="35" s="1"/>
  <c r="A74" i="35" s="1"/>
  <c r="C74" i="35" s="1"/>
  <c r="E73" i="35"/>
  <c r="E67" i="32"/>
  <c r="F67" i="32"/>
  <c r="G67" i="32"/>
  <c r="B74" i="35" l="1"/>
  <c r="D74" i="35" s="1"/>
  <c r="E74" i="35" s="1"/>
  <c r="H67" i="32"/>
  <c r="A68" i="32" s="1"/>
  <c r="C68" i="32" s="1"/>
  <c r="F74" i="35" l="1"/>
  <c r="G74" i="35"/>
  <c r="L68" i="35" s="1"/>
  <c r="L69" i="35" s="1"/>
  <c r="I74" i="35"/>
  <c r="K74" i="35" s="1"/>
  <c r="B68" i="32"/>
  <c r="H74" i="35" l="1"/>
  <c r="A75" i="35" s="1"/>
  <c r="C75" i="35" s="1"/>
  <c r="D68" i="32"/>
  <c r="E68" i="32" s="1"/>
  <c r="I68" i="32"/>
  <c r="K68" i="32" s="1"/>
  <c r="B75" i="35" l="1"/>
  <c r="I75" i="35" s="1"/>
  <c r="K75" i="35" s="1"/>
  <c r="F68" i="32"/>
  <c r="G68" i="32"/>
  <c r="D75" i="35" l="1"/>
  <c r="G75" i="35" s="1"/>
  <c r="L64" i="32"/>
  <c r="H68" i="32"/>
  <c r="A69" i="32" s="1"/>
  <c r="F75" i="35" l="1"/>
  <c r="H75" i="35" s="1"/>
  <c r="A76" i="35" s="1"/>
  <c r="C76" i="35" s="1"/>
  <c r="E75" i="35"/>
  <c r="C69" i="32"/>
  <c r="B69" i="32"/>
  <c r="B76" i="35" l="1"/>
  <c r="I76" i="35" s="1"/>
  <c r="K76" i="35" s="1"/>
  <c r="I69" i="32"/>
  <c r="K69" i="32" s="1"/>
  <c r="D69" i="32"/>
  <c r="F69" i="32" s="1"/>
  <c r="D76" i="35" l="1"/>
  <c r="E76" i="35" s="1"/>
  <c r="G69" i="32"/>
  <c r="H69" i="32" s="1"/>
  <c r="A70" i="32" s="1"/>
  <c r="B70" i="32" s="1"/>
  <c r="E69" i="32"/>
  <c r="F76" i="35" l="1"/>
  <c r="G76" i="35"/>
  <c r="C70" i="32"/>
  <c r="D70" i="32"/>
  <c r="I70" i="32"/>
  <c r="K70" i="32" s="1"/>
  <c r="H76" i="35" l="1"/>
  <c r="A77" i="35" s="1"/>
  <c r="C77" i="35" s="1"/>
  <c r="G70" i="32"/>
  <c r="F70" i="32"/>
  <c r="E70" i="32"/>
  <c r="B77" i="35" l="1"/>
  <c r="I77" i="35" s="1"/>
  <c r="K77" i="35" s="1"/>
  <c r="H70" i="32"/>
  <c r="A71" i="32" s="1"/>
  <c r="C71" i="32" s="1"/>
  <c r="D77" i="35" l="1"/>
  <c r="E77" i="35" s="1"/>
  <c r="B71" i="32"/>
  <c r="I71" i="32" s="1"/>
  <c r="K71" i="32" s="1"/>
  <c r="G77" i="35" l="1"/>
  <c r="F77" i="35"/>
  <c r="D71" i="32"/>
  <c r="F71" i="32" s="1"/>
  <c r="H77" i="35" l="1"/>
  <c r="A78" i="35" s="1"/>
  <c r="B78" i="35" s="1"/>
  <c r="D78" i="35" s="1"/>
  <c r="C78" i="35" s="1"/>
  <c r="E78" i="35" s="1"/>
  <c r="G71" i="32"/>
  <c r="H71" i="32" s="1"/>
  <c r="A72" i="32" s="1"/>
  <c r="C72" i="32" s="1"/>
  <c r="E71" i="32"/>
  <c r="I78" i="35" l="1"/>
  <c r="K78" i="35" s="1"/>
  <c r="G78" i="35"/>
  <c r="F78" i="35"/>
  <c r="B72" i="32"/>
  <c r="D72" i="32" s="1"/>
  <c r="F72" i="32" s="1"/>
  <c r="H78" i="35" l="1"/>
  <c r="A79" i="35" s="1"/>
  <c r="E72" i="32"/>
  <c r="G72" i="32"/>
  <c r="H72" i="32" s="1"/>
  <c r="A73" i="32" s="1"/>
  <c r="B73" i="32" s="1"/>
  <c r="I72" i="32"/>
  <c r="K72" i="32" s="1"/>
  <c r="C79" i="35" l="1"/>
  <c r="B79" i="35"/>
  <c r="C73" i="32"/>
  <c r="D73" i="32"/>
  <c r="I73" i="32"/>
  <c r="K73" i="32" s="1"/>
  <c r="E79" i="35" l="1"/>
  <c r="F79" i="35"/>
  <c r="G79" i="35"/>
  <c r="D79" i="35"/>
  <c r="H79" i="35"/>
  <c r="A80" i="35" s="1"/>
  <c r="I79" i="35"/>
  <c r="K79" i="35" s="1"/>
  <c r="F73" i="32"/>
  <c r="E73" i="32"/>
  <c r="G73" i="32"/>
  <c r="C80" i="35" l="1"/>
  <c r="B80" i="35"/>
  <c r="H73" i="32"/>
  <c r="A74" i="32" s="1"/>
  <c r="C74" i="32" s="1"/>
  <c r="E80" i="35" l="1"/>
  <c r="I80" i="35"/>
  <c r="K80" i="35" s="1"/>
  <c r="F80" i="35"/>
  <c r="G80" i="35"/>
  <c r="H80" i="35"/>
  <c r="A81" i="35" s="1"/>
  <c r="D80" i="35"/>
  <c r="B74" i="32"/>
  <c r="I74" i="32" s="1"/>
  <c r="K74" i="32" s="1"/>
  <c r="B81" i="35" l="1"/>
  <c r="C81" i="35"/>
  <c r="D74" i="32"/>
  <c r="G74" i="32" s="1"/>
  <c r="L68" i="32" s="1"/>
  <c r="L69" i="32" s="1"/>
  <c r="E81" i="35" l="1"/>
  <c r="H81" i="35"/>
  <c r="A82" i="35" s="1"/>
  <c r="G81" i="35"/>
  <c r="D81" i="35"/>
  <c r="I81" i="35"/>
  <c r="K81" i="35" s="1"/>
  <c r="F81" i="35"/>
  <c r="E74" i="32"/>
  <c r="F74" i="32"/>
  <c r="H74" i="32" s="1"/>
  <c r="A75" i="32" s="1"/>
  <c r="C75" i="32" s="1"/>
  <c r="B82" i="35" l="1"/>
  <c r="C82" i="35"/>
  <c r="B75" i="32"/>
  <c r="I75" i="32" s="1"/>
  <c r="K75" i="32" s="1"/>
  <c r="E82" i="35" l="1"/>
  <c r="H82" i="35"/>
  <c r="A83" i="35" s="1"/>
  <c r="F82" i="35"/>
  <c r="D82" i="35"/>
  <c r="G82" i="35"/>
  <c r="I82" i="35"/>
  <c r="K82" i="35" s="1"/>
  <c r="D75" i="32"/>
  <c r="F75" i="32" s="1"/>
  <c r="C83" i="35" l="1"/>
  <c r="B83" i="35"/>
  <c r="E75" i="32"/>
  <c r="G75" i="32"/>
  <c r="H75" i="32" s="1"/>
  <c r="A76" i="32" s="1"/>
  <c r="B76" i="32" s="1"/>
  <c r="D76" i="32" s="1"/>
  <c r="E83" i="35" l="1"/>
  <c r="D83" i="35"/>
  <c r="G83" i="35"/>
  <c r="H83" i="35"/>
  <c r="A84" i="35" s="1"/>
  <c r="F83" i="35"/>
  <c r="I83" i="35"/>
  <c r="K83" i="35" s="1"/>
  <c r="C76" i="32"/>
  <c r="G76" i="32" s="1"/>
  <c r="I76" i="32"/>
  <c r="K76" i="32" s="1"/>
  <c r="C84" i="35" l="1"/>
  <c r="B84" i="35"/>
  <c r="F76" i="32"/>
  <c r="H76" i="32" s="1"/>
  <c r="A77" i="32" s="1"/>
  <c r="B77" i="32" s="1"/>
  <c r="D77" i="32" s="1"/>
  <c r="E76" i="32"/>
  <c r="E84" i="35" l="1"/>
  <c r="I84" i="35"/>
  <c r="K84" i="35" s="1"/>
  <c r="F84" i="35"/>
  <c r="D84" i="35"/>
  <c r="H84" i="35"/>
  <c r="A85" i="35" s="1"/>
  <c r="G84" i="35"/>
  <c r="C77" i="32"/>
  <c r="E77" i="32" s="1"/>
  <c r="I77" i="32"/>
  <c r="K77" i="32" s="1"/>
  <c r="B85" i="35" l="1"/>
  <c r="C85" i="35"/>
  <c r="G77" i="32"/>
  <c r="F77" i="32"/>
  <c r="E85" i="35" l="1"/>
  <c r="G85" i="35"/>
  <c r="I85" i="35"/>
  <c r="K85" i="35" s="1"/>
  <c r="F85" i="35"/>
  <c r="H85" i="35"/>
  <c r="A86" i="35" s="1"/>
  <c r="D85" i="35"/>
  <c r="H77" i="32"/>
  <c r="A78" i="32" s="1"/>
  <c r="B78" i="32" s="1"/>
  <c r="I78" i="32" s="1"/>
  <c r="K78" i="32" s="1"/>
  <c r="C86" i="35" l="1"/>
  <c r="B86" i="35"/>
  <c r="D78" i="32"/>
  <c r="C78" i="32" s="1"/>
  <c r="E78" i="32" s="1"/>
  <c r="E86" i="35" l="1"/>
  <c r="I86" i="35"/>
  <c r="K86" i="35" s="1"/>
  <c r="H86" i="35"/>
  <c r="A87" i="35" s="1"/>
  <c r="F86" i="35"/>
  <c r="G86" i="35"/>
  <c r="D86" i="35"/>
  <c r="L30" i="32" a="1"/>
  <c r="G78" i="32"/>
  <c r="F78" i="32"/>
  <c r="C87" i="35" l="1"/>
  <c r="B87" i="35"/>
  <c r="CH30" i="32"/>
  <c r="AR30" i="32"/>
  <c r="DK30" i="32"/>
  <c r="CT30" i="32"/>
  <c r="CG30" i="32"/>
  <c r="AO30" i="32"/>
  <c r="DV30" i="32"/>
  <c r="Z30" i="32"/>
  <c r="DF30" i="32"/>
  <c r="BT30" i="32"/>
  <c r="AX30" i="32"/>
  <c r="BY30" i="32"/>
  <c r="CR30" i="32"/>
  <c r="BZ30" i="32"/>
  <c r="DI30" i="32"/>
  <c r="AW30" i="32"/>
  <c r="BV30" i="32"/>
  <c r="DD30" i="32"/>
  <c r="AC30" i="32"/>
  <c r="CS30" i="32"/>
  <c r="DW30" i="32"/>
  <c r="CO30" i="32"/>
  <c r="R30" i="32"/>
  <c r="AX255" i="13" s="1"/>
  <c r="U30" i="32"/>
  <c r="BA255" i="13" s="1"/>
  <c r="AA30" i="32"/>
  <c r="AV30" i="32"/>
  <c r="O30" i="32"/>
  <c r="AU255" i="13" s="1"/>
  <c r="CQ30" i="32"/>
  <c r="DJ30" i="32"/>
  <c r="L30" i="32"/>
  <c r="AU30" i="32"/>
  <c r="CI30" i="32"/>
  <c r="EA30" i="32"/>
  <c r="DE30" i="32"/>
  <c r="AB30" i="32"/>
  <c r="W30" i="32"/>
  <c r="BC255" i="13" s="1"/>
  <c r="AG30" i="32"/>
  <c r="P30" i="32"/>
  <c r="AV255" i="13" s="1"/>
  <c r="BU30" i="32"/>
  <c r="BW30" i="32"/>
  <c r="Y30" i="32"/>
  <c r="CK30" i="32"/>
  <c r="DN30" i="32"/>
  <c r="BX30" i="32"/>
  <c r="AQ30" i="32"/>
  <c r="DP30" i="32"/>
  <c r="DM30" i="32"/>
  <c r="Q30" i="32"/>
  <c r="AW255" i="13" s="1"/>
  <c r="CZ30" i="32"/>
  <c r="CC30" i="32"/>
  <c r="AK30" i="32"/>
  <c r="BB30" i="32"/>
  <c r="BD30" i="32"/>
  <c r="CA30" i="32"/>
  <c r="N30" i="32"/>
  <c r="AT255" i="13" s="1"/>
  <c r="AN30" i="32"/>
  <c r="CW30" i="32"/>
  <c r="AM30" i="32"/>
  <c r="CL30" i="32"/>
  <c r="CB30" i="32"/>
  <c r="BF30" i="32"/>
  <c r="DQ30" i="32"/>
  <c r="DS30" i="32"/>
  <c r="CV30" i="32"/>
  <c r="DH30" i="32"/>
  <c r="DY30" i="32"/>
  <c r="AP30" i="32"/>
  <c r="CU30" i="32"/>
  <c r="AD30" i="32"/>
  <c r="AF30" i="32"/>
  <c r="V30" i="32"/>
  <c r="BB255" i="13" s="1"/>
  <c r="T30" i="32"/>
  <c r="AZ255" i="13" s="1"/>
  <c r="CJ30" i="32"/>
  <c r="AI30" i="32"/>
  <c r="AZ30" i="32"/>
  <c r="BE30" i="32"/>
  <c r="AS30" i="32"/>
  <c r="DG30" i="32"/>
  <c r="DX30" i="32"/>
  <c r="X30" i="32"/>
  <c r="DU30" i="32"/>
  <c r="DT30" i="32"/>
  <c r="AE30" i="32"/>
  <c r="BH30" i="32"/>
  <c r="DO30" i="32"/>
  <c r="AJ30" i="32"/>
  <c r="DC30" i="32"/>
  <c r="M30" i="32"/>
  <c r="AS255" i="13" s="1"/>
  <c r="AS210" i="13" s="1"/>
  <c r="BJ30" i="32"/>
  <c r="CF30" i="32"/>
  <c r="BC30" i="32"/>
  <c r="CM30" i="32"/>
  <c r="BM30" i="32"/>
  <c r="BN30" i="32"/>
  <c r="BI30" i="32"/>
  <c r="AT30" i="32"/>
  <c r="CE30" i="32"/>
  <c r="CY30" i="32"/>
  <c r="S30" i="32"/>
  <c r="AY255" i="13" s="1"/>
  <c r="AL30" i="32"/>
  <c r="BK30" i="32"/>
  <c r="DA30" i="32"/>
  <c r="BA30" i="32"/>
  <c r="CX30" i="32"/>
  <c r="CP30" i="32"/>
  <c r="AH30" i="32"/>
  <c r="DL30" i="32"/>
  <c r="DR30" i="32"/>
  <c r="DB30" i="32"/>
  <c r="CN30" i="32"/>
  <c r="DZ30" i="32"/>
  <c r="CD30" i="32"/>
  <c r="BG30" i="32"/>
  <c r="BL30" i="32"/>
  <c r="AY30" i="32"/>
  <c r="BO30" i="32"/>
  <c r="BP30" i="32"/>
  <c r="BQ30" i="32"/>
  <c r="BR30" i="32"/>
  <c r="BS30" i="32"/>
  <c r="H78" i="32"/>
  <c r="A79" i="32" s="1"/>
  <c r="B79" i="32" s="1"/>
  <c r="G79" i="32" s="1"/>
  <c r="AT210" i="13" l="1"/>
  <c r="AU210" i="13" s="1"/>
  <c r="AV210" i="13" s="1"/>
  <c r="AW210" i="13" s="1"/>
  <c r="AX210" i="13" s="1"/>
  <c r="AY210" i="13" s="1"/>
  <c r="AZ210" i="13" s="1"/>
  <c r="BA210" i="13" s="1"/>
  <c r="BB210" i="13" s="1"/>
  <c r="BC210" i="13" s="1"/>
  <c r="BG210" i="13" s="1"/>
  <c r="E87" i="35"/>
  <c r="I87" i="35"/>
  <c r="K87" i="35" s="1"/>
  <c r="G87" i="35"/>
  <c r="F87" i="35"/>
  <c r="D87" i="35"/>
  <c r="H87" i="35"/>
  <c r="A88" i="35" s="1"/>
  <c r="H79" i="32"/>
  <c r="A80" i="32" s="1"/>
  <c r="B80" i="32" s="1"/>
  <c r="I79" i="32"/>
  <c r="K79" i="32" s="1"/>
  <c r="D79" i="32"/>
  <c r="F79" i="32"/>
  <c r="C79" i="32"/>
  <c r="C88" i="35" l="1"/>
  <c r="B88" i="35"/>
  <c r="C80" i="32"/>
  <c r="H80" i="32"/>
  <c r="A81" i="32" s="1"/>
  <c r="G80" i="32"/>
  <c r="I80" i="32"/>
  <c r="K80" i="32" s="1"/>
  <c r="D80" i="32"/>
  <c r="F80" i="32"/>
  <c r="G88" i="35" l="1"/>
  <c r="H88" i="35"/>
  <c r="A89" i="35" s="1"/>
  <c r="E88" i="35"/>
  <c r="D88" i="35"/>
  <c r="F88" i="35"/>
  <c r="I88" i="35"/>
  <c r="K88" i="35" s="1"/>
  <c r="C81" i="32"/>
  <c r="B81" i="32"/>
  <c r="C89" i="35" l="1"/>
  <c r="B89" i="35"/>
  <c r="G81" i="32"/>
  <c r="I81" i="32"/>
  <c r="K81" i="32" s="1"/>
  <c r="D81" i="32"/>
  <c r="F81" i="32"/>
  <c r="H81" i="32"/>
  <c r="A82" i="32" s="1"/>
  <c r="E89" i="35" l="1"/>
  <c r="D89" i="35"/>
  <c r="H89" i="35"/>
  <c r="A90" i="35" s="1"/>
  <c r="G89" i="35"/>
  <c r="F89" i="35"/>
  <c r="I89" i="35"/>
  <c r="K89" i="35" s="1"/>
  <c r="B82" i="32"/>
  <c r="C82" i="32"/>
  <c r="C90" i="35" l="1"/>
  <c r="B90" i="35"/>
  <c r="H82" i="32"/>
  <c r="A83" i="32" s="1"/>
  <c r="G82" i="32"/>
  <c r="D82" i="32"/>
  <c r="I82" i="32"/>
  <c r="K82" i="32" s="1"/>
  <c r="F82" i="32"/>
  <c r="E90" i="35" l="1"/>
  <c r="G90" i="35"/>
  <c r="F90" i="35"/>
  <c r="D90" i="35"/>
  <c r="I90" i="35"/>
  <c r="K90" i="35" s="1"/>
  <c r="H90" i="35"/>
  <c r="A91" i="35" s="1"/>
  <c r="C83" i="32"/>
  <c r="B83" i="32"/>
  <c r="C91" i="35" l="1"/>
  <c r="B91" i="35"/>
  <c r="H83" i="32"/>
  <c r="A84" i="32" s="1"/>
  <c r="G83" i="32"/>
  <c r="D83" i="32"/>
  <c r="I83" i="32"/>
  <c r="K83" i="32" s="1"/>
  <c r="F83" i="32"/>
  <c r="E91" i="35" l="1"/>
  <c r="F91" i="35"/>
  <c r="H91" i="35"/>
  <c r="A92" i="35" s="1"/>
  <c r="G91" i="35"/>
  <c r="I91" i="35"/>
  <c r="K91" i="35" s="1"/>
  <c r="D91" i="35"/>
  <c r="B84" i="32"/>
  <c r="C84" i="32"/>
  <c r="C92" i="35" l="1"/>
  <c r="B92" i="35"/>
  <c r="F84" i="32"/>
  <c r="I84" i="32"/>
  <c r="K84" i="32" s="1"/>
  <c r="D84" i="32"/>
  <c r="G84" i="32"/>
  <c r="H84" i="32"/>
  <c r="A85" i="32" s="1"/>
  <c r="E92" i="35" l="1"/>
  <c r="H92" i="35"/>
  <c r="A93" i="35" s="1"/>
  <c r="G92" i="35"/>
  <c r="F92" i="35"/>
  <c r="I92" i="35"/>
  <c r="K92" i="35" s="1"/>
  <c r="D92" i="35"/>
  <c r="B85" i="32"/>
  <c r="C85" i="32"/>
  <c r="B93" i="35" l="1"/>
  <c r="C93" i="35"/>
  <c r="D85" i="32"/>
  <c r="G85" i="32"/>
  <c r="H85" i="32"/>
  <c r="A86" i="32" s="1"/>
  <c r="F85" i="32"/>
  <c r="I85" i="32"/>
  <c r="K85" i="32" s="1"/>
  <c r="E93" i="35" l="1"/>
  <c r="H93" i="35"/>
  <c r="A94" i="35" s="1"/>
  <c r="D93" i="35"/>
  <c r="I93" i="35"/>
  <c r="K93" i="35" s="1"/>
  <c r="G93" i="35"/>
  <c r="F93" i="35"/>
  <c r="C86" i="32"/>
  <c r="B86" i="32"/>
  <c r="C94" i="35" l="1"/>
  <c r="B94" i="35"/>
  <c r="I86" i="32"/>
  <c r="K86" i="32" s="1"/>
  <c r="D86" i="32"/>
  <c r="G86" i="32"/>
  <c r="H86" i="32"/>
  <c r="A87" i="32" s="1"/>
  <c r="F86" i="32"/>
  <c r="I94" i="35" l="1"/>
  <c r="K94" i="35" s="1"/>
  <c r="E94" i="35"/>
  <c r="F94" i="35"/>
  <c r="H94" i="35"/>
  <c r="A95" i="35" s="1"/>
  <c r="G94" i="35"/>
  <c r="D94" i="35"/>
  <c r="C87" i="32"/>
  <c r="B87" i="32"/>
  <c r="C95" i="35" l="1"/>
  <c r="B95" i="35"/>
  <c r="F87" i="32"/>
  <c r="D87" i="32"/>
  <c r="H87" i="32"/>
  <c r="A88" i="32" s="1"/>
  <c r="G87" i="32"/>
  <c r="I87" i="32"/>
  <c r="K87" i="32" s="1"/>
  <c r="F95" i="35" l="1"/>
  <c r="E95" i="35"/>
  <c r="D95" i="35"/>
  <c r="G95" i="35"/>
  <c r="H95" i="35"/>
  <c r="A96" i="35" s="1"/>
  <c r="I95" i="35"/>
  <c r="K95" i="35" s="1"/>
  <c r="C88" i="32"/>
  <c r="B88" i="32"/>
  <c r="C96" i="35" l="1"/>
  <c r="B96" i="35"/>
  <c r="I88" i="32"/>
  <c r="K88" i="32" s="1"/>
  <c r="D88" i="32"/>
  <c r="F88" i="32"/>
  <c r="H88" i="32"/>
  <c r="A89" i="32" s="1"/>
  <c r="G88" i="32"/>
  <c r="E96" i="35" l="1"/>
  <c r="I96" i="35"/>
  <c r="K96" i="35" s="1"/>
  <c r="F96" i="35"/>
  <c r="D96" i="35"/>
  <c r="H96" i="35"/>
  <c r="A97" i="35" s="1"/>
  <c r="G96" i="35"/>
  <c r="C89" i="32"/>
  <c r="B89" i="32"/>
  <c r="C97" i="35" l="1"/>
  <c r="B97" i="35"/>
  <c r="G89" i="32"/>
  <c r="I89" i="32"/>
  <c r="K89" i="32" s="1"/>
  <c r="D89" i="32"/>
  <c r="F89" i="32"/>
  <c r="H89" i="32"/>
  <c r="A90" i="32" s="1"/>
  <c r="E97" i="35" l="1"/>
  <c r="G97" i="35"/>
  <c r="F97" i="35"/>
  <c r="D97" i="35"/>
  <c r="I97" i="35"/>
  <c r="K97" i="35" s="1"/>
  <c r="H97" i="35"/>
  <c r="A98" i="35" s="1"/>
  <c r="C90" i="32"/>
  <c r="B90" i="32"/>
  <c r="C98" i="35" l="1"/>
  <c r="B98" i="35"/>
  <c r="D90" i="32"/>
  <c r="I90" i="32"/>
  <c r="K90" i="32" s="1"/>
  <c r="G90" i="32"/>
  <c r="F90" i="32"/>
  <c r="H90" i="32"/>
  <c r="A91" i="32" s="1"/>
  <c r="E98" i="35" l="1"/>
  <c r="I98" i="35"/>
  <c r="K98" i="35" s="1"/>
  <c r="H98" i="35"/>
  <c r="A99" i="35" s="1"/>
  <c r="G98" i="35"/>
  <c r="F98" i="35"/>
  <c r="D98" i="35"/>
  <c r="B91" i="32"/>
  <c r="C91" i="32"/>
  <c r="C99" i="35" l="1"/>
  <c r="B99" i="35"/>
  <c r="G91" i="32"/>
  <c r="H91" i="32"/>
  <c r="A92" i="32" s="1"/>
  <c r="D91" i="32"/>
  <c r="F91" i="32"/>
  <c r="I91" i="32"/>
  <c r="K91" i="32" s="1"/>
  <c r="E99" i="35" l="1"/>
  <c r="F99" i="35"/>
  <c r="I99" i="35"/>
  <c r="K99" i="35" s="1"/>
  <c r="H99" i="35"/>
  <c r="A100" i="35" s="1"/>
  <c r="D99" i="35"/>
  <c r="G99" i="35"/>
  <c r="B92" i="32"/>
  <c r="C92" i="32"/>
  <c r="B100" i="35" l="1"/>
  <c r="C100" i="35"/>
  <c r="H92" i="32"/>
  <c r="A93" i="32" s="1"/>
  <c r="I92" i="32"/>
  <c r="K92" i="32" s="1"/>
  <c r="G92" i="32"/>
  <c r="D92" i="32"/>
  <c r="F92" i="32"/>
  <c r="E100" i="35" l="1"/>
  <c r="D100" i="35"/>
  <c r="I100" i="35"/>
  <c r="K100" i="35" s="1"/>
  <c r="H100" i="35"/>
  <c r="A101" i="35" s="1"/>
  <c r="G100" i="35"/>
  <c r="F100" i="35"/>
  <c r="C93" i="32"/>
  <c r="B93" i="32"/>
  <c r="B101" i="35" l="1"/>
  <c r="C101" i="35"/>
  <c r="I93" i="32"/>
  <c r="K93" i="32" s="1"/>
  <c r="H93" i="32"/>
  <c r="A94" i="32" s="1"/>
  <c r="F93" i="32"/>
  <c r="D93" i="32"/>
  <c r="G93" i="32"/>
  <c r="E101" i="35" l="1"/>
  <c r="G101" i="35"/>
  <c r="I101" i="35"/>
  <c r="K101" i="35" s="1"/>
  <c r="H101" i="35"/>
  <c r="A102" i="35" s="1"/>
  <c r="D101" i="35"/>
  <c r="F101" i="35"/>
  <c r="C94" i="32"/>
  <c r="B94" i="32"/>
  <c r="C102" i="35" l="1"/>
  <c r="B102" i="35"/>
  <c r="H94" i="32"/>
  <c r="A95" i="32" s="1"/>
  <c r="G94" i="32"/>
  <c r="I94" i="32"/>
  <c r="K94" i="32" s="1"/>
  <c r="F94" i="32"/>
  <c r="D94" i="32"/>
  <c r="E102" i="35" l="1"/>
  <c r="G102" i="35"/>
  <c r="F102" i="35"/>
  <c r="D102" i="35"/>
  <c r="I102" i="35"/>
  <c r="K102" i="35" s="1"/>
  <c r="H102" i="35"/>
  <c r="A103" i="35" s="1"/>
  <c r="B95" i="32"/>
  <c r="C95" i="32"/>
  <c r="B103" i="35" l="1"/>
  <c r="C103" i="35"/>
  <c r="I95" i="32"/>
  <c r="K95" i="32" s="1"/>
  <c r="D95" i="32"/>
  <c r="G95" i="32"/>
  <c r="H95" i="32"/>
  <c r="A96" i="32" s="1"/>
  <c r="F95" i="32"/>
  <c r="E103" i="35" l="1"/>
  <c r="H103" i="35"/>
  <c r="A104" i="35" s="1"/>
  <c r="F103" i="35"/>
  <c r="I103" i="35"/>
  <c r="K103" i="35" s="1"/>
  <c r="G103" i="35"/>
  <c r="D103" i="35"/>
  <c r="C96" i="32"/>
  <c r="B96" i="32"/>
  <c r="B104" i="35" l="1"/>
  <c r="C104" i="35"/>
  <c r="I96" i="32"/>
  <c r="K96" i="32" s="1"/>
  <c r="D96" i="32"/>
  <c r="H96" i="32"/>
  <c r="A97" i="32" s="1"/>
  <c r="F96" i="32"/>
  <c r="G96" i="32"/>
  <c r="E104" i="35" l="1"/>
  <c r="I104" i="35"/>
  <c r="K104" i="35" s="1"/>
  <c r="H104" i="35"/>
  <c r="A105" i="35" s="1"/>
  <c r="G104" i="35"/>
  <c r="F104" i="35"/>
  <c r="D104" i="35"/>
  <c r="B97" i="32"/>
  <c r="C97" i="32"/>
  <c r="B105" i="35" l="1"/>
  <c r="C105" i="35"/>
  <c r="F97" i="32"/>
  <c r="G97" i="32"/>
  <c r="H97" i="32"/>
  <c r="A98" i="32" s="1"/>
  <c r="D97" i="32"/>
  <c r="I97" i="32"/>
  <c r="K97" i="32" s="1"/>
  <c r="G105" i="35" l="1"/>
  <c r="D105" i="35"/>
  <c r="I105" i="35"/>
  <c r="K105" i="35" s="1"/>
  <c r="H105" i="35"/>
  <c r="A106" i="35" s="1"/>
  <c r="F105" i="35"/>
  <c r="E105" i="35"/>
  <c r="C98" i="32"/>
  <c r="B98" i="32"/>
  <c r="C106" i="35" l="1"/>
  <c r="B106" i="35"/>
  <c r="H98" i="32"/>
  <c r="A99" i="32" s="1"/>
  <c r="G98" i="32"/>
  <c r="D98" i="32"/>
  <c r="I98" i="32"/>
  <c r="K98" i="32" s="1"/>
  <c r="F98" i="32"/>
  <c r="E106" i="35" l="1"/>
  <c r="I106" i="35"/>
  <c r="K106" i="35" s="1"/>
  <c r="F106" i="35"/>
  <c r="G106" i="35"/>
  <c r="D106" i="35"/>
  <c r="H106" i="35"/>
  <c r="A107" i="35" s="1"/>
  <c r="B99" i="32"/>
  <c r="C99" i="32"/>
  <c r="C107" i="35" l="1"/>
  <c r="B107" i="35"/>
  <c r="I99" i="32"/>
  <c r="K99" i="32" s="1"/>
  <c r="G99" i="32"/>
  <c r="F99" i="32"/>
  <c r="H99" i="32"/>
  <c r="A100" i="32" s="1"/>
  <c r="D99" i="32"/>
  <c r="E107" i="35" l="1"/>
  <c r="D107" i="35"/>
  <c r="G107" i="35"/>
  <c r="F107" i="35"/>
  <c r="H107" i="35"/>
  <c r="A108" i="35" s="1"/>
  <c r="I107" i="35"/>
  <c r="K107" i="35" s="1"/>
  <c r="B100" i="32"/>
  <c r="C100" i="32"/>
  <c r="B108" i="35" l="1"/>
  <c r="C108" i="35"/>
  <c r="G100" i="32"/>
  <c r="H100" i="32"/>
  <c r="A101" i="32" s="1"/>
  <c r="D100" i="32"/>
  <c r="I100" i="32"/>
  <c r="K100" i="32" s="1"/>
  <c r="F100" i="32"/>
  <c r="E108" i="35" l="1"/>
  <c r="H108" i="35"/>
  <c r="A109" i="35" s="1"/>
  <c r="G108" i="35"/>
  <c r="I108" i="35"/>
  <c r="K108" i="35" s="1"/>
  <c r="D108" i="35"/>
  <c r="F108" i="35"/>
  <c r="B101" i="32"/>
  <c r="C101" i="32"/>
  <c r="B109" i="35" l="1"/>
  <c r="C109" i="35"/>
  <c r="G101" i="32"/>
  <c r="H101" i="32"/>
  <c r="A102" i="32" s="1"/>
  <c r="I101" i="32"/>
  <c r="K101" i="32" s="1"/>
  <c r="D101" i="32"/>
  <c r="F101" i="32"/>
  <c r="E109" i="35" l="1"/>
  <c r="I109" i="35"/>
  <c r="K109" i="35" s="1"/>
  <c r="H109" i="35"/>
  <c r="A110" i="35" s="1"/>
  <c r="G109" i="35"/>
  <c r="F109" i="35"/>
  <c r="D109" i="35"/>
  <c r="B102" i="32"/>
  <c r="C102" i="32"/>
  <c r="B110" i="35" l="1"/>
  <c r="C110" i="35"/>
  <c r="F102" i="32"/>
  <c r="H102" i="32"/>
  <c r="A103" i="32" s="1"/>
  <c r="I102" i="32"/>
  <c r="K102" i="32" s="1"/>
  <c r="D102" i="32"/>
  <c r="G102" i="32"/>
  <c r="E110" i="35" l="1"/>
  <c r="I110" i="35"/>
  <c r="K110" i="35" s="1"/>
  <c r="H110" i="35"/>
  <c r="A111" i="35" s="1"/>
  <c r="G110" i="35"/>
  <c r="F110" i="35"/>
  <c r="D110" i="35"/>
  <c r="C103" i="32"/>
  <c r="B103" i="32"/>
  <c r="C111" i="35" l="1"/>
  <c r="B111" i="35"/>
  <c r="I103" i="32"/>
  <c r="K103" i="32" s="1"/>
  <c r="G103" i="32"/>
  <c r="H103" i="32"/>
  <c r="A104" i="32" s="1"/>
  <c r="F103" i="32"/>
  <c r="D103" i="32"/>
  <c r="E111" i="35" l="1"/>
  <c r="F111" i="35"/>
  <c r="D111" i="35"/>
  <c r="G111" i="35"/>
  <c r="I111" i="35"/>
  <c r="K111" i="35" s="1"/>
  <c r="H111" i="35"/>
  <c r="A112" i="35" s="1"/>
  <c r="C104" i="32"/>
  <c r="B104" i="32"/>
  <c r="C112" i="35" l="1"/>
  <c r="B112" i="35"/>
  <c r="I104" i="32"/>
  <c r="K104" i="32" s="1"/>
  <c r="F104" i="32"/>
  <c r="D104" i="32"/>
  <c r="H104" i="32"/>
  <c r="A105" i="32" s="1"/>
  <c r="G104" i="32"/>
  <c r="E112" i="35" l="1"/>
  <c r="H112" i="35"/>
  <c r="A113" i="35" s="1"/>
  <c r="G112" i="35"/>
  <c r="F112" i="35"/>
  <c r="I112" i="35"/>
  <c r="K112" i="35" s="1"/>
  <c r="D112" i="35"/>
  <c r="C105" i="32"/>
  <c r="B105" i="32"/>
  <c r="C113" i="35" l="1"/>
  <c r="B113" i="35"/>
  <c r="I105" i="32"/>
  <c r="K105" i="32" s="1"/>
  <c r="G105" i="32"/>
  <c r="D105" i="32"/>
  <c r="F105" i="32"/>
  <c r="H105" i="32"/>
  <c r="A106" i="32" s="1"/>
  <c r="E113" i="35" l="1"/>
  <c r="H113" i="35"/>
  <c r="A114" i="35" s="1"/>
  <c r="I113" i="35"/>
  <c r="K113" i="35" s="1"/>
  <c r="F113" i="35"/>
  <c r="G113" i="35"/>
  <c r="D113" i="35"/>
  <c r="C106" i="32"/>
  <c r="B106" i="32"/>
  <c r="C114" i="35" l="1"/>
  <c r="B114" i="35"/>
  <c r="I106" i="32"/>
  <c r="K106" i="32" s="1"/>
  <c r="D106" i="32"/>
  <c r="H106" i="32"/>
  <c r="A107" i="32" s="1"/>
  <c r="F106" i="32"/>
  <c r="G106" i="32"/>
  <c r="E114" i="35" l="1"/>
  <c r="I114" i="35"/>
  <c r="K114" i="35" s="1"/>
  <c r="F114" i="35"/>
  <c r="D114" i="35"/>
  <c r="H114" i="35"/>
  <c r="A115" i="35" s="1"/>
  <c r="G114" i="35"/>
  <c r="C107" i="32"/>
  <c r="B107" i="32"/>
  <c r="C115" i="35" l="1"/>
  <c r="B115" i="35"/>
  <c r="I107" i="32"/>
  <c r="K107" i="32" s="1"/>
  <c r="D107" i="32"/>
  <c r="G107" i="32"/>
  <c r="H107" i="32"/>
  <c r="A108" i="32" s="1"/>
  <c r="F107" i="32"/>
  <c r="I115" i="35" l="1"/>
  <c r="K115" i="35" s="1"/>
  <c r="F115" i="35"/>
  <c r="G115" i="35"/>
  <c r="E115" i="35"/>
  <c r="H115" i="35"/>
  <c r="A116" i="35" s="1"/>
  <c r="D115" i="35"/>
  <c r="B108" i="32"/>
  <c r="C108" i="32"/>
  <c r="B116" i="35" l="1"/>
  <c r="C116" i="35"/>
  <c r="G108" i="32"/>
  <c r="F108" i="32"/>
  <c r="H108" i="32"/>
  <c r="A109" i="32" s="1"/>
  <c r="D108" i="32"/>
  <c r="I108" i="32"/>
  <c r="K108" i="32" s="1"/>
  <c r="H116" i="35" l="1"/>
  <c r="A117" i="35" s="1"/>
  <c r="G116" i="35"/>
  <c r="F116" i="35"/>
  <c r="I116" i="35"/>
  <c r="K116" i="35" s="1"/>
  <c r="D116" i="35"/>
  <c r="E116" i="35"/>
  <c r="B109" i="32"/>
  <c r="C109" i="32"/>
  <c r="B117" i="35" l="1"/>
  <c r="C117" i="35"/>
  <c r="G109" i="32"/>
  <c r="F109" i="32"/>
  <c r="I109" i="32"/>
  <c r="K109" i="32" s="1"/>
  <c r="H109" i="32"/>
  <c r="A110" i="32" s="1"/>
  <c r="D109" i="32"/>
  <c r="I117" i="35" l="1"/>
  <c r="K117" i="35" s="1"/>
  <c r="H117" i="35"/>
  <c r="A118" i="35" s="1"/>
  <c r="G117" i="35"/>
  <c r="F117" i="35"/>
  <c r="D117" i="35"/>
  <c r="E117" i="35"/>
  <c r="B110" i="32"/>
  <c r="C110" i="32"/>
  <c r="B118" i="35" l="1"/>
  <c r="C118" i="35"/>
  <c r="D110" i="32"/>
  <c r="H110" i="32"/>
  <c r="A111" i="32" s="1"/>
  <c r="I110" i="32"/>
  <c r="K110" i="32" s="1"/>
  <c r="F110" i="32"/>
  <c r="G110" i="32"/>
  <c r="E118" i="35" l="1"/>
  <c r="I118" i="35"/>
  <c r="K118" i="35" s="1"/>
  <c r="H118" i="35"/>
  <c r="A119" i="35" s="1"/>
  <c r="G118" i="35"/>
  <c r="D118" i="35"/>
  <c r="F118" i="35"/>
  <c r="B111" i="32"/>
  <c r="C111" i="32"/>
  <c r="B119" i="35" l="1"/>
  <c r="C119" i="35"/>
  <c r="I111" i="32"/>
  <c r="K111" i="32" s="1"/>
  <c r="D111" i="32"/>
  <c r="H111" i="32"/>
  <c r="A112" i="32" s="1"/>
  <c r="F111" i="32"/>
  <c r="G111" i="32"/>
  <c r="E119" i="35" l="1"/>
  <c r="I119" i="35"/>
  <c r="K119" i="35" s="1"/>
  <c r="H119" i="35"/>
  <c r="A120" i="35" s="1"/>
  <c r="G119" i="35"/>
  <c r="F119" i="35"/>
  <c r="D119" i="35"/>
  <c r="C112" i="32"/>
  <c r="B112" i="32"/>
  <c r="C120" i="35" l="1"/>
  <c r="B120" i="35"/>
  <c r="H112" i="32"/>
  <c r="A113" i="32" s="1"/>
  <c r="D112" i="32"/>
  <c r="F112" i="32"/>
  <c r="I112" i="32"/>
  <c r="K112" i="32" s="1"/>
  <c r="G112" i="32"/>
  <c r="F120" i="35" l="1"/>
  <c r="H120" i="35"/>
  <c r="A121" i="35" s="1"/>
  <c r="G120" i="35"/>
  <c r="I120" i="35"/>
  <c r="K120" i="35" s="1"/>
  <c r="D120" i="35"/>
  <c r="E120" i="35"/>
  <c r="B113" i="32"/>
  <c r="C113" i="32"/>
  <c r="B121" i="35" l="1"/>
  <c r="C121" i="35"/>
  <c r="D113" i="32"/>
  <c r="H113" i="32"/>
  <c r="A114" i="32" s="1"/>
  <c r="I113" i="32"/>
  <c r="K113" i="32" s="1"/>
  <c r="F113" i="32"/>
  <c r="G113" i="32"/>
  <c r="G121" i="35" l="1"/>
  <c r="F121" i="35"/>
  <c r="I121" i="35"/>
  <c r="K121" i="35" s="1"/>
  <c r="H121" i="35"/>
  <c r="A122" i="35" s="1"/>
  <c r="D121" i="35"/>
  <c r="E121" i="35"/>
  <c r="B114" i="32"/>
  <c r="C114" i="32"/>
  <c r="C122" i="35" l="1"/>
  <c r="B122" i="35"/>
  <c r="D114" i="32"/>
  <c r="F114" i="32"/>
  <c r="I114" i="32"/>
  <c r="K114" i="32" s="1"/>
  <c r="H114" i="32"/>
  <c r="A115" i="32" s="1"/>
  <c r="G114" i="32"/>
  <c r="G122" i="35" l="1"/>
  <c r="I122" i="35"/>
  <c r="K122" i="35" s="1"/>
  <c r="H122" i="35"/>
  <c r="A123" i="35" s="1"/>
  <c r="F122" i="35"/>
  <c r="D122" i="35"/>
  <c r="E122" i="35"/>
  <c r="B115" i="32"/>
  <c r="C115" i="32"/>
  <c r="B123" i="35" l="1"/>
  <c r="C123" i="35"/>
  <c r="G115" i="32"/>
  <c r="F115" i="32"/>
  <c r="D115" i="32"/>
  <c r="H115" i="32"/>
  <c r="A116" i="32" s="1"/>
  <c r="I115" i="32"/>
  <c r="K115" i="32" s="1"/>
  <c r="I123" i="35" l="1"/>
  <c r="K123" i="35" s="1"/>
  <c r="E123" i="35"/>
  <c r="F123" i="35"/>
  <c r="H123" i="35"/>
  <c r="A124" i="35" s="1"/>
  <c r="G123" i="35"/>
  <c r="D123" i="35"/>
  <c r="B116" i="32"/>
  <c r="C116" i="32"/>
  <c r="B124" i="35" l="1"/>
  <c r="C124" i="35"/>
  <c r="G116" i="32"/>
  <c r="D116" i="32"/>
  <c r="I116" i="32"/>
  <c r="K116" i="32" s="1"/>
  <c r="F116" i="32"/>
  <c r="H116" i="32"/>
  <c r="A117" i="32" s="1"/>
  <c r="I124" i="35" l="1"/>
  <c r="K124" i="35" s="1"/>
  <c r="D124" i="35"/>
  <c r="F124" i="35"/>
  <c r="G124" i="35"/>
  <c r="H124" i="35"/>
  <c r="A125" i="35" s="1"/>
  <c r="E124" i="35"/>
  <c r="B117" i="32"/>
  <c r="C117" i="32"/>
  <c r="C125" i="35" l="1"/>
  <c r="B125" i="35"/>
  <c r="D117" i="32"/>
  <c r="G117" i="32"/>
  <c r="I117" i="32"/>
  <c r="K117" i="32" s="1"/>
  <c r="F117" i="32"/>
  <c r="H117" i="32"/>
  <c r="A118" i="32" s="1"/>
  <c r="F125" i="35" l="1"/>
  <c r="I125" i="35"/>
  <c r="K125" i="35" s="1"/>
  <c r="H125" i="35"/>
  <c r="A126" i="35" s="1"/>
  <c r="D125" i="35"/>
  <c r="G125" i="35"/>
  <c r="E125" i="35"/>
  <c r="B118" i="32"/>
  <c r="C118" i="32"/>
  <c r="C126" i="35" l="1"/>
  <c r="B126" i="35"/>
  <c r="D118" i="32"/>
  <c r="F118" i="32"/>
  <c r="I118" i="32"/>
  <c r="K118" i="32" s="1"/>
  <c r="H118" i="32"/>
  <c r="A119" i="32" s="1"/>
  <c r="G118" i="32"/>
  <c r="I126" i="35" l="1"/>
  <c r="K126" i="35" s="1"/>
  <c r="H126" i="35"/>
  <c r="A127" i="35" s="1"/>
  <c r="G126" i="35"/>
  <c r="F126" i="35"/>
  <c r="D126" i="35"/>
  <c r="E126" i="35"/>
  <c r="C119" i="32"/>
  <c r="B119" i="32"/>
  <c r="C127" i="35" l="1"/>
  <c r="B127" i="35"/>
  <c r="I119" i="32"/>
  <c r="K119" i="32" s="1"/>
  <c r="G119" i="32"/>
  <c r="F119" i="32"/>
  <c r="H119" i="32"/>
  <c r="A120" i="32" s="1"/>
  <c r="D119" i="32"/>
  <c r="F127" i="35" l="1"/>
  <c r="E127" i="35"/>
  <c r="I127" i="35"/>
  <c r="K127" i="35" s="1"/>
  <c r="H127" i="35"/>
  <c r="A128" i="35" s="1"/>
  <c r="G127" i="35"/>
  <c r="D127" i="35"/>
  <c r="C120" i="32"/>
  <c r="B120" i="32"/>
  <c r="B128" i="35" l="1"/>
  <c r="C128" i="35"/>
  <c r="F120" i="32"/>
  <c r="G120" i="32"/>
  <c r="D120" i="32"/>
  <c r="I120" i="32"/>
  <c r="K120" i="32" s="1"/>
  <c r="H120" i="32"/>
  <c r="A121" i="32" s="1"/>
  <c r="E128" i="35" l="1"/>
  <c r="I128" i="35"/>
  <c r="K128" i="35" s="1"/>
  <c r="H128" i="35"/>
  <c r="A129" i="35" s="1"/>
  <c r="G128" i="35"/>
  <c r="F128" i="35"/>
  <c r="D128" i="35"/>
  <c r="B121" i="32"/>
  <c r="C121" i="32"/>
  <c r="C129" i="35" l="1"/>
  <c r="B129" i="35"/>
  <c r="F121" i="32"/>
  <c r="H121" i="32"/>
  <c r="A122" i="32" s="1"/>
  <c r="D121" i="32"/>
  <c r="G121" i="32"/>
  <c r="I121" i="32"/>
  <c r="K121" i="32" s="1"/>
  <c r="E129" i="35" l="1"/>
  <c r="D129" i="35"/>
  <c r="F129" i="35"/>
  <c r="I129" i="35"/>
  <c r="K129" i="35" s="1"/>
  <c r="H129" i="35"/>
  <c r="A130" i="35" s="1"/>
  <c r="G129" i="35"/>
  <c r="B122" i="32"/>
  <c r="C122" i="32"/>
  <c r="C130" i="35" l="1"/>
  <c r="B130" i="35"/>
  <c r="F122" i="32"/>
  <c r="H122" i="32"/>
  <c r="A123" i="32" s="1"/>
  <c r="I122" i="32"/>
  <c r="K122" i="32" s="1"/>
  <c r="D122" i="32"/>
  <c r="G122" i="32"/>
  <c r="E130" i="35" l="1"/>
  <c r="I130" i="35"/>
  <c r="K130" i="35" s="1"/>
  <c r="H130" i="35"/>
  <c r="A131" i="35" s="1"/>
  <c r="F130" i="35"/>
  <c r="D130" i="35"/>
  <c r="G130" i="35"/>
  <c r="C123" i="32"/>
  <c r="B123" i="32"/>
  <c r="B131" i="35" l="1"/>
  <c r="C131" i="35"/>
  <c r="H123" i="32"/>
  <c r="A124" i="32" s="1"/>
  <c r="I123" i="32"/>
  <c r="K123" i="32" s="1"/>
  <c r="D123" i="32"/>
  <c r="G123" i="32"/>
  <c r="F123" i="32"/>
  <c r="E131" i="35" l="1"/>
  <c r="F131" i="35"/>
  <c r="D131" i="35"/>
  <c r="I131" i="35"/>
  <c r="K131" i="35" s="1"/>
  <c r="H131" i="35"/>
  <c r="A132" i="35" s="1"/>
  <c r="G131" i="35"/>
  <c r="C124" i="32"/>
  <c r="B124" i="32"/>
  <c r="C132" i="35" l="1"/>
  <c r="B132" i="35"/>
  <c r="G124" i="32"/>
  <c r="F124" i="32"/>
  <c r="H124" i="32"/>
  <c r="A125" i="32" s="1"/>
  <c r="I124" i="32"/>
  <c r="K124" i="32" s="1"/>
  <c r="D124" i="32"/>
  <c r="E132" i="35" l="1"/>
  <c r="H132" i="35"/>
  <c r="A133" i="35" s="1"/>
  <c r="I132" i="35"/>
  <c r="K132" i="35" s="1"/>
  <c r="F132" i="35"/>
  <c r="D132" i="35"/>
  <c r="G132" i="35"/>
  <c r="C125" i="32"/>
  <c r="B125" i="32"/>
  <c r="B133" i="35" l="1"/>
  <c r="C133" i="35"/>
  <c r="D125" i="32"/>
  <c r="I125" i="32"/>
  <c r="K125" i="32" s="1"/>
  <c r="G125" i="32"/>
  <c r="H125" i="32"/>
  <c r="A126" i="32" s="1"/>
  <c r="F125" i="32"/>
  <c r="E133" i="35" l="1"/>
  <c r="F133" i="35"/>
  <c r="D133" i="35"/>
  <c r="G133" i="35"/>
  <c r="I133" i="35"/>
  <c r="K133" i="35" s="1"/>
  <c r="H133" i="35"/>
  <c r="A134" i="35" s="1"/>
  <c r="C126" i="32"/>
  <c r="B126" i="32"/>
  <c r="B134" i="35" l="1"/>
  <c r="C134" i="35"/>
  <c r="F126" i="32"/>
  <c r="D126" i="32"/>
  <c r="H126" i="32"/>
  <c r="A127" i="32" s="1"/>
  <c r="G126" i="32"/>
  <c r="I126" i="32"/>
  <c r="K126" i="32" s="1"/>
  <c r="E134" i="35" l="1"/>
  <c r="F134" i="35"/>
  <c r="D134" i="35"/>
  <c r="I134" i="35"/>
  <c r="K134" i="35" s="1"/>
  <c r="H134" i="35"/>
  <c r="A135" i="35" s="1"/>
  <c r="G134" i="35"/>
  <c r="C127" i="32"/>
  <c r="B127" i="32"/>
  <c r="C135" i="35" l="1"/>
  <c r="B135" i="35"/>
  <c r="D127" i="32"/>
  <c r="F127" i="32"/>
  <c r="H127" i="32"/>
  <c r="A128" i="32" s="1"/>
  <c r="G127" i="32"/>
  <c r="I127" i="32"/>
  <c r="K127" i="32" s="1"/>
  <c r="E135" i="35" l="1"/>
  <c r="F135" i="35"/>
  <c r="G135" i="35"/>
  <c r="D135" i="35"/>
  <c r="H135" i="35"/>
  <c r="A136" i="35" s="1"/>
  <c r="I135" i="35"/>
  <c r="K135" i="35" s="1"/>
  <c r="B128" i="32"/>
  <c r="C128" i="32"/>
  <c r="B136" i="35" l="1"/>
  <c r="C136" i="35"/>
  <c r="H128" i="32"/>
  <c r="A129" i="32" s="1"/>
  <c r="D128" i="32"/>
  <c r="I128" i="32"/>
  <c r="K128" i="32" s="1"/>
  <c r="G128" i="32"/>
  <c r="F128" i="32"/>
  <c r="E136" i="35" l="1"/>
  <c r="H136" i="35"/>
  <c r="A137" i="35" s="1"/>
  <c r="G136" i="35"/>
  <c r="D136" i="35"/>
  <c r="F136" i="35"/>
  <c r="I136" i="35"/>
  <c r="K136" i="35" s="1"/>
  <c r="B129" i="32"/>
  <c r="C129" i="32"/>
  <c r="B137" i="35" l="1"/>
  <c r="C137" i="35"/>
  <c r="I129" i="32"/>
  <c r="K129" i="32" s="1"/>
  <c r="H129" i="32"/>
  <c r="A130" i="32" s="1"/>
  <c r="D129" i="32"/>
  <c r="F129" i="32"/>
  <c r="G129" i="32"/>
  <c r="E137" i="35" l="1"/>
  <c r="I137" i="35"/>
  <c r="K137" i="35" s="1"/>
  <c r="H137" i="35"/>
  <c r="A138" i="35" s="1"/>
  <c r="G137" i="35"/>
  <c r="D137" i="35"/>
  <c r="F137" i="35"/>
  <c r="C130" i="32"/>
  <c r="B130" i="32"/>
  <c r="B138" i="35" l="1"/>
  <c r="C138" i="35"/>
  <c r="H11" i="35" s="1"/>
  <c r="I130" i="32"/>
  <c r="K130" i="32" s="1"/>
  <c r="G130" i="32"/>
  <c r="H130" i="32"/>
  <c r="A131" i="32" s="1"/>
  <c r="F130" i="32"/>
  <c r="D130" i="32"/>
  <c r="I138" i="35" l="1"/>
  <c r="D138" i="35"/>
  <c r="L31" i="35" s="1" a="1"/>
  <c r="H138" i="35"/>
  <c r="A139" i="35" s="1"/>
  <c r="G138" i="35"/>
  <c r="E138" i="35"/>
  <c r="F138" i="35"/>
  <c r="B131" i="32"/>
  <c r="C131" i="32"/>
  <c r="DX31" i="35" l="1"/>
  <c r="DW31" i="35"/>
  <c r="DD31" i="35"/>
  <c r="CY31" i="35"/>
  <c r="CA31" i="35"/>
  <c r="DV31" i="35"/>
  <c r="DL31" i="35"/>
  <c r="DQ31" i="35"/>
  <c r="AB31" i="35"/>
  <c r="DT31" i="35"/>
  <c r="CC31" i="35"/>
  <c r="T31" i="35"/>
  <c r="CL31" i="35"/>
  <c r="AD31" i="35"/>
  <c r="DS31" i="35"/>
  <c r="BC31" i="35"/>
  <c r="DE31" i="35"/>
  <c r="AP31" i="35"/>
  <c r="CT31" i="35"/>
  <c r="DC31" i="35"/>
  <c r="BH31" i="35"/>
  <c r="S31" i="35"/>
  <c r="AU31" i="35"/>
  <c r="AR31" i="35"/>
  <c r="CO31" i="35"/>
  <c r="BW31" i="35"/>
  <c r="AW31" i="35"/>
  <c r="DH31" i="35"/>
  <c r="X31" i="35"/>
  <c r="AS31" i="35"/>
  <c r="BZ31" i="35"/>
  <c r="AQ31" i="35"/>
  <c r="CW31" i="35"/>
  <c r="CR31" i="35"/>
  <c r="CQ31" i="35"/>
  <c r="BO31" i="35"/>
  <c r="AN31" i="35"/>
  <c r="BK31" i="35"/>
  <c r="W31" i="35"/>
  <c r="U31" i="35"/>
  <c r="BN31" i="35"/>
  <c r="CE31" i="35"/>
  <c r="AI31" i="35"/>
  <c r="Q31" i="35"/>
  <c r="CK31" i="35"/>
  <c r="DM31" i="35"/>
  <c r="AY31" i="35"/>
  <c r="BJ31" i="35"/>
  <c r="DI31" i="35"/>
  <c r="AL31" i="35"/>
  <c r="CD31" i="35"/>
  <c r="M31" i="35"/>
  <c r="AX31" i="35"/>
  <c r="DF31" i="35"/>
  <c r="AE31" i="35"/>
  <c r="CN31" i="35"/>
  <c r="BT31" i="35"/>
  <c r="DZ31" i="35"/>
  <c r="BM31" i="35"/>
  <c r="DY31" i="35"/>
  <c r="CJ31" i="35"/>
  <c r="AT31" i="35"/>
  <c r="AO31" i="35"/>
  <c r="BL31" i="35"/>
  <c r="CH31" i="35"/>
  <c r="BV31" i="35"/>
  <c r="AC31" i="35"/>
  <c r="L31" i="35"/>
  <c r="CX31" i="35"/>
  <c r="CS31" i="35"/>
  <c r="CU31" i="35"/>
  <c r="BR31" i="35"/>
  <c r="N31" i="35"/>
  <c r="CB31" i="35"/>
  <c r="DJ31" i="35"/>
  <c r="Z31" i="35"/>
  <c r="CG31" i="35"/>
  <c r="BD31" i="35"/>
  <c r="V31" i="35"/>
  <c r="AJ31" i="35"/>
  <c r="DA31" i="35"/>
  <c r="BI31" i="35"/>
  <c r="CM31" i="35"/>
  <c r="BB31" i="35"/>
  <c r="AM31" i="35"/>
  <c r="DN31" i="35"/>
  <c r="BA31" i="35"/>
  <c r="AH31" i="35"/>
  <c r="CP31" i="35"/>
  <c r="R31" i="35"/>
  <c r="BE31" i="35"/>
  <c r="DO31" i="35"/>
  <c r="AG31" i="35"/>
  <c r="BP31" i="35"/>
  <c r="AV31" i="35"/>
  <c r="CV31" i="35"/>
  <c r="O31" i="35"/>
  <c r="BX31" i="35"/>
  <c r="DB31" i="35"/>
  <c r="DP31" i="35"/>
  <c r="BU31" i="35"/>
  <c r="BY31" i="35"/>
  <c r="AZ31" i="35"/>
  <c r="AF31" i="35"/>
  <c r="CI31" i="35"/>
  <c r="BQ31" i="35"/>
  <c r="CZ31" i="35"/>
  <c r="DR31" i="35"/>
  <c r="DK31" i="35"/>
  <c r="BG31" i="35"/>
  <c r="AA31" i="35"/>
  <c r="DG31" i="35"/>
  <c r="AK31" i="35"/>
  <c r="DU31" i="35"/>
  <c r="BS31" i="35"/>
  <c r="CF31" i="35"/>
  <c r="P31" i="35"/>
  <c r="Y31" i="35"/>
  <c r="BF31" i="35"/>
  <c r="Q21" i="35"/>
  <c r="L20" i="35"/>
  <c r="M20" i="35"/>
  <c r="W21" i="35"/>
  <c r="S21" i="35"/>
  <c r="O21" i="35"/>
  <c r="U21" i="35"/>
  <c r="M21" i="35"/>
  <c r="N21" i="35"/>
  <c r="T21" i="35"/>
  <c r="L21" i="35"/>
  <c r="P21" i="35"/>
  <c r="V21" i="35"/>
  <c r="K138" i="35"/>
  <c r="R21" i="35"/>
  <c r="L30" i="35" a="1"/>
  <c r="EA30" i="35" s="1"/>
  <c r="H12" i="35"/>
  <c r="EA31" i="35"/>
  <c r="H131" i="32"/>
  <c r="A132" i="32" s="1"/>
  <c r="G131" i="32"/>
  <c r="I131" i="32"/>
  <c r="K131" i="32" s="1"/>
  <c r="D131" i="32"/>
  <c r="F131" i="32"/>
  <c r="U30" i="35" l="1"/>
  <c r="BP30" i="35"/>
  <c r="AV30" i="35"/>
  <c r="BO30" i="35"/>
  <c r="DK30" i="35"/>
  <c r="AJ30" i="35"/>
  <c r="DT30" i="35"/>
  <c r="AN30" i="35"/>
  <c r="BC30" i="35"/>
  <c r="Z30" i="35"/>
  <c r="DJ30" i="35"/>
  <c r="CX30" i="35"/>
  <c r="DR30" i="35"/>
  <c r="Q30" i="35"/>
  <c r="P30" i="35"/>
  <c r="BF30" i="35"/>
  <c r="AB30" i="35"/>
  <c r="AW30" i="35"/>
  <c r="CQ30" i="35"/>
  <c r="CJ30" i="35"/>
  <c r="T30" i="35"/>
  <c r="CB30" i="35"/>
  <c r="BL30" i="35"/>
  <c r="CG30" i="35"/>
  <c r="BT30" i="35"/>
  <c r="DM30" i="35"/>
  <c r="CR30" i="35"/>
  <c r="AG30" i="35"/>
  <c r="DU30" i="35"/>
  <c r="X30" i="35"/>
  <c r="BX30" i="35"/>
  <c r="CV30" i="35"/>
  <c r="O30" i="35"/>
  <c r="DF30" i="35"/>
  <c r="BI30" i="35"/>
  <c r="Y30" i="35"/>
  <c r="DN30" i="35"/>
  <c r="M30" i="35"/>
  <c r="CA30" i="35"/>
  <c r="DG30" i="35"/>
  <c r="CO30" i="35"/>
  <c r="DL30" i="35"/>
  <c r="DE30" i="35"/>
  <c r="V30" i="35"/>
  <c r="AT30" i="35"/>
  <c r="CN30" i="35"/>
  <c r="CH30" i="35"/>
  <c r="AY30" i="35"/>
  <c r="W30" i="35"/>
  <c r="BH30" i="35"/>
  <c r="BM30" i="35"/>
  <c r="DD30" i="35"/>
  <c r="BK30" i="35"/>
  <c r="AS30" i="35"/>
  <c r="CZ30" i="35"/>
  <c r="DI30" i="35"/>
  <c r="BZ30" i="35"/>
  <c r="DB30" i="35"/>
  <c r="AD30" i="35"/>
  <c r="BE30" i="35"/>
  <c r="AA30" i="35"/>
  <c r="CI30" i="35"/>
  <c r="CM30" i="35"/>
  <c r="BQ30" i="35"/>
  <c r="BB30" i="35"/>
  <c r="DO30" i="35"/>
  <c r="CL30" i="35"/>
  <c r="DX30" i="35"/>
  <c r="BG30" i="35"/>
  <c r="BY30" i="35"/>
  <c r="DV30" i="35"/>
  <c r="AC30" i="35"/>
  <c r="AO30" i="35"/>
  <c r="AR30" i="35"/>
  <c r="AH30" i="35"/>
  <c r="CD30" i="35"/>
  <c r="DQ30" i="35"/>
  <c r="CP30" i="35"/>
  <c r="BJ30" i="35"/>
  <c r="AL30" i="35"/>
  <c r="AI30" i="35"/>
  <c r="BD30" i="35"/>
  <c r="BS30" i="35"/>
  <c r="S30" i="35"/>
  <c r="DP30" i="35"/>
  <c r="DS30" i="35"/>
  <c r="AF30" i="35"/>
  <c r="CW30" i="35"/>
  <c r="DA30" i="35"/>
  <c r="CC30" i="35"/>
  <c r="BA30" i="35"/>
  <c r="N30" i="35"/>
  <c r="CF30" i="35"/>
  <c r="AM30" i="35"/>
  <c r="CY30" i="35"/>
  <c r="AX30" i="35"/>
  <c r="DH30" i="35"/>
  <c r="BR30" i="35"/>
  <c r="AE30" i="35"/>
  <c r="CE30" i="35"/>
  <c r="BV30" i="35"/>
  <c r="CS30" i="35"/>
  <c r="AK30" i="35"/>
  <c r="CT30" i="35"/>
  <c r="DW30" i="35"/>
  <c r="DC30" i="35"/>
  <c r="AU30" i="35"/>
  <c r="BU30" i="35"/>
  <c r="AZ30" i="35"/>
  <c r="CU30" i="35"/>
  <c r="L30" i="35"/>
  <c r="BN30" i="35"/>
  <c r="DZ30" i="35"/>
  <c r="AQ30" i="35"/>
  <c r="BW30" i="35"/>
  <c r="DY30" i="35"/>
  <c r="CK30" i="35"/>
  <c r="R30" i="35"/>
  <c r="AP30" i="35"/>
  <c r="M22" i="35"/>
  <c r="M23" i="35" s="1"/>
  <c r="N19" i="35" s="1"/>
  <c r="N20" i="35" s="1"/>
  <c r="N22" i="35" s="1"/>
  <c r="N23" i="35" s="1"/>
  <c r="O19" i="35" s="1"/>
  <c r="O20" i="35" s="1"/>
  <c r="O22" i="35" s="1"/>
  <c r="O23" i="35" s="1"/>
  <c r="P19" i="35" s="1"/>
  <c r="P20" i="35" s="1"/>
  <c r="P22" i="35" s="1"/>
  <c r="P23" i="35" s="1"/>
  <c r="Q19" i="35" s="1"/>
  <c r="Q20" i="35" s="1"/>
  <c r="Q22" i="35" s="1"/>
  <c r="Q23" i="35" s="1"/>
  <c r="R19" i="35" s="1"/>
  <c r="R20" i="35" s="1"/>
  <c r="R22" i="35" s="1"/>
  <c r="R23" i="35" s="1"/>
  <c r="L22" i="35"/>
  <c r="M68" i="35" s="1"/>
  <c r="C132" i="32"/>
  <c r="B132" i="32"/>
  <c r="S20" i="35" l="1"/>
  <c r="S22" i="35" s="1"/>
  <c r="S19" i="35"/>
  <c r="I132" i="32"/>
  <c r="K132" i="32" s="1"/>
  <c r="H132" i="32"/>
  <c r="A133" i="32" s="1"/>
  <c r="D132" i="32"/>
  <c r="G132" i="32"/>
  <c r="F132" i="32"/>
  <c r="S23" i="35" l="1"/>
  <c r="T19" i="35" s="1"/>
  <c r="T20" i="35" s="1"/>
  <c r="T22" i="35" s="1"/>
  <c r="T23" i="35" s="1"/>
  <c r="U19" i="35" s="1"/>
  <c r="U20" i="35" s="1"/>
  <c r="U22" i="35" s="1"/>
  <c r="U23" i="35" s="1"/>
  <c r="V19" i="35" s="1"/>
  <c r="C133" i="32"/>
  <c r="B133" i="32"/>
  <c r="V20" i="35" l="1"/>
  <c r="V22" i="35" s="1"/>
  <c r="V23" i="35" s="1"/>
  <c r="W19" i="35" s="1"/>
  <c r="F133" i="32"/>
  <c r="H133" i="32"/>
  <c r="A134" i="32" s="1"/>
  <c r="G133" i="32"/>
  <c r="I133" i="32"/>
  <c r="K133" i="32" s="1"/>
  <c r="D133" i="32"/>
  <c r="W20" i="35" l="1"/>
  <c r="W22" i="35" s="1"/>
  <c r="W23" i="35" s="1"/>
  <c r="C134" i="32"/>
  <c r="B134" i="32"/>
  <c r="G134" i="32" l="1"/>
  <c r="D134" i="32"/>
  <c r="F134" i="32"/>
  <c r="I134" i="32"/>
  <c r="K134" i="32" s="1"/>
  <c r="H134" i="32"/>
  <c r="A135" i="32" s="1"/>
  <c r="B135" i="32" l="1"/>
  <c r="C135" i="32"/>
  <c r="H135" i="32" l="1"/>
  <c r="A136" i="32" s="1"/>
  <c r="I135" i="32"/>
  <c r="K135" i="32" s="1"/>
  <c r="F135" i="32"/>
  <c r="G135" i="32"/>
  <c r="D135" i="32"/>
  <c r="B136" i="32" l="1"/>
  <c r="C136" i="32"/>
  <c r="D136" i="32" l="1"/>
  <c r="F136" i="32"/>
  <c r="G136" i="32"/>
  <c r="H136" i="32"/>
  <c r="A137" i="32" s="1"/>
  <c r="I136" i="32"/>
  <c r="K136" i="32" s="1"/>
  <c r="B137" i="32" l="1"/>
  <c r="C137" i="32"/>
  <c r="D137" i="32" l="1"/>
  <c r="F137" i="32"/>
  <c r="H137" i="32"/>
  <c r="A138" i="32" s="1"/>
  <c r="G137" i="32"/>
  <c r="I137" i="32"/>
  <c r="K137" i="32" l="1"/>
  <c r="C138" i="32"/>
  <c r="H11" i="32" s="1"/>
  <c r="B138" i="32"/>
  <c r="F138" i="32" l="1"/>
  <c r="D138" i="32"/>
  <c r="L31" i="32" s="1" a="1"/>
  <c r="I138" i="32"/>
  <c r="G138" i="32"/>
  <c r="H138" i="32"/>
  <c r="A139" i="32" s="1"/>
  <c r="M20" i="32" l="1"/>
  <c r="L20" i="32"/>
  <c r="BH31" i="32"/>
  <c r="O31" i="32"/>
  <c r="AU112" i="13" s="1"/>
  <c r="BV31" i="32"/>
  <c r="BQ31" i="32"/>
  <c r="AY31" i="32"/>
  <c r="AZ31" i="32"/>
  <c r="AF31" i="32"/>
  <c r="DS31" i="32"/>
  <c r="CX31" i="32"/>
  <c r="BR31" i="32"/>
  <c r="CI31" i="32"/>
  <c r="CD31" i="32"/>
  <c r="X31" i="32"/>
  <c r="S31" i="32"/>
  <c r="AY112" i="13" s="1"/>
  <c r="BS31" i="32"/>
  <c r="AP31" i="32"/>
  <c r="AR31" i="32"/>
  <c r="V31" i="32"/>
  <c r="BB112" i="13" s="1"/>
  <c r="CZ31" i="32"/>
  <c r="BZ31" i="32"/>
  <c r="BM31" i="32"/>
  <c r="BF31" i="32"/>
  <c r="CP31" i="32"/>
  <c r="AE31" i="32"/>
  <c r="AV31" i="32"/>
  <c r="CK31" i="32"/>
  <c r="AG31" i="32"/>
  <c r="AO31" i="32"/>
  <c r="AK31" i="32"/>
  <c r="DG31" i="32"/>
  <c r="DP31" i="32"/>
  <c r="CS31" i="32"/>
  <c r="CR31" i="32"/>
  <c r="AN31" i="32"/>
  <c r="DH31" i="32"/>
  <c r="AT31" i="32"/>
  <c r="Z31" i="32"/>
  <c r="CO31" i="32"/>
  <c r="DO31" i="32"/>
  <c r="CU31" i="32"/>
  <c r="BU31" i="32"/>
  <c r="Y31" i="32"/>
  <c r="AD31" i="32"/>
  <c r="DR31" i="32"/>
  <c r="CA31" i="32"/>
  <c r="AS31" i="32"/>
  <c r="CY31" i="32"/>
  <c r="BG31" i="32"/>
  <c r="BO31" i="32"/>
  <c r="AM31" i="32"/>
  <c r="DA31" i="32"/>
  <c r="BJ31" i="32"/>
  <c r="DM31" i="32"/>
  <c r="AW31" i="32"/>
  <c r="CH31" i="32"/>
  <c r="CT31" i="32"/>
  <c r="CG31" i="32"/>
  <c r="DE31" i="32"/>
  <c r="CW31" i="32"/>
  <c r="BK31" i="32"/>
  <c r="CC31" i="32"/>
  <c r="BN31" i="32"/>
  <c r="R31" i="32"/>
  <c r="AX112" i="13" s="1"/>
  <c r="BB31" i="32"/>
  <c r="CF31" i="32"/>
  <c r="CQ31" i="32"/>
  <c r="AU31" i="32"/>
  <c r="BE31" i="32"/>
  <c r="CB31" i="32"/>
  <c r="T31" i="32"/>
  <c r="AZ112" i="13" s="1"/>
  <c r="CN31" i="32"/>
  <c r="M31" i="32"/>
  <c r="AS112" i="13" s="1"/>
  <c r="DT31" i="32"/>
  <c r="AX31" i="32"/>
  <c r="BT31" i="32"/>
  <c r="DB31" i="32"/>
  <c r="BP31" i="32"/>
  <c r="CJ31" i="32"/>
  <c r="L31" i="32"/>
  <c r="DF31" i="32"/>
  <c r="AH31" i="32"/>
  <c r="CE31" i="32"/>
  <c r="CL31" i="32"/>
  <c r="DN31" i="32"/>
  <c r="W31" i="32"/>
  <c r="BC112" i="13" s="1"/>
  <c r="Q31" i="32"/>
  <c r="AW112" i="13" s="1"/>
  <c r="BD31" i="32"/>
  <c r="DQ31" i="32"/>
  <c r="AJ31" i="32"/>
  <c r="BY31" i="32"/>
  <c r="AL31" i="32"/>
  <c r="DL31" i="32"/>
  <c r="BI31" i="32"/>
  <c r="BL31" i="32"/>
  <c r="DK31" i="32"/>
  <c r="DI31" i="32"/>
  <c r="BX31" i="32"/>
  <c r="DJ31" i="32"/>
  <c r="N31" i="32"/>
  <c r="AT112" i="13" s="1"/>
  <c r="CM31" i="32"/>
  <c r="AI31" i="32"/>
  <c r="AA31" i="32"/>
  <c r="CV31" i="32"/>
  <c r="DC31" i="32"/>
  <c r="AQ31" i="32"/>
  <c r="P31" i="32"/>
  <c r="AV112" i="13" s="1"/>
  <c r="DD31" i="32"/>
  <c r="AC31" i="32"/>
  <c r="BW31" i="32"/>
  <c r="AB31" i="32"/>
  <c r="BA31" i="32"/>
  <c r="DU31" i="32"/>
  <c r="U31" i="32"/>
  <c r="BA112" i="13" s="1"/>
  <c r="BC31" i="32"/>
  <c r="DV31" i="32"/>
  <c r="DW31" i="32"/>
  <c r="DX31" i="32"/>
  <c r="DY31" i="32"/>
  <c r="DZ31" i="32"/>
  <c r="K138" i="32"/>
  <c r="L21" i="32"/>
  <c r="P21" i="32"/>
  <c r="M21" i="32"/>
  <c r="N21" i="32"/>
  <c r="S21" i="32"/>
  <c r="U21" i="32"/>
  <c r="O21" i="32"/>
  <c r="R21" i="32"/>
  <c r="V21" i="32"/>
  <c r="W21" i="32"/>
  <c r="Q21" i="32"/>
  <c r="T21" i="32"/>
  <c r="EA31" i="32"/>
  <c r="H12" i="32"/>
  <c r="BG112" i="13" l="1"/>
  <c r="L22" i="32"/>
  <c r="M68" i="32" s="1"/>
  <c r="M22" i="32"/>
  <c r="M23" i="32" s="1"/>
  <c r="N19" i="32" s="1"/>
  <c r="N20" i="32" l="1"/>
  <c r="N22" i="32" s="1"/>
  <c r="N23" i="32" s="1"/>
  <c r="O19" i="32" s="1"/>
  <c r="O20" i="32" l="1"/>
  <c r="O22" i="32" s="1"/>
  <c r="O23" i="32" s="1"/>
  <c r="P19" i="32" s="1"/>
  <c r="AM200" i="13"/>
  <c r="AL200" i="13"/>
  <c r="AM199" i="13"/>
  <c r="AL199" i="13"/>
  <c r="AJ47" i="13"/>
  <c r="AJ51" i="13" s="1"/>
  <c r="AI47" i="13"/>
  <c r="AI51" i="13" s="1"/>
  <c r="AH47" i="13"/>
  <c r="AH51" i="13" s="1"/>
  <c r="AG47" i="13"/>
  <c r="AG51" i="13" s="1"/>
  <c r="AF47" i="13"/>
  <c r="AF51" i="13" s="1"/>
  <c r="U76" i="23"/>
  <c r="V76" i="23"/>
  <c r="BA208" i="27"/>
  <c r="N129" i="23"/>
  <c r="AK252" i="13"/>
  <c r="AK276" i="13" s="1"/>
  <c r="AE97" i="13"/>
  <c r="AD97" i="13"/>
  <c r="AC97" i="13"/>
  <c r="AB97" i="13"/>
  <c r="AA97" i="13"/>
  <c r="Z97" i="13"/>
  <c r="Y97" i="13"/>
  <c r="X97" i="13"/>
  <c r="W97" i="13"/>
  <c r="V97" i="13"/>
  <c r="U97" i="13"/>
  <c r="T97" i="13"/>
  <c r="AJ71" i="13"/>
  <c r="AJ75" i="13" s="1"/>
  <c r="AI71" i="13"/>
  <c r="AI75" i="13" s="1"/>
  <c r="AH71" i="13"/>
  <c r="AH75" i="13" s="1"/>
  <c r="AG71" i="13"/>
  <c r="AG75" i="13" s="1"/>
  <c r="AF71" i="13"/>
  <c r="AF75" i="13" s="1"/>
  <c r="AM97" i="13"/>
  <c r="AP97" i="13" s="1"/>
  <c r="AL97" i="13"/>
  <c r="AK97" i="13"/>
  <c r="AJ97" i="13"/>
  <c r="AI97" i="13"/>
  <c r="AH97" i="13"/>
  <c r="AG97" i="13"/>
  <c r="AF97" i="13"/>
  <c r="S215" i="24"/>
  <c r="M128" i="23"/>
  <c r="AD127" i="13"/>
  <c r="AE127" i="13"/>
  <c r="AF127" i="13"/>
  <c r="AE227" i="13"/>
  <c r="AE215" i="13"/>
  <c r="N128" i="23"/>
  <c r="AE198" i="13"/>
  <c r="AE197" i="13"/>
  <c r="AE196" i="13"/>
  <c r="AE195" i="13"/>
  <c r="AE194" i="13"/>
  <c r="AE193" i="13"/>
  <c r="AE191" i="13"/>
  <c r="AE181" i="13"/>
  <c r="AE179" i="13"/>
  <c r="AE178" i="13"/>
  <c r="AE174" i="13"/>
  <c r="AE173" i="13"/>
  <c r="AE170" i="13"/>
  <c r="AE167" i="13"/>
  <c r="AE166" i="13"/>
  <c r="AE165" i="13"/>
  <c r="AE164" i="13"/>
  <c r="AE163" i="13"/>
  <c r="AE161" i="13"/>
  <c r="AE160" i="13"/>
  <c r="AE158" i="13"/>
  <c r="AE205" i="13"/>
  <c r="AE226" i="13"/>
  <c r="AE225" i="13"/>
  <c r="AE224" i="13"/>
  <c r="AE221" i="13"/>
  <c r="AD215" i="13"/>
  <c r="AE212" i="13"/>
  <c r="AE214" i="13"/>
  <c r="AM126" i="13"/>
  <c r="AL126" i="13"/>
  <c r="AK126" i="13"/>
  <c r="AF126" i="13"/>
  <c r="AE126" i="13"/>
  <c r="AD126" i="13"/>
  <c r="AC126" i="13"/>
  <c r="AB126" i="13"/>
  <c r="AA126" i="13"/>
  <c r="AH33" i="13" l="1"/>
  <c r="BT48" i="13" s="1"/>
  <c r="BT47" i="13" s="1"/>
  <c r="AL201" i="13"/>
  <c r="BF126" i="13"/>
  <c r="AE185" i="13"/>
  <c r="P20" i="32"/>
  <c r="P22" i="32" s="1"/>
  <c r="P23" i="32" s="1"/>
  <c r="Q19" i="32" s="1"/>
  <c r="AQ97" i="13"/>
  <c r="AM201" i="13"/>
  <c r="AE228" i="13"/>
  <c r="AE216" i="13"/>
  <c r="AE175" i="13"/>
  <c r="AE176" i="13" s="1"/>
  <c r="AR97" i="13" l="1"/>
  <c r="AS97" i="13" s="1"/>
  <c r="Q20" i="32"/>
  <c r="Q22" i="32" s="1"/>
  <c r="Q23" i="32" s="1"/>
  <c r="R19" i="32" s="1"/>
  <c r="BF97" i="13"/>
  <c r="AE186" i="13"/>
  <c r="AE187" i="13" s="1"/>
  <c r="Q261" i="13"/>
  <c r="Q245" i="13"/>
  <c r="T1" i="13"/>
  <c r="AF1" i="13" s="1"/>
  <c r="AR1" i="13" s="1"/>
  <c r="I1" i="13"/>
  <c r="U1" i="13" s="1"/>
  <c r="AG1" i="13" s="1"/>
  <c r="AS1" i="13" s="1"/>
  <c r="AM227" i="13"/>
  <c r="AL227" i="13"/>
  <c r="AK227" i="13"/>
  <c r="AK200" i="13"/>
  <c r="AK199" i="13"/>
  <c r="BE17" i="27"/>
  <c r="BF17" i="27"/>
  <c r="BG17" i="27"/>
  <c r="BH17" i="27"/>
  <c r="BI17" i="27"/>
  <c r="BE18" i="27"/>
  <c r="BF18" i="27" s="1"/>
  <c r="AK104" i="13"/>
  <c r="S110" i="24"/>
  <c r="AJ114" i="13"/>
  <c r="AI114" i="13"/>
  <c r="AH114" i="13"/>
  <c r="AG114" i="13"/>
  <c r="AF114" i="13"/>
  <c r="AE114" i="13"/>
  <c r="AD114" i="13"/>
  <c r="AC114" i="13"/>
  <c r="AB114" i="13"/>
  <c r="AA114" i="13"/>
  <c r="S114" i="13"/>
  <c r="R114" i="13"/>
  <c r="Q114" i="13"/>
  <c r="P114" i="13"/>
  <c r="O114" i="13"/>
  <c r="N114" i="13"/>
  <c r="L114" i="13"/>
  <c r="I114" i="13"/>
  <c r="H114" i="13"/>
  <c r="AM108" i="13"/>
  <c r="AL108" i="13"/>
  <c r="AK108" i="13"/>
  <c r="AM113" i="13"/>
  <c r="AL113" i="13"/>
  <c r="AM109" i="13"/>
  <c r="AL71" i="13"/>
  <c r="AK71" i="13"/>
  <c r="AK47" i="13"/>
  <c r="AL47" i="13"/>
  <c r="AK106" i="13" l="1"/>
  <c r="AT97" i="13"/>
  <c r="AK201" i="13"/>
  <c r="BF108" i="13"/>
  <c r="R20" i="32"/>
  <c r="R22" i="32" s="1"/>
  <c r="R23" i="32" s="1"/>
  <c r="BE21" i="27"/>
  <c r="BD21" i="27"/>
  <c r="BD72" i="27" s="1"/>
  <c r="AP201" i="13"/>
  <c r="J1" i="13"/>
  <c r="BG18" i="27"/>
  <c r="BG21" i="27" s="1"/>
  <c r="BF21" i="27"/>
  <c r="AM114" i="13"/>
  <c r="AM222" i="13"/>
  <c r="AP222" i="13" s="1"/>
  <c r="AQ222" i="13" s="1"/>
  <c r="AL222" i="13"/>
  <c r="AK222" i="13"/>
  <c r="AM183" i="13"/>
  <c r="AL183" i="13"/>
  <c r="AM182" i="13"/>
  <c r="AL182" i="13"/>
  <c r="AK182" i="13"/>
  <c r="AM159" i="13"/>
  <c r="AP159" i="13" s="1"/>
  <c r="AQ159" i="13" s="1"/>
  <c r="AR159" i="13" s="1"/>
  <c r="AS159" i="13" s="1"/>
  <c r="AT159" i="13" s="1"/>
  <c r="AU159" i="13" s="1"/>
  <c r="AV159" i="13" s="1"/>
  <c r="AW159" i="13" s="1"/>
  <c r="AX159" i="13" s="1"/>
  <c r="AY159" i="13" s="1"/>
  <c r="AZ159" i="13" s="1"/>
  <c r="BA159" i="13" s="1"/>
  <c r="BB159" i="13" s="1"/>
  <c r="BC159" i="13" s="1"/>
  <c r="BG159" i="13" s="1"/>
  <c r="AL159" i="13"/>
  <c r="AM158" i="13"/>
  <c r="AL158" i="13"/>
  <c r="AK159" i="13"/>
  <c r="AK158" i="13"/>
  <c r="AR14" i="19" s="1"/>
  <c r="AM172" i="13"/>
  <c r="AL172" i="13"/>
  <c r="AK172" i="13"/>
  <c r="BB122" i="27"/>
  <c r="AM171" i="13" s="1"/>
  <c r="BA122" i="27"/>
  <c r="AL171" i="13" s="1"/>
  <c r="AZ122" i="27"/>
  <c r="AK171" i="13" s="1"/>
  <c r="AM162" i="13"/>
  <c r="AL162" i="13"/>
  <c r="AK162" i="13"/>
  <c r="AU97" i="13" l="1"/>
  <c r="BF222" i="13"/>
  <c r="AR222" i="13"/>
  <c r="AS222" i="13" s="1"/>
  <c r="AT222" i="13" s="1"/>
  <c r="AU222" i="13" s="1"/>
  <c r="AV222" i="13" s="1"/>
  <c r="AQ201" i="13"/>
  <c r="AR201" i="13" s="1"/>
  <c r="AS201" i="13" s="1"/>
  <c r="AS14" i="19"/>
  <c r="AT14" i="19"/>
  <c r="S20" i="32"/>
  <c r="S22" i="32" s="1"/>
  <c r="S19" i="32"/>
  <c r="AP172" i="13"/>
  <c r="BA132" i="27"/>
  <c r="BA133" i="27" s="1"/>
  <c r="BH18" i="27"/>
  <c r="BH21" i="27" s="1"/>
  <c r="AZ132" i="27"/>
  <c r="AZ133" i="27" s="1"/>
  <c r="BB132" i="27"/>
  <c r="BB133" i="27" s="1"/>
  <c r="K1" i="13"/>
  <c r="V1" i="13"/>
  <c r="AH1" i="13" s="1"/>
  <c r="AT1" i="13" s="1"/>
  <c r="AL188" i="13"/>
  <c r="AM188" i="13"/>
  <c r="AV97" i="13" l="1"/>
  <c r="AQ172" i="13"/>
  <c r="AR172" i="13"/>
  <c r="AS172" i="13" s="1"/>
  <c r="AW222" i="13"/>
  <c r="AX222" i="13" s="1"/>
  <c r="AY222" i="13" s="1"/>
  <c r="AZ222" i="13" s="1"/>
  <c r="BA222" i="13" s="1"/>
  <c r="BB222" i="13" s="1"/>
  <c r="BC222" i="13" s="1"/>
  <c r="BG222" i="13" s="1"/>
  <c r="AT201" i="13"/>
  <c r="AU201" i="13" s="1"/>
  <c r="BI18" i="27"/>
  <c r="BI21" i="27" s="1"/>
  <c r="S23" i="32"/>
  <c r="T19" i="32" s="1"/>
  <c r="L1" i="13"/>
  <c r="W1" i="13"/>
  <c r="AI1" i="13" s="1"/>
  <c r="AU1" i="13" s="1"/>
  <c r="AW97" i="13" l="1"/>
  <c r="AX97" i="13"/>
  <c r="AT172" i="13"/>
  <c r="AV201" i="13"/>
  <c r="T20" i="32"/>
  <c r="T22" i="32" s="1"/>
  <c r="T23" i="32" s="1"/>
  <c r="U19" i="32" s="1"/>
  <c r="M1" i="13"/>
  <c r="X1" i="13"/>
  <c r="AJ1" i="13" s="1"/>
  <c r="AV1" i="13" s="1"/>
  <c r="BB181" i="27"/>
  <c r="BA181" i="27"/>
  <c r="AZ181" i="27"/>
  <c r="AM208" i="13"/>
  <c r="AN253" i="13" s="1"/>
  <c r="AM207" i="13"/>
  <c r="AN252" i="13" s="1"/>
  <c r="AL208" i="13"/>
  <c r="AL207" i="13"/>
  <c r="AK208" i="13"/>
  <c r="AK207" i="13"/>
  <c r="BB195" i="27"/>
  <c r="BA195" i="27"/>
  <c r="AZ195" i="27"/>
  <c r="AX195" i="27"/>
  <c r="AV195" i="27"/>
  <c r="AU195" i="27"/>
  <c r="AT195" i="27"/>
  <c r="AS195" i="27"/>
  <c r="AR195" i="27"/>
  <c r="AQ195" i="27"/>
  <c r="AP195" i="27"/>
  <c r="AO195" i="27"/>
  <c r="AN195" i="27"/>
  <c r="AM195" i="27"/>
  <c r="AL195" i="27"/>
  <c r="AK195" i="27"/>
  <c r="AJ195" i="27"/>
  <c r="AI195" i="27"/>
  <c r="AH195" i="27"/>
  <c r="AG195" i="27"/>
  <c r="AF195" i="27"/>
  <c r="AE195" i="27"/>
  <c r="AD195" i="27"/>
  <c r="AC195" i="27"/>
  <c r="AB195" i="27"/>
  <c r="AA195" i="27"/>
  <c r="Z195" i="27"/>
  <c r="Y195" i="27"/>
  <c r="X195" i="27"/>
  <c r="W195" i="27"/>
  <c r="V195" i="27"/>
  <c r="U195" i="27"/>
  <c r="T195" i="27"/>
  <c r="S195" i="27"/>
  <c r="R195" i="27"/>
  <c r="Q195" i="27"/>
  <c r="P195" i="27"/>
  <c r="O195" i="27"/>
  <c r="N195" i="27"/>
  <c r="M195" i="27"/>
  <c r="L195" i="27"/>
  <c r="K195" i="27"/>
  <c r="J195" i="27"/>
  <c r="BB89" i="27"/>
  <c r="BB83" i="27"/>
  <c r="AM104" i="13" s="1"/>
  <c r="BB62" i="27"/>
  <c r="BB30" i="27"/>
  <c r="BB21" i="27"/>
  <c r="AM72" i="13"/>
  <c r="BB7" i="27"/>
  <c r="AP215" i="13"/>
  <c r="AQ215" i="13" s="1"/>
  <c r="AR215" i="13" s="1"/>
  <c r="AS215" i="13" s="1"/>
  <c r="AT215" i="13" s="1"/>
  <c r="AU215" i="13" s="1"/>
  <c r="AV215" i="13" s="1"/>
  <c r="AW215" i="13" s="1"/>
  <c r="AX215" i="13" s="1"/>
  <c r="AY215" i="13" s="1"/>
  <c r="AZ215" i="13" s="1"/>
  <c r="BA215" i="13" s="1"/>
  <c r="BB215" i="13" s="1"/>
  <c r="BC215" i="13" s="1"/>
  <c r="BG215" i="13" s="1"/>
  <c r="AM215" i="13"/>
  <c r="AL215" i="13"/>
  <c r="AK215" i="13"/>
  <c r="AJ215" i="13"/>
  <c r="AI215" i="13"/>
  <c r="AH215" i="13"/>
  <c r="AG215" i="13"/>
  <c r="AF215" i="13"/>
  <c r="AJ227" i="13"/>
  <c r="AM226" i="13"/>
  <c r="AN261" i="13" s="1"/>
  <c r="AN273" i="13" s="1"/>
  <c r="AL226" i="13"/>
  <c r="AK226" i="13"/>
  <c r="AJ226" i="13"/>
  <c r="AM225" i="13"/>
  <c r="AP225" i="13" s="1"/>
  <c r="AQ225" i="13" s="1"/>
  <c r="AR225" i="13" s="1"/>
  <c r="AS225" i="13" s="1"/>
  <c r="AT225" i="13" s="1"/>
  <c r="AU225" i="13" s="1"/>
  <c r="AV225" i="13" s="1"/>
  <c r="AW225" i="13" s="1"/>
  <c r="AX225" i="13" s="1"/>
  <c r="AY225" i="13" s="1"/>
  <c r="AZ225" i="13" s="1"/>
  <c r="BA225" i="13" s="1"/>
  <c r="BB225" i="13" s="1"/>
  <c r="BC225" i="13" s="1"/>
  <c r="BG225" i="13" s="1"/>
  <c r="AL225" i="13"/>
  <c r="AK225" i="13"/>
  <c r="AJ225" i="13"/>
  <c r="AM224" i="13"/>
  <c r="AL224" i="13"/>
  <c r="AK224" i="13"/>
  <c r="AJ224" i="13"/>
  <c r="AM221" i="13"/>
  <c r="AL221" i="13"/>
  <c r="AK221" i="13"/>
  <c r="AJ221" i="13"/>
  <c r="AM212" i="13"/>
  <c r="AN259" i="13" s="1"/>
  <c r="AL212" i="13"/>
  <c r="AP214" i="13"/>
  <c r="AQ214" i="13" s="1"/>
  <c r="AR214" i="13" s="1"/>
  <c r="AM214" i="13"/>
  <c r="AN260" i="13" s="1"/>
  <c r="AL214" i="13"/>
  <c r="AK214" i="13"/>
  <c r="AJ214" i="13"/>
  <c r="AK212" i="13"/>
  <c r="AJ212" i="13"/>
  <c r="AJ295" i="13" s="1"/>
  <c r="BE202" i="13"/>
  <c r="AM198" i="13"/>
  <c r="AP198" i="13" s="1"/>
  <c r="AQ198" i="13" s="1"/>
  <c r="AR198" i="13" s="1"/>
  <c r="AS198" i="13" s="1"/>
  <c r="AT198" i="13" s="1"/>
  <c r="AU198" i="13" s="1"/>
  <c r="AV198" i="13" s="1"/>
  <c r="AW198" i="13" s="1"/>
  <c r="AX198" i="13" s="1"/>
  <c r="AY198" i="13" s="1"/>
  <c r="AZ198" i="13" s="1"/>
  <c r="BA198" i="13" s="1"/>
  <c r="BB198" i="13" s="1"/>
  <c r="BC198" i="13" s="1"/>
  <c r="BG198" i="13" s="1"/>
  <c r="AL198" i="13"/>
  <c r="AK198" i="13"/>
  <c r="AJ198" i="13"/>
  <c r="AM197" i="13"/>
  <c r="AL197" i="13"/>
  <c r="AK197" i="13"/>
  <c r="AJ197" i="13"/>
  <c r="AM196" i="13"/>
  <c r="AT33" i="19" s="1"/>
  <c r="AL196" i="13"/>
  <c r="AS33" i="19" s="1"/>
  <c r="AK196" i="13"/>
  <c r="AR33" i="19" s="1"/>
  <c r="AJ196" i="13"/>
  <c r="AQ33" i="19" s="1"/>
  <c r="AM195" i="13"/>
  <c r="AL195" i="13"/>
  <c r="AK195" i="13"/>
  <c r="AJ195" i="13"/>
  <c r="AM194" i="13"/>
  <c r="AL194" i="13"/>
  <c r="AK194" i="13"/>
  <c r="AJ194" i="13"/>
  <c r="AM193" i="13"/>
  <c r="AL193" i="13"/>
  <c r="AK193" i="13"/>
  <c r="AJ193" i="13"/>
  <c r="AM191" i="13"/>
  <c r="AL191" i="13"/>
  <c r="AK191" i="13"/>
  <c r="AJ191" i="13"/>
  <c r="AP181" i="13"/>
  <c r="AQ181" i="13" s="1"/>
  <c r="AM181" i="13"/>
  <c r="AL181" i="13"/>
  <c r="AK181" i="13"/>
  <c r="AJ181" i="13"/>
  <c r="AI181" i="13"/>
  <c r="AH181" i="13"/>
  <c r="AG181" i="13"/>
  <c r="AF181" i="13"/>
  <c r="AM179" i="13"/>
  <c r="AL179" i="13"/>
  <c r="AK179" i="13"/>
  <c r="AM178" i="13"/>
  <c r="AN245" i="13" s="1"/>
  <c r="AL178" i="13"/>
  <c r="AK178" i="13"/>
  <c r="AJ179" i="13"/>
  <c r="AJ178" i="13"/>
  <c r="AC174" i="13"/>
  <c r="AB174" i="13"/>
  <c r="AA174" i="13"/>
  <c r="Z174" i="13"/>
  <c r="Y174" i="13"/>
  <c r="X174" i="13"/>
  <c r="W174" i="13"/>
  <c r="V174" i="13"/>
  <c r="U174" i="13"/>
  <c r="T174" i="13"/>
  <c r="AC173" i="13"/>
  <c r="AB173" i="13"/>
  <c r="AA173" i="13"/>
  <c r="Z173" i="13"/>
  <c r="Y173" i="13"/>
  <c r="X173" i="13"/>
  <c r="W173" i="13"/>
  <c r="V173" i="13"/>
  <c r="U173" i="13"/>
  <c r="T173" i="13"/>
  <c r="AC170" i="13"/>
  <c r="AB170" i="13"/>
  <c r="AA170" i="13"/>
  <c r="Z170" i="13"/>
  <c r="Y170" i="13"/>
  <c r="X170" i="13"/>
  <c r="W170" i="13"/>
  <c r="V170" i="13"/>
  <c r="U170" i="13"/>
  <c r="T170" i="13"/>
  <c r="AC167" i="13"/>
  <c r="AB167" i="13"/>
  <c r="AA167" i="13"/>
  <c r="Z167" i="13"/>
  <c r="Y167" i="13"/>
  <c r="X167" i="13"/>
  <c r="W167" i="13"/>
  <c r="V167" i="13"/>
  <c r="U167" i="13"/>
  <c r="T167" i="13"/>
  <c r="AC166" i="13"/>
  <c r="AB166" i="13"/>
  <c r="AA166" i="13"/>
  <c r="Z166" i="13"/>
  <c r="Y166" i="13"/>
  <c r="X166" i="13"/>
  <c r="W166" i="13"/>
  <c r="V166" i="13"/>
  <c r="U166" i="13"/>
  <c r="T166" i="13"/>
  <c r="AC165" i="13"/>
  <c r="AB165" i="13"/>
  <c r="AA165" i="13"/>
  <c r="Z165" i="13"/>
  <c r="Y165" i="13"/>
  <c r="X165" i="13"/>
  <c r="W165" i="13"/>
  <c r="V165" i="13"/>
  <c r="U165" i="13"/>
  <c r="T165" i="13"/>
  <c r="AC164" i="13"/>
  <c r="AB164" i="13"/>
  <c r="AA164" i="13"/>
  <c r="Z164" i="13"/>
  <c r="Y164" i="13"/>
  <c r="X164" i="13"/>
  <c r="W164" i="13"/>
  <c r="V164" i="13"/>
  <c r="U164" i="13"/>
  <c r="T164" i="13"/>
  <c r="AC163" i="13"/>
  <c r="AB163" i="13"/>
  <c r="AA163" i="13"/>
  <c r="Z163" i="13"/>
  <c r="Y163" i="13"/>
  <c r="X163" i="13"/>
  <c r="W163" i="13"/>
  <c r="V163" i="13"/>
  <c r="U163" i="13"/>
  <c r="T163" i="13"/>
  <c r="AC161" i="13"/>
  <c r="AB161" i="13"/>
  <c r="AA161" i="13"/>
  <c r="Z161" i="13"/>
  <c r="Y161" i="13"/>
  <c r="X161" i="13"/>
  <c r="W161" i="13"/>
  <c r="V161" i="13"/>
  <c r="U161" i="13"/>
  <c r="T161" i="13"/>
  <c r="AC160" i="13"/>
  <c r="AB160" i="13"/>
  <c r="AA160" i="13"/>
  <c r="Z160" i="13"/>
  <c r="Y160" i="13"/>
  <c r="X160" i="13"/>
  <c r="W160" i="13"/>
  <c r="V160" i="13"/>
  <c r="U160" i="13"/>
  <c r="T160" i="13"/>
  <c r="AC158" i="13"/>
  <c r="AB158" i="13"/>
  <c r="AA158" i="13"/>
  <c r="Z158" i="13"/>
  <c r="Y158" i="13"/>
  <c r="X158" i="13"/>
  <c r="W158" i="13"/>
  <c r="V158" i="13"/>
  <c r="U158" i="13"/>
  <c r="T158" i="13"/>
  <c r="AD174" i="13"/>
  <c r="AD173" i="13"/>
  <c r="AD170" i="13"/>
  <c r="AD167" i="13"/>
  <c r="AD166" i="13"/>
  <c r="AD165" i="13"/>
  <c r="AD164" i="13"/>
  <c r="AD163" i="13"/>
  <c r="AD161" i="13"/>
  <c r="AD160" i="13"/>
  <c r="AD158" i="13"/>
  <c r="AM174" i="13"/>
  <c r="AL174" i="13"/>
  <c r="AK174" i="13"/>
  <c r="AJ174" i="13"/>
  <c r="AM173" i="13"/>
  <c r="AL173" i="13"/>
  <c r="AK173" i="13"/>
  <c r="AJ173" i="13"/>
  <c r="AH170" i="13"/>
  <c r="AI170" i="13"/>
  <c r="AJ170" i="13"/>
  <c r="AK170" i="13"/>
  <c r="AL170" i="13"/>
  <c r="AM170" i="13"/>
  <c r="AP170" i="13" s="1"/>
  <c r="AQ170" i="13" s="1"/>
  <c r="AF170" i="13"/>
  <c r="AG170" i="13"/>
  <c r="AJ168" i="13"/>
  <c r="AJ167" i="13"/>
  <c r="AJ166" i="13"/>
  <c r="AJ165" i="13"/>
  <c r="AJ164" i="13"/>
  <c r="AJ163" i="13"/>
  <c r="AJ161" i="13"/>
  <c r="AJ160" i="13"/>
  <c r="AQ30" i="19" s="1"/>
  <c r="AJ158" i="13"/>
  <c r="AQ14" i="19" s="1"/>
  <c r="AM168" i="13"/>
  <c r="AL168" i="13"/>
  <c r="AK168" i="13"/>
  <c r="AM167" i="13"/>
  <c r="AL167" i="13"/>
  <c r="AK167" i="13"/>
  <c r="AM166" i="13"/>
  <c r="AL166" i="13"/>
  <c r="AK166" i="13"/>
  <c r="AM165" i="13"/>
  <c r="AL165" i="13"/>
  <c r="AK165" i="13"/>
  <c r="AM164" i="13"/>
  <c r="AL164" i="13"/>
  <c r="AK164" i="13"/>
  <c r="AM163" i="13"/>
  <c r="AL163" i="13"/>
  <c r="AK163" i="13"/>
  <c r="AM161" i="13"/>
  <c r="AL161" i="13"/>
  <c r="AK161" i="13"/>
  <c r="AM160" i="13"/>
  <c r="AL160" i="13"/>
  <c r="AS30" i="19" s="1"/>
  <c r="AK160" i="13"/>
  <c r="AR30" i="19" s="1"/>
  <c r="AI164" i="13"/>
  <c r="AH164" i="13"/>
  <c r="AG164" i="13"/>
  <c r="AF164" i="13"/>
  <c r="AI168" i="13"/>
  <c r="AI166" i="13"/>
  <c r="AH161" i="13"/>
  <c r="AG161" i="13"/>
  <c r="AF161" i="13"/>
  <c r="AI161" i="13"/>
  <c r="AI160" i="13"/>
  <c r="AH160" i="13"/>
  <c r="AG160" i="13"/>
  <c r="AF160" i="13"/>
  <c r="AM71" i="13"/>
  <c r="AM47" i="13"/>
  <c r="AM127" i="13"/>
  <c r="AY97" i="13" l="1"/>
  <c r="BF181" i="13"/>
  <c r="AR181" i="13"/>
  <c r="AS181" i="13" s="1"/>
  <c r="AT181" i="13" s="1"/>
  <c r="AU181" i="13" s="1"/>
  <c r="AV181" i="13" s="1"/>
  <c r="AW181" i="13" s="1"/>
  <c r="AX181" i="13" s="1"/>
  <c r="AY181" i="13" s="1"/>
  <c r="AZ181" i="13" s="1"/>
  <c r="BA181" i="13" s="1"/>
  <c r="BB181" i="13" s="1"/>
  <c r="BC181" i="13" s="1"/>
  <c r="BG181" i="13" s="1"/>
  <c r="AS214" i="13"/>
  <c r="AR260" i="13"/>
  <c r="BF170" i="13"/>
  <c r="AR170" i="13"/>
  <c r="AS170" i="13" s="1"/>
  <c r="AT170" i="13" s="1"/>
  <c r="AU170" i="13" s="1"/>
  <c r="AV170" i="13" s="1"/>
  <c r="AW170" i="13" s="1"/>
  <c r="AX170" i="13" s="1"/>
  <c r="AY170" i="13" s="1"/>
  <c r="AZ170" i="13" s="1"/>
  <c r="BA170" i="13" s="1"/>
  <c r="BB170" i="13" s="1"/>
  <c r="BC170" i="13" s="1"/>
  <c r="BG170" i="13" s="1"/>
  <c r="AU172" i="13"/>
  <c r="AV172" i="13" s="1"/>
  <c r="AW201" i="13"/>
  <c r="AX201" i="13" s="1"/>
  <c r="AR31" i="19"/>
  <c r="U20" i="32"/>
  <c r="U22" i="32" s="1"/>
  <c r="U23" i="32" s="1"/>
  <c r="V19" i="32" s="1"/>
  <c r="AN142" i="13"/>
  <c r="AN143" i="13" s="1"/>
  <c r="AN247" i="13"/>
  <c r="AN276" i="13"/>
  <c r="AN278" i="13" s="1"/>
  <c r="AN262" i="13"/>
  <c r="AQ29" i="19"/>
  <c r="AT30" i="19"/>
  <c r="AT31" i="19" s="1"/>
  <c r="AN237" i="13"/>
  <c r="AK295" i="13"/>
  <c r="AS31" i="19"/>
  <c r="AM295" i="13"/>
  <c r="AR29" i="19"/>
  <c r="AL295" i="13"/>
  <c r="AQ32" i="19"/>
  <c r="AT29" i="19"/>
  <c r="AR32" i="19"/>
  <c r="AS32" i="19"/>
  <c r="AS29" i="19"/>
  <c r="AT32" i="19"/>
  <c r="AJ185" i="13"/>
  <c r="AL245" i="13"/>
  <c r="AL142" i="13" s="1"/>
  <c r="AL185" i="13"/>
  <c r="AM185" i="13"/>
  <c r="AJ13" i="13"/>
  <c r="AQ37" i="19" s="1"/>
  <c r="AK13" i="13"/>
  <c r="AR37" i="19" s="1"/>
  <c r="AK261" i="13"/>
  <c r="AL13" i="13"/>
  <c r="AM13" i="13"/>
  <c r="AT37" i="19" s="1"/>
  <c r="F164" i="13"/>
  <c r="AM252" i="13"/>
  <c r="AM253" i="13"/>
  <c r="BB13" i="27"/>
  <c r="AL252" i="13"/>
  <c r="AL253" i="13"/>
  <c r="AP161" i="13"/>
  <c r="AM237" i="13"/>
  <c r="AL237" i="13"/>
  <c r="BB72" i="27"/>
  <c r="AE237" i="13"/>
  <c r="N1" i="13"/>
  <c r="Y1" i="13"/>
  <c r="AK1" i="13" s="1"/>
  <c r="AW1" i="13" s="1"/>
  <c r="AM106" i="13"/>
  <c r="AZ97" i="13" l="1"/>
  <c r="BA97" i="13"/>
  <c r="AW172" i="13"/>
  <c r="AY201" i="13"/>
  <c r="AS260" i="13"/>
  <c r="AT214" i="13"/>
  <c r="AZ201" i="13"/>
  <c r="AQ161" i="13"/>
  <c r="AR161" i="13"/>
  <c r="AX172" i="13"/>
  <c r="V20" i="32"/>
  <c r="V22" i="32" s="1"/>
  <c r="V23" i="32" s="1"/>
  <c r="W19" i="32" s="1"/>
  <c r="AU31" i="19"/>
  <c r="AL14" i="13"/>
  <c r="AS38" i="19" s="1"/>
  <c r="AS37" i="19"/>
  <c r="AM14" i="13"/>
  <c r="AT38" i="19" s="1"/>
  <c r="AK14" i="13"/>
  <c r="AR38" i="19" s="1"/>
  <c r="AU37" i="19"/>
  <c r="BB75" i="27"/>
  <c r="BB76" i="27" s="1"/>
  <c r="BB77" i="27" s="1"/>
  <c r="BB90" i="27" s="1"/>
  <c r="BB91" i="27" s="1"/>
  <c r="BB97" i="27" s="1"/>
  <c r="U224" i="24" s="1"/>
  <c r="U226" i="24" s="1"/>
  <c r="O1" i="13"/>
  <c r="Z1" i="13"/>
  <c r="AL1" i="13" s="1"/>
  <c r="AX1" i="13" s="1"/>
  <c r="S222" i="24"/>
  <c r="AK128" i="13" s="1"/>
  <c r="R222" i="24"/>
  <c r="Q222" i="24"/>
  <c r="P222" i="24"/>
  <c r="O222" i="24"/>
  <c r="N222" i="24"/>
  <c r="M222" i="24"/>
  <c r="L222" i="24"/>
  <c r="K222" i="24"/>
  <c r="J222" i="24"/>
  <c r="I222" i="24"/>
  <c r="H222" i="24"/>
  <c r="G222" i="24"/>
  <c r="F222" i="24"/>
  <c r="E222" i="24"/>
  <c r="D222" i="24"/>
  <c r="C222" i="24"/>
  <c r="AL127" i="13"/>
  <c r="S221" i="24"/>
  <c r="AK127" i="13" s="1"/>
  <c r="R221" i="24"/>
  <c r="Q221" i="24"/>
  <c r="P221" i="24"/>
  <c r="O221" i="24"/>
  <c r="N221" i="24"/>
  <c r="M221" i="24"/>
  <c r="L221" i="24"/>
  <c r="K221" i="24"/>
  <c r="J221" i="24"/>
  <c r="I221" i="24"/>
  <c r="H221" i="24"/>
  <c r="G221" i="24"/>
  <c r="F221" i="24"/>
  <c r="E221" i="24"/>
  <c r="D221" i="24"/>
  <c r="C221" i="24"/>
  <c r="S220" i="24"/>
  <c r="R220" i="24"/>
  <c r="Q220" i="24"/>
  <c r="P220" i="24"/>
  <c r="O220" i="24"/>
  <c r="N220" i="24"/>
  <c r="M220" i="24"/>
  <c r="L220" i="24"/>
  <c r="K220" i="24"/>
  <c r="J220" i="24"/>
  <c r="I220" i="24"/>
  <c r="H220" i="24"/>
  <c r="G220" i="24"/>
  <c r="F220" i="24"/>
  <c r="E220" i="24"/>
  <c r="D220" i="24"/>
  <c r="C220" i="24"/>
  <c r="S219" i="24"/>
  <c r="R219" i="24"/>
  <c r="Q219" i="24"/>
  <c r="P219" i="24"/>
  <c r="O219" i="24"/>
  <c r="N219" i="24"/>
  <c r="M219" i="24"/>
  <c r="L219" i="24"/>
  <c r="K219" i="24"/>
  <c r="J219" i="24"/>
  <c r="I219" i="24"/>
  <c r="H219" i="24"/>
  <c r="G219" i="24"/>
  <c r="F219" i="24"/>
  <c r="E219" i="24"/>
  <c r="D219" i="24"/>
  <c r="C219" i="24"/>
  <c r="B222" i="24"/>
  <c r="B221" i="24"/>
  <c r="B220" i="24"/>
  <c r="B219" i="24"/>
  <c r="BB97" i="13" l="1"/>
  <c r="BC97" i="13" s="1"/>
  <c r="BA201" i="13"/>
  <c r="BG97" i="13"/>
  <c r="AS161" i="13"/>
  <c r="AU214" i="13"/>
  <c r="AT260" i="13"/>
  <c r="AY172" i="13"/>
  <c r="AT161" i="13"/>
  <c r="BB201" i="13"/>
  <c r="W20" i="32"/>
  <c r="W22" i="32" s="1"/>
  <c r="W23" i="32" s="1"/>
  <c r="AP13" i="13"/>
  <c r="P1" i="13"/>
  <c r="AA1" i="13"/>
  <c r="AM1" i="13" s="1"/>
  <c r="AY1" i="13" s="1"/>
  <c r="B223" i="24"/>
  <c r="H223" i="24"/>
  <c r="F223" i="24"/>
  <c r="S223" i="24"/>
  <c r="C223" i="24"/>
  <c r="D223" i="24"/>
  <c r="G223" i="24"/>
  <c r="E223" i="24"/>
  <c r="I223" i="24"/>
  <c r="M223" i="24"/>
  <c r="L223" i="24"/>
  <c r="O223" i="24"/>
  <c r="O226" i="24" s="1"/>
  <c r="N223" i="24"/>
  <c r="N226" i="24" s="1"/>
  <c r="P223" i="24"/>
  <c r="P226" i="24" s="1"/>
  <c r="R223" i="24"/>
  <c r="R226" i="24" s="1"/>
  <c r="J223" i="24"/>
  <c r="K223" i="24"/>
  <c r="Q223" i="24"/>
  <c r="Q226" i="24" s="1"/>
  <c r="BF41" i="1"/>
  <c r="BF40" i="1"/>
  <c r="BC201" i="13" l="1"/>
  <c r="BG201" i="13" s="1"/>
  <c r="AU161" i="13"/>
  <c r="AQ13" i="13"/>
  <c r="AR13" i="13" s="1"/>
  <c r="AV214" i="13"/>
  <c r="AU260" i="13"/>
  <c r="AZ172" i="13"/>
  <c r="BA172" i="13" s="1"/>
  <c r="Q1" i="13"/>
  <c r="AB1" i="13"/>
  <c r="AN1" i="13" s="1"/>
  <c r="AZ1" i="13" s="1"/>
  <c r="BV48" i="4"/>
  <c r="BU48" i="4"/>
  <c r="BT48" i="4"/>
  <c r="BS48" i="4"/>
  <c r="BR48" i="4"/>
  <c r="BP48" i="4"/>
  <c r="BO48" i="4"/>
  <c r="BN48" i="4"/>
  <c r="BM48" i="4"/>
  <c r="BL48" i="4"/>
  <c r="BK48" i="4"/>
  <c r="BQ48" i="4"/>
  <c r="BV47" i="4"/>
  <c r="BU47" i="4"/>
  <c r="BT47" i="4"/>
  <c r="BS47" i="4"/>
  <c r="BR47" i="4"/>
  <c r="BQ47" i="4"/>
  <c r="BP47" i="4"/>
  <c r="BO47" i="4"/>
  <c r="BN47" i="4"/>
  <c r="BM47" i="4"/>
  <c r="BL47" i="4"/>
  <c r="BK47" i="4"/>
  <c r="BV30" i="4"/>
  <c r="BU30" i="4"/>
  <c r="BT30" i="4"/>
  <c r="BS30" i="4"/>
  <c r="BR30" i="4"/>
  <c r="BQ30" i="4"/>
  <c r="BP30" i="4"/>
  <c r="BO30" i="4"/>
  <c r="BN30" i="4"/>
  <c r="BM30" i="4"/>
  <c r="BL30" i="4"/>
  <c r="BK30" i="4"/>
  <c r="BW55" i="4"/>
  <c r="BW54" i="4"/>
  <c r="BW53" i="4"/>
  <c r="BW52" i="4"/>
  <c r="BW51" i="4"/>
  <c r="BW50" i="4"/>
  <c r="CB10" i="4"/>
  <c r="BV10" i="4"/>
  <c r="BU10" i="4"/>
  <c r="BT10" i="4"/>
  <c r="BS10" i="4"/>
  <c r="BR10" i="4"/>
  <c r="BQ10" i="4"/>
  <c r="BP10" i="4"/>
  <c r="BO10" i="4"/>
  <c r="BN10" i="4"/>
  <c r="BM10" i="4"/>
  <c r="BL10" i="4"/>
  <c r="BK10" i="4"/>
  <c r="BU77" i="2"/>
  <c r="BT77" i="2"/>
  <c r="BS77" i="2"/>
  <c r="BR77" i="2"/>
  <c r="BQ77" i="2"/>
  <c r="BP77" i="2"/>
  <c r="BO77" i="2"/>
  <c r="BN77" i="2"/>
  <c r="BM77" i="2"/>
  <c r="BL77" i="2"/>
  <c r="BK77" i="2"/>
  <c r="BJ77" i="2"/>
  <c r="BU76" i="2"/>
  <c r="BT76" i="2"/>
  <c r="BS76" i="2"/>
  <c r="BR76" i="2"/>
  <c r="BQ76" i="2"/>
  <c r="BP76" i="2"/>
  <c r="BO76" i="2"/>
  <c r="BN76" i="2"/>
  <c r="BM76" i="2"/>
  <c r="BL76" i="2"/>
  <c r="BK76" i="2"/>
  <c r="BJ76" i="2"/>
  <c r="BU75" i="2"/>
  <c r="BT75" i="2"/>
  <c r="BS75" i="2"/>
  <c r="BR75" i="2"/>
  <c r="BQ75" i="2"/>
  <c r="BP75" i="2"/>
  <c r="BO75" i="2"/>
  <c r="BN75" i="2"/>
  <c r="BM75" i="2"/>
  <c r="BL75" i="2"/>
  <c r="BK75" i="2"/>
  <c r="BJ75" i="2"/>
  <c r="BU74" i="2"/>
  <c r="BT74" i="2"/>
  <c r="BS74" i="2"/>
  <c r="BR74" i="2"/>
  <c r="BQ74" i="2"/>
  <c r="BP74" i="2"/>
  <c r="BO74" i="2"/>
  <c r="BN74" i="2"/>
  <c r="BM74" i="2"/>
  <c r="BL74" i="2"/>
  <c r="BK74" i="2"/>
  <c r="BJ74" i="2"/>
  <c r="BU73" i="2"/>
  <c r="BT73" i="2"/>
  <c r="BS73" i="2"/>
  <c r="BR73" i="2"/>
  <c r="BQ73" i="2"/>
  <c r="BP73" i="2"/>
  <c r="BO73" i="2"/>
  <c r="BN73" i="2"/>
  <c r="BM73" i="2"/>
  <c r="BL73" i="2"/>
  <c r="BK73" i="2"/>
  <c r="BJ73" i="2"/>
  <c r="BU72" i="2"/>
  <c r="BT72" i="2"/>
  <c r="BS72" i="2"/>
  <c r="BR72" i="2"/>
  <c r="BQ72" i="2"/>
  <c r="BP72" i="2"/>
  <c r="BO72" i="2"/>
  <c r="BN72" i="2"/>
  <c r="BM72" i="2"/>
  <c r="BL72" i="2"/>
  <c r="BK72" i="2"/>
  <c r="BJ72" i="2"/>
  <c r="BU71" i="2"/>
  <c r="BT71" i="2"/>
  <c r="BS71" i="2"/>
  <c r="BR71" i="2"/>
  <c r="BQ71" i="2"/>
  <c r="BP71" i="2"/>
  <c r="BO71" i="2"/>
  <c r="BN71" i="2"/>
  <c r="BM71" i="2"/>
  <c r="BL71" i="2"/>
  <c r="BK71" i="2"/>
  <c r="BJ71" i="2"/>
  <c r="BU70" i="2"/>
  <c r="BT70" i="2"/>
  <c r="BS70" i="2"/>
  <c r="BR70" i="2"/>
  <c r="BQ70" i="2"/>
  <c r="BP70" i="2"/>
  <c r="BO70" i="2"/>
  <c r="BN70" i="2"/>
  <c r="BM70" i="2"/>
  <c r="BL70" i="2"/>
  <c r="BK70" i="2"/>
  <c r="BJ70" i="2"/>
  <c r="BU69" i="2"/>
  <c r="BT69" i="2"/>
  <c r="BS69" i="2"/>
  <c r="BR69" i="2"/>
  <c r="BQ69" i="2"/>
  <c r="BP69" i="2"/>
  <c r="BO69" i="2"/>
  <c r="BN69" i="2"/>
  <c r="BM69" i="2"/>
  <c r="BL69" i="2"/>
  <c r="BK69" i="2"/>
  <c r="BJ69" i="2"/>
  <c r="BU68" i="2"/>
  <c r="BT68" i="2"/>
  <c r="BS68" i="2"/>
  <c r="BR68" i="2"/>
  <c r="BQ68" i="2"/>
  <c r="BP68" i="2"/>
  <c r="BO68" i="2"/>
  <c r="BN68" i="2"/>
  <c r="BM68" i="2"/>
  <c r="BL68" i="2"/>
  <c r="BK68" i="2"/>
  <c r="BJ68" i="2"/>
  <c r="BU67" i="2"/>
  <c r="BT67" i="2"/>
  <c r="BS67" i="2"/>
  <c r="BR67" i="2"/>
  <c r="BQ67" i="2"/>
  <c r="BP67" i="2"/>
  <c r="BO67" i="2"/>
  <c r="BN67" i="2"/>
  <c r="BM67" i="2"/>
  <c r="BL67" i="2"/>
  <c r="BK67" i="2"/>
  <c r="BJ67" i="2"/>
  <c r="BU66" i="2"/>
  <c r="BT66" i="2"/>
  <c r="BS66" i="2"/>
  <c r="BR66" i="2"/>
  <c r="BQ66" i="2"/>
  <c r="BP66" i="2"/>
  <c r="BO66" i="2"/>
  <c r="BN66" i="2"/>
  <c r="BM66" i="2"/>
  <c r="BL66" i="2"/>
  <c r="BK66" i="2"/>
  <c r="BJ66" i="2"/>
  <c r="BU65" i="2"/>
  <c r="BT65" i="2"/>
  <c r="BS65" i="2"/>
  <c r="BR65" i="2"/>
  <c r="BQ65" i="2"/>
  <c r="BP65" i="2"/>
  <c r="BO65" i="2"/>
  <c r="BN65" i="2"/>
  <c r="BM65" i="2"/>
  <c r="BL65" i="2"/>
  <c r="BK65" i="2"/>
  <c r="BJ65" i="2"/>
  <c r="BU64" i="2"/>
  <c r="BT64" i="2"/>
  <c r="BS64" i="2"/>
  <c r="BR64" i="2"/>
  <c r="BQ64" i="2"/>
  <c r="BP64" i="2"/>
  <c r="BO64" i="2"/>
  <c r="BN64" i="2"/>
  <c r="BM64" i="2"/>
  <c r="BL64" i="2"/>
  <c r="BK64" i="2"/>
  <c r="BJ64" i="2"/>
  <c r="BU63" i="2"/>
  <c r="BT63" i="2"/>
  <c r="BS63" i="2"/>
  <c r="BR63" i="2"/>
  <c r="BQ63" i="2"/>
  <c r="BP63" i="2"/>
  <c r="BO63" i="2"/>
  <c r="BN63" i="2"/>
  <c r="BM63" i="2"/>
  <c r="BL63" i="2"/>
  <c r="BK63" i="2"/>
  <c r="BJ63" i="2"/>
  <c r="BU62" i="2"/>
  <c r="BT62" i="2"/>
  <c r="BS62" i="2"/>
  <c r="BR62" i="2"/>
  <c r="BQ62" i="2"/>
  <c r="BP62" i="2"/>
  <c r="BO62" i="2"/>
  <c r="BN62" i="2"/>
  <c r="BM62" i="2"/>
  <c r="BL62" i="2"/>
  <c r="BK62" i="2"/>
  <c r="BJ62" i="2"/>
  <c r="BU61" i="2"/>
  <c r="BT61" i="2"/>
  <c r="BS61" i="2"/>
  <c r="BR61" i="2"/>
  <c r="BQ61" i="2"/>
  <c r="BP61" i="2"/>
  <c r="BO61" i="2"/>
  <c r="BN61" i="2"/>
  <c r="BM61" i="2"/>
  <c r="BL61" i="2"/>
  <c r="BK61" i="2"/>
  <c r="BJ61" i="2"/>
  <c r="BU60" i="2"/>
  <c r="BT60" i="2"/>
  <c r="BS60" i="2"/>
  <c r="BR60" i="2"/>
  <c r="BQ60" i="2"/>
  <c r="BP60" i="2"/>
  <c r="BO60" i="2"/>
  <c r="BN60" i="2"/>
  <c r="BM60" i="2"/>
  <c r="BL60" i="2"/>
  <c r="BK60" i="2"/>
  <c r="BJ60" i="2"/>
  <c r="BU59" i="2"/>
  <c r="BT59" i="2"/>
  <c r="BS59" i="2"/>
  <c r="BR59" i="2"/>
  <c r="BQ59" i="2"/>
  <c r="BP59" i="2"/>
  <c r="BO59" i="2"/>
  <c r="BN59" i="2"/>
  <c r="BM59" i="2"/>
  <c r="BL59" i="2"/>
  <c r="BK59" i="2"/>
  <c r="BJ59" i="2"/>
  <c r="BU58" i="2"/>
  <c r="BT58" i="2"/>
  <c r="BS58" i="2"/>
  <c r="BR58" i="2"/>
  <c r="BQ58" i="2"/>
  <c r="BP58" i="2"/>
  <c r="BO58" i="2"/>
  <c r="BN58" i="2"/>
  <c r="BM58" i="2"/>
  <c r="BL58" i="2"/>
  <c r="BK58" i="2"/>
  <c r="BJ58" i="2"/>
  <c r="BU57" i="2"/>
  <c r="BT57" i="2"/>
  <c r="BS57" i="2"/>
  <c r="BR57" i="2"/>
  <c r="BQ57" i="2"/>
  <c r="BP57" i="2"/>
  <c r="BO57" i="2"/>
  <c r="BN57" i="2"/>
  <c r="BM57" i="2"/>
  <c r="BL57" i="2"/>
  <c r="BK57" i="2"/>
  <c r="BJ57" i="2"/>
  <c r="BU56" i="2"/>
  <c r="BT56" i="2"/>
  <c r="BS56" i="2"/>
  <c r="BR56" i="2"/>
  <c r="BQ56" i="2"/>
  <c r="BP56" i="2"/>
  <c r="BO56" i="2"/>
  <c r="BN56" i="2"/>
  <c r="BM56" i="2"/>
  <c r="BL56" i="2"/>
  <c r="BK56" i="2"/>
  <c r="BJ56" i="2"/>
  <c r="BI16" i="25"/>
  <c r="BI17" i="25" s="1"/>
  <c r="BH16" i="25"/>
  <c r="BH17" i="25" s="1"/>
  <c r="BG16" i="25"/>
  <c r="BG17" i="25" s="1"/>
  <c r="BF16" i="25"/>
  <c r="BF17" i="25" s="1"/>
  <c r="BE16" i="25"/>
  <c r="BE17" i="25" s="1"/>
  <c r="BD16" i="25"/>
  <c r="BD17" i="25" s="1"/>
  <c r="BC16" i="25"/>
  <c r="BC17" i="25" s="1"/>
  <c r="BB16" i="25"/>
  <c r="BB17" i="25" s="1"/>
  <c r="BA16" i="25"/>
  <c r="BA17" i="25" s="1"/>
  <c r="AZ16" i="25"/>
  <c r="AZ17" i="25" s="1"/>
  <c r="AY16" i="25"/>
  <c r="AY17" i="25" s="1"/>
  <c r="AX16" i="25"/>
  <c r="AX17" i="25" s="1"/>
  <c r="BW17" i="25"/>
  <c r="BU16" i="25"/>
  <c r="BT16" i="25"/>
  <c r="BS16" i="25"/>
  <c r="BR16" i="25"/>
  <c r="BQ16" i="25"/>
  <c r="BO16" i="25"/>
  <c r="BN16" i="25"/>
  <c r="BM16" i="25"/>
  <c r="BL16" i="25"/>
  <c r="BK16" i="25"/>
  <c r="BJ16" i="25"/>
  <c r="BU15" i="25"/>
  <c r="BT15" i="25"/>
  <c r="BS15" i="25"/>
  <c r="BR15" i="25"/>
  <c r="BQ15" i="25"/>
  <c r="BO15" i="25"/>
  <c r="BN15" i="25"/>
  <c r="BM15" i="25"/>
  <c r="BL15" i="25"/>
  <c r="BK15" i="25"/>
  <c r="BJ15" i="25"/>
  <c r="BU14" i="25"/>
  <c r="BT14" i="25"/>
  <c r="BS14" i="25"/>
  <c r="BR14" i="25"/>
  <c r="BQ14" i="25"/>
  <c r="BO14" i="25"/>
  <c r="BN14" i="25"/>
  <c r="BM14" i="25"/>
  <c r="BL14" i="25"/>
  <c r="BK14" i="25"/>
  <c r="BJ14" i="25"/>
  <c r="BU13" i="25"/>
  <c r="BT13" i="25"/>
  <c r="BS13" i="25"/>
  <c r="BR13" i="25"/>
  <c r="BQ13" i="25"/>
  <c r="BO13" i="25"/>
  <c r="BN13" i="25"/>
  <c r="BM13" i="25"/>
  <c r="BL13" i="25"/>
  <c r="BK13" i="25"/>
  <c r="BJ13" i="25"/>
  <c r="BP16" i="25"/>
  <c r="BP15" i="25"/>
  <c r="BO12" i="25"/>
  <c r="BN12" i="25"/>
  <c r="BM12" i="25"/>
  <c r="BL12" i="25"/>
  <c r="BK12" i="25"/>
  <c r="BJ12" i="25"/>
  <c r="BO11" i="25"/>
  <c r="BN11" i="25"/>
  <c r="BM11" i="25"/>
  <c r="BL11" i="25"/>
  <c r="BK11" i="25"/>
  <c r="BJ11" i="25"/>
  <c r="BO10" i="25"/>
  <c r="BN10" i="25"/>
  <c r="BM10" i="25"/>
  <c r="BL10" i="25"/>
  <c r="BK10" i="25"/>
  <c r="BJ10" i="25"/>
  <c r="BO9" i="25"/>
  <c r="BN9" i="25"/>
  <c r="BM9" i="25"/>
  <c r="BL9" i="25"/>
  <c r="BK9" i="25"/>
  <c r="BJ9" i="25"/>
  <c r="BO8" i="25"/>
  <c r="BN8" i="25"/>
  <c r="BM8" i="25"/>
  <c r="BL8" i="25"/>
  <c r="BK8" i="25"/>
  <c r="BJ8" i="25"/>
  <c r="BU12" i="25"/>
  <c r="BT12" i="25"/>
  <c r="BS12" i="25"/>
  <c r="BR12" i="25"/>
  <c r="BQ12" i="25"/>
  <c r="BU11" i="25"/>
  <c r="BT11" i="25"/>
  <c r="BS11" i="25"/>
  <c r="BR11" i="25"/>
  <c r="BQ11" i="25"/>
  <c r="BU10" i="25"/>
  <c r="BT10" i="25"/>
  <c r="BS10" i="25"/>
  <c r="BR10" i="25"/>
  <c r="BQ10" i="25"/>
  <c r="BU9" i="25"/>
  <c r="BT9" i="25"/>
  <c r="BS9" i="25"/>
  <c r="BR9" i="25"/>
  <c r="BQ9" i="25"/>
  <c r="BU8" i="25"/>
  <c r="BT8" i="25"/>
  <c r="BS8" i="25"/>
  <c r="BR8" i="25"/>
  <c r="BQ8" i="25"/>
  <c r="BP14" i="25"/>
  <c r="BP10" i="25"/>
  <c r="BP8" i="25"/>
  <c r="BP13" i="25"/>
  <c r="BV37" i="2"/>
  <c r="BV36" i="2"/>
  <c r="BV35" i="2"/>
  <c r="BV34" i="2"/>
  <c r="BV33" i="2"/>
  <c r="BV32" i="2"/>
  <c r="BV31" i="2"/>
  <c r="BV30" i="2"/>
  <c r="BV29" i="2"/>
  <c r="BV28" i="2"/>
  <c r="BV27" i="2"/>
  <c r="BX25" i="2"/>
  <c r="BU25" i="2"/>
  <c r="BT25" i="2"/>
  <c r="BS25" i="2"/>
  <c r="BR25" i="2"/>
  <c r="BQ25" i="2"/>
  <c r="BP25" i="2"/>
  <c r="BO25" i="2"/>
  <c r="BN25" i="2"/>
  <c r="BM25" i="2"/>
  <c r="BL25" i="2"/>
  <c r="BK25" i="2"/>
  <c r="BJ25" i="2"/>
  <c r="BX24" i="2"/>
  <c r="BU24" i="2"/>
  <c r="BT24" i="2"/>
  <c r="BS24" i="2"/>
  <c r="BR24" i="2"/>
  <c r="BQ24" i="2"/>
  <c r="BP24" i="2"/>
  <c r="BO24" i="2"/>
  <c r="BN24" i="2"/>
  <c r="BM24" i="2"/>
  <c r="BL24" i="2"/>
  <c r="BK24" i="2"/>
  <c r="BJ24" i="2"/>
  <c r="BX23" i="2"/>
  <c r="BU23" i="2"/>
  <c r="BT23" i="2"/>
  <c r="BS23" i="2"/>
  <c r="BR23" i="2"/>
  <c r="BQ23" i="2"/>
  <c r="BP23" i="2"/>
  <c r="BO23" i="2"/>
  <c r="BN23" i="2"/>
  <c r="BM23" i="2"/>
  <c r="BL23" i="2"/>
  <c r="BK23" i="2"/>
  <c r="BJ23" i="2"/>
  <c r="BM42" i="11"/>
  <c r="BK42" i="11"/>
  <c r="BJ42" i="11"/>
  <c r="BI42" i="11"/>
  <c r="BH42" i="11"/>
  <c r="BG42" i="11"/>
  <c r="BE42" i="11"/>
  <c r="BD42" i="11"/>
  <c r="BC42" i="11"/>
  <c r="BB42" i="11"/>
  <c r="BA42" i="11"/>
  <c r="AZ42" i="11"/>
  <c r="BF42" i="11"/>
  <c r="BK76" i="11"/>
  <c r="BJ76" i="11"/>
  <c r="BI76" i="11"/>
  <c r="BH76" i="11"/>
  <c r="BG76" i="11"/>
  <c r="BK75" i="11"/>
  <c r="BJ75" i="11"/>
  <c r="BI75" i="11"/>
  <c r="BH75" i="11"/>
  <c r="BG75" i="11"/>
  <c r="BK74" i="11"/>
  <c r="BJ74" i="11"/>
  <c r="BI74" i="11"/>
  <c r="BH74" i="11"/>
  <c r="BG74" i="11"/>
  <c r="BK73" i="11"/>
  <c r="BJ73" i="11"/>
  <c r="BI73" i="11"/>
  <c r="BH73" i="11"/>
  <c r="BG73" i="11"/>
  <c r="BK72" i="11"/>
  <c r="BJ72" i="11"/>
  <c r="BI72" i="11"/>
  <c r="BH72" i="11"/>
  <c r="BG72" i="11"/>
  <c r="BM76" i="11"/>
  <c r="BE76" i="11"/>
  <c r="BD76" i="11"/>
  <c r="BC76" i="11"/>
  <c r="BB76" i="11"/>
  <c r="BA76" i="11"/>
  <c r="AZ76" i="11"/>
  <c r="BF76" i="11"/>
  <c r="BF74" i="11"/>
  <c r="BE74" i="11"/>
  <c r="BD74" i="11"/>
  <c r="BC74" i="11"/>
  <c r="BB74" i="11"/>
  <c r="BA74" i="11"/>
  <c r="AZ74" i="11"/>
  <c r="BF73" i="11"/>
  <c r="BE73" i="11"/>
  <c r="BD73" i="11"/>
  <c r="BC73" i="11"/>
  <c r="BB73" i="11"/>
  <c r="BA73" i="11"/>
  <c r="AZ73" i="11"/>
  <c r="BE72" i="11"/>
  <c r="BD72" i="11"/>
  <c r="BC72" i="11"/>
  <c r="BB72" i="11"/>
  <c r="BA72" i="11"/>
  <c r="AZ72" i="11"/>
  <c r="BF72" i="11"/>
  <c r="BL46" i="11"/>
  <c r="BL58" i="11"/>
  <c r="BL57" i="11"/>
  <c r="BK56" i="11"/>
  <c r="BJ56" i="11"/>
  <c r="BI56" i="11"/>
  <c r="BH56" i="11"/>
  <c r="BG56" i="11"/>
  <c r="BK55" i="11"/>
  <c r="BJ55" i="11"/>
  <c r="BI55" i="11"/>
  <c r="BH55" i="11"/>
  <c r="BG55" i="11"/>
  <c r="BK54" i="11"/>
  <c r="BJ54" i="11"/>
  <c r="BI54" i="11"/>
  <c r="BH54" i="11"/>
  <c r="BG54" i="11"/>
  <c r="BK53" i="11"/>
  <c r="BJ53" i="11"/>
  <c r="BI53" i="11"/>
  <c r="BH53" i="11"/>
  <c r="BG53" i="11"/>
  <c r="BK52" i="11"/>
  <c r="BJ52" i="11"/>
  <c r="BI52" i="11"/>
  <c r="BH52" i="11"/>
  <c r="BG52" i="11"/>
  <c r="BK51" i="11"/>
  <c r="BJ51" i="11"/>
  <c r="BI51" i="11"/>
  <c r="BH51" i="11"/>
  <c r="BG51" i="11"/>
  <c r="BK50" i="11"/>
  <c r="BJ50" i="11"/>
  <c r="BI50" i="11"/>
  <c r="BH50" i="11"/>
  <c r="BG50" i="11"/>
  <c r="BE53" i="11"/>
  <c r="BD53" i="11"/>
  <c r="BC53" i="11"/>
  <c r="BB53" i="11"/>
  <c r="BA53" i="11"/>
  <c r="AZ53" i="11"/>
  <c r="BE56" i="11"/>
  <c r="BD56" i="11"/>
  <c r="BC56" i="11"/>
  <c r="BB56" i="11"/>
  <c r="BA56" i="11"/>
  <c r="AZ56" i="11"/>
  <c r="BF56" i="11"/>
  <c r="BF53" i="11"/>
  <c r="BE40" i="1" a="1"/>
  <c r="BE40" i="1" s="1"/>
  <c r="BD40" i="1" a="1"/>
  <c r="BD40" i="1" s="1"/>
  <c r="BC40" i="1" a="1"/>
  <c r="BC40" i="1" s="1"/>
  <c r="BB40" i="1" a="1"/>
  <c r="BB40" i="1" s="1"/>
  <c r="BA40" i="1" a="1"/>
  <c r="BA40" i="1" s="1"/>
  <c r="AZ40" i="1" a="1"/>
  <c r="AZ40" i="1" s="1"/>
  <c r="BF55" i="1"/>
  <c r="BE55" i="1"/>
  <c r="BD55" i="1"/>
  <c r="BC55" i="1"/>
  <c r="BB55" i="1"/>
  <c r="BA55" i="1"/>
  <c r="AZ55" i="1"/>
  <c r="AY30" i="1"/>
  <c r="AX30" i="1"/>
  <c r="AW30" i="1"/>
  <c r="AV30" i="1"/>
  <c r="AU30" i="1"/>
  <c r="AT30" i="1"/>
  <c r="AS30" i="1"/>
  <c r="AR30" i="1"/>
  <c r="AQ30" i="1"/>
  <c r="AP30" i="1"/>
  <c r="AO30" i="1"/>
  <c r="AN30" i="1"/>
  <c r="BE24" i="1"/>
  <c r="BD24" i="1"/>
  <c r="BC24" i="1"/>
  <c r="BB24" i="1"/>
  <c r="BA24" i="1"/>
  <c r="AZ24" i="1"/>
  <c r="BF24" i="1"/>
  <c r="H10" i="29"/>
  <c r="AV260" i="13" l="1"/>
  <c r="AW214" i="13"/>
  <c r="AR14" i="13"/>
  <c r="AS13" i="13"/>
  <c r="AT13" i="13" s="1"/>
  <c r="AU13" i="13" s="1"/>
  <c r="AV161" i="13"/>
  <c r="BB172" i="13"/>
  <c r="BC172" i="13" s="1"/>
  <c r="BG172" i="13" s="1"/>
  <c r="R1" i="13"/>
  <c r="AC1" i="13"/>
  <c r="AO1" i="13" s="1"/>
  <c r="BA1" i="13" s="1"/>
  <c r="BV70" i="2"/>
  <c r="BW48" i="4"/>
  <c r="BL42" i="11"/>
  <c r="BW47" i="4"/>
  <c r="BV75" i="2"/>
  <c r="BW30" i="4"/>
  <c r="BW10" i="4"/>
  <c r="BV69" i="2"/>
  <c r="BV74" i="2"/>
  <c r="BV77" i="2"/>
  <c r="BV71" i="2"/>
  <c r="BV76" i="2"/>
  <c r="BV24" i="2"/>
  <c r="BV72" i="2"/>
  <c r="BV68" i="2"/>
  <c r="BV73" i="2"/>
  <c r="BV23" i="2"/>
  <c r="BV25" i="2"/>
  <c r="BV13" i="25"/>
  <c r="BV15" i="25"/>
  <c r="BJ17" i="25"/>
  <c r="BK17" i="25"/>
  <c r="BV14" i="25"/>
  <c r="BV16" i="25"/>
  <c r="BL74" i="11"/>
  <c r="BL76" i="11"/>
  <c r="BL72" i="11"/>
  <c r="BL56" i="11"/>
  <c r="BL53" i="11"/>
  <c r="AU14" i="13" l="1"/>
  <c r="AW161" i="13"/>
  <c r="AT14" i="13"/>
  <c r="AS14" i="13"/>
  <c r="AV13" i="13"/>
  <c r="AW260" i="13"/>
  <c r="AX214" i="13"/>
  <c r="S1" i="13"/>
  <c r="AE1" i="13" s="1"/>
  <c r="AQ1" i="13" s="1"/>
  <c r="BC1" i="13" s="1"/>
  <c r="AD1" i="13"/>
  <c r="AP1" i="13" s="1"/>
  <c r="BB1" i="13" s="1"/>
  <c r="AL94" i="13"/>
  <c r="AK94" i="13"/>
  <c r="AJ94" i="13"/>
  <c r="BV57" i="4"/>
  <c r="BU57" i="4"/>
  <c r="BT57" i="4"/>
  <c r="BS57" i="4"/>
  <c r="BR57" i="4"/>
  <c r="BQ57" i="4"/>
  <c r="BP57" i="4"/>
  <c r="BO57" i="4"/>
  <c r="BV56" i="4"/>
  <c r="BU56" i="4"/>
  <c r="BT56" i="4"/>
  <c r="BS56" i="4"/>
  <c r="BR56" i="4"/>
  <c r="BQ56" i="4"/>
  <c r="BP56" i="4"/>
  <c r="BO56" i="4"/>
  <c r="BV49" i="4"/>
  <c r="BU49" i="4"/>
  <c r="BT49" i="4"/>
  <c r="BS49" i="4"/>
  <c r="BR49" i="4"/>
  <c r="BQ49" i="4"/>
  <c r="BP49" i="4"/>
  <c r="BO49" i="4"/>
  <c r="BV46" i="4"/>
  <c r="BU46" i="4"/>
  <c r="BT46" i="4"/>
  <c r="BS46" i="4"/>
  <c r="BR46" i="4"/>
  <c r="BQ46" i="4"/>
  <c r="BP46" i="4"/>
  <c r="BO46" i="4"/>
  <c r="BV45" i="4"/>
  <c r="BU45" i="4"/>
  <c r="BT45" i="4"/>
  <c r="BS45" i="4"/>
  <c r="BR45" i="4"/>
  <c r="BQ45" i="4"/>
  <c r="BP45" i="4"/>
  <c r="BO45" i="4"/>
  <c r="BV42" i="4"/>
  <c r="BU42" i="4"/>
  <c r="BT42" i="4"/>
  <c r="BS42" i="4"/>
  <c r="BR42" i="4"/>
  <c r="BQ42" i="4"/>
  <c r="BP42" i="4"/>
  <c r="BO42" i="4"/>
  <c r="BV41" i="4"/>
  <c r="BU41" i="4"/>
  <c r="BT41" i="4"/>
  <c r="BS41" i="4"/>
  <c r="BR41" i="4"/>
  <c r="BQ41" i="4"/>
  <c r="BP41" i="4"/>
  <c r="BO41" i="4"/>
  <c r="BV40" i="4"/>
  <c r="BU40" i="4"/>
  <c r="BT40" i="4"/>
  <c r="BS40" i="4"/>
  <c r="BR40" i="4"/>
  <c r="BQ40" i="4"/>
  <c r="BP40" i="4"/>
  <c r="BO40" i="4"/>
  <c r="BV39" i="4"/>
  <c r="BU39" i="4"/>
  <c r="BT39" i="4"/>
  <c r="BS39" i="4"/>
  <c r="BR39" i="4"/>
  <c r="BQ39" i="4"/>
  <c r="BP39" i="4"/>
  <c r="BO39" i="4"/>
  <c r="BV38" i="4"/>
  <c r="BU38" i="4"/>
  <c r="BT38" i="4"/>
  <c r="BS38" i="4"/>
  <c r="BR38" i="4"/>
  <c r="BQ38" i="4"/>
  <c r="BP38" i="4"/>
  <c r="BO38" i="4"/>
  <c r="BV37" i="4"/>
  <c r="BU37" i="4"/>
  <c r="BT37" i="4"/>
  <c r="BS37" i="4"/>
  <c r="BR37" i="4"/>
  <c r="BQ37" i="4"/>
  <c r="BP37" i="4"/>
  <c r="BO37" i="4"/>
  <c r="BV36" i="4"/>
  <c r="BU36" i="4"/>
  <c r="BT36" i="4"/>
  <c r="BS36" i="4"/>
  <c r="BR36" i="4"/>
  <c r="BQ36" i="4"/>
  <c r="BP36" i="4"/>
  <c r="BO36" i="4"/>
  <c r="BV35" i="4"/>
  <c r="BU35" i="4"/>
  <c r="BT35" i="4"/>
  <c r="BS35" i="4"/>
  <c r="BR35" i="4"/>
  <c r="BQ35" i="4"/>
  <c r="BP35" i="4"/>
  <c r="BO35" i="4"/>
  <c r="BV34" i="4"/>
  <c r="BU34" i="4"/>
  <c r="BT34" i="4"/>
  <c r="BS34" i="4"/>
  <c r="BR34" i="4"/>
  <c r="BQ34" i="4"/>
  <c r="BP34" i="4"/>
  <c r="BO34" i="4"/>
  <c r="BV33" i="4"/>
  <c r="BU33" i="4"/>
  <c r="BT33" i="4"/>
  <c r="BS33" i="4"/>
  <c r="BR33" i="4"/>
  <c r="BQ33" i="4"/>
  <c r="BP33" i="4"/>
  <c r="BO33" i="4"/>
  <c r="BV32" i="4"/>
  <c r="BU32" i="4"/>
  <c r="BT32" i="4"/>
  <c r="BS32" i="4"/>
  <c r="BR32" i="4"/>
  <c r="BQ32" i="4"/>
  <c r="BP32" i="4"/>
  <c r="BO32" i="4"/>
  <c r="BV31" i="4"/>
  <c r="BU31" i="4"/>
  <c r="BT31" i="4"/>
  <c r="BS31" i="4"/>
  <c r="BR31" i="4"/>
  <c r="BQ31" i="4"/>
  <c r="BP31" i="4"/>
  <c r="BO31" i="4"/>
  <c r="BV29" i="4"/>
  <c r="BU29" i="4"/>
  <c r="BT29" i="4"/>
  <c r="BS29" i="4"/>
  <c r="BR29" i="4"/>
  <c r="BQ29" i="4"/>
  <c r="BP29" i="4"/>
  <c r="BO29" i="4"/>
  <c r="BV28" i="4"/>
  <c r="BU28" i="4"/>
  <c r="BT28" i="4"/>
  <c r="BS28" i="4"/>
  <c r="BR28" i="4"/>
  <c r="BQ28" i="4"/>
  <c r="BP28" i="4"/>
  <c r="BO28" i="4"/>
  <c r="BV27" i="4"/>
  <c r="BU27" i="4"/>
  <c r="BT27" i="4"/>
  <c r="BS27" i="4"/>
  <c r="BR27" i="4"/>
  <c r="BQ27" i="4"/>
  <c r="BP27" i="4"/>
  <c r="BO27" i="4"/>
  <c r="BV26" i="4"/>
  <c r="BU26" i="4"/>
  <c r="BT26" i="4"/>
  <c r="BS26" i="4"/>
  <c r="BR26" i="4"/>
  <c r="BQ26" i="4"/>
  <c r="BP26" i="4"/>
  <c r="BO26" i="4"/>
  <c r="BV25" i="4"/>
  <c r="BU25" i="4"/>
  <c r="BT25" i="4"/>
  <c r="BS25" i="4"/>
  <c r="BR25" i="4"/>
  <c r="BQ25" i="4"/>
  <c r="BP25" i="4"/>
  <c r="BO25" i="4"/>
  <c r="BV24" i="4"/>
  <c r="BU24" i="4"/>
  <c r="BT24" i="4"/>
  <c r="BS24" i="4"/>
  <c r="BR24" i="4"/>
  <c r="BQ24" i="4"/>
  <c r="BP24" i="4"/>
  <c r="BO24" i="4"/>
  <c r="BV23" i="4"/>
  <c r="BU23" i="4"/>
  <c r="BT23" i="4"/>
  <c r="BS23" i="4"/>
  <c r="BR23" i="4"/>
  <c r="BQ23" i="4"/>
  <c r="BP23" i="4"/>
  <c r="BO23" i="4"/>
  <c r="BV22" i="4"/>
  <c r="BU22" i="4"/>
  <c r="BT22" i="4"/>
  <c r="BS22" i="4"/>
  <c r="BR22" i="4"/>
  <c r="BQ22" i="4"/>
  <c r="BP22" i="4"/>
  <c r="BO22" i="4"/>
  <c r="BV21" i="4"/>
  <c r="BU21" i="4"/>
  <c r="BT21" i="4"/>
  <c r="BS21" i="4"/>
  <c r="BR21" i="4"/>
  <c r="BQ21" i="4"/>
  <c r="BP21" i="4"/>
  <c r="BO21" i="4"/>
  <c r="BV20" i="4"/>
  <c r="BU20" i="4"/>
  <c r="BT20" i="4"/>
  <c r="BS20" i="4"/>
  <c r="BR20" i="4"/>
  <c r="BQ20" i="4"/>
  <c r="BP20" i="4"/>
  <c r="BO20" i="4"/>
  <c r="BV18" i="4"/>
  <c r="BU18" i="4"/>
  <c r="BT18" i="4"/>
  <c r="BS18" i="4"/>
  <c r="BR18" i="4"/>
  <c r="BQ18" i="4"/>
  <c r="BP18" i="4"/>
  <c r="BO18" i="4"/>
  <c r="BV17" i="4"/>
  <c r="BU17" i="4"/>
  <c r="BT17" i="4"/>
  <c r="BS17" i="4"/>
  <c r="BR17" i="4"/>
  <c r="BQ17" i="4"/>
  <c r="BP17" i="4"/>
  <c r="BO17" i="4"/>
  <c r="BV16" i="4"/>
  <c r="BU16" i="4"/>
  <c r="BT16" i="4"/>
  <c r="BS16" i="4"/>
  <c r="BR16" i="4"/>
  <c r="BQ16" i="4"/>
  <c r="BP16" i="4"/>
  <c r="BO16" i="4"/>
  <c r="BV15" i="4"/>
  <c r="BU15" i="4"/>
  <c r="BT15" i="4"/>
  <c r="BS15" i="4"/>
  <c r="BR15" i="4"/>
  <c r="BQ15" i="4"/>
  <c r="BP15" i="4"/>
  <c r="BO15" i="4"/>
  <c r="BV14" i="4"/>
  <c r="BU14" i="4"/>
  <c r="BT14" i="4"/>
  <c r="BS14" i="4"/>
  <c r="BR14" i="4"/>
  <c r="BQ14" i="4"/>
  <c r="BP14" i="4"/>
  <c r="BO14" i="4"/>
  <c r="BV13" i="4"/>
  <c r="BU13" i="4"/>
  <c r="BT13" i="4"/>
  <c r="BS13" i="4"/>
  <c r="BR13" i="4"/>
  <c r="BQ13" i="4"/>
  <c r="BP13" i="4"/>
  <c r="BO13" i="4"/>
  <c r="BV12" i="4"/>
  <c r="BU12" i="4"/>
  <c r="BT12" i="4"/>
  <c r="BS12" i="4"/>
  <c r="BR12" i="4"/>
  <c r="BQ12" i="4"/>
  <c r="BP12" i="4"/>
  <c r="BO12" i="4"/>
  <c r="BV11" i="4"/>
  <c r="BU11" i="4"/>
  <c r="BT11" i="4"/>
  <c r="BS11" i="4"/>
  <c r="BR11" i="4"/>
  <c r="BQ11" i="4"/>
  <c r="BP11" i="4"/>
  <c r="BO11" i="4"/>
  <c r="BV9" i="4"/>
  <c r="BU9" i="4"/>
  <c r="BT9" i="4"/>
  <c r="BS9" i="4"/>
  <c r="BR9" i="4"/>
  <c r="BQ9" i="4"/>
  <c r="BP9" i="4"/>
  <c r="BO9" i="4"/>
  <c r="BV8" i="4"/>
  <c r="BU8" i="4"/>
  <c r="BT8" i="4"/>
  <c r="BS8" i="4"/>
  <c r="BR8" i="4"/>
  <c r="BQ8" i="4"/>
  <c r="BP8" i="4"/>
  <c r="BO8" i="4"/>
  <c r="BV7" i="4"/>
  <c r="BU7" i="4"/>
  <c r="BT7" i="4"/>
  <c r="BS7" i="4"/>
  <c r="BR7" i="4"/>
  <c r="BQ7" i="4"/>
  <c r="BP7" i="4"/>
  <c r="BO7" i="4"/>
  <c r="BV6" i="4"/>
  <c r="BU6" i="4"/>
  <c r="BT6" i="4"/>
  <c r="BS6" i="4"/>
  <c r="BR6" i="4"/>
  <c r="BQ6" i="4"/>
  <c r="BP6" i="4"/>
  <c r="BO6" i="4"/>
  <c r="BV25" i="25"/>
  <c r="BV22" i="25"/>
  <c r="BV21" i="25"/>
  <c r="BV20" i="25"/>
  <c r="BV7" i="25"/>
  <c r="BU29" i="25"/>
  <c r="BT29" i="25"/>
  <c r="BS29" i="25"/>
  <c r="BR29" i="25"/>
  <c r="BQ29" i="25"/>
  <c r="BP29" i="25"/>
  <c r="BO29" i="25"/>
  <c r="BN29" i="25"/>
  <c r="BU28" i="25"/>
  <c r="BT28" i="25"/>
  <c r="BS28" i="25"/>
  <c r="BR28" i="25"/>
  <c r="BQ28" i="25"/>
  <c r="BP28" i="25"/>
  <c r="BO28" i="25"/>
  <c r="BN28" i="25"/>
  <c r="BU27" i="25"/>
  <c r="BT27" i="25"/>
  <c r="BS27" i="25"/>
  <c r="BR27" i="25"/>
  <c r="BQ27" i="25"/>
  <c r="BP27" i="25"/>
  <c r="BO27" i="25"/>
  <c r="BN27" i="25"/>
  <c r="BU23" i="25"/>
  <c r="BT23" i="25"/>
  <c r="BS23" i="25"/>
  <c r="BR23" i="25"/>
  <c r="BQ23" i="25"/>
  <c r="BP23" i="25"/>
  <c r="BO23" i="25"/>
  <c r="BN23" i="25"/>
  <c r="BU24" i="25"/>
  <c r="BT24" i="25"/>
  <c r="BS24" i="25"/>
  <c r="BR24" i="25"/>
  <c r="BQ24" i="25"/>
  <c r="BP24" i="25"/>
  <c r="BO24" i="25"/>
  <c r="BN24" i="25"/>
  <c r="BP12" i="25"/>
  <c r="BP11" i="25"/>
  <c r="BP9" i="25"/>
  <c r="BU6" i="25"/>
  <c r="BU17" i="25" s="1"/>
  <c r="BT6" i="25"/>
  <c r="BT17" i="25" s="1"/>
  <c r="BS6" i="25"/>
  <c r="BS17" i="25" s="1"/>
  <c r="BR6" i="25"/>
  <c r="BR17" i="25" s="1"/>
  <c r="BQ6" i="25"/>
  <c r="BQ17" i="25" s="1"/>
  <c r="BP6" i="25"/>
  <c r="BO6" i="25"/>
  <c r="BO17" i="25" s="1"/>
  <c r="BN6" i="25"/>
  <c r="BN17" i="25" s="1"/>
  <c r="BU55" i="2"/>
  <c r="BT55" i="2"/>
  <c r="BS55" i="2"/>
  <c r="BR55" i="2"/>
  <c r="BQ55" i="2"/>
  <c r="BP55" i="2"/>
  <c r="BO55" i="2"/>
  <c r="BN55" i="2"/>
  <c r="BU52" i="2"/>
  <c r="BT52" i="2"/>
  <c r="BS52" i="2"/>
  <c r="BR52" i="2"/>
  <c r="BQ52" i="2"/>
  <c r="BP52" i="2"/>
  <c r="BO52" i="2"/>
  <c r="BN52" i="2"/>
  <c r="BU26" i="2"/>
  <c r="BT26" i="2"/>
  <c r="BS26" i="2"/>
  <c r="BR26" i="2"/>
  <c r="BQ26" i="2"/>
  <c r="BP26" i="2"/>
  <c r="BO26" i="2"/>
  <c r="BN26" i="2"/>
  <c r="BU22" i="2"/>
  <c r="BT22" i="2"/>
  <c r="BS22" i="2"/>
  <c r="BR22" i="2"/>
  <c r="BQ22" i="2"/>
  <c r="BP22" i="2"/>
  <c r="BO22" i="2"/>
  <c r="BN22" i="2"/>
  <c r="BU21" i="2"/>
  <c r="BT21" i="2"/>
  <c r="BS21" i="2"/>
  <c r="BR21" i="2"/>
  <c r="BQ21" i="2"/>
  <c r="BP21" i="2"/>
  <c r="BO21" i="2"/>
  <c r="BN21" i="2"/>
  <c r="BU20" i="2"/>
  <c r="BT20" i="2"/>
  <c r="BS20" i="2"/>
  <c r="BR20" i="2"/>
  <c r="BQ20" i="2"/>
  <c r="BP20" i="2"/>
  <c r="BO20" i="2"/>
  <c r="BN20" i="2"/>
  <c r="BU19" i="2"/>
  <c r="BT19" i="2"/>
  <c r="BS19" i="2"/>
  <c r="BR19" i="2"/>
  <c r="BQ19" i="2"/>
  <c r="BP19" i="2"/>
  <c r="BO19" i="2"/>
  <c r="BN19" i="2"/>
  <c r="BU18" i="2"/>
  <c r="BT18" i="2"/>
  <c r="BS18" i="2"/>
  <c r="BR18" i="2"/>
  <c r="BQ18" i="2"/>
  <c r="BP18" i="2"/>
  <c r="BO18" i="2"/>
  <c r="BN18" i="2"/>
  <c r="BU17" i="2"/>
  <c r="BT17" i="2"/>
  <c r="BS17" i="2"/>
  <c r="BR17" i="2"/>
  <c r="BQ17" i="2"/>
  <c r="BP17" i="2"/>
  <c r="BO17" i="2"/>
  <c r="BN17" i="2"/>
  <c r="BU16" i="2"/>
  <c r="BT16" i="2"/>
  <c r="BS16" i="2"/>
  <c r="BR16" i="2"/>
  <c r="BQ16" i="2"/>
  <c r="BP16" i="2"/>
  <c r="BO16" i="2"/>
  <c r="BN16" i="2"/>
  <c r="BU15" i="2"/>
  <c r="BT15" i="2"/>
  <c r="BS15" i="2"/>
  <c r="BR15" i="2"/>
  <c r="BQ15" i="2"/>
  <c r="BP15" i="2"/>
  <c r="BO15" i="2"/>
  <c r="BN15" i="2"/>
  <c r="BU14" i="2"/>
  <c r="BT14" i="2"/>
  <c r="BS14" i="2"/>
  <c r="BR14" i="2"/>
  <c r="BQ14" i="2"/>
  <c r="BP14" i="2"/>
  <c r="BO14" i="2"/>
  <c r="BN14" i="2"/>
  <c r="BU13" i="2"/>
  <c r="BT13" i="2"/>
  <c r="BS13" i="2"/>
  <c r="BR13" i="2"/>
  <c r="BQ13" i="2"/>
  <c r="BP13" i="2"/>
  <c r="BO13" i="2"/>
  <c r="BN13" i="2"/>
  <c r="BU12" i="2"/>
  <c r="BT12" i="2"/>
  <c r="BS12" i="2"/>
  <c r="BR12" i="2"/>
  <c r="BQ12" i="2"/>
  <c r="BP12" i="2"/>
  <c r="BO12" i="2"/>
  <c r="BN12" i="2"/>
  <c r="BU11" i="2"/>
  <c r="BT11" i="2"/>
  <c r="BS11" i="2"/>
  <c r="BR11" i="2"/>
  <c r="BQ11" i="2"/>
  <c r="BP11" i="2"/>
  <c r="BO11" i="2"/>
  <c r="BN11" i="2"/>
  <c r="BU10" i="2"/>
  <c r="BT10" i="2"/>
  <c r="BS10" i="2"/>
  <c r="BR10" i="2"/>
  <c r="BQ10" i="2"/>
  <c r="BP10" i="2"/>
  <c r="BO10" i="2"/>
  <c r="BN10" i="2"/>
  <c r="BU9" i="2"/>
  <c r="BT9" i="2"/>
  <c r="BS9" i="2"/>
  <c r="BR9" i="2"/>
  <c r="BQ9" i="2"/>
  <c r="BP9" i="2"/>
  <c r="BO9" i="2"/>
  <c r="BN9" i="2"/>
  <c r="BU8" i="2"/>
  <c r="BT8" i="2"/>
  <c r="BS8" i="2"/>
  <c r="BR8" i="2"/>
  <c r="BQ8" i="2"/>
  <c r="BP8" i="2"/>
  <c r="BO8" i="2"/>
  <c r="BN8" i="2"/>
  <c r="BU7" i="2"/>
  <c r="BT7" i="2"/>
  <c r="BS7" i="2"/>
  <c r="BR7" i="2"/>
  <c r="BQ7" i="2"/>
  <c r="BP7" i="2"/>
  <c r="BO7" i="2"/>
  <c r="BN7" i="2"/>
  <c r="BU6" i="2"/>
  <c r="BT6" i="2"/>
  <c r="BS6" i="2"/>
  <c r="BR6" i="2"/>
  <c r="BQ6" i="2"/>
  <c r="BP6" i="2"/>
  <c r="BO6" i="2"/>
  <c r="BN6" i="2"/>
  <c r="BU5" i="2"/>
  <c r="BT5" i="2"/>
  <c r="BS5" i="2"/>
  <c r="BR5" i="2"/>
  <c r="BQ5" i="2"/>
  <c r="BP5" i="2"/>
  <c r="BO5" i="2"/>
  <c r="BN5" i="2"/>
  <c r="BK83" i="11"/>
  <c r="BJ83" i="11"/>
  <c r="BI83" i="11"/>
  <c r="BH83" i="11"/>
  <c r="BG83" i="11"/>
  <c r="BF83" i="11"/>
  <c r="BE83" i="11"/>
  <c r="BD83" i="11"/>
  <c r="BK82" i="11"/>
  <c r="BJ82" i="11"/>
  <c r="BI82" i="11"/>
  <c r="BH82" i="11"/>
  <c r="BG82" i="11"/>
  <c r="BF82" i="11"/>
  <c r="BE82" i="11"/>
  <c r="BD82" i="11"/>
  <c r="BK81" i="11"/>
  <c r="BJ81" i="11"/>
  <c r="BI81" i="11"/>
  <c r="BH81" i="11"/>
  <c r="BG81" i="11"/>
  <c r="BF81" i="11"/>
  <c r="BE81" i="11"/>
  <c r="BD81" i="11"/>
  <c r="BK80" i="11"/>
  <c r="BJ80" i="11"/>
  <c r="BI80" i="11"/>
  <c r="BH80" i="11"/>
  <c r="BG80" i="11"/>
  <c r="BF80" i="11"/>
  <c r="BE80" i="11"/>
  <c r="BD80" i="11"/>
  <c r="BK79" i="11"/>
  <c r="BJ79" i="11"/>
  <c r="BI79" i="11"/>
  <c r="BH79" i="11"/>
  <c r="BG79" i="11"/>
  <c r="BF79" i="11"/>
  <c r="BE79" i="11"/>
  <c r="BD79" i="11"/>
  <c r="BK78" i="11"/>
  <c r="BJ78" i="11"/>
  <c r="BI78" i="11"/>
  <c r="BH78" i="11"/>
  <c r="BG78" i="11"/>
  <c r="BF78" i="11"/>
  <c r="BE78" i="11"/>
  <c r="BD78" i="11"/>
  <c r="BK77" i="11"/>
  <c r="BJ77" i="11"/>
  <c r="BI77" i="11"/>
  <c r="BH77" i="11"/>
  <c r="BG77" i="11"/>
  <c r="BF77" i="11"/>
  <c r="BE77" i="11"/>
  <c r="BD77" i="11"/>
  <c r="BF75" i="11"/>
  <c r="BE75" i="11"/>
  <c r="BD75" i="11"/>
  <c r="BL73" i="11"/>
  <c r="BK71" i="11"/>
  <c r="BJ71" i="11"/>
  <c r="BI71" i="11"/>
  <c r="BH71" i="11"/>
  <c r="BG71" i="11"/>
  <c r="BF71" i="11"/>
  <c r="BE71" i="11"/>
  <c r="BD71" i="11"/>
  <c r="BK70" i="11"/>
  <c r="BJ70" i="11"/>
  <c r="BI70" i="11"/>
  <c r="BH70" i="11"/>
  <c r="BG70" i="11"/>
  <c r="BF70" i="11"/>
  <c r="BE70" i="11"/>
  <c r="BD70" i="11"/>
  <c r="BK69" i="11"/>
  <c r="BJ69" i="11"/>
  <c r="BI69" i="11"/>
  <c r="BH69" i="11"/>
  <c r="BG69" i="11"/>
  <c r="BF69" i="11"/>
  <c r="BE69" i="11"/>
  <c r="BD69" i="11"/>
  <c r="BK68" i="11"/>
  <c r="BJ68" i="11"/>
  <c r="BI68" i="11"/>
  <c r="BH68" i="11"/>
  <c r="BG68" i="11"/>
  <c r="BF68" i="11"/>
  <c r="BE68" i="11"/>
  <c r="BD68" i="11"/>
  <c r="BK67" i="11"/>
  <c r="BJ67" i="11"/>
  <c r="BI67" i="11"/>
  <c r="BH67" i="11"/>
  <c r="BG67" i="11"/>
  <c r="BF67" i="11"/>
  <c r="BE67" i="11"/>
  <c r="BD67" i="11"/>
  <c r="BK66" i="11"/>
  <c r="BJ66" i="11"/>
  <c r="BI66" i="11"/>
  <c r="BH66" i="11"/>
  <c r="BG66" i="11"/>
  <c r="BF66" i="11"/>
  <c r="BE66" i="11"/>
  <c r="BD66" i="11"/>
  <c r="BK65" i="11"/>
  <c r="BJ65" i="11"/>
  <c r="BI65" i="11"/>
  <c r="BH65" i="11"/>
  <c r="BG65" i="11"/>
  <c r="BF65" i="11"/>
  <c r="BE65" i="11"/>
  <c r="BD65" i="11"/>
  <c r="BK64" i="11"/>
  <c r="BJ64" i="11"/>
  <c r="BI64" i="11"/>
  <c r="BH64" i="11"/>
  <c r="BG64" i="11"/>
  <c r="BF64" i="11"/>
  <c r="BE64" i="11"/>
  <c r="BD64" i="11"/>
  <c r="BK63" i="11"/>
  <c r="BJ63" i="11"/>
  <c r="BI63" i="11"/>
  <c r="BH63" i="11"/>
  <c r="BG63" i="11"/>
  <c r="BF63" i="11"/>
  <c r="BE63" i="11"/>
  <c r="BD63" i="11"/>
  <c r="BK62" i="11"/>
  <c r="BJ62" i="11"/>
  <c r="BI62" i="11"/>
  <c r="BH62" i="11"/>
  <c r="BG62" i="11"/>
  <c r="BF62" i="11"/>
  <c r="BE62" i="11"/>
  <c r="BD62" i="11"/>
  <c r="BF55" i="11"/>
  <c r="BE55" i="11"/>
  <c r="BD55" i="11"/>
  <c r="BF54" i="11"/>
  <c r="BE54" i="11"/>
  <c r="BD54" i="11"/>
  <c r="BF52" i="11"/>
  <c r="BE52" i="11"/>
  <c r="BD52" i="11"/>
  <c r="BF51" i="11"/>
  <c r="BE51" i="11"/>
  <c r="BD51" i="11"/>
  <c r="BF50" i="11"/>
  <c r="BE50" i="11"/>
  <c r="BD50" i="11"/>
  <c r="BK45" i="11"/>
  <c r="BJ45" i="11"/>
  <c r="BI45" i="11"/>
  <c r="BH45" i="11"/>
  <c r="BG45" i="11"/>
  <c r="BF45" i="11"/>
  <c r="BE45" i="11"/>
  <c r="BD45" i="11"/>
  <c r="BK44" i="11"/>
  <c r="BJ44" i="11"/>
  <c r="BI44" i="11"/>
  <c r="BH44" i="11"/>
  <c r="BG44" i="11"/>
  <c r="BF44" i="11"/>
  <c r="BE44" i="11"/>
  <c r="BD44" i="11"/>
  <c r="BK43" i="11"/>
  <c r="BJ43" i="11"/>
  <c r="BI43" i="11"/>
  <c r="BH43" i="11"/>
  <c r="BG43" i="11"/>
  <c r="BF43" i="11"/>
  <c r="BE43" i="11"/>
  <c r="BD43" i="11"/>
  <c r="BK41" i="11"/>
  <c r="BJ41" i="11"/>
  <c r="BI41" i="11"/>
  <c r="BH41" i="11"/>
  <c r="BG41" i="11"/>
  <c r="BF41" i="11"/>
  <c r="BE41" i="11"/>
  <c r="BD41" i="11"/>
  <c r="BK40" i="11"/>
  <c r="BJ40" i="11"/>
  <c r="BI40" i="11"/>
  <c r="BH40" i="11"/>
  <c r="BG40" i="11"/>
  <c r="BF40" i="11"/>
  <c r="BE40" i="11"/>
  <c r="BD40" i="11"/>
  <c r="BK39" i="11"/>
  <c r="BJ39" i="11"/>
  <c r="BI39" i="11"/>
  <c r="BH39" i="11"/>
  <c r="BG39" i="11"/>
  <c r="BF39" i="11"/>
  <c r="BE39" i="11"/>
  <c r="BD39" i="11"/>
  <c r="BK38" i="11"/>
  <c r="BJ38" i="11"/>
  <c r="BI38" i="11"/>
  <c r="BH38" i="11"/>
  <c r="BG38" i="11"/>
  <c r="BF38" i="11"/>
  <c r="BE38" i="11"/>
  <c r="BD38" i="11"/>
  <c r="BK37" i="11"/>
  <c r="BJ37" i="11"/>
  <c r="BI37" i="11"/>
  <c r="BH37" i="11"/>
  <c r="BG37" i="11"/>
  <c r="BF37" i="11"/>
  <c r="BE37" i="11"/>
  <c r="BD37" i="11"/>
  <c r="BK36" i="11"/>
  <c r="BJ36" i="11"/>
  <c r="BI36" i="11"/>
  <c r="BH36" i="11"/>
  <c r="BG36" i="11"/>
  <c r="BF36" i="11"/>
  <c r="BE36" i="11"/>
  <c r="BD36" i="11"/>
  <c r="BK31" i="11"/>
  <c r="BJ31" i="11"/>
  <c r="BI31" i="11"/>
  <c r="BH31" i="11"/>
  <c r="BG31" i="11"/>
  <c r="BF31" i="11"/>
  <c r="BE31" i="11"/>
  <c r="BD31" i="11"/>
  <c r="BK30" i="11"/>
  <c r="BJ30" i="11"/>
  <c r="BI30" i="11"/>
  <c r="BH30" i="11"/>
  <c r="BG30" i="11"/>
  <c r="BF30" i="11"/>
  <c r="BE30" i="11"/>
  <c r="BD30" i="11"/>
  <c r="BK29" i="11"/>
  <c r="BJ29" i="11"/>
  <c r="BI29" i="11"/>
  <c r="BH29" i="11"/>
  <c r="BG29" i="11"/>
  <c r="BF29" i="11"/>
  <c r="BE29" i="11"/>
  <c r="BD29" i="11"/>
  <c r="BK27" i="11"/>
  <c r="BJ27" i="11"/>
  <c r="BI27" i="11"/>
  <c r="BH27" i="11"/>
  <c r="BG27" i="11"/>
  <c r="BF27" i="11"/>
  <c r="BE27" i="11"/>
  <c r="BD27" i="11"/>
  <c r="BK26" i="11"/>
  <c r="BJ26" i="11"/>
  <c r="BI26" i="11"/>
  <c r="BH26" i="11"/>
  <c r="BG26" i="11"/>
  <c r="BF26" i="11"/>
  <c r="BE26" i="11"/>
  <c r="BD26" i="11"/>
  <c r="BK25" i="11"/>
  <c r="BJ25" i="11"/>
  <c r="BI25" i="11"/>
  <c r="BH25" i="11"/>
  <c r="BG25" i="11"/>
  <c r="BF25" i="11"/>
  <c r="BE25" i="11"/>
  <c r="BD25" i="11"/>
  <c r="BK24" i="11"/>
  <c r="BJ24" i="11"/>
  <c r="BI24" i="11"/>
  <c r="BH24" i="11"/>
  <c r="BG24" i="11"/>
  <c r="BF24" i="11"/>
  <c r="BE24" i="11"/>
  <c r="BD24" i="11"/>
  <c r="BK23" i="11"/>
  <c r="BJ23" i="11"/>
  <c r="BI23" i="11"/>
  <c r="BH23" i="11"/>
  <c r="BG23" i="11"/>
  <c r="BF23" i="11"/>
  <c r="BE23" i="11"/>
  <c r="BD23" i="11"/>
  <c r="BK22" i="11"/>
  <c r="BJ22" i="11"/>
  <c r="BI22" i="11"/>
  <c r="BH22" i="11"/>
  <c r="BG22" i="11"/>
  <c r="BF22" i="11"/>
  <c r="BE22" i="11"/>
  <c r="BD22" i="11"/>
  <c r="BK21" i="11"/>
  <c r="BJ21" i="11"/>
  <c r="BI21" i="11"/>
  <c r="BH21" i="11"/>
  <c r="BG21" i="11"/>
  <c r="BF21" i="11"/>
  <c r="BE21" i="11"/>
  <c r="BD21" i="11"/>
  <c r="BF59" i="1"/>
  <c r="BF58" i="1"/>
  <c r="BF57" i="1"/>
  <c r="BF56" i="1"/>
  <c r="BF54" i="1"/>
  <c r="BF53" i="1"/>
  <c r="BF52" i="1"/>
  <c r="BF51" i="1"/>
  <c r="BF50" i="1"/>
  <c r="BF49" i="1"/>
  <c r="BF48" i="1"/>
  <c r="BF43" i="1"/>
  <c r="BF42" i="1"/>
  <c r="BF44" i="1"/>
  <c r="BF39" i="1"/>
  <c r="BF38" i="1"/>
  <c r="BF37" i="1"/>
  <c r="BF36" i="1"/>
  <c r="BF35" i="1"/>
  <c r="BF34" i="1"/>
  <c r="BF33" i="1"/>
  <c r="BF32" i="1"/>
  <c r="BF25" i="1"/>
  <c r="BF23" i="1"/>
  <c r="BF22" i="1"/>
  <c r="BF21" i="1"/>
  <c r="BF20" i="1"/>
  <c r="BF19" i="1"/>
  <c r="BF18" i="1"/>
  <c r="BF17" i="1"/>
  <c r="BF16" i="1"/>
  <c r="BF15" i="1"/>
  <c r="BF14" i="1"/>
  <c r="BF13" i="1"/>
  <c r="BF12" i="1"/>
  <c r="BF11" i="1"/>
  <c r="BF10" i="1"/>
  <c r="BF9" i="1"/>
  <c r="BE59" i="1"/>
  <c r="BE58" i="1"/>
  <c r="BE57" i="1"/>
  <c r="BE56" i="1"/>
  <c r="BE54" i="1"/>
  <c r="BE53" i="1"/>
  <c r="BE52" i="1"/>
  <c r="BE51" i="1"/>
  <c r="BE50" i="1"/>
  <c r="BE49" i="1"/>
  <c r="BE48" i="1"/>
  <c r="BE43" i="1"/>
  <c r="BE42" i="1"/>
  <c r="BE44" i="1"/>
  <c r="BE39" i="1"/>
  <c r="BE38" i="1"/>
  <c r="BE37" i="1"/>
  <c r="BE36" i="1"/>
  <c r="BE35" i="1"/>
  <c r="BE34" i="1"/>
  <c r="BE33" i="1"/>
  <c r="BE32" i="1"/>
  <c r="BE25" i="1"/>
  <c r="BE23" i="1"/>
  <c r="BE22" i="1"/>
  <c r="BE21" i="1"/>
  <c r="BE20" i="1"/>
  <c r="BE19" i="1"/>
  <c r="BE18" i="1"/>
  <c r="BE17" i="1"/>
  <c r="BE16" i="1"/>
  <c r="BE15" i="1"/>
  <c r="BE14" i="1"/>
  <c r="BE13" i="1"/>
  <c r="BE12" i="1"/>
  <c r="BE11" i="1"/>
  <c r="BE10" i="1"/>
  <c r="BE9" i="1"/>
  <c r="BD59" i="1"/>
  <c r="BD58" i="1"/>
  <c r="BD57" i="1"/>
  <c r="BD56" i="1"/>
  <c r="BD54" i="1"/>
  <c r="BD53" i="1"/>
  <c r="BD52" i="1"/>
  <c r="BD51" i="1"/>
  <c r="BD50" i="1"/>
  <c r="BD49" i="1"/>
  <c r="BD48" i="1"/>
  <c r="BD43" i="1"/>
  <c r="BD42" i="1"/>
  <c r="BD44" i="1"/>
  <c r="BD39" i="1"/>
  <c r="BD38" i="1"/>
  <c r="BD37" i="1"/>
  <c r="BD36" i="1"/>
  <c r="BD35" i="1"/>
  <c r="BD34" i="1"/>
  <c r="BD33" i="1"/>
  <c r="BD32" i="1"/>
  <c r="BD25" i="1"/>
  <c r="AJ105" i="13" s="1"/>
  <c r="BD23" i="1"/>
  <c r="BD22" i="1"/>
  <c r="BD21" i="1"/>
  <c r="BD20" i="1"/>
  <c r="BD19" i="1"/>
  <c r="BD18" i="1"/>
  <c r="BD17" i="1"/>
  <c r="BD16" i="1"/>
  <c r="BD15" i="1"/>
  <c r="BD14" i="1"/>
  <c r="BD13" i="1"/>
  <c r="BD12" i="1"/>
  <c r="BD11" i="1"/>
  <c r="BD10" i="1"/>
  <c r="BD9" i="1"/>
  <c r="BO4" i="4"/>
  <c r="BP4" i="4" s="1"/>
  <c r="BQ4" i="4" s="1"/>
  <c r="BR4" i="4" s="1"/>
  <c r="BS4" i="4" s="1"/>
  <c r="BT4" i="4" s="1"/>
  <c r="BU4" i="4" s="1"/>
  <c r="BV4" i="4" s="1"/>
  <c r="BN3" i="25"/>
  <c r="BO3" i="25" s="1"/>
  <c r="BP3" i="25" s="1"/>
  <c r="BQ3" i="25" s="1"/>
  <c r="BR3" i="25" s="1"/>
  <c r="BS3" i="25" s="1"/>
  <c r="BT3" i="25" s="1"/>
  <c r="BU3" i="25" s="1"/>
  <c r="BN3" i="2"/>
  <c r="BO3" i="2" s="1"/>
  <c r="BP3" i="2" s="1"/>
  <c r="BQ3" i="2" s="1"/>
  <c r="BR3" i="2" s="1"/>
  <c r="BS3" i="2" s="1"/>
  <c r="BT3" i="2" s="1"/>
  <c r="BU3" i="2" s="1"/>
  <c r="BD3" i="11"/>
  <c r="BE3" i="11" s="1"/>
  <c r="BF3" i="11" s="1"/>
  <c r="BG3" i="11" s="1"/>
  <c r="BH3" i="11" s="1"/>
  <c r="BI3" i="11" s="1"/>
  <c r="BJ3" i="11" s="1"/>
  <c r="BK3" i="11" s="1"/>
  <c r="BC36" i="1"/>
  <c r="BC13" i="1"/>
  <c r="AL109" i="13"/>
  <c r="AL114" i="13" s="1"/>
  <c r="AK109" i="13"/>
  <c r="AK125" i="13" s="1"/>
  <c r="AK113" i="13"/>
  <c r="AX260" i="13" l="1"/>
  <c r="AY214" i="13"/>
  <c r="AV14" i="13"/>
  <c r="AW13" i="13"/>
  <c r="AX161" i="13"/>
  <c r="AY161" i="13"/>
  <c r="AX13" i="13"/>
  <c r="AK121" i="13"/>
  <c r="BF113" i="13"/>
  <c r="AS55" i="19"/>
  <c r="AT58" i="19"/>
  <c r="AT59" i="19"/>
  <c r="AS56" i="19"/>
  <c r="AR55" i="19"/>
  <c r="AS58" i="19"/>
  <c r="AU59" i="19"/>
  <c r="AT56" i="19"/>
  <c r="AQ56" i="19"/>
  <c r="AR59" i="19"/>
  <c r="AS59" i="19"/>
  <c r="AR56" i="19"/>
  <c r="AU58" i="19"/>
  <c r="AT55" i="19"/>
  <c r="AU55" i="19"/>
  <c r="AU56" i="19"/>
  <c r="AR58" i="19"/>
  <c r="AQ55" i="19"/>
  <c r="AQ52" i="19"/>
  <c r="AQ54" i="19"/>
  <c r="AR57" i="19"/>
  <c r="AR54" i="19"/>
  <c r="AS57" i="19"/>
  <c r="AR52" i="19"/>
  <c r="AS54" i="19"/>
  <c r="AS52" i="19"/>
  <c r="AT57" i="19"/>
  <c r="AT54" i="19"/>
  <c r="AT52" i="19"/>
  <c r="AU57" i="19"/>
  <c r="AU54" i="19"/>
  <c r="AU52" i="19"/>
  <c r="AK114" i="13"/>
  <c r="AJ104" i="13"/>
  <c r="BF45" i="1"/>
  <c r="BP17" i="25"/>
  <c r="BP38" i="2"/>
  <c r="BK33" i="11"/>
  <c r="BK47" i="11"/>
  <c r="BK59" i="11"/>
  <c r="BD47" i="11"/>
  <c r="BD72" i="1" s="1"/>
  <c r="BR38" i="2"/>
  <c r="BE47" i="11"/>
  <c r="BE72" i="1" s="1"/>
  <c r="BS38" i="2"/>
  <c r="BF47" i="11"/>
  <c r="BF72" i="1" s="1"/>
  <c r="BD64" i="1"/>
  <c r="BQ38" i="2"/>
  <c r="BT38" i="2"/>
  <c r="BU38" i="2"/>
  <c r="BI47" i="11"/>
  <c r="BE84" i="11"/>
  <c r="BE76" i="1" s="1"/>
  <c r="BU58" i="4"/>
  <c r="BU60" i="4" s="1"/>
  <c r="BQ78" i="2"/>
  <c r="BO58" i="4"/>
  <c r="BO60" i="4" s="1"/>
  <c r="AJ96" i="13" s="1"/>
  <c r="BS78" i="2"/>
  <c r="BP30" i="25"/>
  <c r="BN78" i="2"/>
  <c r="BR30" i="25"/>
  <c r="BF33" i="11"/>
  <c r="BF74" i="1" s="1"/>
  <c r="BG47" i="11"/>
  <c r="BH47" i="11"/>
  <c r="BH59" i="11"/>
  <c r="BH84" i="11"/>
  <c r="BR78" i="2"/>
  <c r="BI84" i="11"/>
  <c r="BQ58" i="4"/>
  <c r="BQ60" i="4" s="1"/>
  <c r="BT78" i="2"/>
  <c r="BR58" i="4"/>
  <c r="BR60" i="4" s="1"/>
  <c r="BT58" i="4"/>
  <c r="BT60" i="4" s="1"/>
  <c r="BO78" i="2"/>
  <c r="BS30" i="25"/>
  <c r="BG33" i="11"/>
  <c r="BH33" i="11"/>
  <c r="BU30" i="25"/>
  <c r="BJ84" i="11"/>
  <c r="BD84" i="11"/>
  <c r="BD76" i="1" s="1"/>
  <c r="BF84" i="11"/>
  <c r="BF76" i="1" s="1"/>
  <c r="BP78" i="2"/>
  <c r="BG84" i="11"/>
  <c r="BN30" i="25"/>
  <c r="BP58" i="4"/>
  <c r="BP60" i="4" s="1"/>
  <c r="BD33" i="11"/>
  <c r="BD74" i="1" s="1"/>
  <c r="BI33" i="11"/>
  <c r="BN38" i="2"/>
  <c r="BD59" i="11"/>
  <c r="BK84" i="11"/>
  <c r="BE59" i="11"/>
  <c r="BF59" i="11"/>
  <c r="BG59" i="11"/>
  <c r="BV58" i="4"/>
  <c r="BV60" i="4" s="1"/>
  <c r="BI59" i="11"/>
  <c r="BJ59" i="11"/>
  <c r="BO30" i="25"/>
  <c r="BU78" i="2"/>
  <c r="BQ30" i="25"/>
  <c r="BS58" i="4"/>
  <c r="BS60" i="4" s="1"/>
  <c r="BE33" i="11"/>
  <c r="BT30" i="25"/>
  <c r="BJ33" i="11"/>
  <c r="BJ47" i="11"/>
  <c r="BO38" i="2"/>
  <c r="BE64" i="1"/>
  <c r="BF29" i="1"/>
  <c r="BF30" i="1" s="1"/>
  <c r="BD45" i="1"/>
  <c r="BE29" i="1"/>
  <c r="BD29" i="1"/>
  <c r="BD30" i="1" s="1"/>
  <c r="BE45" i="1"/>
  <c r="BF64" i="1"/>
  <c r="AJ106" i="13" l="1"/>
  <c r="AX14" i="13"/>
  <c r="AZ161" i="13"/>
  <c r="BA161" i="13" s="1"/>
  <c r="BB161" i="13" s="1"/>
  <c r="AW14" i="13"/>
  <c r="AY260" i="13"/>
  <c r="AZ214" i="13"/>
  <c r="AY13" i="13"/>
  <c r="BT80" i="2"/>
  <c r="AQ4" i="19"/>
  <c r="AQ51" i="19" s="1"/>
  <c r="BR80" i="2"/>
  <c r="BS80" i="2"/>
  <c r="BR32" i="25"/>
  <c r="BK86" i="11"/>
  <c r="BE78" i="1"/>
  <c r="BQ80" i="2"/>
  <c r="BF73" i="1"/>
  <c r="BE65" i="1"/>
  <c r="BE66" i="1" s="1"/>
  <c r="BQ32" i="25"/>
  <c r="BD65" i="1"/>
  <c r="BD66" i="1" s="1"/>
  <c r="BU80" i="2"/>
  <c r="BE74" i="1"/>
  <c r="BE75" i="1" s="1"/>
  <c r="BE86" i="11"/>
  <c r="BD86" i="11"/>
  <c r="BH86" i="11"/>
  <c r="BF86" i="11"/>
  <c r="BF77" i="1"/>
  <c r="BG86" i="11"/>
  <c r="BO32" i="25"/>
  <c r="BD78" i="1"/>
  <c r="BP32" i="25"/>
  <c r="BE70" i="1"/>
  <c r="BE71" i="1" s="1"/>
  <c r="BO80" i="2"/>
  <c r="BI86" i="11"/>
  <c r="BN80" i="2"/>
  <c r="AJ87" i="13"/>
  <c r="BF70" i="1"/>
  <c r="BF71" i="1" s="1"/>
  <c r="BN32" i="25"/>
  <c r="BD70" i="1"/>
  <c r="BD71" i="1" s="1"/>
  <c r="BE77" i="1"/>
  <c r="BE30" i="1"/>
  <c r="BJ86" i="11"/>
  <c r="BT32" i="25"/>
  <c r="BP80" i="2"/>
  <c r="BU32" i="25"/>
  <c r="BS32" i="25"/>
  <c r="BF78" i="1"/>
  <c r="BF75" i="1"/>
  <c r="BD77" i="1"/>
  <c r="BD73" i="1"/>
  <c r="BD69" i="1"/>
  <c r="BF65" i="1"/>
  <c r="BD75" i="1"/>
  <c r="BE73" i="1"/>
  <c r="BE69" i="1"/>
  <c r="BF69" i="1"/>
  <c r="AZ89" i="27"/>
  <c r="AZ62" i="27"/>
  <c r="AZ30" i="27"/>
  <c r="AZ21" i="27"/>
  <c r="AK72" i="13"/>
  <c r="AK75" i="13" s="1"/>
  <c r="AZ7" i="27"/>
  <c r="BA89" i="27"/>
  <c r="BA83" i="27"/>
  <c r="AL104" i="13" s="1"/>
  <c r="BA62" i="27"/>
  <c r="BA30" i="27"/>
  <c r="BA21" i="27"/>
  <c r="AL72" i="13"/>
  <c r="AL75" i="13" s="1"/>
  <c r="BA7" i="27"/>
  <c r="AX89" i="27"/>
  <c r="AW89" i="27"/>
  <c r="AX83" i="27"/>
  <c r="AW83" i="27"/>
  <c r="AX62" i="27"/>
  <c r="AW62" i="27"/>
  <c r="AX30" i="27"/>
  <c r="AW30" i="27"/>
  <c r="AX21" i="27"/>
  <c r="AW21" i="27"/>
  <c r="AX7" i="27"/>
  <c r="AW7" i="27"/>
  <c r="AP104" i="13" l="1"/>
  <c r="AY14" i="13"/>
  <c r="AP106" i="13"/>
  <c r="BC161" i="13"/>
  <c r="BG161" i="13" s="1"/>
  <c r="BA214" i="13"/>
  <c r="AZ260" i="13"/>
  <c r="AZ13" i="13"/>
  <c r="AK20" i="13"/>
  <c r="AK22" i="13"/>
  <c r="AK23" i="13" s="1"/>
  <c r="BE30" i="27"/>
  <c r="AL20" i="13"/>
  <c r="AL22" i="13"/>
  <c r="AJ52" i="13"/>
  <c r="AJ11" i="13"/>
  <c r="AQ35" i="19" s="1"/>
  <c r="AL106" i="13"/>
  <c r="BA13" i="27"/>
  <c r="AW13" i="27"/>
  <c r="AZ13" i="27"/>
  <c r="AZ72" i="27"/>
  <c r="BA72" i="27"/>
  <c r="AK15" i="13"/>
  <c r="AJ15" i="13"/>
  <c r="AQ39" i="19" s="1"/>
  <c r="AL15" i="13"/>
  <c r="BF66" i="1"/>
  <c r="BD79" i="1"/>
  <c r="BD80" i="1" s="1"/>
  <c r="BE79" i="1"/>
  <c r="AK87" i="13"/>
  <c r="BF79" i="1"/>
  <c r="AL87" i="13"/>
  <c r="AX13" i="27"/>
  <c r="AW72" i="27"/>
  <c r="AW75" i="27" s="1"/>
  <c r="AX72" i="27"/>
  <c r="AX75" i="27" s="1"/>
  <c r="AL23" i="13" l="1"/>
  <c r="BB214" i="13"/>
  <c r="BA260" i="13"/>
  <c r="AZ14" i="13"/>
  <c r="BA13" i="13"/>
  <c r="BA14" i="13" s="1"/>
  <c r="AL16" i="13"/>
  <c r="AS40" i="19" s="1"/>
  <c r="AS39" i="19"/>
  <c r="AK16" i="13"/>
  <c r="AR40" i="19" s="1"/>
  <c r="AR39" i="19"/>
  <c r="BA75" i="27"/>
  <c r="AL98" i="13" s="1"/>
  <c r="AL21" i="13"/>
  <c r="AZ75" i="27"/>
  <c r="AK98" i="13" s="1"/>
  <c r="BF30" i="27"/>
  <c r="BG30" i="27" s="1"/>
  <c r="AK21" i="13"/>
  <c r="AQ104" i="13"/>
  <c r="AW76" i="27"/>
  <c r="BD81" i="1"/>
  <c r="BE81" i="1"/>
  <c r="BE80" i="1"/>
  <c r="BF81" i="1"/>
  <c r="BF80" i="1"/>
  <c r="AX76" i="27"/>
  <c r="BB13" i="13" l="1"/>
  <c r="BB14" i="13" s="1"/>
  <c r="BC13" i="13"/>
  <c r="BC14" i="13" s="1"/>
  <c r="BC214" i="13"/>
  <c r="BB260" i="13"/>
  <c r="AQ106" i="13"/>
  <c r="BA76" i="27"/>
  <c r="BA77" i="27" s="1"/>
  <c r="BA90" i="27" s="1"/>
  <c r="BA91" i="27" s="1"/>
  <c r="AZ76" i="27"/>
  <c r="AW77" i="27"/>
  <c r="AW90" i="27" s="1"/>
  <c r="AW91" i="27" s="1"/>
  <c r="AW97" i="27" s="1"/>
  <c r="BH30" i="27"/>
  <c r="BI30" i="27" s="1"/>
  <c r="BE72" i="27"/>
  <c r="AX77" i="27"/>
  <c r="AX90" i="27" s="1"/>
  <c r="AX91" i="27" s="1"/>
  <c r="AX97" i="27" s="1"/>
  <c r="AP47" i="13"/>
  <c r="BC260" i="13" l="1"/>
  <c r="BG214" i="13"/>
  <c r="AP51" i="13"/>
  <c r="AP71" i="13"/>
  <c r="BA209" i="27"/>
  <c r="BA97" i="27"/>
  <c r="T224" i="24" s="1"/>
  <c r="T226" i="24" s="1"/>
  <c r="BF72" i="27"/>
  <c r="BG72" i="27" s="1"/>
  <c r="BH72" i="27" s="1"/>
  <c r="BI72" i="27" s="1"/>
  <c r="AZ77" i="27"/>
  <c r="AZ90" i="27" s="1"/>
  <c r="AZ91" i="27" s="1"/>
  <c r="AZ97" i="27" s="1"/>
  <c r="S224" i="24" s="1"/>
  <c r="S226" i="24" s="1"/>
  <c r="AQ29" i="13" l="1"/>
  <c r="AP147" i="13"/>
  <c r="AP139" i="13"/>
  <c r="AP141" i="13"/>
  <c r="AP143" i="13"/>
  <c r="AQ47" i="13"/>
  <c r="AK183" i="13"/>
  <c r="AR47" i="13" l="1"/>
  <c r="BF47" i="13"/>
  <c r="AK188" i="13"/>
  <c r="AK185" i="13"/>
  <c r="AQ71" i="13"/>
  <c r="A3" i="27"/>
  <c r="BF174" i="13"/>
  <c r="BF173" i="13"/>
  <c r="BF168" i="13"/>
  <c r="BF169" i="13"/>
  <c r="BF167" i="13"/>
  <c r="BF166" i="13"/>
  <c r="BF161" i="13"/>
  <c r="BF198" i="13"/>
  <c r="BF192" i="13"/>
  <c r="AI22" i="13"/>
  <c r="AI20" i="13"/>
  <c r="AJ20" i="13" s="1"/>
  <c r="AI18" i="13"/>
  <c r="AH23" i="13"/>
  <c r="AG23" i="13"/>
  <c r="AF23" i="13"/>
  <c r="AE23" i="13"/>
  <c r="AD23" i="13"/>
  <c r="AC23" i="13"/>
  <c r="AB23" i="13"/>
  <c r="AA23" i="13"/>
  <c r="Z23" i="13"/>
  <c r="Y23" i="13"/>
  <c r="X23" i="13"/>
  <c r="W23" i="13"/>
  <c r="AH21" i="13"/>
  <c r="AG21" i="13"/>
  <c r="AF21" i="13"/>
  <c r="AE21" i="13"/>
  <c r="AD21" i="13"/>
  <c r="AC21" i="13"/>
  <c r="AB21" i="13"/>
  <c r="AA21" i="13"/>
  <c r="Z21" i="13"/>
  <c r="Y21" i="13"/>
  <c r="X21" i="13"/>
  <c r="W21" i="13"/>
  <c r="AH19" i="13"/>
  <c r="AG19" i="13"/>
  <c r="AF19" i="13"/>
  <c r="AE19" i="13"/>
  <c r="AD19" i="13"/>
  <c r="AC19" i="13"/>
  <c r="AB19" i="13"/>
  <c r="AA19" i="13"/>
  <c r="Z19" i="13"/>
  <c r="Y19" i="13"/>
  <c r="X19" i="13"/>
  <c r="W19" i="13"/>
  <c r="AY108" i="27"/>
  <c r="AS47" i="13" l="1"/>
  <c r="AR71" i="13"/>
  <c r="BF71" i="13"/>
  <c r="AI19" i="13"/>
  <c r="AI21" i="13"/>
  <c r="AJ18" i="13"/>
  <c r="AJ19" i="13" s="1"/>
  <c r="AJ22" i="13"/>
  <c r="AI23" i="13"/>
  <c r="AJ21" i="13"/>
  <c r="AT47" i="13" l="1"/>
  <c r="AS71" i="13"/>
  <c r="AR165" i="13"/>
  <c r="AK18" i="13"/>
  <c r="AK19" i="13" s="1"/>
  <c r="AJ23" i="13"/>
  <c r="AU47" i="13" l="1"/>
  <c r="AT71" i="13"/>
  <c r="AS165" i="13"/>
  <c r="AL18" i="13"/>
  <c r="AV47" i="13" l="1"/>
  <c r="AT165" i="13"/>
  <c r="AL19" i="13"/>
  <c r="AU71" i="13"/>
  <c r="AM18" i="13"/>
  <c r="AN18" i="13" s="1"/>
  <c r="AW47" i="13" l="1"/>
  <c r="AU165" i="13"/>
  <c r="AV71" i="13"/>
  <c r="AN19" i="13"/>
  <c r="AM19" i="13"/>
  <c r="AO18" i="13"/>
  <c r="AX47" i="13" l="1"/>
  <c r="AO19" i="13"/>
  <c r="AV165" i="13"/>
  <c r="AW71" i="13"/>
  <c r="AP18" i="13"/>
  <c r="BF69" i="27"/>
  <c r="AS127" i="13" s="1"/>
  <c r="AS138" i="13" s="1"/>
  <c r="AY205" i="27"/>
  <c r="AY194" i="27"/>
  <c r="AY193" i="27"/>
  <c r="AY178" i="27"/>
  <c r="AY168" i="27"/>
  <c r="AY175" i="27" s="1"/>
  <c r="AW203" i="27"/>
  <c r="AW103" i="27"/>
  <c r="AW106" i="27" s="1"/>
  <c r="AW108" i="27"/>
  <c r="AW109" i="27" s="1"/>
  <c r="AW120" i="27"/>
  <c r="AW119" i="27"/>
  <c r="AW118" i="27"/>
  <c r="AW117" i="27"/>
  <c r="AW116" i="27"/>
  <c r="AW115" i="27"/>
  <c r="AW114" i="27"/>
  <c r="AW113" i="27"/>
  <c r="AW112" i="27"/>
  <c r="AW131" i="27"/>
  <c r="AW130" i="27"/>
  <c r="AW151" i="27"/>
  <c r="AW150" i="27"/>
  <c r="AW149" i="27"/>
  <c r="AW145" i="27"/>
  <c r="AW144" i="27"/>
  <c r="AW143" i="27"/>
  <c r="AW142" i="27"/>
  <c r="AW141" i="27"/>
  <c r="AW140" i="27"/>
  <c r="AW139" i="27"/>
  <c r="AW138" i="27"/>
  <c r="AW137" i="27"/>
  <c r="AW136" i="27"/>
  <c r="AW135" i="27"/>
  <c r="AW160" i="27"/>
  <c r="AW161" i="27" s="1"/>
  <c r="AW170" i="27"/>
  <c r="AW168" i="27"/>
  <c r="AW166" i="27"/>
  <c r="AW165" i="27"/>
  <c r="AW164" i="27"/>
  <c r="AW180" i="27"/>
  <c r="AW179" i="27"/>
  <c r="AW178" i="27"/>
  <c r="AW177" i="27"/>
  <c r="AW202" i="27"/>
  <c r="AW201" i="27"/>
  <c r="AW200" i="27"/>
  <c r="AW199" i="27"/>
  <c r="AW198" i="27"/>
  <c r="AW188" i="27"/>
  <c r="AW195" i="27" s="1"/>
  <c r="AX205" i="27"/>
  <c r="AX175" i="27"/>
  <c r="AX181" i="27" s="1"/>
  <c r="AX161" i="27"/>
  <c r="AY161" i="27" s="1"/>
  <c r="AX154" i="27"/>
  <c r="AX146" i="27"/>
  <c r="AX122" i="27"/>
  <c r="AX132" i="27" s="1"/>
  <c r="AX109" i="27"/>
  <c r="AY109" i="27" s="1"/>
  <c r="AX106" i="27"/>
  <c r="AY47" i="13" l="1"/>
  <c r="AW165" i="13"/>
  <c r="AX71" i="13"/>
  <c r="AS240" i="13"/>
  <c r="AP19" i="13"/>
  <c r="AQ18" i="13"/>
  <c r="AY195" i="27"/>
  <c r="AP183" i="13"/>
  <c r="AQ183" i="13" s="1"/>
  <c r="AJ216" i="13"/>
  <c r="AQ16" i="19" s="1"/>
  <c r="BH69" i="27"/>
  <c r="AU127" i="13" s="1"/>
  <c r="AU138" i="13" s="1"/>
  <c r="BI69" i="27"/>
  <c r="AV127" i="13" s="1"/>
  <c r="AV138" i="13" s="1"/>
  <c r="BG69" i="27"/>
  <c r="AT127" i="13" s="1"/>
  <c r="AT138" i="13" s="1"/>
  <c r="AY181" i="27"/>
  <c r="AY182" i="27" s="1"/>
  <c r="AQ127" i="13"/>
  <c r="BE69" i="27"/>
  <c r="AR127" i="13" s="1"/>
  <c r="AY122" i="27"/>
  <c r="AW122" i="27"/>
  <c r="AW132" i="27" s="1"/>
  <c r="AW133" i="27" s="1"/>
  <c r="AW146" i="27"/>
  <c r="AW175" i="27"/>
  <c r="AW181" i="27" s="1"/>
  <c r="AW182" i="27" s="1"/>
  <c r="AW196" i="27" s="1"/>
  <c r="AW154" i="27"/>
  <c r="AX182" i="27"/>
  <c r="AX196" i="27" s="1"/>
  <c r="AX206" i="27" s="1"/>
  <c r="AX133" i="27"/>
  <c r="AX155" i="27" s="1"/>
  <c r="BE253" i="13"/>
  <c r="BE252" i="13"/>
  <c r="BE110" i="13"/>
  <c r="BE109" i="13"/>
  <c r="D9" i="28"/>
  <c r="C12" i="30"/>
  <c r="F9" i="30"/>
  <c r="F4" i="30"/>
  <c r="F3" i="30"/>
  <c r="AK250" i="13" s="1"/>
  <c r="BE48" i="13"/>
  <c r="BI90" i="27"/>
  <c r="H798" i="29"/>
  <c r="G798" i="29"/>
  <c r="F798" i="29"/>
  <c r="D798" i="29"/>
  <c r="H797" i="29"/>
  <c r="A798" i="29" s="1"/>
  <c r="G797" i="29"/>
  <c r="F797" i="29"/>
  <c r="D797" i="29"/>
  <c r="H796" i="29"/>
  <c r="A797" i="29" s="1"/>
  <c r="G796" i="29"/>
  <c r="F796" i="29"/>
  <c r="D796" i="29"/>
  <c r="H795" i="29"/>
  <c r="A796" i="29" s="1"/>
  <c r="G795" i="29"/>
  <c r="F795" i="29"/>
  <c r="D795" i="29"/>
  <c r="A795" i="29"/>
  <c r="H794" i="29"/>
  <c r="G794" i="29"/>
  <c r="F794" i="29"/>
  <c r="D794" i="29"/>
  <c r="H793" i="29"/>
  <c r="A794" i="29" s="1"/>
  <c r="G793" i="29"/>
  <c r="F793" i="29"/>
  <c r="D793" i="29"/>
  <c r="H792" i="29"/>
  <c r="A793" i="29" s="1"/>
  <c r="G792" i="29"/>
  <c r="F792" i="29"/>
  <c r="D792" i="29"/>
  <c r="H791" i="29"/>
  <c r="A792" i="29" s="1"/>
  <c r="G791" i="29"/>
  <c r="F791" i="29"/>
  <c r="D791" i="29"/>
  <c r="H790" i="29"/>
  <c r="A791" i="29" s="1"/>
  <c r="G790" i="29"/>
  <c r="F790" i="29"/>
  <c r="D790" i="29"/>
  <c r="H789" i="29"/>
  <c r="A790" i="29" s="1"/>
  <c r="G789" i="29"/>
  <c r="F789" i="29"/>
  <c r="D789" i="29"/>
  <c r="H788" i="29"/>
  <c r="A789" i="29" s="1"/>
  <c r="G788" i="29"/>
  <c r="F788" i="29"/>
  <c r="D788" i="29"/>
  <c r="H787" i="29"/>
  <c r="A788" i="29" s="1"/>
  <c r="G787" i="29"/>
  <c r="F787" i="29"/>
  <c r="D787" i="29"/>
  <c r="A787" i="29"/>
  <c r="H786" i="29"/>
  <c r="G786" i="29"/>
  <c r="F786" i="29"/>
  <c r="D786" i="29"/>
  <c r="H785" i="29"/>
  <c r="A786" i="29" s="1"/>
  <c r="G785" i="29"/>
  <c r="F785" i="29"/>
  <c r="D785" i="29"/>
  <c r="H784" i="29"/>
  <c r="A785" i="29" s="1"/>
  <c r="G784" i="29"/>
  <c r="F784" i="29"/>
  <c r="D784" i="29"/>
  <c r="H783" i="29"/>
  <c r="A784" i="29" s="1"/>
  <c r="G783" i="29"/>
  <c r="F783" i="29"/>
  <c r="D783" i="29"/>
  <c r="H782" i="29"/>
  <c r="A783" i="29" s="1"/>
  <c r="G782" i="29"/>
  <c r="F782" i="29"/>
  <c r="D782" i="29"/>
  <c r="H781" i="29"/>
  <c r="A782" i="29" s="1"/>
  <c r="G781" i="29"/>
  <c r="F781" i="29"/>
  <c r="D781" i="29"/>
  <c r="H780" i="29"/>
  <c r="A781" i="29" s="1"/>
  <c r="G780" i="29"/>
  <c r="F780" i="29"/>
  <c r="D780" i="29"/>
  <c r="H779" i="29"/>
  <c r="A780" i="29" s="1"/>
  <c r="G779" i="29"/>
  <c r="F779" i="29"/>
  <c r="D779" i="29"/>
  <c r="H778" i="29"/>
  <c r="A779" i="29" s="1"/>
  <c r="G778" i="29"/>
  <c r="F778" i="29"/>
  <c r="D778" i="29"/>
  <c r="H777" i="29"/>
  <c r="A778" i="29" s="1"/>
  <c r="G777" i="29"/>
  <c r="F777" i="29"/>
  <c r="D777" i="29"/>
  <c r="A777" i="29"/>
  <c r="H776" i="29"/>
  <c r="G776" i="29"/>
  <c r="F776" i="29"/>
  <c r="D776" i="29"/>
  <c r="H775" i="29"/>
  <c r="A776" i="29" s="1"/>
  <c r="G775" i="29"/>
  <c r="F775" i="29"/>
  <c r="D775" i="29"/>
  <c r="H774" i="29"/>
  <c r="A775" i="29" s="1"/>
  <c r="G774" i="29"/>
  <c r="F774" i="29"/>
  <c r="D774" i="29"/>
  <c r="H773" i="29"/>
  <c r="A774" i="29" s="1"/>
  <c r="G773" i="29"/>
  <c r="F773" i="29"/>
  <c r="D773" i="29"/>
  <c r="A773" i="29"/>
  <c r="H772" i="29"/>
  <c r="G772" i="29"/>
  <c r="F772" i="29"/>
  <c r="D772" i="29"/>
  <c r="H771" i="29"/>
  <c r="A772" i="29" s="1"/>
  <c r="G771" i="29"/>
  <c r="F771" i="29"/>
  <c r="D771" i="29"/>
  <c r="H770" i="29"/>
  <c r="A771" i="29" s="1"/>
  <c r="G770" i="29"/>
  <c r="F770" i="29"/>
  <c r="D770" i="29"/>
  <c r="H769" i="29"/>
  <c r="A770" i="29" s="1"/>
  <c r="G769" i="29"/>
  <c r="F769" i="29"/>
  <c r="D769" i="29"/>
  <c r="H768" i="29"/>
  <c r="A769" i="29" s="1"/>
  <c r="G768" i="29"/>
  <c r="F768" i="29"/>
  <c r="D768" i="29"/>
  <c r="H767" i="29"/>
  <c r="A768" i="29" s="1"/>
  <c r="G767" i="29"/>
  <c r="F767" i="29"/>
  <c r="D767" i="29"/>
  <c r="H766" i="29"/>
  <c r="A767" i="29" s="1"/>
  <c r="G766" i="29"/>
  <c r="F766" i="29"/>
  <c r="D766" i="29"/>
  <c r="H765" i="29"/>
  <c r="A766" i="29" s="1"/>
  <c r="G765" i="29"/>
  <c r="F765" i="29"/>
  <c r="D765" i="29"/>
  <c r="A765" i="29"/>
  <c r="H764" i="29"/>
  <c r="G764" i="29"/>
  <c r="F764" i="29"/>
  <c r="D764" i="29"/>
  <c r="H763" i="29"/>
  <c r="A764" i="29" s="1"/>
  <c r="G763" i="29"/>
  <c r="F763" i="29"/>
  <c r="D763" i="29"/>
  <c r="A763" i="29"/>
  <c r="H762" i="29"/>
  <c r="G762" i="29"/>
  <c r="F762" i="29"/>
  <c r="D762" i="29"/>
  <c r="H761" i="29"/>
  <c r="A762" i="29" s="1"/>
  <c r="G761" i="29"/>
  <c r="F761" i="29"/>
  <c r="D761" i="29"/>
  <c r="H760" i="29"/>
  <c r="A761" i="29" s="1"/>
  <c r="G760" i="29"/>
  <c r="F760" i="29"/>
  <c r="D760" i="29"/>
  <c r="H759" i="29"/>
  <c r="A760" i="29" s="1"/>
  <c r="G759" i="29"/>
  <c r="F759" i="29"/>
  <c r="D759" i="29"/>
  <c r="H758" i="29"/>
  <c r="A759" i="29" s="1"/>
  <c r="G758" i="29"/>
  <c r="F758" i="29"/>
  <c r="D758" i="29"/>
  <c r="H757" i="29"/>
  <c r="A758" i="29" s="1"/>
  <c r="G757" i="29"/>
  <c r="F757" i="29"/>
  <c r="D757" i="29"/>
  <c r="A757" i="29"/>
  <c r="H756" i="29"/>
  <c r="G756" i="29"/>
  <c r="F756" i="29"/>
  <c r="D756" i="29"/>
  <c r="H755" i="29"/>
  <c r="A756" i="29" s="1"/>
  <c r="G755" i="29"/>
  <c r="F755" i="29"/>
  <c r="D755" i="29"/>
  <c r="H754" i="29"/>
  <c r="A755" i="29" s="1"/>
  <c r="G754" i="29"/>
  <c r="F754" i="29"/>
  <c r="D754" i="29"/>
  <c r="H753" i="29"/>
  <c r="A754" i="29" s="1"/>
  <c r="G753" i="29"/>
  <c r="F753" i="29"/>
  <c r="D753" i="29"/>
  <c r="H752" i="29"/>
  <c r="A753" i="29" s="1"/>
  <c r="G752" i="29"/>
  <c r="F752" i="29"/>
  <c r="D752" i="29"/>
  <c r="H751" i="29"/>
  <c r="A752" i="29" s="1"/>
  <c r="G751" i="29"/>
  <c r="F751" i="29"/>
  <c r="D751" i="29"/>
  <c r="H750" i="29"/>
  <c r="A751" i="29" s="1"/>
  <c r="G750" i="29"/>
  <c r="F750" i="29"/>
  <c r="D750" i="29"/>
  <c r="H749" i="29"/>
  <c r="A750" i="29" s="1"/>
  <c r="G749" i="29"/>
  <c r="F749" i="29"/>
  <c r="D749" i="29"/>
  <c r="H748" i="29"/>
  <c r="A749" i="29" s="1"/>
  <c r="G748" i="29"/>
  <c r="F748" i="29"/>
  <c r="D748" i="29"/>
  <c r="H747" i="29"/>
  <c r="A748" i="29" s="1"/>
  <c r="G747" i="29"/>
  <c r="F747" i="29"/>
  <c r="D747" i="29"/>
  <c r="H746" i="29"/>
  <c r="A747" i="29" s="1"/>
  <c r="G746" i="29"/>
  <c r="F746" i="29"/>
  <c r="D746" i="29"/>
  <c r="H745" i="29"/>
  <c r="A746" i="29" s="1"/>
  <c r="G745" i="29"/>
  <c r="F745" i="29"/>
  <c r="D745" i="29"/>
  <c r="A745" i="29"/>
  <c r="H744" i="29"/>
  <c r="G744" i="29"/>
  <c r="F744" i="29"/>
  <c r="D744" i="29"/>
  <c r="H743" i="29"/>
  <c r="A744" i="29" s="1"/>
  <c r="G743" i="29"/>
  <c r="F743" i="29"/>
  <c r="D743" i="29"/>
  <c r="A743" i="29"/>
  <c r="H742" i="29"/>
  <c r="G742" i="29"/>
  <c r="F742" i="29"/>
  <c r="D742" i="29"/>
  <c r="H741" i="29"/>
  <c r="A742" i="29" s="1"/>
  <c r="G741" i="29"/>
  <c r="F741" i="29"/>
  <c r="D741" i="29"/>
  <c r="H740" i="29"/>
  <c r="A741" i="29" s="1"/>
  <c r="G740" i="29"/>
  <c r="F740" i="29"/>
  <c r="D740" i="29"/>
  <c r="H739" i="29"/>
  <c r="A740" i="29" s="1"/>
  <c r="G739" i="29"/>
  <c r="F739" i="29"/>
  <c r="D739" i="29"/>
  <c r="H738" i="29"/>
  <c r="A739" i="29" s="1"/>
  <c r="G738" i="29"/>
  <c r="F738" i="29"/>
  <c r="D738" i="29"/>
  <c r="H737" i="29"/>
  <c r="A738" i="29" s="1"/>
  <c r="G737" i="29"/>
  <c r="F737" i="29"/>
  <c r="D737" i="29"/>
  <c r="A737" i="29"/>
  <c r="H736" i="29"/>
  <c r="G736" i="29"/>
  <c r="F736" i="29"/>
  <c r="D736" i="29"/>
  <c r="H735" i="29"/>
  <c r="A736" i="29" s="1"/>
  <c r="G735" i="29"/>
  <c r="F735" i="29"/>
  <c r="D735" i="29"/>
  <c r="H734" i="29"/>
  <c r="A735" i="29" s="1"/>
  <c r="G734" i="29"/>
  <c r="F734" i="29"/>
  <c r="D734" i="29"/>
  <c r="H733" i="29"/>
  <c r="A734" i="29" s="1"/>
  <c r="G733" i="29"/>
  <c r="F733" i="29"/>
  <c r="D733" i="29"/>
  <c r="H732" i="29"/>
  <c r="A733" i="29" s="1"/>
  <c r="G732" i="29"/>
  <c r="F732" i="29"/>
  <c r="D732" i="29"/>
  <c r="H731" i="29"/>
  <c r="A732" i="29" s="1"/>
  <c r="G731" i="29"/>
  <c r="F731" i="29"/>
  <c r="D731" i="29"/>
  <c r="A731" i="29"/>
  <c r="H730" i="29"/>
  <c r="G730" i="29"/>
  <c r="F730" i="29"/>
  <c r="D730" i="29"/>
  <c r="H729" i="29"/>
  <c r="A730" i="29" s="1"/>
  <c r="G729" i="29"/>
  <c r="F729" i="29"/>
  <c r="D729" i="29"/>
  <c r="H728" i="29"/>
  <c r="A729" i="29" s="1"/>
  <c r="G728" i="29"/>
  <c r="F728" i="29"/>
  <c r="D728" i="29"/>
  <c r="H727" i="29"/>
  <c r="A728" i="29" s="1"/>
  <c r="G727" i="29"/>
  <c r="F727" i="29"/>
  <c r="D727" i="29"/>
  <c r="A727" i="29"/>
  <c r="H726" i="29"/>
  <c r="G726" i="29"/>
  <c r="F726" i="29"/>
  <c r="D726" i="29"/>
  <c r="H725" i="29"/>
  <c r="A726" i="29" s="1"/>
  <c r="G725" i="29"/>
  <c r="F725" i="29"/>
  <c r="D725" i="29"/>
  <c r="H724" i="29"/>
  <c r="A725" i="29" s="1"/>
  <c r="G724" i="29"/>
  <c r="F724" i="29"/>
  <c r="D724" i="29"/>
  <c r="H723" i="29"/>
  <c r="A724" i="29" s="1"/>
  <c r="G723" i="29"/>
  <c r="F723" i="29"/>
  <c r="D723" i="29"/>
  <c r="A723" i="29"/>
  <c r="H722" i="29"/>
  <c r="G722" i="29"/>
  <c r="F722" i="29"/>
  <c r="D722" i="29"/>
  <c r="H721" i="29"/>
  <c r="A722" i="29" s="1"/>
  <c r="G721" i="29"/>
  <c r="F721" i="29"/>
  <c r="D721" i="29"/>
  <c r="H720" i="29"/>
  <c r="A721" i="29" s="1"/>
  <c r="G720" i="29"/>
  <c r="F720" i="29"/>
  <c r="D720" i="29"/>
  <c r="H719" i="29"/>
  <c r="A720" i="29" s="1"/>
  <c r="G719" i="29"/>
  <c r="F719" i="29"/>
  <c r="D719" i="29"/>
  <c r="H718" i="29"/>
  <c r="A719" i="29" s="1"/>
  <c r="G718" i="29"/>
  <c r="F718" i="29"/>
  <c r="D718" i="29"/>
  <c r="H717" i="29"/>
  <c r="A718" i="29" s="1"/>
  <c r="G717" i="29"/>
  <c r="F717" i="29"/>
  <c r="D717" i="29"/>
  <c r="H716" i="29"/>
  <c r="A717" i="29" s="1"/>
  <c r="G716" i="29"/>
  <c r="F716" i="29"/>
  <c r="D716" i="29"/>
  <c r="H715" i="29"/>
  <c r="A716" i="29" s="1"/>
  <c r="G715" i="29"/>
  <c r="F715" i="29"/>
  <c r="D715" i="29"/>
  <c r="H714" i="29"/>
  <c r="A715" i="29" s="1"/>
  <c r="G714" i="29"/>
  <c r="F714" i="29"/>
  <c r="D714" i="29"/>
  <c r="H713" i="29"/>
  <c r="A714" i="29" s="1"/>
  <c r="G713" i="29"/>
  <c r="F713" i="29"/>
  <c r="D713" i="29"/>
  <c r="H712" i="29"/>
  <c r="A713" i="29" s="1"/>
  <c r="G712" i="29"/>
  <c r="F712" i="29"/>
  <c r="D712" i="29"/>
  <c r="H711" i="29"/>
  <c r="A712" i="29" s="1"/>
  <c r="G711" i="29"/>
  <c r="F711" i="29"/>
  <c r="D711" i="29"/>
  <c r="A711" i="29"/>
  <c r="H710" i="29"/>
  <c r="G710" i="29"/>
  <c r="F710" i="29"/>
  <c r="D710" i="29"/>
  <c r="H709" i="29"/>
  <c r="A710" i="29" s="1"/>
  <c r="G709" i="29"/>
  <c r="F709" i="29"/>
  <c r="D709" i="29"/>
  <c r="H708" i="29"/>
  <c r="A709" i="29" s="1"/>
  <c r="G708" i="29"/>
  <c r="F708" i="29"/>
  <c r="D708" i="29"/>
  <c r="H707" i="29"/>
  <c r="A708" i="29" s="1"/>
  <c r="G707" i="29"/>
  <c r="F707" i="29"/>
  <c r="D707" i="29"/>
  <c r="A707" i="29"/>
  <c r="H706" i="29"/>
  <c r="G706" i="29"/>
  <c r="F706" i="29"/>
  <c r="D706" i="29"/>
  <c r="H705" i="29"/>
  <c r="A706" i="29" s="1"/>
  <c r="G705" i="29"/>
  <c r="F705" i="29"/>
  <c r="D705" i="29"/>
  <c r="A705" i="29"/>
  <c r="H704" i="29"/>
  <c r="G704" i="29"/>
  <c r="F704" i="29"/>
  <c r="D704" i="29"/>
  <c r="H703" i="29"/>
  <c r="A704" i="29" s="1"/>
  <c r="G703" i="29"/>
  <c r="F703" i="29"/>
  <c r="D703" i="29"/>
  <c r="H702" i="29"/>
  <c r="A703" i="29" s="1"/>
  <c r="G702" i="29"/>
  <c r="F702" i="29"/>
  <c r="D702" i="29"/>
  <c r="H701" i="29"/>
  <c r="A702" i="29" s="1"/>
  <c r="G701" i="29"/>
  <c r="F701" i="29"/>
  <c r="D701" i="29"/>
  <c r="H700" i="29"/>
  <c r="A701" i="29" s="1"/>
  <c r="G700" i="29"/>
  <c r="F700" i="29"/>
  <c r="D700" i="29"/>
  <c r="A700" i="29"/>
  <c r="H699" i="29"/>
  <c r="G699" i="29"/>
  <c r="F699" i="29"/>
  <c r="D699" i="29"/>
  <c r="H698" i="29"/>
  <c r="A699" i="29" s="1"/>
  <c r="G698" i="29"/>
  <c r="F698" i="29"/>
  <c r="D698" i="29"/>
  <c r="H697" i="29"/>
  <c r="A698" i="29" s="1"/>
  <c r="G697" i="29"/>
  <c r="F697" i="29"/>
  <c r="D697" i="29"/>
  <c r="H696" i="29"/>
  <c r="A697" i="29" s="1"/>
  <c r="G696" i="29"/>
  <c r="F696" i="29"/>
  <c r="D696" i="29"/>
  <c r="H695" i="29"/>
  <c r="A696" i="29" s="1"/>
  <c r="G695" i="29"/>
  <c r="F695" i="29"/>
  <c r="D695" i="29"/>
  <c r="A695" i="29"/>
  <c r="H694" i="29"/>
  <c r="G694" i="29"/>
  <c r="F694" i="29"/>
  <c r="D694" i="29"/>
  <c r="H693" i="29"/>
  <c r="A694" i="29" s="1"/>
  <c r="G693" i="29"/>
  <c r="F693" i="29"/>
  <c r="D693" i="29"/>
  <c r="H692" i="29"/>
  <c r="A693" i="29" s="1"/>
  <c r="G692" i="29"/>
  <c r="F692" i="29"/>
  <c r="D692" i="29"/>
  <c r="H691" i="29"/>
  <c r="A692" i="29" s="1"/>
  <c r="G691" i="29"/>
  <c r="F691" i="29"/>
  <c r="D691" i="29"/>
  <c r="H690" i="29"/>
  <c r="A691" i="29" s="1"/>
  <c r="G690" i="29"/>
  <c r="F690" i="29"/>
  <c r="D690" i="29"/>
  <c r="H689" i="29"/>
  <c r="A690" i="29" s="1"/>
  <c r="G689" i="29"/>
  <c r="F689" i="29"/>
  <c r="D689" i="29"/>
  <c r="H688" i="29"/>
  <c r="A689" i="29" s="1"/>
  <c r="G688" i="29"/>
  <c r="F688" i="29"/>
  <c r="D688" i="29"/>
  <c r="H687" i="29"/>
  <c r="A688" i="29" s="1"/>
  <c r="G687" i="29"/>
  <c r="F687" i="29"/>
  <c r="D687" i="29"/>
  <c r="A687" i="29"/>
  <c r="H686" i="29"/>
  <c r="G686" i="29"/>
  <c r="F686" i="29"/>
  <c r="D686" i="29"/>
  <c r="H685" i="29"/>
  <c r="A686" i="29" s="1"/>
  <c r="G685" i="29"/>
  <c r="F685" i="29"/>
  <c r="D685" i="29"/>
  <c r="H684" i="29"/>
  <c r="A685" i="29" s="1"/>
  <c r="G684" i="29"/>
  <c r="F684" i="29"/>
  <c r="D684" i="29"/>
  <c r="H683" i="29"/>
  <c r="A684" i="29" s="1"/>
  <c r="G683" i="29"/>
  <c r="F683" i="29"/>
  <c r="D683" i="29"/>
  <c r="H682" i="29"/>
  <c r="A683" i="29" s="1"/>
  <c r="G682" i="29"/>
  <c r="F682" i="29"/>
  <c r="D682" i="29"/>
  <c r="H681" i="29"/>
  <c r="A682" i="29" s="1"/>
  <c r="G681" i="29"/>
  <c r="F681" i="29"/>
  <c r="D681" i="29"/>
  <c r="H680" i="29"/>
  <c r="A681" i="29" s="1"/>
  <c r="G680" i="29"/>
  <c r="F680" i="29"/>
  <c r="D680" i="29"/>
  <c r="H679" i="29"/>
  <c r="A680" i="29" s="1"/>
  <c r="G679" i="29"/>
  <c r="F679" i="29"/>
  <c r="D679" i="29"/>
  <c r="H678" i="29"/>
  <c r="A679" i="29" s="1"/>
  <c r="G678" i="29"/>
  <c r="F678" i="29"/>
  <c r="D678" i="29"/>
  <c r="H677" i="29"/>
  <c r="A678" i="29" s="1"/>
  <c r="G677" i="29"/>
  <c r="F677" i="29"/>
  <c r="D677" i="29"/>
  <c r="H676" i="29"/>
  <c r="A677" i="29" s="1"/>
  <c r="G676" i="29"/>
  <c r="F676" i="29"/>
  <c r="D676" i="29"/>
  <c r="A676" i="29"/>
  <c r="H675" i="29"/>
  <c r="G675" i="29"/>
  <c r="F675" i="29"/>
  <c r="D675" i="29"/>
  <c r="H674" i="29"/>
  <c r="A675" i="29" s="1"/>
  <c r="G674" i="29"/>
  <c r="F674" i="29"/>
  <c r="D674" i="29"/>
  <c r="H673" i="29"/>
  <c r="A674" i="29" s="1"/>
  <c r="G673" i="29"/>
  <c r="F673" i="29"/>
  <c r="D673" i="29"/>
  <c r="A673" i="29"/>
  <c r="H672" i="29"/>
  <c r="G672" i="29"/>
  <c r="F672" i="29"/>
  <c r="D672" i="29"/>
  <c r="H671" i="29"/>
  <c r="A672" i="29" s="1"/>
  <c r="G671" i="29"/>
  <c r="F671" i="29"/>
  <c r="D671" i="29"/>
  <c r="A671" i="29"/>
  <c r="H670" i="29"/>
  <c r="G670" i="29"/>
  <c r="F670" i="29"/>
  <c r="D670" i="29"/>
  <c r="H669" i="29"/>
  <c r="A670" i="29" s="1"/>
  <c r="G669" i="29"/>
  <c r="F669" i="29"/>
  <c r="D669" i="29"/>
  <c r="H668" i="29"/>
  <c r="A669" i="29" s="1"/>
  <c r="G668" i="29"/>
  <c r="F668" i="29"/>
  <c r="D668" i="29"/>
  <c r="H667" i="29"/>
  <c r="A668" i="29" s="1"/>
  <c r="G667" i="29"/>
  <c r="F667" i="29"/>
  <c r="D667" i="29"/>
  <c r="H666" i="29"/>
  <c r="A667" i="29" s="1"/>
  <c r="G666" i="29"/>
  <c r="F666" i="29"/>
  <c r="D666" i="29"/>
  <c r="H665" i="29"/>
  <c r="A666" i="29" s="1"/>
  <c r="G665" i="29"/>
  <c r="F665" i="29"/>
  <c r="D665" i="29"/>
  <c r="H664" i="29"/>
  <c r="A665" i="29" s="1"/>
  <c r="G664" i="29"/>
  <c r="F664" i="29"/>
  <c r="D664" i="29"/>
  <c r="H663" i="29"/>
  <c r="A664" i="29" s="1"/>
  <c r="G663" i="29"/>
  <c r="F663" i="29"/>
  <c r="D663" i="29"/>
  <c r="A663" i="29"/>
  <c r="H662" i="29"/>
  <c r="G662" i="29"/>
  <c r="F662" i="29"/>
  <c r="D662" i="29"/>
  <c r="H661" i="29"/>
  <c r="A662" i="29" s="1"/>
  <c r="G661" i="29"/>
  <c r="F661" i="29"/>
  <c r="D661" i="29"/>
  <c r="H660" i="29"/>
  <c r="A661" i="29" s="1"/>
  <c r="G660" i="29"/>
  <c r="F660" i="29"/>
  <c r="D660" i="29"/>
  <c r="A660" i="29"/>
  <c r="H659" i="29"/>
  <c r="G659" i="29"/>
  <c r="F659" i="29"/>
  <c r="D659" i="29"/>
  <c r="H658" i="29"/>
  <c r="A659" i="29" s="1"/>
  <c r="G658" i="29"/>
  <c r="F658" i="29"/>
  <c r="D658" i="29"/>
  <c r="H657" i="29"/>
  <c r="A658" i="29" s="1"/>
  <c r="G657" i="29"/>
  <c r="F657" i="29"/>
  <c r="D657" i="29"/>
  <c r="H656" i="29"/>
  <c r="A657" i="29" s="1"/>
  <c r="G656" i="29"/>
  <c r="F656" i="29"/>
  <c r="D656" i="29"/>
  <c r="H655" i="29"/>
  <c r="A656" i="29" s="1"/>
  <c r="G655" i="29"/>
  <c r="F655" i="29"/>
  <c r="D655" i="29"/>
  <c r="A655" i="29"/>
  <c r="H654" i="29"/>
  <c r="G654" i="29"/>
  <c r="F654" i="29"/>
  <c r="D654" i="29"/>
  <c r="H653" i="29"/>
  <c r="A654" i="29" s="1"/>
  <c r="G653" i="29"/>
  <c r="F653" i="29"/>
  <c r="D653" i="29"/>
  <c r="A653" i="29"/>
  <c r="H652" i="29"/>
  <c r="G652" i="29"/>
  <c r="F652" i="29"/>
  <c r="D652" i="29"/>
  <c r="H651" i="29"/>
  <c r="A652" i="29" s="1"/>
  <c r="G651" i="29"/>
  <c r="F651" i="29"/>
  <c r="D651" i="29"/>
  <c r="H650" i="29"/>
  <c r="A651" i="29" s="1"/>
  <c r="G650" i="29"/>
  <c r="F650" i="29"/>
  <c r="D650" i="29"/>
  <c r="H649" i="29"/>
  <c r="A650" i="29" s="1"/>
  <c r="G649" i="29"/>
  <c r="F649" i="29"/>
  <c r="D649" i="29"/>
  <c r="H648" i="29"/>
  <c r="A649" i="29" s="1"/>
  <c r="G648" i="29"/>
  <c r="F648" i="29"/>
  <c r="D648" i="29"/>
  <c r="A648" i="29"/>
  <c r="H647" i="29"/>
  <c r="G647" i="29"/>
  <c r="F647" i="29"/>
  <c r="D647" i="29"/>
  <c r="H646" i="29"/>
  <c r="A647" i="29" s="1"/>
  <c r="G646" i="29"/>
  <c r="F646" i="29"/>
  <c r="D646" i="29"/>
  <c r="H645" i="29"/>
  <c r="A646" i="29" s="1"/>
  <c r="G645" i="29"/>
  <c r="F645" i="29"/>
  <c r="D645" i="29"/>
  <c r="A645" i="29"/>
  <c r="H644" i="29"/>
  <c r="G644" i="29"/>
  <c r="F644" i="29"/>
  <c r="D644" i="29"/>
  <c r="A644" i="29"/>
  <c r="H643" i="29"/>
  <c r="G643" i="29"/>
  <c r="F643" i="29"/>
  <c r="D643" i="29"/>
  <c r="A643" i="29"/>
  <c r="H642" i="29"/>
  <c r="G642" i="29"/>
  <c r="F642" i="29"/>
  <c r="D642" i="29"/>
  <c r="H641" i="29"/>
  <c r="A642" i="29" s="1"/>
  <c r="G641" i="29"/>
  <c r="F641" i="29"/>
  <c r="D641" i="29"/>
  <c r="A641" i="29"/>
  <c r="H640" i="29"/>
  <c r="G640" i="29"/>
  <c r="F640" i="29"/>
  <c r="D640" i="29"/>
  <c r="H639" i="29"/>
  <c r="A640" i="29" s="1"/>
  <c r="G639" i="29"/>
  <c r="F639" i="29"/>
  <c r="D639" i="29"/>
  <c r="H638" i="29"/>
  <c r="A639" i="29" s="1"/>
  <c r="G638" i="29"/>
  <c r="F638" i="29"/>
  <c r="D638" i="29"/>
  <c r="H637" i="29"/>
  <c r="A638" i="29" s="1"/>
  <c r="G637" i="29"/>
  <c r="F637" i="29"/>
  <c r="D637" i="29"/>
  <c r="H636" i="29"/>
  <c r="A637" i="29" s="1"/>
  <c r="G636" i="29"/>
  <c r="F636" i="29"/>
  <c r="D636" i="29"/>
  <c r="A636" i="29"/>
  <c r="H635" i="29"/>
  <c r="G635" i="29"/>
  <c r="F635" i="29"/>
  <c r="D635" i="29"/>
  <c r="H634" i="29"/>
  <c r="A635" i="29" s="1"/>
  <c r="G634" i="29"/>
  <c r="F634" i="29"/>
  <c r="D634" i="29"/>
  <c r="H633" i="29"/>
  <c r="A634" i="29" s="1"/>
  <c r="G633" i="29"/>
  <c r="F633" i="29"/>
  <c r="D633" i="29"/>
  <c r="A633" i="29"/>
  <c r="H632" i="29"/>
  <c r="G632" i="29"/>
  <c r="F632" i="29"/>
  <c r="D632" i="29"/>
  <c r="H631" i="29"/>
  <c r="A632" i="29" s="1"/>
  <c r="G631" i="29"/>
  <c r="F631" i="29"/>
  <c r="D631" i="29"/>
  <c r="H630" i="29"/>
  <c r="A631" i="29" s="1"/>
  <c r="G630" i="29"/>
  <c r="F630" i="29"/>
  <c r="D630" i="29"/>
  <c r="H629" i="29"/>
  <c r="A630" i="29" s="1"/>
  <c r="G629" i="29"/>
  <c r="F629" i="29"/>
  <c r="D629" i="29"/>
  <c r="A629" i="29"/>
  <c r="H628" i="29"/>
  <c r="G628" i="29"/>
  <c r="F628" i="29"/>
  <c r="D628" i="29"/>
  <c r="A628" i="29"/>
  <c r="H627" i="29"/>
  <c r="G627" i="29"/>
  <c r="F627" i="29"/>
  <c r="D627" i="29"/>
  <c r="A627" i="29"/>
  <c r="H626" i="29"/>
  <c r="G626" i="29"/>
  <c r="F626" i="29"/>
  <c r="D626" i="29"/>
  <c r="H625" i="29"/>
  <c r="A626" i="29" s="1"/>
  <c r="G625" i="29"/>
  <c r="F625" i="29"/>
  <c r="D625" i="29"/>
  <c r="H624" i="29"/>
  <c r="A625" i="29" s="1"/>
  <c r="G624" i="29"/>
  <c r="F624" i="29"/>
  <c r="D624" i="29"/>
  <c r="H623" i="29"/>
  <c r="A624" i="29" s="1"/>
  <c r="G623" i="29"/>
  <c r="F623" i="29"/>
  <c r="D623" i="29"/>
  <c r="H622" i="29"/>
  <c r="A623" i="29" s="1"/>
  <c r="G622" i="29"/>
  <c r="F622" i="29"/>
  <c r="D622" i="29"/>
  <c r="H621" i="29"/>
  <c r="A622" i="29" s="1"/>
  <c r="G621" i="29"/>
  <c r="F621" i="29"/>
  <c r="D621" i="29"/>
  <c r="H620" i="29"/>
  <c r="A621" i="29" s="1"/>
  <c r="G620" i="29"/>
  <c r="F620" i="29"/>
  <c r="D620" i="29"/>
  <c r="A620" i="29"/>
  <c r="H619" i="29"/>
  <c r="G619" i="29"/>
  <c r="F619" i="29"/>
  <c r="D619" i="29"/>
  <c r="A619" i="29"/>
  <c r="H618" i="29"/>
  <c r="G618" i="29"/>
  <c r="F618" i="29"/>
  <c r="D618" i="29"/>
  <c r="H617" i="29"/>
  <c r="A618" i="29" s="1"/>
  <c r="G617" i="29"/>
  <c r="F617" i="29"/>
  <c r="D617" i="29"/>
  <c r="A617" i="29"/>
  <c r="H616" i="29"/>
  <c r="G616" i="29"/>
  <c r="F616" i="29"/>
  <c r="D616" i="29"/>
  <c r="H615" i="29"/>
  <c r="A616" i="29" s="1"/>
  <c r="G615" i="29"/>
  <c r="F615" i="29"/>
  <c r="D615" i="29"/>
  <c r="H614" i="29"/>
  <c r="A615" i="29" s="1"/>
  <c r="G614" i="29"/>
  <c r="F614" i="29"/>
  <c r="D614" i="29"/>
  <c r="H613" i="29"/>
  <c r="A614" i="29" s="1"/>
  <c r="G613" i="29"/>
  <c r="F613" i="29"/>
  <c r="D613" i="29"/>
  <c r="H612" i="29"/>
  <c r="A613" i="29" s="1"/>
  <c r="G612" i="29"/>
  <c r="F612" i="29"/>
  <c r="D612" i="29"/>
  <c r="A612" i="29"/>
  <c r="H611" i="29"/>
  <c r="G611" i="29"/>
  <c r="F611" i="29"/>
  <c r="D611" i="29"/>
  <c r="H610" i="29"/>
  <c r="A611" i="29" s="1"/>
  <c r="G610" i="29"/>
  <c r="F610" i="29"/>
  <c r="D610" i="29"/>
  <c r="H609" i="29"/>
  <c r="A610" i="29" s="1"/>
  <c r="G609" i="29"/>
  <c r="F609" i="29"/>
  <c r="D609" i="29"/>
  <c r="H608" i="29"/>
  <c r="A609" i="29" s="1"/>
  <c r="G608" i="29"/>
  <c r="F608" i="29"/>
  <c r="D608" i="29"/>
  <c r="H607" i="29"/>
  <c r="A608" i="29" s="1"/>
  <c r="G607" i="29"/>
  <c r="F607" i="29"/>
  <c r="D607" i="29"/>
  <c r="H606" i="29"/>
  <c r="A607" i="29" s="1"/>
  <c r="G606" i="29"/>
  <c r="F606" i="29"/>
  <c r="D606" i="29"/>
  <c r="H605" i="29"/>
  <c r="A606" i="29" s="1"/>
  <c r="G605" i="29"/>
  <c r="F605" i="29"/>
  <c r="D605" i="29"/>
  <c r="A605" i="29"/>
  <c r="H604" i="29"/>
  <c r="G604" i="29"/>
  <c r="F604" i="29"/>
  <c r="D604" i="29"/>
  <c r="H603" i="29"/>
  <c r="A604" i="29" s="1"/>
  <c r="G603" i="29"/>
  <c r="F603" i="29"/>
  <c r="D603" i="29"/>
  <c r="H602" i="29"/>
  <c r="A603" i="29" s="1"/>
  <c r="G602" i="29"/>
  <c r="F602" i="29"/>
  <c r="D602" i="29"/>
  <c r="H601" i="29"/>
  <c r="A602" i="29" s="1"/>
  <c r="G601" i="29"/>
  <c r="F601" i="29"/>
  <c r="D601" i="29"/>
  <c r="A601" i="29"/>
  <c r="H600" i="29"/>
  <c r="G600" i="29"/>
  <c r="F600" i="29"/>
  <c r="D600" i="29"/>
  <c r="H599" i="29"/>
  <c r="A600" i="29" s="1"/>
  <c r="G599" i="29"/>
  <c r="F599" i="29"/>
  <c r="D599" i="29"/>
  <c r="A599" i="29"/>
  <c r="H598" i="29"/>
  <c r="G598" i="29"/>
  <c r="F598" i="29"/>
  <c r="D598" i="29"/>
  <c r="H597" i="29"/>
  <c r="A598" i="29" s="1"/>
  <c r="G597" i="29"/>
  <c r="F597" i="29"/>
  <c r="D597" i="29"/>
  <c r="H596" i="29"/>
  <c r="A597" i="29" s="1"/>
  <c r="G596" i="29"/>
  <c r="F596" i="29"/>
  <c r="D596" i="29"/>
  <c r="H595" i="29"/>
  <c r="A596" i="29" s="1"/>
  <c r="G595" i="29"/>
  <c r="F595" i="29"/>
  <c r="D595" i="29"/>
  <c r="H594" i="29"/>
  <c r="A595" i="29" s="1"/>
  <c r="G594" i="29"/>
  <c r="F594" i="29"/>
  <c r="D594" i="29"/>
  <c r="H593" i="29"/>
  <c r="A594" i="29" s="1"/>
  <c r="G593" i="29"/>
  <c r="F593" i="29"/>
  <c r="D593" i="29"/>
  <c r="H592" i="29"/>
  <c r="A593" i="29" s="1"/>
  <c r="G592" i="29"/>
  <c r="F592" i="29"/>
  <c r="D592" i="29"/>
  <c r="A592" i="29"/>
  <c r="H591" i="29"/>
  <c r="G591" i="29"/>
  <c r="F591" i="29"/>
  <c r="D591" i="29"/>
  <c r="H590" i="29"/>
  <c r="A591" i="29" s="1"/>
  <c r="G590" i="29"/>
  <c r="F590" i="29"/>
  <c r="D590" i="29"/>
  <c r="H589" i="29"/>
  <c r="A590" i="29" s="1"/>
  <c r="G589" i="29"/>
  <c r="F589" i="29"/>
  <c r="D589" i="29"/>
  <c r="H588" i="29"/>
  <c r="A589" i="29" s="1"/>
  <c r="G588" i="29"/>
  <c r="F588" i="29"/>
  <c r="D588" i="29"/>
  <c r="H587" i="29"/>
  <c r="A588" i="29" s="1"/>
  <c r="G587" i="29"/>
  <c r="F587" i="29"/>
  <c r="D587" i="29"/>
  <c r="A587" i="29"/>
  <c r="H586" i="29"/>
  <c r="G586" i="29"/>
  <c r="F586" i="29"/>
  <c r="D586" i="29"/>
  <c r="H585" i="29"/>
  <c r="A586" i="29" s="1"/>
  <c r="G585" i="29"/>
  <c r="F585" i="29"/>
  <c r="D585" i="29"/>
  <c r="H584" i="29"/>
  <c r="A585" i="29" s="1"/>
  <c r="G584" i="29"/>
  <c r="F584" i="29"/>
  <c r="D584" i="29"/>
  <c r="H583" i="29"/>
  <c r="A584" i="29" s="1"/>
  <c r="G583" i="29"/>
  <c r="F583" i="29"/>
  <c r="D583" i="29"/>
  <c r="A583" i="29"/>
  <c r="H582" i="29"/>
  <c r="G582" i="29"/>
  <c r="F582" i="29"/>
  <c r="D582" i="29"/>
  <c r="H581" i="29"/>
  <c r="A582" i="29" s="1"/>
  <c r="G581" i="29"/>
  <c r="F581" i="29"/>
  <c r="D581" i="29"/>
  <c r="H580" i="29"/>
  <c r="A581" i="29" s="1"/>
  <c r="G580" i="29"/>
  <c r="F580" i="29"/>
  <c r="D580" i="29"/>
  <c r="H579" i="29"/>
  <c r="A580" i="29" s="1"/>
  <c r="G579" i="29"/>
  <c r="F579" i="29"/>
  <c r="D579" i="29"/>
  <c r="H578" i="29"/>
  <c r="A579" i="29" s="1"/>
  <c r="G578" i="29"/>
  <c r="F578" i="29"/>
  <c r="D578" i="29"/>
  <c r="H577" i="29"/>
  <c r="A578" i="29" s="1"/>
  <c r="G577" i="29"/>
  <c r="F577" i="29"/>
  <c r="D577" i="29"/>
  <c r="A577" i="29"/>
  <c r="H576" i="29"/>
  <c r="G576" i="29"/>
  <c r="F576" i="29"/>
  <c r="D576" i="29"/>
  <c r="H575" i="29"/>
  <c r="A576" i="29" s="1"/>
  <c r="G575" i="29"/>
  <c r="F575" i="29"/>
  <c r="D575" i="29"/>
  <c r="H574" i="29"/>
  <c r="A575" i="29" s="1"/>
  <c r="G574" i="29"/>
  <c r="F574" i="29"/>
  <c r="D574" i="29"/>
  <c r="H573" i="29"/>
  <c r="A574" i="29" s="1"/>
  <c r="G573" i="29"/>
  <c r="F573" i="29"/>
  <c r="D573" i="29"/>
  <c r="A573" i="29"/>
  <c r="H572" i="29"/>
  <c r="G572" i="29"/>
  <c r="F572" i="29"/>
  <c r="D572" i="29"/>
  <c r="H571" i="29"/>
  <c r="A572" i="29" s="1"/>
  <c r="G571" i="29"/>
  <c r="F571" i="29"/>
  <c r="D571" i="29"/>
  <c r="H570" i="29"/>
  <c r="A571" i="29" s="1"/>
  <c r="G570" i="29"/>
  <c r="F570" i="29"/>
  <c r="D570" i="29"/>
  <c r="H569" i="29"/>
  <c r="A570" i="29" s="1"/>
  <c r="G569" i="29"/>
  <c r="F569" i="29"/>
  <c r="D569" i="29"/>
  <c r="H568" i="29"/>
  <c r="A569" i="29" s="1"/>
  <c r="G568" i="29"/>
  <c r="F568" i="29"/>
  <c r="D568" i="29"/>
  <c r="H567" i="29"/>
  <c r="A568" i="29" s="1"/>
  <c r="G567" i="29"/>
  <c r="F567" i="29"/>
  <c r="D567" i="29"/>
  <c r="H566" i="29"/>
  <c r="A567" i="29" s="1"/>
  <c r="G566" i="29"/>
  <c r="F566" i="29"/>
  <c r="D566" i="29"/>
  <c r="H565" i="29"/>
  <c r="A566" i="29" s="1"/>
  <c r="G565" i="29"/>
  <c r="F565" i="29"/>
  <c r="D565" i="29"/>
  <c r="A565" i="29"/>
  <c r="H564" i="29"/>
  <c r="G564" i="29"/>
  <c r="F564" i="29"/>
  <c r="D564" i="29"/>
  <c r="H563" i="29"/>
  <c r="A564" i="29" s="1"/>
  <c r="G563" i="29"/>
  <c r="F563" i="29"/>
  <c r="D563" i="29"/>
  <c r="A563" i="29"/>
  <c r="H562" i="29"/>
  <c r="G562" i="29"/>
  <c r="F562" i="29"/>
  <c r="D562" i="29"/>
  <c r="H561" i="29"/>
  <c r="A562" i="29" s="1"/>
  <c r="G561" i="29"/>
  <c r="F561" i="29"/>
  <c r="D561" i="29"/>
  <c r="H560" i="29"/>
  <c r="A561" i="29" s="1"/>
  <c r="G560" i="29"/>
  <c r="F560" i="29"/>
  <c r="D560" i="29"/>
  <c r="H559" i="29"/>
  <c r="A560" i="29" s="1"/>
  <c r="G559" i="29"/>
  <c r="F559" i="29"/>
  <c r="D559" i="29"/>
  <c r="A559" i="29"/>
  <c r="H558" i="29"/>
  <c r="G558" i="29"/>
  <c r="F558" i="29"/>
  <c r="D558" i="29"/>
  <c r="H557" i="29"/>
  <c r="A558" i="29" s="1"/>
  <c r="G557" i="29"/>
  <c r="F557" i="29"/>
  <c r="D557" i="29"/>
  <c r="H556" i="29"/>
  <c r="A557" i="29" s="1"/>
  <c r="G556" i="29"/>
  <c r="F556" i="29"/>
  <c r="D556" i="29"/>
  <c r="H555" i="29"/>
  <c r="A556" i="29" s="1"/>
  <c r="G555" i="29"/>
  <c r="F555" i="29"/>
  <c r="D555" i="29"/>
  <c r="H554" i="29"/>
  <c r="A555" i="29" s="1"/>
  <c r="G554" i="29"/>
  <c r="F554" i="29"/>
  <c r="D554" i="29"/>
  <c r="H553" i="29"/>
  <c r="A554" i="29" s="1"/>
  <c r="G553" i="29"/>
  <c r="F553" i="29"/>
  <c r="D553" i="29"/>
  <c r="A553" i="29"/>
  <c r="H552" i="29"/>
  <c r="G552" i="29"/>
  <c r="F552" i="29"/>
  <c r="D552" i="29"/>
  <c r="H551" i="29"/>
  <c r="A552" i="29" s="1"/>
  <c r="G551" i="29"/>
  <c r="F551" i="29"/>
  <c r="D551" i="29"/>
  <c r="H550" i="29"/>
  <c r="A551" i="29" s="1"/>
  <c r="G550" i="29"/>
  <c r="F550" i="29"/>
  <c r="D550" i="29"/>
  <c r="H549" i="29"/>
  <c r="A550" i="29" s="1"/>
  <c r="G549" i="29"/>
  <c r="F549" i="29"/>
  <c r="D549" i="29"/>
  <c r="A549" i="29"/>
  <c r="H548" i="29"/>
  <c r="G548" i="29"/>
  <c r="F548" i="29"/>
  <c r="D548" i="29"/>
  <c r="H547" i="29"/>
  <c r="A548" i="29" s="1"/>
  <c r="G547" i="29"/>
  <c r="F547" i="29"/>
  <c r="D547" i="29"/>
  <c r="H546" i="29"/>
  <c r="A547" i="29" s="1"/>
  <c r="G546" i="29"/>
  <c r="F546" i="29"/>
  <c r="D546" i="29"/>
  <c r="H545" i="29"/>
  <c r="A546" i="29" s="1"/>
  <c r="G545" i="29"/>
  <c r="F545" i="29"/>
  <c r="D545" i="29"/>
  <c r="H544" i="29"/>
  <c r="A545" i="29" s="1"/>
  <c r="G544" i="29"/>
  <c r="F544" i="29"/>
  <c r="D544" i="29"/>
  <c r="H543" i="29"/>
  <c r="A544" i="29" s="1"/>
  <c r="G543" i="29"/>
  <c r="F543" i="29"/>
  <c r="D543" i="29"/>
  <c r="H542" i="29"/>
  <c r="A543" i="29" s="1"/>
  <c r="G542" i="29"/>
  <c r="F542" i="29"/>
  <c r="D542" i="29"/>
  <c r="H541" i="29"/>
  <c r="A542" i="29" s="1"/>
  <c r="G541" i="29"/>
  <c r="F541" i="29"/>
  <c r="D541" i="29"/>
  <c r="A541" i="29"/>
  <c r="H540" i="29"/>
  <c r="G540" i="29"/>
  <c r="F540" i="29"/>
  <c r="D540" i="29"/>
  <c r="A540" i="29"/>
  <c r="H539" i="29"/>
  <c r="G539" i="29"/>
  <c r="F539" i="29"/>
  <c r="D539" i="29"/>
  <c r="A539" i="29"/>
  <c r="H538" i="29"/>
  <c r="G538" i="29"/>
  <c r="F538" i="29"/>
  <c r="D538" i="29"/>
  <c r="H537" i="29"/>
  <c r="A538" i="29" s="1"/>
  <c r="G537" i="29"/>
  <c r="F537" i="29"/>
  <c r="D537" i="29"/>
  <c r="A537" i="29"/>
  <c r="H536" i="29"/>
  <c r="G536" i="29"/>
  <c r="F536" i="29"/>
  <c r="D536" i="29"/>
  <c r="H535" i="29"/>
  <c r="A536" i="29" s="1"/>
  <c r="G535" i="29"/>
  <c r="F535" i="29"/>
  <c r="D535" i="29"/>
  <c r="H534" i="29"/>
  <c r="A535" i="29" s="1"/>
  <c r="G534" i="29"/>
  <c r="F534" i="29"/>
  <c r="D534" i="29"/>
  <c r="H533" i="29"/>
  <c r="A534" i="29" s="1"/>
  <c r="G533" i="29"/>
  <c r="F533" i="29"/>
  <c r="D533" i="29"/>
  <c r="H532" i="29"/>
  <c r="A533" i="29" s="1"/>
  <c r="G532" i="29"/>
  <c r="F532" i="29"/>
  <c r="D532" i="29"/>
  <c r="A532" i="29"/>
  <c r="H531" i="29"/>
  <c r="G531" i="29"/>
  <c r="F531" i="29"/>
  <c r="D531" i="29"/>
  <c r="H530" i="29"/>
  <c r="A531" i="29" s="1"/>
  <c r="G530" i="29"/>
  <c r="F530" i="29"/>
  <c r="D530" i="29"/>
  <c r="H529" i="29"/>
  <c r="A530" i="29" s="1"/>
  <c r="G529" i="29"/>
  <c r="F529" i="29"/>
  <c r="D529" i="29"/>
  <c r="A529" i="29"/>
  <c r="H528" i="29"/>
  <c r="G528" i="29"/>
  <c r="F528" i="29"/>
  <c r="D528" i="29"/>
  <c r="H527" i="29"/>
  <c r="A528" i="29" s="1"/>
  <c r="G527" i="29"/>
  <c r="F527" i="29"/>
  <c r="D527" i="29"/>
  <c r="H526" i="29"/>
  <c r="A527" i="29" s="1"/>
  <c r="G526" i="29"/>
  <c r="F526" i="29"/>
  <c r="D526" i="29"/>
  <c r="H525" i="29"/>
  <c r="A526" i="29" s="1"/>
  <c r="G525" i="29"/>
  <c r="F525" i="29"/>
  <c r="D525" i="29"/>
  <c r="A525" i="29"/>
  <c r="H524" i="29"/>
  <c r="G524" i="29"/>
  <c r="F524" i="29"/>
  <c r="D524" i="29"/>
  <c r="A524" i="29"/>
  <c r="H523" i="29"/>
  <c r="G523" i="29"/>
  <c r="F523" i="29"/>
  <c r="D523" i="29"/>
  <c r="H522" i="29"/>
  <c r="A523" i="29" s="1"/>
  <c r="G522" i="29"/>
  <c r="F522" i="29"/>
  <c r="D522" i="29"/>
  <c r="H521" i="29"/>
  <c r="A522" i="29" s="1"/>
  <c r="G521" i="29"/>
  <c r="F521" i="29"/>
  <c r="D521" i="29"/>
  <c r="H520" i="29"/>
  <c r="A521" i="29" s="1"/>
  <c r="G520" i="29"/>
  <c r="F520" i="29"/>
  <c r="D520" i="29"/>
  <c r="H519" i="29"/>
  <c r="A520" i="29" s="1"/>
  <c r="G519" i="29"/>
  <c r="F519" i="29"/>
  <c r="D519" i="29"/>
  <c r="A519" i="29"/>
  <c r="H518" i="29"/>
  <c r="G518" i="29"/>
  <c r="F518" i="29"/>
  <c r="D518" i="29"/>
  <c r="H517" i="29"/>
  <c r="A518" i="29" s="1"/>
  <c r="G517" i="29"/>
  <c r="F517" i="29"/>
  <c r="D517" i="29"/>
  <c r="H516" i="29"/>
  <c r="A517" i="29" s="1"/>
  <c r="G516" i="29"/>
  <c r="F516" i="29"/>
  <c r="D516" i="29"/>
  <c r="A516" i="29"/>
  <c r="H515" i="29"/>
  <c r="G515" i="29"/>
  <c r="F515" i="29"/>
  <c r="D515" i="29"/>
  <c r="H514" i="29"/>
  <c r="A515" i="29" s="1"/>
  <c r="G514" i="29"/>
  <c r="F514" i="29"/>
  <c r="D514" i="29"/>
  <c r="H513" i="29"/>
  <c r="A514" i="29" s="1"/>
  <c r="G513" i="29"/>
  <c r="F513" i="29"/>
  <c r="D513" i="29"/>
  <c r="A513" i="29"/>
  <c r="H512" i="29"/>
  <c r="G512" i="29"/>
  <c r="F512" i="29"/>
  <c r="D512" i="29"/>
  <c r="H511" i="29"/>
  <c r="A512" i="29" s="1"/>
  <c r="G511" i="29"/>
  <c r="F511" i="29"/>
  <c r="D511" i="29"/>
  <c r="A511" i="29"/>
  <c r="H510" i="29"/>
  <c r="G510" i="29"/>
  <c r="F510" i="29"/>
  <c r="D510" i="29"/>
  <c r="H509" i="29"/>
  <c r="A510" i="29" s="1"/>
  <c r="G509" i="29"/>
  <c r="F509" i="29"/>
  <c r="D509" i="29"/>
  <c r="A509" i="29"/>
  <c r="H508" i="29"/>
  <c r="G508" i="29"/>
  <c r="F508" i="29"/>
  <c r="D508" i="29"/>
  <c r="H507" i="29"/>
  <c r="A508" i="29" s="1"/>
  <c r="G507" i="29"/>
  <c r="F507" i="29"/>
  <c r="D507" i="29"/>
  <c r="H506" i="29"/>
  <c r="A507" i="29" s="1"/>
  <c r="G506" i="29"/>
  <c r="F506" i="29"/>
  <c r="D506" i="29"/>
  <c r="H505" i="29"/>
  <c r="A506" i="29" s="1"/>
  <c r="G505" i="29"/>
  <c r="F505" i="29"/>
  <c r="D505" i="29"/>
  <c r="H504" i="29"/>
  <c r="A505" i="29" s="1"/>
  <c r="G504" i="29"/>
  <c r="F504" i="29"/>
  <c r="D504" i="29"/>
  <c r="H503" i="29"/>
  <c r="A504" i="29" s="1"/>
  <c r="G503" i="29"/>
  <c r="F503" i="29"/>
  <c r="D503" i="29"/>
  <c r="A503" i="29"/>
  <c r="H502" i="29"/>
  <c r="G502" i="29"/>
  <c r="F502" i="29"/>
  <c r="D502" i="29"/>
  <c r="H501" i="29"/>
  <c r="A502" i="29" s="1"/>
  <c r="G501" i="29"/>
  <c r="F501" i="29"/>
  <c r="D501" i="29"/>
  <c r="A501" i="29"/>
  <c r="H500" i="29"/>
  <c r="G500" i="29"/>
  <c r="F500" i="29"/>
  <c r="D500" i="29"/>
  <c r="A500" i="29"/>
  <c r="H499" i="29"/>
  <c r="G499" i="29"/>
  <c r="F499" i="29"/>
  <c r="D499" i="29"/>
  <c r="H498" i="29"/>
  <c r="A499" i="29" s="1"/>
  <c r="G498" i="29"/>
  <c r="F498" i="29"/>
  <c r="D498" i="29"/>
  <c r="H497" i="29"/>
  <c r="A498" i="29" s="1"/>
  <c r="G497" i="29"/>
  <c r="F497" i="29"/>
  <c r="D497" i="29"/>
  <c r="A497" i="29"/>
  <c r="H496" i="29"/>
  <c r="G496" i="29"/>
  <c r="F496" i="29"/>
  <c r="D496" i="29"/>
  <c r="A496" i="29"/>
  <c r="H495" i="29"/>
  <c r="G495" i="29"/>
  <c r="F495" i="29"/>
  <c r="D495" i="29"/>
  <c r="A495" i="29"/>
  <c r="H494" i="29"/>
  <c r="G494" i="29"/>
  <c r="F494" i="29"/>
  <c r="D494" i="29"/>
  <c r="H493" i="29"/>
  <c r="A494" i="29" s="1"/>
  <c r="G493" i="29"/>
  <c r="F493" i="29"/>
  <c r="D493" i="29"/>
  <c r="H492" i="29"/>
  <c r="A493" i="29" s="1"/>
  <c r="G492" i="29"/>
  <c r="F492" i="29"/>
  <c r="D492" i="29"/>
  <c r="H491" i="29"/>
  <c r="A492" i="29" s="1"/>
  <c r="G491" i="29"/>
  <c r="F491" i="29"/>
  <c r="D491" i="29"/>
  <c r="H490" i="29"/>
  <c r="A491" i="29" s="1"/>
  <c r="G490" i="29"/>
  <c r="F490" i="29"/>
  <c r="D490" i="29"/>
  <c r="H489" i="29"/>
  <c r="A490" i="29" s="1"/>
  <c r="G489" i="29"/>
  <c r="F489" i="29"/>
  <c r="D489" i="29"/>
  <c r="H488" i="29"/>
  <c r="A489" i="29" s="1"/>
  <c r="G488" i="29"/>
  <c r="F488" i="29"/>
  <c r="D488" i="29"/>
  <c r="H487" i="29"/>
  <c r="A488" i="29" s="1"/>
  <c r="G487" i="29"/>
  <c r="F487" i="29"/>
  <c r="D487" i="29"/>
  <c r="A487" i="29"/>
  <c r="H486" i="29"/>
  <c r="G486" i="29"/>
  <c r="F486" i="29"/>
  <c r="D486" i="29"/>
  <c r="H485" i="29"/>
  <c r="A486" i="29" s="1"/>
  <c r="G485" i="29"/>
  <c r="F485" i="29"/>
  <c r="D485" i="29"/>
  <c r="H484" i="29"/>
  <c r="A485" i="29" s="1"/>
  <c r="G484" i="29"/>
  <c r="F484" i="29"/>
  <c r="D484" i="29"/>
  <c r="H483" i="29"/>
  <c r="A484" i="29" s="1"/>
  <c r="G483" i="29"/>
  <c r="F483" i="29"/>
  <c r="D483" i="29"/>
  <c r="H482" i="29"/>
  <c r="A483" i="29" s="1"/>
  <c r="G482" i="29"/>
  <c r="F482" i="29"/>
  <c r="D482" i="29"/>
  <c r="H481" i="29"/>
  <c r="A482" i="29" s="1"/>
  <c r="G481" i="29"/>
  <c r="F481" i="29"/>
  <c r="D481" i="29"/>
  <c r="H480" i="29"/>
  <c r="A481" i="29" s="1"/>
  <c r="G480" i="29"/>
  <c r="F480" i="29"/>
  <c r="D480" i="29"/>
  <c r="H479" i="29"/>
  <c r="A480" i="29" s="1"/>
  <c r="G479" i="29"/>
  <c r="F479" i="29"/>
  <c r="D479" i="29"/>
  <c r="H478" i="29"/>
  <c r="A479" i="29" s="1"/>
  <c r="G478" i="29"/>
  <c r="F478" i="29"/>
  <c r="D478" i="29"/>
  <c r="H477" i="29"/>
  <c r="A478" i="29" s="1"/>
  <c r="G477" i="29"/>
  <c r="F477" i="29"/>
  <c r="D477" i="29"/>
  <c r="A477" i="29"/>
  <c r="H476" i="29"/>
  <c r="G476" i="29"/>
  <c r="F476" i="29"/>
  <c r="D476" i="29"/>
  <c r="H475" i="29"/>
  <c r="A476" i="29" s="1"/>
  <c r="G475" i="29"/>
  <c r="F475" i="29"/>
  <c r="D475" i="29"/>
  <c r="A475" i="29"/>
  <c r="H474" i="29"/>
  <c r="G474" i="29"/>
  <c r="F474" i="29"/>
  <c r="D474" i="29"/>
  <c r="H473" i="29"/>
  <c r="A474" i="29" s="1"/>
  <c r="G473" i="29"/>
  <c r="F473" i="29"/>
  <c r="D473" i="29"/>
  <c r="H472" i="29"/>
  <c r="A473" i="29" s="1"/>
  <c r="G472" i="29"/>
  <c r="F472" i="29"/>
  <c r="D472" i="29"/>
  <c r="H471" i="29"/>
  <c r="A472" i="29" s="1"/>
  <c r="G471" i="29"/>
  <c r="F471" i="29"/>
  <c r="D471" i="29"/>
  <c r="A471" i="29"/>
  <c r="H470" i="29"/>
  <c r="G470" i="29"/>
  <c r="F470" i="29"/>
  <c r="D470" i="29"/>
  <c r="H469" i="29"/>
  <c r="A470" i="29" s="1"/>
  <c r="G469" i="29"/>
  <c r="F469" i="29"/>
  <c r="D469" i="29"/>
  <c r="A469" i="29"/>
  <c r="H468" i="29"/>
  <c r="G468" i="29"/>
  <c r="F468" i="29"/>
  <c r="D468" i="29"/>
  <c r="H467" i="29"/>
  <c r="A468" i="29" s="1"/>
  <c r="G467" i="29"/>
  <c r="F467" i="29"/>
  <c r="D467" i="29"/>
  <c r="H466" i="29"/>
  <c r="A467" i="29" s="1"/>
  <c r="G466" i="29"/>
  <c r="F466" i="29"/>
  <c r="D466" i="29"/>
  <c r="H465" i="29"/>
  <c r="A466" i="29" s="1"/>
  <c r="G465" i="29"/>
  <c r="F465" i="29"/>
  <c r="D465" i="29"/>
  <c r="H464" i="29"/>
  <c r="A465" i="29" s="1"/>
  <c r="G464" i="29"/>
  <c r="F464" i="29"/>
  <c r="D464" i="29"/>
  <c r="A464" i="29"/>
  <c r="H463" i="29"/>
  <c r="G463" i="29"/>
  <c r="F463" i="29"/>
  <c r="D463" i="29"/>
  <c r="H462" i="29"/>
  <c r="A463" i="29" s="1"/>
  <c r="G462" i="29"/>
  <c r="F462" i="29"/>
  <c r="D462" i="29"/>
  <c r="H461" i="29"/>
  <c r="A462" i="29" s="1"/>
  <c r="G461" i="29"/>
  <c r="F461" i="29"/>
  <c r="D461" i="29"/>
  <c r="A461" i="29"/>
  <c r="H460" i="29"/>
  <c r="G460" i="29"/>
  <c r="F460" i="29"/>
  <c r="D460" i="29"/>
  <c r="H459" i="29"/>
  <c r="A460" i="29" s="1"/>
  <c r="G459" i="29"/>
  <c r="F459" i="29"/>
  <c r="D459" i="29"/>
  <c r="H458" i="29"/>
  <c r="A459" i="29" s="1"/>
  <c r="G458" i="29"/>
  <c r="F458" i="29"/>
  <c r="D458" i="29"/>
  <c r="H457" i="29"/>
  <c r="A458" i="29" s="1"/>
  <c r="G457" i="29"/>
  <c r="F457" i="29"/>
  <c r="D457" i="29"/>
  <c r="A457" i="29"/>
  <c r="H456" i="29"/>
  <c r="G456" i="29"/>
  <c r="F456" i="29"/>
  <c r="D456" i="29"/>
  <c r="H455" i="29"/>
  <c r="A456" i="29" s="1"/>
  <c r="G455" i="29"/>
  <c r="F455" i="29"/>
  <c r="D455" i="29"/>
  <c r="H454" i="29"/>
  <c r="A455" i="29" s="1"/>
  <c r="G454" i="29"/>
  <c r="F454" i="29"/>
  <c r="D454" i="29"/>
  <c r="H453" i="29"/>
  <c r="A454" i="29" s="1"/>
  <c r="G453" i="29"/>
  <c r="F453" i="29"/>
  <c r="D453" i="29"/>
  <c r="A453" i="29"/>
  <c r="H452" i="29"/>
  <c r="G452" i="29"/>
  <c r="F452" i="29"/>
  <c r="D452" i="29"/>
  <c r="H451" i="29"/>
  <c r="A452" i="29" s="1"/>
  <c r="G451" i="29"/>
  <c r="F451" i="29"/>
  <c r="D451" i="29"/>
  <c r="H450" i="29"/>
  <c r="A451" i="29" s="1"/>
  <c r="G450" i="29"/>
  <c r="F450" i="29"/>
  <c r="D450" i="29"/>
  <c r="H449" i="29"/>
  <c r="A450" i="29" s="1"/>
  <c r="G449" i="29"/>
  <c r="F449" i="29"/>
  <c r="D449" i="29"/>
  <c r="A449" i="29"/>
  <c r="H448" i="29"/>
  <c r="G448" i="29"/>
  <c r="F448" i="29"/>
  <c r="D448" i="29"/>
  <c r="H447" i="29"/>
  <c r="A448" i="29" s="1"/>
  <c r="G447" i="29"/>
  <c r="F447" i="29"/>
  <c r="D447" i="29"/>
  <c r="H446" i="29"/>
  <c r="A447" i="29" s="1"/>
  <c r="G446" i="29"/>
  <c r="F446" i="29"/>
  <c r="D446" i="29"/>
  <c r="H445" i="29"/>
  <c r="A446" i="29" s="1"/>
  <c r="G445" i="29"/>
  <c r="F445" i="29"/>
  <c r="D445" i="29"/>
  <c r="A445" i="29"/>
  <c r="H444" i="29"/>
  <c r="G444" i="29"/>
  <c r="F444" i="29"/>
  <c r="D444" i="29"/>
  <c r="H443" i="29"/>
  <c r="A444" i="29" s="1"/>
  <c r="G443" i="29"/>
  <c r="F443" i="29"/>
  <c r="D443" i="29"/>
  <c r="H442" i="29"/>
  <c r="A443" i="29" s="1"/>
  <c r="G442" i="29"/>
  <c r="F442" i="29"/>
  <c r="D442" i="29"/>
  <c r="H441" i="29"/>
  <c r="A442" i="29" s="1"/>
  <c r="G441" i="29"/>
  <c r="F441" i="29"/>
  <c r="D441" i="29"/>
  <c r="A441" i="29"/>
  <c r="H440" i="29"/>
  <c r="G440" i="29"/>
  <c r="F440" i="29"/>
  <c r="D440" i="29"/>
  <c r="H439" i="29"/>
  <c r="A440" i="29" s="1"/>
  <c r="G439" i="29"/>
  <c r="F439" i="29"/>
  <c r="D439" i="29"/>
  <c r="A439" i="29"/>
  <c r="H438" i="29"/>
  <c r="G438" i="29"/>
  <c r="F438" i="29"/>
  <c r="D438" i="29"/>
  <c r="H437" i="29"/>
  <c r="A438" i="29" s="1"/>
  <c r="G437" i="29"/>
  <c r="F437" i="29"/>
  <c r="D437" i="29"/>
  <c r="A437" i="29"/>
  <c r="H436" i="29"/>
  <c r="G436" i="29"/>
  <c r="F436" i="29"/>
  <c r="D436" i="29"/>
  <c r="H435" i="29"/>
  <c r="A436" i="29" s="1"/>
  <c r="G435" i="29"/>
  <c r="F435" i="29"/>
  <c r="D435" i="29"/>
  <c r="A435" i="29"/>
  <c r="H434" i="29"/>
  <c r="G434" i="29"/>
  <c r="F434" i="29"/>
  <c r="D434" i="29"/>
  <c r="H433" i="29"/>
  <c r="A434" i="29" s="1"/>
  <c r="G433" i="29"/>
  <c r="F433" i="29"/>
  <c r="D433" i="29"/>
  <c r="A433" i="29"/>
  <c r="H432" i="29"/>
  <c r="G432" i="29"/>
  <c r="F432" i="29"/>
  <c r="D432" i="29"/>
  <c r="H431" i="29"/>
  <c r="A432" i="29" s="1"/>
  <c r="G431" i="29"/>
  <c r="F431" i="29"/>
  <c r="D431" i="29"/>
  <c r="A431" i="29"/>
  <c r="H430" i="29"/>
  <c r="G430" i="29"/>
  <c r="F430" i="29"/>
  <c r="D430" i="29"/>
  <c r="H429" i="29"/>
  <c r="A430" i="29" s="1"/>
  <c r="G429" i="29"/>
  <c r="F429" i="29"/>
  <c r="D429" i="29"/>
  <c r="A429" i="29"/>
  <c r="H428" i="29"/>
  <c r="G428" i="29"/>
  <c r="F428" i="29"/>
  <c r="D428" i="29"/>
  <c r="H427" i="29"/>
  <c r="A428" i="29" s="1"/>
  <c r="G427" i="29"/>
  <c r="F427" i="29"/>
  <c r="D427" i="29"/>
  <c r="H426" i="29"/>
  <c r="A427" i="29" s="1"/>
  <c r="G426" i="29"/>
  <c r="F426" i="29"/>
  <c r="D426" i="29"/>
  <c r="H425" i="29"/>
  <c r="A426" i="29" s="1"/>
  <c r="G425" i="29"/>
  <c r="F425" i="29"/>
  <c r="D425" i="29"/>
  <c r="A425" i="29"/>
  <c r="H424" i="29"/>
  <c r="G424" i="29"/>
  <c r="F424" i="29"/>
  <c r="D424" i="29"/>
  <c r="H423" i="29"/>
  <c r="A424" i="29" s="1"/>
  <c r="G423" i="29"/>
  <c r="F423" i="29"/>
  <c r="D423" i="29"/>
  <c r="A423" i="29"/>
  <c r="H422" i="29"/>
  <c r="G422" i="29"/>
  <c r="F422" i="29"/>
  <c r="D422" i="29"/>
  <c r="H421" i="29"/>
  <c r="A422" i="29" s="1"/>
  <c r="G421" i="29"/>
  <c r="F421" i="29"/>
  <c r="D421" i="29"/>
  <c r="A421" i="29"/>
  <c r="H420" i="29"/>
  <c r="G420" i="29"/>
  <c r="F420" i="29"/>
  <c r="D420" i="29"/>
  <c r="H419" i="29"/>
  <c r="A420" i="29" s="1"/>
  <c r="G419" i="29"/>
  <c r="F419" i="29"/>
  <c r="D419" i="29"/>
  <c r="A419" i="29"/>
  <c r="H418" i="29"/>
  <c r="G418" i="29"/>
  <c r="F418" i="29"/>
  <c r="D418" i="29"/>
  <c r="A418" i="29"/>
  <c r="H417" i="29"/>
  <c r="G417" i="29"/>
  <c r="F417" i="29"/>
  <c r="D417" i="29"/>
  <c r="A417" i="29"/>
  <c r="H416" i="29"/>
  <c r="G416" i="29"/>
  <c r="F416" i="29"/>
  <c r="D416" i="29"/>
  <c r="H415" i="29"/>
  <c r="A416" i="29" s="1"/>
  <c r="G415" i="29"/>
  <c r="F415" i="29"/>
  <c r="D415" i="29"/>
  <c r="A415" i="29"/>
  <c r="H414" i="29"/>
  <c r="G414" i="29"/>
  <c r="F414" i="29"/>
  <c r="D414" i="29"/>
  <c r="A414" i="29"/>
  <c r="H413" i="29"/>
  <c r="G413" i="29"/>
  <c r="F413" i="29"/>
  <c r="D413" i="29"/>
  <c r="A413" i="29"/>
  <c r="H412" i="29"/>
  <c r="G412" i="29"/>
  <c r="F412" i="29"/>
  <c r="D412" i="29"/>
  <c r="H411" i="29"/>
  <c r="A412" i="29" s="1"/>
  <c r="G411" i="29"/>
  <c r="F411" i="29"/>
  <c r="D411" i="29"/>
  <c r="H410" i="29"/>
  <c r="A411" i="29" s="1"/>
  <c r="G410" i="29"/>
  <c r="F410" i="29"/>
  <c r="D410" i="29"/>
  <c r="A410" i="29"/>
  <c r="H409" i="29"/>
  <c r="G409" i="29"/>
  <c r="F409" i="29"/>
  <c r="D409" i="29"/>
  <c r="A409" i="29"/>
  <c r="H408" i="29"/>
  <c r="G408" i="29"/>
  <c r="F408" i="29"/>
  <c r="D408" i="29"/>
  <c r="H407" i="29"/>
  <c r="A408" i="29" s="1"/>
  <c r="G407" i="29"/>
  <c r="F407" i="29"/>
  <c r="D407" i="29"/>
  <c r="A407" i="29"/>
  <c r="H406" i="29"/>
  <c r="G406" i="29"/>
  <c r="F406" i="29"/>
  <c r="D406" i="29"/>
  <c r="H405" i="29"/>
  <c r="A406" i="29" s="1"/>
  <c r="G405" i="29"/>
  <c r="F405" i="29"/>
  <c r="D405" i="29"/>
  <c r="A405" i="29"/>
  <c r="H404" i="29"/>
  <c r="G404" i="29"/>
  <c r="F404" i="29"/>
  <c r="D404" i="29"/>
  <c r="H403" i="29"/>
  <c r="A404" i="29" s="1"/>
  <c r="G403" i="29"/>
  <c r="F403" i="29"/>
  <c r="D403" i="29"/>
  <c r="A403" i="29"/>
  <c r="H402" i="29"/>
  <c r="G402" i="29"/>
  <c r="F402" i="29"/>
  <c r="D402" i="29"/>
  <c r="A402" i="29"/>
  <c r="H401" i="29"/>
  <c r="G401" i="29"/>
  <c r="F401" i="29"/>
  <c r="D401" i="29"/>
  <c r="A401" i="29"/>
  <c r="H400" i="29"/>
  <c r="G400" i="29"/>
  <c r="F400" i="29"/>
  <c r="D400" i="29"/>
  <c r="H399" i="29"/>
  <c r="A400" i="29" s="1"/>
  <c r="G399" i="29"/>
  <c r="F399" i="29"/>
  <c r="D399" i="29"/>
  <c r="H398" i="29"/>
  <c r="A399" i="29" s="1"/>
  <c r="G398" i="29"/>
  <c r="F398" i="29"/>
  <c r="D398" i="29"/>
  <c r="A398" i="29"/>
  <c r="H397" i="29"/>
  <c r="G397" i="29"/>
  <c r="F397" i="29"/>
  <c r="D397" i="29"/>
  <c r="A397" i="29"/>
  <c r="H396" i="29"/>
  <c r="G396" i="29"/>
  <c r="F396" i="29"/>
  <c r="D396" i="29"/>
  <c r="H395" i="29"/>
  <c r="A396" i="29" s="1"/>
  <c r="G395" i="29"/>
  <c r="F395" i="29"/>
  <c r="D395" i="29"/>
  <c r="H394" i="29"/>
  <c r="A395" i="29" s="1"/>
  <c r="G394" i="29"/>
  <c r="F394" i="29"/>
  <c r="D394" i="29"/>
  <c r="A394" i="29"/>
  <c r="H393" i="29"/>
  <c r="G393" i="29"/>
  <c r="F393" i="29"/>
  <c r="D393" i="29"/>
  <c r="A393" i="29"/>
  <c r="H392" i="29"/>
  <c r="G392" i="29"/>
  <c r="F392" i="29"/>
  <c r="D392" i="29"/>
  <c r="H391" i="29"/>
  <c r="A392" i="29" s="1"/>
  <c r="G391" i="29"/>
  <c r="F391" i="29"/>
  <c r="D391" i="29"/>
  <c r="H390" i="29"/>
  <c r="A391" i="29" s="1"/>
  <c r="G390" i="29"/>
  <c r="F390" i="29"/>
  <c r="D390" i="29"/>
  <c r="H389" i="29"/>
  <c r="A390" i="29" s="1"/>
  <c r="G389" i="29"/>
  <c r="F389" i="29"/>
  <c r="D389" i="29"/>
  <c r="A389" i="29"/>
  <c r="H388" i="29"/>
  <c r="G388" i="29"/>
  <c r="F388" i="29"/>
  <c r="D388" i="29"/>
  <c r="H387" i="29"/>
  <c r="A388" i="29" s="1"/>
  <c r="G387" i="29"/>
  <c r="F387" i="29"/>
  <c r="D387" i="29"/>
  <c r="H386" i="29"/>
  <c r="A387" i="29" s="1"/>
  <c r="G386" i="29"/>
  <c r="F386" i="29"/>
  <c r="D386" i="29"/>
  <c r="A386" i="29"/>
  <c r="H385" i="29"/>
  <c r="G385" i="29"/>
  <c r="F385" i="29"/>
  <c r="D385" i="29"/>
  <c r="A385" i="29"/>
  <c r="H384" i="29"/>
  <c r="G384" i="29"/>
  <c r="F384" i="29"/>
  <c r="D384" i="29"/>
  <c r="H383" i="29"/>
  <c r="A384" i="29" s="1"/>
  <c r="G383" i="29"/>
  <c r="F383" i="29"/>
  <c r="D383" i="29"/>
  <c r="H382" i="29"/>
  <c r="A383" i="29" s="1"/>
  <c r="G382" i="29"/>
  <c r="F382" i="29"/>
  <c r="D382" i="29"/>
  <c r="A382" i="29"/>
  <c r="H381" i="29"/>
  <c r="G381" i="29"/>
  <c r="F381" i="29"/>
  <c r="D381" i="29"/>
  <c r="A381" i="29"/>
  <c r="H380" i="29"/>
  <c r="G380" i="29"/>
  <c r="F380" i="29"/>
  <c r="D380" i="29"/>
  <c r="H379" i="29"/>
  <c r="A380" i="29" s="1"/>
  <c r="G379" i="29"/>
  <c r="F379" i="29"/>
  <c r="D379" i="29"/>
  <c r="H378" i="29"/>
  <c r="A379" i="29" s="1"/>
  <c r="G378" i="29"/>
  <c r="F378" i="29"/>
  <c r="D378" i="29"/>
  <c r="H377" i="29"/>
  <c r="A378" i="29" s="1"/>
  <c r="G377" i="29"/>
  <c r="F377" i="29"/>
  <c r="D377" i="29"/>
  <c r="A377" i="29"/>
  <c r="H376" i="29"/>
  <c r="G376" i="29"/>
  <c r="F376" i="29"/>
  <c r="D376" i="29"/>
  <c r="H375" i="29"/>
  <c r="A376" i="29" s="1"/>
  <c r="G375" i="29"/>
  <c r="F375" i="29"/>
  <c r="D375" i="29"/>
  <c r="H374" i="29"/>
  <c r="A375" i="29" s="1"/>
  <c r="G374" i="29"/>
  <c r="F374" i="29"/>
  <c r="D374" i="29"/>
  <c r="H373" i="29"/>
  <c r="A374" i="29" s="1"/>
  <c r="G373" i="29"/>
  <c r="F373" i="29"/>
  <c r="D373" i="29"/>
  <c r="A373" i="29"/>
  <c r="H372" i="29"/>
  <c r="G372" i="29"/>
  <c r="F372" i="29"/>
  <c r="D372" i="29"/>
  <c r="H371" i="29"/>
  <c r="A372" i="29" s="1"/>
  <c r="G371" i="29"/>
  <c r="F371" i="29"/>
  <c r="D371" i="29"/>
  <c r="H370" i="29"/>
  <c r="A371" i="29" s="1"/>
  <c r="G370" i="29"/>
  <c r="F370" i="29"/>
  <c r="D370" i="29"/>
  <c r="H369" i="29"/>
  <c r="A370" i="29" s="1"/>
  <c r="G369" i="29"/>
  <c r="F369" i="29"/>
  <c r="D369" i="29"/>
  <c r="A369" i="29"/>
  <c r="H368" i="29"/>
  <c r="G368" i="29"/>
  <c r="F368" i="29"/>
  <c r="D368" i="29"/>
  <c r="H367" i="29"/>
  <c r="A368" i="29" s="1"/>
  <c r="G367" i="29"/>
  <c r="F367" i="29"/>
  <c r="D367" i="29"/>
  <c r="H366" i="29"/>
  <c r="A367" i="29" s="1"/>
  <c r="G366" i="29"/>
  <c r="F366" i="29"/>
  <c r="D366" i="29"/>
  <c r="H365" i="29"/>
  <c r="A366" i="29" s="1"/>
  <c r="G365" i="29"/>
  <c r="F365" i="29"/>
  <c r="D365" i="29"/>
  <c r="A365" i="29"/>
  <c r="H364" i="29"/>
  <c r="G364" i="29"/>
  <c r="F364" i="29"/>
  <c r="D364" i="29"/>
  <c r="H363" i="29"/>
  <c r="A364" i="29" s="1"/>
  <c r="G363" i="29"/>
  <c r="F363" i="29"/>
  <c r="D363" i="29"/>
  <c r="H362" i="29"/>
  <c r="A363" i="29" s="1"/>
  <c r="G362" i="29"/>
  <c r="F362" i="29"/>
  <c r="D362" i="29"/>
  <c r="H361" i="29"/>
  <c r="A362" i="29" s="1"/>
  <c r="G361" i="29"/>
  <c r="F361" i="29"/>
  <c r="D361" i="29"/>
  <c r="A361" i="29"/>
  <c r="H360" i="29"/>
  <c r="G360" i="29"/>
  <c r="F360" i="29"/>
  <c r="D360" i="29"/>
  <c r="H359" i="29"/>
  <c r="A360" i="29" s="1"/>
  <c r="G359" i="29"/>
  <c r="F359" i="29"/>
  <c r="D359" i="29"/>
  <c r="A359" i="29"/>
  <c r="H358" i="29"/>
  <c r="G358" i="29"/>
  <c r="F358" i="29"/>
  <c r="D358" i="29"/>
  <c r="H357" i="29"/>
  <c r="A358" i="29" s="1"/>
  <c r="G357" i="29"/>
  <c r="F357" i="29"/>
  <c r="D357" i="29"/>
  <c r="A357" i="29"/>
  <c r="H356" i="29"/>
  <c r="G356" i="29"/>
  <c r="F356" i="29"/>
  <c r="D356" i="29"/>
  <c r="H355" i="29"/>
  <c r="A356" i="29" s="1"/>
  <c r="G355" i="29"/>
  <c r="F355" i="29"/>
  <c r="D355" i="29"/>
  <c r="A355" i="29"/>
  <c r="H354" i="29"/>
  <c r="G354" i="29"/>
  <c r="F354" i="29"/>
  <c r="D354" i="29"/>
  <c r="H353" i="29"/>
  <c r="A354" i="29" s="1"/>
  <c r="G353" i="29"/>
  <c r="F353" i="29"/>
  <c r="D353" i="29"/>
  <c r="A353" i="29"/>
  <c r="H352" i="29"/>
  <c r="G352" i="29"/>
  <c r="F352" i="29"/>
  <c r="D352" i="29"/>
  <c r="H351" i="29"/>
  <c r="A352" i="29" s="1"/>
  <c r="G351" i="29"/>
  <c r="F351" i="29"/>
  <c r="D351" i="29"/>
  <c r="H350" i="29"/>
  <c r="A351" i="29" s="1"/>
  <c r="G350" i="29"/>
  <c r="F350" i="29"/>
  <c r="D350" i="29"/>
  <c r="H349" i="29"/>
  <c r="A350" i="29" s="1"/>
  <c r="G349" i="29"/>
  <c r="F349" i="29"/>
  <c r="D349" i="29"/>
  <c r="A349" i="29"/>
  <c r="H348" i="29"/>
  <c r="G348" i="29"/>
  <c r="F348" i="29"/>
  <c r="D348" i="29"/>
  <c r="H347" i="29"/>
  <c r="A348" i="29" s="1"/>
  <c r="G347" i="29"/>
  <c r="F347" i="29"/>
  <c r="D347" i="29"/>
  <c r="H346" i="29"/>
  <c r="A347" i="29" s="1"/>
  <c r="G346" i="29"/>
  <c r="F346" i="29"/>
  <c r="D346" i="29"/>
  <c r="H345" i="29"/>
  <c r="A346" i="29" s="1"/>
  <c r="G345" i="29"/>
  <c r="F345" i="29"/>
  <c r="D345" i="29"/>
  <c r="A345" i="29"/>
  <c r="H344" i="29"/>
  <c r="G344" i="29"/>
  <c r="F344" i="29"/>
  <c r="D344" i="29"/>
  <c r="H343" i="29"/>
  <c r="A344" i="29" s="1"/>
  <c r="G343" i="29"/>
  <c r="F343" i="29"/>
  <c r="D343" i="29"/>
  <c r="A343" i="29"/>
  <c r="H342" i="29"/>
  <c r="G342" i="29"/>
  <c r="F342" i="29"/>
  <c r="D342" i="29"/>
  <c r="H341" i="29"/>
  <c r="A342" i="29" s="1"/>
  <c r="G341" i="29"/>
  <c r="F341" i="29"/>
  <c r="D341" i="29"/>
  <c r="A341" i="29"/>
  <c r="H340" i="29"/>
  <c r="G340" i="29"/>
  <c r="F340" i="29"/>
  <c r="D340" i="29"/>
  <c r="H339" i="29"/>
  <c r="A340" i="29" s="1"/>
  <c r="G339" i="29"/>
  <c r="F339" i="29"/>
  <c r="D339" i="29"/>
  <c r="A339" i="29"/>
  <c r="H338" i="29"/>
  <c r="G338" i="29"/>
  <c r="F338" i="29"/>
  <c r="D338" i="29"/>
  <c r="A338" i="29"/>
  <c r="H337" i="29"/>
  <c r="G337" i="29"/>
  <c r="F337" i="29"/>
  <c r="D337" i="29"/>
  <c r="A337" i="29"/>
  <c r="H336" i="29"/>
  <c r="G336" i="29"/>
  <c r="F336" i="29"/>
  <c r="D336" i="29"/>
  <c r="H335" i="29"/>
  <c r="A336" i="29" s="1"/>
  <c r="G335" i="29"/>
  <c r="F335" i="29"/>
  <c r="D335" i="29"/>
  <c r="A335" i="29"/>
  <c r="H334" i="29"/>
  <c r="G334" i="29"/>
  <c r="F334" i="29"/>
  <c r="D334" i="29"/>
  <c r="A334" i="29"/>
  <c r="H333" i="29"/>
  <c r="G333" i="29"/>
  <c r="F333" i="29"/>
  <c r="D333" i="29"/>
  <c r="A333" i="29"/>
  <c r="H332" i="29"/>
  <c r="G332" i="29"/>
  <c r="F332" i="29"/>
  <c r="D332" i="29"/>
  <c r="H331" i="29"/>
  <c r="A332" i="29" s="1"/>
  <c r="G331" i="29"/>
  <c r="F331" i="29"/>
  <c r="D331" i="29"/>
  <c r="H330" i="29"/>
  <c r="A331" i="29" s="1"/>
  <c r="G330" i="29"/>
  <c r="F330" i="29"/>
  <c r="D330" i="29"/>
  <c r="H329" i="29"/>
  <c r="A330" i="29" s="1"/>
  <c r="G329" i="29"/>
  <c r="F329" i="29"/>
  <c r="D329" i="29"/>
  <c r="A329" i="29"/>
  <c r="H328" i="29"/>
  <c r="G328" i="29"/>
  <c r="F328" i="29"/>
  <c r="D328" i="29"/>
  <c r="H327" i="29"/>
  <c r="A328" i="29" s="1"/>
  <c r="G327" i="29"/>
  <c r="F327" i="29"/>
  <c r="D327" i="29"/>
  <c r="A327" i="29"/>
  <c r="H326" i="29"/>
  <c r="G326" i="29"/>
  <c r="F326" i="29"/>
  <c r="D326" i="29"/>
  <c r="H325" i="29"/>
  <c r="A326" i="29" s="1"/>
  <c r="G325" i="29"/>
  <c r="F325" i="29"/>
  <c r="D325" i="29"/>
  <c r="A325" i="29"/>
  <c r="H324" i="29"/>
  <c r="G324" i="29"/>
  <c r="F324" i="29"/>
  <c r="D324" i="29"/>
  <c r="H323" i="29"/>
  <c r="A324" i="29" s="1"/>
  <c r="G323" i="29"/>
  <c r="F323" i="29"/>
  <c r="D323" i="29"/>
  <c r="A323" i="29"/>
  <c r="H322" i="29"/>
  <c r="G322" i="29"/>
  <c r="F322" i="29"/>
  <c r="D322" i="29"/>
  <c r="A322" i="29"/>
  <c r="H321" i="29"/>
  <c r="G321" i="29"/>
  <c r="F321" i="29"/>
  <c r="D321" i="29"/>
  <c r="A321" i="29"/>
  <c r="H320" i="29"/>
  <c r="G320" i="29"/>
  <c r="F320" i="29"/>
  <c r="D320" i="29"/>
  <c r="H319" i="29"/>
  <c r="A320" i="29" s="1"/>
  <c r="G319" i="29"/>
  <c r="F319" i="29"/>
  <c r="D319" i="29"/>
  <c r="H318" i="29"/>
  <c r="A319" i="29" s="1"/>
  <c r="G318" i="29"/>
  <c r="F318" i="29"/>
  <c r="D318" i="29"/>
  <c r="A318" i="29"/>
  <c r="H317" i="29"/>
  <c r="G317" i="29"/>
  <c r="F317" i="29"/>
  <c r="D317" i="29"/>
  <c r="A317" i="29"/>
  <c r="H316" i="29"/>
  <c r="G316" i="29"/>
  <c r="F316" i="29"/>
  <c r="D316" i="29"/>
  <c r="H315" i="29"/>
  <c r="A316" i="29" s="1"/>
  <c r="G315" i="29"/>
  <c r="F315" i="29"/>
  <c r="D315" i="29"/>
  <c r="H314" i="29"/>
  <c r="A315" i="29" s="1"/>
  <c r="G314" i="29"/>
  <c r="F314" i="29"/>
  <c r="D314" i="29"/>
  <c r="A314" i="29"/>
  <c r="H313" i="29"/>
  <c r="G313" i="29"/>
  <c r="F313" i="29"/>
  <c r="D313" i="29"/>
  <c r="A313" i="29"/>
  <c r="H312" i="29"/>
  <c r="G312" i="29"/>
  <c r="F312" i="29"/>
  <c r="D312" i="29"/>
  <c r="H311" i="29"/>
  <c r="A312" i="29" s="1"/>
  <c r="G311" i="29"/>
  <c r="F311" i="29"/>
  <c r="D311" i="29"/>
  <c r="H310" i="29"/>
  <c r="A311" i="29" s="1"/>
  <c r="G310" i="29"/>
  <c r="F310" i="29"/>
  <c r="D310" i="29"/>
  <c r="H309" i="29"/>
  <c r="A310" i="29" s="1"/>
  <c r="G309" i="29"/>
  <c r="F309" i="29"/>
  <c r="D309" i="29"/>
  <c r="A309" i="29"/>
  <c r="H308" i="29"/>
  <c r="G308" i="29"/>
  <c r="F308" i="29"/>
  <c r="D308" i="29"/>
  <c r="H307" i="29"/>
  <c r="A308" i="29" s="1"/>
  <c r="G307" i="29"/>
  <c r="F307" i="29"/>
  <c r="D307" i="29"/>
  <c r="H306" i="29"/>
  <c r="A307" i="29" s="1"/>
  <c r="G306" i="29"/>
  <c r="F306" i="29"/>
  <c r="D306" i="29"/>
  <c r="A306" i="29"/>
  <c r="H305" i="29"/>
  <c r="G305" i="29"/>
  <c r="F305" i="29"/>
  <c r="D305" i="29"/>
  <c r="A305" i="29"/>
  <c r="H304" i="29"/>
  <c r="G304" i="29"/>
  <c r="F304" i="29"/>
  <c r="D304" i="29"/>
  <c r="H303" i="29"/>
  <c r="A304" i="29" s="1"/>
  <c r="G303" i="29"/>
  <c r="F303" i="29"/>
  <c r="D303" i="29"/>
  <c r="H302" i="29"/>
  <c r="A303" i="29" s="1"/>
  <c r="G302" i="29"/>
  <c r="F302" i="29"/>
  <c r="D302" i="29"/>
  <c r="A302" i="29"/>
  <c r="H301" i="29"/>
  <c r="G301" i="29"/>
  <c r="F301" i="29"/>
  <c r="D301" i="29"/>
  <c r="A301" i="29"/>
  <c r="H300" i="29"/>
  <c r="G300" i="29"/>
  <c r="F300" i="29"/>
  <c r="D300" i="29"/>
  <c r="H299" i="29"/>
  <c r="A300" i="29" s="1"/>
  <c r="G299" i="29"/>
  <c r="F299" i="29"/>
  <c r="D299" i="29"/>
  <c r="H298" i="29"/>
  <c r="A299" i="29" s="1"/>
  <c r="G298" i="29"/>
  <c r="F298" i="29"/>
  <c r="D298" i="29"/>
  <c r="H297" i="29"/>
  <c r="A298" i="29" s="1"/>
  <c r="G297" i="29"/>
  <c r="F297" i="29"/>
  <c r="D297" i="29"/>
  <c r="A297" i="29"/>
  <c r="H296" i="29"/>
  <c r="G296" i="29"/>
  <c r="F296" i="29"/>
  <c r="D296" i="29"/>
  <c r="H295" i="29"/>
  <c r="A296" i="29" s="1"/>
  <c r="G295" i="29"/>
  <c r="F295" i="29"/>
  <c r="D295" i="29"/>
  <c r="H294" i="29"/>
  <c r="A295" i="29" s="1"/>
  <c r="G294" i="29"/>
  <c r="F294" i="29"/>
  <c r="D294" i="29"/>
  <c r="H293" i="29"/>
  <c r="A294" i="29" s="1"/>
  <c r="G293" i="29"/>
  <c r="F293" i="29"/>
  <c r="D293" i="29"/>
  <c r="A293" i="29"/>
  <c r="H292" i="29"/>
  <c r="G292" i="29"/>
  <c r="F292" i="29"/>
  <c r="D292" i="29"/>
  <c r="H291" i="29"/>
  <c r="A292" i="29" s="1"/>
  <c r="G291" i="29"/>
  <c r="F291" i="29"/>
  <c r="D291" i="29"/>
  <c r="H290" i="29"/>
  <c r="A291" i="29" s="1"/>
  <c r="G290" i="29"/>
  <c r="F290" i="29"/>
  <c r="D290" i="29"/>
  <c r="H289" i="29"/>
  <c r="A290" i="29" s="1"/>
  <c r="G289" i="29"/>
  <c r="F289" i="29"/>
  <c r="D289" i="29"/>
  <c r="A289" i="29"/>
  <c r="H288" i="29"/>
  <c r="G288" i="29"/>
  <c r="F288" i="29"/>
  <c r="D288" i="29"/>
  <c r="H287" i="29"/>
  <c r="A288" i="29" s="1"/>
  <c r="G287" i="29"/>
  <c r="F287" i="29"/>
  <c r="D287" i="29"/>
  <c r="H286" i="29"/>
  <c r="A287" i="29" s="1"/>
  <c r="G286" i="29"/>
  <c r="F286" i="29"/>
  <c r="D286" i="29"/>
  <c r="H285" i="29"/>
  <c r="A286" i="29" s="1"/>
  <c r="G285" i="29"/>
  <c r="F285" i="29"/>
  <c r="D285" i="29"/>
  <c r="A285" i="29"/>
  <c r="H284" i="29"/>
  <c r="G284" i="29"/>
  <c r="F284" i="29"/>
  <c r="D284" i="29"/>
  <c r="H283" i="29"/>
  <c r="A284" i="29" s="1"/>
  <c r="G283" i="29"/>
  <c r="F283" i="29"/>
  <c r="D283" i="29"/>
  <c r="H282" i="29"/>
  <c r="A283" i="29" s="1"/>
  <c r="G282" i="29"/>
  <c r="F282" i="29"/>
  <c r="D282" i="29"/>
  <c r="H281" i="29"/>
  <c r="A282" i="29" s="1"/>
  <c r="G281" i="29"/>
  <c r="F281" i="29"/>
  <c r="D281" i="29"/>
  <c r="A281" i="29"/>
  <c r="H280" i="29"/>
  <c r="G280" i="29"/>
  <c r="F280" i="29"/>
  <c r="D280" i="29"/>
  <c r="H279" i="29"/>
  <c r="A280" i="29" s="1"/>
  <c r="G279" i="29"/>
  <c r="F279" i="29"/>
  <c r="D279" i="29"/>
  <c r="A279" i="29"/>
  <c r="H278" i="29"/>
  <c r="G278" i="29"/>
  <c r="F278" i="29"/>
  <c r="D278" i="29"/>
  <c r="H277" i="29"/>
  <c r="A278" i="29" s="1"/>
  <c r="G277" i="29"/>
  <c r="F277" i="29"/>
  <c r="D277" i="29"/>
  <c r="A277" i="29"/>
  <c r="H276" i="29"/>
  <c r="G276" i="29"/>
  <c r="F276" i="29"/>
  <c r="D276" i="29"/>
  <c r="H275" i="29"/>
  <c r="A276" i="29" s="1"/>
  <c r="G275" i="29"/>
  <c r="F275" i="29"/>
  <c r="D275" i="29"/>
  <c r="A275" i="29"/>
  <c r="H274" i="29"/>
  <c r="G274" i="29"/>
  <c r="F274" i="29"/>
  <c r="D274" i="29"/>
  <c r="H273" i="29"/>
  <c r="A274" i="29" s="1"/>
  <c r="G273" i="29"/>
  <c r="F273" i="29"/>
  <c r="D273" i="29"/>
  <c r="A273" i="29"/>
  <c r="H272" i="29"/>
  <c r="G272" i="29"/>
  <c r="F272" i="29"/>
  <c r="D272" i="29"/>
  <c r="H271" i="29"/>
  <c r="A272" i="29" s="1"/>
  <c r="G271" i="29"/>
  <c r="F271" i="29"/>
  <c r="D271" i="29"/>
  <c r="H270" i="29"/>
  <c r="A271" i="29" s="1"/>
  <c r="G270" i="29"/>
  <c r="F270" i="29"/>
  <c r="D270" i="29"/>
  <c r="H269" i="29"/>
  <c r="A270" i="29" s="1"/>
  <c r="G269" i="29"/>
  <c r="F269" i="29"/>
  <c r="D269" i="29"/>
  <c r="A269" i="29"/>
  <c r="H268" i="29"/>
  <c r="G268" i="29"/>
  <c r="F268" i="29"/>
  <c r="D268" i="29"/>
  <c r="H267" i="29"/>
  <c r="A268" i="29" s="1"/>
  <c r="G267" i="29"/>
  <c r="F267" i="29"/>
  <c r="D267" i="29"/>
  <c r="H266" i="29"/>
  <c r="A267" i="29" s="1"/>
  <c r="G266" i="29"/>
  <c r="F266" i="29"/>
  <c r="D266" i="29"/>
  <c r="H265" i="29"/>
  <c r="A266" i="29" s="1"/>
  <c r="G265" i="29"/>
  <c r="F265" i="29"/>
  <c r="D265" i="29"/>
  <c r="A265" i="29"/>
  <c r="H264" i="29"/>
  <c r="G264" i="29"/>
  <c r="F264" i="29"/>
  <c r="D264" i="29"/>
  <c r="H263" i="29"/>
  <c r="A264" i="29" s="1"/>
  <c r="G263" i="29"/>
  <c r="F263" i="29"/>
  <c r="D263" i="29"/>
  <c r="A263" i="29"/>
  <c r="H262" i="29"/>
  <c r="G262" i="29"/>
  <c r="F262" i="29"/>
  <c r="D262" i="29"/>
  <c r="H261" i="29"/>
  <c r="A262" i="29" s="1"/>
  <c r="G261" i="29"/>
  <c r="F261" i="29"/>
  <c r="D261" i="29"/>
  <c r="A261" i="29"/>
  <c r="H260" i="29"/>
  <c r="G260" i="29"/>
  <c r="F260" i="29"/>
  <c r="D260" i="29"/>
  <c r="H259" i="29"/>
  <c r="A260" i="29" s="1"/>
  <c r="G259" i="29"/>
  <c r="F259" i="29"/>
  <c r="D259" i="29"/>
  <c r="A259" i="29"/>
  <c r="H258" i="29"/>
  <c r="G258" i="29"/>
  <c r="F258" i="29"/>
  <c r="D258" i="29"/>
  <c r="A258" i="29"/>
  <c r="H257" i="29"/>
  <c r="G257" i="29"/>
  <c r="F257" i="29"/>
  <c r="D257" i="29"/>
  <c r="A257" i="29"/>
  <c r="H256" i="29"/>
  <c r="G256" i="29"/>
  <c r="F256" i="29"/>
  <c r="D256" i="29"/>
  <c r="H255" i="29"/>
  <c r="A256" i="29" s="1"/>
  <c r="G255" i="29"/>
  <c r="F255" i="29"/>
  <c r="D255" i="29"/>
  <c r="A255" i="29"/>
  <c r="H254" i="29"/>
  <c r="G254" i="29"/>
  <c r="F254" i="29"/>
  <c r="D254" i="29"/>
  <c r="A254" i="29"/>
  <c r="H253" i="29"/>
  <c r="G253" i="29"/>
  <c r="F253" i="29"/>
  <c r="D253" i="29"/>
  <c r="A253" i="29"/>
  <c r="H252" i="29"/>
  <c r="G252" i="29"/>
  <c r="F252" i="29"/>
  <c r="D252" i="29"/>
  <c r="H251" i="29"/>
  <c r="A252" i="29" s="1"/>
  <c r="G251" i="29"/>
  <c r="F251" i="29"/>
  <c r="D251" i="29"/>
  <c r="H250" i="29"/>
  <c r="A251" i="29" s="1"/>
  <c r="G250" i="29"/>
  <c r="F250" i="29"/>
  <c r="D250" i="29"/>
  <c r="H249" i="29"/>
  <c r="A250" i="29" s="1"/>
  <c r="G249" i="29"/>
  <c r="F249" i="29"/>
  <c r="D249" i="29"/>
  <c r="A249" i="29"/>
  <c r="H248" i="29"/>
  <c r="G248" i="29"/>
  <c r="F248" i="29"/>
  <c r="D248" i="29"/>
  <c r="H247" i="29"/>
  <c r="A248" i="29" s="1"/>
  <c r="G247" i="29"/>
  <c r="F247" i="29"/>
  <c r="D247" i="29"/>
  <c r="A247" i="29"/>
  <c r="H246" i="29"/>
  <c r="G246" i="29"/>
  <c r="F246" i="29"/>
  <c r="D246" i="29"/>
  <c r="H245" i="29"/>
  <c r="A246" i="29" s="1"/>
  <c r="G245" i="29"/>
  <c r="F245" i="29"/>
  <c r="D245" i="29"/>
  <c r="A245" i="29"/>
  <c r="H244" i="29"/>
  <c r="G244" i="29"/>
  <c r="F244" i="29"/>
  <c r="D244" i="29"/>
  <c r="H243" i="29"/>
  <c r="A244" i="29" s="1"/>
  <c r="G243" i="29"/>
  <c r="F243" i="29"/>
  <c r="D243" i="29"/>
  <c r="A243" i="29"/>
  <c r="H242" i="29"/>
  <c r="G242" i="29"/>
  <c r="F242" i="29"/>
  <c r="D242" i="29"/>
  <c r="A242" i="29"/>
  <c r="H241" i="29"/>
  <c r="G241" i="29"/>
  <c r="F241" i="29"/>
  <c r="D241" i="29"/>
  <c r="A241" i="29"/>
  <c r="H240" i="29"/>
  <c r="G240" i="29"/>
  <c r="F240" i="29"/>
  <c r="D240" i="29"/>
  <c r="H239" i="29"/>
  <c r="A240" i="29" s="1"/>
  <c r="G239" i="29"/>
  <c r="F239" i="29"/>
  <c r="D239" i="29"/>
  <c r="H238" i="29"/>
  <c r="A239" i="29" s="1"/>
  <c r="G238" i="29"/>
  <c r="F238" i="29"/>
  <c r="D238" i="29"/>
  <c r="A238" i="29"/>
  <c r="H237" i="29"/>
  <c r="G237" i="29"/>
  <c r="F237" i="29"/>
  <c r="D237" i="29"/>
  <c r="A237" i="29"/>
  <c r="H236" i="29"/>
  <c r="G236" i="29"/>
  <c r="F236" i="29"/>
  <c r="D236" i="29"/>
  <c r="H235" i="29"/>
  <c r="A236" i="29" s="1"/>
  <c r="G235" i="29"/>
  <c r="F235" i="29"/>
  <c r="D235" i="29"/>
  <c r="H234" i="29"/>
  <c r="A235" i="29" s="1"/>
  <c r="G234" i="29"/>
  <c r="F234" i="29"/>
  <c r="D234" i="29"/>
  <c r="A234" i="29"/>
  <c r="H233" i="29"/>
  <c r="G233" i="29"/>
  <c r="F233" i="29"/>
  <c r="D233" i="29"/>
  <c r="A233" i="29"/>
  <c r="H232" i="29"/>
  <c r="G232" i="29"/>
  <c r="F232" i="29"/>
  <c r="D232" i="29"/>
  <c r="H231" i="29"/>
  <c r="A232" i="29" s="1"/>
  <c r="G231" i="29"/>
  <c r="F231" i="29"/>
  <c r="D231" i="29"/>
  <c r="H230" i="29"/>
  <c r="A231" i="29" s="1"/>
  <c r="G230" i="29"/>
  <c r="F230" i="29"/>
  <c r="D230" i="29"/>
  <c r="H229" i="29"/>
  <c r="A230" i="29" s="1"/>
  <c r="G229" i="29"/>
  <c r="F229" i="29"/>
  <c r="D229" i="29"/>
  <c r="A229" i="29"/>
  <c r="H228" i="29"/>
  <c r="G228" i="29"/>
  <c r="F228" i="29"/>
  <c r="D228" i="29"/>
  <c r="H227" i="29"/>
  <c r="A228" i="29" s="1"/>
  <c r="G227" i="29"/>
  <c r="F227" i="29"/>
  <c r="D227" i="29"/>
  <c r="H226" i="29"/>
  <c r="A227" i="29" s="1"/>
  <c r="G226" i="29"/>
  <c r="F226" i="29"/>
  <c r="D226" i="29"/>
  <c r="A226" i="29"/>
  <c r="H225" i="29"/>
  <c r="G225" i="29"/>
  <c r="F225" i="29"/>
  <c r="D225" i="29"/>
  <c r="A225" i="29"/>
  <c r="H224" i="29"/>
  <c r="G224" i="29"/>
  <c r="F224" i="29"/>
  <c r="D224" i="29"/>
  <c r="H223" i="29"/>
  <c r="A224" i="29" s="1"/>
  <c r="G223" i="29"/>
  <c r="F223" i="29"/>
  <c r="D223" i="29"/>
  <c r="H222" i="29"/>
  <c r="A223" i="29" s="1"/>
  <c r="G222" i="29"/>
  <c r="F222" i="29"/>
  <c r="D222" i="29"/>
  <c r="A222" i="29"/>
  <c r="H221" i="29"/>
  <c r="G221" i="29"/>
  <c r="F221" i="29"/>
  <c r="D221" i="29"/>
  <c r="A221" i="29"/>
  <c r="H220" i="29"/>
  <c r="G220" i="29"/>
  <c r="F220" i="29"/>
  <c r="D220" i="29"/>
  <c r="H219" i="29"/>
  <c r="A220" i="29" s="1"/>
  <c r="G219" i="29"/>
  <c r="F219" i="29"/>
  <c r="D219" i="29"/>
  <c r="H218" i="29"/>
  <c r="A219" i="29" s="1"/>
  <c r="G218" i="29"/>
  <c r="F218" i="29"/>
  <c r="D218" i="29"/>
  <c r="H217" i="29"/>
  <c r="A218" i="29" s="1"/>
  <c r="G217" i="29"/>
  <c r="F217" i="29"/>
  <c r="D217" i="29"/>
  <c r="A217" i="29"/>
  <c r="H216" i="29"/>
  <c r="G216" i="29"/>
  <c r="F216" i="29"/>
  <c r="D216" i="29"/>
  <c r="H215" i="29"/>
  <c r="A216" i="29" s="1"/>
  <c r="G215" i="29"/>
  <c r="F215" i="29"/>
  <c r="D215" i="29"/>
  <c r="H214" i="29"/>
  <c r="A215" i="29" s="1"/>
  <c r="G214" i="29"/>
  <c r="F214" i="29"/>
  <c r="D214" i="29"/>
  <c r="H213" i="29"/>
  <c r="A214" i="29" s="1"/>
  <c r="G213" i="29"/>
  <c r="F213" i="29"/>
  <c r="D213" i="29"/>
  <c r="A213" i="29"/>
  <c r="H212" i="29"/>
  <c r="G212" i="29"/>
  <c r="F212" i="29"/>
  <c r="D212" i="29"/>
  <c r="H211" i="29"/>
  <c r="A212" i="29" s="1"/>
  <c r="G211" i="29"/>
  <c r="F211" i="29"/>
  <c r="D211" i="29"/>
  <c r="H210" i="29"/>
  <c r="A211" i="29" s="1"/>
  <c r="G210" i="29"/>
  <c r="F210" i="29"/>
  <c r="D210" i="29"/>
  <c r="H209" i="29"/>
  <c r="A210" i="29" s="1"/>
  <c r="G209" i="29"/>
  <c r="F209" i="29"/>
  <c r="D209" i="29"/>
  <c r="A209" i="29"/>
  <c r="H208" i="29"/>
  <c r="G208" i="29"/>
  <c r="F208" i="29"/>
  <c r="D208" i="29"/>
  <c r="H207" i="29"/>
  <c r="A208" i="29" s="1"/>
  <c r="G207" i="29"/>
  <c r="F207" i="29"/>
  <c r="D207" i="29"/>
  <c r="H206" i="29"/>
  <c r="A207" i="29" s="1"/>
  <c r="G206" i="29"/>
  <c r="F206" i="29"/>
  <c r="D206" i="29"/>
  <c r="H205" i="29"/>
  <c r="A206" i="29" s="1"/>
  <c r="G205" i="29"/>
  <c r="F205" i="29"/>
  <c r="D205" i="29"/>
  <c r="A205" i="29"/>
  <c r="H204" i="29"/>
  <c r="G204" i="29"/>
  <c r="F204" i="29"/>
  <c r="D204" i="29"/>
  <c r="H203" i="29"/>
  <c r="A204" i="29" s="1"/>
  <c r="G203" i="29"/>
  <c r="F203" i="29"/>
  <c r="D203" i="29"/>
  <c r="H202" i="29"/>
  <c r="A203" i="29" s="1"/>
  <c r="G202" i="29"/>
  <c r="F202" i="29"/>
  <c r="D202" i="29"/>
  <c r="H201" i="29"/>
  <c r="A202" i="29" s="1"/>
  <c r="G201" i="29"/>
  <c r="F201" i="29"/>
  <c r="D201" i="29"/>
  <c r="A201" i="29"/>
  <c r="H200" i="29"/>
  <c r="G200" i="29"/>
  <c r="F200" i="29"/>
  <c r="D200" i="29"/>
  <c r="H199" i="29"/>
  <c r="A200" i="29" s="1"/>
  <c r="G199" i="29"/>
  <c r="F199" i="29"/>
  <c r="D199" i="29"/>
  <c r="A199" i="29"/>
  <c r="H198" i="29"/>
  <c r="G198" i="29"/>
  <c r="F198" i="29"/>
  <c r="D198" i="29"/>
  <c r="H197" i="29"/>
  <c r="A198" i="29" s="1"/>
  <c r="G197" i="29"/>
  <c r="F197" i="29"/>
  <c r="D197" i="29"/>
  <c r="A197" i="29"/>
  <c r="H196" i="29"/>
  <c r="G196" i="29"/>
  <c r="F196" i="29"/>
  <c r="D196" i="29"/>
  <c r="H195" i="29"/>
  <c r="A196" i="29" s="1"/>
  <c r="G195" i="29"/>
  <c r="F195" i="29"/>
  <c r="D195" i="29"/>
  <c r="A195" i="29"/>
  <c r="H194" i="29"/>
  <c r="G194" i="29"/>
  <c r="F194" i="29"/>
  <c r="D194" i="29"/>
  <c r="H193" i="29"/>
  <c r="A194" i="29" s="1"/>
  <c r="G193" i="29"/>
  <c r="F193" i="29"/>
  <c r="D193" i="29"/>
  <c r="A193" i="29"/>
  <c r="H192" i="29"/>
  <c r="G192" i="29"/>
  <c r="F192" i="29"/>
  <c r="D192" i="29"/>
  <c r="H191" i="29"/>
  <c r="A192" i="29" s="1"/>
  <c r="G191" i="29"/>
  <c r="F191" i="29"/>
  <c r="D191" i="29"/>
  <c r="A191" i="29"/>
  <c r="H190" i="29"/>
  <c r="G190" i="29"/>
  <c r="F190" i="29"/>
  <c r="D190" i="29"/>
  <c r="H189" i="29"/>
  <c r="A190" i="29" s="1"/>
  <c r="G189" i="29"/>
  <c r="F189" i="29"/>
  <c r="D189" i="29"/>
  <c r="A189" i="29"/>
  <c r="H188" i="29"/>
  <c r="G188" i="29"/>
  <c r="F188" i="29"/>
  <c r="D188" i="29"/>
  <c r="H187" i="29"/>
  <c r="A188" i="29" s="1"/>
  <c r="G187" i="29"/>
  <c r="F187" i="29"/>
  <c r="D187" i="29"/>
  <c r="H186" i="29"/>
  <c r="A187" i="29" s="1"/>
  <c r="G186" i="29"/>
  <c r="F186" i="29"/>
  <c r="D186" i="29"/>
  <c r="H185" i="29"/>
  <c r="A186" i="29" s="1"/>
  <c r="G185" i="29"/>
  <c r="F185" i="29"/>
  <c r="D185" i="29"/>
  <c r="A185" i="29"/>
  <c r="H184" i="29"/>
  <c r="G184" i="29"/>
  <c r="F184" i="29"/>
  <c r="D184" i="29"/>
  <c r="H183" i="29"/>
  <c r="A184" i="29" s="1"/>
  <c r="G183" i="29"/>
  <c r="F183" i="29"/>
  <c r="D183" i="29"/>
  <c r="A183" i="29"/>
  <c r="H182" i="29"/>
  <c r="G182" i="29"/>
  <c r="F182" i="29"/>
  <c r="D182" i="29"/>
  <c r="H181" i="29"/>
  <c r="A182" i="29" s="1"/>
  <c r="G181" i="29"/>
  <c r="F181" i="29"/>
  <c r="D181" i="29"/>
  <c r="A181" i="29"/>
  <c r="H180" i="29"/>
  <c r="G180" i="29"/>
  <c r="F180" i="29"/>
  <c r="D180" i="29"/>
  <c r="H179" i="29"/>
  <c r="A180" i="29" s="1"/>
  <c r="G179" i="29"/>
  <c r="F179" i="29"/>
  <c r="D179" i="29"/>
  <c r="A179" i="29"/>
  <c r="H178" i="29"/>
  <c r="G178" i="29"/>
  <c r="F178" i="29"/>
  <c r="D178" i="29"/>
  <c r="A178" i="29"/>
  <c r="H177" i="29"/>
  <c r="G177" i="29"/>
  <c r="F177" i="29"/>
  <c r="D177" i="29"/>
  <c r="A177" i="29"/>
  <c r="H176" i="29"/>
  <c r="G176" i="29"/>
  <c r="F176" i="29"/>
  <c r="D176" i="29"/>
  <c r="H175" i="29"/>
  <c r="A176" i="29" s="1"/>
  <c r="G175" i="29"/>
  <c r="F175" i="29"/>
  <c r="D175" i="29"/>
  <c r="A175" i="29"/>
  <c r="H174" i="29"/>
  <c r="G174" i="29"/>
  <c r="F174" i="29"/>
  <c r="D174" i="29"/>
  <c r="A174" i="29"/>
  <c r="H173" i="29"/>
  <c r="G173" i="29"/>
  <c r="F173" i="29"/>
  <c r="D173" i="29"/>
  <c r="A173" i="29"/>
  <c r="H172" i="29"/>
  <c r="G172" i="29"/>
  <c r="F172" i="29"/>
  <c r="D172" i="29"/>
  <c r="H171" i="29"/>
  <c r="A172" i="29" s="1"/>
  <c r="G171" i="29"/>
  <c r="F171" i="29"/>
  <c r="D171" i="29"/>
  <c r="H170" i="29"/>
  <c r="A171" i="29" s="1"/>
  <c r="G170" i="29"/>
  <c r="F170" i="29"/>
  <c r="D170" i="29"/>
  <c r="H169" i="29"/>
  <c r="A170" i="29" s="1"/>
  <c r="G169" i="29"/>
  <c r="F169" i="29"/>
  <c r="D169" i="29"/>
  <c r="A169" i="29"/>
  <c r="H168" i="29"/>
  <c r="G168" i="29"/>
  <c r="F168" i="29"/>
  <c r="D168" i="29"/>
  <c r="H167" i="29"/>
  <c r="A168" i="29" s="1"/>
  <c r="G167" i="29"/>
  <c r="F167" i="29"/>
  <c r="D167" i="29"/>
  <c r="A167" i="29"/>
  <c r="H166" i="29"/>
  <c r="G166" i="29"/>
  <c r="F166" i="29"/>
  <c r="D166" i="29"/>
  <c r="H165" i="29"/>
  <c r="A166" i="29" s="1"/>
  <c r="G165" i="29"/>
  <c r="F165" i="29"/>
  <c r="D165" i="29"/>
  <c r="A165" i="29"/>
  <c r="H164" i="29"/>
  <c r="G164" i="29"/>
  <c r="F164" i="29"/>
  <c r="D164" i="29"/>
  <c r="H163" i="29"/>
  <c r="A164" i="29" s="1"/>
  <c r="G163" i="29"/>
  <c r="F163" i="29"/>
  <c r="D163" i="29"/>
  <c r="A163" i="29"/>
  <c r="H162" i="29"/>
  <c r="G162" i="29"/>
  <c r="F162" i="29"/>
  <c r="D162" i="29"/>
  <c r="A162" i="29"/>
  <c r="H161" i="29"/>
  <c r="G161" i="29"/>
  <c r="F161" i="29"/>
  <c r="D161" i="29"/>
  <c r="A161" i="29"/>
  <c r="H160" i="29"/>
  <c r="G160" i="29"/>
  <c r="F160" i="29"/>
  <c r="D160" i="29"/>
  <c r="H159" i="29"/>
  <c r="A160" i="29" s="1"/>
  <c r="G159" i="29"/>
  <c r="F159" i="29"/>
  <c r="D159" i="29"/>
  <c r="A159" i="29"/>
  <c r="H158" i="29"/>
  <c r="G158" i="29"/>
  <c r="F158" i="29"/>
  <c r="D158" i="29"/>
  <c r="A158" i="29"/>
  <c r="H157" i="29"/>
  <c r="G157" i="29"/>
  <c r="F157" i="29"/>
  <c r="D157" i="29"/>
  <c r="A157" i="29"/>
  <c r="H156" i="29"/>
  <c r="G156" i="29"/>
  <c r="F156" i="29"/>
  <c r="D156" i="29"/>
  <c r="H155" i="29"/>
  <c r="A156" i="29" s="1"/>
  <c r="G155" i="29"/>
  <c r="F155" i="29"/>
  <c r="D155" i="29"/>
  <c r="A155" i="29"/>
  <c r="H154" i="29"/>
  <c r="G154" i="29"/>
  <c r="F154" i="29"/>
  <c r="D154" i="29"/>
  <c r="A154" i="29"/>
  <c r="H153" i="29"/>
  <c r="G153" i="29"/>
  <c r="F153" i="29"/>
  <c r="D153" i="29"/>
  <c r="A153" i="29"/>
  <c r="H152" i="29"/>
  <c r="G152" i="29"/>
  <c r="F152" i="29"/>
  <c r="D152" i="29"/>
  <c r="H151" i="29"/>
  <c r="A152" i="29" s="1"/>
  <c r="G151" i="29"/>
  <c r="F151" i="29"/>
  <c r="D151" i="29"/>
  <c r="A151" i="29"/>
  <c r="H150" i="29"/>
  <c r="G150" i="29"/>
  <c r="F150" i="29"/>
  <c r="D150" i="29"/>
  <c r="A150" i="29"/>
  <c r="H149" i="29"/>
  <c r="G149" i="29"/>
  <c r="F149" i="29"/>
  <c r="D149" i="29"/>
  <c r="A149" i="29"/>
  <c r="H148" i="29"/>
  <c r="G148" i="29"/>
  <c r="F148" i="29"/>
  <c r="D148" i="29"/>
  <c r="H147" i="29"/>
  <c r="A148" i="29" s="1"/>
  <c r="G147" i="29"/>
  <c r="F147" i="29"/>
  <c r="D147" i="29"/>
  <c r="A147" i="29"/>
  <c r="H146" i="29"/>
  <c r="G146" i="29"/>
  <c r="F146" i="29"/>
  <c r="D146" i="29"/>
  <c r="A146" i="29"/>
  <c r="H145" i="29"/>
  <c r="G145" i="29"/>
  <c r="F145" i="29"/>
  <c r="D145" i="29"/>
  <c r="A145" i="29"/>
  <c r="H144" i="29"/>
  <c r="G144" i="29"/>
  <c r="F144" i="29"/>
  <c r="D144" i="29"/>
  <c r="H143" i="29"/>
  <c r="A144" i="29" s="1"/>
  <c r="G143" i="29"/>
  <c r="F143" i="29"/>
  <c r="D143" i="29"/>
  <c r="A143" i="29"/>
  <c r="H142" i="29"/>
  <c r="G142" i="29"/>
  <c r="F142" i="29"/>
  <c r="D142" i="29"/>
  <c r="A142" i="29"/>
  <c r="H141" i="29"/>
  <c r="G141" i="29"/>
  <c r="F141" i="29"/>
  <c r="D141" i="29"/>
  <c r="A141" i="29"/>
  <c r="H140" i="29"/>
  <c r="G140" i="29"/>
  <c r="F140" i="29"/>
  <c r="D140" i="29"/>
  <c r="H139" i="29"/>
  <c r="A140" i="29" s="1"/>
  <c r="G139" i="29"/>
  <c r="F139" i="29"/>
  <c r="D139" i="29"/>
  <c r="N18" i="29"/>
  <c r="M18" i="29"/>
  <c r="G18" i="29"/>
  <c r="H18" i="29" s="1"/>
  <c r="H9" i="29"/>
  <c r="H2" i="29"/>
  <c r="H798" i="28"/>
  <c r="G798" i="28"/>
  <c r="F798" i="28"/>
  <c r="D798" i="28"/>
  <c r="H797" i="28"/>
  <c r="A798" i="28" s="1"/>
  <c r="G797" i="28"/>
  <c r="F797" i="28"/>
  <c r="D797" i="28"/>
  <c r="H796" i="28"/>
  <c r="A797" i="28" s="1"/>
  <c r="G796" i="28"/>
  <c r="F796" i="28"/>
  <c r="D796" i="28"/>
  <c r="H795" i="28"/>
  <c r="A796" i="28" s="1"/>
  <c r="G795" i="28"/>
  <c r="F795" i="28"/>
  <c r="D795" i="28"/>
  <c r="H794" i="28"/>
  <c r="A795" i="28" s="1"/>
  <c r="G794" i="28"/>
  <c r="F794" i="28"/>
  <c r="D794" i="28"/>
  <c r="H793" i="28"/>
  <c r="A794" i="28" s="1"/>
  <c r="G793" i="28"/>
  <c r="F793" i="28"/>
  <c r="D793" i="28"/>
  <c r="H792" i="28"/>
  <c r="A793" i="28" s="1"/>
  <c r="G792" i="28"/>
  <c r="F792" i="28"/>
  <c r="D792" i="28"/>
  <c r="H791" i="28"/>
  <c r="A792" i="28" s="1"/>
  <c r="G791" i="28"/>
  <c r="F791" i="28"/>
  <c r="D791" i="28"/>
  <c r="H790" i="28"/>
  <c r="A791" i="28" s="1"/>
  <c r="G790" i="28"/>
  <c r="F790" i="28"/>
  <c r="D790" i="28"/>
  <c r="H789" i="28"/>
  <c r="A790" i="28" s="1"/>
  <c r="G789" i="28"/>
  <c r="F789" i="28"/>
  <c r="D789" i="28"/>
  <c r="H788" i="28"/>
  <c r="A789" i="28" s="1"/>
  <c r="G788" i="28"/>
  <c r="F788" i="28"/>
  <c r="D788" i="28"/>
  <c r="H787" i="28"/>
  <c r="A788" i="28" s="1"/>
  <c r="G787" i="28"/>
  <c r="F787" i="28"/>
  <c r="D787" i="28"/>
  <c r="H786" i="28"/>
  <c r="A787" i="28" s="1"/>
  <c r="G786" i="28"/>
  <c r="F786" i="28"/>
  <c r="D786" i="28"/>
  <c r="H785" i="28"/>
  <c r="A786" i="28" s="1"/>
  <c r="G785" i="28"/>
  <c r="F785" i="28"/>
  <c r="D785" i="28"/>
  <c r="H784" i="28"/>
  <c r="A785" i="28" s="1"/>
  <c r="G784" i="28"/>
  <c r="F784" i="28"/>
  <c r="D784" i="28"/>
  <c r="H783" i="28"/>
  <c r="A784" i="28" s="1"/>
  <c r="G783" i="28"/>
  <c r="F783" i="28"/>
  <c r="D783" i="28"/>
  <c r="H782" i="28"/>
  <c r="A783" i="28" s="1"/>
  <c r="G782" i="28"/>
  <c r="F782" i="28"/>
  <c r="D782" i="28"/>
  <c r="H781" i="28"/>
  <c r="A782" i="28" s="1"/>
  <c r="G781" i="28"/>
  <c r="F781" i="28"/>
  <c r="D781" i="28"/>
  <c r="H780" i="28"/>
  <c r="A781" i="28" s="1"/>
  <c r="G780" i="28"/>
  <c r="F780" i="28"/>
  <c r="D780" i="28"/>
  <c r="H779" i="28"/>
  <c r="A780" i="28" s="1"/>
  <c r="G779" i="28"/>
  <c r="F779" i="28"/>
  <c r="D779" i="28"/>
  <c r="H778" i="28"/>
  <c r="A779" i="28" s="1"/>
  <c r="G778" i="28"/>
  <c r="F778" i="28"/>
  <c r="D778" i="28"/>
  <c r="H777" i="28"/>
  <c r="A778" i="28" s="1"/>
  <c r="G777" i="28"/>
  <c r="F777" i="28"/>
  <c r="D777" i="28"/>
  <c r="H776" i="28"/>
  <c r="A777" i="28" s="1"/>
  <c r="G776" i="28"/>
  <c r="F776" i="28"/>
  <c r="D776" i="28"/>
  <c r="H775" i="28"/>
  <c r="A776" i="28" s="1"/>
  <c r="G775" i="28"/>
  <c r="F775" i="28"/>
  <c r="D775" i="28"/>
  <c r="H774" i="28"/>
  <c r="A775" i="28" s="1"/>
  <c r="G774" i="28"/>
  <c r="F774" i="28"/>
  <c r="D774" i="28"/>
  <c r="H773" i="28"/>
  <c r="A774" i="28" s="1"/>
  <c r="G773" i="28"/>
  <c r="F773" i="28"/>
  <c r="D773" i="28"/>
  <c r="H772" i="28"/>
  <c r="A773" i="28" s="1"/>
  <c r="G772" i="28"/>
  <c r="F772" i="28"/>
  <c r="D772" i="28"/>
  <c r="H771" i="28"/>
  <c r="A772" i="28" s="1"/>
  <c r="G771" i="28"/>
  <c r="F771" i="28"/>
  <c r="D771" i="28"/>
  <c r="H770" i="28"/>
  <c r="A771" i="28" s="1"/>
  <c r="G770" i="28"/>
  <c r="F770" i="28"/>
  <c r="D770" i="28"/>
  <c r="H769" i="28"/>
  <c r="A770" i="28" s="1"/>
  <c r="G769" i="28"/>
  <c r="F769" i="28"/>
  <c r="D769" i="28"/>
  <c r="H768" i="28"/>
  <c r="A769" i="28" s="1"/>
  <c r="G768" i="28"/>
  <c r="F768" i="28"/>
  <c r="D768" i="28"/>
  <c r="H767" i="28"/>
  <c r="A768" i="28" s="1"/>
  <c r="G767" i="28"/>
  <c r="F767" i="28"/>
  <c r="D767" i="28"/>
  <c r="H766" i="28"/>
  <c r="A767" i="28" s="1"/>
  <c r="G766" i="28"/>
  <c r="F766" i="28"/>
  <c r="D766" i="28"/>
  <c r="H765" i="28"/>
  <c r="A766" i="28" s="1"/>
  <c r="G765" i="28"/>
  <c r="F765" i="28"/>
  <c r="D765" i="28"/>
  <c r="H764" i="28"/>
  <c r="A765" i="28" s="1"/>
  <c r="G764" i="28"/>
  <c r="F764" i="28"/>
  <c r="D764" i="28"/>
  <c r="H763" i="28"/>
  <c r="A764" i="28" s="1"/>
  <c r="G763" i="28"/>
  <c r="F763" i="28"/>
  <c r="D763" i="28"/>
  <c r="H762" i="28"/>
  <c r="A763" i="28" s="1"/>
  <c r="G762" i="28"/>
  <c r="F762" i="28"/>
  <c r="D762" i="28"/>
  <c r="H761" i="28"/>
  <c r="A762" i="28" s="1"/>
  <c r="G761" i="28"/>
  <c r="F761" i="28"/>
  <c r="D761" i="28"/>
  <c r="H760" i="28"/>
  <c r="A761" i="28" s="1"/>
  <c r="G760" i="28"/>
  <c r="F760" i="28"/>
  <c r="D760" i="28"/>
  <c r="H759" i="28"/>
  <c r="A760" i="28" s="1"/>
  <c r="G759" i="28"/>
  <c r="F759" i="28"/>
  <c r="D759" i="28"/>
  <c r="H758" i="28"/>
  <c r="A759" i="28" s="1"/>
  <c r="G758" i="28"/>
  <c r="F758" i="28"/>
  <c r="D758" i="28"/>
  <c r="H757" i="28"/>
  <c r="A758" i="28" s="1"/>
  <c r="G757" i="28"/>
  <c r="F757" i="28"/>
  <c r="D757" i="28"/>
  <c r="H756" i="28"/>
  <c r="A757" i="28" s="1"/>
  <c r="G756" i="28"/>
  <c r="F756" i="28"/>
  <c r="D756" i="28"/>
  <c r="H755" i="28"/>
  <c r="A756" i="28" s="1"/>
  <c r="G755" i="28"/>
  <c r="F755" i="28"/>
  <c r="D755" i="28"/>
  <c r="H754" i="28"/>
  <c r="A755" i="28" s="1"/>
  <c r="G754" i="28"/>
  <c r="F754" i="28"/>
  <c r="D754" i="28"/>
  <c r="H753" i="28"/>
  <c r="A754" i="28" s="1"/>
  <c r="G753" i="28"/>
  <c r="F753" i="28"/>
  <c r="D753" i="28"/>
  <c r="H752" i="28"/>
  <c r="A753" i="28" s="1"/>
  <c r="G752" i="28"/>
  <c r="F752" i="28"/>
  <c r="D752" i="28"/>
  <c r="H751" i="28"/>
  <c r="A752" i="28" s="1"/>
  <c r="G751" i="28"/>
  <c r="F751" i="28"/>
  <c r="D751" i="28"/>
  <c r="H750" i="28"/>
  <c r="A751" i="28" s="1"/>
  <c r="G750" i="28"/>
  <c r="F750" i="28"/>
  <c r="D750" i="28"/>
  <c r="H749" i="28"/>
  <c r="A750" i="28" s="1"/>
  <c r="G749" i="28"/>
  <c r="F749" i="28"/>
  <c r="D749" i="28"/>
  <c r="H748" i="28"/>
  <c r="A749" i="28" s="1"/>
  <c r="G748" i="28"/>
  <c r="F748" i="28"/>
  <c r="D748" i="28"/>
  <c r="H747" i="28"/>
  <c r="A748" i="28" s="1"/>
  <c r="G747" i="28"/>
  <c r="F747" i="28"/>
  <c r="D747" i="28"/>
  <c r="H746" i="28"/>
  <c r="A747" i="28" s="1"/>
  <c r="G746" i="28"/>
  <c r="F746" i="28"/>
  <c r="D746" i="28"/>
  <c r="H745" i="28"/>
  <c r="A746" i="28" s="1"/>
  <c r="G745" i="28"/>
  <c r="F745" i="28"/>
  <c r="D745" i="28"/>
  <c r="H744" i="28"/>
  <c r="A745" i="28" s="1"/>
  <c r="G744" i="28"/>
  <c r="F744" i="28"/>
  <c r="D744" i="28"/>
  <c r="H743" i="28"/>
  <c r="A744" i="28" s="1"/>
  <c r="G743" i="28"/>
  <c r="F743" i="28"/>
  <c r="D743" i="28"/>
  <c r="H742" i="28"/>
  <c r="A743" i="28" s="1"/>
  <c r="G742" i="28"/>
  <c r="F742" i="28"/>
  <c r="D742" i="28"/>
  <c r="H741" i="28"/>
  <c r="A742" i="28" s="1"/>
  <c r="G741" i="28"/>
  <c r="F741" i="28"/>
  <c r="D741" i="28"/>
  <c r="H740" i="28"/>
  <c r="A741" i="28" s="1"/>
  <c r="G740" i="28"/>
  <c r="F740" i="28"/>
  <c r="D740" i="28"/>
  <c r="H739" i="28"/>
  <c r="A740" i="28" s="1"/>
  <c r="G739" i="28"/>
  <c r="F739" i="28"/>
  <c r="D739" i="28"/>
  <c r="H738" i="28"/>
  <c r="A739" i="28" s="1"/>
  <c r="G738" i="28"/>
  <c r="F738" i="28"/>
  <c r="D738" i="28"/>
  <c r="H737" i="28"/>
  <c r="A738" i="28" s="1"/>
  <c r="G737" i="28"/>
  <c r="F737" i="28"/>
  <c r="D737" i="28"/>
  <c r="H736" i="28"/>
  <c r="A737" i="28" s="1"/>
  <c r="G736" i="28"/>
  <c r="F736" i="28"/>
  <c r="D736" i="28"/>
  <c r="H735" i="28"/>
  <c r="A736" i="28" s="1"/>
  <c r="G735" i="28"/>
  <c r="F735" i="28"/>
  <c r="D735" i="28"/>
  <c r="H734" i="28"/>
  <c r="A735" i="28" s="1"/>
  <c r="G734" i="28"/>
  <c r="F734" i="28"/>
  <c r="D734" i="28"/>
  <c r="H733" i="28"/>
  <c r="A734" i="28" s="1"/>
  <c r="G733" i="28"/>
  <c r="F733" i="28"/>
  <c r="D733" i="28"/>
  <c r="H732" i="28"/>
  <c r="A733" i="28" s="1"/>
  <c r="G732" i="28"/>
  <c r="F732" i="28"/>
  <c r="D732" i="28"/>
  <c r="H731" i="28"/>
  <c r="A732" i="28" s="1"/>
  <c r="G731" i="28"/>
  <c r="F731" i="28"/>
  <c r="D731" i="28"/>
  <c r="H730" i="28"/>
  <c r="A731" i="28" s="1"/>
  <c r="G730" i="28"/>
  <c r="F730" i="28"/>
  <c r="D730" i="28"/>
  <c r="H729" i="28"/>
  <c r="A730" i="28" s="1"/>
  <c r="G729" i="28"/>
  <c r="F729" i="28"/>
  <c r="D729" i="28"/>
  <c r="H728" i="28"/>
  <c r="A729" i="28" s="1"/>
  <c r="G728" i="28"/>
  <c r="F728" i="28"/>
  <c r="D728" i="28"/>
  <c r="H727" i="28"/>
  <c r="A728" i="28" s="1"/>
  <c r="G727" i="28"/>
  <c r="F727" i="28"/>
  <c r="D727" i="28"/>
  <c r="H726" i="28"/>
  <c r="A727" i="28" s="1"/>
  <c r="G726" i="28"/>
  <c r="F726" i="28"/>
  <c r="D726" i="28"/>
  <c r="H725" i="28"/>
  <c r="A726" i="28" s="1"/>
  <c r="G725" i="28"/>
  <c r="F725" i="28"/>
  <c r="D725" i="28"/>
  <c r="H724" i="28"/>
  <c r="A725" i="28" s="1"/>
  <c r="G724" i="28"/>
  <c r="F724" i="28"/>
  <c r="D724" i="28"/>
  <c r="H723" i="28"/>
  <c r="A724" i="28" s="1"/>
  <c r="G723" i="28"/>
  <c r="F723" i="28"/>
  <c r="D723" i="28"/>
  <c r="H722" i="28"/>
  <c r="A723" i="28" s="1"/>
  <c r="G722" i="28"/>
  <c r="F722" i="28"/>
  <c r="D722" i="28"/>
  <c r="H721" i="28"/>
  <c r="A722" i="28" s="1"/>
  <c r="G721" i="28"/>
  <c r="F721" i="28"/>
  <c r="D721" i="28"/>
  <c r="H720" i="28"/>
  <c r="A721" i="28" s="1"/>
  <c r="G720" i="28"/>
  <c r="F720" i="28"/>
  <c r="D720" i="28"/>
  <c r="H719" i="28"/>
  <c r="A720" i="28" s="1"/>
  <c r="G719" i="28"/>
  <c r="F719" i="28"/>
  <c r="D719" i="28"/>
  <c r="H718" i="28"/>
  <c r="A719" i="28" s="1"/>
  <c r="G718" i="28"/>
  <c r="F718" i="28"/>
  <c r="D718" i="28"/>
  <c r="H717" i="28"/>
  <c r="A718" i="28" s="1"/>
  <c r="G717" i="28"/>
  <c r="F717" i="28"/>
  <c r="D717" i="28"/>
  <c r="H716" i="28"/>
  <c r="A717" i="28" s="1"/>
  <c r="G716" i="28"/>
  <c r="F716" i="28"/>
  <c r="D716" i="28"/>
  <c r="H715" i="28"/>
  <c r="A716" i="28" s="1"/>
  <c r="G715" i="28"/>
  <c r="F715" i="28"/>
  <c r="D715" i="28"/>
  <c r="H714" i="28"/>
  <c r="A715" i="28" s="1"/>
  <c r="G714" i="28"/>
  <c r="F714" i="28"/>
  <c r="D714" i="28"/>
  <c r="H713" i="28"/>
  <c r="A714" i="28" s="1"/>
  <c r="G713" i="28"/>
  <c r="F713" i="28"/>
  <c r="D713" i="28"/>
  <c r="H712" i="28"/>
  <c r="A713" i="28" s="1"/>
  <c r="G712" i="28"/>
  <c r="F712" i="28"/>
  <c r="D712" i="28"/>
  <c r="H711" i="28"/>
  <c r="A712" i="28" s="1"/>
  <c r="G711" i="28"/>
  <c r="F711" i="28"/>
  <c r="D711" i="28"/>
  <c r="H710" i="28"/>
  <c r="A711" i="28" s="1"/>
  <c r="G710" i="28"/>
  <c r="F710" i="28"/>
  <c r="D710" i="28"/>
  <c r="H709" i="28"/>
  <c r="A710" i="28" s="1"/>
  <c r="G709" i="28"/>
  <c r="F709" i="28"/>
  <c r="D709" i="28"/>
  <c r="H708" i="28"/>
  <c r="A709" i="28" s="1"/>
  <c r="G708" i="28"/>
  <c r="F708" i="28"/>
  <c r="D708" i="28"/>
  <c r="H707" i="28"/>
  <c r="A708" i="28" s="1"/>
  <c r="G707" i="28"/>
  <c r="F707" i="28"/>
  <c r="D707" i="28"/>
  <c r="H706" i="28"/>
  <c r="A707" i="28" s="1"/>
  <c r="G706" i="28"/>
  <c r="F706" i="28"/>
  <c r="D706" i="28"/>
  <c r="H705" i="28"/>
  <c r="A706" i="28" s="1"/>
  <c r="G705" i="28"/>
  <c r="F705" i="28"/>
  <c r="D705" i="28"/>
  <c r="H704" i="28"/>
  <c r="A705" i="28" s="1"/>
  <c r="G704" i="28"/>
  <c r="F704" i="28"/>
  <c r="D704" i="28"/>
  <c r="H703" i="28"/>
  <c r="A704" i="28" s="1"/>
  <c r="G703" i="28"/>
  <c r="F703" i="28"/>
  <c r="D703" i="28"/>
  <c r="H702" i="28"/>
  <c r="A703" i="28" s="1"/>
  <c r="G702" i="28"/>
  <c r="F702" i="28"/>
  <c r="D702" i="28"/>
  <c r="H701" i="28"/>
  <c r="A702" i="28" s="1"/>
  <c r="G701" i="28"/>
  <c r="F701" i="28"/>
  <c r="D701" i="28"/>
  <c r="H700" i="28"/>
  <c r="A701" i="28" s="1"/>
  <c r="G700" i="28"/>
  <c r="F700" i="28"/>
  <c r="D700" i="28"/>
  <c r="H699" i="28"/>
  <c r="A700" i="28" s="1"/>
  <c r="G699" i="28"/>
  <c r="F699" i="28"/>
  <c r="D699" i="28"/>
  <c r="H698" i="28"/>
  <c r="A699" i="28" s="1"/>
  <c r="G698" i="28"/>
  <c r="F698" i="28"/>
  <c r="D698" i="28"/>
  <c r="H697" i="28"/>
  <c r="A698" i="28" s="1"/>
  <c r="G697" i="28"/>
  <c r="F697" i="28"/>
  <c r="D697" i="28"/>
  <c r="H696" i="28"/>
  <c r="A697" i="28" s="1"/>
  <c r="G696" i="28"/>
  <c r="F696" i="28"/>
  <c r="D696" i="28"/>
  <c r="H695" i="28"/>
  <c r="A696" i="28" s="1"/>
  <c r="G695" i="28"/>
  <c r="F695" i="28"/>
  <c r="D695" i="28"/>
  <c r="H694" i="28"/>
  <c r="A695" i="28" s="1"/>
  <c r="G694" i="28"/>
  <c r="F694" i="28"/>
  <c r="D694" i="28"/>
  <c r="H693" i="28"/>
  <c r="A694" i="28" s="1"/>
  <c r="G693" i="28"/>
  <c r="F693" i="28"/>
  <c r="D693" i="28"/>
  <c r="H692" i="28"/>
  <c r="A693" i="28" s="1"/>
  <c r="G692" i="28"/>
  <c r="F692" i="28"/>
  <c r="D692" i="28"/>
  <c r="H691" i="28"/>
  <c r="A692" i="28" s="1"/>
  <c r="G691" i="28"/>
  <c r="F691" i="28"/>
  <c r="D691" i="28"/>
  <c r="H690" i="28"/>
  <c r="A691" i="28" s="1"/>
  <c r="G690" i="28"/>
  <c r="F690" i="28"/>
  <c r="D690" i="28"/>
  <c r="H689" i="28"/>
  <c r="A690" i="28" s="1"/>
  <c r="G689" i="28"/>
  <c r="F689" i="28"/>
  <c r="D689" i="28"/>
  <c r="H688" i="28"/>
  <c r="A689" i="28" s="1"/>
  <c r="G688" i="28"/>
  <c r="F688" i="28"/>
  <c r="D688" i="28"/>
  <c r="H687" i="28"/>
  <c r="A688" i="28" s="1"/>
  <c r="G687" i="28"/>
  <c r="F687" i="28"/>
  <c r="D687" i="28"/>
  <c r="H686" i="28"/>
  <c r="A687" i="28" s="1"/>
  <c r="G686" i="28"/>
  <c r="F686" i="28"/>
  <c r="D686" i="28"/>
  <c r="H685" i="28"/>
  <c r="A686" i="28" s="1"/>
  <c r="G685" i="28"/>
  <c r="F685" i="28"/>
  <c r="D685" i="28"/>
  <c r="H684" i="28"/>
  <c r="A685" i="28" s="1"/>
  <c r="G684" i="28"/>
  <c r="F684" i="28"/>
  <c r="D684" i="28"/>
  <c r="H683" i="28"/>
  <c r="A684" i="28" s="1"/>
  <c r="G683" i="28"/>
  <c r="F683" i="28"/>
  <c r="D683" i="28"/>
  <c r="H682" i="28"/>
  <c r="A683" i="28" s="1"/>
  <c r="G682" i="28"/>
  <c r="F682" i="28"/>
  <c r="D682" i="28"/>
  <c r="H681" i="28"/>
  <c r="A682" i="28" s="1"/>
  <c r="G681" i="28"/>
  <c r="F681" i="28"/>
  <c r="D681" i="28"/>
  <c r="H680" i="28"/>
  <c r="A681" i="28" s="1"/>
  <c r="G680" i="28"/>
  <c r="F680" i="28"/>
  <c r="D680" i="28"/>
  <c r="H679" i="28"/>
  <c r="A680" i="28" s="1"/>
  <c r="G679" i="28"/>
  <c r="F679" i="28"/>
  <c r="D679" i="28"/>
  <c r="H678" i="28"/>
  <c r="A679" i="28" s="1"/>
  <c r="G678" i="28"/>
  <c r="F678" i="28"/>
  <c r="D678" i="28"/>
  <c r="H677" i="28"/>
  <c r="A678" i="28" s="1"/>
  <c r="G677" i="28"/>
  <c r="F677" i="28"/>
  <c r="D677" i="28"/>
  <c r="H676" i="28"/>
  <c r="A677" i="28" s="1"/>
  <c r="G676" i="28"/>
  <c r="F676" i="28"/>
  <c r="D676" i="28"/>
  <c r="H675" i="28"/>
  <c r="A676" i="28" s="1"/>
  <c r="G675" i="28"/>
  <c r="F675" i="28"/>
  <c r="D675" i="28"/>
  <c r="H674" i="28"/>
  <c r="A675" i="28" s="1"/>
  <c r="G674" i="28"/>
  <c r="F674" i="28"/>
  <c r="D674" i="28"/>
  <c r="H673" i="28"/>
  <c r="A674" i="28" s="1"/>
  <c r="G673" i="28"/>
  <c r="F673" i="28"/>
  <c r="D673" i="28"/>
  <c r="H672" i="28"/>
  <c r="A673" i="28" s="1"/>
  <c r="G672" i="28"/>
  <c r="F672" i="28"/>
  <c r="D672" i="28"/>
  <c r="H671" i="28"/>
  <c r="A672" i="28" s="1"/>
  <c r="G671" i="28"/>
  <c r="F671" i="28"/>
  <c r="D671" i="28"/>
  <c r="H670" i="28"/>
  <c r="A671" i="28" s="1"/>
  <c r="G670" i="28"/>
  <c r="F670" i="28"/>
  <c r="D670" i="28"/>
  <c r="H669" i="28"/>
  <c r="A670" i="28" s="1"/>
  <c r="G669" i="28"/>
  <c r="F669" i="28"/>
  <c r="D669" i="28"/>
  <c r="H668" i="28"/>
  <c r="A669" i="28" s="1"/>
  <c r="G668" i="28"/>
  <c r="F668" i="28"/>
  <c r="D668" i="28"/>
  <c r="H667" i="28"/>
  <c r="A668" i="28" s="1"/>
  <c r="G667" i="28"/>
  <c r="F667" i="28"/>
  <c r="D667" i="28"/>
  <c r="H666" i="28"/>
  <c r="A667" i="28" s="1"/>
  <c r="G666" i="28"/>
  <c r="F666" i="28"/>
  <c r="D666" i="28"/>
  <c r="H665" i="28"/>
  <c r="A666" i="28" s="1"/>
  <c r="G665" i="28"/>
  <c r="F665" i="28"/>
  <c r="D665" i="28"/>
  <c r="H664" i="28"/>
  <c r="A665" i="28" s="1"/>
  <c r="G664" i="28"/>
  <c r="F664" i="28"/>
  <c r="D664" i="28"/>
  <c r="H663" i="28"/>
  <c r="A664" i="28" s="1"/>
  <c r="G663" i="28"/>
  <c r="F663" i="28"/>
  <c r="D663" i="28"/>
  <c r="H662" i="28"/>
  <c r="A663" i="28" s="1"/>
  <c r="G662" i="28"/>
  <c r="F662" i="28"/>
  <c r="D662" i="28"/>
  <c r="H661" i="28"/>
  <c r="A662" i="28" s="1"/>
  <c r="G661" i="28"/>
  <c r="F661" i="28"/>
  <c r="D661" i="28"/>
  <c r="H660" i="28"/>
  <c r="A661" i="28" s="1"/>
  <c r="G660" i="28"/>
  <c r="F660" i="28"/>
  <c r="D660" i="28"/>
  <c r="H659" i="28"/>
  <c r="A660" i="28" s="1"/>
  <c r="G659" i="28"/>
  <c r="F659" i="28"/>
  <c r="D659" i="28"/>
  <c r="H658" i="28"/>
  <c r="A659" i="28" s="1"/>
  <c r="G658" i="28"/>
  <c r="F658" i="28"/>
  <c r="D658" i="28"/>
  <c r="H657" i="28"/>
  <c r="A658" i="28" s="1"/>
  <c r="G657" i="28"/>
  <c r="F657" i="28"/>
  <c r="D657" i="28"/>
  <c r="H656" i="28"/>
  <c r="A657" i="28" s="1"/>
  <c r="G656" i="28"/>
  <c r="F656" i="28"/>
  <c r="D656" i="28"/>
  <c r="H655" i="28"/>
  <c r="A656" i="28" s="1"/>
  <c r="G655" i="28"/>
  <c r="F655" i="28"/>
  <c r="D655" i="28"/>
  <c r="H654" i="28"/>
  <c r="A655" i="28" s="1"/>
  <c r="G654" i="28"/>
  <c r="F654" i="28"/>
  <c r="D654" i="28"/>
  <c r="H653" i="28"/>
  <c r="A654" i="28" s="1"/>
  <c r="G653" i="28"/>
  <c r="F653" i="28"/>
  <c r="D653" i="28"/>
  <c r="H652" i="28"/>
  <c r="A653" i="28" s="1"/>
  <c r="G652" i="28"/>
  <c r="F652" i="28"/>
  <c r="D652" i="28"/>
  <c r="H651" i="28"/>
  <c r="A652" i="28" s="1"/>
  <c r="G651" i="28"/>
  <c r="F651" i="28"/>
  <c r="D651" i="28"/>
  <c r="H650" i="28"/>
  <c r="A651" i="28" s="1"/>
  <c r="G650" i="28"/>
  <c r="F650" i="28"/>
  <c r="D650" i="28"/>
  <c r="H649" i="28"/>
  <c r="A650" i="28" s="1"/>
  <c r="G649" i="28"/>
  <c r="F649" i="28"/>
  <c r="D649" i="28"/>
  <c r="H648" i="28"/>
  <c r="A649" i="28" s="1"/>
  <c r="G648" i="28"/>
  <c r="F648" i="28"/>
  <c r="D648" i="28"/>
  <c r="H647" i="28"/>
  <c r="A648" i="28" s="1"/>
  <c r="G647" i="28"/>
  <c r="F647" i="28"/>
  <c r="D647" i="28"/>
  <c r="H646" i="28"/>
  <c r="A647" i="28" s="1"/>
  <c r="G646" i="28"/>
  <c r="F646" i="28"/>
  <c r="D646" i="28"/>
  <c r="H645" i="28"/>
  <c r="A646" i="28" s="1"/>
  <c r="G645" i="28"/>
  <c r="F645" i="28"/>
  <c r="D645" i="28"/>
  <c r="H644" i="28"/>
  <c r="A645" i="28" s="1"/>
  <c r="G644" i="28"/>
  <c r="F644" i="28"/>
  <c r="D644" i="28"/>
  <c r="H643" i="28"/>
  <c r="A644" i="28" s="1"/>
  <c r="G643" i="28"/>
  <c r="F643" i="28"/>
  <c r="D643" i="28"/>
  <c r="H642" i="28"/>
  <c r="A643" i="28" s="1"/>
  <c r="G642" i="28"/>
  <c r="F642" i="28"/>
  <c r="D642" i="28"/>
  <c r="H641" i="28"/>
  <c r="A642" i="28" s="1"/>
  <c r="G641" i="28"/>
  <c r="F641" i="28"/>
  <c r="D641" i="28"/>
  <c r="H640" i="28"/>
  <c r="A641" i="28" s="1"/>
  <c r="G640" i="28"/>
  <c r="F640" i="28"/>
  <c r="D640" i="28"/>
  <c r="H639" i="28"/>
  <c r="A640" i="28" s="1"/>
  <c r="G639" i="28"/>
  <c r="F639" i="28"/>
  <c r="D639" i="28"/>
  <c r="H638" i="28"/>
  <c r="A639" i="28" s="1"/>
  <c r="G638" i="28"/>
  <c r="F638" i="28"/>
  <c r="D638" i="28"/>
  <c r="H637" i="28"/>
  <c r="A638" i="28" s="1"/>
  <c r="G637" i="28"/>
  <c r="F637" i="28"/>
  <c r="D637" i="28"/>
  <c r="H636" i="28"/>
  <c r="A637" i="28" s="1"/>
  <c r="G636" i="28"/>
  <c r="F636" i="28"/>
  <c r="D636" i="28"/>
  <c r="H635" i="28"/>
  <c r="A636" i="28" s="1"/>
  <c r="G635" i="28"/>
  <c r="F635" i="28"/>
  <c r="D635" i="28"/>
  <c r="H634" i="28"/>
  <c r="A635" i="28" s="1"/>
  <c r="G634" i="28"/>
  <c r="F634" i="28"/>
  <c r="D634" i="28"/>
  <c r="H633" i="28"/>
  <c r="A634" i="28" s="1"/>
  <c r="G633" i="28"/>
  <c r="F633" i="28"/>
  <c r="D633" i="28"/>
  <c r="H632" i="28"/>
  <c r="A633" i="28" s="1"/>
  <c r="G632" i="28"/>
  <c r="F632" i="28"/>
  <c r="D632" i="28"/>
  <c r="H631" i="28"/>
  <c r="A632" i="28" s="1"/>
  <c r="G631" i="28"/>
  <c r="F631" i="28"/>
  <c r="D631" i="28"/>
  <c r="H630" i="28"/>
  <c r="A631" i="28" s="1"/>
  <c r="G630" i="28"/>
  <c r="F630" i="28"/>
  <c r="D630" i="28"/>
  <c r="H629" i="28"/>
  <c r="A630" i="28" s="1"/>
  <c r="G629" i="28"/>
  <c r="F629" i="28"/>
  <c r="D629" i="28"/>
  <c r="H628" i="28"/>
  <c r="A629" i="28" s="1"/>
  <c r="G628" i="28"/>
  <c r="F628" i="28"/>
  <c r="D628" i="28"/>
  <c r="H627" i="28"/>
  <c r="A628" i="28" s="1"/>
  <c r="G627" i="28"/>
  <c r="F627" i="28"/>
  <c r="D627" i="28"/>
  <c r="H626" i="28"/>
  <c r="A627" i="28" s="1"/>
  <c r="G626" i="28"/>
  <c r="F626" i="28"/>
  <c r="D626" i="28"/>
  <c r="H625" i="28"/>
  <c r="A626" i="28" s="1"/>
  <c r="G625" i="28"/>
  <c r="F625" i="28"/>
  <c r="D625" i="28"/>
  <c r="H624" i="28"/>
  <c r="A625" i="28" s="1"/>
  <c r="G624" i="28"/>
  <c r="F624" i="28"/>
  <c r="D624" i="28"/>
  <c r="H623" i="28"/>
  <c r="A624" i="28" s="1"/>
  <c r="G623" i="28"/>
  <c r="F623" i="28"/>
  <c r="D623" i="28"/>
  <c r="H622" i="28"/>
  <c r="A623" i="28" s="1"/>
  <c r="G622" i="28"/>
  <c r="F622" i="28"/>
  <c r="D622" i="28"/>
  <c r="H621" i="28"/>
  <c r="A622" i="28" s="1"/>
  <c r="G621" i="28"/>
  <c r="F621" i="28"/>
  <c r="D621" i="28"/>
  <c r="H620" i="28"/>
  <c r="A621" i="28" s="1"/>
  <c r="G620" i="28"/>
  <c r="F620" i="28"/>
  <c r="D620" i="28"/>
  <c r="H619" i="28"/>
  <c r="A620" i="28" s="1"/>
  <c r="G619" i="28"/>
  <c r="F619" i="28"/>
  <c r="D619" i="28"/>
  <c r="H618" i="28"/>
  <c r="A619" i="28" s="1"/>
  <c r="G618" i="28"/>
  <c r="F618" i="28"/>
  <c r="D618" i="28"/>
  <c r="H617" i="28"/>
  <c r="A618" i="28" s="1"/>
  <c r="G617" i="28"/>
  <c r="F617" i="28"/>
  <c r="D617" i="28"/>
  <c r="H616" i="28"/>
  <c r="A617" i="28" s="1"/>
  <c r="G616" i="28"/>
  <c r="F616" i="28"/>
  <c r="D616" i="28"/>
  <c r="H615" i="28"/>
  <c r="A616" i="28" s="1"/>
  <c r="G615" i="28"/>
  <c r="F615" i="28"/>
  <c r="D615" i="28"/>
  <c r="H614" i="28"/>
  <c r="A615" i="28" s="1"/>
  <c r="G614" i="28"/>
  <c r="F614" i="28"/>
  <c r="D614" i="28"/>
  <c r="H613" i="28"/>
  <c r="A614" i="28" s="1"/>
  <c r="G613" i="28"/>
  <c r="F613" i="28"/>
  <c r="D613" i="28"/>
  <c r="H612" i="28"/>
  <c r="A613" i="28" s="1"/>
  <c r="G612" i="28"/>
  <c r="F612" i="28"/>
  <c r="D612" i="28"/>
  <c r="H611" i="28"/>
  <c r="A612" i="28" s="1"/>
  <c r="G611" i="28"/>
  <c r="F611" i="28"/>
  <c r="D611" i="28"/>
  <c r="H610" i="28"/>
  <c r="A611" i="28" s="1"/>
  <c r="G610" i="28"/>
  <c r="F610" i="28"/>
  <c r="D610" i="28"/>
  <c r="H609" i="28"/>
  <c r="A610" i="28" s="1"/>
  <c r="G609" i="28"/>
  <c r="F609" i="28"/>
  <c r="D609" i="28"/>
  <c r="H608" i="28"/>
  <c r="A609" i="28" s="1"/>
  <c r="G608" i="28"/>
  <c r="F608" i="28"/>
  <c r="D608" i="28"/>
  <c r="H607" i="28"/>
  <c r="A608" i="28" s="1"/>
  <c r="G607" i="28"/>
  <c r="F607" i="28"/>
  <c r="D607" i="28"/>
  <c r="H606" i="28"/>
  <c r="A607" i="28" s="1"/>
  <c r="G606" i="28"/>
  <c r="F606" i="28"/>
  <c r="D606" i="28"/>
  <c r="H605" i="28"/>
  <c r="A606" i="28" s="1"/>
  <c r="G605" i="28"/>
  <c r="F605" i="28"/>
  <c r="D605" i="28"/>
  <c r="H604" i="28"/>
  <c r="A605" i="28" s="1"/>
  <c r="G604" i="28"/>
  <c r="F604" i="28"/>
  <c r="D604" i="28"/>
  <c r="H603" i="28"/>
  <c r="A604" i="28" s="1"/>
  <c r="G603" i="28"/>
  <c r="F603" i="28"/>
  <c r="D603" i="28"/>
  <c r="H602" i="28"/>
  <c r="A603" i="28" s="1"/>
  <c r="G602" i="28"/>
  <c r="F602" i="28"/>
  <c r="D602" i="28"/>
  <c r="H601" i="28"/>
  <c r="A602" i="28" s="1"/>
  <c r="G601" i="28"/>
  <c r="F601" i="28"/>
  <c r="D601" i="28"/>
  <c r="H600" i="28"/>
  <c r="A601" i="28" s="1"/>
  <c r="G600" i="28"/>
  <c r="F600" i="28"/>
  <c r="D600" i="28"/>
  <c r="H599" i="28"/>
  <c r="A600" i="28" s="1"/>
  <c r="G599" i="28"/>
  <c r="F599" i="28"/>
  <c r="D599" i="28"/>
  <c r="H598" i="28"/>
  <c r="A599" i="28" s="1"/>
  <c r="G598" i="28"/>
  <c r="F598" i="28"/>
  <c r="D598" i="28"/>
  <c r="H597" i="28"/>
  <c r="A598" i="28" s="1"/>
  <c r="G597" i="28"/>
  <c r="F597" i="28"/>
  <c r="D597" i="28"/>
  <c r="H596" i="28"/>
  <c r="A597" i="28" s="1"/>
  <c r="G596" i="28"/>
  <c r="F596" i="28"/>
  <c r="D596" i="28"/>
  <c r="H595" i="28"/>
  <c r="A596" i="28" s="1"/>
  <c r="G595" i="28"/>
  <c r="F595" i="28"/>
  <c r="D595" i="28"/>
  <c r="H594" i="28"/>
  <c r="A595" i="28" s="1"/>
  <c r="G594" i="28"/>
  <c r="F594" i="28"/>
  <c r="D594" i="28"/>
  <c r="H593" i="28"/>
  <c r="A594" i="28" s="1"/>
  <c r="G593" i="28"/>
  <c r="F593" i="28"/>
  <c r="D593" i="28"/>
  <c r="H592" i="28"/>
  <c r="A593" i="28" s="1"/>
  <c r="G592" i="28"/>
  <c r="F592" i="28"/>
  <c r="D592" i="28"/>
  <c r="H591" i="28"/>
  <c r="A592" i="28" s="1"/>
  <c r="G591" i="28"/>
  <c r="F591" i="28"/>
  <c r="D591" i="28"/>
  <c r="H590" i="28"/>
  <c r="A591" i="28" s="1"/>
  <c r="G590" i="28"/>
  <c r="F590" i="28"/>
  <c r="D590" i="28"/>
  <c r="H589" i="28"/>
  <c r="A590" i="28" s="1"/>
  <c r="G589" i="28"/>
  <c r="F589" i="28"/>
  <c r="D589" i="28"/>
  <c r="H588" i="28"/>
  <c r="A589" i="28" s="1"/>
  <c r="G588" i="28"/>
  <c r="F588" i="28"/>
  <c r="D588" i="28"/>
  <c r="H587" i="28"/>
  <c r="A588" i="28" s="1"/>
  <c r="G587" i="28"/>
  <c r="F587" i="28"/>
  <c r="D587" i="28"/>
  <c r="H586" i="28"/>
  <c r="A587" i="28" s="1"/>
  <c r="G586" i="28"/>
  <c r="F586" i="28"/>
  <c r="D586" i="28"/>
  <c r="H585" i="28"/>
  <c r="A586" i="28" s="1"/>
  <c r="G585" i="28"/>
  <c r="F585" i="28"/>
  <c r="D585" i="28"/>
  <c r="H584" i="28"/>
  <c r="A585" i="28" s="1"/>
  <c r="G584" i="28"/>
  <c r="F584" i="28"/>
  <c r="D584" i="28"/>
  <c r="H583" i="28"/>
  <c r="A584" i="28" s="1"/>
  <c r="G583" i="28"/>
  <c r="F583" i="28"/>
  <c r="D583" i="28"/>
  <c r="H582" i="28"/>
  <c r="A583" i="28" s="1"/>
  <c r="G582" i="28"/>
  <c r="F582" i="28"/>
  <c r="D582" i="28"/>
  <c r="H581" i="28"/>
  <c r="A582" i="28" s="1"/>
  <c r="G581" i="28"/>
  <c r="F581" i="28"/>
  <c r="D581" i="28"/>
  <c r="H580" i="28"/>
  <c r="A581" i="28" s="1"/>
  <c r="G580" i="28"/>
  <c r="F580" i="28"/>
  <c r="D580" i="28"/>
  <c r="H579" i="28"/>
  <c r="A580" i="28" s="1"/>
  <c r="G579" i="28"/>
  <c r="F579" i="28"/>
  <c r="D579" i="28"/>
  <c r="H578" i="28"/>
  <c r="A579" i="28" s="1"/>
  <c r="G578" i="28"/>
  <c r="F578" i="28"/>
  <c r="D578" i="28"/>
  <c r="H577" i="28"/>
  <c r="A578" i="28" s="1"/>
  <c r="G577" i="28"/>
  <c r="F577" i="28"/>
  <c r="D577" i="28"/>
  <c r="H576" i="28"/>
  <c r="A577" i="28" s="1"/>
  <c r="G576" i="28"/>
  <c r="F576" i="28"/>
  <c r="D576" i="28"/>
  <c r="H575" i="28"/>
  <c r="A576" i="28" s="1"/>
  <c r="G575" i="28"/>
  <c r="F575" i="28"/>
  <c r="D575" i="28"/>
  <c r="H574" i="28"/>
  <c r="A575" i="28" s="1"/>
  <c r="G574" i="28"/>
  <c r="F574" i="28"/>
  <c r="D574" i="28"/>
  <c r="H573" i="28"/>
  <c r="A574" i="28" s="1"/>
  <c r="G573" i="28"/>
  <c r="F573" i="28"/>
  <c r="D573" i="28"/>
  <c r="H572" i="28"/>
  <c r="A573" i="28" s="1"/>
  <c r="G572" i="28"/>
  <c r="F572" i="28"/>
  <c r="D572" i="28"/>
  <c r="H571" i="28"/>
  <c r="A572" i="28" s="1"/>
  <c r="G571" i="28"/>
  <c r="F571" i="28"/>
  <c r="D571" i="28"/>
  <c r="H570" i="28"/>
  <c r="A571" i="28" s="1"/>
  <c r="G570" i="28"/>
  <c r="F570" i="28"/>
  <c r="D570" i="28"/>
  <c r="H569" i="28"/>
  <c r="A570" i="28" s="1"/>
  <c r="G569" i="28"/>
  <c r="F569" i="28"/>
  <c r="D569" i="28"/>
  <c r="H568" i="28"/>
  <c r="A569" i="28" s="1"/>
  <c r="G568" i="28"/>
  <c r="F568" i="28"/>
  <c r="D568" i="28"/>
  <c r="H567" i="28"/>
  <c r="A568" i="28" s="1"/>
  <c r="G567" i="28"/>
  <c r="F567" i="28"/>
  <c r="D567" i="28"/>
  <c r="H566" i="28"/>
  <c r="A567" i="28" s="1"/>
  <c r="G566" i="28"/>
  <c r="F566" i="28"/>
  <c r="D566" i="28"/>
  <c r="H565" i="28"/>
  <c r="A566" i="28" s="1"/>
  <c r="G565" i="28"/>
  <c r="F565" i="28"/>
  <c r="D565" i="28"/>
  <c r="H564" i="28"/>
  <c r="A565" i="28" s="1"/>
  <c r="G564" i="28"/>
  <c r="F564" i="28"/>
  <c r="D564" i="28"/>
  <c r="H563" i="28"/>
  <c r="A564" i="28" s="1"/>
  <c r="G563" i="28"/>
  <c r="F563" i="28"/>
  <c r="D563" i="28"/>
  <c r="H562" i="28"/>
  <c r="A563" i="28" s="1"/>
  <c r="G562" i="28"/>
  <c r="F562" i="28"/>
  <c r="D562" i="28"/>
  <c r="H561" i="28"/>
  <c r="A562" i="28" s="1"/>
  <c r="G561" i="28"/>
  <c r="F561" i="28"/>
  <c r="D561" i="28"/>
  <c r="H560" i="28"/>
  <c r="A561" i="28" s="1"/>
  <c r="G560" i="28"/>
  <c r="F560" i="28"/>
  <c r="D560" i="28"/>
  <c r="H559" i="28"/>
  <c r="A560" i="28" s="1"/>
  <c r="G559" i="28"/>
  <c r="F559" i="28"/>
  <c r="D559" i="28"/>
  <c r="H558" i="28"/>
  <c r="A559" i="28" s="1"/>
  <c r="G558" i="28"/>
  <c r="F558" i="28"/>
  <c r="D558" i="28"/>
  <c r="H557" i="28"/>
  <c r="A558" i="28" s="1"/>
  <c r="G557" i="28"/>
  <c r="F557" i="28"/>
  <c r="D557" i="28"/>
  <c r="H556" i="28"/>
  <c r="A557" i="28" s="1"/>
  <c r="G556" i="28"/>
  <c r="F556" i="28"/>
  <c r="D556" i="28"/>
  <c r="H555" i="28"/>
  <c r="A556" i="28" s="1"/>
  <c r="G555" i="28"/>
  <c r="F555" i="28"/>
  <c r="D555" i="28"/>
  <c r="H554" i="28"/>
  <c r="A555" i="28" s="1"/>
  <c r="G554" i="28"/>
  <c r="F554" i="28"/>
  <c r="D554" i="28"/>
  <c r="H553" i="28"/>
  <c r="A554" i="28" s="1"/>
  <c r="G553" i="28"/>
  <c r="F553" i="28"/>
  <c r="D553" i="28"/>
  <c r="H552" i="28"/>
  <c r="A553" i="28" s="1"/>
  <c r="G552" i="28"/>
  <c r="F552" i="28"/>
  <c r="D552" i="28"/>
  <c r="H551" i="28"/>
  <c r="A552" i="28" s="1"/>
  <c r="G551" i="28"/>
  <c r="F551" i="28"/>
  <c r="D551" i="28"/>
  <c r="H550" i="28"/>
  <c r="A551" i="28" s="1"/>
  <c r="G550" i="28"/>
  <c r="F550" i="28"/>
  <c r="D550" i="28"/>
  <c r="H549" i="28"/>
  <c r="A550" i="28" s="1"/>
  <c r="G549" i="28"/>
  <c r="F549" i="28"/>
  <c r="D549" i="28"/>
  <c r="H548" i="28"/>
  <c r="A549" i="28" s="1"/>
  <c r="G548" i="28"/>
  <c r="F548" i="28"/>
  <c r="D548" i="28"/>
  <c r="H547" i="28"/>
  <c r="A548" i="28" s="1"/>
  <c r="G547" i="28"/>
  <c r="F547" i="28"/>
  <c r="D547" i="28"/>
  <c r="H546" i="28"/>
  <c r="A547" i="28" s="1"/>
  <c r="G546" i="28"/>
  <c r="F546" i="28"/>
  <c r="D546" i="28"/>
  <c r="H545" i="28"/>
  <c r="A546" i="28" s="1"/>
  <c r="G545" i="28"/>
  <c r="F545" i="28"/>
  <c r="D545" i="28"/>
  <c r="H544" i="28"/>
  <c r="A545" i="28" s="1"/>
  <c r="G544" i="28"/>
  <c r="F544" i="28"/>
  <c r="D544" i="28"/>
  <c r="H543" i="28"/>
  <c r="A544" i="28" s="1"/>
  <c r="G543" i="28"/>
  <c r="F543" i="28"/>
  <c r="D543" i="28"/>
  <c r="H542" i="28"/>
  <c r="A543" i="28" s="1"/>
  <c r="G542" i="28"/>
  <c r="F542" i="28"/>
  <c r="D542" i="28"/>
  <c r="H541" i="28"/>
  <c r="A542" i="28" s="1"/>
  <c r="G541" i="28"/>
  <c r="F541" i="28"/>
  <c r="D541" i="28"/>
  <c r="H540" i="28"/>
  <c r="A541" i="28" s="1"/>
  <c r="G540" i="28"/>
  <c r="F540" i="28"/>
  <c r="D540" i="28"/>
  <c r="H539" i="28"/>
  <c r="A540" i="28" s="1"/>
  <c r="G539" i="28"/>
  <c r="F539" i="28"/>
  <c r="D539" i="28"/>
  <c r="H538" i="28"/>
  <c r="A539" i="28" s="1"/>
  <c r="G538" i="28"/>
  <c r="F538" i="28"/>
  <c r="D538" i="28"/>
  <c r="H537" i="28"/>
  <c r="A538" i="28" s="1"/>
  <c r="G537" i="28"/>
  <c r="F537" i="28"/>
  <c r="D537" i="28"/>
  <c r="H536" i="28"/>
  <c r="A537" i="28" s="1"/>
  <c r="G536" i="28"/>
  <c r="F536" i="28"/>
  <c r="D536" i="28"/>
  <c r="H535" i="28"/>
  <c r="A536" i="28" s="1"/>
  <c r="G535" i="28"/>
  <c r="F535" i="28"/>
  <c r="D535" i="28"/>
  <c r="H534" i="28"/>
  <c r="A535" i="28" s="1"/>
  <c r="G534" i="28"/>
  <c r="F534" i="28"/>
  <c r="D534" i="28"/>
  <c r="H533" i="28"/>
  <c r="A534" i="28" s="1"/>
  <c r="G533" i="28"/>
  <c r="F533" i="28"/>
  <c r="D533" i="28"/>
  <c r="H532" i="28"/>
  <c r="A533" i="28" s="1"/>
  <c r="G532" i="28"/>
  <c r="F532" i="28"/>
  <c r="D532" i="28"/>
  <c r="H531" i="28"/>
  <c r="A532" i="28" s="1"/>
  <c r="G531" i="28"/>
  <c r="F531" i="28"/>
  <c r="D531" i="28"/>
  <c r="H530" i="28"/>
  <c r="A531" i="28" s="1"/>
  <c r="G530" i="28"/>
  <c r="F530" i="28"/>
  <c r="D530" i="28"/>
  <c r="H529" i="28"/>
  <c r="A530" i="28" s="1"/>
  <c r="G529" i="28"/>
  <c r="F529" i="28"/>
  <c r="D529" i="28"/>
  <c r="H528" i="28"/>
  <c r="A529" i="28" s="1"/>
  <c r="G528" i="28"/>
  <c r="F528" i="28"/>
  <c r="D528" i="28"/>
  <c r="H527" i="28"/>
  <c r="A528" i="28" s="1"/>
  <c r="G527" i="28"/>
  <c r="F527" i="28"/>
  <c r="D527" i="28"/>
  <c r="H526" i="28"/>
  <c r="A527" i="28" s="1"/>
  <c r="G526" i="28"/>
  <c r="F526" i="28"/>
  <c r="D526" i="28"/>
  <c r="H525" i="28"/>
  <c r="A526" i="28" s="1"/>
  <c r="G525" i="28"/>
  <c r="F525" i="28"/>
  <c r="D525" i="28"/>
  <c r="H524" i="28"/>
  <c r="A525" i="28" s="1"/>
  <c r="G524" i="28"/>
  <c r="F524" i="28"/>
  <c r="D524" i="28"/>
  <c r="H523" i="28"/>
  <c r="A524" i="28" s="1"/>
  <c r="G523" i="28"/>
  <c r="F523" i="28"/>
  <c r="D523" i="28"/>
  <c r="H522" i="28"/>
  <c r="A523" i="28" s="1"/>
  <c r="G522" i="28"/>
  <c r="F522" i="28"/>
  <c r="D522" i="28"/>
  <c r="H521" i="28"/>
  <c r="A522" i="28" s="1"/>
  <c r="G521" i="28"/>
  <c r="F521" i="28"/>
  <c r="D521" i="28"/>
  <c r="H520" i="28"/>
  <c r="A521" i="28" s="1"/>
  <c r="G520" i="28"/>
  <c r="F520" i="28"/>
  <c r="D520" i="28"/>
  <c r="H519" i="28"/>
  <c r="A520" i="28" s="1"/>
  <c r="G519" i="28"/>
  <c r="F519" i="28"/>
  <c r="D519" i="28"/>
  <c r="H518" i="28"/>
  <c r="A519" i="28" s="1"/>
  <c r="G518" i="28"/>
  <c r="F518" i="28"/>
  <c r="D518" i="28"/>
  <c r="H517" i="28"/>
  <c r="A518" i="28" s="1"/>
  <c r="G517" i="28"/>
  <c r="F517" i="28"/>
  <c r="D517" i="28"/>
  <c r="H516" i="28"/>
  <c r="A517" i="28" s="1"/>
  <c r="G516" i="28"/>
  <c r="F516" i="28"/>
  <c r="D516" i="28"/>
  <c r="H515" i="28"/>
  <c r="A516" i="28" s="1"/>
  <c r="G515" i="28"/>
  <c r="F515" i="28"/>
  <c r="D515" i="28"/>
  <c r="H514" i="28"/>
  <c r="A515" i="28" s="1"/>
  <c r="G514" i="28"/>
  <c r="F514" i="28"/>
  <c r="D514" i="28"/>
  <c r="H513" i="28"/>
  <c r="A514" i="28" s="1"/>
  <c r="G513" i="28"/>
  <c r="F513" i="28"/>
  <c r="D513" i="28"/>
  <c r="H512" i="28"/>
  <c r="A513" i="28" s="1"/>
  <c r="G512" i="28"/>
  <c r="F512" i="28"/>
  <c r="D512" i="28"/>
  <c r="H511" i="28"/>
  <c r="A512" i="28" s="1"/>
  <c r="G511" i="28"/>
  <c r="F511" i="28"/>
  <c r="D511" i="28"/>
  <c r="H510" i="28"/>
  <c r="A511" i="28" s="1"/>
  <c r="G510" i="28"/>
  <c r="F510" i="28"/>
  <c r="D510" i="28"/>
  <c r="H509" i="28"/>
  <c r="A510" i="28" s="1"/>
  <c r="G509" i="28"/>
  <c r="F509" i="28"/>
  <c r="D509" i="28"/>
  <c r="H508" i="28"/>
  <c r="A509" i="28" s="1"/>
  <c r="G508" i="28"/>
  <c r="F508" i="28"/>
  <c r="D508" i="28"/>
  <c r="H507" i="28"/>
  <c r="A508" i="28" s="1"/>
  <c r="G507" i="28"/>
  <c r="F507" i="28"/>
  <c r="D507" i="28"/>
  <c r="H506" i="28"/>
  <c r="A507" i="28" s="1"/>
  <c r="G506" i="28"/>
  <c r="F506" i="28"/>
  <c r="D506" i="28"/>
  <c r="H505" i="28"/>
  <c r="A506" i="28" s="1"/>
  <c r="G505" i="28"/>
  <c r="F505" i="28"/>
  <c r="D505" i="28"/>
  <c r="H504" i="28"/>
  <c r="A505" i="28" s="1"/>
  <c r="G504" i="28"/>
  <c r="F504" i="28"/>
  <c r="D504" i="28"/>
  <c r="H503" i="28"/>
  <c r="A504" i="28" s="1"/>
  <c r="G503" i="28"/>
  <c r="F503" i="28"/>
  <c r="D503" i="28"/>
  <c r="H502" i="28"/>
  <c r="A503" i="28" s="1"/>
  <c r="G502" i="28"/>
  <c r="F502" i="28"/>
  <c r="D502" i="28"/>
  <c r="H501" i="28"/>
  <c r="A502" i="28" s="1"/>
  <c r="G501" i="28"/>
  <c r="F501" i="28"/>
  <c r="D501" i="28"/>
  <c r="H500" i="28"/>
  <c r="A501" i="28" s="1"/>
  <c r="G500" i="28"/>
  <c r="F500" i="28"/>
  <c r="D500" i="28"/>
  <c r="H499" i="28"/>
  <c r="A500" i="28" s="1"/>
  <c r="G499" i="28"/>
  <c r="F499" i="28"/>
  <c r="D499" i="28"/>
  <c r="H498" i="28"/>
  <c r="A499" i="28" s="1"/>
  <c r="G498" i="28"/>
  <c r="F498" i="28"/>
  <c r="D498" i="28"/>
  <c r="H497" i="28"/>
  <c r="A498" i="28" s="1"/>
  <c r="G497" i="28"/>
  <c r="F497" i="28"/>
  <c r="D497" i="28"/>
  <c r="H496" i="28"/>
  <c r="A497" i="28" s="1"/>
  <c r="G496" i="28"/>
  <c r="F496" i="28"/>
  <c r="D496" i="28"/>
  <c r="H495" i="28"/>
  <c r="A496" i="28" s="1"/>
  <c r="G495" i="28"/>
  <c r="F495" i="28"/>
  <c r="D495" i="28"/>
  <c r="H494" i="28"/>
  <c r="A495" i="28" s="1"/>
  <c r="G494" i="28"/>
  <c r="F494" i="28"/>
  <c r="D494" i="28"/>
  <c r="H493" i="28"/>
  <c r="A494" i="28" s="1"/>
  <c r="G493" i="28"/>
  <c r="F493" i="28"/>
  <c r="D493" i="28"/>
  <c r="H492" i="28"/>
  <c r="A493" i="28" s="1"/>
  <c r="G492" i="28"/>
  <c r="F492" i="28"/>
  <c r="D492" i="28"/>
  <c r="H491" i="28"/>
  <c r="A492" i="28" s="1"/>
  <c r="G491" i="28"/>
  <c r="F491" i="28"/>
  <c r="D491" i="28"/>
  <c r="H490" i="28"/>
  <c r="A491" i="28" s="1"/>
  <c r="G490" i="28"/>
  <c r="F490" i="28"/>
  <c r="D490" i="28"/>
  <c r="H489" i="28"/>
  <c r="A490" i="28" s="1"/>
  <c r="G489" i="28"/>
  <c r="F489" i="28"/>
  <c r="D489" i="28"/>
  <c r="H488" i="28"/>
  <c r="A489" i="28" s="1"/>
  <c r="G488" i="28"/>
  <c r="F488" i="28"/>
  <c r="D488" i="28"/>
  <c r="H487" i="28"/>
  <c r="A488" i="28" s="1"/>
  <c r="G487" i="28"/>
  <c r="F487" i="28"/>
  <c r="D487" i="28"/>
  <c r="H486" i="28"/>
  <c r="A487" i="28" s="1"/>
  <c r="G486" i="28"/>
  <c r="F486" i="28"/>
  <c r="D486" i="28"/>
  <c r="H485" i="28"/>
  <c r="A486" i="28" s="1"/>
  <c r="G485" i="28"/>
  <c r="F485" i="28"/>
  <c r="D485" i="28"/>
  <c r="H484" i="28"/>
  <c r="A485" i="28" s="1"/>
  <c r="G484" i="28"/>
  <c r="F484" i="28"/>
  <c r="D484" i="28"/>
  <c r="H483" i="28"/>
  <c r="A484" i="28" s="1"/>
  <c r="G483" i="28"/>
  <c r="F483" i="28"/>
  <c r="D483" i="28"/>
  <c r="H482" i="28"/>
  <c r="A483" i="28" s="1"/>
  <c r="G482" i="28"/>
  <c r="F482" i="28"/>
  <c r="D482" i="28"/>
  <c r="H481" i="28"/>
  <c r="A482" i="28" s="1"/>
  <c r="G481" i="28"/>
  <c r="F481" i="28"/>
  <c r="D481" i="28"/>
  <c r="H480" i="28"/>
  <c r="A481" i="28" s="1"/>
  <c r="G480" i="28"/>
  <c r="F480" i="28"/>
  <c r="D480" i="28"/>
  <c r="H479" i="28"/>
  <c r="A480" i="28" s="1"/>
  <c r="G479" i="28"/>
  <c r="F479" i="28"/>
  <c r="D479" i="28"/>
  <c r="H478" i="28"/>
  <c r="A479" i="28" s="1"/>
  <c r="G478" i="28"/>
  <c r="F478" i="28"/>
  <c r="D478" i="28"/>
  <c r="H477" i="28"/>
  <c r="A478" i="28" s="1"/>
  <c r="G477" i="28"/>
  <c r="F477" i="28"/>
  <c r="D477" i="28"/>
  <c r="H476" i="28"/>
  <c r="A477" i="28" s="1"/>
  <c r="G476" i="28"/>
  <c r="F476" i="28"/>
  <c r="D476" i="28"/>
  <c r="H475" i="28"/>
  <c r="A476" i="28" s="1"/>
  <c r="G475" i="28"/>
  <c r="F475" i="28"/>
  <c r="D475" i="28"/>
  <c r="H474" i="28"/>
  <c r="A475" i="28" s="1"/>
  <c r="G474" i="28"/>
  <c r="F474" i="28"/>
  <c r="D474" i="28"/>
  <c r="H473" i="28"/>
  <c r="A474" i="28" s="1"/>
  <c r="G473" i="28"/>
  <c r="F473" i="28"/>
  <c r="D473" i="28"/>
  <c r="H472" i="28"/>
  <c r="A473" i="28" s="1"/>
  <c r="G472" i="28"/>
  <c r="F472" i="28"/>
  <c r="D472" i="28"/>
  <c r="H471" i="28"/>
  <c r="A472" i="28" s="1"/>
  <c r="G471" i="28"/>
  <c r="F471" i="28"/>
  <c r="D471" i="28"/>
  <c r="H470" i="28"/>
  <c r="A471" i="28" s="1"/>
  <c r="G470" i="28"/>
  <c r="F470" i="28"/>
  <c r="D470" i="28"/>
  <c r="H469" i="28"/>
  <c r="A470" i="28" s="1"/>
  <c r="G469" i="28"/>
  <c r="F469" i="28"/>
  <c r="D469" i="28"/>
  <c r="H468" i="28"/>
  <c r="A469" i="28" s="1"/>
  <c r="G468" i="28"/>
  <c r="F468" i="28"/>
  <c r="D468" i="28"/>
  <c r="H467" i="28"/>
  <c r="A468" i="28" s="1"/>
  <c r="G467" i="28"/>
  <c r="F467" i="28"/>
  <c r="D467" i="28"/>
  <c r="H466" i="28"/>
  <c r="A467" i="28" s="1"/>
  <c r="G466" i="28"/>
  <c r="F466" i="28"/>
  <c r="D466" i="28"/>
  <c r="H465" i="28"/>
  <c r="A466" i="28" s="1"/>
  <c r="G465" i="28"/>
  <c r="F465" i="28"/>
  <c r="D465" i="28"/>
  <c r="H464" i="28"/>
  <c r="A465" i="28" s="1"/>
  <c r="G464" i="28"/>
  <c r="F464" i="28"/>
  <c r="D464" i="28"/>
  <c r="H463" i="28"/>
  <c r="A464" i="28" s="1"/>
  <c r="G463" i="28"/>
  <c r="F463" i="28"/>
  <c r="D463" i="28"/>
  <c r="H462" i="28"/>
  <c r="A463" i="28" s="1"/>
  <c r="G462" i="28"/>
  <c r="F462" i="28"/>
  <c r="D462" i="28"/>
  <c r="H461" i="28"/>
  <c r="A462" i="28" s="1"/>
  <c r="G461" i="28"/>
  <c r="F461" i="28"/>
  <c r="D461" i="28"/>
  <c r="H460" i="28"/>
  <c r="A461" i="28" s="1"/>
  <c r="G460" i="28"/>
  <c r="F460" i="28"/>
  <c r="D460" i="28"/>
  <c r="H459" i="28"/>
  <c r="A460" i="28" s="1"/>
  <c r="G459" i="28"/>
  <c r="F459" i="28"/>
  <c r="D459" i="28"/>
  <c r="H458" i="28"/>
  <c r="A459" i="28" s="1"/>
  <c r="G458" i="28"/>
  <c r="F458" i="28"/>
  <c r="D458" i="28"/>
  <c r="H457" i="28"/>
  <c r="A458" i="28" s="1"/>
  <c r="G457" i="28"/>
  <c r="F457" i="28"/>
  <c r="D457" i="28"/>
  <c r="H456" i="28"/>
  <c r="A457" i="28" s="1"/>
  <c r="G456" i="28"/>
  <c r="F456" i="28"/>
  <c r="D456" i="28"/>
  <c r="H455" i="28"/>
  <c r="A456" i="28" s="1"/>
  <c r="G455" i="28"/>
  <c r="F455" i="28"/>
  <c r="D455" i="28"/>
  <c r="H454" i="28"/>
  <c r="A455" i="28" s="1"/>
  <c r="G454" i="28"/>
  <c r="F454" i="28"/>
  <c r="D454" i="28"/>
  <c r="H453" i="28"/>
  <c r="A454" i="28" s="1"/>
  <c r="G453" i="28"/>
  <c r="F453" i="28"/>
  <c r="D453" i="28"/>
  <c r="H452" i="28"/>
  <c r="A453" i="28" s="1"/>
  <c r="G452" i="28"/>
  <c r="F452" i="28"/>
  <c r="D452" i="28"/>
  <c r="H451" i="28"/>
  <c r="A452" i="28" s="1"/>
  <c r="G451" i="28"/>
  <c r="F451" i="28"/>
  <c r="D451" i="28"/>
  <c r="H450" i="28"/>
  <c r="A451" i="28" s="1"/>
  <c r="G450" i="28"/>
  <c r="F450" i="28"/>
  <c r="D450" i="28"/>
  <c r="H449" i="28"/>
  <c r="A450" i="28" s="1"/>
  <c r="G449" i="28"/>
  <c r="F449" i="28"/>
  <c r="D449" i="28"/>
  <c r="H448" i="28"/>
  <c r="A449" i="28" s="1"/>
  <c r="G448" i="28"/>
  <c r="F448" i="28"/>
  <c r="D448" i="28"/>
  <c r="H447" i="28"/>
  <c r="A448" i="28" s="1"/>
  <c r="G447" i="28"/>
  <c r="F447" i="28"/>
  <c r="D447" i="28"/>
  <c r="H446" i="28"/>
  <c r="A447" i="28" s="1"/>
  <c r="G446" i="28"/>
  <c r="F446" i="28"/>
  <c r="D446" i="28"/>
  <c r="H445" i="28"/>
  <c r="A446" i="28" s="1"/>
  <c r="G445" i="28"/>
  <c r="F445" i="28"/>
  <c r="D445" i="28"/>
  <c r="H444" i="28"/>
  <c r="A445" i="28" s="1"/>
  <c r="G444" i="28"/>
  <c r="F444" i="28"/>
  <c r="D444" i="28"/>
  <c r="H443" i="28"/>
  <c r="A444" i="28" s="1"/>
  <c r="G443" i="28"/>
  <c r="F443" i="28"/>
  <c r="D443" i="28"/>
  <c r="H442" i="28"/>
  <c r="A443" i="28" s="1"/>
  <c r="G442" i="28"/>
  <c r="F442" i="28"/>
  <c r="D442" i="28"/>
  <c r="H441" i="28"/>
  <c r="A442" i="28" s="1"/>
  <c r="G441" i="28"/>
  <c r="F441" i="28"/>
  <c r="D441" i="28"/>
  <c r="H440" i="28"/>
  <c r="A441" i="28" s="1"/>
  <c r="G440" i="28"/>
  <c r="F440" i="28"/>
  <c r="D440" i="28"/>
  <c r="H439" i="28"/>
  <c r="A440" i="28" s="1"/>
  <c r="G439" i="28"/>
  <c r="F439" i="28"/>
  <c r="D439" i="28"/>
  <c r="H438" i="28"/>
  <c r="A439" i="28" s="1"/>
  <c r="G438" i="28"/>
  <c r="F438" i="28"/>
  <c r="D438" i="28"/>
  <c r="H437" i="28"/>
  <c r="A438" i="28" s="1"/>
  <c r="G437" i="28"/>
  <c r="F437" i="28"/>
  <c r="D437" i="28"/>
  <c r="H436" i="28"/>
  <c r="A437" i="28" s="1"/>
  <c r="G436" i="28"/>
  <c r="F436" i="28"/>
  <c r="D436" i="28"/>
  <c r="H435" i="28"/>
  <c r="A436" i="28" s="1"/>
  <c r="G435" i="28"/>
  <c r="F435" i="28"/>
  <c r="D435" i="28"/>
  <c r="H434" i="28"/>
  <c r="A435" i="28" s="1"/>
  <c r="G434" i="28"/>
  <c r="F434" i="28"/>
  <c r="D434" i="28"/>
  <c r="H433" i="28"/>
  <c r="A434" i="28" s="1"/>
  <c r="G433" i="28"/>
  <c r="F433" i="28"/>
  <c r="D433" i="28"/>
  <c r="H432" i="28"/>
  <c r="A433" i="28" s="1"/>
  <c r="G432" i="28"/>
  <c r="F432" i="28"/>
  <c r="D432" i="28"/>
  <c r="H431" i="28"/>
  <c r="A432" i="28" s="1"/>
  <c r="G431" i="28"/>
  <c r="F431" i="28"/>
  <c r="D431" i="28"/>
  <c r="H430" i="28"/>
  <c r="A431" i="28" s="1"/>
  <c r="G430" i="28"/>
  <c r="F430" i="28"/>
  <c r="D430" i="28"/>
  <c r="H429" i="28"/>
  <c r="A430" i="28" s="1"/>
  <c r="G429" i="28"/>
  <c r="F429" i="28"/>
  <c r="D429" i="28"/>
  <c r="H428" i="28"/>
  <c r="A429" i="28" s="1"/>
  <c r="G428" i="28"/>
  <c r="F428" i="28"/>
  <c r="D428" i="28"/>
  <c r="H427" i="28"/>
  <c r="A428" i="28" s="1"/>
  <c r="G427" i="28"/>
  <c r="F427" i="28"/>
  <c r="D427" i="28"/>
  <c r="H426" i="28"/>
  <c r="A427" i="28" s="1"/>
  <c r="G426" i="28"/>
  <c r="F426" i="28"/>
  <c r="D426" i="28"/>
  <c r="H425" i="28"/>
  <c r="A426" i="28" s="1"/>
  <c r="G425" i="28"/>
  <c r="F425" i="28"/>
  <c r="D425" i="28"/>
  <c r="H424" i="28"/>
  <c r="A425" i="28" s="1"/>
  <c r="G424" i="28"/>
  <c r="F424" i="28"/>
  <c r="D424" i="28"/>
  <c r="H423" i="28"/>
  <c r="A424" i="28" s="1"/>
  <c r="G423" i="28"/>
  <c r="F423" i="28"/>
  <c r="D423" i="28"/>
  <c r="H422" i="28"/>
  <c r="A423" i="28" s="1"/>
  <c r="G422" i="28"/>
  <c r="F422" i="28"/>
  <c r="D422" i="28"/>
  <c r="H421" i="28"/>
  <c r="A422" i="28" s="1"/>
  <c r="G421" i="28"/>
  <c r="F421" i="28"/>
  <c r="D421" i="28"/>
  <c r="H420" i="28"/>
  <c r="A421" i="28" s="1"/>
  <c r="G420" i="28"/>
  <c r="F420" i="28"/>
  <c r="D420" i="28"/>
  <c r="H419" i="28"/>
  <c r="A420" i="28" s="1"/>
  <c r="G419" i="28"/>
  <c r="F419" i="28"/>
  <c r="D419" i="28"/>
  <c r="H418" i="28"/>
  <c r="A419" i="28" s="1"/>
  <c r="G418" i="28"/>
  <c r="F418" i="28"/>
  <c r="D418" i="28"/>
  <c r="H417" i="28"/>
  <c r="A418" i="28" s="1"/>
  <c r="G417" i="28"/>
  <c r="F417" i="28"/>
  <c r="D417" i="28"/>
  <c r="H416" i="28"/>
  <c r="A417" i="28" s="1"/>
  <c r="G416" i="28"/>
  <c r="F416" i="28"/>
  <c r="D416" i="28"/>
  <c r="H415" i="28"/>
  <c r="A416" i="28" s="1"/>
  <c r="G415" i="28"/>
  <c r="F415" i="28"/>
  <c r="D415" i="28"/>
  <c r="H414" i="28"/>
  <c r="A415" i="28" s="1"/>
  <c r="G414" i="28"/>
  <c r="F414" i="28"/>
  <c r="D414" i="28"/>
  <c r="H413" i="28"/>
  <c r="A414" i="28" s="1"/>
  <c r="G413" i="28"/>
  <c r="F413" i="28"/>
  <c r="D413" i="28"/>
  <c r="H412" i="28"/>
  <c r="A413" i="28" s="1"/>
  <c r="G412" i="28"/>
  <c r="F412" i="28"/>
  <c r="D412" i="28"/>
  <c r="H411" i="28"/>
  <c r="A412" i="28" s="1"/>
  <c r="G411" i="28"/>
  <c r="F411" i="28"/>
  <c r="D411" i="28"/>
  <c r="H410" i="28"/>
  <c r="A411" i="28" s="1"/>
  <c r="G410" i="28"/>
  <c r="F410" i="28"/>
  <c r="D410" i="28"/>
  <c r="H409" i="28"/>
  <c r="A410" i="28" s="1"/>
  <c r="G409" i="28"/>
  <c r="F409" i="28"/>
  <c r="D409" i="28"/>
  <c r="H408" i="28"/>
  <c r="A409" i="28" s="1"/>
  <c r="G408" i="28"/>
  <c r="F408" i="28"/>
  <c r="D408" i="28"/>
  <c r="H407" i="28"/>
  <c r="A408" i="28" s="1"/>
  <c r="G407" i="28"/>
  <c r="F407" i="28"/>
  <c r="D407" i="28"/>
  <c r="H406" i="28"/>
  <c r="A407" i="28" s="1"/>
  <c r="G406" i="28"/>
  <c r="F406" i="28"/>
  <c r="D406" i="28"/>
  <c r="H405" i="28"/>
  <c r="A406" i="28" s="1"/>
  <c r="G405" i="28"/>
  <c r="F405" i="28"/>
  <c r="D405" i="28"/>
  <c r="H404" i="28"/>
  <c r="A405" i="28" s="1"/>
  <c r="G404" i="28"/>
  <c r="F404" i="28"/>
  <c r="D404" i="28"/>
  <c r="H403" i="28"/>
  <c r="A404" i="28" s="1"/>
  <c r="G403" i="28"/>
  <c r="F403" i="28"/>
  <c r="D403" i="28"/>
  <c r="H402" i="28"/>
  <c r="A403" i="28" s="1"/>
  <c r="G402" i="28"/>
  <c r="F402" i="28"/>
  <c r="D402" i="28"/>
  <c r="H401" i="28"/>
  <c r="A402" i="28" s="1"/>
  <c r="G401" i="28"/>
  <c r="F401" i="28"/>
  <c r="D401" i="28"/>
  <c r="H400" i="28"/>
  <c r="A401" i="28" s="1"/>
  <c r="G400" i="28"/>
  <c r="F400" i="28"/>
  <c r="D400" i="28"/>
  <c r="H399" i="28"/>
  <c r="A400" i="28" s="1"/>
  <c r="G399" i="28"/>
  <c r="F399" i="28"/>
  <c r="D399" i="28"/>
  <c r="H398" i="28"/>
  <c r="A399" i="28" s="1"/>
  <c r="G398" i="28"/>
  <c r="F398" i="28"/>
  <c r="D398" i="28"/>
  <c r="H397" i="28"/>
  <c r="A398" i="28" s="1"/>
  <c r="G397" i="28"/>
  <c r="F397" i="28"/>
  <c r="D397" i="28"/>
  <c r="H396" i="28"/>
  <c r="A397" i="28" s="1"/>
  <c r="G396" i="28"/>
  <c r="F396" i="28"/>
  <c r="D396" i="28"/>
  <c r="H395" i="28"/>
  <c r="A396" i="28" s="1"/>
  <c r="G395" i="28"/>
  <c r="F395" i="28"/>
  <c r="D395" i="28"/>
  <c r="H394" i="28"/>
  <c r="A395" i="28" s="1"/>
  <c r="G394" i="28"/>
  <c r="F394" i="28"/>
  <c r="D394" i="28"/>
  <c r="H393" i="28"/>
  <c r="A394" i="28" s="1"/>
  <c r="G393" i="28"/>
  <c r="F393" i="28"/>
  <c r="D393" i="28"/>
  <c r="H392" i="28"/>
  <c r="A393" i="28" s="1"/>
  <c r="G392" i="28"/>
  <c r="F392" i="28"/>
  <c r="D392" i="28"/>
  <c r="H391" i="28"/>
  <c r="A392" i="28" s="1"/>
  <c r="G391" i="28"/>
  <c r="F391" i="28"/>
  <c r="D391" i="28"/>
  <c r="H390" i="28"/>
  <c r="A391" i="28" s="1"/>
  <c r="G390" i="28"/>
  <c r="F390" i="28"/>
  <c r="D390" i="28"/>
  <c r="H389" i="28"/>
  <c r="A390" i="28" s="1"/>
  <c r="G389" i="28"/>
  <c r="F389" i="28"/>
  <c r="D389" i="28"/>
  <c r="H388" i="28"/>
  <c r="A389" i="28" s="1"/>
  <c r="G388" i="28"/>
  <c r="F388" i="28"/>
  <c r="D388" i="28"/>
  <c r="H387" i="28"/>
  <c r="A388" i="28" s="1"/>
  <c r="G387" i="28"/>
  <c r="F387" i="28"/>
  <c r="D387" i="28"/>
  <c r="H386" i="28"/>
  <c r="A387" i="28" s="1"/>
  <c r="G386" i="28"/>
  <c r="F386" i="28"/>
  <c r="D386" i="28"/>
  <c r="H385" i="28"/>
  <c r="A386" i="28" s="1"/>
  <c r="G385" i="28"/>
  <c r="F385" i="28"/>
  <c r="D385" i="28"/>
  <c r="H384" i="28"/>
  <c r="A385" i="28" s="1"/>
  <c r="G384" i="28"/>
  <c r="F384" i="28"/>
  <c r="D384" i="28"/>
  <c r="H383" i="28"/>
  <c r="A384" i="28" s="1"/>
  <c r="G383" i="28"/>
  <c r="F383" i="28"/>
  <c r="D383" i="28"/>
  <c r="H382" i="28"/>
  <c r="A383" i="28" s="1"/>
  <c r="G382" i="28"/>
  <c r="F382" i="28"/>
  <c r="D382" i="28"/>
  <c r="H381" i="28"/>
  <c r="A382" i="28" s="1"/>
  <c r="G381" i="28"/>
  <c r="F381" i="28"/>
  <c r="D381" i="28"/>
  <c r="H380" i="28"/>
  <c r="A381" i="28" s="1"/>
  <c r="G380" i="28"/>
  <c r="F380" i="28"/>
  <c r="D380" i="28"/>
  <c r="H379" i="28"/>
  <c r="A380" i="28" s="1"/>
  <c r="G379" i="28"/>
  <c r="F379" i="28"/>
  <c r="D379" i="28"/>
  <c r="H378" i="28"/>
  <c r="A379" i="28" s="1"/>
  <c r="G378" i="28"/>
  <c r="F378" i="28"/>
  <c r="D378" i="28"/>
  <c r="H377" i="28"/>
  <c r="A378" i="28" s="1"/>
  <c r="G377" i="28"/>
  <c r="F377" i="28"/>
  <c r="D377" i="28"/>
  <c r="H376" i="28"/>
  <c r="A377" i="28" s="1"/>
  <c r="G376" i="28"/>
  <c r="F376" i="28"/>
  <c r="D376" i="28"/>
  <c r="H375" i="28"/>
  <c r="A376" i="28" s="1"/>
  <c r="G375" i="28"/>
  <c r="F375" i="28"/>
  <c r="D375" i="28"/>
  <c r="H374" i="28"/>
  <c r="A375" i="28" s="1"/>
  <c r="G374" i="28"/>
  <c r="F374" i="28"/>
  <c r="D374" i="28"/>
  <c r="H373" i="28"/>
  <c r="A374" i="28" s="1"/>
  <c r="G373" i="28"/>
  <c r="F373" i="28"/>
  <c r="D373" i="28"/>
  <c r="H372" i="28"/>
  <c r="A373" i="28" s="1"/>
  <c r="G372" i="28"/>
  <c r="F372" i="28"/>
  <c r="D372" i="28"/>
  <c r="H371" i="28"/>
  <c r="A372" i="28" s="1"/>
  <c r="G371" i="28"/>
  <c r="F371" i="28"/>
  <c r="D371" i="28"/>
  <c r="H370" i="28"/>
  <c r="A371" i="28" s="1"/>
  <c r="G370" i="28"/>
  <c r="F370" i="28"/>
  <c r="D370" i="28"/>
  <c r="H369" i="28"/>
  <c r="A370" i="28" s="1"/>
  <c r="G369" i="28"/>
  <c r="F369" i="28"/>
  <c r="D369" i="28"/>
  <c r="H368" i="28"/>
  <c r="A369" i="28" s="1"/>
  <c r="G368" i="28"/>
  <c r="F368" i="28"/>
  <c r="D368" i="28"/>
  <c r="H367" i="28"/>
  <c r="A368" i="28" s="1"/>
  <c r="G367" i="28"/>
  <c r="F367" i="28"/>
  <c r="D367" i="28"/>
  <c r="H366" i="28"/>
  <c r="A367" i="28" s="1"/>
  <c r="G366" i="28"/>
  <c r="F366" i="28"/>
  <c r="D366" i="28"/>
  <c r="H365" i="28"/>
  <c r="A366" i="28" s="1"/>
  <c r="G365" i="28"/>
  <c r="F365" i="28"/>
  <c r="D365" i="28"/>
  <c r="H364" i="28"/>
  <c r="A365" i="28" s="1"/>
  <c r="G364" i="28"/>
  <c r="F364" i="28"/>
  <c r="D364" i="28"/>
  <c r="H363" i="28"/>
  <c r="A364" i="28" s="1"/>
  <c r="G363" i="28"/>
  <c r="F363" i="28"/>
  <c r="D363" i="28"/>
  <c r="H362" i="28"/>
  <c r="A363" i="28" s="1"/>
  <c r="G362" i="28"/>
  <c r="F362" i="28"/>
  <c r="D362" i="28"/>
  <c r="H361" i="28"/>
  <c r="A362" i="28" s="1"/>
  <c r="G361" i="28"/>
  <c r="F361" i="28"/>
  <c r="D361" i="28"/>
  <c r="H360" i="28"/>
  <c r="A361" i="28" s="1"/>
  <c r="G360" i="28"/>
  <c r="F360" i="28"/>
  <c r="D360" i="28"/>
  <c r="H359" i="28"/>
  <c r="A360" i="28" s="1"/>
  <c r="G359" i="28"/>
  <c r="F359" i="28"/>
  <c r="D359" i="28"/>
  <c r="H358" i="28"/>
  <c r="A359" i="28" s="1"/>
  <c r="G358" i="28"/>
  <c r="F358" i="28"/>
  <c r="D358" i="28"/>
  <c r="H357" i="28"/>
  <c r="A358" i="28" s="1"/>
  <c r="G357" i="28"/>
  <c r="F357" i="28"/>
  <c r="D357" i="28"/>
  <c r="H356" i="28"/>
  <c r="A357" i="28" s="1"/>
  <c r="G356" i="28"/>
  <c r="F356" i="28"/>
  <c r="D356" i="28"/>
  <c r="H355" i="28"/>
  <c r="A356" i="28" s="1"/>
  <c r="G355" i="28"/>
  <c r="F355" i="28"/>
  <c r="D355" i="28"/>
  <c r="H354" i="28"/>
  <c r="A355" i="28" s="1"/>
  <c r="G354" i="28"/>
  <c r="F354" i="28"/>
  <c r="D354" i="28"/>
  <c r="H353" i="28"/>
  <c r="A354" i="28" s="1"/>
  <c r="G353" i="28"/>
  <c r="F353" i="28"/>
  <c r="D353" i="28"/>
  <c r="H352" i="28"/>
  <c r="A353" i="28" s="1"/>
  <c r="G352" i="28"/>
  <c r="F352" i="28"/>
  <c r="D352" i="28"/>
  <c r="H351" i="28"/>
  <c r="A352" i="28" s="1"/>
  <c r="G351" i="28"/>
  <c r="F351" i="28"/>
  <c r="D351" i="28"/>
  <c r="H350" i="28"/>
  <c r="A351" i="28" s="1"/>
  <c r="G350" i="28"/>
  <c r="F350" i="28"/>
  <c r="D350" i="28"/>
  <c r="H349" i="28"/>
  <c r="A350" i="28" s="1"/>
  <c r="G349" i="28"/>
  <c r="F349" i="28"/>
  <c r="D349" i="28"/>
  <c r="H348" i="28"/>
  <c r="A349" i="28" s="1"/>
  <c r="G348" i="28"/>
  <c r="F348" i="28"/>
  <c r="D348" i="28"/>
  <c r="H347" i="28"/>
  <c r="A348" i="28" s="1"/>
  <c r="G347" i="28"/>
  <c r="F347" i="28"/>
  <c r="D347" i="28"/>
  <c r="H346" i="28"/>
  <c r="A347" i="28" s="1"/>
  <c r="G346" i="28"/>
  <c r="F346" i="28"/>
  <c r="D346" i="28"/>
  <c r="H345" i="28"/>
  <c r="A346" i="28" s="1"/>
  <c r="G345" i="28"/>
  <c r="F345" i="28"/>
  <c r="D345" i="28"/>
  <c r="H344" i="28"/>
  <c r="A345" i="28" s="1"/>
  <c r="G344" i="28"/>
  <c r="F344" i="28"/>
  <c r="D344" i="28"/>
  <c r="H343" i="28"/>
  <c r="A344" i="28" s="1"/>
  <c r="G343" i="28"/>
  <c r="F343" i="28"/>
  <c r="D343" i="28"/>
  <c r="H342" i="28"/>
  <c r="A343" i="28" s="1"/>
  <c r="G342" i="28"/>
  <c r="F342" i="28"/>
  <c r="D342" i="28"/>
  <c r="H341" i="28"/>
  <c r="A342" i="28" s="1"/>
  <c r="G341" i="28"/>
  <c r="F341" i="28"/>
  <c r="D341" i="28"/>
  <c r="H340" i="28"/>
  <c r="A341" i="28" s="1"/>
  <c r="G340" i="28"/>
  <c r="F340" i="28"/>
  <c r="D340" i="28"/>
  <c r="H339" i="28"/>
  <c r="A340" i="28" s="1"/>
  <c r="G339" i="28"/>
  <c r="F339" i="28"/>
  <c r="D339" i="28"/>
  <c r="H338" i="28"/>
  <c r="A339" i="28" s="1"/>
  <c r="G338" i="28"/>
  <c r="F338" i="28"/>
  <c r="D338" i="28"/>
  <c r="H337" i="28"/>
  <c r="A338" i="28" s="1"/>
  <c r="G337" i="28"/>
  <c r="F337" i="28"/>
  <c r="D337" i="28"/>
  <c r="H336" i="28"/>
  <c r="A337" i="28" s="1"/>
  <c r="G336" i="28"/>
  <c r="F336" i="28"/>
  <c r="D336" i="28"/>
  <c r="H335" i="28"/>
  <c r="A336" i="28" s="1"/>
  <c r="G335" i="28"/>
  <c r="F335" i="28"/>
  <c r="D335" i="28"/>
  <c r="H334" i="28"/>
  <c r="A335" i="28" s="1"/>
  <c r="G334" i="28"/>
  <c r="F334" i="28"/>
  <c r="D334" i="28"/>
  <c r="H333" i="28"/>
  <c r="A334" i="28" s="1"/>
  <c r="G333" i="28"/>
  <c r="F333" i="28"/>
  <c r="D333" i="28"/>
  <c r="H332" i="28"/>
  <c r="A333" i="28" s="1"/>
  <c r="G332" i="28"/>
  <c r="F332" i="28"/>
  <c r="D332" i="28"/>
  <c r="H331" i="28"/>
  <c r="A332" i="28" s="1"/>
  <c r="G331" i="28"/>
  <c r="F331" i="28"/>
  <c r="D331" i="28"/>
  <c r="H330" i="28"/>
  <c r="A331" i="28" s="1"/>
  <c r="G330" i="28"/>
  <c r="F330" i="28"/>
  <c r="D330" i="28"/>
  <c r="H329" i="28"/>
  <c r="A330" i="28" s="1"/>
  <c r="G329" i="28"/>
  <c r="F329" i="28"/>
  <c r="D329" i="28"/>
  <c r="H328" i="28"/>
  <c r="A329" i="28" s="1"/>
  <c r="G328" i="28"/>
  <c r="F328" i="28"/>
  <c r="D328" i="28"/>
  <c r="H327" i="28"/>
  <c r="A328" i="28" s="1"/>
  <c r="G327" i="28"/>
  <c r="F327" i="28"/>
  <c r="D327" i="28"/>
  <c r="H326" i="28"/>
  <c r="A327" i="28" s="1"/>
  <c r="G326" i="28"/>
  <c r="F326" i="28"/>
  <c r="D326" i="28"/>
  <c r="H325" i="28"/>
  <c r="A326" i="28" s="1"/>
  <c r="G325" i="28"/>
  <c r="F325" i="28"/>
  <c r="D325" i="28"/>
  <c r="H324" i="28"/>
  <c r="A325" i="28" s="1"/>
  <c r="G324" i="28"/>
  <c r="F324" i="28"/>
  <c r="D324" i="28"/>
  <c r="H323" i="28"/>
  <c r="A324" i="28" s="1"/>
  <c r="G323" i="28"/>
  <c r="F323" i="28"/>
  <c r="D323" i="28"/>
  <c r="H322" i="28"/>
  <c r="A323" i="28" s="1"/>
  <c r="G322" i="28"/>
  <c r="F322" i="28"/>
  <c r="D322" i="28"/>
  <c r="H321" i="28"/>
  <c r="A322" i="28" s="1"/>
  <c r="G321" i="28"/>
  <c r="F321" i="28"/>
  <c r="D321" i="28"/>
  <c r="H320" i="28"/>
  <c r="A321" i="28" s="1"/>
  <c r="G320" i="28"/>
  <c r="F320" i="28"/>
  <c r="D320" i="28"/>
  <c r="H319" i="28"/>
  <c r="A320" i="28" s="1"/>
  <c r="G319" i="28"/>
  <c r="F319" i="28"/>
  <c r="D319" i="28"/>
  <c r="H318" i="28"/>
  <c r="A319" i="28" s="1"/>
  <c r="G318" i="28"/>
  <c r="F318" i="28"/>
  <c r="D318" i="28"/>
  <c r="H317" i="28"/>
  <c r="A318" i="28" s="1"/>
  <c r="G317" i="28"/>
  <c r="F317" i="28"/>
  <c r="D317" i="28"/>
  <c r="H316" i="28"/>
  <c r="A317" i="28" s="1"/>
  <c r="G316" i="28"/>
  <c r="F316" i="28"/>
  <c r="D316" i="28"/>
  <c r="H315" i="28"/>
  <c r="A316" i="28" s="1"/>
  <c r="G315" i="28"/>
  <c r="F315" i="28"/>
  <c r="D315" i="28"/>
  <c r="H314" i="28"/>
  <c r="A315" i="28" s="1"/>
  <c r="G314" i="28"/>
  <c r="F314" i="28"/>
  <c r="D314" i="28"/>
  <c r="H313" i="28"/>
  <c r="A314" i="28" s="1"/>
  <c r="G313" i="28"/>
  <c r="F313" i="28"/>
  <c r="D313" i="28"/>
  <c r="H312" i="28"/>
  <c r="A313" i="28" s="1"/>
  <c r="G312" i="28"/>
  <c r="F312" i="28"/>
  <c r="D312" i="28"/>
  <c r="H311" i="28"/>
  <c r="A312" i="28" s="1"/>
  <c r="G311" i="28"/>
  <c r="F311" i="28"/>
  <c r="D311" i="28"/>
  <c r="H310" i="28"/>
  <c r="A311" i="28" s="1"/>
  <c r="G310" i="28"/>
  <c r="F310" i="28"/>
  <c r="D310" i="28"/>
  <c r="H309" i="28"/>
  <c r="A310" i="28" s="1"/>
  <c r="G309" i="28"/>
  <c r="F309" i="28"/>
  <c r="D309" i="28"/>
  <c r="H308" i="28"/>
  <c r="A309" i="28" s="1"/>
  <c r="G308" i="28"/>
  <c r="F308" i="28"/>
  <c r="D308" i="28"/>
  <c r="H307" i="28"/>
  <c r="A308" i="28" s="1"/>
  <c r="G307" i="28"/>
  <c r="F307" i="28"/>
  <c r="D307" i="28"/>
  <c r="H306" i="28"/>
  <c r="A307" i="28" s="1"/>
  <c r="G306" i="28"/>
  <c r="F306" i="28"/>
  <c r="D306" i="28"/>
  <c r="H305" i="28"/>
  <c r="A306" i="28" s="1"/>
  <c r="G305" i="28"/>
  <c r="F305" i="28"/>
  <c r="D305" i="28"/>
  <c r="H304" i="28"/>
  <c r="A305" i="28" s="1"/>
  <c r="G304" i="28"/>
  <c r="F304" i="28"/>
  <c r="D304" i="28"/>
  <c r="H303" i="28"/>
  <c r="A304" i="28" s="1"/>
  <c r="G303" i="28"/>
  <c r="F303" i="28"/>
  <c r="D303" i="28"/>
  <c r="H302" i="28"/>
  <c r="A303" i="28" s="1"/>
  <c r="G302" i="28"/>
  <c r="F302" i="28"/>
  <c r="D302" i="28"/>
  <c r="H301" i="28"/>
  <c r="A302" i="28" s="1"/>
  <c r="G301" i="28"/>
  <c r="F301" i="28"/>
  <c r="D301" i="28"/>
  <c r="H300" i="28"/>
  <c r="A301" i="28" s="1"/>
  <c r="G300" i="28"/>
  <c r="F300" i="28"/>
  <c r="D300" i="28"/>
  <c r="H299" i="28"/>
  <c r="A300" i="28" s="1"/>
  <c r="G299" i="28"/>
  <c r="F299" i="28"/>
  <c r="D299" i="28"/>
  <c r="H298" i="28"/>
  <c r="A299" i="28" s="1"/>
  <c r="G298" i="28"/>
  <c r="F298" i="28"/>
  <c r="D298" i="28"/>
  <c r="H297" i="28"/>
  <c r="A298" i="28" s="1"/>
  <c r="G297" i="28"/>
  <c r="F297" i="28"/>
  <c r="D297" i="28"/>
  <c r="H296" i="28"/>
  <c r="A297" i="28" s="1"/>
  <c r="G296" i="28"/>
  <c r="F296" i="28"/>
  <c r="D296" i="28"/>
  <c r="H295" i="28"/>
  <c r="A296" i="28" s="1"/>
  <c r="G295" i="28"/>
  <c r="F295" i="28"/>
  <c r="D295" i="28"/>
  <c r="H294" i="28"/>
  <c r="A295" i="28" s="1"/>
  <c r="G294" i="28"/>
  <c r="F294" i="28"/>
  <c r="D294" i="28"/>
  <c r="H293" i="28"/>
  <c r="A294" i="28" s="1"/>
  <c r="G293" i="28"/>
  <c r="F293" i="28"/>
  <c r="D293" i="28"/>
  <c r="H292" i="28"/>
  <c r="A293" i="28" s="1"/>
  <c r="G292" i="28"/>
  <c r="F292" i="28"/>
  <c r="D292" i="28"/>
  <c r="H291" i="28"/>
  <c r="A292" i="28" s="1"/>
  <c r="G291" i="28"/>
  <c r="F291" i="28"/>
  <c r="D291" i="28"/>
  <c r="H290" i="28"/>
  <c r="A291" i="28" s="1"/>
  <c r="G290" i="28"/>
  <c r="F290" i="28"/>
  <c r="D290" i="28"/>
  <c r="H289" i="28"/>
  <c r="A290" i="28" s="1"/>
  <c r="G289" i="28"/>
  <c r="F289" i="28"/>
  <c r="D289" i="28"/>
  <c r="H288" i="28"/>
  <c r="A289" i="28" s="1"/>
  <c r="G288" i="28"/>
  <c r="F288" i="28"/>
  <c r="D288" i="28"/>
  <c r="H287" i="28"/>
  <c r="A288" i="28" s="1"/>
  <c r="G287" i="28"/>
  <c r="F287" i="28"/>
  <c r="D287" i="28"/>
  <c r="H286" i="28"/>
  <c r="A287" i="28" s="1"/>
  <c r="G286" i="28"/>
  <c r="F286" i="28"/>
  <c r="D286" i="28"/>
  <c r="H285" i="28"/>
  <c r="A286" i="28" s="1"/>
  <c r="G285" i="28"/>
  <c r="F285" i="28"/>
  <c r="D285" i="28"/>
  <c r="H284" i="28"/>
  <c r="A285" i="28" s="1"/>
  <c r="G284" i="28"/>
  <c r="F284" i="28"/>
  <c r="D284" i="28"/>
  <c r="H283" i="28"/>
  <c r="A284" i="28" s="1"/>
  <c r="G283" i="28"/>
  <c r="F283" i="28"/>
  <c r="D283" i="28"/>
  <c r="H282" i="28"/>
  <c r="A283" i="28" s="1"/>
  <c r="G282" i="28"/>
  <c r="F282" i="28"/>
  <c r="D282" i="28"/>
  <c r="H281" i="28"/>
  <c r="A282" i="28" s="1"/>
  <c r="G281" i="28"/>
  <c r="F281" i="28"/>
  <c r="D281" i="28"/>
  <c r="H280" i="28"/>
  <c r="A281" i="28" s="1"/>
  <c r="G280" i="28"/>
  <c r="F280" i="28"/>
  <c r="D280" i="28"/>
  <c r="H279" i="28"/>
  <c r="A280" i="28" s="1"/>
  <c r="G279" i="28"/>
  <c r="F279" i="28"/>
  <c r="D279" i="28"/>
  <c r="H278" i="28"/>
  <c r="A279" i="28" s="1"/>
  <c r="G278" i="28"/>
  <c r="F278" i="28"/>
  <c r="D278" i="28"/>
  <c r="H277" i="28"/>
  <c r="A278" i="28" s="1"/>
  <c r="G277" i="28"/>
  <c r="F277" i="28"/>
  <c r="D277" i="28"/>
  <c r="H276" i="28"/>
  <c r="A277" i="28" s="1"/>
  <c r="G276" i="28"/>
  <c r="F276" i="28"/>
  <c r="D276" i="28"/>
  <c r="H275" i="28"/>
  <c r="A276" i="28" s="1"/>
  <c r="G275" i="28"/>
  <c r="F275" i="28"/>
  <c r="D275" i="28"/>
  <c r="H274" i="28"/>
  <c r="A275" i="28" s="1"/>
  <c r="G274" i="28"/>
  <c r="F274" i="28"/>
  <c r="D274" i="28"/>
  <c r="H273" i="28"/>
  <c r="A274" i="28" s="1"/>
  <c r="G273" i="28"/>
  <c r="F273" i="28"/>
  <c r="D273" i="28"/>
  <c r="H272" i="28"/>
  <c r="A273" i="28" s="1"/>
  <c r="G272" i="28"/>
  <c r="F272" i="28"/>
  <c r="D272" i="28"/>
  <c r="H271" i="28"/>
  <c r="A272" i="28" s="1"/>
  <c r="G271" i="28"/>
  <c r="F271" i="28"/>
  <c r="D271" i="28"/>
  <c r="H270" i="28"/>
  <c r="A271" i="28" s="1"/>
  <c r="G270" i="28"/>
  <c r="F270" i="28"/>
  <c r="D270" i="28"/>
  <c r="H269" i="28"/>
  <c r="A270" i="28" s="1"/>
  <c r="G269" i="28"/>
  <c r="F269" i="28"/>
  <c r="D269" i="28"/>
  <c r="H268" i="28"/>
  <c r="A269" i="28" s="1"/>
  <c r="G268" i="28"/>
  <c r="F268" i="28"/>
  <c r="D268" i="28"/>
  <c r="H267" i="28"/>
  <c r="A268" i="28" s="1"/>
  <c r="G267" i="28"/>
  <c r="F267" i="28"/>
  <c r="D267" i="28"/>
  <c r="H266" i="28"/>
  <c r="A267" i="28" s="1"/>
  <c r="G266" i="28"/>
  <c r="F266" i="28"/>
  <c r="D266" i="28"/>
  <c r="H265" i="28"/>
  <c r="A266" i="28" s="1"/>
  <c r="G265" i="28"/>
  <c r="F265" i="28"/>
  <c r="D265" i="28"/>
  <c r="H264" i="28"/>
  <c r="A265" i="28" s="1"/>
  <c r="G264" i="28"/>
  <c r="F264" i="28"/>
  <c r="D264" i="28"/>
  <c r="H263" i="28"/>
  <c r="A264" i="28" s="1"/>
  <c r="G263" i="28"/>
  <c r="F263" i="28"/>
  <c r="D263" i="28"/>
  <c r="H262" i="28"/>
  <c r="A263" i="28" s="1"/>
  <c r="G262" i="28"/>
  <c r="F262" i="28"/>
  <c r="D262" i="28"/>
  <c r="H261" i="28"/>
  <c r="A262" i="28" s="1"/>
  <c r="G261" i="28"/>
  <c r="F261" i="28"/>
  <c r="D261" i="28"/>
  <c r="H260" i="28"/>
  <c r="A261" i="28" s="1"/>
  <c r="G260" i="28"/>
  <c r="F260" i="28"/>
  <c r="D260" i="28"/>
  <c r="H259" i="28"/>
  <c r="A260" i="28" s="1"/>
  <c r="G259" i="28"/>
  <c r="F259" i="28"/>
  <c r="D259" i="28"/>
  <c r="H258" i="28"/>
  <c r="A259" i="28" s="1"/>
  <c r="G258" i="28"/>
  <c r="F258" i="28"/>
  <c r="D258" i="28"/>
  <c r="H257" i="28"/>
  <c r="A258" i="28" s="1"/>
  <c r="G257" i="28"/>
  <c r="F257" i="28"/>
  <c r="D257" i="28"/>
  <c r="H256" i="28"/>
  <c r="A257" i="28" s="1"/>
  <c r="G256" i="28"/>
  <c r="F256" i="28"/>
  <c r="D256" i="28"/>
  <c r="H255" i="28"/>
  <c r="A256" i="28" s="1"/>
  <c r="G255" i="28"/>
  <c r="F255" i="28"/>
  <c r="D255" i="28"/>
  <c r="H254" i="28"/>
  <c r="A255" i="28" s="1"/>
  <c r="G254" i="28"/>
  <c r="F254" i="28"/>
  <c r="D254" i="28"/>
  <c r="H253" i="28"/>
  <c r="A254" i="28" s="1"/>
  <c r="G253" i="28"/>
  <c r="F253" i="28"/>
  <c r="D253" i="28"/>
  <c r="H252" i="28"/>
  <c r="A253" i="28" s="1"/>
  <c r="G252" i="28"/>
  <c r="F252" i="28"/>
  <c r="D252" i="28"/>
  <c r="H251" i="28"/>
  <c r="A252" i="28" s="1"/>
  <c r="G251" i="28"/>
  <c r="F251" i="28"/>
  <c r="D251" i="28"/>
  <c r="H250" i="28"/>
  <c r="A251" i="28" s="1"/>
  <c r="G250" i="28"/>
  <c r="F250" i="28"/>
  <c r="D250" i="28"/>
  <c r="H249" i="28"/>
  <c r="A250" i="28" s="1"/>
  <c r="G249" i="28"/>
  <c r="F249" i="28"/>
  <c r="D249" i="28"/>
  <c r="H248" i="28"/>
  <c r="A249" i="28" s="1"/>
  <c r="G248" i="28"/>
  <c r="F248" i="28"/>
  <c r="D248" i="28"/>
  <c r="H247" i="28"/>
  <c r="A248" i="28" s="1"/>
  <c r="G247" i="28"/>
  <c r="F247" i="28"/>
  <c r="D247" i="28"/>
  <c r="H246" i="28"/>
  <c r="A247" i="28" s="1"/>
  <c r="G246" i="28"/>
  <c r="F246" i="28"/>
  <c r="D246" i="28"/>
  <c r="H245" i="28"/>
  <c r="A246" i="28" s="1"/>
  <c r="G245" i="28"/>
  <c r="F245" i="28"/>
  <c r="D245" i="28"/>
  <c r="H244" i="28"/>
  <c r="A245" i="28" s="1"/>
  <c r="G244" i="28"/>
  <c r="F244" i="28"/>
  <c r="D244" i="28"/>
  <c r="H243" i="28"/>
  <c r="A244" i="28" s="1"/>
  <c r="G243" i="28"/>
  <c r="F243" i="28"/>
  <c r="D243" i="28"/>
  <c r="H242" i="28"/>
  <c r="A243" i="28" s="1"/>
  <c r="G242" i="28"/>
  <c r="F242" i="28"/>
  <c r="D242" i="28"/>
  <c r="H241" i="28"/>
  <c r="A242" i="28" s="1"/>
  <c r="G241" i="28"/>
  <c r="F241" i="28"/>
  <c r="D241" i="28"/>
  <c r="H240" i="28"/>
  <c r="A241" i="28" s="1"/>
  <c r="G240" i="28"/>
  <c r="F240" i="28"/>
  <c r="D240" i="28"/>
  <c r="H239" i="28"/>
  <c r="A240" i="28" s="1"/>
  <c r="G239" i="28"/>
  <c r="F239" i="28"/>
  <c r="D239" i="28"/>
  <c r="H238" i="28"/>
  <c r="A239" i="28" s="1"/>
  <c r="G238" i="28"/>
  <c r="F238" i="28"/>
  <c r="D238" i="28"/>
  <c r="H237" i="28"/>
  <c r="A238" i="28" s="1"/>
  <c r="G237" i="28"/>
  <c r="F237" i="28"/>
  <c r="D237" i="28"/>
  <c r="H236" i="28"/>
  <c r="A237" i="28" s="1"/>
  <c r="G236" i="28"/>
  <c r="F236" i="28"/>
  <c r="D236" i="28"/>
  <c r="H235" i="28"/>
  <c r="A236" i="28" s="1"/>
  <c r="G235" i="28"/>
  <c r="F235" i="28"/>
  <c r="D235" i="28"/>
  <c r="H234" i="28"/>
  <c r="A235" i="28" s="1"/>
  <c r="G234" i="28"/>
  <c r="F234" i="28"/>
  <c r="D234" i="28"/>
  <c r="H233" i="28"/>
  <c r="A234" i="28" s="1"/>
  <c r="G233" i="28"/>
  <c r="F233" i="28"/>
  <c r="D233" i="28"/>
  <c r="H232" i="28"/>
  <c r="A233" i="28" s="1"/>
  <c r="G232" i="28"/>
  <c r="F232" i="28"/>
  <c r="D232" i="28"/>
  <c r="H231" i="28"/>
  <c r="A232" i="28" s="1"/>
  <c r="G231" i="28"/>
  <c r="F231" i="28"/>
  <c r="D231" i="28"/>
  <c r="H230" i="28"/>
  <c r="A231" i="28" s="1"/>
  <c r="G230" i="28"/>
  <c r="F230" i="28"/>
  <c r="D230" i="28"/>
  <c r="H229" i="28"/>
  <c r="A230" i="28" s="1"/>
  <c r="G229" i="28"/>
  <c r="F229" i="28"/>
  <c r="D229" i="28"/>
  <c r="H228" i="28"/>
  <c r="A229" i="28" s="1"/>
  <c r="G228" i="28"/>
  <c r="F228" i="28"/>
  <c r="D228" i="28"/>
  <c r="H227" i="28"/>
  <c r="A228" i="28" s="1"/>
  <c r="G227" i="28"/>
  <c r="F227" i="28"/>
  <c r="D227" i="28"/>
  <c r="H226" i="28"/>
  <c r="A227" i="28" s="1"/>
  <c r="G226" i="28"/>
  <c r="F226" i="28"/>
  <c r="D226" i="28"/>
  <c r="H225" i="28"/>
  <c r="A226" i="28" s="1"/>
  <c r="G225" i="28"/>
  <c r="F225" i="28"/>
  <c r="D225" i="28"/>
  <c r="H224" i="28"/>
  <c r="A225" i="28" s="1"/>
  <c r="G224" i="28"/>
  <c r="F224" i="28"/>
  <c r="D224" i="28"/>
  <c r="H223" i="28"/>
  <c r="A224" i="28" s="1"/>
  <c r="G223" i="28"/>
  <c r="F223" i="28"/>
  <c r="D223" i="28"/>
  <c r="H222" i="28"/>
  <c r="A223" i="28" s="1"/>
  <c r="G222" i="28"/>
  <c r="F222" i="28"/>
  <c r="D222" i="28"/>
  <c r="H221" i="28"/>
  <c r="A222" i="28" s="1"/>
  <c r="G221" i="28"/>
  <c r="F221" i="28"/>
  <c r="D221" i="28"/>
  <c r="H220" i="28"/>
  <c r="A221" i="28" s="1"/>
  <c r="G220" i="28"/>
  <c r="F220" i="28"/>
  <c r="D220" i="28"/>
  <c r="H219" i="28"/>
  <c r="A220" i="28" s="1"/>
  <c r="G219" i="28"/>
  <c r="F219" i="28"/>
  <c r="D219" i="28"/>
  <c r="H218" i="28"/>
  <c r="A219" i="28" s="1"/>
  <c r="G218" i="28"/>
  <c r="F218" i="28"/>
  <c r="D218" i="28"/>
  <c r="H217" i="28"/>
  <c r="A218" i="28" s="1"/>
  <c r="G217" i="28"/>
  <c r="F217" i="28"/>
  <c r="D217" i="28"/>
  <c r="H216" i="28"/>
  <c r="A217" i="28" s="1"/>
  <c r="G216" i="28"/>
  <c r="F216" i="28"/>
  <c r="D216" i="28"/>
  <c r="H215" i="28"/>
  <c r="A216" i="28" s="1"/>
  <c r="G215" i="28"/>
  <c r="F215" i="28"/>
  <c r="D215" i="28"/>
  <c r="H214" i="28"/>
  <c r="A215" i="28" s="1"/>
  <c r="G214" i="28"/>
  <c r="F214" i="28"/>
  <c r="D214" i="28"/>
  <c r="H213" i="28"/>
  <c r="A214" i="28" s="1"/>
  <c r="G213" i="28"/>
  <c r="F213" i="28"/>
  <c r="D213" i="28"/>
  <c r="H212" i="28"/>
  <c r="A213" i="28" s="1"/>
  <c r="G212" i="28"/>
  <c r="F212" i="28"/>
  <c r="D212" i="28"/>
  <c r="H211" i="28"/>
  <c r="A212" i="28" s="1"/>
  <c r="G211" i="28"/>
  <c r="F211" i="28"/>
  <c r="D211" i="28"/>
  <c r="H210" i="28"/>
  <c r="A211" i="28" s="1"/>
  <c r="G210" i="28"/>
  <c r="F210" i="28"/>
  <c r="D210" i="28"/>
  <c r="H209" i="28"/>
  <c r="A210" i="28" s="1"/>
  <c r="G209" i="28"/>
  <c r="F209" i="28"/>
  <c r="D209" i="28"/>
  <c r="H208" i="28"/>
  <c r="A209" i="28" s="1"/>
  <c r="G208" i="28"/>
  <c r="F208" i="28"/>
  <c r="D208" i="28"/>
  <c r="H207" i="28"/>
  <c r="A208" i="28" s="1"/>
  <c r="G207" i="28"/>
  <c r="F207" i="28"/>
  <c r="D207" i="28"/>
  <c r="H206" i="28"/>
  <c r="A207" i="28" s="1"/>
  <c r="G206" i="28"/>
  <c r="F206" i="28"/>
  <c r="D206" i="28"/>
  <c r="H205" i="28"/>
  <c r="A206" i="28" s="1"/>
  <c r="G205" i="28"/>
  <c r="F205" i="28"/>
  <c r="D205" i="28"/>
  <c r="H204" i="28"/>
  <c r="A205" i="28" s="1"/>
  <c r="G204" i="28"/>
  <c r="F204" i="28"/>
  <c r="D204" i="28"/>
  <c r="H203" i="28"/>
  <c r="A204" i="28" s="1"/>
  <c r="G203" i="28"/>
  <c r="F203" i="28"/>
  <c r="D203" i="28"/>
  <c r="H202" i="28"/>
  <c r="A203" i="28" s="1"/>
  <c r="G202" i="28"/>
  <c r="F202" i="28"/>
  <c r="D202" i="28"/>
  <c r="H201" i="28"/>
  <c r="A202" i="28" s="1"/>
  <c r="G201" i="28"/>
  <c r="F201" i="28"/>
  <c r="D201" i="28"/>
  <c r="H200" i="28"/>
  <c r="A201" i="28" s="1"/>
  <c r="G200" i="28"/>
  <c r="F200" i="28"/>
  <c r="D200" i="28"/>
  <c r="H199" i="28"/>
  <c r="A200" i="28" s="1"/>
  <c r="G199" i="28"/>
  <c r="F199" i="28"/>
  <c r="D199" i="28"/>
  <c r="H198" i="28"/>
  <c r="A199" i="28" s="1"/>
  <c r="G198" i="28"/>
  <c r="F198" i="28"/>
  <c r="D198" i="28"/>
  <c r="H197" i="28"/>
  <c r="A198" i="28" s="1"/>
  <c r="G197" i="28"/>
  <c r="F197" i="28"/>
  <c r="D197" i="28"/>
  <c r="H196" i="28"/>
  <c r="A197" i="28" s="1"/>
  <c r="G196" i="28"/>
  <c r="F196" i="28"/>
  <c r="D196" i="28"/>
  <c r="H195" i="28"/>
  <c r="A196" i="28" s="1"/>
  <c r="G195" i="28"/>
  <c r="F195" i="28"/>
  <c r="D195" i="28"/>
  <c r="H194" i="28"/>
  <c r="A195" i="28" s="1"/>
  <c r="G194" i="28"/>
  <c r="F194" i="28"/>
  <c r="D194" i="28"/>
  <c r="H193" i="28"/>
  <c r="A194" i="28" s="1"/>
  <c r="G193" i="28"/>
  <c r="F193" i="28"/>
  <c r="D193" i="28"/>
  <c r="H192" i="28"/>
  <c r="A193" i="28" s="1"/>
  <c r="G192" i="28"/>
  <c r="F192" i="28"/>
  <c r="D192" i="28"/>
  <c r="H191" i="28"/>
  <c r="A192" i="28" s="1"/>
  <c r="G191" i="28"/>
  <c r="F191" i="28"/>
  <c r="D191" i="28"/>
  <c r="H190" i="28"/>
  <c r="A191" i="28" s="1"/>
  <c r="G190" i="28"/>
  <c r="F190" i="28"/>
  <c r="D190" i="28"/>
  <c r="H189" i="28"/>
  <c r="A190" i="28" s="1"/>
  <c r="G189" i="28"/>
  <c r="F189" i="28"/>
  <c r="D189" i="28"/>
  <c r="H188" i="28"/>
  <c r="A189" i="28" s="1"/>
  <c r="G188" i="28"/>
  <c r="F188" i="28"/>
  <c r="D188" i="28"/>
  <c r="H187" i="28"/>
  <c r="A188" i="28" s="1"/>
  <c r="G187" i="28"/>
  <c r="F187" i="28"/>
  <c r="D187" i="28"/>
  <c r="H186" i="28"/>
  <c r="A187" i="28" s="1"/>
  <c r="G186" i="28"/>
  <c r="F186" i="28"/>
  <c r="D186" i="28"/>
  <c r="H185" i="28"/>
  <c r="A186" i="28" s="1"/>
  <c r="G185" i="28"/>
  <c r="F185" i="28"/>
  <c r="D185" i="28"/>
  <c r="H184" i="28"/>
  <c r="A185" i="28" s="1"/>
  <c r="G184" i="28"/>
  <c r="F184" i="28"/>
  <c r="D184" i="28"/>
  <c r="H183" i="28"/>
  <c r="A184" i="28" s="1"/>
  <c r="G183" i="28"/>
  <c r="F183" i="28"/>
  <c r="D183" i="28"/>
  <c r="H182" i="28"/>
  <c r="A183" i="28" s="1"/>
  <c r="G182" i="28"/>
  <c r="F182" i="28"/>
  <c r="D182" i="28"/>
  <c r="H181" i="28"/>
  <c r="A182" i="28" s="1"/>
  <c r="G181" i="28"/>
  <c r="F181" i="28"/>
  <c r="D181" i="28"/>
  <c r="H180" i="28"/>
  <c r="A181" i="28" s="1"/>
  <c r="G180" i="28"/>
  <c r="F180" i="28"/>
  <c r="D180" i="28"/>
  <c r="H179" i="28"/>
  <c r="A180" i="28" s="1"/>
  <c r="G179" i="28"/>
  <c r="F179" i="28"/>
  <c r="D179" i="28"/>
  <c r="H178" i="28"/>
  <c r="A179" i="28" s="1"/>
  <c r="G178" i="28"/>
  <c r="F178" i="28"/>
  <c r="D178" i="28"/>
  <c r="H177" i="28"/>
  <c r="A178" i="28" s="1"/>
  <c r="G177" i="28"/>
  <c r="F177" i="28"/>
  <c r="D177" i="28"/>
  <c r="H176" i="28"/>
  <c r="A177" i="28" s="1"/>
  <c r="G176" i="28"/>
  <c r="F176" i="28"/>
  <c r="D176" i="28"/>
  <c r="H175" i="28"/>
  <c r="A176" i="28" s="1"/>
  <c r="G175" i="28"/>
  <c r="F175" i="28"/>
  <c r="D175" i="28"/>
  <c r="H174" i="28"/>
  <c r="A175" i="28" s="1"/>
  <c r="G174" i="28"/>
  <c r="F174" i="28"/>
  <c r="D174" i="28"/>
  <c r="H173" i="28"/>
  <c r="A174" i="28" s="1"/>
  <c r="G173" i="28"/>
  <c r="F173" i="28"/>
  <c r="D173" i="28"/>
  <c r="H172" i="28"/>
  <c r="A173" i="28" s="1"/>
  <c r="G172" i="28"/>
  <c r="F172" i="28"/>
  <c r="D172" i="28"/>
  <c r="H171" i="28"/>
  <c r="A172" i="28" s="1"/>
  <c r="G171" i="28"/>
  <c r="F171" i="28"/>
  <c r="D171" i="28"/>
  <c r="H170" i="28"/>
  <c r="A171" i="28" s="1"/>
  <c r="G170" i="28"/>
  <c r="F170" i="28"/>
  <c r="D170" i="28"/>
  <c r="H169" i="28"/>
  <c r="A170" i="28" s="1"/>
  <c r="G169" i="28"/>
  <c r="F169" i="28"/>
  <c r="D169" i="28"/>
  <c r="H168" i="28"/>
  <c r="A169" i="28" s="1"/>
  <c r="G168" i="28"/>
  <c r="F168" i="28"/>
  <c r="D168" i="28"/>
  <c r="H167" i="28"/>
  <c r="A168" i="28" s="1"/>
  <c r="G167" i="28"/>
  <c r="F167" i="28"/>
  <c r="D167" i="28"/>
  <c r="H166" i="28"/>
  <c r="A167" i="28" s="1"/>
  <c r="G166" i="28"/>
  <c r="F166" i="28"/>
  <c r="D166" i="28"/>
  <c r="H165" i="28"/>
  <c r="A166" i="28" s="1"/>
  <c r="G165" i="28"/>
  <c r="F165" i="28"/>
  <c r="D165" i="28"/>
  <c r="H164" i="28"/>
  <c r="A165" i="28" s="1"/>
  <c r="G164" i="28"/>
  <c r="F164" i="28"/>
  <c r="D164" i="28"/>
  <c r="H163" i="28"/>
  <c r="A164" i="28" s="1"/>
  <c r="G163" i="28"/>
  <c r="F163" i="28"/>
  <c r="D163" i="28"/>
  <c r="H162" i="28"/>
  <c r="A163" i="28" s="1"/>
  <c r="G162" i="28"/>
  <c r="F162" i="28"/>
  <c r="D162" i="28"/>
  <c r="H161" i="28"/>
  <c r="A162" i="28" s="1"/>
  <c r="G161" i="28"/>
  <c r="F161" i="28"/>
  <c r="D161" i="28"/>
  <c r="H160" i="28"/>
  <c r="A161" i="28" s="1"/>
  <c r="G160" i="28"/>
  <c r="F160" i="28"/>
  <c r="D160" i="28"/>
  <c r="H159" i="28"/>
  <c r="A160" i="28" s="1"/>
  <c r="G159" i="28"/>
  <c r="F159" i="28"/>
  <c r="D159" i="28"/>
  <c r="H158" i="28"/>
  <c r="A159" i="28" s="1"/>
  <c r="G158" i="28"/>
  <c r="F158" i="28"/>
  <c r="D158" i="28"/>
  <c r="H157" i="28"/>
  <c r="A158" i="28" s="1"/>
  <c r="G157" i="28"/>
  <c r="F157" i="28"/>
  <c r="D157" i="28"/>
  <c r="H156" i="28"/>
  <c r="A157" i="28" s="1"/>
  <c r="G156" i="28"/>
  <c r="F156" i="28"/>
  <c r="D156" i="28"/>
  <c r="H155" i="28"/>
  <c r="A156" i="28" s="1"/>
  <c r="G155" i="28"/>
  <c r="F155" i="28"/>
  <c r="D155" i="28"/>
  <c r="H154" i="28"/>
  <c r="A155" i="28" s="1"/>
  <c r="G154" i="28"/>
  <c r="F154" i="28"/>
  <c r="D154" i="28"/>
  <c r="H153" i="28"/>
  <c r="A154" i="28" s="1"/>
  <c r="G153" i="28"/>
  <c r="F153" i="28"/>
  <c r="D153" i="28"/>
  <c r="H152" i="28"/>
  <c r="A153" i="28" s="1"/>
  <c r="G152" i="28"/>
  <c r="F152" i="28"/>
  <c r="D152" i="28"/>
  <c r="H151" i="28"/>
  <c r="A152" i="28" s="1"/>
  <c r="G151" i="28"/>
  <c r="F151" i="28"/>
  <c r="D151" i="28"/>
  <c r="H150" i="28"/>
  <c r="A151" i="28" s="1"/>
  <c r="G150" i="28"/>
  <c r="F150" i="28"/>
  <c r="D150" i="28"/>
  <c r="H149" i="28"/>
  <c r="A150" i="28" s="1"/>
  <c r="G149" i="28"/>
  <c r="F149" i="28"/>
  <c r="D149" i="28"/>
  <c r="H148" i="28"/>
  <c r="A149" i="28" s="1"/>
  <c r="G148" i="28"/>
  <c r="F148" i="28"/>
  <c r="D148" i="28"/>
  <c r="H147" i="28"/>
  <c r="A148" i="28" s="1"/>
  <c r="G147" i="28"/>
  <c r="F147" i="28"/>
  <c r="D147" i="28"/>
  <c r="H146" i="28"/>
  <c r="A147" i="28" s="1"/>
  <c r="G146" i="28"/>
  <c r="F146" i="28"/>
  <c r="D146" i="28"/>
  <c r="H145" i="28"/>
  <c r="A146" i="28" s="1"/>
  <c r="G145" i="28"/>
  <c r="F145" i="28"/>
  <c r="D145" i="28"/>
  <c r="H144" i="28"/>
  <c r="A145" i="28" s="1"/>
  <c r="G144" i="28"/>
  <c r="F144" i="28"/>
  <c r="D144" i="28"/>
  <c r="H143" i="28"/>
  <c r="A144" i="28" s="1"/>
  <c r="G143" i="28"/>
  <c r="F143" i="28"/>
  <c r="D143" i="28"/>
  <c r="H142" i="28"/>
  <c r="A143" i="28" s="1"/>
  <c r="G142" i="28"/>
  <c r="F142" i="28"/>
  <c r="D142" i="28"/>
  <c r="H141" i="28"/>
  <c r="A142" i="28" s="1"/>
  <c r="G141" i="28"/>
  <c r="F141" i="28"/>
  <c r="D141" i="28"/>
  <c r="H140" i="28"/>
  <c r="A141" i="28" s="1"/>
  <c r="G140" i="28"/>
  <c r="F140" i="28"/>
  <c r="D140" i="28"/>
  <c r="H139" i="28"/>
  <c r="A140" i="28" s="1"/>
  <c r="G139" i="28"/>
  <c r="F139" i="28"/>
  <c r="D139" i="28"/>
  <c r="B19" i="28"/>
  <c r="I19" i="28" s="1"/>
  <c r="N18" i="28"/>
  <c r="O18" i="28" s="1"/>
  <c r="M18" i="28"/>
  <c r="B18" i="28"/>
  <c r="H9" i="28"/>
  <c r="G18" i="28"/>
  <c r="H2" i="28"/>
  <c r="AV205" i="27"/>
  <c r="AU205" i="27"/>
  <c r="AT205" i="27"/>
  <c r="AV175" i="27"/>
  <c r="AV181" i="27" s="1"/>
  <c r="AU175" i="27"/>
  <c r="AU181" i="27" s="1"/>
  <c r="AT175" i="27"/>
  <c r="AT181" i="27" s="1"/>
  <c r="AV161" i="27"/>
  <c r="AU161" i="27"/>
  <c r="AT161" i="27"/>
  <c r="AV154" i="27"/>
  <c r="AU154" i="27"/>
  <c r="AT154" i="27"/>
  <c r="AV146" i="27"/>
  <c r="AU146" i="27"/>
  <c r="AT146" i="27"/>
  <c r="AV122" i="27"/>
  <c r="AV132" i="27" s="1"/>
  <c r="AU122" i="27"/>
  <c r="AU132" i="27" s="1"/>
  <c r="AT122" i="27"/>
  <c r="AT132" i="27" s="1"/>
  <c r="AV109" i="27"/>
  <c r="AU109" i="27"/>
  <c r="AT109" i="27"/>
  <c r="AV106" i="27"/>
  <c r="AU106" i="27"/>
  <c r="AT106" i="27"/>
  <c r="AV89" i="27"/>
  <c r="AU89" i="27"/>
  <c r="AT89" i="27"/>
  <c r="AS89" i="27"/>
  <c r="AR89" i="27"/>
  <c r="AQ89" i="27"/>
  <c r="AP89" i="27"/>
  <c r="AO89" i="27"/>
  <c r="AN89" i="27"/>
  <c r="AM89" i="27"/>
  <c r="AL89" i="27"/>
  <c r="AK89" i="27"/>
  <c r="AJ89" i="27"/>
  <c r="AI89" i="27"/>
  <c r="AH89" i="27"/>
  <c r="AG89" i="27"/>
  <c r="AF89" i="27"/>
  <c r="AE89" i="27"/>
  <c r="AD89" i="27"/>
  <c r="AC89" i="27"/>
  <c r="AB89" i="27"/>
  <c r="AA89" i="27"/>
  <c r="Z89" i="27"/>
  <c r="Y89" i="27"/>
  <c r="X89" i="27"/>
  <c r="W89" i="27"/>
  <c r="V89" i="27"/>
  <c r="U89" i="27"/>
  <c r="T89" i="27"/>
  <c r="S89" i="27"/>
  <c r="R89" i="27"/>
  <c r="Q89" i="27"/>
  <c r="P89" i="27"/>
  <c r="O89" i="27"/>
  <c r="N89" i="27"/>
  <c r="M89" i="27"/>
  <c r="L89" i="27"/>
  <c r="K89" i="27"/>
  <c r="J89" i="27"/>
  <c r="AV83" i="27"/>
  <c r="AU83" i="27"/>
  <c r="AT83" i="27"/>
  <c r="AS83" i="27"/>
  <c r="AR83" i="27"/>
  <c r="AQ83" i="27"/>
  <c r="AP83" i="27"/>
  <c r="AO83" i="27"/>
  <c r="AN83" i="27"/>
  <c r="AM83" i="27"/>
  <c r="AL83" i="27"/>
  <c r="AK83" i="27"/>
  <c r="AJ83" i="27"/>
  <c r="AI83" i="27"/>
  <c r="AH83" i="27"/>
  <c r="AG83" i="27"/>
  <c r="AF83" i="27"/>
  <c r="AE83" i="27"/>
  <c r="AD83" i="27"/>
  <c r="AC83" i="27"/>
  <c r="AB83" i="27"/>
  <c r="AA83" i="27"/>
  <c r="Z83" i="27"/>
  <c r="Y83" i="27"/>
  <c r="X83" i="27"/>
  <c r="W83" i="27"/>
  <c r="V83" i="27"/>
  <c r="U83" i="27"/>
  <c r="T83" i="27"/>
  <c r="S83" i="27"/>
  <c r="R83" i="27"/>
  <c r="Q83" i="27"/>
  <c r="P83" i="27"/>
  <c r="O83" i="27"/>
  <c r="N83" i="27"/>
  <c r="M83" i="27"/>
  <c r="L83" i="27"/>
  <c r="K83" i="27"/>
  <c r="J83" i="27"/>
  <c r="AV62" i="27"/>
  <c r="AU62" i="27"/>
  <c r="AT62" i="27"/>
  <c r="AS62" i="27"/>
  <c r="AR62" i="27"/>
  <c r="AQ62" i="27"/>
  <c r="AP62" i="27"/>
  <c r="AO62" i="27"/>
  <c r="AN62" i="27"/>
  <c r="AM62" i="27"/>
  <c r="AL62" i="27"/>
  <c r="AK62" i="27"/>
  <c r="AJ62" i="27"/>
  <c r="AI62" i="27"/>
  <c r="AH62" i="27"/>
  <c r="AG62" i="27"/>
  <c r="AF62" i="27"/>
  <c r="AE62" i="27"/>
  <c r="AD62" i="27"/>
  <c r="AC62" i="27"/>
  <c r="AB62" i="27"/>
  <c r="AA62" i="27"/>
  <c r="Z62" i="27"/>
  <c r="Y62" i="27"/>
  <c r="X62" i="27"/>
  <c r="W62" i="27"/>
  <c r="V62" i="27"/>
  <c r="U62" i="27"/>
  <c r="T62" i="27"/>
  <c r="S62" i="27"/>
  <c r="R62" i="27"/>
  <c r="Q62" i="27"/>
  <c r="P62" i="27"/>
  <c r="O62" i="27"/>
  <c r="N62" i="27"/>
  <c r="M62" i="27"/>
  <c r="L62" i="27"/>
  <c r="K62" i="27"/>
  <c r="J62" i="27"/>
  <c r="AV30" i="27"/>
  <c r="AU30" i="27"/>
  <c r="AT30" i="27"/>
  <c r="AS30" i="27"/>
  <c r="AR30" i="27"/>
  <c r="AQ30" i="27"/>
  <c r="AP30" i="27"/>
  <c r="AO30" i="27"/>
  <c r="AN30" i="27"/>
  <c r="AM30" i="27"/>
  <c r="AL30" i="27"/>
  <c r="AK30" i="27"/>
  <c r="AJ30" i="27"/>
  <c r="AI30" i="27"/>
  <c r="AH30" i="27"/>
  <c r="AG30" i="27"/>
  <c r="AF30" i="27"/>
  <c r="AE30" i="27"/>
  <c r="AD30" i="27"/>
  <c r="AC30" i="27"/>
  <c r="AB30" i="27"/>
  <c r="AA30" i="27"/>
  <c r="Z30" i="27"/>
  <c r="Y30" i="27"/>
  <c r="X30" i="27"/>
  <c r="W30" i="27"/>
  <c r="V30" i="27"/>
  <c r="U30" i="27"/>
  <c r="T30" i="27"/>
  <c r="S30" i="27"/>
  <c r="R30" i="27"/>
  <c r="Q30" i="27"/>
  <c r="P30" i="27"/>
  <c r="O30" i="27"/>
  <c r="N30" i="27"/>
  <c r="M30" i="27"/>
  <c r="L30" i="27"/>
  <c r="K30" i="27"/>
  <c r="J30" i="27"/>
  <c r="AV21" i="27"/>
  <c r="AU21" i="27"/>
  <c r="AT21" i="27"/>
  <c r="AS21" i="27"/>
  <c r="AR21" i="27"/>
  <c r="AQ21" i="27"/>
  <c r="AP21" i="27"/>
  <c r="AO21" i="27"/>
  <c r="AN21" i="27"/>
  <c r="AM21" i="27"/>
  <c r="AL21" i="27"/>
  <c r="AK21" i="27"/>
  <c r="AJ21" i="27"/>
  <c r="AI21" i="27"/>
  <c r="AH21" i="27"/>
  <c r="AG21" i="27"/>
  <c r="AF21" i="27"/>
  <c r="AE21" i="27"/>
  <c r="AD21" i="27"/>
  <c r="AC21" i="27"/>
  <c r="AB21" i="27"/>
  <c r="AA21" i="27"/>
  <c r="Z21" i="27"/>
  <c r="Y21" i="27"/>
  <c r="X21" i="27"/>
  <c r="W21" i="27"/>
  <c r="V21" i="27"/>
  <c r="U21" i="27"/>
  <c r="T21" i="27"/>
  <c r="S21" i="27"/>
  <c r="R21" i="27"/>
  <c r="Q21" i="27"/>
  <c r="P21" i="27"/>
  <c r="O21" i="27"/>
  <c r="N21" i="27"/>
  <c r="M21" i="27"/>
  <c r="L21" i="27"/>
  <c r="K21" i="27"/>
  <c r="J21" i="27"/>
  <c r="AV7" i="27"/>
  <c r="AU7" i="27"/>
  <c r="AT7" i="27"/>
  <c r="AS7" i="27"/>
  <c r="AR7" i="27"/>
  <c r="AQ7" i="27"/>
  <c r="AP7" i="27"/>
  <c r="AO7" i="27"/>
  <c r="AN7" i="27"/>
  <c r="AM7" i="27"/>
  <c r="AL7" i="27"/>
  <c r="AK7" i="27"/>
  <c r="AJ7" i="27"/>
  <c r="AI7" i="27"/>
  <c r="AH7" i="27"/>
  <c r="AG7" i="27"/>
  <c r="AF7" i="27"/>
  <c r="AE7" i="27"/>
  <c r="AD7" i="27"/>
  <c r="AC7" i="27"/>
  <c r="AB7" i="27"/>
  <c r="AA7" i="27"/>
  <c r="Z7" i="27"/>
  <c r="Y7" i="27"/>
  <c r="X7" i="27"/>
  <c r="W7" i="27"/>
  <c r="V7" i="27"/>
  <c r="U7" i="27"/>
  <c r="T7" i="27"/>
  <c r="S7" i="27"/>
  <c r="R7" i="27"/>
  <c r="Q7" i="27"/>
  <c r="P7" i="27"/>
  <c r="O7" i="27"/>
  <c r="N7" i="27"/>
  <c r="M7" i="27"/>
  <c r="L7" i="27"/>
  <c r="K7" i="27"/>
  <c r="J7" i="27"/>
  <c r="AZ47" i="13" l="1"/>
  <c r="AR138" i="13"/>
  <c r="BG138" i="13" s="1"/>
  <c r="BG127" i="13"/>
  <c r="AQ19" i="13"/>
  <c r="AR18" i="13"/>
  <c r="AS18" i="13" s="1"/>
  <c r="AR240" i="13"/>
  <c r="AX165" i="13"/>
  <c r="AY71" i="13"/>
  <c r="BF183" i="13"/>
  <c r="AR183" i="13"/>
  <c r="AS183" i="13" s="1"/>
  <c r="AT183" i="13" s="1"/>
  <c r="AU183" i="13" s="1"/>
  <c r="AV183" i="13" s="1"/>
  <c r="AW183" i="13" s="1"/>
  <c r="AX183" i="13" s="1"/>
  <c r="AY183" i="13" s="1"/>
  <c r="AZ183" i="13" s="1"/>
  <c r="BA183" i="13" s="1"/>
  <c r="BB183" i="13" s="1"/>
  <c r="BC183" i="13" s="1"/>
  <c r="BG183" i="13" s="1"/>
  <c r="AT240" i="13"/>
  <c r="AV240" i="13"/>
  <c r="AU240" i="13"/>
  <c r="AY196" i="27"/>
  <c r="AY206" i="27" s="1"/>
  <c r="AY132" i="27"/>
  <c r="AY133" i="27" s="1"/>
  <c r="AW155" i="27"/>
  <c r="AV182" i="27"/>
  <c r="AV196" i="27" s="1"/>
  <c r="AV206" i="27" s="1"/>
  <c r="AT182" i="27"/>
  <c r="AT196" i="27" s="1"/>
  <c r="AT206" i="27" s="1"/>
  <c r="AU182" i="27"/>
  <c r="AU196" i="27" s="1"/>
  <c r="AU206" i="27" s="1"/>
  <c r="AA90" i="27"/>
  <c r="AB90" i="27"/>
  <c r="AG90" i="27"/>
  <c r="N90" i="27"/>
  <c r="AE13" i="27"/>
  <c r="L13" i="27"/>
  <c r="AF13" i="27"/>
  <c r="N72" i="27"/>
  <c r="N75" i="27" s="1"/>
  <c r="M13" i="27"/>
  <c r="R90" i="27"/>
  <c r="S90" i="27"/>
  <c r="O13" i="27"/>
  <c r="Q72" i="27"/>
  <c r="Q75" i="27" s="1"/>
  <c r="P13" i="27"/>
  <c r="AJ13" i="27"/>
  <c r="AL72" i="27"/>
  <c r="AL75" i="27" s="1"/>
  <c r="Q13" i="27"/>
  <c r="AM72" i="27"/>
  <c r="AM75" i="27" s="1"/>
  <c r="V90" i="27"/>
  <c r="R13" i="27"/>
  <c r="S13" i="27"/>
  <c r="AN13" i="27"/>
  <c r="Y90" i="27"/>
  <c r="AC90" i="27"/>
  <c r="AU72" i="27"/>
  <c r="AU75" i="27" s="1"/>
  <c r="M90" i="27"/>
  <c r="O90" i="27"/>
  <c r="K13" i="27"/>
  <c r="AG13" i="27"/>
  <c r="O72" i="27"/>
  <c r="O75" i="27" s="1"/>
  <c r="N13" i="27"/>
  <c r="P72" i="27"/>
  <c r="P75" i="27" s="1"/>
  <c r="AI13" i="27"/>
  <c r="T90" i="27"/>
  <c r="R72" i="27"/>
  <c r="R75" i="27" s="1"/>
  <c r="AK13" i="27"/>
  <c r="S72" i="27"/>
  <c r="S75" i="27" s="1"/>
  <c r="AL13" i="27"/>
  <c r="W90" i="27"/>
  <c r="AM13" i="27"/>
  <c r="X90" i="27"/>
  <c r="T13" i="27"/>
  <c r="AT133" i="27"/>
  <c r="AT155" i="27" s="1"/>
  <c r="AU133" i="27"/>
  <c r="AU155" i="27" s="1"/>
  <c r="AH13" i="27"/>
  <c r="M72" i="27"/>
  <c r="M75" i="27" s="1"/>
  <c r="AQ13" i="27"/>
  <c r="AA13" i="27"/>
  <c r="AU13" i="27"/>
  <c r="W13" i="27"/>
  <c r="Z13" i="27"/>
  <c r="AT13" i="27"/>
  <c r="AA72" i="27"/>
  <c r="AA75" i="27" s="1"/>
  <c r="AG72" i="27"/>
  <c r="AG75" i="27" s="1"/>
  <c r="AC13" i="27"/>
  <c r="AD13" i="27"/>
  <c r="AB13" i="27"/>
  <c r="AH72" i="27"/>
  <c r="AH75" i="27" s="1"/>
  <c r="AI72" i="27"/>
  <c r="AI75" i="27" s="1"/>
  <c r="AV13" i="27"/>
  <c r="AV133" i="27"/>
  <c r="AV155" i="27" s="1"/>
  <c r="V13" i="27"/>
  <c r="AP13" i="27"/>
  <c r="L23" i="28"/>
  <c r="M19" i="28" s="1"/>
  <c r="H18" i="28"/>
  <c r="B18" i="29"/>
  <c r="B19" i="29" s="1"/>
  <c r="P18" i="28"/>
  <c r="D14" i="28"/>
  <c r="C19" i="28" s="1"/>
  <c r="O18" i="29"/>
  <c r="D14" i="29"/>
  <c r="C19" i="29" s="1"/>
  <c r="D19" i="28"/>
  <c r="L23" i="29"/>
  <c r="M19" i="29" s="1"/>
  <c r="P90" i="27"/>
  <c r="U90" i="27"/>
  <c r="Z90" i="27"/>
  <c r="J90" i="27"/>
  <c r="AD90" i="27"/>
  <c r="K90" i="27"/>
  <c r="AE90" i="27"/>
  <c r="Q90" i="27"/>
  <c r="L90" i="27"/>
  <c r="AF90" i="27"/>
  <c r="AO72" i="27"/>
  <c r="AO75" i="27" s="1"/>
  <c r="AJ72" i="27"/>
  <c r="AJ75" i="27" s="1"/>
  <c r="AK72" i="27"/>
  <c r="AK75" i="27" s="1"/>
  <c r="AN72" i="27"/>
  <c r="AN75" i="27" s="1"/>
  <c r="U72" i="27"/>
  <c r="U75" i="27" s="1"/>
  <c r="T72" i="27"/>
  <c r="T75" i="27" s="1"/>
  <c r="AB72" i="27"/>
  <c r="AB75" i="27" s="1"/>
  <c r="AV72" i="27"/>
  <c r="AV75" i="27" s="1"/>
  <c r="AC72" i="27"/>
  <c r="AC75" i="27" s="1"/>
  <c r="AD72" i="27"/>
  <c r="AD75" i="27" s="1"/>
  <c r="AE72" i="27"/>
  <c r="AE75" i="27" s="1"/>
  <c r="J72" i="27"/>
  <c r="J75" i="27" s="1"/>
  <c r="AF72" i="27"/>
  <c r="AF75" i="27" s="1"/>
  <c r="K72" i="27"/>
  <c r="K75" i="27" s="1"/>
  <c r="L72" i="27"/>
  <c r="L75" i="27" s="1"/>
  <c r="U13" i="27"/>
  <c r="AO13" i="27"/>
  <c r="AR13" i="27"/>
  <c r="Y13" i="27"/>
  <c r="X13" i="27"/>
  <c r="AS13" i="27"/>
  <c r="J13" i="27"/>
  <c r="AP72" i="27"/>
  <c r="AP75" i="27" s="1"/>
  <c r="W72" i="27"/>
  <c r="W75" i="27" s="1"/>
  <c r="V72" i="27"/>
  <c r="V75" i="27" s="1"/>
  <c r="AQ72" i="27"/>
  <c r="X72" i="27"/>
  <c r="X75" i="27" s="1"/>
  <c r="AR72" i="27"/>
  <c r="Y72" i="27"/>
  <c r="Y75" i="27" s="1"/>
  <c r="AS72" i="27"/>
  <c r="Z72" i="27"/>
  <c r="Z75" i="27" s="1"/>
  <c r="AT72" i="27"/>
  <c r="BA47" i="13" l="1"/>
  <c r="AS19" i="13"/>
  <c r="AY165" i="13"/>
  <c r="AZ71" i="13"/>
  <c r="AR19" i="13"/>
  <c r="AT18" i="13"/>
  <c r="AJ76" i="27"/>
  <c r="AJ77" i="27" s="1"/>
  <c r="AJ90" i="27" s="1"/>
  <c r="AC76" i="27"/>
  <c r="AC91" i="27" s="1"/>
  <c r="S76" i="27"/>
  <c r="S91" i="27" s="1"/>
  <c r="E19" i="28"/>
  <c r="AR75" i="27"/>
  <c r="AR76" i="27" s="1"/>
  <c r="AY147" i="27"/>
  <c r="AY155" i="27" s="1"/>
  <c r="AY208" i="27" s="1"/>
  <c r="L76" i="27"/>
  <c r="L91" i="27" s="1"/>
  <c r="N76" i="27"/>
  <c r="N91" i="27" s="1"/>
  <c r="AF76" i="27"/>
  <c r="AF91" i="27" s="1"/>
  <c r="K76" i="27"/>
  <c r="K91" i="27" s="1"/>
  <c r="AT75" i="27"/>
  <c r="AT76" i="27" s="1"/>
  <c r="AM76" i="27"/>
  <c r="V76" i="27"/>
  <c r="V91" i="27" s="1"/>
  <c r="AN76" i="27"/>
  <c r="AK76" i="27"/>
  <c r="AL76" i="27"/>
  <c r="AE76" i="27"/>
  <c r="AE91" i="27" s="1"/>
  <c r="AS75" i="27"/>
  <c r="AS76" i="27" s="1"/>
  <c r="M76" i="27"/>
  <c r="M91" i="27" s="1"/>
  <c r="G19" i="28"/>
  <c r="AU76" i="27"/>
  <c r="AQ75" i="27"/>
  <c r="AQ76" i="27" s="1"/>
  <c r="P76" i="27"/>
  <c r="P91" i="27" s="1"/>
  <c r="AG76" i="27"/>
  <c r="AG91" i="27" s="1"/>
  <c r="AH76" i="27"/>
  <c r="O76" i="27"/>
  <c r="O91" i="27" s="1"/>
  <c r="R76" i="27"/>
  <c r="R91" i="27" s="1"/>
  <c r="Q76" i="27"/>
  <c r="Q91" i="27" s="1"/>
  <c r="AI76" i="27"/>
  <c r="AD76" i="27"/>
  <c r="AD91" i="27" s="1"/>
  <c r="Z76" i="27"/>
  <c r="Z91" i="27" s="1"/>
  <c r="AA76" i="27"/>
  <c r="AA91" i="27" s="1"/>
  <c r="AP76" i="27"/>
  <c r="T76" i="27"/>
  <c r="T91" i="27" s="1"/>
  <c r="AV76" i="27"/>
  <c r="W76" i="27"/>
  <c r="W91" i="27" s="1"/>
  <c r="AB76" i="27"/>
  <c r="AB91" i="27" s="1"/>
  <c r="Y76" i="27"/>
  <c r="Y91" i="27" s="1"/>
  <c r="X76" i="27"/>
  <c r="X91" i="27" s="1"/>
  <c r="Q18" i="28"/>
  <c r="F19" i="28"/>
  <c r="I19" i="29"/>
  <c r="D19" i="29"/>
  <c r="F19" i="29" s="1"/>
  <c r="P18" i="29"/>
  <c r="AO76" i="27"/>
  <c r="U76" i="27"/>
  <c r="U91" i="27" s="1"/>
  <c r="J76" i="27"/>
  <c r="BB47" i="13" l="1"/>
  <c r="AZ165" i="13"/>
  <c r="BA71" i="13"/>
  <c r="AT19" i="13"/>
  <c r="AU18" i="13"/>
  <c r="AJ91" i="27"/>
  <c r="AV77" i="27"/>
  <c r="AV90" i="27" s="1"/>
  <c r="AV91" i="27" s="1"/>
  <c r="AV97" i="27" s="1"/>
  <c r="AK77" i="27"/>
  <c r="AK90" i="27" s="1"/>
  <c r="AK91" i="27" s="1"/>
  <c r="AN77" i="27"/>
  <c r="AN90" i="27" s="1"/>
  <c r="AN91" i="27" s="1"/>
  <c r="AP77" i="27"/>
  <c r="AP90" i="27" s="1"/>
  <c r="AP91" i="27" s="1"/>
  <c r="AM77" i="27"/>
  <c r="AM90" i="27" s="1"/>
  <c r="AM91" i="27" s="1"/>
  <c r="AT77" i="27"/>
  <c r="AT90" i="27" s="1"/>
  <c r="AT91" i="27" s="1"/>
  <c r="AT97" i="27" s="1"/>
  <c r="AI77" i="27"/>
  <c r="AI90" i="27" s="1"/>
  <c r="AI91" i="27" s="1"/>
  <c r="AU77" i="27"/>
  <c r="AU90" i="27" s="1"/>
  <c r="AU91" i="27" s="1"/>
  <c r="AU97" i="27" s="1"/>
  <c r="AS77" i="27"/>
  <c r="AS90" i="27" s="1"/>
  <c r="AS91" i="27" s="1"/>
  <c r="AS97" i="27" s="1"/>
  <c r="AL77" i="27"/>
  <c r="AL90" i="27" s="1"/>
  <c r="AL91" i="27" s="1"/>
  <c r="AO77" i="27"/>
  <c r="AO90" i="27" s="1"/>
  <c r="AO91" i="27" s="1"/>
  <c r="AH77" i="27"/>
  <c r="AH90" i="27" s="1"/>
  <c r="AH91" i="27" s="1"/>
  <c r="AR77" i="27"/>
  <c r="AR90" i="27" s="1"/>
  <c r="AR91" i="27" s="1"/>
  <c r="AR97" i="27" s="1"/>
  <c r="AQ77" i="27"/>
  <c r="AQ90" i="27" s="1"/>
  <c r="AQ91" i="27" s="1"/>
  <c r="AQ97" i="27" s="1"/>
  <c r="E19" i="29"/>
  <c r="H19" i="28"/>
  <c r="A20" i="28" s="1"/>
  <c r="B20" i="28" s="1"/>
  <c r="AK48" i="13"/>
  <c r="AK51" i="13" s="1"/>
  <c r="AK33" i="13" s="1"/>
  <c r="BU48" i="13" s="1"/>
  <c r="BU47" i="13" s="1"/>
  <c r="AW204" i="27"/>
  <c r="AW205" i="27" s="1"/>
  <c r="AW206" i="27" s="1"/>
  <c r="AW208" i="27" s="1"/>
  <c r="R18" i="28"/>
  <c r="G19" i="29"/>
  <c r="H19" i="29" s="1"/>
  <c r="A20" i="29" s="1"/>
  <c r="Q18" i="29"/>
  <c r="J91" i="27"/>
  <c r="BC47" i="13" l="1"/>
  <c r="BA165" i="13"/>
  <c r="BB71" i="13"/>
  <c r="AU19" i="13"/>
  <c r="AV18" i="13"/>
  <c r="AW18" i="13" s="1"/>
  <c r="AR4" i="19"/>
  <c r="AR51" i="19" s="1"/>
  <c r="AK52" i="13"/>
  <c r="AK11" i="13"/>
  <c r="AL48" i="13"/>
  <c r="AL51" i="13" s="1"/>
  <c r="C20" i="28"/>
  <c r="C20" i="29"/>
  <c r="B20" i="29"/>
  <c r="R18" i="29"/>
  <c r="S18" i="28"/>
  <c r="I20" i="28"/>
  <c r="D20" i="28"/>
  <c r="BG47" i="13" l="1"/>
  <c r="AL52" i="13"/>
  <c r="AW19" i="13"/>
  <c r="BB165" i="13"/>
  <c r="BC71" i="13"/>
  <c r="AV19" i="13"/>
  <c r="AX18" i="13"/>
  <c r="AX19" i="13" s="1"/>
  <c r="AK12" i="13"/>
  <c r="AR36" i="19" s="1"/>
  <c r="AR35" i="19"/>
  <c r="AS4" i="19"/>
  <c r="AS51" i="19" s="1"/>
  <c r="AM48" i="13"/>
  <c r="E20" i="28"/>
  <c r="F20" i="28"/>
  <c r="G20" i="28"/>
  <c r="S18" i="29"/>
  <c r="T18" i="28"/>
  <c r="I20" i="29"/>
  <c r="D20" i="29"/>
  <c r="BG71" i="13" l="1"/>
  <c r="BC165" i="13"/>
  <c r="BG165" i="13" s="1"/>
  <c r="AY18" i="13"/>
  <c r="AY19" i="13" s="1"/>
  <c r="AM51" i="13"/>
  <c r="AP72" i="13"/>
  <c r="AQ128" i="13"/>
  <c r="AR128" i="13" s="1"/>
  <c r="AN134" i="13"/>
  <c r="V228" i="24" s="1"/>
  <c r="V230" i="24" s="1"/>
  <c r="AN140" i="13"/>
  <c r="AT4" i="19"/>
  <c r="AT51" i="19" s="1"/>
  <c r="AM11" i="13"/>
  <c r="AL11" i="13"/>
  <c r="G20" i="29"/>
  <c r="E20" i="29"/>
  <c r="BE4" i="27"/>
  <c r="BD7" i="27"/>
  <c r="BD13" i="27" s="1"/>
  <c r="AO80" i="13" s="1"/>
  <c r="H20" i="28"/>
  <c r="A21" i="28" s="1"/>
  <c r="C21" i="28" s="1"/>
  <c r="F20" i="29"/>
  <c r="U18" i="28"/>
  <c r="T18" i="29"/>
  <c r="AM52" i="13" l="1"/>
  <c r="AN33" i="13"/>
  <c r="BV48" i="13" s="1"/>
  <c r="BV47" i="13" s="1"/>
  <c r="AP75" i="13"/>
  <c r="AP78" i="13" s="1"/>
  <c r="AP79" i="13" s="1"/>
  <c r="AS128" i="13"/>
  <c r="AR140" i="13"/>
  <c r="AZ18" i="13"/>
  <c r="AN135" i="13"/>
  <c r="AN272" i="13"/>
  <c r="AN274" i="13" s="1"/>
  <c r="AN136" i="13"/>
  <c r="AN137" i="13" s="1"/>
  <c r="AN241" i="13"/>
  <c r="AN141" i="13"/>
  <c r="AM12" i="13"/>
  <c r="AT36" i="19" s="1"/>
  <c r="AT35" i="19"/>
  <c r="AU4" i="19"/>
  <c r="AU51" i="19" s="1"/>
  <c r="AL12" i="13"/>
  <c r="AS36" i="19" s="1"/>
  <c r="AS35" i="19"/>
  <c r="H20" i="29"/>
  <c r="A21" i="29" s="1"/>
  <c r="B21" i="29" s="1"/>
  <c r="I21" i="29" s="1"/>
  <c r="BF4" i="27"/>
  <c r="BE7" i="27"/>
  <c r="AP52" i="13" s="1"/>
  <c r="B21" i="28"/>
  <c r="I21" i="28" s="1"/>
  <c r="V18" i="28"/>
  <c r="U18" i="29"/>
  <c r="AZ19" i="13" l="1"/>
  <c r="BA18" i="13"/>
  <c r="BB18" i="13" s="1"/>
  <c r="BB19" i="13" s="1"/>
  <c r="AR241" i="13"/>
  <c r="AS140" i="13"/>
  <c r="AT128" i="13"/>
  <c r="AP164" i="13"/>
  <c r="AP199" i="13"/>
  <c r="AQ48" i="13"/>
  <c r="C21" i="29"/>
  <c r="BF7" i="27"/>
  <c r="BG4" i="27"/>
  <c r="D21" i="28"/>
  <c r="D21" i="29"/>
  <c r="W18" i="28"/>
  <c r="V18" i="29"/>
  <c r="AI94" i="13"/>
  <c r="AI138" i="13"/>
  <c r="AI240" i="13" s="1"/>
  <c r="AI140" i="13"/>
  <c r="AI241" i="13" s="1"/>
  <c r="AI158" i="13"/>
  <c r="AI163" i="13"/>
  <c r="AI165" i="13"/>
  <c r="AI167" i="13"/>
  <c r="AI173" i="13"/>
  <c r="AI174" i="13"/>
  <c r="AI178" i="13"/>
  <c r="AI179" i="13"/>
  <c r="AI191" i="13"/>
  <c r="AI193" i="13"/>
  <c r="AI194" i="13"/>
  <c r="AI195" i="13"/>
  <c r="AI196" i="13"/>
  <c r="AP33" i="19" s="1"/>
  <c r="AI197" i="13"/>
  <c r="AI198" i="13"/>
  <c r="AI205" i="13"/>
  <c r="AJ251" i="13" s="1"/>
  <c r="AI212" i="13"/>
  <c r="AJ259" i="13" s="1"/>
  <c r="AI214" i="13"/>
  <c r="AJ260" i="13" s="1"/>
  <c r="AI221" i="13"/>
  <c r="AI224" i="13"/>
  <c r="AI225" i="13"/>
  <c r="AI226" i="13"/>
  <c r="AJ261" i="13" s="1"/>
  <c r="AI227" i="13"/>
  <c r="CB57" i="4"/>
  <c r="CB56" i="4"/>
  <c r="CB55" i="4"/>
  <c r="CB54" i="4"/>
  <c r="CB53" i="4"/>
  <c r="CB52" i="4"/>
  <c r="CB51" i="4"/>
  <c r="CB50" i="4"/>
  <c r="CB49" i="4"/>
  <c r="CB46" i="4"/>
  <c r="CB45" i="4"/>
  <c r="CB44" i="4"/>
  <c r="CB43" i="4"/>
  <c r="CB42" i="4"/>
  <c r="CB41" i="4"/>
  <c r="CB40" i="4"/>
  <c r="CB39" i="4"/>
  <c r="CB38" i="4"/>
  <c r="CB37" i="4"/>
  <c r="CB36" i="4"/>
  <c r="CB35" i="4"/>
  <c r="CB34" i="4"/>
  <c r="CB33" i="4"/>
  <c r="CB32" i="4"/>
  <c r="CB31" i="4"/>
  <c r="CB29" i="4"/>
  <c r="CB28" i="4"/>
  <c r="CB27" i="4"/>
  <c r="CB26" i="4"/>
  <c r="CB25" i="4"/>
  <c r="CB24" i="4"/>
  <c r="CB23" i="4"/>
  <c r="CB22" i="4"/>
  <c r="CB21" i="4"/>
  <c r="CB20" i="4"/>
  <c r="CB19" i="4"/>
  <c r="CB18" i="4"/>
  <c r="CB17" i="4"/>
  <c r="CB16" i="4"/>
  <c r="CB15" i="4"/>
  <c r="CB14" i="4"/>
  <c r="CB13" i="4"/>
  <c r="CB12" i="4"/>
  <c r="CB11" i="4"/>
  <c r="CB9" i="4"/>
  <c r="CB8" i="4"/>
  <c r="CB7" i="4"/>
  <c r="CB6" i="4"/>
  <c r="BN6" i="4"/>
  <c r="BN7" i="4"/>
  <c r="BN8" i="4"/>
  <c r="BN9" i="4"/>
  <c r="BN11" i="4"/>
  <c r="BN12" i="4"/>
  <c r="BN13" i="4"/>
  <c r="BN14" i="4"/>
  <c r="BN15" i="4"/>
  <c r="BN16" i="4"/>
  <c r="BN17" i="4"/>
  <c r="BN18" i="4"/>
  <c r="BN20" i="4"/>
  <c r="BN21" i="4"/>
  <c r="BN22" i="4"/>
  <c r="BN23" i="4"/>
  <c r="BN24" i="4"/>
  <c r="BN25" i="4"/>
  <c r="BN26" i="4"/>
  <c r="BN27" i="4"/>
  <c r="BN28" i="4"/>
  <c r="BN29" i="4"/>
  <c r="BN31" i="4"/>
  <c r="BN32" i="4"/>
  <c r="BN33" i="4"/>
  <c r="BN34" i="4"/>
  <c r="BN35" i="4"/>
  <c r="BN36" i="4"/>
  <c r="BN37" i="4"/>
  <c r="BN38" i="4"/>
  <c r="BN39" i="4"/>
  <c r="BN40" i="4"/>
  <c r="BN41" i="4"/>
  <c r="BN42" i="4"/>
  <c r="BN45" i="4"/>
  <c r="BN46" i="4"/>
  <c r="BN49" i="4"/>
  <c r="BN56" i="4"/>
  <c r="BN57" i="4"/>
  <c r="BX29" i="25"/>
  <c r="BX28" i="25"/>
  <c r="BX27" i="25"/>
  <c r="BX23" i="25"/>
  <c r="BX25" i="25"/>
  <c r="BX24" i="25"/>
  <c r="BX22" i="25"/>
  <c r="BX21" i="25"/>
  <c r="BX20" i="25"/>
  <c r="BX12" i="25"/>
  <c r="BX11" i="25"/>
  <c r="BX10" i="25"/>
  <c r="BX9" i="25"/>
  <c r="BX8" i="25"/>
  <c r="BX7" i="25"/>
  <c r="BX6" i="25"/>
  <c r="BX67" i="2"/>
  <c r="BX66" i="2"/>
  <c r="BX65" i="2"/>
  <c r="BX63" i="2"/>
  <c r="BX62" i="2"/>
  <c r="BX61" i="2"/>
  <c r="BX60" i="2"/>
  <c r="BX59" i="2"/>
  <c r="BX56" i="2"/>
  <c r="BX55" i="2"/>
  <c r="BX51" i="2"/>
  <c r="BX50" i="2"/>
  <c r="BX49" i="2"/>
  <c r="BX48" i="2"/>
  <c r="BX47" i="2"/>
  <c r="BX46" i="2"/>
  <c r="BX45" i="2"/>
  <c r="BX44" i="2"/>
  <c r="BX43" i="2"/>
  <c r="BX42" i="2"/>
  <c r="BX41" i="2"/>
  <c r="BX37" i="2"/>
  <c r="BX36" i="2"/>
  <c r="BX35" i="2"/>
  <c r="BX34" i="2"/>
  <c r="BX33" i="2"/>
  <c r="BX32" i="2"/>
  <c r="BX31" i="2"/>
  <c r="BX30" i="2"/>
  <c r="BX29" i="2"/>
  <c r="BX28" i="2"/>
  <c r="BX27" i="2"/>
  <c r="BX26" i="2"/>
  <c r="BX22" i="2"/>
  <c r="BX21" i="2"/>
  <c r="BX20" i="2"/>
  <c r="BX19" i="2"/>
  <c r="BX18" i="2"/>
  <c r="BX17" i="2"/>
  <c r="BX16" i="2"/>
  <c r="BX15" i="2"/>
  <c r="BX14" i="2"/>
  <c r="BX13" i="2"/>
  <c r="BX12" i="2"/>
  <c r="BX11" i="2"/>
  <c r="BX10" i="2"/>
  <c r="BX9" i="2"/>
  <c r="BX8" i="2"/>
  <c r="BX7" i="2"/>
  <c r="BX6" i="2"/>
  <c r="BX5" i="2"/>
  <c r="BM6" i="25"/>
  <c r="BM17" i="25" s="1"/>
  <c r="BM24" i="25"/>
  <c r="BM23" i="25"/>
  <c r="BM27" i="25"/>
  <c r="BM28" i="25"/>
  <c r="BM29" i="25"/>
  <c r="BV51" i="2"/>
  <c r="BV50" i="2"/>
  <c r="BV49" i="2"/>
  <c r="BV48" i="2"/>
  <c r="BV47" i="2"/>
  <c r="BV46" i="2"/>
  <c r="BV45" i="2"/>
  <c r="BV44" i="2"/>
  <c r="BV43" i="2"/>
  <c r="BV42" i="2"/>
  <c r="BV41" i="2"/>
  <c r="BM5" i="2"/>
  <c r="BM6" i="2"/>
  <c r="BM7" i="2"/>
  <c r="BM8" i="2"/>
  <c r="BM9" i="2"/>
  <c r="BM10" i="2"/>
  <c r="BM11" i="2"/>
  <c r="BM12" i="2"/>
  <c r="BM13" i="2"/>
  <c r="BM14" i="2"/>
  <c r="BM15" i="2"/>
  <c r="BM16" i="2"/>
  <c r="BM17" i="2"/>
  <c r="BM18" i="2"/>
  <c r="BM19" i="2"/>
  <c r="BM20" i="2"/>
  <c r="BM21" i="2"/>
  <c r="BM22" i="2"/>
  <c r="BM26" i="2"/>
  <c r="BM52" i="2"/>
  <c r="BM55" i="2"/>
  <c r="BM83" i="11"/>
  <c r="BM82" i="11"/>
  <c r="BM81" i="11"/>
  <c r="BM80" i="11"/>
  <c r="BM79" i="11"/>
  <c r="BM78" i="11"/>
  <c r="BM77" i="11"/>
  <c r="BM75" i="11"/>
  <c r="BM73" i="11"/>
  <c r="BM71" i="11"/>
  <c r="BM70" i="11"/>
  <c r="BM69" i="11"/>
  <c r="BM68" i="11"/>
  <c r="BM67" i="11"/>
  <c r="BM66" i="11"/>
  <c r="BM65" i="11"/>
  <c r="BM64" i="11"/>
  <c r="BM63" i="11"/>
  <c r="BM62" i="11"/>
  <c r="BM58" i="11"/>
  <c r="BM57" i="11"/>
  <c r="BM55" i="11"/>
  <c r="BM54" i="11"/>
  <c r="BM52" i="11"/>
  <c r="BM51" i="11"/>
  <c r="BM50" i="11"/>
  <c r="BM46" i="11"/>
  <c r="BM45" i="11"/>
  <c r="BM44" i="11"/>
  <c r="BM43" i="11"/>
  <c r="BM41" i="11"/>
  <c r="BM40" i="11"/>
  <c r="BM39" i="11"/>
  <c r="BM38" i="11"/>
  <c r="BM37" i="11"/>
  <c r="BM36" i="11"/>
  <c r="BM32" i="11"/>
  <c r="BM31" i="11"/>
  <c r="BM30" i="11"/>
  <c r="BM29" i="11"/>
  <c r="BM28" i="11"/>
  <c r="BM27" i="11"/>
  <c r="BM26" i="11"/>
  <c r="BM25" i="11"/>
  <c r="BM24" i="11"/>
  <c r="BM23" i="11"/>
  <c r="BM22" i="11"/>
  <c r="BM21" i="11"/>
  <c r="BL32" i="11"/>
  <c r="BL28" i="11"/>
  <c r="BC21" i="11"/>
  <c r="BC22" i="11"/>
  <c r="BC23" i="11"/>
  <c r="BC24" i="11"/>
  <c r="BC25" i="11"/>
  <c r="BC26" i="11"/>
  <c r="BC27" i="11"/>
  <c r="BC29" i="11"/>
  <c r="BC30" i="11"/>
  <c r="BC31" i="11"/>
  <c r="BC36" i="11"/>
  <c r="BC37" i="11"/>
  <c r="BC38" i="11"/>
  <c r="BC39" i="11"/>
  <c r="BC40" i="11"/>
  <c r="BC41" i="11"/>
  <c r="BC43" i="11"/>
  <c r="BC44" i="11"/>
  <c r="BC45" i="11"/>
  <c r="BC50" i="11"/>
  <c r="BC51" i="11"/>
  <c r="BC52" i="11"/>
  <c r="BC54" i="11"/>
  <c r="BC55" i="11"/>
  <c r="BC62" i="11"/>
  <c r="BC63" i="11"/>
  <c r="BC64" i="11"/>
  <c r="BC65" i="11"/>
  <c r="BC66" i="11"/>
  <c r="BC67" i="11"/>
  <c r="BC68" i="11"/>
  <c r="BC69" i="11"/>
  <c r="BC70" i="11"/>
  <c r="BC71" i="11"/>
  <c r="BC75" i="11"/>
  <c r="BC77" i="11"/>
  <c r="BC78" i="11"/>
  <c r="BC79" i="11"/>
  <c r="BC80" i="11"/>
  <c r="BC81" i="11"/>
  <c r="BC82" i="11"/>
  <c r="BC83" i="11"/>
  <c r="BP63" i="1"/>
  <c r="BP62" i="1"/>
  <c r="BP61" i="1"/>
  <c r="BP60" i="1"/>
  <c r="BP59" i="1"/>
  <c r="BP58" i="1"/>
  <c r="BP57" i="1"/>
  <c r="BP56" i="1"/>
  <c r="BP54" i="1"/>
  <c r="BP53" i="1"/>
  <c r="BP52" i="1"/>
  <c r="BP51" i="1"/>
  <c r="BP50" i="1"/>
  <c r="BP49" i="1"/>
  <c r="BP48" i="1"/>
  <c r="BP43" i="1"/>
  <c r="BP42" i="1"/>
  <c r="BP44" i="1"/>
  <c r="BP39" i="1"/>
  <c r="BP38" i="1"/>
  <c r="BP37" i="1"/>
  <c r="BP35" i="1"/>
  <c r="BP34" i="1"/>
  <c r="BP33" i="1"/>
  <c r="BP32" i="1"/>
  <c r="BP28" i="1"/>
  <c r="BP27" i="1"/>
  <c r="BP26" i="1"/>
  <c r="BP25" i="1"/>
  <c r="BP23" i="1"/>
  <c r="BP22" i="1"/>
  <c r="BP21" i="1"/>
  <c r="BP20" i="1"/>
  <c r="BP19" i="1"/>
  <c r="BP18" i="1"/>
  <c r="BP17" i="1"/>
  <c r="BP16" i="1"/>
  <c r="BP15" i="1"/>
  <c r="BP14" i="1"/>
  <c r="BP12" i="1"/>
  <c r="BP11" i="1"/>
  <c r="BP10" i="1"/>
  <c r="BP9" i="1"/>
  <c r="BL63" i="1"/>
  <c r="BL62" i="1"/>
  <c r="BL61" i="1"/>
  <c r="BL60" i="1"/>
  <c r="BL28" i="1"/>
  <c r="BL27" i="1"/>
  <c r="BL26" i="1"/>
  <c r="BC9" i="1"/>
  <c r="BC10" i="1"/>
  <c r="AT84" i="1" s="1"/>
  <c r="BC11" i="1"/>
  <c r="BC12" i="1"/>
  <c r="BC14" i="1"/>
  <c r="BC15" i="1"/>
  <c r="BC16" i="1"/>
  <c r="BC17" i="1"/>
  <c r="BC18" i="1"/>
  <c r="BC19" i="1"/>
  <c r="BC20" i="1"/>
  <c r="BC21" i="1"/>
  <c r="BC22" i="1"/>
  <c r="BC23" i="1"/>
  <c r="AI104" i="13" s="1"/>
  <c r="BC25" i="1"/>
  <c r="AI105" i="13" s="1"/>
  <c r="BC32" i="1"/>
  <c r="BC33" i="1"/>
  <c r="BC34" i="1"/>
  <c r="BC35" i="1"/>
  <c r="BC37" i="1"/>
  <c r="BC38" i="1"/>
  <c r="BC39" i="1"/>
  <c r="BC44" i="1"/>
  <c r="BC42" i="1"/>
  <c r="BC43" i="1"/>
  <c r="BC48" i="1"/>
  <c r="BC49" i="1"/>
  <c r="BC50" i="1"/>
  <c r="BC51" i="1"/>
  <c r="BC52" i="1"/>
  <c r="BC53" i="1"/>
  <c r="BC54" i="1"/>
  <c r="BC56" i="1"/>
  <c r="BC57" i="1"/>
  <c r="BC58" i="1"/>
  <c r="BC59" i="1"/>
  <c r="BL28" i="25"/>
  <c r="BL27" i="25"/>
  <c r="BL23" i="25"/>
  <c r="BL24" i="25"/>
  <c r="BL6" i="25"/>
  <c r="AR48" i="13" l="1"/>
  <c r="AT140" i="13"/>
  <c r="AU128" i="13"/>
  <c r="AS241" i="13"/>
  <c r="BA19" i="13"/>
  <c r="BC18" i="13"/>
  <c r="BC19" i="13" s="1"/>
  <c r="BF48" i="13"/>
  <c r="AQ51" i="13"/>
  <c r="AQ33" i="13" s="1"/>
  <c r="BW48" i="13" s="1"/>
  <c r="BW47" i="13" s="1"/>
  <c r="AI185" i="13"/>
  <c r="AQ59" i="19"/>
  <c r="AQ57" i="19"/>
  <c r="AQ58" i="19"/>
  <c r="AI13" i="13"/>
  <c r="AJ237" i="13"/>
  <c r="AJ262" i="13"/>
  <c r="AQ44" i="19" s="1"/>
  <c r="AQ164" i="13"/>
  <c r="AQ199" i="13"/>
  <c r="AI106" i="13"/>
  <c r="AI216" i="13"/>
  <c r="AP16" i="19" s="1"/>
  <c r="AT87" i="1"/>
  <c r="AT86" i="1"/>
  <c r="AT85" i="1"/>
  <c r="BX17" i="25"/>
  <c r="BV6" i="25"/>
  <c r="BL17" i="25"/>
  <c r="BV27" i="25"/>
  <c r="BV24" i="25"/>
  <c r="BV23" i="25"/>
  <c r="BV11" i="25"/>
  <c r="BV28" i="25"/>
  <c r="BV8" i="25"/>
  <c r="BV10" i="25"/>
  <c r="AU85" i="1"/>
  <c r="AU86" i="1"/>
  <c r="AU84" i="1"/>
  <c r="AU87" i="1"/>
  <c r="BC64" i="1"/>
  <c r="AU88" i="1" s="1"/>
  <c r="BM38" i="2"/>
  <c r="BC47" i="11"/>
  <c r="BC72" i="1" s="1"/>
  <c r="AP55" i="19"/>
  <c r="BC33" i="11"/>
  <c r="BC74" i="1" s="1"/>
  <c r="BN58" i="4"/>
  <c r="BN60" i="4" s="1"/>
  <c r="AI96" i="13" s="1"/>
  <c r="BC45" i="1"/>
  <c r="AP52" i="19"/>
  <c r="BC84" i="11"/>
  <c r="BC76" i="1" s="1"/>
  <c r="AP54" i="19"/>
  <c r="BC29" i="1"/>
  <c r="BC30" i="1" s="1"/>
  <c r="BM78" i="2"/>
  <c r="AP56" i="19"/>
  <c r="BM30" i="25"/>
  <c r="BC59" i="11"/>
  <c r="AP162" i="13"/>
  <c r="AP30" i="19"/>
  <c r="F8" i="30"/>
  <c r="G21" i="29"/>
  <c r="E21" i="29"/>
  <c r="F21" i="28"/>
  <c r="E21" i="28"/>
  <c r="AI175" i="13"/>
  <c r="BH4" i="27"/>
  <c r="BG7" i="27"/>
  <c r="G21" i="28"/>
  <c r="F21" i="29"/>
  <c r="W18" i="29"/>
  <c r="AP29" i="19"/>
  <c r="AP32" i="19"/>
  <c r="AP14" i="19"/>
  <c r="AI228" i="13"/>
  <c r="BM68" i="1"/>
  <c r="BN68" i="1" s="1"/>
  <c r="BO68" i="1" s="1"/>
  <c r="BM17" i="11"/>
  <c r="BM16" i="11"/>
  <c r="BM15" i="11"/>
  <c r="BM14" i="11"/>
  <c r="BM13" i="11"/>
  <c r="BM12" i="11"/>
  <c r="BM11" i="11"/>
  <c r="BM10" i="11"/>
  <c r="BM9" i="11"/>
  <c r="BM8" i="11"/>
  <c r="BM7" i="11"/>
  <c r="BM6" i="11"/>
  <c r="BM5" i="11"/>
  <c r="BB22" i="11"/>
  <c r="BL22" i="11" s="1"/>
  <c r="BB21" i="11"/>
  <c r="AH94" i="13"/>
  <c r="AH138" i="13"/>
  <c r="AH140" i="13"/>
  <c r="AH158" i="13"/>
  <c r="AO14" i="19" s="1"/>
  <c r="AH163" i="13"/>
  <c r="AH165" i="13"/>
  <c r="AH166" i="13"/>
  <c r="AH167" i="13"/>
  <c r="AH173" i="13"/>
  <c r="AH174" i="13"/>
  <c r="AH178" i="13"/>
  <c r="AH179" i="13"/>
  <c r="AH191" i="13"/>
  <c r="AH193" i="13"/>
  <c r="AH194" i="13"/>
  <c r="AH195" i="13"/>
  <c r="AH196" i="13"/>
  <c r="AO33" i="19" s="1"/>
  <c r="AH197" i="13"/>
  <c r="AH198" i="13"/>
  <c r="AH205" i="13"/>
  <c r="AH212" i="13"/>
  <c r="AI259" i="13" s="1"/>
  <c r="AH214" i="13"/>
  <c r="AI260" i="13" s="1"/>
  <c r="AH221" i="13"/>
  <c r="AH224" i="13"/>
  <c r="AH225" i="13"/>
  <c r="AH226" i="13"/>
  <c r="AI261" i="13" s="1"/>
  <c r="AH227" i="13"/>
  <c r="BM6" i="4"/>
  <c r="BM7" i="4"/>
  <c r="BM8" i="4"/>
  <c r="BM9" i="4"/>
  <c r="BM11" i="4"/>
  <c r="BM12" i="4"/>
  <c r="BM13" i="4"/>
  <c r="BM14" i="4"/>
  <c r="BM15" i="4"/>
  <c r="BM16" i="4"/>
  <c r="BM17" i="4"/>
  <c r="BM18" i="4"/>
  <c r="BM20" i="4"/>
  <c r="BM21" i="4"/>
  <c r="BM22" i="4"/>
  <c r="BM23" i="4"/>
  <c r="BM24" i="4"/>
  <c r="BM25" i="4"/>
  <c r="BM26" i="4"/>
  <c r="BM27" i="4"/>
  <c r="BM28" i="4"/>
  <c r="BM29" i="4"/>
  <c r="BM31" i="4"/>
  <c r="BM32" i="4"/>
  <c r="BM33" i="4"/>
  <c r="BM34" i="4"/>
  <c r="BM35" i="4"/>
  <c r="BM36" i="4"/>
  <c r="BM37" i="4"/>
  <c r="BM38" i="4"/>
  <c r="BM39" i="4"/>
  <c r="BM40" i="4"/>
  <c r="BM41" i="4"/>
  <c r="BM42" i="4"/>
  <c r="BM45" i="4"/>
  <c r="BM46" i="4"/>
  <c r="BM49" i="4"/>
  <c r="BM56" i="4"/>
  <c r="BM57" i="4"/>
  <c r="BV9" i="25"/>
  <c r="BV12" i="25"/>
  <c r="BL29" i="25"/>
  <c r="BV29" i="25" s="1"/>
  <c r="BL5" i="2"/>
  <c r="BL6" i="2"/>
  <c r="BL7" i="2"/>
  <c r="BL8" i="2"/>
  <c r="BL9" i="2"/>
  <c r="BL10" i="2"/>
  <c r="BL11" i="2"/>
  <c r="BL12" i="2"/>
  <c r="BL13" i="2"/>
  <c r="BL14" i="2"/>
  <c r="BL15" i="2"/>
  <c r="BL16" i="2"/>
  <c r="BL17" i="2"/>
  <c r="BL18" i="2"/>
  <c r="BL19" i="2"/>
  <c r="BL20" i="2"/>
  <c r="BL21" i="2"/>
  <c r="BL22" i="2"/>
  <c r="BL26" i="2"/>
  <c r="BL52" i="2"/>
  <c r="BL55" i="2"/>
  <c r="BB23" i="11"/>
  <c r="BL23" i="11" s="1"/>
  <c r="BB24" i="11"/>
  <c r="BL24" i="11" s="1"/>
  <c r="BB25" i="11"/>
  <c r="BL25" i="11" s="1"/>
  <c r="BB26" i="11"/>
  <c r="BL26" i="11" s="1"/>
  <c r="BB27" i="11"/>
  <c r="BL27" i="11" s="1"/>
  <c r="BB29" i="11"/>
  <c r="BL29" i="11" s="1"/>
  <c r="BB30" i="11"/>
  <c r="BL30" i="11" s="1"/>
  <c r="BB31" i="11"/>
  <c r="BL31" i="11" s="1"/>
  <c r="BB36" i="11"/>
  <c r="BB37" i="11"/>
  <c r="BB38" i="11"/>
  <c r="BB39" i="11"/>
  <c r="BB40" i="11"/>
  <c r="BB41" i="11"/>
  <c r="BB43" i="11"/>
  <c r="BB44" i="11"/>
  <c r="BB45" i="11"/>
  <c r="BB50" i="11"/>
  <c r="BB51" i="11"/>
  <c r="BB52" i="11"/>
  <c r="BB54" i="11"/>
  <c r="BB55" i="11"/>
  <c r="BB62" i="11"/>
  <c r="BB63" i="11"/>
  <c r="BB64" i="11"/>
  <c r="BB65" i="11"/>
  <c r="BB66" i="11"/>
  <c r="BB67" i="11"/>
  <c r="BB68" i="11"/>
  <c r="BB69" i="11"/>
  <c r="BB70" i="11"/>
  <c r="BB71" i="11"/>
  <c r="BB75" i="11"/>
  <c r="BB77" i="11"/>
  <c r="BB78" i="11"/>
  <c r="BB79" i="11"/>
  <c r="BB80" i="11"/>
  <c r="BB81" i="11"/>
  <c r="BB82" i="11"/>
  <c r="BB83" i="11"/>
  <c r="BB48" i="1"/>
  <c r="BB49" i="1"/>
  <c r="BB50" i="1"/>
  <c r="BB51" i="1"/>
  <c r="BB52" i="1"/>
  <c r="BB53" i="1"/>
  <c r="BB54" i="1"/>
  <c r="BB56" i="1"/>
  <c r="BB57" i="1"/>
  <c r="BB58" i="1"/>
  <c r="BB59" i="1"/>
  <c r="BB32" i="1"/>
  <c r="BB33" i="1"/>
  <c r="BB34" i="1"/>
  <c r="BB35" i="1"/>
  <c r="BB37" i="1"/>
  <c r="BB38" i="1"/>
  <c r="BB39" i="1"/>
  <c r="BB44" i="1"/>
  <c r="BB42" i="1"/>
  <c r="BB43" i="1"/>
  <c r="BB9" i="1"/>
  <c r="BB10" i="1"/>
  <c r="BB11" i="1"/>
  <c r="BB12" i="1"/>
  <c r="BB14" i="1"/>
  <c r="BB15" i="1"/>
  <c r="BB16" i="1"/>
  <c r="BB17" i="1"/>
  <c r="BB18" i="1"/>
  <c r="BB19" i="1"/>
  <c r="BB20" i="1"/>
  <c r="BB21" i="1"/>
  <c r="BB22" i="1"/>
  <c r="BB23" i="1"/>
  <c r="AH104" i="13" s="1"/>
  <c r="BB25" i="1"/>
  <c r="AH105" i="13" s="1"/>
  <c r="BK55" i="2"/>
  <c r="AS48" i="13" l="1"/>
  <c r="AR51" i="13"/>
  <c r="AQ52" i="13"/>
  <c r="AR29" i="13"/>
  <c r="AU140" i="13"/>
  <c r="AV128" i="13"/>
  <c r="AT241" i="13"/>
  <c r="AR162" i="13"/>
  <c r="AR199" i="13"/>
  <c r="AR164" i="13"/>
  <c r="AQ31" i="19"/>
  <c r="AI245" i="13"/>
  <c r="AI142" i="13" s="1"/>
  <c r="AH185" i="13"/>
  <c r="AH13" i="13"/>
  <c r="AP191" i="13"/>
  <c r="AI176" i="13"/>
  <c r="AI188" i="13"/>
  <c r="AH106" i="13"/>
  <c r="AI251" i="13"/>
  <c r="AI262" i="13" s="1"/>
  <c r="AP44" i="19" s="1"/>
  <c r="AH216" i="13"/>
  <c r="AO16" i="19" s="1"/>
  <c r="AP19" i="19"/>
  <c r="AI231" i="13"/>
  <c r="AI52" i="13"/>
  <c r="BV17" i="25"/>
  <c r="AT89" i="1"/>
  <c r="BC69" i="1"/>
  <c r="AP4" i="19"/>
  <c r="BC65" i="1"/>
  <c r="BC66" i="1" s="1"/>
  <c r="AU89" i="1"/>
  <c r="BM32" i="25"/>
  <c r="BC70" i="1"/>
  <c r="BC86" i="11"/>
  <c r="AP57" i="19"/>
  <c r="BL21" i="11"/>
  <c r="AP58" i="19"/>
  <c r="BM80" i="2"/>
  <c r="AP59" i="19"/>
  <c r="BC78" i="1"/>
  <c r="AQ162" i="13"/>
  <c r="G14" i="30"/>
  <c r="F12" i="30"/>
  <c r="AI186" i="13"/>
  <c r="AI187" i="13" s="1"/>
  <c r="H21" i="29"/>
  <c r="A22" i="29" s="1"/>
  <c r="C22" i="29" s="1"/>
  <c r="H21" i="28"/>
  <c r="A22" i="28" s="1"/>
  <c r="C22" i="28" s="1"/>
  <c r="BI4" i="27"/>
  <c r="BI7" i="27" s="1"/>
  <c r="BH7" i="27"/>
  <c r="AO30" i="19"/>
  <c r="AP31" i="19" s="1"/>
  <c r="AI237" i="13"/>
  <c r="AO32" i="19"/>
  <c r="AO29" i="19"/>
  <c r="AH175" i="13"/>
  <c r="AH228" i="13"/>
  <c r="BB47" i="11"/>
  <c r="BB72" i="1" s="1"/>
  <c r="AO54" i="19"/>
  <c r="BB33" i="11"/>
  <c r="BB74" i="1" s="1"/>
  <c r="BL78" i="2"/>
  <c r="BB29" i="1"/>
  <c r="BB30" i="1" s="1"/>
  <c r="AO56" i="19"/>
  <c r="AO55" i="19"/>
  <c r="AH240" i="13"/>
  <c r="BL30" i="25"/>
  <c r="BM58" i="4"/>
  <c r="BM60" i="4" s="1"/>
  <c r="AH96" i="13" s="1"/>
  <c r="BB59" i="11"/>
  <c r="BB45" i="1"/>
  <c r="AO52" i="19"/>
  <c r="BB84" i="11"/>
  <c r="BB76" i="1" s="1"/>
  <c r="BB64" i="1"/>
  <c r="BL38" i="2"/>
  <c r="AH241" i="13"/>
  <c r="BF128" i="13"/>
  <c r="BF127" i="13"/>
  <c r="AG94" i="13"/>
  <c r="AG158" i="13"/>
  <c r="AG163" i="13"/>
  <c r="AG166" i="13"/>
  <c r="AG167" i="13"/>
  <c r="AG173" i="13"/>
  <c r="AG174" i="13"/>
  <c r="AG178" i="13"/>
  <c r="AG179" i="13"/>
  <c r="AG191" i="13"/>
  <c r="AG193" i="13"/>
  <c r="AG194" i="13"/>
  <c r="AG195" i="13"/>
  <c r="AG196" i="13"/>
  <c r="AG197" i="13"/>
  <c r="AG198" i="13"/>
  <c r="AG205" i="13"/>
  <c r="AG212" i="13"/>
  <c r="AH259" i="13" s="1"/>
  <c r="AG214" i="13"/>
  <c r="AH260" i="13" s="1"/>
  <c r="AG221" i="13"/>
  <c r="AG224" i="13"/>
  <c r="AG225" i="13"/>
  <c r="AG226" i="13"/>
  <c r="AG227" i="13"/>
  <c r="CA58" i="4"/>
  <c r="CA60" i="4" s="1"/>
  <c r="BZ58" i="4"/>
  <c r="BZ60" i="4" s="1"/>
  <c r="BY58" i="4"/>
  <c r="BY60" i="4" s="1"/>
  <c r="BX58" i="4"/>
  <c r="BX60" i="4" s="1"/>
  <c r="BJ58" i="4"/>
  <c r="BI58" i="4"/>
  <c r="BH58" i="4"/>
  <c r="BG58" i="4"/>
  <c r="BF58" i="4"/>
  <c r="BE58" i="4"/>
  <c r="BD58" i="4"/>
  <c r="BC58" i="4"/>
  <c r="BB58" i="4"/>
  <c r="BA58" i="4"/>
  <c r="AZ58" i="4"/>
  <c r="AY58" i="4"/>
  <c r="BL57" i="4"/>
  <c r="BK57" i="4"/>
  <c r="BL56" i="4"/>
  <c r="BK56" i="4"/>
  <c r="BL49" i="4"/>
  <c r="BK49" i="4"/>
  <c r="BL46" i="4"/>
  <c r="BK46" i="4"/>
  <c r="BL45" i="4"/>
  <c r="BK45" i="4"/>
  <c r="BK44" i="4"/>
  <c r="BW44" i="4" s="1"/>
  <c r="BK43" i="4"/>
  <c r="BW43" i="4" s="1"/>
  <c r="BL42" i="4"/>
  <c r="BK42" i="4"/>
  <c r="BL41" i="4"/>
  <c r="BK41" i="4"/>
  <c r="BL40" i="4"/>
  <c r="BK40" i="4"/>
  <c r="BL39" i="4"/>
  <c r="BK39" i="4"/>
  <c r="BL38" i="4"/>
  <c r="BK38" i="4"/>
  <c r="BL37" i="4"/>
  <c r="BK37" i="4"/>
  <c r="BL36" i="4"/>
  <c r="BK36" i="4"/>
  <c r="BW36" i="4" s="1"/>
  <c r="BL35" i="4"/>
  <c r="BK35" i="4"/>
  <c r="BL34" i="4"/>
  <c r="BK34" i="4"/>
  <c r="BL33" i="4"/>
  <c r="BK33" i="4"/>
  <c r="BL32" i="4"/>
  <c r="BK32" i="4"/>
  <c r="BL31" i="4"/>
  <c r="BK31" i="4"/>
  <c r="BL29" i="4"/>
  <c r="BK29" i="4"/>
  <c r="BL28" i="4"/>
  <c r="BK28" i="4"/>
  <c r="BL27" i="4"/>
  <c r="BK27" i="4"/>
  <c r="BL26" i="4"/>
  <c r="BK26" i="4"/>
  <c r="BL25" i="4"/>
  <c r="BK25" i="4"/>
  <c r="BL24" i="4"/>
  <c r="BK24" i="4"/>
  <c r="BL23" i="4"/>
  <c r="BK23" i="4"/>
  <c r="BL22" i="4"/>
  <c r="BK22" i="4"/>
  <c r="BL21" i="4"/>
  <c r="BK21" i="4"/>
  <c r="BL20" i="4"/>
  <c r="BK20" i="4"/>
  <c r="BK19" i="4"/>
  <c r="BW19" i="4" s="1"/>
  <c r="BL18" i="4"/>
  <c r="BK18" i="4"/>
  <c r="BL17" i="4"/>
  <c r="BK17" i="4"/>
  <c r="BL16" i="4"/>
  <c r="BK16" i="4"/>
  <c r="BW16" i="4" s="1"/>
  <c r="BL15" i="4"/>
  <c r="BK15" i="4"/>
  <c r="BL14" i="4"/>
  <c r="BK14" i="4"/>
  <c r="BL13" i="4"/>
  <c r="BK13" i="4"/>
  <c r="BL12" i="4"/>
  <c r="BK12" i="4"/>
  <c r="BL11" i="4"/>
  <c r="BK11" i="4"/>
  <c r="BL9" i="4"/>
  <c r="BK9" i="4"/>
  <c r="BL8" i="4"/>
  <c r="BK8" i="4"/>
  <c r="BL7" i="4"/>
  <c r="BK7" i="4"/>
  <c r="CB58" i="4"/>
  <c r="CB60" i="4" s="1"/>
  <c r="BL6" i="4"/>
  <c r="BK6" i="4"/>
  <c r="BH32" i="25"/>
  <c r="BG32" i="25"/>
  <c r="BF32" i="25"/>
  <c r="BE32" i="25"/>
  <c r="BD32" i="25"/>
  <c r="BC32" i="25"/>
  <c r="BB32" i="25"/>
  <c r="BA32" i="25"/>
  <c r="AZ32" i="25"/>
  <c r="AY32" i="25"/>
  <c r="AX32" i="25"/>
  <c r="BW30" i="25"/>
  <c r="BI30" i="25"/>
  <c r="BK30" i="25"/>
  <c r="BW78" i="2"/>
  <c r="BI78" i="2"/>
  <c r="BH78" i="2"/>
  <c r="BG78" i="2"/>
  <c r="BF78" i="2"/>
  <c r="BE78" i="2"/>
  <c r="BD78" i="2"/>
  <c r="BC78" i="2"/>
  <c r="BB78" i="2"/>
  <c r="BA78" i="2"/>
  <c r="AZ78" i="2"/>
  <c r="AY78" i="2"/>
  <c r="AX78" i="2"/>
  <c r="BV59" i="2"/>
  <c r="BJ55" i="2"/>
  <c r="BV55" i="2" s="1"/>
  <c r="BW52" i="2"/>
  <c r="BK52" i="2"/>
  <c r="BJ52" i="2"/>
  <c r="BI52" i="2"/>
  <c r="BH52" i="2"/>
  <c r="BG52" i="2"/>
  <c r="BF52" i="2"/>
  <c r="BE52" i="2"/>
  <c r="BD52" i="2"/>
  <c r="BC52" i="2"/>
  <c r="BB52" i="2"/>
  <c r="BA52" i="2"/>
  <c r="AZ52" i="2"/>
  <c r="AY52" i="2"/>
  <c r="AX52" i="2"/>
  <c r="BX52" i="2"/>
  <c r="BV52" i="2"/>
  <c r="BW38" i="2"/>
  <c r="BI38" i="2"/>
  <c r="BH38" i="2"/>
  <c r="BG38" i="2"/>
  <c r="BF38" i="2"/>
  <c r="BE38" i="2"/>
  <c r="BD38" i="2"/>
  <c r="BC38" i="2"/>
  <c r="BB38" i="2"/>
  <c r="BA38" i="2"/>
  <c r="AZ38" i="2"/>
  <c r="AY38" i="2"/>
  <c r="AX38" i="2"/>
  <c r="BK26" i="2"/>
  <c r="BJ26" i="2"/>
  <c r="BK22" i="2"/>
  <c r="BJ22" i="2"/>
  <c r="BK21" i="2"/>
  <c r="BJ21" i="2"/>
  <c r="BK20" i="2"/>
  <c r="BJ20" i="2"/>
  <c r="BK19" i="2"/>
  <c r="BJ19" i="2"/>
  <c r="BK18" i="2"/>
  <c r="BJ18" i="2"/>
  <c r="BK17" i="2"/>
  <c r="BJ17" i="2"/>
  <c r="BK16" i="2"/>
  <c r="BJ16" i="2"/>
  <c r="BK15" i="2"/>
  <c r="BJ15" i="2"/>
  <c r="BK14" i="2"/>
  <c r="BJ14" i="2"/>
  <c r="BK13" i="2"/>
  <c r="BJ13" i="2"/>
  <c r="BK12" i="2"/>
  <c r="BJ12" i="2"/>
  <c r="BK11" i="2"/>
  <c r="BJ11" i="2"/>
  <c r="BK10" i="2"/>
  <c r="BJ10" i="2"/>
  <c r="BK9" i="2"/>
  <c r="BJ9" i="2"/>
  <c r="BK8" i="2"/>
  <c r="BJ8" i="2"/>
  <c r="BK7" i="2"/>
  <c r="BJ7" i="2"/>
  <c r="BK6" i="2"/>
  <c r="BJ6" i="2"/>
  <c r="BK5" i="2"/>
  <c r="BJ5" i="2"/>
  <c r="AY84" i="11"/>
  <c r="AX84" i="11"/>
  <c r="AW84" i="11"/>
  <c r="AV84" i="11"/>
  <c r="AU84" i="11"/>
  <c r="AT84" i="11"/>
  <c r="AS84" i="11"/>
  <c r="AR84" i="11"/>
  <c r="AQ84" i="11"/>
  <c r="AP84" i="11"/>
  <c r="AO84" i="11"/>
  <c r="AN84" i="11"/>
  <c r="BA83" i="11"/>
  <c r="AZ83" i="11"/>
  <c r="BA82" i="11"/>
  <c r="AZ82" i="11"/>
  <c r="BA81" i="11"/>
  <c r="AZ81" i="11"/>
  <c r="BA80" i="11"/>
  <c r="AZ80" i="11"/>
  <c r="BA79" i="11"/>
  <c r="AZ79" i="11"/>
  <c r="BA78" i="11"/>
  <c r="AZ78" i="11"/>
  <c r="BA77" i="11"/>
  <c r="AZ77" i="11"/>
  <c r="BA75" i="11"/>
  <c r="AZ75" i="11"/>
  <c r="BA71" i="11"/>
  <c r="AZ71" i="11"/>
  <c r="BA70" i="11"/>
  <c r="AZ70" i="11"/>
  <c r="BA69" i="11"/>
  <c r="AZ69" i="11"/>
  <c r="BA68" i="11"/>
  <c r="AZ68" i="11"/>
  <c r="BA67" i="11"/>
  <c r="AZ67" i="11"/>
  <c r="BA66" i="11"/>
  <c r="AZ66" i="11"/>
  <c r="BA65" i="11"/>
  <c r="AZ65" i="11"/>
  <c r="BA64" i="11"/>
  <c r="AZ64" i="11"/>
  <c r="BA63" i="11"/>
  <c r="AZ63" i="11"/>
  <c r="BA62" i="11"/>
  <c r="AZ62" i="11"/>
  <c r="AY59" i="11"/>
  <c r="AX59" i="11"/>
  <c r="AW59" i="11"/>
  <c r="AV59" i="11"/>
  <c r="AU59" i="11"/>
  <c r="AT59" i="11"/>
  <c r="AS59" i="11"/>
  <c r="AR59" i="11"/>
  <c r="AQ59" i="11"/>
  <c r="AP59" i="11"/>
  <c r="AO59" i="11"/>
  <c r="AN59" i="11"/>
  <c r="BA55" i="11"/>
  <c r="AZ55" i="11"/>
  <c r="BA54" i="11"/>
  <c r="AZ54" i="11"/>
  <c r="BA52" i="11"/>
  <c r="AZ52" i="11"/>
  <c r="BA51" i="11"/>
  <c r="AZ51" i="11"/>
  <c r="BM59" i="11"/>
  <c r="BA50" i="11"/>
  <c r="AZ50" i="11"/>
  <c r="AY47" i="11"/>
  <c r="AX47" i="11"/>
  <c r="AW47" i="11"/>
  <c r="AV47" i="11"/>
  <c r="AU47" i="11"/>
  <c r="AT47" i="11"/>
  <c r="AS47" i="11"/>
  <c r="AR47" i="11"/>
  <c r="AQ47" i="11"/>
  <c r="AP47" i="11"/>
  <c r="AO47" i="11"/>
  <c r="AN47" i="11"/>
  <c r="BA45" i="11"/>
  <c r="AZ45" i="11"/>
  <c r="BA44" i="11"/>
  <c r="AZ44" i="11"/>
  <c r="BA43" i="11"/>
  <c r="AZ43" i="11"/>
  <c r="BA41" i="11"/>
  <c r="AZ41" i="11"/>
  <c r="BA40" i="11"/>
  <c r="AZ40" i="11"/>
  <c r="BA39" i="11"/>
  <c r="AZ39" i="11"/>
  <c r="BA38" i="11"/>
  <c r="AZ38" i="11"/>
  <c r="BA37" i="11"/>
  <c r="AZ37" i="11"/>
  <c r="BA36" i="11"/>
  <c r="AZ36" i="11"/>
  <c r="AY33" i="11"/>
  <c r="AX33" i="11"/>
  <c r="AW33" i="11"/>
  <c r="AV33" i="11"/>
  <c r="AU33" i="11"/>
  <c r="AT33" i="11"/>
  <c r="AS33" i="11"/>
  <c r="AR33" i="11"/>
  <c r="AQ33" i="11"/>
  <c r="AP33" i="11"/>
  <c r="AO33" i="11"/>
  <c r="AN33" i="11"/>
  <c r="BA18" i="11"/>
  <c r="AZ18" i="11"/>
  <c r="BL17" i="11"/>
  <c r="BL16" i="11"/>
  <c r="BL15" i="11"/>
  <c r="BL14" i="11"/>
  <c r="BL13" i="11"/>
  <c r="BL12" i="11"/>
  <c r="BL11" i="11"/>
  <c r="BL10" i="11"/>
  <c r="BL9" i="11"/>
  <c r="BL8" i="11"/>
  <c r="BL7" i="11"/>
  <c r="BL6" i="11"/>
  <c r="BL5" i="11"/>
  <c r="AT48" i="13" l="1"/>
  <c r="AS51" i="13"/>
  <c r="AR53" i="13"/>
  <c r="AR52" i="13"/>
  <c r="AS29" i="13"/>
  <c r="AQ191" i="13"/>
  <c r="AR191" i="13"/>
  <c r="AS191" i="13" s="1"/>
  <c r="AS162" i="13"/>
  <c r="AS199" i="13"/>
  <c r="AS164" i="13"/>
  <c r="AS52" i="13"/>
  <c r="AR147" i="13"/>
  <c r="AR143" i="13"/>
  <c r="AR139" i="13"/>
  <c r="AR141" i="13"/>
  <c r="AV140" i="13"/>
  <c r="AW128" i="13"/>
  <c r="AU241" i="13"/>
  <c r="BW25" i="4"/>
  <c r="BL55" i="11"/>
  <c r="BV10" i="2"/>
  <c r="BW11" i="4"/>
  <c r="BL45" i="11"/>
  <c r="BL64" i="11"/>
  <c r="BW27" i="4"/>
  <c r="BL77" i="11"/>
  <c r="AG185" i="13"/>
  <c r="AI247" i="13"/>
  <c r="AP43" i="19" s="1"/>
  <c r="AH176" i="13"/>
  <c r="AH188" i="13"/>
  <c r="AH251" i="13"/>
  <c r="AH262" i="13" s="1"/>
  <c r="AO44" i="19" s="1"/>
  <c r="AG216" i="13"/>
  <c r="AN16" i="19" s="1"/>
  <c r="AI143" i="13"/>
  <c r="AO19" i="19"/>
  <c r="AH231" i="13"/>
  <c r="AI78" i="13"/>
  <c r="AI80" i="13" s="1"/>
  <c r="BL65" i="11"/>
  <c r="BW8" i="4"/>
  <c r="BW15" i="4"/>
  <c r="BV22" i="2"/>
  <c r="BW38" i="4"/>
  <c r="BW57" i="4"/>
  <c r="BW29" i="4"/>
  <c r="BW40" i="4"/>
  <c r="BV7" i="2"/>
  <c r="BW9" i="4"/>
  <c r="BW13" i="4"/>
  <c r="BL52" i="11"/>
  <c r="BL69" i="11"/>
  <c r="BL83" i="11"/>
  <c r="BW49" i="4"/>
  <c r="BV12" i="2"/>
  <c r="BL54" i="11"/>
  <c r="BL81" i="11"/>
  <c r="BW20" i="4"/>
  <c r="BW31" i="4"/>
  <c r="BW41" i="4"/>
  <c r="BL40" i="11"/>
  <c r="BW22" i="4"/>
  <c r="BW33" i="4"/>
  <c r="BL70" i="11"/>
  <c r="BW23" i="4"/>
  <c r="BW34" i="4"/>
  <c r="BW45" i="4"/>
  <c r="BW24" i="4"/>
  <c r="BW35" i="4"/>
  <c r="BW46" i="4"/>
  <c r="BL63" i="11"/>
  <c r="BV20" i="2"/>
  <c r="BL67" i="11"/>
  <c r="BL51" i="11"/>
  <c r="BL62" i="11"/>
  <c r="BL75" i="11"/>
  <c r="BW14" i="4"/>
  <c r="BW12" i="4"/>
  <c r="BW6" i="4"/>
  <c r="BL78" i="11"/>
  <c r="BL79" i="11"/>
  <c r="BV14" i="2"/>
  <c r="BW17" i="4"/>
  <c r="BL36" i="11"/>
  <c r="BW28" i="4"/>
  <c r="BW39" i="4"/>
  <c r="BL66" i="11"/>
  <c r="BL80" i="11"/>
  <c r="BV5" i="2"/>
  <c r="BV15" i="2"/>
  <c r="BW7" i="4"/>
  <c r="BW18" i="4"/>
  <c r="BW26" i="4"/>
  <c r="BW37" i="4"/>
  <c r="BW56" i="4"/>
  <c r="BW21" i="4"/>
  <c r="BW32" i="4"/>
  <c r="BW42" i="4"/>
  <c r="AI87" i="13"/>
  <c r="BV11" i="2"/>
  <c r="BV21" i="2"/>
  <c r="BV17" i="2"/>
  <c r="BV13" i="2"/>
  <c r="BV26" i="2"/>
  <c r="BV8" i="2"/>
  <c r="BV18" i="2"/>
  <c r="BV9" i="2"/>
  <c r="BV19" i="2"/>
  <c r="BV6" i="2"/>
  <c r="BV16" i="2"/>
  <c r="BG80" i="2"/>
  <c r="AU90" i="1"/>
  <c r="BL37" i="11"/>
  <c r="AI139" i="13"/>
  <c r="BL68" i="11"/>
  <c r="BL82" i="11"/>
  <c r="BL39" i="11"/>
  <c r="BL41" i="11"/>
  <c r="BL50" i="11"/>
  <c r="BL71" i="11"/>
  <c r="BL43" i="11"/>
  <c r="BV56" i="2"/>
  <c r="BL38" i="11"/>
  <c r="BL44" i="11"/>
  <c r="AP51" i="19"/>
  <c r="AI147" i="13"/>
  <c r="AI11" i="13"/>
  <c r="AP35" i="19" s="1"/>
  <c r="BW32" i="25"/>
  <c r="AY80" i="2"/>
  <c r="AR86" i="11"/>
  <c r="BV62" i="2"/>
  <c r="BV63" i="2"/>
  <c r="BV61" i="2"/>
  <c r="BV67" i="2"/>
  <c r="AI141" i="13"/>
  <c r="BV60" i="2"/>
  <c r="BV65" i="2"/>
  <c r="BV66" i="2"/>
  <c r="BF162" i="13"/>
  <c r="BF199" i="13"/>
  <c r="B22" i="29"/>
  <c r="D22" i="29" s="1"/>
  <c r="G22" i="29" s="1"/>
  <c r="B22" i="28"/>
  <c r="D22" i="28" s="1"/>
  <c r="BC80" i="2"/>
  <c r="AX80" i="2"/>
  <c r="BF80" i="2"/>
  <c r="AQ86" i="11"/>
  <c r="AY86" i="11"/>
  <c r="AS86" i="11"/>
  <c r="AU86" i="11"/>
  <c r="AN86" i="11"/>
  <c r="AH245" i="13"/>
  <c r="AH247" i="13" s="1"/>
  <c r="AO43" i="19" s="1"/>
  <c r="AH186" i="13"/>
  <c r="AH187" i="13" s="1"/>
  <c r="BL32" i="25"/>
  <c r="BB86" i="11"/>
  <c r="AO58" i="19"/>
  <c r="BB65" i="1"/>
  <c r="BB78" i="1"/>
  <c r="BB70" i="1"/>
  <c r="AO57" i="19"/>
  <c r="BL80" i="2"/>
  <c r="AO59" i="19"/>
  <c r="BB69" i="1"/>
  <c r="BI32" i="25"/>
  <c r="BX30" i="25"/>
  <c r="AZ80" i="2"/>
  <c r="BH80" i="2"/>
  <c r="BX38" i="2"/>
  <c r="BA80" i="2"/>
  <c r="BI80" i="2"/>
  <c r="BB80" i="2"/>
  <c r="BW80" i="2"/>
  <c r="BX78" i="2"/>
  <c r="BD80" i="2"/>
  <c r="BE80" i="2"/>
  <c r="BL18" i="11"/>
  <c r="AV86" i="11"/>
  <c r="BM18" i="11"/>
  <c r="AT86" i="11"/>
  <c r="BM47" i="11"/>
  <c r="BM84" i="11"/>
  <c r="AO86" i="11"/>
  <c r="AW86" i="11"/>
  <c r="BM33" i="11"/>
  <c r="AP86" i="11"/>
  <c r="AX86" i="11"/>
  <c r="AN32" i="19"/>
  <c r="BA47" i="11"/>
  <c r="BA72" i="1" s="1"/>
  <c r="AN55" i="19"/>
  <c r="BK78" i="2"/>
  <c r="AN57" i="19"/>
  <c r="BA33" i="11"/>
  <c r="BA74" i="1" s="1"/>
  <c r="AN54" i="19"/>
  <c r="AZ47" i="11"/>
  <c r="BJ38" i="2"/>
  <c r="AZ59" i="11"/>
  <c r="BL58" i="4"/>
  <c r="BL60" i="4" s="1"/>
  <c r="AG96" i="13" s="1"/>
  <c r="AN58" i="19"/>
  <c r="AN52" i="19"/>
  <c r="AN59" i="19"/>
  <c r="BA59" i="11"/>
  <c r="AN56" i="19"/>
  <c r="AZ33" i="11"/>
  <c r="BA84" i="11"/>
  <c r="BA76" i="1" s="1"/>
  <c r="AG138" i="13"/>
  <c r="AG240" i="13" s="1"/>
  <c r="AG140" i="13"/>
  <c r="AN14" i="19"/>
  <c r="AG228" i="13"/>
  <c r="AG231" i="13" s="1"/>
  <c r="AN33" i="19"/>
  <c r="BK58" i="4"/>
  <c r="BK60" i="4" s="1"/>
  <c r="BJ30" i="25"/>
  <c r="BV30" i="25" s="1"/>
  <c r="BK38" i="2"/>
  <c r="BJ78" i="2"/>
  <c r="AZ84" i="11"/>
  <c r="AU48" i="13" l="1"/>
  <c r="AT51" i="13"/>
  <c r="AT29" i="13"/>
  <c r="AT199" i="13"/>
  <c r="AT162" i="13"/>
  <c r="AT164" i="13"/>
  <c r="AT52" i="13"/>
  <c r="AT191" i="13"/>
  <c r="AV241" i="13"/>
  <c r="AU191" i="13"/>
  <c r="AW140" i="13"/>
  <c r="AX128" i="13"/>
  <c r="AS147" i="13"/>
  <c r="AS143" i="13"/>
  <c r="AS139" i="13"/>
  <c r="AS141" i="13"/>
  <c r="AH139" i="13"/>
  <c r="AH52" i="13"/>
  <c r="AI101" i="13"/>
  <c r="AI12" i="13"/>
  <c r="AP36" i="19" s="1"/>
  <c r="BX80" i="2"/>
  <c r="AI15" i="13"/>
  <c r="AP39" i="19" s="1"/>
  <c r="AI14" i="13"/>
  <c r="AP38" i="19" s="1"/>
  <c r="AP5" i="19"/>
  <c r="E22" i="29"/>
  <c r="F22" i="29"/>
  <c r="H22" i="29" s="1"/>
  <c r="A23" i="29" s="1"/>
  <c r="C23" i="29" s="1"/>
  <c r="I22" i="29"/>
  <c r="G22" i="28"/>
  <c r="F22" i="28"/>
  <c r="I22" i="28"/>
  <c r="E22" i="28"/>
  <c r="AI6" i="13"/>
  <c r="AI79" i="13"/>
  <c r="AP6" i="19" s="1"/>
  <c r="AH142" i="13"/>
  <c r="AH143" i="13" s="1"/>
  <c r="AH87" i="13"/>
  <c r="AH147" i="13"/>
  <c r="AH141" i="13"/>
  <c r="AO4" i="19"/>
  <c r="AH11" i="13"/>
  <c r="BM86" i="11"/>
  <c r="BX32" i="25"/>
  <c r="BV78" i="2"/>
  <c r="BV38" i="2"/>
  <c r="AZ86" i="11"/>
  <c r="BJ80" i="2"/>
  <c r="BL84" i="11"/>
  <c r="BL33" i="11"/>
  <c r="BL47" i="11"/>
  <c r="BW58" i="4"/>
  <c r="BW60" i="4" s="1"/>
  <c r="BL59" i="11"/>
  <c r="BK32" i="25"/>
  <c r="BA70" i="1"/>
  <c r="BK80" i="2"/>
  <c r="BA86" i="11"/>
  <c r="BA78" i="1"/>
  <c r="AG241" i="13"/>
  <c r="AN19" i="19"/>
  <c r="BJ32" i="25"/>
  <c r="AV48" i="13" l="1"/>
  <c r="AU51" i="13"/>
  <c r="AU29" i="13"/>
  <c r="AV162" i="13"/>
  <c r="AV199" i="13"/>
  <c r="AV164" i="13"/>
  <c r="AW241" i="13"/>
  <c r="AT147" i="13"/>
  <c r="AT143" i="13"/>
  <c r="AT139" i="13"/>
  <c r="AT141" i="13"/>
  <c r="AX140" i="13"/>
  <c r="AY128" i="13"/>
  <c r="AU162" i="13"/>
  <c r="AU199" i="13"/>
  <c r="AU164" i="13"/>
  <c r="AU52" i="13"/>
  <c r="AV191" i="13"/>
  <c r="AI115" i="13"/>
  <c r="AP8" i="19" s="1"/>
  <c r="AI102" i="13"/>
  <c r="BV32" i="25"/>
  <c r="AP37" i="19"/>
  <c r="AI16" i="13"/>
  <c r="AP40" i="19" s="1"/>
  <c r="AG87" i="13"/>
  <c r="AO35" i="19"/>
  <c r="AP7" i="19"/>
  <c r="B23" i="29"/>
  <c r="D23" i="29" s="1"/>
  <c r="H22" i="28"/>
  <c r="A23" i="28" s="1"/>
  <c r="C23" i="28" s="1"/>
  <c r="J23" i="28" s="1"/>
  <c r="J23" i="29"/>
  <c r="AI7" i="13"/>
  <c r="BC75" i="1"/>
  <c r="BC79" i="1"/>
  <c r="BB77" i="1"/>
  <c r="BC77" i="1"/>
  <c r="BB71" i="1"/>
  <c r="BC71" i="1"/>
  <c r="BB73" i="1"/>
  <c r="BC73" i="1"/>
  <c r="AH12" i="13"/>
  <c r="AO36" i="19" s="1"/>
  <c r="AO51" i="19"/>
  <c r="AH78" i="13"/>
  <c r="AH80" i="13" s="1"/>
  <c r="AH15" i="13"/>
  <c r="BB75" i="1"/>
  <c r="BB79" i="1"/>
  <c r="BV80" i="2"/>
  <c r="BL86" i="11"/>
  <c r="AV90" i="1"/>
  <c r="AY81" i="1"/>
  <c r="AY80" i="1"/>
  <c r="AY79" i="1"/>
  <c r="BP78" i="1"/>
  <c r="BO78" i="1"/>
  <c r="BN78" i="1"/>
  <c r="BM78" i="1"/>
  <c r="BL78" i="1"/>
  <c r="AZ78" i="1"/>
  <c r="AY78" i="1"/>
  <c r="AX78" i="1"/>
  <c r="AY77" i="1"/>
  <c r="BP76" i="1"/>
  <c r="BO76" i="1"/>
  <c r="BO77" i="1" s="1"/>
  <c r="BN76" i="1"/>
  <c r="BN77" i="1" s="1"/>
  <c r="BM76" i="1"/>
  <c r="BM77" i="1" s="1"/>
  <c r="BL76" i="1"/>
  <c r="AZ76" i="1"/>
  <c r="AY76" i="1"/>
  <c r="AX76" i="1"/>
  <c r="AX77" i="1" s="1"/>
  <c r="AY75" i="1"/>
  <c r="BP74" i="1"/>
  <c r="BO74" i="1"/>
  <c r="BO75" i="1" s="1"/>
  <c r="BN74" i="1"/>
  <c r="BN75" i="1" s="1"/>
  <c r="BM74" i="1"/>
  <c r="BM75" i="1" s="1"/>
  <c r="BL74" i="1"/>
  <c r="AZ74" i="1"/>
  <c r="AY74" i="1"/>
  <c r="AX74" i="1"/>
  <c r="AX75" i="1" s="1"/>
  <c r="AY73" i="1"/>
  <c r="BP72" i="1"/>
  <c r="BO72" i="1"/>
  <c r="BO73" i="1" s="1"/>
  <c r="BN72" i="1"/>
  <c r="BN73" i="1" s="1"/>
  <c r="BM72" i="1"/>
  <c r="BM73" i="1" s="1"/>
  <c r="BL72" i="1"/>
  <c r="AZ72" i="1"/>
  <c r="AY72" i="1"/>
  <c r="AX72" i="1"/>
  <c r="AX73" i="1" s="1"/>
  <c r="AY71" i="1"/>
  <c r="BP70" i="1"/>
  <c r="BO70" i="1"/>
  <c r="BO71" i="1" s="1"/>
  <c r="BN70" i="1"/>
  <c r="BN71" i="1" s="1"/>
  <c r="BM70" i="1"/>
  <c r="BM71" i="1" s="1"/>
  <c r="BL70" i="1"/>
  <c r="AZ70" i="1"/>
  <c r="AY70" i="1"/>
  <c r="AX70" i="1"/>
  <c r="AX71" i="1" s="1"/>
  <c r="BO69" i="1"/>
  <c r="BN69" i="1"/>
  <c r="BM69" i="1"/>
  <c r="AY69" i="1"/>
  <c r="AX69" i="1"/>
  <c r="AZ68" i="1"/>
  <c r="BA68" i="1" s="1"/>
  <c r="BB68" i="1" s="1"/>
  <c r="BC68" i="1" s="1"/>
  <c r="BD68" i="1" s="1"/>
  <c r="BE68" i="1" s="1"/>
  <c r="BF68" i="1" s="1"/>
  <c r="AX68" i="1"/>
  <c r="AY68" i="1" s="1"/>
  <c r="BA59" i="1"/>
  <c r="AZ59" i="1"/>
  <c r="BA58" i="1"/>
  <c r="AZ58" i="1"/>
  <c r="BA57" i="1"/>
  <c r="AZ57" i="1"/>
  <c r="BA56" i="1"/>
  <c r="AZ56" i="1"/>
  <c r="BA54" i="1"/>
  <c r="AZ54" i="1"/>
  <c r="BA53" i="1"/>
  <c r="AZ53" i="1"/>
  <c r="BA52" i="1"/>
  <c r="AZ52" i="1"/>
  <c r="BA51" i="1"/>
  <c r="AZ51" i="1"/>
  <c r="BA50" i="1"/>
  <c r="AZ50" i="1"/>
  <c r="BA49" i="1"/>
  <c r="AZ49" i="1"/>
  <c r="BP64" i="1"/>
  <c r="BA48" i="1"/>
  <c r="AZ48" i="1"/>
  <c r="BA43" i="1"/>
  <c r="AZ43" i="1"/>
  <c r="BA42" i="1"/>
  <c r="AZ42" i="1"/>
  <c r="BA44" i="1"/>
  <c r="AZ44" i="1"/>
  <c r="BA39" i="1"/>
  <c r="AZ39" i="1"/>
  <c r="BA38" i="1"/>
  <c r="AZ38" i="1"/>
  <c r="BA37" i="1"/>
  <c r="AZ37" i="1"/>
  <c r="BA35" i="1"/>
  <c r="AZ35" i="1"/>
  <c r="BA34" i="1"/>
  <c r="AZ34" i="1"/>
  <c r="BA33" i="1"/>
  <c r="AZ33" i="1"/>
  <c r="BA32" i="1"/>
  <c r="AZ32" i="1"/>
  <c r="BA25" i="1"/>
  <c r="AG105" i="13" s="1"/>
  <c r="AZ25" i="1"/>
  <c r="BA23" i="1"/>
  <c r="AG104" i="13" s="1"/>
  <c r="AZ23" i="1"/>
  <c r="AF104" i="13" s="1"/>
  <c r="AR104" i="13" s="1"/>
  <c r="BA22" i="1"/>
  <c r="AZ22" i="1"/>
  <c r="BA21" i="1"/>
  <c r="AZ21" i="1"/>
  <c r="BA20" i="1"/>
  <c r="AZ20" i="1"/>
  <c r="BA19" i="1"/>
  <c r="AZ19" i="1"/>
  <c r="BA18" i="1"/>
  <c r="AZ18" i="1"/>
  <c r="BA17" i="1"/>
  <c r="AZ17" i="1"/>
  <c r="BA16" i="1"/>
  <c r="AZ16" i="1"/>
  <c r="BA15" i="1"/>
  <c r="AZ15" i="1"/>
  <c r="BA14" i="1"/>
  <c r="AZ14" i="1"/>
  <c r="BA12" i="1"/>
  <c r="AZ12" i="1"/>
  <c r="BA11" i="1"/>
  <c r="AZ11" i="1"/>
  <c r="BA10" i="1"/>
  <c r="AZ10" i="1"/>
  <c r="BA9" i="1"/>
  <c r="AZ9" i="1"/>
  <c r="AW48" i="13" l="1"/>
  <c r="AV51" i="13"/>
  <c r="AV52" i="13" s="1"/>
  <c r="AR106" i="13"/>
  <c r="AG106" i="13"/>
  <c r="AS104" i="13"/>
  <c r="AS106" i="13" s="1"/>
  <c r="AV29" i="13"/>
  <c r="AW29" i="13" s="1"/>
  <c r="AW191" i="13"/>
  <c r="AX191" i="13" s="1"/>
  <c r="AY191" i="13" s="1"/>
  <c r="AZ191" i="13" s="1"/>
  <c r="BA191" i="13" s="1"/>
  <c r="AU143" i="13"/>
  <c r="AU147" i="13"/>
  <c r="AU139" i="13"/>
  <c r="AU141" i="13"/>
  <c r="AW199" i="13"/>
  <c r="AW164" i="13"/>
  <c r="AW162" i="13"/>
  <c r="AV143" i="13"/>
  <c r="AV147" i="13"/>
  <c r="AV139" i="13"/>
  <c r="AV141" i="13"/>
  <c r="AX241" i="13"/>
  <c r="AY140" i="13"/>
  <c r="AZ128" i="13"/>
  <c r="BL52" i="1"/>
  <c r="AI117" i="13"/>
  <c r="AI134" i="13"/>
  <c r="Q228" i="24" s="1"/>
  <c r="Q230" i="24" s="1"/>
  <c r="BF104" i="13"/>
  <c r="AH101" i="13"/>
  <c r="BL44" i="1"/>
  <c r="BL14" i="1"/>
  <c r="BL25" i="1"/>
  <c r="AF105" i="13"/>
  <c r="BL58" i="1"/>
  <c r="BL18" i="1"/>
  <c r="BL59" i="1"/>
  <c r="BL53" i="1"/>
  <c r="BL23" i="1"/>
  <c r="BL43" i="1"/>
  <c r="BL9" i="1"/>
  <c r="BL57" i="1"/>
  <c r="BL32" i="1"/>
  <c r="BL21" i="1"/>
  <c r="BL37" i="1"/>
  <c r="BL54" i="1"/>
  <c r="BL51" i="1"/>
  <c r="BL50" i="1"/>
  <c r="BL16" i="1"/>
  <c r="BL33" i="1"/>
  <c r="BL38" i="1"/>
  <c r="BL35" i="1"/>
  <c r="BL19" i="1"/>
  <c r="BL20" i="1"/>
  <c r="BL39" i="1"/>
  <c r="BL22" i="1"/>
  <c r="BL56" i="1"/>
  <c r="BL48" i="1"/>
  <c r="BL15" i="1"/>
  <c r="BL49" i="1"/>
  <c r="BL12" i="1"/>
  <c r="BL10" i="1"/>
  <c r="BL11" i="1"/>
  <c r="BL42" i="1"/>
  <c r="BL17" i="1"/>
  <c r="BL34" i="1"/>
  <c r="I23" i="29"/>
  <c r="F23" i="29"/>
  <c r="E23" i="29"/>
  <c r="B23" i="28"/>
  <c r="D23" i="28" s="1"/>
  <c r="F23" i="28" s="1"/>
  <c r="G23" i="29"/>
  <c r="AI122" i="13"/>
  <c r="AI8" i="13"/>
  <c r="AI10" i="13"/>
  <c r="AI116" i="13"/>
  <c r="AP9" i="19" s="1"/>
  <c r="AI236" i="13"/>
  <c r="BC81" i="1"/>
  <c r="BC80" i="1"/>
  <c r="AH14" i="13"/>
  <c r="AO38" i="19" s="1"/>
  <c r="AO37" i="19"/>
  <c r="AO5" i="19"/>
  <c r="AH6" i="13"/>
  <c r="AH79" i="13"/>
  <c r="AO6" i="19" s="1"/>
  <c r="AH16" i="13"/>
  <c r="AO40" i="19" s="1"/>
  <c r="AO39" i="19"/>
  <c r="BB80" i="1"/>
  <c r="BB81" i="1"/>
  <c r="BP29" i="1"/>
  <c r="BP77" i="1" s="1"/>
  <c r="BN79" i="1"/>
  <c r="BN81" i="1" s="1"/>
  <c r="BO79" i="1"/>
  <c r="BO81" i="1" s="1"/>
  <c r="BP45" i="1"/>
  <c r="BP65" i="1" s="1"/>
  <c r="BM79" i="1"/>
  <c r="BM80" i="1" s="1"/>
  <c r="AX79" i="1"/>
  <c r="AX81" i="1" s="1"/>
  <c r="AG165" i="13"/>
  <c r="BA45" i="1"/>
  <c r="AZ64" i="1"/>
  <c r="BA64" i="1"/>
  <c r="BA29" i="1"/>
  <c r="BA30" i="1" s="1"/>
  <c r="AV84" i="1"/>
  <c r="AW84" i="1" s="1"/>
  <c r="AZ45" i="1"/>
  <c r="AZ29" i="1"/>
  <c r="AZ30" i="1" s="1"/>
  <c r="BP75" i="1"/>
  <c r="X86" i="13"/>
  <c r="W86" i="13"/>
  <c r="V86" i="13"/>
  <c r="U86" i="13"/>
  <c r="T86" i="13"/>
  <c r="AX48" i="13" l="1"/>
  <c r="AW51" i="13"/>
  <c r="AW52" i="13" s="1"/>
  <c r="AT104" i="13"/>
  <c r="AT106" i="13" s="1"/>
  <c r="AX29" i="13"/>
  <c r="AZ140" i="13"/>
  <c r="BA128" i="13"/>
  <c r="BB191" i="13"/>
  <c r="BC191" i="13" s="1"/>
  <c r="BG191" i="13" s="1"/>
  <c r="AY241" i="13"/>
  <c r="AW147" i="13"/>
  <c r="AW143" i="13"/>
  <c r="AW139" i="13"/>
  <c r="AW141" i="13"/>
  <c r="AF106" i="13"/>
  <c r="BF105" i="13"/>
  <c r="AN29" i="19"/>
  <c r="AG13" i="13"/>
  <c r="AP10" i="19"/>
  <c r="AI272" i="13"/>
  <c r="AH115" i="13"/>
  <c r="AH102" i="13"/>
  <c r="AG52" i="13"/>
  <c r="AZ71" i="1"/>
  <c r="BA75" i="1"/>
  <c r="BP73" i="1"/>
  <c r="BP69" i="1"/>
  <c r="BP79" i="1" s="1"/>
  <c r="BP80" i="1" s="1"/>
  <c r="H23" i="29"/>
  <c r="A24" i="29" s="1"/>
  <c r="C24" i="29" s="1"/>
  <c r="G23" i="28"/>
  <c r="H23" i="28" s="1"/>
  <c r="A24" i="28" s="1"/>
  <c r="B24" i="28" s="1"/>
  <c r="D24" i="28" s="1"/>
  <c r="I23" i="28"/>
  <c r="E23" i="28"/>
  <c r="AI135" i="13"/>
  <c r="AP11" i="19" s="1"/>
  <c r="AI136" i="13"/>
  <c r="AI137" i="13" s="1"/>
  <c r="BN80" i="1"/>
  <c r="AH237" i="13"/>
  <c r="AH7" i="13"/>
  <c r="AO7" i="19"/>
  <c r="AX80" i="1"/>
  <c r="BO80" i="1"/>
  <c r="BP71" i="1"/>
  <c r="BM81" i="1"/>
  <c r="AN30" i="19"/>
  <c r="AO31" i="19" s="1"/>
  <c r="AG175" i="13"/>
  <c r="BA69" i="1"/>
  <c r="BA79" i="1" s="1"/>
  <c r="BA80" i="1" s="1"/>
  <c r="AZ65" i="1"/>
  <c r="AV85" i="1"/>
  <c r="AW85" i="1" s="1"/>
  <c r="AZ69" i="1"/>
  <c r="AZ79" i="1" s="1"/>
  <c r="AZ75" i="1"/>
  <c r="BL29" i="1"/>
  <c r="BL71" i="1" s="1"/>
  <c r="AZ77" i="1"/>
  <c r="BA73" i="1"/>
  <c r="BA71" i="1"/>
  <c r="BA77" i="1"/>
  <c r="BL64" i="1"/>
  <c r="AV88" i="1"/>
  <c r="BL45" i="1"/>
  <c r="AZ73" i="1"/>
  <c r="AV87" i="1"/>
  <c r="AW87" i="1" s="1"/>
  <c r="AV86" i="1"/>
  <c r="AW86" i="1" s="1"/>
  <c r="BA65" i="1"/>
  <c r="AY48" i="13" l="1"/>
  <c r="AX51" i="13"/>
  <c r="AX199" i="13"/>
  <c r="AX164" i="13"/>
  <c r="AX162" i="13"/>
  <c r="AU104" i="13"/>
  <c r="AZ241" i="13"/>
  <c r="BB128" i="13"/>
  <c r="BA140" i="13"/>
  <c r="AH117" i="13"/>
  <c r="AH134" i="13"/>
  <c r="P228" i="24" s="1"/>
  <c r="P230" i="24" s="1"/>
  <c r="AF52" i="13"/>
  <c r="BF51" i="13"/>
  <c r="AG186" i="13"/>
  <c r="AG187" i="13" s="1"/>
  <c r="AG176" i="13"/>
  <c r="BP81" i="1"/>
  <c r="B24" i="29"/>
  <c r="D24" i="29" s="1"/>
  <c r="I24" i="28"/>
  <c r="C24" i="28"/>
  <c r="G24" i="28" s="1"/>
  <c r="AH10" i="13"/>
  <c r="AH122" i="13"/>
  <c r="AH116" i="13"/>
  <c r="AO9" i="19" s="1"/>
  <c r="AO8" i="19"/>
  <c r="AH236" i="13"/>
  <c r="AH232" i="13" s="1"/>
  <c r="AH8" i="13"/>
  <c r="AU91" i="1"/>
  <c r="BA81" i="1"/>
  <c r="BL75" i="1"/>
  <c r="BL73" i="1"/>
  <c r="BL77" i="1"/>
  <c r="BL65" i="1"/>
  <c r="AZ80" i="1"/>
  <c r="AZ81" i="1"/>
  <c r="AG147" i="13"/>
  <c r="AG141" i="13"/>
  <c r="AG139" i="13"/>
  <c r="AG11" i="13"/>
  <c r="AN4" i="19"/>
  <c r="BL69" i="1"/>
  <c r="BL79" i="1" s="1"/>
  <c r="BL81" i="1" s="1"/>
  <c r="AT91" i="1"/>
  <c r="AM56" i="19"/>
  <c r="AM57" i="19"/>
  <c r="AM58" i="19"/>
  <c r="AM59" i="19"/>
  <c r="AZ48" i="13" l="1"/>
  <c r="AY51" i="13"/>
  <c r="AY162" i="13"/>
  <c r="AY199" i="13"/>
  <c r="AY164" i="13"/>
  <c r="AX139" i="13"/>
  <c r="AX52" i="13"/>
  <c r="AX141" i="13"/>
  <c r="AX147" i="13"/>
  <c r="AX143" i="13"/>
  <c r="AY29" i="13"/>
  <c r="AZ29" i="13" s="1"/>
  <c r="AU106" i="13"/>
  <c r="AV104" i="13"/>
  <c r="BA241" i="13"/>
  <c r="BB140" i="13"/>
  <c r="BC128" i="13"/>
  <c r="AH272" i="13"/>
  <c r="AG15" i="13"/>
  <c r="AN39" i="19" s="1"/>
  <c r="AG78" i="13"/>
  <c r="AG80" i="13" s="1"/>
  <c r="AN37" i="19"/>
  <c r="AN35" i="19"/>
  <c r="I24" i="29"/>
  <c r="F24" i="29"/>
  <c r="E24" i="28"/>
  <c r="F24" i="28"/>
  <c r="H24" i="28" s="1"/>
  <c r="A25" i="28" s="1"/>
  <c r="B25" i="28" s="1"/>
  <c r="I25" i="28" s="1"/>
  <c r="E24" i="29"/>
  <c r="G24" i="29"/>
  <c r="AO10" i="19"/>
  <c r="AH135" i="13"/>
  <c r="AO11" i="19" s="1"/>
  <c r="AH136" i="13"/>
  <c r="AH137" i="13" s="1"/>
  <c r="AV91" i="1"/>
  <c r="AW91" i="1" s="1"/>
  <c r="AV89" i="1"/>
  <c r="AW89" i="1" s="1"/>
  <c r="BL80" i="1"/>
  <c r="AN51" i="19"/>
  <c r="AP273" i="13"/>
  <c r="AM261" i="13"/>
  <c r="AM273" i="13" s="1"/>
  <c r="AL261" i="13"/>
  <c r="AL273" i="13" s="1"/>
  <c r="AQ260" i="13"/>
  <c r="AP260" i="13"/>
  <c r="AO260" i="13"/>
  <c r="AM260" i="13"/>
  <c r="AL260" i="13"/>
  <c r="AK260" i="13"/>
  <c r="AQ251" i="13"/>
  <c r="AP251" i="13"/>
  <c r="AO251" i="13"/>
  <c r="AM251" i="13"/>
  <c r="AL251" i="13"/>
  <c r="AK251" i="13"/>
  <c r="BF221" i="13"/>
  <c r="BF146" i="13"/>
  <c r="AY52" i="13" l="1"/>
  <c r="AY143" i="13"/>
  <c r="AY147" i="13"/>
  <c r="AY141" i="13"/>
  <c r="AY139" i="13"/>
  <c r="BA48" i="13"/>
  <c r="AZ51" i="13"/>
  <c r="AZ162" i="13"/>
  <c r="AZ164" i="13"/>
  <c r="AZ199" i="13"/>
  <c r="AV106" i="13"/>
  <c r="AW104" i="13"/>
  <c r="BC140" i="13"/>
  <c r="BG140" i="13" s="1"/>
  <c r="BG128" i="13"/>
  <c r="BC241" i="13"/>
  <c r="BB241" i="13"/>
  <c r="AG101" i="13"/>
  <c r="AN7" i="19" s="1"/>
  <c r="AG79" i="13"/>
  <c r="AN6" i="19" s="1"/>
  <c r="AN5" i="19"/>
  <c r="H24" i="29"/>
  <c r="A25" i="29" s="1"/>
  <c r="C25" i="29" s="1"/>
  <c r="D25" i="28"/>
  <c r="C25" i="28"/>
  <c r="BF263" i="13"/>
  <c r="BF258" i="13"/>
  <c r="BF257" i="13"/>
  <c r="BF250" i="13"/>
  <c r="BF249" i="13"/>
  <c r="BF248" i="13"/>
  <c r="BF244" i="13"/>
  <c r="BF243" i="13"/>
  <c r="BF239" i="13"/>
  <c r="BF225" i="13"/>
  <c r="BF224" i="13"/>
  <c r="BF220" i="13"/>
  <c r="BF214" i="13"/>
  <c r="BF206" i="13"/>
  <c r="BF205" i="13"/>
  <c r="BF204" i="13"/>
  <c r="BF203" i="13"/>
  <c r="BF191" i="13"/>
  <c r="BF190" i="13"/>
  <c r="BF180" i="13"/>
  <c r="BF82" i="13"/>
  <c r="BF68" i="13"/>
  <c r="AG16" i="13"/>
  <c r="AN40" i="19" s="1"/>
  <c r="AJ16" i="13"/>
  <c r="AQ40" i="19" s="1"/>
  <c r="AJ12" i="13"/>
  <c r="AQ36" i="19" s="1"/>
  <c r="AQ140" i="13"/>
  <c r="AQ241" i="13" s="1"/>
  <c r="AP241" i="13"/>
  <c r="AO241" i="13"/>
  <c r="AM140" i="13"/>
  <c r="AM241" i="13" s="1"/>
  <c r="AL140" i="13"/>
  <c r="AL241" i="13" s="1"/>
  <c r="AK140" i="13"/>
  <c r="AK241" i="13" s="1"/>
  <c r="AJ140" i="13"/>
  <c r="AJ241" i="13" s="1"/>
  <c r="AJ245" i="13" s="1"/>
  <c r="AQ138" i="13"/>
  <c r="AQ240" i="13" s="1"/>
  <c r="AP240" i="13"/>
  <c r="AO240" i="13"/>
  <c r="AM138" i="13"/>
  <c r="AM240" i="13" s="1"/>
  <c r="AM246" i="13" s="1"/>
  <c r="AL138" i="13"/>
  <c r="AL240" i="13" s="1"/>
  <c r="AK138" i="13"/>
  <c r="AK240" i="13" s="1"/>
  <c r="AJ138" i="13"/>
  <c r="AJ240" i="13" s="1"/>
  <c r="AZ147" i="13" l="1"/>
  <c r="AZ141" i="13"/>
  <c r="AZ139" i="13"/>
  <c r="AZ52" i="13"/>
  <c r="AZ143" i="13"/>
  <c r="BA29" i="13"/>
  <c r="BB48" i="13"/>
  <c r="BA51" i="13"/>
  <c r="BA162" i="13"/>
  <c r="BA199" i="13"/>
  <c r="BA164" i="13"/>
  <c r="AW106" i="13"/>
  <c r="AX104" i="13"/>
  <c r="BF246" i="13"/>
  <c r="AJ247" i="13"/>
  <c r="AQ43" i="19" s="1"/>
  <c r="AJ142" i="13"/>
  <c r="AG115" i="13"/>
  <c r="AG116" i="13" s="1"/>
  <c r="AN9" i="19" s="1"/>
  <c r="AG102" i="13"/>
  <c r="AW15" i="19"/>
  <c r="B25" i="29"/>
  <c r="I25" i="29" s="1"/>
  <c r="E25" i="28"/>
  <c r="G25" i="28"/>
  <c r="F25" i="28"/>
  <c r="AG236" i="13" l="1"/>
  <c r="AG122" i="13"/>
  <c r="BC48" i="13"/>
  <c r="BB51" i="13"/>
  <c r="BB199" i="13"/>
  <c r="BB164" i="13"/>
  <c r="BB162" i="13"/>
  <c r="BB29" i="13"/>
  <c r="BC29" i="13" s="1"/>
  <c r="BD29" i="13" s="1"/>
  <c r="BA52" i="13"/>
  <c r="BA141" i="13"/>
  <c r="BA147" i="13"/>
  <c r="BA143" i="13"/>
  <c r="BA139" i="13"/>
  <c r="AX106" i="13"/>
  <c r="AY104" i="13"/>
  <c r="AN8" i="19"/>
  <c r="AG117" i="13"/>
  <c r="AG134" i="13"/>
  <c r="AG272" i="13" s="1"/>
  <c r="D25" i="29"/>
  <c r="G25" i="29" s="1"/>
  <c r="H25" i="28"/>
  <c r="A26" i="28" s="1"/>
  <c r="C26" i="28" s="1"/>
  <c r="AN10" i="19" l="1"/>
  <c r="BB52" i="13"/>
  <c r="BB143" i="13"/>
  <c r="BB139" i="13"/>
  <c r="BB147" i="13"/>
  <c r="BB141" i="13"/>
  <c r="BC51" i="13"/>
  <c r="BC164" i="13"/>
  <c r="BG164" i="13" s="1"/>
  <c r="BC199" i="13"/>
  <c r="BG199" i="13" s="1"/>
  <c r="BC162" i="13"/>
  <c r="BG162" i="13" s="1"/>
  <c r="BG48" i="13"/>
  <c r="BG51" i="13" s="1"/>
  <c r="AZ104" i="13"/>
  <c r="AY106" i="13"/>
  <c r="AG136" i="13"/>
  <c r="AG137" i="13" s="1"/>
  <c r="AG135" i="13"/>
  <c r="AN11" i="19" s="1"/>
  <c r="O228" i="24"/>
  <c r="O230" i="24" s="1"/>
  <c r="E25" i="29"/>
  <c r="F25" i="29"/>
  <c r="H25" i="29" s="1"/>
  <c r="A26" i="29" s="1"/>
  <c r="C26" i="29" s="1"/>
  <c r="B26" i="28"/>
  <c r="D26" i="28" s="1"/>
  <c r="E26" i="28" s="1"/>
  <c r="AK259" i="13"/>
  <c r="BC52" i="13" l="1"/>
  <c r="BC141" i="13"/>
  <c r="BC147" i="13"/>
  <c r="BC139" i="13"/>
  <c r="BC143" i="13"/>
  <c r="AZ106" i="13"/>
  <c r="BA104" i="13"/>
  <c r="B26" i="29"/>
  <c r="D26" i="29" s="1"/>
  <c r="E26" i="29" s="1"/>
  <c r="I26" i="28"/>
  <c r="F26" i="28"/>
  <c r="G26" i="28"/>
  <c r="AL259" i="13"/>
  <c r="BB104" i="13" l="1"/>
  <c r="BA106" i="13"/>
  <c r="I26" i="29"/>
  <c r="G26" i="29"/>
  <c r="F26" i="29"/>
  <c r="H26" i="28"/>
  <c r="A27" i="28" s="1"/>
  <c r="B27" i="28" s="1"/>
  <c r="AM259" i="13"/>
  <c r="AG6" i="13"/>
  <c r="AG7" i="13"/>
  <c r="AG8" i="13"/>
  <c r="AF227" i="13"/>
  <c r="AG232" i="13" s="1"/>
  <c r="AF226" i="13"/>
  <c r="AF261" i="13" s="1"/>
  <c r="AF225" i="13"/>
  <c r="AF224" i="13"/>
  <c r="AF221" i="13"/>
  <c r="AF214" i="13"/>
  <c r="AF212" i="13"/>
  <c r="AF205" i="13"/>
  <c r="AF251" i="13" s="1"/>
  <c r="AF198" i="13"/>
  <c r="AF197" i="13"/>
  <c r="F197" i="13" s="1"/>
  <c r="AF196" i="13"/>
  <c r="AF195" i="13"/>
  <c r="F195" i="13" s="1"/>
  <c r="AF194" i="13"/>
  <c r="F194" i="13" s="1"/>
  <c r="AF193" i="13"/>
  <c r="AF191" i="13"/>
  <c r="AF179" i="13"/>
  <c r="AG188" i="13" s="1"/>
  <c r="AF178" i="13"/>
  <c r="AF174" i="13"/>
  <c r="AF173" i="13"/>
  <c r="AF167" i="13"/>
  <c r="AF166" i="13"/>
  <c r="AF165" i="13"/>
  <c r="AF163" i="13"/>
  <c r="AF158" i="13"/>
  <c r="AM14" i="19" s="1"/>
  <c r="BF62" i="13"/>
  <c r="AF94" i="13"/>
  <c r="AF96" i="13"/>
  <c r="AF140" i="13"/>
  <c r="AF138" i="13"/>
  <c r="BF138" i="13" s="1"/>
  <c r="BC104" i="13" l="1"/>
  <c r="BB106" i="13"/>
  <c r="AX195" i="13"/>
  <c r="AY195" i="13"/>
  <c r="AT195" i="13"/>
  <c r="AZ195" i="13"/>
  <c r="AS195" i="13"/>
  <c r="AU195" i="13"/>
  <c r="AW195" i="13"/>
  <c r="BC195" i="13"/>
  <c r="BG195" i="13" s="1"/>
  <c r="BB195" i="13"/>
  <c r="AR195" i="13"/>
  <c r="BA195" i="13"/>
  <c r="AV195" i="13"/>
  <c r="AX197" i="13"/>
  <c r="BB197" i="13"/>
  <c r="AV197" i="13"/>
  <c r="AR197" i="13"/>
  <c r="BC197" i="13"/>
  <c r="BG197" i="13" s="1"/>
  <c r="AW197" i="13"/>
  <c r="AS197" i="13"/>
  <c r="AU197" i="13"/>
  <c r="AT197" i="13"/>
  <c r="AY197" i="13"/>
  <c r="AZ197" i="13"/>
  <c r="BA197" i="13"/>
  <c r="AU194" i="13"/>
  <c r="AX194" i="13"/>
  <c r="AY194" i="13"/>
  <c r="BB194" i="13"/>
  <c r="AR194" i="13"/>
  <c r="AZ194" i="13"/>
  <c r="AT194" i="13"/>
  <c r="AS194" i="13"/>
  <c r="AV194" i="13"/>
  <c r="BC194" i="13"/>
  <c r="BG194" i="13" s="1"/>
  <c r="BA194" i="13"/>
  <c r="AW194" i="13"/>
  <c r="AF13" i="13"/>
  <c r="AF241" i="13"/>
  <c r="AF245" i="13" s="1"/>
  <c r="AF247" i="13" s="1"/>
  <c r="BF140" i="13"/>
  <c r="AG245" i="13"/>
  <c r="AG142" i="13" s="1"/>
  <c r="AF185" i="13"/>
  <c r="AP197" i="13"/>
  <c r="AQ197" i="13"/>
  <c r="AP195" i="13"/>
  <c r="AQ195" i="13"/>
  <c r="AF237" i="13"/>
  <c r="F163" i="13"/>
  <c r="AM33" i="19"/>
  <c r="F196" i="13"/>
  <c r="AP194" i="13"/>
  <c r="AQ194" i="13"/>
  <c r="AG260" i="13"/>
  <c r="AF260" i="13"/>
  <c r="AG259" i="13"/>
  <c r="AF259" i="13"/>
  <c r="AF240" i="13"/>
  <c r="BF240" i="13" s="1"/>
  <c r="AG251" i="13"/>
  <c r="AF216" i="13"/>
  <c r="AM16" i="19" s="1"/>
  <c r="H26" i="29"/>
  <c r="A27" i="29" s="1"/>
  <c r="C27" i="29" s="1"/>
  <c r="C27" i="28"/>
  <c r="D27" i="28"/>
  <c r="I27" i="28"/>
  <c r="AM32" i="19"/>
  <c r="AG237" i="13"/>
  <c r="AM30" i="19"/>
  <c r="AN31" i="19" s="1"/>
  <c r="AM29" i="19"/>
  <c r="AG10" i="13"/>
  <c r="AM54" i="19"/>
  <c r="AM52" i="19"/>
  <c r="AM55" i="19"/>
  <c r="AF228" i="13"/>
  <c r="AF175" i="13"/>
  <c r="BC106" i="13" l="1"/>
  <c r="BG106" i="13" s="1"/>
  <c r="BG104" i="13"/>
  <c r="BA196" i="13"/>
  <c r="AY196" i="13"/>
  <c r="AZ196" i="13"/>
  <c r="AU196" i="13"/>
  <c r="BB196" i="13"/>
  <c r="AX196" i="13"/>
  <c r="BC196" i="13"/>
  <c r="BG196" i="13" s="1"/>
  <c r="AW196" i="13"/>
  <c r="AS196" i="13"/>
  <c r="AT196" i="13"/>
  <c r="AR196" i="13"/>
  <c r="AV196" i="13"/>
  <c r="BB163" i="13"/>
  <c r="AT163" i="13"/>
  <c r="AR163" i="13"/>
  <c r="BC163" i="13"/>
  <c r="BG163" i="13" s="1"/>
  <c r="AU163" i="13"/>
  <c r="AX163" i="13"/>
  <c r="AV163" i="13"/>
  <c r="AW163" i="13"/>
  <c r="AS163" i="13"/>
  <c r="AY163" i="13"/>
  <c r="AZ163" i="13"/>
  <c r="BA163" i="13"/>
  <c r="AG247" i="13"/>
  <c r="AN43" i="19" s="1"/>
  <c r="BF241" i="13"/>
  <c r="AF262" i="13"/>
  <c r="AG262" i="13"/>
  <c r="AN44" i="19" s="1"/>
  <c r="AP196" i="13"/>
  <c r="AQ196" i="13"/>
  <c r="AP163" i="13"/>
  <c r="AQ163" i="13"/>
  <c r="AF176" i="13"/>
  <c r="AM19" i="19"/>
  <c r="AF231" i="13"/>
  <c r="B27" i="29"/>
  <c r="I27" i="29" s="1"/>
  <c r="E27" i="28"/>
  <c r="G27" i="28"/>
  <c r="F27" i="28"/>
  <c r="AG143" i="13"/>
  <c r="AO259" i="13"/>
  <c r="AF139" i="13"/>
  <c r="AM4" i="19"/>
  <c r="AZ4" i="19" s="1"/>
  <c r="AF147" i="13"/>
  <c r="AF141" i="13"/>
  <c r="AF11" i="13"/>
  <c r="AF186" i="13"/>
  <c r="AF187" i="13" s="1"/>
  <c r="M112" i="24"/>
  <c r="M210" i="24"/>
  <c r="BE26" i="13"/>
  <c r="BE4" i="13"/>
  <c r="BE3" i="13"/>
  <c r="BE258" i="13"/>
  <c r="BE257" i="13"/>
  <c r="BE250" i="13"/>
  <c r="BE246" i="13"/>
  <c r="BE239" i="13"/>
  <c r="BE230" i="13"/>
  <c r="BE129" i="13"/>
  <c r="BE152" i="13"/>
  <c r="BF260" i="13"/>
  <c r="BF251" i="13"/>
  <c r="AE69" i="13"/>
  <c r="AE66" i="13"/>
  <c r="AD227" i="13"/>
  <c r="AD226" i="13"/>
  <c r="AE261" i="13" s="1"/>
  <c r="AD225" i="13"/>
  <c r="AD224" i="13"/>
  <c r="AD221" i="13"/>
  <c r="AD214" i="13"/>
  <c r="AE260" i="13" s="1"/>
  <c r="AD212" i="13"/>
  <c r="AE259" i="13" s="1"/>
  <c r="AD205" i="13"/>
  <c r="AE251" i="13" s="1"/>
  <c r="AD198" i="13"/>
  <c r="AD197" i="13"/>
  <c r="AD196" i="13"/>
  <c r="AD195" i="13"/>
  <c r="AD194" i="13"/>
  <c r="AD193" i="13"/>
  <c r="AD191" i="13"/>
  <c r="AD179" i="13"/>
  <c r="AD178" i="13"/>
  <c r="AD69" i="13"/>
  <c r="AD66" i="13"/>
  <c r="AE262" i="13" l="1"/>
  <c r="D27" i="29"/>
  <c r="G27" i="29" s="1"/>
  <c r="H27" i="28"/>
  <c r="A28" i="28" s="1"/>
  <c r="B28" i="28" s="1"/>
  <c r="AP259" i="13"/>
  <c r="AF12" i="13"/>
  <c r="AM36" i="19" s="1"/>
  <c r="AM35" i="19"/>
  <c r="AM51" i="19"/>
  <c r="AZ51" i="19" s="1"/>
  <c r="AM47" i="19"/>
  <c r="AF87" i="13"/>
  <c r="AM44" i="19"/>
  <c r="AF142" i="13"/>
  <c r="AM43" i="19"/>
  <c r="AD185" i="13"/>
  <c r="AD228" i="13"/>
  <c r="AD175" i="13"/>
  <c r="AD176" i="13" s="1"/>
  <c r="AD216" i="13"/>
  <c r="AC140" i="13"/>
  <c r="AC241" i="13" s="1"/>
  <c r="AC105" i="13"/>
  <c r="AC104" i="13"/>
  <c r="AC40" i="13"/>
  <c r="AC38" i="13"/>
  <c r="AC227" i="13"/>
  <c r="AC226" i="13"/>
  <c r="AD261" i="13" s="1"/>
  <c r="AC225" i="13"/>
  <c r="AC224" i="13"/>
  <c r="AC221" i="13"/>
  <c r="AC214" i="13"/>
  <c r="AD260" i="13" s="1"/>
  <c r="AC212" i="13"/>
  <c r="AD259" i="13" s="1"/>
  <c r="AC205" i="13"/>
  <c r="AD251" i="13" s="1"/>
  <c r="AC198" i="13"/>
  <c r="AC197" i="13"/>
  <c r="AC196" i="13"/>
  <c r="AC195" i="13"/>
  <c r="AC194" i="13"/>
  <c r="AC193" i="13"/>
  <c r="AC191" i="13"/>
  <c r="AC179" i="13"/>
  <c r="AC178" i="13"/>
  <c r="AC119" i="13"/>
  <c r="AC89" i="13"/>
  <c r="AC94" i="13" s="1"/>
  <c r="AC69" i="13"/>
  <c r="AC66" i="13"/>
  <c r="AC44" i="13"/>
  <c r="AC43" i="13"/>
  <c r="AC42" i="13"/>
  <c r="CO51" i="19" l="1"/>
  <c r="AC106" i="13"/>
  <c r="F27" i="29"/>
  <c r="H27" i="29" s="1"/>
  <c r="A28" i="29" s="1"/>
  <c r="B28" i="29" s="1"/>
  <c r="E27" i="29"/>
  <c r="C28" i="28"/>
  <c r="I28" i="28"/>
  <c r="D28" i="28"/>
  <c r="AN47" i="19"/>
  <c r="AF143" i="13"/>
  <c r="AQ259" i="13"/>
  <c r="BF212" i="13"/>
  <c r="AF15" i="13"/>
  <c r="AF78" i="13"/>
  <c r="AD186" i="13"/>
  <c r="AD262" i="13"/>
  <c r="AD237" i="13"/>
  <c r="AC185" i="13"/>
  <c r="AC216" i="13"/>
  <c r="AC228" i="13"/>
  <c r="AC175" i="13"/>
  <c r="AC176" i="13" s="1"/>
  <c r="AC35" i="13"/>
  <c r="AC84" i="13"/>
  <c r="AC37" i="13"/>
  <c r="AC60" i="13"/>
  <c r="AC85" i="13"/>
  <c r="AC41" i="13"/>
  <c r="AC36" i="13"/>
  <c r="AC138" i="13"/>
  <c r="AC240" i="13" s="1"/>
  <c r="AC39" i="13"/>
  <c r="AF101" i="13" l="1"/>
  <c r="AF115" i="13" s="1"/>
  <c r="AF134" i="13" s="1"/>
  <c r="AF80" i="13"/>
  <c r="C28" i="29"/>
  <c r="E28" i="28"/>
  <c r="I28" i="29"/>
  <c r="D28" i="29"/>
  <c r="G28" i="28"/>
  <c r="F28" i="28"/>
  <c r="AO47" i="19"/>
  <c r="AP47" i="19" s="1"/>
  <c r="BF259" i="13"/>
  <c r="AM5" i="19"/>
  <c r="AF79" i="13"/>
  <c r="AF6" i="13"/>
  <c r="AF16" i="13"/>
  <c r="AM40" i="19" s="1"/>
  <c r="AM39" i="19"/>
  <c r="AF14" i="13"/>
  <c r="AM38" i="19" s="1"/>
  <c r="AM37" i="19"/>
  <c r="AP179" i="13"/>
  <c r="AC186" i="13"/>
  <c r="AC51" i="13"/>
  <c r="AC86" i="13"/>
  <c r="AC83" i="13"/>
  <c r="AC141" i="13" l="1"/>
  <c r="AF102" i="13"/>
  <c r="N228" i="24"/>
  <c r="N230" i="24" s="1"/>
  <c r="AQ47" i="19"/>
  <c r="AR47" i="19" s="1"/>
  <c r="AS47" i="19" s="1"/>
  <c r="AT47" i="19" s="1"/>
  <c r="AU47" i="19" s="1"/>
  <c r="AV47" i="19" s="1"/>
  <c r="AF117" i="13"/>
  <c r="AF236" i="13"/>
  <c r="G28" i="29"/>
  <c r="E28" i="29"/>
  <c r="F28" i="29"/>
  <c r="H28" i="28"/>
  <c r="A29" i="28" s="1"/>
  <c r="C29" i="28" s="1"/>
  <c r="AM6" i="19"/>
  <c r="AF7" i="13"/>
  <c r="AM7" i="19"/>
  <c r="AQ179" i="13"/>
  <c r="AR179" i="13" s="1"/>
  <c r="AS179" i="13" s="1"/>
  <c r="AC11" i="13"/>
  <c r="AC12" i="13" s="1"/>
  <c r="AC139" i="13"/>
  <c r="AC147" i="13"/>
  <c r="AC87" i="13"/>
  <c r="AB66" i="13"/>
  <c r="AB227" i="13"/>
  <c r="AB226" i="13"/>
  <c r="AC261" i="13" s="1"/>
  <c r="AB225" i="13"/>
  <c r="AB224" i="13"/>
  <c r="AB221" i="13"/>
  <c r="AB214" i="13"/>
  <c r="AC260" i="13" s="1"/>
  <c r="AB212" i="13"/>
  <c r="AC259" i="13" s="1"/>
  <c r="AB205" i="13"/>
  <c r="AC251" i="13" s="1"/>
  <c r="AB198" i="13"/>
  <c r="AB197" i="13"/>
  <c r="AB196" i="13"/>
  <c r="AB195" i="13"/>
  <c r="AB194" i="13"/>
  <c r="AB193" i="13"/>
  <c r="AB191" i="13"/>
  <c r="AB179" i="13"/>
  <c r="AB178" i="13"/>
  <c r="AC245" i="13" s="1"/>
  <c r="AB69" i="13"/>
  <c r="AB44" i="13"/>
  <c r="AB43" i="13"/>
  <c r="AB42" i="13"/>
  <c r="AB56" i="13"/>
  <c r="AB57" i="13"/>
  <c r="AB59" i="13"/>
  <c r="AB62" i="13"/>
  <c r="AB63" i="13"/>
  <c r="AB64" i="13"/>
  <c r="AB37" i="13"/>
  <c r="AB38" i="13"/>
  <c r="AB39" i="13"/>
  <c r="AB40" i="13"/>
  <c r="AB104" i="13"/>
  <c r="AB105" i="13"/>
  <c r="AT179" i="13" l="1"/>
  <c r="AZ47" i="19"/>
  <c r="CM47" i="19"/>
  <c r="AB106" i="13"/>
  <c r="H28" i="29"/>
  <c r="A29" i="29" s="1"/>
  <c r="B29" i="29" s="1"/>
  <c r="B29" i="28"/>
  <c r="I29" i="28" s="1"/>
  <c r="AM8" i="19"/>
  <c r="AF8" i="13"/>
  <c r="AF10" i="13"/>
  <c r="AF116" i="13"/>
  <c r="AM9" i="19" s="1"/>
  <c r="AF122" i="13"/>
  <c r="BF179" i="13"/>
  <c r="AC262" i="13"/>
  <c r="AC237" i="13"/>
  <c r="AB185" i="13"/>
  <c r="AB35" i="13"/>
  <c r="AB58" i="13"/>
  <c r="AB61" i="13"/>
  <c r="AB41" i="13"/>
  <c r="AB36" i="13"/>
  <c r="AB60" i="13"/>
  <c r="AA227" i="13"/>
  <c r="AA226" i="13"/>
  <c r="AA225" i="13"/>
  <c r="AA224" i="13"/>
  <c r="AA221" i="13"/>
  <c r="AA214" i="13"/>
  <c r="AA212" i="13"/>
  <c r="AB259" i="13" s="1"/>
  <c r="AA205" i="13"/>
  <c r="AA198" i="13"/>
  <c r="AA197" i="13"/>
  <c r="AA196" i="13"/>
  <c r="AA195" i="13"/>
  <c r="AA194" i="13"/>
  <c r="AA193" i="13"/>
  <c r="AA192" i="13"/>
  <c r="AA191" i="13"/>
  <c r="AA190" i="13"/>
  <c r="AA179" i="13"/>
  <c r="AA178" i="13"/>
  <c r="AA66" i="13"/>
  <c r="AA69" i="13"/>
  <c r="AU179" i="13" l="1"/>
  <c r="AE190" i="13"/>
  <c r="C29" i="29"/>
  <c r="D29" i="28"/>
  <c r="I29" i="29"/>
  <c r="D29" i="29"/>
  <c r="AB237" i="13"/>
  <c r="AB261" i="13"/>
  <c r="AC247" i="13"/>
  <c r="AC142" i="13"/>
  <c r="AC143" i="13" s="1"/>
  <c r="AA202" i="13"/>
  <c r="AB260" i="13"/>
  <c r="AB251" i="13"/>
  <c r="AA228" i="13"/>
  <c r="AA175" i="13"/>
  <c r="AA176" i="13" s="1"/>
  <c r="AA185" i="13"/>
  <c r="AA216" i="13"/>
  <c r="Z126" i="13"/>
  <c r="Z114" i="13" s="1"/>
  <c r="Y126" i="13"/>
  <c r="Y114" i="13" s="1"/>
  <c r="X126" i="13"/>
  <c r="X114" i="13" s="1"/>
  <c r="W126" i="13"/>
  <c r="W114" i="13" s="1"/>
  <c r="V126" i="13"/>
  <c r="V114" i="13" s="1"/>
  <c r="U126" i="13"/>
  <c r="T126" i="13"/>
  <c r="T114" i="13" s="1"/>
  <c r="B210" i="24"/>
  <c r="B102" i="24"/>
  <c r="Z69" i="13"/>
  <c r="Y69" i="13"/>
  <c r="X69" i="13"/>
  <c r="W69" i="13"/>
  <c r="V69" i="13"/>
  <c r="U69" i="13"/>
  <c r="BG69" i="13" s="1"/>
  <c r="T69" i="13"/>
  <c r="Z66" i="13"/>
  <c r="Y66" i="13"/>
  <c r="X66" i="13"/>
  <c r="W66" i="13"/>
  <c r="V66" i="13"/>
  <c r="U66" i="13"/>
  <c r="BG66" i="13" s="1"/>
  <c r="T66" i="13"/>
  <c r="S227" i="13"/>
  <c r="S226" i="13"/>
  <c r="S225" i="13"/>
  <c r="S224" i="13"/>
  <c r="S221" i="13"/>
  <c r="S214" i="13"/>
  <c r="S212" i="13"/>
  <c r="S205" i="13"/>
  <c r="S198" i="13"/>
  <c r="S197" i="13"/>
  <c r="S196" i="13"/>
  <c r="S195" i="13"/>
  <c r="S194" i="13"/>
  <c r="S193" i="13"/>
  <c r="S192" i="13"/>
  <c r="S191" i="13"/>
  <c r="S190" i="13"/>
  <c r="S179" i="13"/>
  <c r="S178" i="13"/>
  <c r="S174" i="13"/>
  <c r="S173" i="13"/>
  <c r="S167" i="13"/>
  <c r="S166" i="13"/>
  <c r="S165" i="13"/>
  <c r="S164" i="13"/>
  <c r="S163" i="13"/>
  <c r="S161" i="13"/>
  <c r="S160" i="13"/>
  <c r="S158" i="13"/>
  <c r="Z227" i="13"/>
  <c r="Z226" i="13"/>
  <c r="AA261" i="13" s="1"/>
  <c r="Z225" i="13"/>
  <c r="Z224" i="13"/>
  <c r="Z221" i="13"/>
  <c r="Z214" i="13"/>
  <c r="AA260" i="13" s="1"/>
  <c r="Z212" i="13"/>
  <c r="AA259" i="13" s="1"/>
  <c r="Z205" i="13"/>
  <c r="AA251" i="13" s="1"/>
  <c r="Z198" i="13"/>
  <c r="Z197" i="13"/>
  <c r="Z196" i="13"/>
  <c r="Z195" i="13"/>
  <c r="Z194" i="13"/>
  <c r="Z193" i="13"/>
  <c r="Z192" i="13"/>
  <c r="Z191" i="13"/>
  <c r="Z190" i="13"/>
  <c r="Z179" i="13"/>
  <c r="Z178" i="13"/>
  <c r="U114" i="13" l="1"/>
  <c r="AV179" i="13"/>
  <c r="T237" i="13"/>
  <c r="AA238" i="13"/>
  <c r="AD190" i="13"/>
  <c r="AD202" i="13" s="1"/>
  <c r="AE202" i="13"/>
  <c r="AE217" i="13" s="1"/>
  <c r="AI190" i="13"/>
  <c r="E29" i="29"/>
  <c r="G29" i="28"/>
  <c r="E29" i="28"/>
  <c r="F29" i="28"/>
  <c r="G29" i="29"/>
  <c r="F29" i="29"/>
  <c r="AA262" i="13"/>
  <c r="AA237" i="13"/>
  <c r="AA3" i="13"/>
  <c r="AA186" i="13"/>
  <c r="AA217" i="13"/>
  <c r="S175" i="13"/>
  <c r="S185" i="13"/>
  <c r="Z216" i="13"/>
  <c r="Z185" i="13"/>
  <c r="S216" i="13"/>
  <c r="S202" i="13"/>
  <c r="S228" i="13"/>
  <c r="Z175" i="13"/>
  <c r="Z176" i="13" s="1"/>
  <c r="Z228" i="13"/>
  <c r="Z202" i="13"/>
  <c r="AW179" i="13" l="1"/>
  <c r="AE238" i="13"/>
  <c r="AM190" i="13"/>
  <c r="AT15" i="19" s="1"/>
  <c r="AI202" i="13"/>
  <c r="AP15" i="19"/>
  <c r="AE219" i="13"/>
  <c r="AE229" i="13"/>
  <c r="AE230" i="13" s="1"/>
  <c r="AE231" i="13" s="1"/>
  <c r="AH190" i="13"/>
  <c r="H29" i="28"/>
  <c r="A30" i="28" s="1"/>
  <c r="B30" i="28" s="1"/>
  <c r="I30" i="28" s="1"/>
  <c r="H29" i="29"/>
  <c r="A30" i="29" s="1"/>
  <c r="AE4" i="13"/>
  <c r="AD3" i="13"/>
  <c r="AD217" i="13"/>
  <c r="S217" i="13"/>
  <c r="S229" i="13" s="1"/>
  <c r="S186" i="13"/>
  <c r="AA229" i="13"/>
  <c r="AA230" i="13" s="1"/>
  <c r="AA4" i="13"/>
  <c r="Z217" i="13"/>
  <c r="Z4" i="13" s="1"/>
  <c r="Z186" i="13"/>
  <c r="Z3" i="13"/>
  <c r="AX179" i="13" l="1"/>
  <c r="AI3" i="13"/>
  <c r="AI150" i="13"/>
  <c r="AO15" i="19"/>
  <c r="AO17" i="19" s="1"/>
  <c r="AO18" i="19" s="1"/>
  <c r="AH202" i="13"/>
  <c r="AL190" i="13"/>
  <c r="AI152" i="13"/>
  <c r="AI217" i="13"/>
  <c r="AI4" i="13" s="1"/>
  <c r="AP21" i="19"/>
  <c r="AP17" i="19"/>
  <c r="AI238" i="13"/>
  <c r="AI242" i="13" s="1"/>
  <c r="AP42" i="19" s="1"/>
  <c r="D30" i="28"/>
  <c r="C30" i="28"/>
  <c r="B30" i="29"/>
  <c r="C30" i="29"/>
  <c r="AD229" i="13"/>
  <c r="AD4" i="13"/>
  <c r="S230" i="13"/>
  <c r="Z229" i="13"/>
  <c r="Z230" i="13" s="1"/>
  <c r="AY179" i="13" l="1"/>
  <c r="AZ179" i="13" s="1"/>
  <c r="BA179" i="13" s="1"/>
  <c r="AH3" i="13"/>
  <c r="AH150" i="13"/>
  <c r="AM238" i="13"/>
  <c r="AS15" i="19"/>
  <c r="AP25" i="19"/>
  <c r="AI153" i="13"/>
  <c r="AP18" i="19"/>
  <c r="AI151" i="13"/>
  <c r="AP26" i="19"/>
  <c r="AI229" i="13"/>
  <c r="AI230" i="13" s="1"/>
  <c r="AP22" i="19"/>
  <c r="AH217" i="13"/>
  <c r="AH4" i="13" s="1"/>
  <c r="AH152" i="13"/>
  <c r="E30" i="28"/>
  <c r="F30" i="28"/>
  <c r="G30" i="28"/>
  <c r="D30" i="29"/>
  <c r="G30" i="29" s="1"/>
  <c r="I30" i="29"/>
  <c r="X64" i="13"/>
  <c r="AE60" i="13"/>
  <c r="AD60" i="13"/>
  <c r="AA60" i="13"/>
  <c r="BB179" i="13" l="1"/>
  <c r="AO25" i="19"/>
  <c r="AH153" i="13"/>
  <c r="AO22" i="19"/>
  <c r="AH229" i="13"/>
  <c r="AH230" i="13" s="1"/>
  <c r="AI144" i="13"/>
  <c r="AO26" i="19"/>
  <c r="AH151" i="13"/>
  <c r="E30" i="29"/>
  <c r="H30" i="28"/>
  <c r="A31" i="28" s="1"/>
  <c r="C31" i="28" s="1"/>
  <c r="F30" i="29"/>
  <c r="H30" i="29" s="1"/>
  <c r="A31" i="29" s="1"/>
  <c r="X60" i="13"/>
  <c r="W41" i="13"/>
  <c r="Z60" i="13"/>
  <c r="U60" i="13"/>
  <c r="Y60" i="13"/>
  <c r="X41" i="13"/>
  <c r="V41" i="13"/>
  <c r="Z41" i="13"/>
  <c r="U41" i="13"/>
  <c r="Y41" i="13"/>
  <c r="T41" i="13"/>
  <c r="V60" i="13"/>
  <c r="W60" i="13"/>
  <c r="T83" i="13"/>
  <c r="T84" i="13"/>
  <c r="T60" i="13"/>
  <c r="BG60" i="13" l="1"/>
  <c r="BC179" i="13"/>
  <c r="BG179" i="13" s="1"/>
  <c r="AI148" i="13"/>
  <c r="AI145" i="13"/>
  <c r="AP27" i="19"/>
  <c r="B31" i="28"/>
  <c r="I31" i="28" s="1"/>
  <c r="C31" i="29"/>
  <c r="B31" i="29"/>
  <c r="S265" i="13"/>
  <c r="T264" i="13" s="1"/>
  <c r="BE264" i="13" s="1"/>
  <c r="Y227" i="13"/>
  <c r="X227" i="13"/>
  <c r="W227" i="13"/>
  <c r="V227" i="13"/>
  <c r="U227" i="13"/>
  <c r="Y226" i="13"/>
  <c r="X226" i="13"/>
  <c r="W226" i="13"/>
  <c r="V226" i="13"/>
  <c r="U226" i="13"/>
  <c r="Y225" i="13"/>
  <c r="X225" i="13"/>
  <c r="W225" i="13"/>
  <c r="V225" i="13"/>
  <c r="U225" i="13"/>
  <c r="Y224" i="13"/>
  <c r="X224" i="13"/>
  <c r="W224" i="13"/>
  <c r="V224" i="13"/>
  <c r="U224" i="13"/>
  <c r="Y221" i="13"/>
  <c r="X221" i="13"/>
  <c r="W221" i="13"/>
  <c r="V221" i="13"/>
  <c r="U221" i="13"/>
  <c r="T227" i="13"/>
  <c r="T226" i="13"/>
  <c r="T261" i="13" s="1"/>
  <c r="T225" i="13"/>
  <c r="T224" i="13"/>
  <c r="T221" i="13"/>
  <c r="Y214" i="13"/>
  <c r="X214" i="13"/>
  <c r="W214" i="13"/>
  <c r="V214" i="13"/>
  <c r="U214" i="13"/>
  <c r="Y212" i="13"/>
  <c r="X212" i="13"/>
  <c r="W212" i="13"/>
  <c r="V212" i="13"/>
  <c r="U212" i="13"/>
  <c r="Y205" i="13"/>
  <c r="X205" i="13"/>
  <c r="W205" i="13"/>
  <c r="V205" i="13"/>
  <c r="U205" i="13"/>
  <c r="T214" i="13"/>
  <c r="T212" i="13"/>
  <c r="T259" i="13" s="1"/>
  <c r="T205" i="13"/>
  <c r="Y198" i="13"/>
  <c r="X198" i="13"/>
  <c r="W198" i="13"/>
  <c r="V198" i="13"/>
  <c r="U198" i="13"/>
  <c r="Y197" i="13"/>
  <c r="X197" i="13"/>
  <c r="W197" i="13"/>
  <c r="V197" i="13"/>
  <c r="U197" i="13"/>
  <c r="Y196" i="13"/>
  <c r="X196" i="13"/>
  <c r="W196" i="13"/>
  <c r="V196" i="13"/>
  <c r="U196" i="13"/>
  <c r="Y195" i="13"/>
  <c r="X195" i="13"/>
  <c r="W195" i="13"/>
  <c r="V195" i="13"/>
  <c r="U195" i="13"/>
  <c r="Y194" i="13"/>
  <c r="X194" i="13"/>
  <c r="W194" i="13"/>
  <c r="V194" i="13"/>
  <c r="U194" i="13"/>
  <c r="Y193" i="13"/>
  <c r="X193" i="13"/>
  <c r="W193" i="13"/>
  <c r="V193" i="13"/>
  <c r="U193" i="13"/>
  <c r="Y192" i="13"/>
  <c r="X192" i="13"/>
  <c r="W192" i="13"/>
  <c r="V192" i="13"/>
  <c r="U192" i="13"/>
  <c r="Y191" i="13"/>
  <c r="X191" i="13"/>
  <c r="W191" i="13"/>
  <c r="V191" i="13"/>
  <c r="U191" i="13"/>
  <c r="Y190" i="13"/>
  <c r="X190" i="13"/>
  <c r="W190" i="13"/>
  <c r="V190" i="13"/>
  <c r="U190" i="13"/>
  <c r="T197" i="13"/>
  <c r="T194" i="13"/>
  <c r="T193" i="13"/>
  <c r="T198" i="13"/>
  <c r="T195" i="13"/>
  <c r="T191" i="13"/>
  <c r="T192" i="13"/>
  <c r="T196" i="13"/>
  <c r="T190" i="13"/>
  <c r="Y179" i="13"/>
  <c r="X179" i="13"/>
  <c r="W179" i="13"/>
  <c r="V179" i="13"/>
  <c r="U179" i="13"/>
  <c r="Y178" i="13"/>
  <c r="X178" i="13"/>
  <c r="W178" i="13"/>
  <c r="V178" i="13"/>
  <c r="U178" i="13"/>
  <c r="T179" i="13"/>
  <c r="T178" i="13"/>
  <c r="T238" i="13" l="1"/>
  <c r="U238" i="13"/>
  <c r="X238" i="13"/>
  <c r="W238" i="13"/>
  <c r="V238" i="13"/>
  <c r="AC190" i="13"/>
  <c r="AC202" i="13" s="1"/>
  <c r="Y238" i="13"/>
  <c r="Z238" i="13"/>
  <c r="AI149" i="13"/>
  <c r="AP12" i="19"/>
  <c r="D31" i="28"/>
  <c r="E31" i="28" s="1"/>
  <c r="D31" i="29"/>
  <c r="G31" i="29" s="1"/>
  <c r="I31" i="29"/>
  <c r="U251" i="13"/>
  <c r="X259" i="13"/>
  <c r="W251" i="13"/>
  <c r="Y260" i="13"/>
  <c r="X261" i="13"/>
  <c r="X251" i="13"/>
  <c r="Y261" i="13"/>
  <c r="Y259" i="13"/>
  <c r="V251" i="13"/>
  <c r="X260" i="13"/>
  <c r="W261" i="13"/>
  <c r="T228" i="13"/>
  <c r="Y251" i="13"/>
  <c r="Z251" i="13"/>
  <c r="W260" i="13"/>
  <c r="W259" i="13"/>
  <c r="W237" i="13"/>
  <c r="X237" i="13"/>
  <c r="Y237" i="13"/>
  <c r="Z261" i="13"/>
  <c r="Z259" i="13"/>
  <c r="U237" i="13"/>
  <c r="Y175" i="13"/>
  <c r="Y176" i="13" s="1"/>
  <c r="U175" i="13"/>
  <c r="U176" i="13" s="1"/>
  <c r="V237" i="13"/>
  <c r="V175" i="13"/>
  <c r="V176" i="13" s="1"/>
  <c r="T202" i="13"/>
  <c r="X175" i="13"/>
  <c r="X176" i="13" s="1"/>
  <c r="W175" i="13"/>
  <c r="W176" i="13" s="1"/>
  <c r="U261" i="13"/>
  <c r="V261" i="13"/>
  <c r="T175" i="13"/>
  <c r="T176" i="13" s="1"/>
  <c r="BG251" i="13" l="1"/>
  <c r="BG261" i="13"/>
  <c r="AG190" i="13"/>
  <c r="AD238" i="13"/>
  <c r="F31" i="28"/>
  <c r="E31" i="29"/>
  <c r="G31" i="28"/>
  <c r="F31" i="29"/>
  <c r="H31" i="29" s="1"/>
  <c r="A32" i="29" s="1"/>
  <c r="C32" i="29" s="1"/>
  <c r="BE261" i="13"/>
  <c r="X262" i="13"/>
  <c r="AC217" i="13"/>
  <c r="AC3" i="13"/>
  <c r="Y262" i="13"/>
  <c r="Y35" i="13"/>
  <c r="X35" i="13"/>
  <c r="W35" i="13"/>
  <c r="V35" i="13"/>
  <c r="U35" i="13"/>
  <c r="T35" i="13"/>
  <c r="Y104" i="13"/>
  <c r="Y42" i="13"/>
  <c r="Y105" i="13"/>
  <c r="AH238" i="13" l="1"/>
  <c r="AH242" i="13" s="1"/>
  <c r="AO42" i="19" s="1"/>
  <c r="AK190" i="13"/>
  <c r="AO190" i="13" s="1"/>
  <c r="AG202" i="13"/>
  <c r="AN15" i="19"/>
  <c r="AN17" i="19" s="1"/>
  <c r="AN18" i="19" s="1"/>
  <c r="Y106" i="13"/>
  <c r="H31" i="28"/>
  <c r="A32" i="28" s="1"/>
  <c r="B32" i="28" s="1"/>
  <c r="D32" i="28" s="1"/>
  <c r="B32" i="29"/>
  <c r="D32" i="29" s="1"/>
  <c r="G32" i="29" s="1"/>
  <c r="AC229" i="13"/>
  <c r="AC230" i="13" s="1"/>
  <c r="AC4" i="13"/>
  <c r="AG3" i="13" l="1"/>
  <c r="AG150" i="13"/>
  <c r="AV15" i="19"/>
  <c r="AO202" i="13"/>
  <c r="AK202" i="13"/>
  <c r="AK203" i="13" s="1"/>
  <c r="AR15" i="19"/>
  <c r="AG217" i="13"/>
  <c r="AG152" i="13"/>
  <c r="C32" i="28"/>
  <c r="F32" i="28" s="1"/>
  <c r="I32" i="28"/>
  <c r="E32" i="29"/>
  <c r="I32" i="29"/>
  <c r="F32" i="29"/>
  <c r="H32" i="29" s="1"/>
  <c r="A33" i="29" s="1"/>
  <c r="V259" i="13"/>
  <c r="S259" i="13"/>
  <c r="R259" i="13"/>
  <c r="R251" i="13"/>
  <c r="BE60" i="13"/>
  <c r="AO150" i="13" l="1"/>
  <c r="AO203" i="13"/>
  <c r="AO217" i="13"/>
  <c r="AO3" i="13"/>
  <c r="AV21" i="19" s="1"/>
  <c r="AO152" i="13"/>
  <c r="AV17" i="19"/>
  <c r="CM15" i="19"/>
  <c r="AZ15" i="19"/>
  <c r="AG229" i="13"/>
  <c r="AG230" i="13" s="1"/>
  <c r="AG4" i="13"/>
  <c r="AN22" i="19" s="1"/>
  <c r="AN25" i="19"/>
  <c r="AG153" i="13"/>
  <c r="AH144" i="13"/>
  <c r="AG151" i="13"/>
  <c r="AN26" i="19"/>
  <c r="G32" i="28"/>
  <c r="H32" i="28" s="1"/>
  <c r="A33" i="28" s="1"/>
  <c r="C33" i="28" s="1"/>
  <c r="E32" i="28"/>
  <c r="C33" i="29"/>
  <c r="B33" i="29"/>
  <c r="CN9" i="19"/>
  <c r="CN6" i="19"/>
  <c r="CO240" i="19"/>
  <c r="CO216" i="19"/>
  <c r="CO215" i="19"/>
  <c r="CO214" i="19"/>
  <c r="CO212" i="19"/>
  <c r="CO211" i="19"/>
  <c r="CO176" i="19"/>
  <c r="CO175" i="19"/>
  <c r="CO174" i="19"/>
  <c r="CO172" i="19"/>
  <c r="CO171" i="19"/>
  <c r="CO164" i="19"/>
  <c r="CO204" i="19" s="1"/>
  <c r="CO135" i="19"/>
  <c r="CO138" i="19" s="1"/>
  <c r="CO134" i="19"/>
  <c r="CO133" i="19"/>
  <c r="CM86" i="19"/>
  <c r="CM85" i="19"/>
  <c r="CM84" i="19"/>
  <c r="AZ17" i="19" l="1"/>
  <c r="AV18" i="19"/>
  <c r="CM17" i="19"/>
  <c r="AO153" i="13"/>
  <c r="AV25" i="19"/>
  <c r="AZ21" i="19"/>
  <c r="CM21" i="19"/>
  <c r="AO219" i="13"/>
  <c r="AO4" i="13"/>
  <c r="AV22" i="19" s="1"/>
  <c r="AO229" i="13"/>
  <c r="AO230" i="13" s="1"/>
  <c r="AV26" i="19"/>
  <c r="AO151" i="13"/>
  <c r="AH145" i="13"/>
  <c r="AH148" i="13"/>
  <c r="AO27" i="19"/>
  <c r="B33" i="28"/>
  <c r="D33" i="28" s="1"/>
  <c r="E33" i="28" s="1"/>
  <c r="I33" i="29"/>
  <c r="D33" i="29"/>
  <c r="G33" i="29" s="1"/>
  <c r="CO139" i="19"/>
  <c r="CP135" i="19" s="1"/>
  <c r="CO177" i="19"/>
  <c r="CP172" i="19" s="1"/>
  <c r="CO126" i="19"/>
  <c r="CP133" i="19"/>
  <c r="CO217" i="19"/>
  <c r="CP213" i="19" s="1"/>
  <c r="CO136" i="19"/>
  <c r="CO137" i="19"/>
  <c r="AZ22" i="19" l="1"/>
  <c r="CM22" i="19"/>
  <c r="CM26" i="19"/>
  <c r="AZ26" i="19"/>
  <c r="AZ25" i="19"/>
  <c r="CM25" i="19"/>
  <c r="AZ18" i="19"/>
  <c r="CM18" i="19"/>
  <c r="CP134" i="19"/>
  <c r="AH149" i="13"/>
  <c r="AO12" i="19"/>
  <c r="I33" i="28"/>
  <c r="F33" i="28"/>
  <c r="G33" i="28"/>
  <c r="E33" i="29"/>
  <c r="F33" i="29"/>
  <c r="H33" i="29" s="1"/>
  <c r="A34" i="29" s="1"/>
  <c r="CP212" i="19"/>
  <c r="CP173" i="19"/>
  <c r="CP171" i="19"/>
  <c r="CP211" i="19"/>
  <c r="H33" i="28" l="1"/>
  <c r="A34" i="28" s="1"/>
  <c r="C34" i="28" s="1"/>
  <c r="C34" i="29"/>
  <c r="B34" i="29"/>
  <c r="V104" i="13"/>
  <c r="U104" i="13"/>
  <c r="V39" i="13"/>
  <c r="B34" i="28" l="1"/>
  <c r="I34" i="28" s="1"/>
  <c r="I34" i="29"/>
  <c r="D34" i="29"/>
  <c r="G34" i="29" s="1"/>
  <c r="V61" i="13"/>
  <c r="D34" i="28" l="1"/>
  <c r="G34" i="28" s="1"/>
  <c r="E34" i="29"/>
  <c r="F34" i="29"/>
  <c r="H34" i="29" s="1"/>
  <c r="A35" i="29" s="1"/>
  <c r="C35" i="29" s="1"/>
  <c r="V105" i="13"/>
  <c r="V106" i="13" s="1"/>
  <c r="V42" i="13"/>
  <c r="V40" i="13"/>
  <c r="V38" i="13"/>
  <c r="V44" i="13"/>
  <c r="V43" i="13"/>
  <c r="V37" i="13"/>
  <c r="V36" i="13"/>
  <c r="V64" i="13"/>
  <c r="V59" i="13"/>
  <c r="V62" i="13"/>
  <c r="V57" i="13"/>
  <c r="F34" i="28" l="1"/>
  <c r="H34" i="28" s="1"/>
  <c r="A35" i="28" s="1"/>
  <c r="C35" i="28" s="1"/>
  <c r="E34" i="28"/>
  <c r="J35" i="29"/>
  <c r="B35" i="29"/>
  <c r="I35" i="29" s="1"/>
  <c r="V140" i="13"/>
  <c r="V119" i="13"/>
  <c r="V85" i="13"/>
  <c r="V84" i="13"/>
  <c r="V83" i="13"/>
  <c r="V58" i="13"/>
  <c r="V56" i="13"/>
  <c r="B35" i="28" l="1"/>
  <c r="D35" i="28" s="1"/>
  <c r="F35" i="28" s="1"/>
  <c r="J35" i="28"/>
  <c r="D35" i="29"/>
  <c r="V63" i="13"/>
  <c r="V185" i="13"/>
  <c r="V186" i="13" s="1"/>
  <c r="V202" i="13"/>
  <c r="V3" i="13" s="1"/>
  <c r="V67" i="13"/>
  <c r="V87" i="13"/>
  <c r="V51" i="13"/>
  <c r="V147" i="13" s="1"/>
  <c r="V241" i="13"/>
  <c r="V245" i="13" s="1"/>
  <c r="I35" i="28" l="1"/>
  <c r="G35" i="29"/>
  <c r="E35" i="29"/>
  <c r="E35" i="28"/>
  <c r="F35" i="29"/>
  <c r="G35" i="28"/>
  <c r="H35" i="28" s="1"/>
  <c r="A36" i="28" s="1"/>
  <c r="V150" i="13"/>
  <c r="V151" i="13" s="1"/>
  <c r="V152" i="13"/>
  <c r="V153" i="13" s="1"/>
  <c r="V142" i="13"/>
  <c r="V143" i="13" s="1"/>
  <c r="V247" i="13"/>
  <c r="V76" i="13"/>
  <c r="V141" i="13"/>
  <c r="V11" i="13"/>
  <c r="V12" i="13" s="1"/>
  <c r="H35" i="29" l="1"/>
  <c r="A36" i="29" s="1"/>
  <c r="C36" i="29" s="1"/>
  <c r="C36" i="28"/>
  <c r="B36" i="28"/>
  <c r="T185" i="13"/>
  <c r="S245" i="13"/>
  <c r="T62" i="13"/>
  <c r="C37" i="29" l="1"/>
  <c r="B36" i="29"/>
  <c r="D36" i="29" s="1"/>
  <c r="E36" i="29" s="1"/>
  <c r="C37" i="28"/>
  <c r="I36" i="28"/>
  <c r="D36" i="28"/>
  <c r="G36" i="28" s="1"/>
  <c r="B37" i="28"/>
  <c r="T140" i="13"/>
  <c r="T241" i="13" s="1"/>
  <c r="T245" i="13" s="1"/>
  <c r="T152" i="13"/>
  <c r="T186" i="13"/>
  <c r="AY50" i="19"/>
  <c r="B37" i="29" l="1"/>
  <c r="I37" i="29" s="1"/>
  <c r="I36" i="29"/>
  <c r="F36" i="29"/>
  <c r="G36" i="29"/>
  <c r="E36" i="28"/>
  <c r="F36" i="28"/>
  <c r="H36" i="28" s="1"/>
  <c r="D37" i="28"/>
  <c r="E37" i="28" s="1"/>
  <c r="I37" i="28"/>
  <c r="T142" i="13"/>
  <c r="V94" i="13"/>
  <c r="S238" i="13"/>
  <c r="S237" i="13"/>
  <c r="H36" i="29" l="1"/>
  <c r="D37" i="29"/>
  <c r="G37" i="29" s="1"/>
  <c r="G37" i="28"/>
  <c r="F37" i="28"/>
  <c r="R70" i="13"/>
  <c r="R67" i="13"/>
  <c r="R96" i="13"/>
  <c r="R89" i="13"/>
  <c r="R94" i="13" s="1"/>
  <c r="F37" i="29" l="1"/>
  <c r="H37" i="29" s="1"/>
  <c r="A38" i="29" s="1"/>
  <c r="C38" i="29" s="1"/>
  <c r="E37" i="29"/>
  <c r="H37" i="28"/>
  <c r="A38" i="28" s="1"/>
  <c r="B38" i="28" s="1"/>
  <c r="I38" i="28" s="1"/>
  <c r="C31" i="14"/>
  <c r="C32" i="14" s="1"/>
  <c r="C33" i="14" s="1"/>
  <c r="B38" i="29" l="1"/>
  <c r="I38" i="29" s="1"/>
  <c r="C38" i="28"/>
  <c r="D38" i="28"/>
  <c r="L28" i="22"/>
  <c r="N26" i="22"/>
  <c r="O26" i="22" s="1"/>
  <c r="P26" i="22" s="1"/>
  <c r="Q26" i="22" s="1"/>
  <c r="R26" i="22" s="1"/>
  <c r="S26" i="22" s="1"/>
  <c r="T26" i="22" s="1"/>
  <c r="U26" i="22" s="1"/>
  <c r="V26" i="22" s="1"/>
  <c r="W26" i="22" s="1"/>
  <c r="X26" i="22" s="1"/>
  <c r="Y26" i="22" s="1"/>
  <c r="Z26" i="22" s="1"/>
  <c r="AA26" i="22" s="1"/>
  <c r="AB26" i="22" s="1"/>
  <c r="AC26" i="22" s="1"/>
  <c r="AD26" i="22" s="1"/>
  <c r="AE26" i="22" s="1"/>
  <c r="AF26" i="22" s="1"/>
  <c r="AG26" i="22" s="1"/>
  <c r="AH26" i="22" s="1"/>
  <c r="AI26" i="22" s="1"/>
  <c r="AJ26" i="22" s="1"/>
  <c r="AK26" i="22" s="1"/>
  <c r="AL26" i="22" s="1"/>
  <c r="AM26" i="22" s="1"/>
  <c r="AN26" i="22" s="1"/>
  <c r="AO26" i="22" s="1"/>
  <c r="AP26" i="22" s="1"/>
  <c r="AQ26" i="22" s="1"/>
  <c r="AR26" i="22" s="1"/>
  <c r="AS26" i="22" s="1"/>
  <c r="AT26" i="22" s="1"/>
  <c r="AU26" i="22" s="1"/>
  <c r="AV26" i="22" s="1"/>
  <c r="AW26" i="22" s="1"/>
  <c r="AX26" i="22" s="1"/>
  <c r="AY26" i="22" s="1"/>
  <c r="AZ26" i="22" s="1"/>
  <c r="BA26" i="22" s="1"/>
  <c r="BB26" i="22" s="1"/>
  <c r="BC26" i="22" s="1"/>
  <c r="BD26" i="22" s="1"/>
  <c r="BE26" i="22" s="1"/>
  <c r="BF26" i="22" s="1"/>
  <c r="BG26" i="22" s="1"/>
  <c r="BH26" i="22" s="1"/>
  <c r="BI26" i="22" s="1"/>
  <c r="BJ26" i="22" s="1"/>
  <c r="BK26" i="22" s="1"/>
  <c r="BL26" i="22" s="1"/>
  <c r="BM26" i="22" s="1"/>
  <c r="BN26" i="22" s="1"/>
  <c r="BO26" i="22" s="1"/>
  <c r="BP26" i="22" s="1"/>
  <c r="BQ26" i="22" s="1"/>
  <c r="BR26" i="22" s="1"/>
  <c r="BS26" i="22" s="1"/>
  <c r="M26" i="22"/>
  <c r="D38" i="29" l="1"/>
  <c r="F38" i="29" s="1"/>
  <c r="E38" i="28"/>
  <c r="G38" i="28"/>
  <c r="F38" i="28"/>
  <c r="E31" i="14"/>
  <c r="E32" i="14" s="1"/>
  <c r="E33" i="14" s="1"/>
  <c r="E35" i="14" s="1"/>
  <c r="E36" i="14" s="1"/>
  <c r="E37" i="14" s="1"/>
  <c r="E38" i="14" s="1"/>
  <c r="E20" i="14"/>
  <c r="E19" i="14"/>
  <c r="R65" i="13"/>
  <c r="R63" i="13"/>
  <c r="R64" i="13"/>
  <c r="R61" i="13"/>
  <c r="R59" i="13"/>
  <c r="R62" i="13"/>
  <c r="R58" i="13"/>
  <c r="R57" i="13"/>
  <c r="R56" i="13"/>
  <c r="R105" i="13"/>
  <c r="R42" i="13"/>
  <c r="R104" i="13"/>
  <c r="R106" i="13" s="1"/>
  <c r="R41" i="13"/>
  <c r="R40" i="13"/>
  <c r="R39" i="13"/>
  <c r="R38" i="13"/>
  <c r="R44" i="13"/>
  <c r="R43" i="13"/>
  <c r="R37" i="13"/>
  <c r="R36" i="13"/>
  <c r="R35" i="13"/>
  <c r="E38" i="29" l="1"/>
  <c r="G38" i="29"/>
  <c r="H38" i="29" s="1"/>
  <c r="A39" i="29" s="1"/>
  <c r="H38" i="28"/>
  <c r="A39" i="28" s="1"/>
  <c r="C39" i="28" s="1"/>
  <c r="B798" i="22"/>
  <c r="B797" i="22"/>
  <c r="B796" i="22"/>
  <c r="B795" i="22"/>
  <c r="B794" i="22"/>
  <c r="B793" i="22"/>
  <c r="B792" i="22"/>
  <c r="B791" i="22"/>
  <c r="B790" i="22"/>
  <c r="B789" i="22"/>
  <c r="B788" i="22"/>
  <c r="B787" i="22"/>
  <c r="B786" i="22"/>
  <c r="B785" i="22"/>
  <c r="B784" i="22"/>
  <c r="B783" i="22"/>
  <c r="B782" i="22"/>
  <c r="B781" i="22"/>
  <c r="B780" i="22"/>
  <c r="B779" i="22"/>
  <c r="B778" i="22"/>
  <c r="B777" i="22"/>
  <c r="B776" i="22"/>
  <c r="B775" i="22"/>
  <c r="B774" i="22"/>
  <c r="B773" i="22"/>
  <c r="B772" i="22"/>
  <c r="B771" i="22"/>
  <c r="B770" i="22"/>
  <c r="B769" i="22"/>
  <c r="B768" i="22"/>
  <c r="B767" i="22"/>
  <c r="B766" i="22"/>
  <c r="B765" i="22"/>
  <c r="B764" i="22"/>
  <c r="B763" i="22"/>
  <c r="B762" i="22"/>
  <c r="B761" i="22"/>
  <c r="B760" i="22"/>
  <c r="B759" i="22"/>
  <c r="B758" i="22"/>
  <c r="B757" i="22"/>
  <c r="B756" i="22"/>
  <c r="B755" i="22"/>
  <c r="B754" i="22"/>
  <c r="B753" i="22"/>
  <c r="B752" i="22"/>
  <c r="B751" i="22"/>
  <c r="B750" i="22"/>
  <c r="B749" i="22"/>
  <c r="B748" i="22"/>
  <c r="B747" i="22"/>
  <c r="B746" i="22"/>
  <c r="B745" i="22"/>
  <c r="B744" i="22"/>
  <c r="B743" i="22"/>
  <c r="B742" i="22"/>
  <c r="B741" i="22"/>
  <c r="B740" i="22"/>
  <c r="B739" i="22"/>
  <c r="B738" i="22"/>
  <c r="B737" i="22"/>
  <c r="B736" i="22"/>
  <c r="B735" i="22"/>
  <c r="B734" i="22"/>
  <c r="B733" i="22"/>
  <c r="B732" i="22"/>
  <c r="B731" i="22"/>
  <c r="B730" i="22"/>
  <c r="B729" i="22"/>
  <c r="B728" i="22"/>
  <c r="B727" i="22"/>
  <c r="B726" i="22"/>
  <c r="B725" i="22"/>
  <c r="B724"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19" i="22"/>
  <c r="A56" i="22"/>
  <c r="M18" i="22"/>
  <c r="H14" i="22"/>
  <c r="D14" i="22"/>
  <c r="B18" i="22"/>
  <c r="H9" i="22"/>
  <c r="G18" i="22"/>
  <c r="H18" i="22" s="1"/>
  <c r="H2" i="22"/>
  <c r="C39" i="29" l="1"/>
  <c r="C40" i="29" s="1"/>
  <c r="B39" i="29"/>
  <c r="D39" i="29" s="1"/>
  <c r="C40" i="28"/>
  <c r="B39" i="28"/>
  <c r="B40" i="28" s="1"/>
  <c r="I40" i="28" s="1"/>
  <c r="I19" i="22"/>
  <c r="A57" i="22"/>
  <c r="C19" i="22"/>
  <c r="D19" i="22"/>
  <c r="L19" i="22"/>
  <c r="N18" i="22"/>
  <c r="G39" i="29" l="1"/>
  <c r="I39" i="29"/>
  <c r="F39" i="29"/>
  <c r="B40" i="29"/>
  <c r="I40" i="29" s="1"/>
  <c r="E39" i="29"/>
  <c r="I39" i="28"/>
  <c r="D39" i="28"/>
  <c r="G19" i="22"/>
  <c r="F19" i="22"/>
  <c r="O18" i="22"/>
  <c r="A58" i="22"/>
  <c r="H39" i="29" l="1"/>
  <c r="D40" i="29"/>
  <c r="E40" i="29" s="1"/>
  <c r="G39" i="28"/>
  <c r="D40" i="28" s="1"/>
  <c r="E40" i="28" s="1"/>
  <c r="E39" i="28"/>
  <c r="F39" i="28"/>
  <c r="A59" i="22"/>
  <c r="P18" i="22"/>
  <c r="H19" i="22"/>
  <c r="A20" i="22" s="1"/>
  <c r="B20" i="22" s="1"/>
  <c r="F40" i="29" l="1"/>
  <c r="G40" i="29"/>
  <c r="H39" i="28"/>
  <c r="G40" i="28"/>
  <c r="F40" i="28"/>
  <c r="A60" i="22"/>
  <c r="Q18" i="22"/>
  <c r="H40" i="29" l="1"/>
  <c r="A41" i="29" s="1"/>
  <c r="B41" i="29" s="1"/>
  <c r="D41" i="29" s="1"/>
  <c r="H40" i="28"/>
  <c r="A41" i="28" s="1"/>
  <c r="C41" i="28" s="1"/>
  <c r="A61" i="22"/>
  <c r="R18" i="22"/>
  <c r="D20" i="22"/>
  <c r="I20" i="22"/>
  <c r="C20" i="22"/>
  <c r="C41" i="29" l="1"/>
  <c r="E41" i="29" s="1"/>
  <c r="I41" i="29"/>
  <c r="B41" i="28"/>
  <c r="I41" i="28" s="1"/>
  <c r="G20" i="22"/>
  <c r="S18" i="22"/>
  <c r="A62" i="22"/>
  <c r="F20" i="22"/>
  <c r="F41" i="29" l="1"/>
  <c r="G41" i="29"/>
  <c r="D41" i="28"/>
  <c r="H20" i="22"/>
  <c r="A21" i="22" s="1"/>
  <c r="B21" i="22" s="1"/>
  <c r="A63" i="22"/>
  <c r="T18" i="22"/>
  <c r="H41" i="29" l="1"/>
  <c r="A42" i="29" s="1"/>
  <c r="C42" i="29" s="1"/>
  <c r="F41" i="28"/>
  <c r="E41" i="28"/>
  <c r="G41" i="28"/>
  <c r="C21" i="22"/>
  <c r="U18" i="22"/>
  <c r="A64" i="22"/>
  <c r="I21" i="22"/>
  <c r="D21" i="22"/>
  <c r="B42" i="29" l="1"/>
  <c r="D42" i="29" s="1"/>
  <c r="H41" i="28"/>
  <c r="A42" i="28" s="1"/>
  <c r="C42" i="28" s="1"/>
  <c r="V18" i="22"/>
  <c r="F21" i="22"/>
  <c r="A65" i="22"/>
  <c r="G21" i="22"/>
  <c r="I42" i="29" l="1"/>
  <c r="G42" i="29"/>
  <c r="E42" i="29"/>
  <c r="F42" i="29"/>
  <c r="B42" i="28"/>
  <c r="D42" i="28" s="1"/>
  <c r="G42" i="28" s="1"/>
  <c r="H21" i="22"/>
  <c r="A22" i="22" s="1"/>
  <c r="B22" i="22" s="1"/>
  <c r="A66" i="22"/>
  <c r="W18" i="22"/>
  <c r="H42" i="29" l="1"/>
  <c r="A43" i="29" s="1"/>
  <c r="B43" i="29" s="1"/>
  <c r="D43" i="29" s="1"/>
  <c r="F42" i="28"/>
  <c r="H42" i="28" s="1"/>
  <c r="A43" i="28" s="1"/>
  <c r="C43" i="28" s="1"/>
  <c r="I42" i="28"/>
  <c r="E42" i="28"/>
  <c r="D22" i="22"/>
  <c r="I22" i="22"/>
  <c r="A67" i="22"/>
  <c r="C22" i="22"/>
  <c r="C43" i="29" l="1"/>
  <c r="E43" i="29" s="1"/>
  <c r="I43" i="29"/>
  <c r="B43" i="28"/>
  <c r="I43" i="28" s="1"/>
  <c r="F22" i="22"/>
  <c r="A68" i="22"/>
  <c r="G22" i="22"/>
  <c r="F43" i="29" l="1"/>
  <c r="G43" i="29"/>
  <c r="D43" i="28"/>
  <c r="G43" i="28" s="1"/>
  <c r="H22" i="22"/>
  <c r="A23" i="22" s="1"/>
  <c r="B23" i="22" s="1"/>
  <c r="A69" i="22"/>
  <c r="H43" i="29" l="1"/>
  <c r="A44" i="29" s="1"/>
  <c r="B44" i="29" s="1"/>
  <c r="F43" i="28"/>
  <c r="H43" i="28" s="1"/>
  <c r="A44" i="28" s="1"/>
  <c r="C44" i="28" s="1"/>
  <c r="E43" i="28"/>
  <c r="A70" i="22"/>
  <c r="C44" i="29" l="1"/>
  <c r="I44" i="29"/>
  <c r="D44" i="29"/>
  <c r="B44" i="28"/>
  <c r="I44" i="28" s="1"/>
  <c r="I23" i="22"/>
  <c r="D23" i="22"/>
  <c r="A71" i="22"/>
  <c r="C23" i="22"/>
  <c r="E44" i="29" l="1"/>
  <c r="F44" i="29"/>
  <c r="G44" i="29"/>
  <c r="D44" i="28"/>
  <c r="E44" i="28" s="1"/>
  <c r="F23" i="22"/>
  <c r="A72" i="22"/>
  <c r="G23" i="22"/>
  <c r="H44" i="29" l="1"/>
  <c r="A45" i="29" s="1"/>
  <c r="C45" i="29" s="1"/>
  <c r="F44" i="28"/>
  <c r="G44" i="28"/>
  <c r="H23" i="22"/>
  <c r="A24" i="22" s="1"/>
  <c r="B24" i="22" s="1"/>
  <c r="A73" i="22"/>
  <c r="B45" i="29" l="1"/>
  <c r="I45" i="29" s="1"/>
  <c r="H44" i="28"/>
  <c r="A45" i="28" s="1"/>
  <c r="B45" i="28" s="1"/>
  <c r="I45" i="28" s="1"/>
  <c r="A74" i="22"/>
  <c r="D24" i="22"/>
  <c r="I24" i="22"/>
  <c r="C24" i="22"/>
  <c r="D45" i="29" l="1"/>
  <c r="E45" i="29" s="1"/>
  <c r="D45" i="28"/>
  <c r="C45" i="28"/>
  <c r="F24" i="22"/>
  <c r="G24" i="22"/>
  <c r="A75" i="22"/>
  <c r="F45" i="29" l="1"/>
  <c r="G45" i="29"/>
  <c r="E45" i="28"/>
  <c r="F45" i="28"/>
  <c r="G45" i="28"/>
  <c r="H24" i="22"/>
  <c r="A25" i="22" s="1"/>
  <c r="A76" i="22"/>
  <c r="H45" i="29" l="1"/>
  <c r="A46" i="29" s="1"/>
  <c r="C46" i="29" s="1"/>
  <c r="H45" i="28"/>
  <c r="A46" i="28" s="1"/>
  <c r="C46" i="28" s="1"/>
  <c r="B25" i="22"/>
  <c r="I25" i="22" s="1"/>
  <c r="A77" i="22"/>
  <c r="B46" i="29" l="1"/>
  <c r="I46" i="29" s="1"/>
  <c r="B46" i="28"/>
  <c r="D25" i="22"/>
  <c r="C25" i="22"/>
  <c r="A78" i="22"/>
  <c r="D46" i="29" l="1"/>
  <c r="F46" i="29" s="1"/>
  <c r="D46" i="28"/>
  <c r="E46" i="28" s="1"/>
  <c r="I46" i="28"/>
  <c r="G25" i="22"/>
  <c r="F25" i="22"/>
  <c r="A79" i="22"/>
  <c r="G46" i="29" l="1"/>
  <c r="H46" i="29" s="1"/>
  <c r="A47" i="29" s="1"/>
  <c r="B47" i="29" s="1"/>
  <c r="E46" i="29"/>
  <c r="G46" i="28"/>
  <c r="F46" i="28"/>
  <c r="H25" i="22"/>
  <c r="A26" i="22" s="1"/>
  <c r="B26" i="22" s="1"/>
  <c r="I26" i="22" s="1"/>
  <c r="A80" i="22"/>
  <c r="C47" i="29" l="1"/>
  <c r="J47" i="29" s="1"/>
  <c r="I47" i="29"/>
  <c r="D47" i="29"/>
  <c r="H46" i="28"/>
  <c r="A47" i="28" s="1"/>
  <c r="C47" i="28" s="1"/>
  <c r="J47" i="28" s="1"/>
  <c r="D26" i="22"/>
  <c r="C26" i="22"/>
  <c r="A81" i="22"/>
  <c r="G47" i="29" l="1"/>
  <c r="E47" i="29"/>
  <c r="F47" i="29"/>
  <c r="B47" i="28"/>
  <c r="I47" i="28" s="1"/>
  <c r="F26" i="22"/>
  <c r="G26" i="22"/>
  <c r="A82" i="22"/>
  <c r="H47" i="29" l="1"/>
  <c r="A48" i="29" s="1"/>
  <c r="C48" i="29" s="1"/>
  <c r="D47" i="28"/>
  <c r="G47" i="28" s="1"/>
  <c r="H26" i="22"/>
  <c r="A27" i="22" s="1"/>
  <c r="B27" i="22" s="1"/>
  <c r="D27" i="22" s="1"/>
  <c r="A83" i="22"/>
  <c r="B48" i="29" l="1"/>
  <c r="I48" i="29" s="1"/>
  <c r="E47" i="28"/>
  <c r="F47" i="28"/>
  <c r="H47" i="28" s="1"/>
  <c r="A48" i="28" s="1"/>
  <c r="B48" i="28" s="1"/>
  <c r="I27" i="22"/>
  <c r="C27" i="22"/>
  <c r="G27" i="22" s="1"/>
  <c r="A84" i="22"/>
  <c r="D48" i="29" l="1"/>
  <c r="E48" i="29" s="1"/>
  <c r="C48" i="28"/>
  <c r="I48" i="28"/>
  <c r="D48" i="28"/>
  <c r="F27" i="22"/>
  <c r="H27" i="22" s="1"/>
  <c r="A28" i="22" s="1"/>
  <c r="A85" i="22"/>
  <c r="F48" i="29" l="1"/>
  <c r="G48" i="29"/>
  <c r="E48" i="28"/>
  <c r="G48" i="28"/>
  <c r="F48" i="28"/>
  <c r="B28" i="22"/>
  <c r="I28" i="22" s="1"/>
  <c r="A86" i="22"/>
  <c r="H48" i="29" l="1"/>
  <c r="A49" i="29" s="1"/>
  <c r="B49" i="29" s="1"/>
  <c r="I49" i="29" s="1"/>
  <c r="H48" i="28"/>
  <c r="A49" i="28" s="1"/>
  <c r="B49" i="28" s="1"/>
  <c r="D49" i="28" s="1"/>
  <c r="C28" i="22"/>
  <c r="D28" i="22"/>
  <c r="A87" i="22"/>
  <c r="D49" i="29" l="1"/>
  <c r="C49" i="29"/>
  <c r="C49" i="28"/>
  <c r="I49" i="28"/>
  <c r="F28" i="22"/>
  <c r="G28" i="22"/>
  <c r="A88" i="22"/>
  <c r="E49" i="29" l="1"/>
  <c r="F49" i="29"/>
  <c r="G49" i="29"/>
  <c r="F49" i="28"/>
  <c r="E49" i="28"/>
  <c r="G49" i="28"/>
  <c r="H28" i="22"/>
  <c r="A29" i="22" s="1"/>
  <c r="B29" i="22" s="1"/>
  <c r="I29" i="22" s="1"/>
  <c r="A89" i="22"/>
  <c r="H49" i="29" l="1"/>
  <c r="A50" i="29" s="1"/>
  <c r="B50" i="29" s="1"/>
  <c r="D50" i="29" s="1"/>
  <c r="H49" i="28"/>
  <c r="A50" i="28" s="1"/>
  <c r="B50" i="28" s="1"/>
  <c r="C29" i="22"/>
  <c r="D29" i="22"/>
  <c r="A90" i="22"/>
  <c r="I50" i="29" l="1"/>
  <c r="C50" i="29"/>
  <c r="E50" i="29" s="1"/>
  <c r="C50" i="28"/>
  <c r="I50" i="28"/>
  <c r="D50" i="28"/>
  <c r="F29" i="22"/>
  <c r="G29" i="22"/>
  <c r="A91" i="22"/>
  <c r="G50" i="29" l="1"/>
  <c r="F50" i="29"/>
  <c r="E50" i="28"/>
  <c r="F50" i="28"/>
  <c r="G50" i="28"/>
  <c r="H29" i="22"/>
  <c r="A30" i="22" s="1"/>
  <c r="B30" i="22" s="1"/>
  <c r="D30" i="22" s="1"/>
  <c r="C30" i="22" s="1"/>
  <c r="F30" i="22" s="1"/>
  <c r="A92" i="22"/>
  <c r="H50" i="29" l="1"/>
  <c r="A51" i="29" s="1"/>
  <c r="C51" i="29" s="1"/>
  <c r="H50" i="28"/>
  <c r="A51" i="28" s="1"/>
  <c r="B51" i="28" s="1"/>
  <c r="I51" i="28" s="1"/>
  <c r="I30" i="22"/>
  <c r="G30" i="22"/>
  <c r="H30" i="22" s="1"/>
  <c r="A31" i="22" s="1"/>
  <c r="B31" i="22" s="1"/>
  <c r="G91" i="22"/>
  <c r="F91" i="22"/>
  <c r="D91" i="22"/>
  <c r="I91" i="22"/>
  <c r="K91" i="22" s="1"/>
  <c r="H91" i="22"/>
  <c r="C91" i="22"/>
  <c r="A93" i="22"/>
  <c r="C92" i="22"/>
  <c r="B51" i="29" l="1"/>
  <c r="D51" i="29" s="1"/>
  <c r="F51" i="29" s="1"/>
  <c r="D51" i="28"/>
  <c r="C51" i="28"/>
  <c r="A94" i="22"/>
  <c r="C93" i="22"/>
  <c r="H92" i="22"/>
  <c r="I92" i="22"/>
  <c r="K92" i="22" s="1"/>
  <c r="G92" i="22"/>
  <c r="F92" i="22"/>
  <c r="D92" i="22"/>
  <c r="I31" i="22"/>
  <c r="D31" i="22"/>
  <c r="E51" i="29" l="1"/>
  <c r="G51" i="29"/>
  <c r="H51" i="29" s="1"/>
  <c r="A52" i="29" s="1"/>
  <c r="B52" i="29" s="1"/>
  <c r="I51" i="29"/>
  <c r="F51" i="28"/>
  <c r="E51" i="28"/>
  <c r="G51" i="28"/>
  <c r="C31" i="22"/>
  <c r="F31" i="22" s="1"/>
  <c r="G93" i="22"/>
  <c r="F93" i="22"/>
  <c r="D93" i="22"/>
  <c r="I93" i="22"/>
  <c r="K93" i="22" s="1"/>
  <c r="H93" i="22"/>
  <c r="A95" i="22"/>
  <c r="C94" i="22"/>
  <c r="C52" i="29" l="1"/>
  <c r="I52" i="29"/>
  <c r="D52" i="29"/>
  <c r="H51" i="28"/>
  <c r="A52" i="28" s="1"/>
  <c r="C52" i="28" s="1"/>
  <c r="G31" i="22"/>
  <c r="H31" i="22" s="1"/>
  <c r="A32" i="22" s="1"/>
  <c r="B32" i="22" s="1"/>
  <c r="I94" i="22"/>
  <c r="K94" i="22" s="1"/>
  <c r="F94" i="22"/>
  <c r="D94" i="22"/>
  <c r="H94" i="22"/>
  <c r="G94" i="22"/>
  <c r="A96" i="22"/>
  <c r="C95" i="22"/>
  <c r="G52" i="29" l="1"/>
  <c r="E52" i="29"/>
  <c r="F52" i="29"/>
  <c r="B52" i="28"/>
  <c r="D52" i="28" s="1"/>
  <c r="F52" i="28" s="1"/>
  <c r="C32" i="22"/>
  <c r="I32" i="22"/>
  <c r="D32" i="22"/>
  <c r="G32" i="22" s="1"/>
  <c r="A97" i="22"/>
  <c r="D95" i="22"/>
  <c r="I95" i="22"/>
  <c r="K95" i="22" s="1"/>
  <c r="H95" i="22"/>
  <c r="G95" i="22"/>
  <c r="F95" i="22"/>
  <c r="H52" i="29" l="1"/>
  <c r="A53" i="29" s="1"/>
  <c r="I52" i="28"/>
  <c r="E52" i="28"/>
  <c r="G52" i="28"/>
  <c r="H52" i="28" s="1"/>
  <c r="A53" i="28" s="1"/>
  <c r="H96" i="22"/>
  <c r="G96" i="22"/>
  <c r="F96" i="22"/>
  <c r="D96" i="22"/>
  <c r="I96" i="22"/>
  <c r="K96" i="22" s="1"/>
  <c r="F32" i="22"/>
  <c r="H32" i="22" s="1"/>
  <c r="A33" i="22" s="1"/>
  <c r="B33" i="22" s="1"/>
  <c r="C96" i="22"/>
  <c r="C97" i="22"/>
  <c r="A98" i="22"/>
  <c r="B53" i="29" l="1"/>
  <c r="C53" i="29"/>
  <c r="B53" i="28"/>
  <c r="C53" i="28"/>
  <c r="A99" i="22"/>
  <c r="D97" i="22"/>
  <c r="H97" i="22"/>
  <c r="G97" i="22"/>
  <c r="F97" i="22"/>
  <c r="I97" i="22"/>
  <c r="K97" i="22" s="1"/>
  <c r="I53" i="29" l="1"/>
  <c r="D53" i="29"/>
  <c r="F53" i="29" s="1"/>
  <c r="I53" i="28"/>
  <c r="D53" i="28"/>
  <c r="E53" i="28" s="1"/>
  <c r="H98" i="22"/>
  <c r="G98" i="22"/>
  <c r="D98" i="22"/>
  <c r="I98" i="22"/>
  <c r="K98" i="22" s="1"/>
  <c r="F98" i="22"/>
  <c r="D33" i="22"/>
  <c r="I33" i="22"/>
  <c r="A100" i="22"/>
  <c r="C99" i="22"/>
  <c r="C98" i="22"/>
  <c r="C33" i="22"/>
  <c r="E53" i="29" l="1"/>
  <c r="G53" i="29"/>
  <c r="H53" i="29" s="1"/>
  <c r="A54" i="29" s="1"/>
  <c r="B54" i="29" s="1"/>
  <c r="G53" i="28"/>
  <c r="F53" i="28"/>
  <c r="F33" i="22"/>
  <c r="A101" i="22"/>
  <c r="G33" i="22"/>
  <c r="D99" i="22"/>
  <c r="I99" i="22"/>
  <c r="K99" i="22" s="1"/>
  <c r="F99" i="22"/>
  <c r="G99" i="22"/>
  <c r="H99" i="22"/>
  <c r="C54" i="29" l="1"/>
  <c r="J54" i="29" s="1"/>
  <c r="I54" i="29"/>
  <c r="D54" i="29"/>
  <c r="H53" i="28"/>
  <c r="A54" i="28" s="1"/>
  <c r="B54" i="28" s="1"/>
  <c r="H33" i="22"/>
  <c r="A34" i="22" s="1"/>
  <c r="B34" i="22" s="1"/>
  <c r="C34" i="22"/>
  <c r="H100" i="22"/>
  <c r="I100" i="22"/>
  <c r="K100" i="22" s="1"/>
  <c r="G100" i="22"/>
  <c r="F100" i="22"/>
  <c r="D100" i="22"/>
  <c r="A102" i="22"/>
  <c r="C100" i="22"/>
  <c r="F54" i="29" l="1"/>
  <c r="G54" i="29"/>
  <c r="E54" i="29"/>
  <c r="C54" i="28"/>
  <c r="J54" i="28" s="1"/>
  <c r="D54" i="28"/>
  <c r="I54" i="28"/>
  <c r="A103" i="22"/>
  <c r="D101" i="22"/>
  <c r="I101" i="22"/>
  <c r="K101" i="22" s="1"/>
  <c r="H101" i="22"/>
  <c r="G101" i="22"/>
  <c r="F101" i="22"/>
  <c r="C101" i="22"/>
  <c r="I34" i="22"/>
  <c r="D34" i="22"/>
  <c r="F34" i="22" s="1"/>
  <c r="E54" i="28" l="1"/>
  <c r="H54" i="29"/>
  <c r="A55" i="29" s="1"/>
  <c r="C55" i="29" s="1"/>
  <c r="F54" i="28"/>
  <c r="G54" i="28"/>
  <c r="G34" i="22"/>
  <c r="H34" i="22" s="1"/>
  <c r="A35" i="22" s="1"/>
  <c r="H102" i="22"/>
  <c r="G102" i="22"/>
  <c r="I102" i="22"/>
  <c r="K102" i="22" s="1"/>
  <c r="F102" i="22"/>
  <c r="D102" i="22"/>
  <c r="C102" i="22"/>
  <c r="A104" i="22"/>
  <c r="C103" i="22"/>
  <c r="B55" i="29" l="1"/>
  <c r="D55" i="29" s="1"/>
  <c r="G55" i="29" s="1"/>
  <c r="H54" i="28"/>
  <c r="A55" i="28" s="1"/>
  <c r="B55" i="28" s="1"/>
  <c r="D55" i="28" s="1"/>
  <c r="B35" i="22"/>
  <c r="C35" i="22" s="1"/>
  <c r="A105" i="22"/>
  <c r="D103" i="22"/>
  <c r="H103" i="22"/>
  <c r="G103" i="22"/>
  <c r="F103" i="22"/>
  <c r="I103" i="22"/>
  <c r="K103" i="22" s="1"/>
  <c r="F55" i="29" l="1"/>
  <c r="H55" i="29" s="1"/>
  <c r="A56" i="29" s="1"/>
  <c r="B56" i="29" s="1"/>
  <c r="E55" i="29"/>
  <c r="I55" i="29"/>
  <c r="C55" i="28"/>
  <c r="F55" i="28" s="1"/>
  <c r="I55" i="28"/>
  <c r="I35" i="22"/>
  <c r="D35" i="22"/>
  <c r="F35" i="22" s="1"/>
  <c r="H104" i="22"/>
  <c r="I104" i="22"/>
  <c r="K104" i="22" s="1"/>
  <c r="G104" i="22"/>
  <c r="F104" i="22"/>
  <c r="D104" i="22"/>
  <c r="C104" i="22"/>
  <c r="A106" i="22"/>
  <c r="C56" i="29" l="1"/>
  <c r="G55" i="28"/>
  <c r="H55" i="28" s="1"/>
  <c r="A56" i="28" s="1"/>
  <c r="B56" i="28" s="1"/>
  <c r="D56" i="28" s="1"/>
  <c r="I56" i="29"/>
  <c r="D56" i="29"/>
  <c r="E55" i="28"/>
  <c r="G35" i="22"/>
  <c r="H35" i="22" s="1"/>
  <c r="A36" i="22" s="1"/>
  <c r="B36" i="22" s="1"/>
  <c r="B37" i="22" s="1"/>
  <c r="A107" i="22"/>
  <c r="D105" i="22"/>
  <c r="G105" i="22"/>
  <c r="F105" i="22"/>
  <c r="I105" i="22"/>
  <c r="K105" i="22" s="1"/>
  <c r="H105" i="22"/>
  <c r="C105" i="22"/>
  <c r="E56" i="29" l="1"/>
  <c r="F56" i="29"/>
  <c r="G56" i="29"/>
  <c r="C56" i="28"/>
  <c r="E56" i="28" s="1"/>
  <c r="I56" i="28"/>
  <c r="I36" i="22"/>
  <c r="D36" i="22"/>
  <c r="C36" i="22"/>
  <c r="H106" i="22"/>
  <c r="G106" i="22"/>
  <c r="I106" i="22"/>
  <c r="K106" i="22" s="1"/>
  <c r="F106" i="22"/>
  <c r="D106" i="22"/>
  <c r="C106" i="22"/>
  <c r="A108" i="22"/>
  <c r="C107" i="22"/>
  <c r="H56" i="29" l="1"/>
  <c r="A57" i="29" s="1"/>
  <c r="C57" i="29" s="1"/>
  <c r="F56" i="28"/>
  <c r="G56" i="28"/>
  <c r="I37" i="22"/>
  <c r="F36" i="22"/>
  <c r="G36" i="22"/>
  <c r="A109" i="22"/>
  <c r="C108" i="22"/>
  <c r="D107" i="22"/>
  <c r="I107" i="22"/>
  <c r="K107" i="22" s="1"/>
  <c r="H107" i="22"/>
  <c r="G107" i="22"/>
  <c r="F107" i="22"/>
  <c r="B57" i="29" l="1"/>
  <c r="D57" i="29" s="1"/>
  <c r="E57" i="29" s="1"/>
  <c r="H56" i="28"/>
  <c r="A57" i="28" s="1"/>
  <c r="B57" i="28" s="1"/>
  <c r="I57" i="28" s="1"/>
  <c r="H36" i="22"/>
  <c r="C37" i="22"/>
  <c r="H108" i="22"/>
  <c r="I108" i="22"/>
  <c r="K108" i="22" s="1"/>
  <c r="G108" i="22"/>
  <c r="F108" i="22"/>
  <c r="D108" i="22"/>
  <c r="A110" i="22"/>
  <c r="D37" i="22"/>
  <c r="F37" i="22" s="1"/>
  <c r="I57" i="29" l="1"/>
  <c r="F57" i="29"/>
  <c r="G57" i="29"/>
  <c r="C57" i="28"/>
  <c r="D57" i="28"/>
  <c r="A111" i="22"/>
  <c r="D109" i="22"/>
  <c r="I109" i="22"/>
  <c r="K109" i="22" s="1"/>
  <c r="H109" i="22"/>
  <c r="G109" i="22"/>
  <c r="F109" i="22"/>
  <c r="G37" i="22"/>
  <c r="H37" i="22" s="1"/>
  <c r="A38" i="22" s="1"/>
  <c r="B38" i="22" s="1"/>
  <c r="C109" i="22"/>
  <c r="H57" i="29" l="1"/>
  <c r="A58" i="29" s="1"/>
  <c r="B58" i="29" s="1"/>
  <c r="E57" i="28"/>
  <c r="F57" i="28"/>
  <c r="G57" i="28"/>
  <c r="H110" i="22"/>
  <c r="G110" i="22"/>
  <c r="I110" i="22"/>
  <c r="K110" i="22" s="1"/>
  <c r="F110" i="22"/>
  <c r="D110" i="22"/>
  <c r="A112" i="22"/>
  <c r="C110" i="22"/>
  <c r="C58" i="29" l="1"/>
  <c r="D58" i="29"/>
  <c r="I58" i="29"/>
  <c r="H57" i="28"/>
  <c r="A58" i="28" s="1"/>
  <c r="B58" i="28" s="1"/>
  <c r="D58" i="28" s="1"/>
  <c r="D111" i="22"/>
  <c r="I111" i="22"/>
  <c r="K111" i="22" s="1"/>
  <c r="H111" i="22"/>
  <c r="G111" i="22"/>
  <c r="F111" i="22"/>
  <c r="C112" i="22"/>
  <c r="A113" i="22"/>
  <c r="C111" i="22"/>
  <c r="I38" i="22"/>
  <c r="D38" i="22"/>
  <c r="C38" i="22"/>
  <c r="E58" i="29" l="1"/>
  <c r="F58" i="29"/>
  <c r="G58" i="29"/>
  <c r="I58" i="28"/>
  <c r="C58" i="28"/>
  <c r="E58" i="28" s="1"/>
  <c r="F38" i="22"/>
  <c r="G38" i="22"/>
  <c r="A114" i="22"/>
  <c r="C113" i="22"/>
  <c r="H112" i="22"/>
  <c r="G112" i="22"/>
  <c r="F112" i="22"/>
  <c r="D112" i="22"/>
  <c r="I112" i="22"/>
  <c r="K112" i="22" s="1"/>
  <c r="F58" i="28" l="1"/>
  <c r="H58" i="29"/>
  <c r="A59" i="29" s="1"/>
  <c r="G58" i="28"/>
  <c r="H38" i="22"/>
  <c r="A39" i="22" s="1"/>
  <c r="B39" i="22" s="1"/>
  <c r="B40" i="22" s="1"/>
  <c r="D113" i="22"/>
  <c r="I113" i="22"/>
  <c r="K113" i="22" s="1"/>
  <c r="H113" i="22"/>
  <c r="G113" i="22"/>
  <c r="F113" i="22"/>
  <c r="C114" i="22"/>
  <c r="A115" i="22"/>
  <c r="C39" i="22"/>
  <c r="H58" i="28" l="1"/>
  <c r="A59" i="28" s="1"/>
  <c r="B59" i="28" s="1"/>
  <c r="D59" i="28" s="1"/>
  <c r="C59" i="29"/>
  <c r="B59" i="29"/>
  <c r="I39" i="22"/>
  <c r="D39" i="22"/>
  <c r="F39" i="22" s="1"/>
  <c r="A116" i="22"/>
  <c r="C115" i="22"/>
  <c r="H114" i="22"/>
  <c r="G114" i="22"/>
  <c r="D114" i="22"/>
  <c r="F114" i="22"/>
  <c r="I114" i="22"/>
  <c r="K114" i="22" s="1"/>
  <c r="I40" i="22"/>
  <c r="C40" i="22"/>
  <c r="I59" i="28" l="1"/>
  <c r="C59" i="28"/>
  <c r="F59" i="28" s="1"/>
  <c r="I59" i="29"/>
  <c r="D59" i="29"/>
  <c r="F59" i="29" s="1"/>
  <c r="G39" i="22"/>
  <c r="A117" i="22"/>
  <c r="H115" i="22"/>
  <c r="D115" i="22"/>
  <c r="I115" i="22"/>
  <c r="K115" i="22" s="1"/>
  <c r="G115" i="22"/>
  <c r="F115" i="22"/>
  <c r="E59" i="28" l="1"/>
  <c r="G59" i="28"/>
  <c r="H59" i="28" s="1"/>
  <c r="A60" i="28" s="1"/>
  <c r="B60" i="28" s="1"/>
  <c r="D60" i="28" s="1"/>
  <c r="E59" i="29"/>
  <c r="G59" i="29"/>
  <c r="H59" i="29" s="1"/>
  <c r="A60" i="29" s="1"/>
  <c r="D40" i="22"/>
  <c r="H39" i="22"/>
  <c r="F116" i="22"/>
  <c r="H116" i="22"/>
  <c r="I116" i="22"/>
  <c r="K116" i="22" s="1"/>
  <c r="G116" i="22"/>
  <c r="D116" i="22"/>
  <c r="A118" i="22"/>
  <c r="C116" i="22"/>
  <c r="C60" i="28" l="1"/>
  <c r="G60" i="28" s="1"/>
  <c r="I60" i="28"/>
  <c r="B60" i="29"/>
  <c r="C60" i="29"/>
  <c r="F40" i="22"/>
  <c r="G40" i="22"/>
  <c r="C41" i="22"/>
  <c r="I117" i="22"/>
  <c r="K117" i="22" s="1"/>
  <c r="D117" i="22"/>
  <c r="H117" i="22"/>
  <c r="G117" i="22"/>
  <c r="F117" i="22"/>
  <c r="A119" i="22"/>
  <c r="C117" i="22"/>
  <c r="F60" i="28" l="1"/>
  <c r="H60" i="28" s="1"/>
  <c r="A61" i="28" s="1"/>
  <c r="E60" i="28"/>
  <c r="D60" i="29"/>
  <c r="G60" i="29" s="1"/>
  <c r="I60" i="29"/>
  <c r="H40" i="22"/>
  <c r="A41" i="22" s="1"/>
  <c r="B41" i="22" s="1"/>
  <c r="D41" i="22" s="1"/>
  <c r="H118" i="22"/>
  <c r="G118" i="22"/>
  <c r="D118" i="22"/>
  <c r="I118" i="22"/>
  <c r="K118" i="22" s="1"/>
  <c r="F118" i="22"/>
  <c r="C118" i="22"/>
  <c r="A120" i="22"/>
  <c r="C119" i="22"/>
  <c r="C42" i="22"/>
  <c r="B61" i="28" l="1"/>
  <c r="D61" i="28" s="1"/>
  <c r="C61" i="28"/>
  <c r="E60" i="29"/>
  <c r="F60" i="29"/>
  <c r="H60" i="29" s="1"/>
  <c r="A61" i="29" s="1"/>
  <c r="I41" i="22"/>
  <c r="G41" i="22"/>
  <c r="F41" i="22"/>
  <c r="A121" i="22"/>
  <c r="H119" i="22"/>
  <c r="D119" i="22"/>
  <c r="I119" i="22"/>
  <c r="K119" i="22" s="1"/>
  <c r="G119" i="22"/>
  <c r="F119" i="22"/>
  <c r="I61" i="28" l="1"/>
  <c r="E61" i="28"/>
  <c r="G61" i="28"/>
  <c r="F61" i="28"/>
  <c r="B61" i="29"/>
  <c r="C61" i="29"/>
  <c r="H41" i="22"/>
  <c r="A42" i="22" s="1"/>
  <c r="B42" i="22" s="1"/>
  <c r="D42" i="22" s="1"/>
  <c r="F120" i="22"/>
  <c r="H120" i="22"/>
  <c r="I120" i="22"/>
  <c r="K120" i="22" s="1"/>
  <c r="G120" i="22"/>
  <c r="D120" i="22"/>
  <c r="C120" i="22"/>
  <c r="A122" i="22"/>
  <c r="C121" i="22"/>
  <c r="H61" i="28" l="1"/>
  <c r="A62" i="28" s="1"/>
  <c r="B62" i="28" s="1"/>
  <c r="I62" i="28" s="1"/>
  <c r="I61" i="29"/>
  <c r="D61" i="29"/>
  <c r="F61" i="29" s="1"/>
  <c r="I42" i="22"/>
  <c r="F42" i="22"/>
  <c r="G42" i="22"/>
  <c r="I121" i="22"/>
  <c r="K121" i="22" s="1"/>
  <c r="D121" i="22"/>
  <c r="F121" i="22"/>
  <c r="H121" i="22"/>
  <c r="G121" i="22"/>
  <c r="A123" i="22"/>
  <c r="C122" i="22"/>
  <c r="C43" i="22"/>
  <c r="D62" i="28" l="1"/>
  <c r="C62" i="28"/>
  <c r="G61" i="29"/>
  <c r="H61" i="29" s="1"/>
  <c r="A62" i="29" s="1"/>
  <c r="B62" i="29" s="1"/>
  <c r="E61" i="29"/>
  <c r="H42" i="22"/>
  <c r="A43" i="22" s="1"/>
  <c r="B43" i="22" s="1"/>
  <c r="I43" i="22" s="1"/>
  <c r="H122" i="22"/>
  <c r="G122" i="22"/>
  <c r="D122" i="22"/>
  <c r="I122" i="22"/>
  <c r="K122" i="22" s="1"/>
  <c r="F122" i="22"/>
  <c r="A124" i="22"/>
  <c r="C123" i="22"/>
  <c r="E62" i="28" l="1"/>
  <c r="G62" i="28"/>
  <c r="F62" i="28"/>
  <c r="C62" i="29"/>
  <c r="I62" i="29"/>
  <c r="D62" i="29"/>
  <c r="D43" i="22"/>
  <c r="F43" i="22" s="1"/>
  <c r="H123" i="22"/>
  <c r="D123" i="22"/>
  <c r="G123" i="22"/>
  <c r="F123" i="22"/>
  <c r="I123" i="22"/>
  <c r="K123" i="22" s="1"/>
  <c r="A125" i="22"/>
  <c r="C124" i="22"/>
  <c r="H62" i="28" l="1"/>
  <c r="A63" i="28" s="1"/>
  <c r="C63" i="28" s="1"/>
  <c r="F62" i="29"/>
  <c r="E62" i="29"/>
  <c r="G62" i="29"/>
  <c r="G43" i="22"/>
  <c r="H43" i="22" s="1"/>
  <c r="A44" i="22" s="1"/>
  <c r="B44" i="22" s="1"/>
  <c r="D44" i="22" s="1"/>
  <c r="C44" i="22"/>
  <c r="A126" i="22"/>
  <c r="F124" i="22"/>
  <c r="H124" i="22"/>
  <c r="I124" i="22"/>
  <c r="K124" i="22" s="1"/>
  <c r="G124" i="22"/>
  <c r="D124" i="22"/>
  <c r="B63" i="28" l="1"/>
  <c r="I63" i="28" s="1"/>
  <c r="H62" i="29"/>
  <c r="A63" i="29" s="1"/>
  <c r="B63" i="29" s="1"/>
  <c r="G44" i="22"/>
  <c r="F44" i="22"/>
  <c r="I44" i="22"/>
  <c r="I125" i="22"/>
  <c r="K125" i="22" s="1"/>
  <c r="D125" i="22"/>
  <c r="H125" i="22"/>
  <c r="G125" i="22"/>
  <c r="F125" i="22"/>
  <c r="A127" i="22"/>
  <c r="C125" i="22"/>
  <c r="D63" i="28" l="1"/>
  <c r="F63" i="28" s="1"/>
  <c r="C63" i="29"/>
  <c r="D63" i="29"/>
  <c r="I63" i="29"/>
  <c r="H44" i="22"/>
  <c r="A45" i="22" s="1"/>
  <c r="B45" i="22" s="1"/>
  <c r="D45" i="22" s="1"/>
  <c r="H126" i="22"/>
  <c r="G126" i="22"/>
  <c r="D126" i="22"/>
  <c r="I126" i="22"/>
  <c r="K126" i="22" s="1"/>
  <c r="F126" i="22"/>
  <c r="C126" i="22"/>
  <c r="A128" i="22"/>
  <c r="C127" i="22"/>
  <c r="C45" i="22"/>
  <c r="G63" i="28" l="1"/>
  <c r="H63" i="28" s="1"/>
  <c r="A64" i="28" s="1"/>
  <c r="B64" i="28" s="1"/>
  <c r="D64" i="28" s="1"/>
  <c r="E63" i="28"/>
  <c r="G63" i="29"/>
  <c r="E63" i="29"/>
  <c r="F63" i="29"/>
  <c r="I45" i="22"/>
  <c r="F45" i="22"/>
  <c r="G45" i="22"/>
  <c r="A129" i="22"/>
  <c r="C128" i="22"/>
  <c r="H127" i="22"/>
  <c r="D127" i="22"/>
  <c r="I127" i="22"/>
  <c r="K127" i="22" s="1"/>
  <c r="G127" i="22"/>
  <c r="F127" i="22"/>
  <c r="H63" i="29" l="1"/>
  <c r="A64" i="29" s="1"/>
  <c r="C64" i="29" s="1"/>
  <c r="I64" i="28"/>
  <c r="K64" i="28" s="1"/>
  <c r="C64" i="28"/>
  <c r="G64" i="28" s="1"/>
  <c r="H45" i="22"/>
  <c r="A46" i="22" s="1"/>
  <c r="F128" i="22"/>
  <c r="H128" i="22"/>
  <c r="I128" i="22"/>
  <c r="K128" i="22" s="1"/>
  <c r="G128" i="22"/>
  <c r="D128" i="22"/>
  <c r="A130" i="22"/>
  <c r="B64" i="29" l="1"/>
  <c r="D64" i="29" s="1"/>
  <c r="F64" i="29" s="1"/>
  <c r="F64" i="28"/>
  <c r="H64" i="28" s="1"/>
  <c r="A65" i="28" s="1"/>
  <c r="C65" i="28" s="1"/>
  <c r="E64" i="28"/>
  <c r="B46" i="22"/>
  <c r="C46" i="22" s="1"/>
  <c r="I129" i="22"/>
  <c r="K129" i="22" s="1"/>
  <c r="D129" i="22"/>
  <c r="H129" i="22"/>
  <c r="G129" i="22"/>
  <c r="F129" i="22"/>
  <c r="A131" i="22"/>
  <c r="C129" i="22"/>
  <c r="I64" i="29" l="1"/>
  <c r="K64" i="29" s="1"/>
  <c r="E64" i="29"/>
  <c r="G64" i="29"/>
  <c r="H64" i="29" s="1"/>
  <c r="A65" i="29" s="1"/>
  <c r="C65" i="29" s="1"/>
  <c r="B65" i="28"/>
  <c r="I65" i="28" s="1"/>
  <c r="K65" i="28" s="1"/>
  <c r="D46" i="22"/>
  <c r="F46" i="22" s="1"/>
  <c r="I46" i="22"/>
  <c r="A132" i="22"/>
  <c r="C131" i="22"/>
  <c r="H130" i="22"/>
  <c r="G130" i="22"/>
  <c r="D130" i="22"/>
  <c r="F130" i="22"/>
  <c r="I130" i="22"/>
  <c r="K130" i="22" s="1"/>
  <c r="C130" i="22"/>
  <c r="B65" i="29" l="1"/>
  <c r="D65" i="29" s="1"/>
  <c r="F65" i="29" s="1"/>
  <c r="D65" i="28"/>
  <c r="G46" i="22"/>
  <c r="H46" i="22" s="1"/>
  <c r="A47" i="22" s="1"/>
  <c r="B47" i="22" s="1"/>
  <c r="I47" i="22" s="1"/>
  <c r="A133" i="22"/>
  <c r="H131" i="22"/>
  <c r="D131" i="22"/>
  <c r="I131" i="22"/>
  <c r="K131" i="22" s="1"/>
  <c r="G131" i="22"/>
  <c r="F131" i="22"/>
  <c r="I65" i="29" l="1"/>
  <c r="K65" i="29" s="1"/>
  <c r="G65" i="29"/>
  <c r="H65" i="29" s="1"/>
  <c r="A66" i="29" s="1"/>
  <c r="C66" i="29" s="1"/>
  <c r="E65" i="29"/>
  <c r="F65" i="28"/>
  <c r="E65" i="28"/>
  <c r="G65" i="28"/>
  <c r="C47" i="22"/>
  <c r="J47" i="22" s="1"/>
  <c r="D47" i="22"/>
  <c r="G47" i="22" s="1"/>
  <c r="F132" i="22"/>
  <c r="H132" i="22"/>
  <c r="I132" i="22"/>
  <c r="K132" i="22" s="1"/>
  <c r="G132" i="22"/>
  <c r="D132" i="22"/>
  <c r="C132" i="22"/>
  <c r="A134" i="22"/>
  <c r="B66" i="29" l="1"/>
  <c r="I66" i="29" s="1"/>
  <c r="K66" i="29" s="1"/>
  <c r="H65" i="28"/>
  <c r="A66" i="28" s="1"/>
  <c r="C66" i="28" s="1"/>
  <c r="F47" i="22"/>
  <c r="H47" i="22" s="1"/>
  <c r="A48" i="22" s="1"/>
  <c r="B48" i="22" s="1"/>
  <c r="D48" i="22" s="1"/>
  <c r="D133" i="22"/>
  <c r="F133" i="22"/>
  <c r="I133" i="22"/>
  <c r="K133" i="22" s="1"/>
  <c r="H133" i="22"/>
  <c r="G133" i="22"/>
  <c r="C133" i="22"/>
  <c r="A135" i="22"/>
  <c r="C48" i="22"/>
  <c r="D66" i="29" l="1"/>
  <c r="F66" i="29" s="1"/>
  <c r="B66" i="28"/>
  <c r="D66" i="28" s="1"/>
  <c r="I48" i="22"/>
  <c r="F48" i="22"/>
  <c r="G48" i="22"/>
  <c r="H134" i="22"/>
  <c r="I134" i="22"/>
  <c r="K134" i="22" s="1"/>
  <c r="F134" i="22"/>
  <c r="G134" i="22"/>
  <c r="D134" i="22"/>
  <c r="C134" i="22"/>
  <c r="A136" i="22"/>
  <c r="C135" i="22"/>
  <c r="G66" i="29" l="1"/>
  <c r="H66" i="29" s="1"/>
  <c r="A67" i="29" s="1"/>
  <c r="C67" i="29" s="1"/>
  <c r="E66" i="29"/>
  <c r="I66" i="28"/>
  <c r="K66" i="28" s="1"/>
  <c r="G66" i="28"/>
  <c r="E66" i="28"/>
  <c r="F66" i="28"/>
  <c r="H48" i="22"/>
  <c r="A49" i="22" s="1"/>
  <c r="B49" i="22" s="1"/>
  <c r="A137" i="22"/>
  <c r="C136" i="22"/>
  <c r="D135" i="22"/>
  <c r="F135" i="22"/>
  <c r="H135" i="22"/>
  <c r="I135" i="22"/>
  <c r="K135" i="22" s="1"/>
  <c r="G135" i="22"/>
  <c r="C49" i="22"/>
  <c r="B67" i="29" l="1"/>
  <c r="I67" i="29" s="1"/>
  <c r="K67" i="29" s="1"/>
  <c r="H66" i="28"/>
  <c r="A67" i="28" s="1"/>
  <c r="C67" i="28" s="1"/>
  <c r="H136" i="22"/>
  <c r="F136" i="22"/>
  <c r="D136" i="22"/>
  <c r="I136" i="22"/>
  <c r="K136" i="22" s="1"/>
  <c r="G136" i="22"/>
  <c r="I49" i="22"/>
  <c r="D49" i="22"/>
  <c r="G49" i="22" s="1"/>
  <c r="A138" i="22"/>
  <c r="D67" i="29" l="1"/>
  <c r="G67" i="29" s="1"/>
  <c r="B67" i="28"/>
  <c r="D67" i="28" s="1"/>
  <c r="G67" i="28" s="1"/>
  <c r="F49" i="22"/>
  <c r="H49" i="22" s="1"/>
  <c r="A50"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L27" i="22" s="1" a="1"/>
  <c r="A139" i="22"/>
  <c r="D137" i="22"/>
  <c r="H137" i="22"/>
  <c r="I137" i="22"/>
  <c r="K137" i="22" s="1"/>
  <c r="G137" i="22"/>
  <c r="F137" i="22"/>
  <c r="C137" i="22"/>
  <c r="E67" i="29" l="1"/>
  <c r="F67" i="29"/>
  <c r="H67" i="29" s="1"/>
  <c r="A68" i="29" s="1"/>
  <c r="B68" i="29" s="1"/>
  <c r="F67" i="28"/>
  <c r="H67" i="28" s="1"/>
  <c r="A68" i="28" s="1"/>
  <c r="B68" i="28" s="1"/>
  <c r="I67" i="28"/>
  <c r="K67" i="28" s="1"/>
  <c r="E67" i="28"/>
  <c r="Q27" i="22"/>
  <c r="AC27" i="22"/>
  <c r="AO27" i="22"/>
  <c r="BA27" i="22"/>
  <c r="BM27" i="22"/>
  <c r="R27" i="22"/>
  <c r="AD27" i="22"/>
  <c r="AP27" i="22"/>
  <c r="BB27" i="22"/>
  <c r="BN27" i="22"/>
  <c r="S27" i="22"/>
  <c r="AE27" i="22"/>
  <c r="AQ27" i="22"/>
  <c r="BC27" i="22"/>
  <c r="BO27" i="22"/>
  <c r="T27" i="22"/>
  <c r="AF27" i="22"/>
  <c r="AR27" i="22"/>
  <c r="BD27" i="22"/>
  <c r="BP27" i="22"/>
  <c r="U27" i="22"/>
  <c r="AG27" i="22"/>
  <c r="AS27" i="22"/>
  <c r="BE27" i="22"/>
  <c r="BQ27" i="22"/>
  <c r="V27" i="22"/>
  <c r="AH27" i="22"/>
  <c r="AT27" i="22"/>
  <c r="BF27" i="22"/>
  <c r="BR27" i="22"/>
  <c r="W27" i="22"/>
  <c r="AI27" i="22"/>
  <c r="AU27" i="22"/>
  <c r="BG27" i="22"/>
  <c r="BS27" i="22"/>
  <c r="L27" i="22"/>
  <c r="X27" i="22"/>
  <c r="AJ27" i="22"/>
  <c r="AV27" i="22"/>
  <c r="BH27" i="22"/>
  <c r="M27" i="22"/>
  <c r="Y27" i="22"/>
  <c r="AK27" i="22"/>
  <c r="AW27" i="22"/>
  <c r="BI27" i="22"/>
  <c r="N27" i="22"/>
  <c r="Z27" i="22"/>
  <c r="AL27" i="22"/>
  <c r="AX27" i="22"/>
  <c r="BJ27" i="22"/>
  <c r="O27" i="22"/>
  <c r="AA27" i="22"/>
  <c r="AM27" i="22"/>
  <c r="AY27" i="22"/>
  <c r="BK27" i="22"/>
  <c r="P27" i="22"/>
  <c r="AB27" i="22"/>
  <c r="AN27" i="22"/>
  <c r="AZ27" i="22"/>
  <c r="BL27" i="22"/>
  <c r="H138" i="22"/>
  <c r="G138" i="22"/>
  <c r="I138" i="22"/>
  <c r="F138" i="22"/>
  <c r="D138" i="22"/>
  <c r="I50" i="22"/>
  <c r="D50" i="22"/>
  <c r="A140" i="22"/>
  <c r="C139" i="22"/>
  <c r="C138" i="22"/>
  <c r="C50" i="22"/>
  <c r="C68" i="29" l="1"/>
  <c r="I68" i="29"/>
  <c r="K68" i="29" s="1"/>
  <c r="D68" i="29"/>
  <c r="C68" i="28"/>
  <c r="D68" i="28"/>
  <c r="I68" i="28"/>
  <c r="K68" i="28" s="1"/>
  <c r="G50" i="22"/>
  <c r="D51" i="22" s="1"/>
  <c r="F50" i="22"/>
  <c r="I51" i="22"/>
  <c r="C51" i="22"/>
  <c r="K138" i="22"/>
  <c r="D139" i="22"/>
  <c r="H139" i="22"/>
  <c r="G139" i="22"/>
  <c r="I139" i="22"/>
  <c r="F139" i="22"/>
  <c r="A141" i="22"/>
  <c r="C140" i="22"/>
  <c r="F68" i="29" l="1"/>
  <c r="G68" i="29"/>
  <c r="L64" i="29" s="1"/>
  <c r="E68" i="29"/>
  <c r="F68" i="28"/>
  <c r="E68" i="28"/>
  <c r="G68" i="28"/>
  <c r="H50" i="22"/>
  <c r="G51" i="22"/>
  <c r="D52" i="22" s="1"/>
  <c r="A142" i="22"/>
  <c r="C141" i="22"/>
  <c r="I52" i="22"/>
  <c r="C52" i="22"/>
  <c r="I140" i="22"/>
  <c r="D140" i="22"/>
  <c r="G140" i="22"/>
  <c r="H140" i="22"/>
  <c r="F140" i="22"/>
  <c r="F51" i="22"/>
  <c r="H68" i="29" l="1"/>
  <c r="A69" i="29" s="1"/>
  <c r="C69" i="29" s="1"/>
  <c r="L64" i="28"/>
  <c r="H68" i="28"/>
  <c r="A69" i="28" s="1"/>
  <c r="B69" i="28" s="1"/>
  <c r="H51" i="22"/>
  <c r="F52" i="22"/>
  <c r="G52" i="22"/>
  <c r="I53" i="22"/>
  <c r="C53" i="22"/>
  <c r="C142" i="22"/>
  <c r="A143" i="22"/>
  <c r="G141" i="22"/>
  <c r="F141" i="22"/>
  <c r="D141" i="22"/>
  <c r="I141" i="22"/>
  <c r="H141" i="22"/>
  <c r="B69" i="29" l="1"/>
  <c r="D69" i="29" s="1"/>
  <c r="G69" i="29" s="1"/>
  <c r="C69" i="28"/>
  <c r="I69" i="28"/>
  <c r="K69" i="28" s="1"/>
  <c r="D69" i="28"/>
  <c r="H52" i="22"/>
  <c r="D53" i="22"/>
  <c r="G53" i="22" s="1"/>
  <c r="D54" i="22" s="1"/>
  <c r="A144" i="22"/>
  <c r="C143" i="22"/>
  <c r="D142" i="22"/>
  <c r="I142" i="22"/>
  <c r="F142" i="22"/>
  <c r="H142" i="22"/>
  <c r="G142" i="22"/>
  <c r="I54" i="22"/>
  <c r="C54" i="22"/>
  <c r="J54" i="22" s="1"/>
  <c r="I69" i="29" l="1"/>
  <c r="K69" i="29" s="1"/>
  <c r="E69" i="29"/>
  <c r="F69" i="29"/>
  <c r="H69" i="29" s="1"/>
  <c r="A70" i="29" s="1"/>
  <c r="E69" i="28"/>
  <c r="G69" i="28"/>
  <c r="F69" i="28"/>
  <c r="F53" i="22"/>
  <c r="H53" i="22" s="1"/>
  <c r="A145" i="22"/>
  <c r="I55" i="22"/>
  <c r="C55" i="22"/>
  <c r="I143" i="22"/>
  <c r="D143" i="22"/>
  <c r="H143" i="22"/>
  <c r="G143" i="22"/>
  <c r="F143" i="22"/>
  <c r="C70" i="29" l="1"/>
  <c r="B70" i="29"/>
  <c r="H69" i="28"/>
  <c r="A70" i="28" s="1"/>
  <c r="C70" i="28" s="1"/>
  <c r="G54" i="22"/>
  <c r="D55" i="22" s="1"/>
  <c r="F54" i="22"/>
  <c r="G144" i="22"/>
  <c r="H144" i="22"/>
  <c r="I144" i="22"/>
  <c r="F144" i="22"/>
  <c r="D144" i="22"/>
  <c r="C144" i="22"/>
  <c r="A146" i="22"/>
  <c r="I56" i="22"/>
  <c r="C56" i="22"/>
  <c r="I70" i="29" l="1"/>
  <c r="K70" i="29" s="1"/>
  <c r="D70" i="29"/>
  <c r="G70" i="29" s="1"/>
  <c r="B70" i="28"/>
  <c r="D70" i="28" s="1"/>
  <c r="F70" i="28" s="1"/>
  <c r="G55" i="22"/>
  <c r="D56" i="22" s="1"/>
  <c r="F55" i="22"/>
  <c r="H54" i="22"/>
  <c r="A147" i="22"/>
  <c r="C146" i="22"/>
  <c r="I57" i="22"/>
  <c r="C57" i="22"/>
  <c r="D145" i="22"/>
  <c r="H145" i="22"/>
  <c r="I145" i="22"/>
  <c r="G145" i="22"/>
  <c r="F145" i="22"/>
  <c r="C145" i="22"/>
  <c r="E70" i="29" l="1"/>
  <c r="F70" i="29"/>
  <c r="H70" i="29" s="1"/>
  <c r="A71" i="29" s="1"/>
  <c r="E70" i="28"/>
  <c r="I70" i="28"/>
  <c r="K70" i="28" s="1"/>
  <c r="G70" i="28"/>
  <c r="H70" i="28" s="1"/>
  <c r="A71" i="28" s="1"/>
  <c r="C71" i="28" s="1"/>
  <c r="H55" i="22"/>
  <c r="G56" i="22"/>
  <c r="D57" i="22" s="1"/>
  <c r="F56" i="22"/>
  <c r="I58" i="22"/>
  <c r="C58" i="22"/>
  <c r="C147" i="22"/>
  <c r="A148" i="22"/>
  <c r="I146" i="22"/>
  <c r="H146" i="22"/>
  <c r="F146" i="22"/>
  <c r="G146" i="22"/>
  <c r="D146" i="22"/>
  <c r="B71" i="29" l="1"/>
  <c r="C71" i="29"/>
  <c r="B71" i="28"/>
  <c r="I71" i="28" s="1"/>
  <c r="K71" i="28" s="1"/>
  <c r="G57" i="22"/>
  <c r="D58" i="22" s="1"/>
  <c r="H56" i="22"/>
  <c r="F57" i="22"/>
  <c r="I59" i="22"/>
  <c r="C59" i="22"/>
  <c r="A149" i="22"/>
  <c r="C148" i="22"/>
  <c r="G147" i="22"/>
  <c r="F147" i="22"/>
  <c r="I147" i="22"/>
  <c r="H147" i="22"/>
  <c r="D147" i="22"/>
  <c r="D71" i="29" l="1"/>
  <c r="G71" i="29" s="1"/>
  <c r="I71" i="29"/>
  <c r="K71" i="29" s="1"/>
  <c r="D71" i="28"/>
  <c r="H57" i="22"/>
  <c r="F58" i="22"/>
  <c r="G58" i="22"/>
  <c r="D59" i="22" s="1"/>
  <c r="A150" i="22"/>
  <c r="C149" i="22"/>
  <c r="I60" i="22"/>
  <c r="D148" i="22"/>
  <c r="H148" i="22"/>
  <c r="G148" i="22"/>
  <c r="I148" i="22"/>
  <c r="F148" i="22"/>
  <c r="E71" i="29" l="1"/>
  <c r="F71" i="29"/>
  <c r="H71" i="29" s="1"/>
  <c r="A72" i="29" s="1"/>
  <c r="G71" i="28"/>
  <c r="E71" i="28"/>
  <c r="F71" i="28"/>
  <c r="F59" i="22"/>
  <c r="G59" i="22"/>
  <c r="D60" i="22" s="1"/>
  <c r="H58" i="22"/>
  <c r="C60" i="22"/>
  <c r="I61" i="22"/>
  <c r="C150" i="22"/>
  <c r="A151" i="22"/>
  <c r="I149" i="22"/>
  <c r="D149" i="22"/>
  <c r="G149" i="22"/>
  <c r="H149" i="22"/>
  <c r="F149" i="22"/>
  <c r="B72" i="29" l="1"/>
  <c r="C72" i="29"/>
  <c r="H71" i="28"/>
  <c r="A72" i="28" s="1"/>
  <c r="B72" i="28" s="1"/>
  <c r="I72" i="28" s="1"/>
  <c r="K72" i="28" s="1"/>
  <c r="H59" i="22"/>
  <c r="G150" i="22"/>
  <c r="F150" i="22"/>
  <c r="D150" i="22"/>
  <c r="I150" i="22"/>
  <c r="H150" i="22"/>
  <c r="A152" i="22"/>
  <c r="C151" i="22"/>
  <c r="F60" i="22"/>
  <c r="G60" i="22"/>
  <c r="I62" i="22"/>
  <c r="D72" i="29" l="1"/>
  <c r="F72" i="29" s="1"/>
  <c r="I72" i="29"/>
  <c r="K72" i="29" s="1"/>
  <c r="C72" i="28"/>
  <c r="D72" i="28"/>
  <c r="A153" i="22"/>
  <c r="C152" i="22"/>
  <c r="D151" i="22"/>
  <c r="I151" i="22"/>
  <c r="F151" i="22"/>
  <c r="H151" i="22"/>
  <c r="G151" i="22"/>
  <c r="I63" i="22"/>
  <c r="H60" i="22"/>
  <c r="C61" i="22"/>
  <c r="D61" i="22"/>
  <c r="E72" i="29" l="1"/>
  <c r="G72" i="29"/>
  <c r="H72" i="29" s="1"/>
  <c r="A73" i="29" s="1"/>
  <c r="E72" i="28"/>
  <c r="F72" i="28"/>
  <c r="G72" i="28"/>
  <c r="G61" i="22"/>
  <c r="F61" i="22"/>
  <c r="A154" i="22"/>
  <c r="I64" i="22"/>
  <c r="K64" i="22" s="1"/>
  <c r="I152" i="22"/>
  <c r="D152" i="22"/>
  <c r="H152" i="22"/>
  <c r="G152" i="22"/>
  <c r="F152" i="22"/>
  <c r="C73" i="29" l="1"/>
  <c r="B73" i="29"/>
  <c r="H72" i="28"/>
  <c r="A73" i="28" s="1"/>
  <c r="B73" i="28" s="1"/>
  <c r="D73" i="28" s="1"/>
  <c r="I65" i="22"/>
  <c r="K65" i="22" s="1"/>
  <c r="G153" i="22"/>
  <c r="H153" i="22"/>
  <c r="D153" i="22"/>
  <c r="I153" i="22"/>
  <c r="F153" i="22"/>
  <c r="C153" i="22"/>
  <c r="A155" i="22"/>
  <c r="C154" i="22"/>
  <c r="H61" i="22"/>
  <c r="C62" i="22"/>
  <c r="D62" i="22"/>
  <c r="D73" i="29" l="1"/>
  <c r="F73" i="29" s="1"/>
  <c r="I73" i="29"/>
  <c r="K73" i="29" s="1"/>
  <c r="I73" i="28"/>
  <c r="K73" i="28" s="1"/>
  <c r="C73" i="28"/>
  <c r="F73" i="28" s="1"/>
  <c r="I66" i="22"/>
  <c r="K66" i="22" s="1"/>
  <c r="G62" i="22"/>
  <c r="F62" i="22"/>
  <c r="A156" i="22"/>
  <c r="C155" i="22"/>
  <c r="D154" i="22"/>
  <c r="H154" i="22"/>
  <c r="I154" i="22"/>
  <c r="G154" i="22"/>
  <c r="F154" i="22"/>
  <c r="G73" i="29" l="1"/>
  <c r="H73" i="29" s="1"/>
  <c r="A74" i="29" s="1"/>
  <c r="C74" i="29" s="1"/>
  <c r="E73" i="29"/>
  <c r="G73" i="28"/>
  <c r="H73" i="28" s="1"/>
  <c r="A74" i="28" s="1"/>
  <c r="B74" i="28" s="1"/>
  <c r="D74" i="28" s="1"/>
  <c r="E73" i="28"/>
  <c r="I67" i="22"/>
  <c r="K67" i="22" s="1"/>
  <c r="I155" i="22"/>
  <c r="H155" i="22"/>
  <c r="F155" i="22"/>
  <c r="G155" i="22"/>
  <c r="D155" i="22"/>
  <c r="A157" i="22"/>
  <c r="H62" i="22"/>
  <c r="C63" i="22"/>
  <c r="D63" i="22"/>
  <c r="B74" i="29" l="1"/>
  <c r="D74" i="29" s="1"/>
  <c r="F74" i="29" s="1"/>
  <c r="I74" i="28"/>
  <c r="K74" i="28" s="1"/>
  <c r="C74" i="28"/>
  <c r="G74" i="28" s="1"/>
  <c r="L68" i="28" s="1"/>
  <c r="L69" i="28" s="1"/>
  <c r="F63" i="22"/>
  <c r="G63" i="22"/>
  <c r="A158" i="22"/>
  <c r="I68" i="22"/>
  <c r="K68" i="22" s="1"/>
  <c r="G156" i="22"/>
  <c r="F156" i="22"/>
  <c r="I156" i="22"/>
  <c r="D156" i="22"/>
  <c r="H156" i="22"/>
  <c r="C156" i="22"/>
  <c r="I74" i="29" l="1"/>
  <c r="K74" i="29" s="1"/>
  <c r="G74" i="29"/>
  <c r="E74" i="29"/>
  <c r="E74" i="28"/>
  <c r="F74" i="28"/>
  <c r="H74" i="28" s="1"/>
  <c r="A75" i="28" s="1"/>
  <c r="B75" i="28" s="1"/>
  <c r="I75" i="28" s="1"/>
  <c r="K75" i="28" s="1"/>
  <c r="D157" i="22"/>
  <c r="H157" i="22"/>
  <c r="G157" i="22"/>
  <c r="I157" i="22"/>
  <c r="F157" i="22"/>
  <c r="I69" i="22"/>
  <c r="K69" i="22" s="1"/>
  <c r="A159" i="22"/>
  <c r="C158" i="22"/>
  <c r="C157" i="22"/>
  <c r="H63" i="22"/>
  <c r="C64" i="22"/>
  <c r="D64" i="22"/>
  <c r="L68" i="29" l="1"/>
  <c r="L69" i="29" s="1"/>
  <c r="H74" i="29"/>
  <c r="A75" i="29" s="1"/>
  <c r="C75" i="28"/>
  <c r="D75" i="28"/>
  <c r="G64" i="22"/>
  <c r="F64" i="22"/>
  <c r="I70" i="22"/>
  <c r="K70" i="22" s="1"/>
  <c r="C159" i="22"/>
  <c r="A160" i="22"/>
  <c r="I158" i="22"/>
  <c r="D158" i="22"/>
  <c r="G158" i="22"/>
  <c r="H158" i="22"/>
  <c r="F158" i="22"/>
  <c r="E75" i="28" l="1"/>
  <c r="B75" i="29"/>
  <c r="C75" i="29"/>
  <c r="F75" i="28"/>
  <c r="G75" i="28"/>
  <c r="I71" i="22"/>
  <c r="K71" i="22" s="1"/>
  <c r="A161" i="22"/>
  <c r="C160" i="22"/>
  <c r="G159" i="22"/>
  <c r="F159" i="22"/>
  <c r="D159" i="22"/>
  <c r="H159" i="22"/>
  <c r="I159" i="22"/>
  <c r="H64" i="22"/>
  <c r="D65" i="22"/>
  <c r="C65" i="22"/>
  <c r="H75" i="28" l="1"/>
  <c r="A76" i="28" s="1"/>
  <c r="B76" i="28" s="1"/>
  <c r="I76" i="28" s="1"/>
  <c r="K76" i="28" s="1"/>
  <c r="D75" i="29"/>
  <c r="F75" i="29" s="1"/>
  <c r="I75" i="29"/>
  <c r="K75" i="29" s="1"/>
  <c r="I72" i="22"/>
  <c r="K72" i="22" s="1"/>
  <c r="A162" i="22"/>
  <c r="F65" i="22"/>
  <c r="G65" i="22"/>
  <c r="D160" i="22"/>
  <c r="I160" i="22"/>
  <c r="F160" i="22"/>
  <c r="H160" i="22"/>
  <c r="G160" i="22"/>
  <c r="D76" i="28" l="1"/>
  <c r="C76" i="28"/>
  <c r="E75" i="29"/>
  <c r="G75" i="29"/>
  <c r="H75" i="29" s="1"/>
  <c r="A76" i="29" s="1"/>
  <c r="I161" i="22"/>
  <c r="D161" i="22"/>
  <c r="H161" i="22"/>
  <c r="G161" i="22"/>
  <c r="F161" i="22"/>
  <c r="I73" i="22"/>
  <c r="K73" i="22" s="1"/>
  <c r="H65" i="22"/>
  <c r="D66" i="22"/>
  <c r="C66" i="22"/>
  <c r="A163" i="22"/>
  <c r="C162" i="22"/>
  <c r="C161" i="22"/>
  <c r="E76" i="28" l="1"/>
  <c r="F76" i="28"/>
  <c r="G76" i="28"/>
  <c r="C76" i="29"/>
  <c r="B76" i="29"/>
  <c r="G162" i="22"/>
  <c r="H162" i="22"/>
  <c r="F162" i="22"/>
  <c r="D162" i="22"/>
  <c r="I162" i="22"/>
  <c r="A164" i="22"/>
  <c r="C163" i="22"/>
  <c r="G66" i="22"/>
  <c r="F66" i="22"/>
  <c r="I74" i="22"/>
  <c r="K74" i="22" s="1"/>
  <c r="H76" i="28" l="1"/>
  <c r="A77" i="28" s="1"/>
  <c r="C77" i="28" s="1"/>
  <c r="I76" i="29"/>
  <c r="K76" i="29" s="1"/>
  <c r="D76" i="29"/>
  <c r="G76" i="29" s="1"/>
  <c r="A165" i="22"/>
  <c r="C164" i="22"/>
  <c r="D163" i="22"/>
  <c r="H163" i="22"/>
  <c r="I163" i="22"/>
  <c r="G163" i="22"/>
  <c r="F163" i="22"/>
  <c r="H66" i="22"/>
  <c r="D67" i="22"/>
  <c r="C67" i="22"/>
  <c r="I75" i="22"/>
  <c r="K75" i="22" s="1"/>
  <c r="B77" i="28" l="1"/>
  <c r="D77" i="28" s="1"/>
  <c r="F77" i="28" s="1"/>
  <c r="F76" i="29"/>
  <c r="H76" i="29" s="1"/>
  <c r="A77" i="29" s="1"/>
  <c r="C77" i="29" s="1"/>
  <c r="E76" i="29"/>
  <c r="I76" i="22"/>
  <c r="K76" i="22" s="1"/>
  <c r="G67" i="22"/>
  <c r="F67" i="22"/>
  <c r="A166" i="22"/>
  <c r="I164" i="22"/>
  <c r="H164" i="22"/>
  <c r="F164" i="22"/>
  <c r="G164" i="22"/>
  <c r="D164" i="22"/>
  <c r="E77" i="28" l="1"/>
  <c r="I77" i="28"/>
  <c r="K77" i="28" s="1"/>
  <c r="G77" i="28"/>
  <c r="H77" i="28" s="1"/>
  <c r="A78" i="28" s="1"/>
  <c r="B78" i="28" s="1"/>
  <c r="I78" i="28" s="1"/>
  <c r="K78" i="28" s="1"/>
  <c r="B77" i="29"/>
  <c r="D77" i="29" s="1"/>
  <c r="G77" i="29" s="1"/>
  <c r="A167" i="22"/>
  <c r="G165" i="22"/>
  <c r="F165" i="22"/>
  <c r="I165" i="22"/>
  <c r="H165" i="22"/>
  <c r="D165" i="22"/>
  <c r="H67" i="22"/>
  <c r="C68" i="22"/>
  <c r="D68" i="22"/>
  <c r="C165" i="22"/>
  <c r="I77" i="22"/>
  <c r="K77" i="22" s="1"/>
  <c r="C78" i="28" l="1"/>
  <c r="D78" i="28"/>
  <c r="I77" i="29"/>
  <c r="K77" i="29" s="1"/>
  <c r="E77" i="29"/>
  <c r="F77" i="29"/>
  <c r="H77" i="29" s="1"/>
  <c r="A78" i="29" s="1"/>
  <c r="B78" i="29" s="1"/>
  <c r="I78" i="29" s="1"/>
  <c r="K78" i="29" s="1"/>
  <c r="I78" i="22"/>
  <c r="K78" i="22" s="1"/>
  <c r="D166" i="22"/>
  <c r="H166" i="22"/>
  <c r="G166" i="22"/>
  <c r="I166" i="22"/>
  <c r="F166" i="22"/>
  <c r="C167" i="22"/>
  <c r="A168" i="22"/>
  <c r="F68" i="22"/>
  <c r="G68" i="22"/>
  <c r="C166" i="22"/>
  <c r="G78" i="28" l="1"/>
  <c r="F78" i="28"/>
  <c r="E78" i="28"/>
  <c r="D78" i="29"/>
  <c r="C78" i="29" s="1"/>
  <c r="E78" i="29" s="1"/>
  <c r="L30" i="29" s="1" a="1"/>
  <c r="I79" i="22"/>
  <c r="K79" i="22" s="1"/>
  <c r="L64" i="22"/>
  <c r="H68" i="22"/>
  <c r="D69" i="22"/>
  <c r="C69" i="22"/>
  <c r="C168" i="22"/>
  <c r="A169" i="22"/>
  <c r="I167" i="22"/>
  <c r="D167" i="22"/>
  <c r="G167" i="22"/>
  <c r="H167" i="22"/>
  <c r="F167" i="22"/>
  <c r="BZ30" i="29" l="1"/>
  <c r="DU30" i="29"/>
  <c r="BB30" i="29"/>
  <c r="DT30" i="29"/>
  <c r="N30" i="29"/>
  <c r="DD30" i="29"/>
  <c r="DB30" i="29"/>
  <c r="AV30" i="29"/>
  <c r="BI30" i="29"/>
  <c r="DV30" i="29"/>
  <c r="CJ30" i="29"/>
  <c r="AY30" i="29"/>
  <c r="AU30" i="29"/>
  <c r="DL30" i="29"/>
  <c r="DC30" i="29"/>
  <c r="CU30" i="29"/>
  <c r="BH30" i="29"/>
  <c r="BK30" i="29"/>
  <c r="CL30" i="29"/>
  <c r="BD30" i="29"/>
  <c r="CY30" i="29"/>
  <c r="DZ30" i="29"/>
  <c r="CR30" i="29"/>
  <c r="M30" i="29"/>
  <c r="AG30" i="29"/>
  <c r="BY30" i="29"/>
  <c r="BU30" i="29"/>
  <c r="CO30" i="29"/>
  <c r="AL30" i="29"/>
  <c r="CT30" i="29"/>
  <c r="Z30" i="29"/>
  <c r="AY253" i="13" s="1"/>
  <c r="BV30" i="29"/>
  <c r="Y30" i="29"/>
  <c r="AX253" i="13" s="1"/>
  <c r="BC30" i="29"/>
  <c r="BQ30" i="29"/>
  <c r="T30" i="29"/>
  <c r="AS253" i="13" s="1"/>
  <c r="AI30" i="29"/>
  <c r="DK30" i="29"/>
  <c r="AE30" i="29"/>
  <c r="AJ30" i="29"/>
  <c r="P30" i="29"/>
  <c r="BJ30" i="29"/>
  <c r="AK30" i="29"/>
  <c r="CA30" i="29"/>
  <c r="AH30" i="29"/>
  <c r="DY30" i="29"/>
  <c r="DO30" i="29"/>
  <c r="CE30" i="29"/>
  <c r="CV30" i="29"/>
  <c r="AX30" i="29"/>
  <c r="L30" i="29"/>
  <c r="AO30" i="29"/>
  <c r="AR30" i="29"/>
  <c r="CC30" i="29"/>
  <c r="X30" i="29"/>
  <c r="AW253" i="13" s="1"/>
  <c r="BL30" i="29"/>
  <c r="DM30" i="29"/>
  <c r="AP30" i="29"/>
  <c r="CZ30" i="29"/>
  <c r="DN30" i="29"/>
  <c r="BN30" i="29"/>
  <c r="CP30" i="29"/>
  <c r="AT30" i="29"/>
  <c r="BW30" i="29"/>
  <c r="AD30" i="29"/>
  <c r="BC253" i="13" s="1"/>
  <c r="DF30" i="29"/>
  <c r="BX30" i="29"/>
  <c r="DP30" i="29"/>
  <c r="V30" i="29"/>
  <c r="AU253" i="13" s="1"/>
  <c r="AQ30" i="29"/>
  <c r="AZ30" i="29"/>
  <c r="BM30" i="29"/>
  <c r="CF30" i="29"/>
  <c r="DH30" i="29"/>
  <c r="BG30" i="29"/>
  <c r="CH30" i="29"/>
  <c r="DJ30" i="29"/>
  <c r="AA30" i="29"/>
  <c r="AZ253" i="13" s="1"/>
  <c r="CQ30" i="29"/>
  <c r="DX30" i="29"/>
  <c r="AM30" i="29"/>
  <c r="DW30" i="29"/>
  <c r="O30" i="29"/>
  <c r="CB30" i="29"/>
  <c r="AC30" i="29"/>
  <c r="BB253" i="13" s="1"/>
  <c r="AN30" i="29"/>
  <c r="Q30" i="29"/>
  <c r="AP253" i="13" s="1"/>
  <c r="BA30" i="29"/>
  <c r="BT30" i="29"/>
  <c r="DQ30" i="29"/>
  <c r="CN30" i="29"/>
  <c r="DI30" i="29"/>
  <c r="CS30" i="29"/>
  <c r="CM30" i="29"/>
  <c r="CD30" i="29"/>
  <c r="BO30" i="29"/>
  <c r="R30" i="29"/>
  <c r="AQ253" i="13" s="1"/>
  <c r="AW30" i="29"/>
  <c r="BE30" i="29"/>
  <c r="DG30" i="29"/>
  <c r="CX30" i="29"/>
  <c r="CI30" i="29"/>
  <c r="S30" i="29"/>
  <c r="AR253" i="13" s="1"/>
  <c r="CK30" i="29"/>
  <c r="BF30" i="29"/>
  <c r="EA30" i="29"/>
  <c r="DR30" i="29"/>
  <c r="DE30" i="29"/>
  <c r="W30" i="29"/>
  <c r="AV253" i="13" s="1"/>
  <c r="AB30" i="29"/>
  <c r="BA253" i="13" s="1"/>
  <c r="U30" i="29"/>
  <c r="AT253" i="13" s="1"/>
  <c r="DS30" i="29"/>
  <c r="AF30" i="29"/>
  <c r="AS30" i="29"/>
  <c r="CW30" i="29"/>
  <c r="CG30" i="29"/>
  <c r="DA30" i="29"/>
  <c r="BP30" i="29"/>
  <c r="BR30" i="29"/>
  <c r="H78" i="28"/>
  <c r="A79" i="28" s="1"/>
  <c r="C79" i="28" s="1"/>
  <c r="F78" i="29"/>
  <c r="BS30" i="29"/>
  <c r="G78" i="29"/>
  <c r="I80" i="22"/>
  <c r="K80" i="22" s="1"/>
  <c r="A170" i="22"/>
  <c r="C169" i="22"/>
  <c r="G69" i="22"/>
  <c r="F69" i="22"/>
  <c r="G168" i="22"/>
  <c r="F168" i="22"/>
  <c r="D168" i="22"/>
  <c r="I168" i="22"/>
  <c r="H168" i="22"/>
  <c r="B79" i="28" l="1"/>
  <c r="D79" i="28" s="1"/>
  <c r="F79" i="28" s="1"/>
  <c r="H78" i="29"/>
  <c r="A79" i="29" s="1"/>
  <c r="B79" i="29" s="1"/>
  <c r="I81" i="22"/>
  <c r="K81" i="22" s="1"/>
  <c r="A171" i="22"/>
  <c r="C170" i="22"/>
  <c r="D169" i="22"/>
  <c r="I169" i="22"/>
  <c r="F169" i="22"/>
  <c r="H169" i="22"/>
  <c r="G169" i="22"/>
  <c r="H69" i="22"/>
  <c r="C70" i="22"/>
  <c r="D70" i="22"/>
  <c r="BF253" i="13" l="1"/>
  <c r="AP208" i="13"/>
  <c r="AQ208" i="13" s="1"/>
  <c r="AR208" i="13" s="1"/>
  <c r="AS208" i="13" s="1"/>
  <c r="AT208" i="13" s="1"/>
  <c r="AU208" i="13" s="1"/>
  <c r="AV208" i="13" s="1"/>
  <c r="AW208" i="13" s="1"/>
  <c r="AX208" i="13" s="1"/>
  <c r="AY208" i="13" s="1"/>
  <c r="AZ208" i="13" s="1"/>
  <c r="BA208" i="13" s="1"/>
  <c r="BB208" i="13" s="1"/>
  <c r="BC208" i="13" s="1"/>
  <c r="BG208" i="13" s="1"/>
  <c r="E79" i="28"/>
  <c r="G79" i="28"/>
  <c r="H79" i="28" s="1"/>
  <c r="A80" i="28" s="1"/>
  <c r="C80" i="28" s="1"/>
  <c r="I79" i="28"/>
  <c r="K79" i="28" s="1"/>
  <c r="D79" i="29"/>
  <c r="I79" i="29"/>
  <c r="K79" i="29" s="1"/>
  <c r="G79" i="29"/>
  <c r="C79" i="29"/>
  <c r="F79" i="29"/>
  <c r="H79" i="29"/>
  <c r="A80" i="29" s="1"/>
  <c r="B80" i="29" s="1"/>
  <c r="F80" i="29" s="1"/>
  <c r="I82" i="22"/>
  <c r="K82" i="22" s="1"/>
  <c r="G70" i="22"/>
  <c r="F70" i="22"/>
  <c r="I170" i="22"/>
  <c r="D170" i="22"/>
  <c r="H170" i="22"/>
  <c r="G170" i="22"/>
  <c r="F170" i="22"/>
  <c r="A172" i="22"/>
  <c r="C171" i="22"/>
  <c r="BF208" i="13" l="1"/>
  <c r="B80" i="28"/>
  <c r="D80" i="28" s="1"/>
  <c r="F80" i="28" s="1"/>
  <c r="C80" i="29"/>
  <c r="D80" i="29"/>
  <c r="H80" i="29"/>
  <c r="A81" i="29" s="1"/>
  <c r="G80" i="29"/>
  <c r="I80" i="29"/>
  <c r="K80" i="29" s="1"/>
  <c r="I83" i="22"/>
  <c r="K83" i="22" s="1"/>
  <c r="H70" i="22"/>
  <c r="D71" i="22"/>
  <c r="C71" i="22"/>
  <c r="G171" i="22"/>
  <c r="H171" i="22"/>
  <c r="I171" i="22"/>
  <c r="F171" i="22"/>
  <c r="D171" i="22"/>
  <c r="C172" i="22"/>
  <c r="A173" i="22"/>
  <c r="G80" i="28" l="1"/>
  <c r="H80" i="28" s="1"/>
  <c r="A81" i="28" s="1"/>
  <c r="B81" i="28" s="1"/>
  <c r="D81" i="28" s="1"/>
  <c r="E80" i="28"/>
  <c r="I80" i="28"/>
  <c r="K80" i="28" s="1"/>
  <c r="B81" i="29"/>
  <c r="C81" i="29"/>
  <c r="I84" i="22"/>
  <c r="K84" i="22" s="1"/>
  <c r="A174" i="22"/>
  <c r="C173" i="22"/>
  <c r="G71" i="22"/>
  <c r="F71" i="22"/>
  <c r="D172" i="22"/>
  <c r="H172" i="22"/>
  <c r="I172" i="22"/>
  <c r="G172" i="22"/>
  <c r="F172" i="22"/>
  <c r="I81" i="28" l="1"/>
  <c r="K81" i="28" s="1"/>
  <c r="C81" i="28"/>
  <c r="G81" i="28" s="1"/>
  <c r="F81" i="29"/>
  <c r="I81" i="29"/>
  <c r="K81" i="29" s="1"/>
  <c r="G81" i="29"/>
  <c r="D81" i="29"/>
  <c r="H81" i="29"/>
  <c r="A82" i="29" s="1"/>
  <c r="I85" i="22"/>
  <c r="K85" i="22" s="1"/>
  <c r="H71" i="22"/>
  <c r="D72" i="22"/>
  <c r="C72" i="22"/>
  <c r="I173" i="22"/>
  <c r="H173" i="22"/>
  <c r="F173" i="22"/>
  <c r="G173" i="22"/>
  <c r="D173" i="22"/>
  <c r="A175" i="22"/>
  <c r="C174" i="22"/>
  <c r="E81" i="28" l="1"/>
  <c r="F81" i="28"/>
  <c r="H81" i="28" s="1"/>
  <c r="A82" i="28" s="1"/>
  <c r="C82" i="28" s="1"/>
  <c r="C82" i="29"/>
  <c r="B82" i="29"/>
  <c r="I86" i="22"/>
  <c r="K86" i="22" s="1"/>
  <c r="G72" i="22"/>
  <c r="F72" i="22"/>
  <c r="G174" i="22"/>
  <c r="F174" i="22"/>
  <c r="I174" i="22"/>
  <c r="H174" i="22"/>
  <c r="D174" i="22"/>
  <c r="A176" i="22"/>
  <c r="B82" i="28" l="1"/>
  <c r="I82" i="28" s="1"/>
  <c r="K82" i="28" s="1"/>
  <c r="D82" i="29"/>
  <c r="I82" i="29"/>
  <c r="K82" i="29" s="1"/>
  <c r="G82" i="29"/>
  <c r="F82" i="29"/>
  <c r="H82" i="29"/>
  <c r="A83" i="29" s="1"/>
  <c r="I87" i="22"/>
  <c r="K87" i="22" s="1"/>
  <c r="D175" i="22"/>
  <c r="H175" i="22"/>
  <c r="G175" i="22"/>
  <c r="I175" i="22"/>
  <c r="F175" i="22"/>
  <c r="A177" i="22"/>
  <c r="C176" i="22"/>
  <c r="C175" i="22"/>
  <c r="H72" i="22"/>
  <c r="C73" i="22"/>
  <c r="D73" i="22"/>
  <c r="D82" i="28" l="1"/>
  <c r="G82" i="28" s="1"/>
  <c r="C83" i="29"/>
  <c r="B83" i="29"/>
  <c r="I88" i="22"/>
  <c r="K88" i="22" s="1"/>
  <c r="G73" i="22"/>
  <c r="F73" i="22"/>
  <c r="D176" i="22"/>
  <c r="F176" i="22"/>
  <c r="H176" i="22"/>
  <c r="I176" i="22"/>
  <c r="G176" i="22"/>
  <c r="A178" i="22"/>
  <c r="C177" i="22"/>
  <c r="E82" i="28" l="1"/>
  <c r="F82" i="28"/>
  <c r="H82" i="28" s="1"/>
  <c r="A83" i="28" s="1"/>
  <c r="B83" i="28" s="1"/>
  <c r="I83" i="28" s="1"/>
  <c r="K83" i="28" s="1"/>
  <c r="H83" i="29"/>
  <c r="A84" i="29" s="1"/>
  <c r="G83" i="29"/>
  <c r="I83" i="29"/>
  <c r="K83" i="29" s="1"/>
  <c r="D83" i="29"/>
  <c r="F83" i="29"/>
  <c r="I89" i="22"/>
  <c r="K89" i="22" s="1"/>
  <c r="I177" i="22"/>
  <c r="H177" i="22"/>
  <c r="G177" i="22"/>
  <c r="D177" i="22"/>
  <c r="F177" i="22"/>
  <c r="A179" i="22"/>
  <c r="H73" i="22"/>
  <c r="D74" i="22"/>
  <c r="C74" i="22"/>
  <c r="C83" i="28" l="1"/>
  <c r="D83" i="28"/>
  <c r="C84" i="29"/>
  <c r="B84" i="29"/>
  <c r="I90" i="22"/>
  <c r="F178" i="22"/>
  <c r="I178" i="22"/>
  <c r="G178" i="22"/>
  <c r="D178" i="22"/>
  <c r="H178" i="22"/>
  <c r="C178" i="22"/>
  <c r="G74" i="22"/>
  <c r="F74" i="22"/>
  <c r="A180" i="22"/>
  <c r="G83" i="28" l="1"/>
  <c r="E83" i="28"/>
  <c r="F83" i="28"/>
  <c r="H84" i="29"/>
  <c r="A85" i="29" s="1"/>
  <c r="F84" i="29"/>
  <c r="I84" i="29"/>
  <c r="K84" i="29" s="1"/>
  <c r="D84" i="29"/>
  <c r="G84" i="29"/>
  <c r="H74" i="22"/>
  <c r="C75" i="22"/>
  <c r="D75" i="22"/>
  <c r="L68" i="22"/>
  <c r="L69" i="22" s="1"/>
  <c r="A181" i="22"/>
  <c r="C180" i="22"/>
  <c r="D179" i="22"/>
  <c r="H179" i="22"/>
  <c r="I179" i="22"/>
  <c r="F179" i="22"/>
  <c r="G179" i="22"/>
  <c r="C179" i="22"/>
  <c r="K90" i="22"/>
  <c r="V21" i="22"/>
  <c r="P21" i="22"/>
  <c r="T21" i="22"/>
  <c r="O21" i="22"/>
  <c r="U21" i="22"/>
  <c r="Q21" i="22"/>
  <c r="N21" i="22"/>
  <c r="W21" i="22"/>
  <c r="M21" i="22"/>
  <c r="L20" i="22"/>
  <c r="L21" i="22"/>
  <c r="H83" i="28" l="1"/>
  <c r="A84" i="28" s="1"/>
  <c r="B84" i="28" s="1"/>
  <c r="I84" i="28" s="1"/>
  <c r="K84" i="28" s="1"/>
  <c r="B85" i="29"/>
  <c r="C85" i="29"/>
  <c r="A182" i="22"/>
  <c r="C181" i="22"/>
  <c r="I180" i="22"/>
  <c r="H180" i="22"/>
  <c r="G180" i="22"/>
  <c r="F180" i="22"/>
  <c r="D180" i="22"/>
  <c r="L22" i="22"/>
  <c r="F75" i="22"/>
  <c r="G75" i="22"/>
  <c r="D84" i="28" l="1"/>
  <c r="C84" i="28"/>
  <c r="F85" i="29"/>
  <c r="D85" i="29"/>
  <c r="I85" i="29"/>
  <c r="K85" i="29" s="1"/>
  <c r="G85" i="29"/>
  <c r="H85" i="29"/>
  <c r="A86" i="29" s="1"/>
  <c r="M68" i="22"/>
  <c r="L23" i="22"/>
  <c r="M19" i="22" s="1"/>
  <c r="H75" i="22"/>
  <c r="D76" i="22"/>
  <c r="C76" i="22"/>
  <c r="A183" i="22"/>
  <c r="G181" i="22"/>
  <c r="F181" i="22"/>
  <c r="I181" i="22"/>
  <c r="H181" i="22"/>
  <c r="D181" i="22"/>
  <c r="G84" i="28" l="1"/>
  <c r="F84" i="28"/>
  <c r="E84" i="28"/>
  <c r="C86" i="29"/>
  <c r="B86" i="29"/>
  <c r="D182" i="22"/>
  <c r="H182" i="22"/>
  <c r="F182" i="22"/>
  <c r="I182" i="22"/>
  <c r="G182" i="22"/>
  <c r="C182" i="22"/>
  <c r="C183" i="22"/>
  <c r="A184" i="22"/>
  <c r="G76" i="22"/>
  <c r="F76" i="22"/>
  <c r="M20" i="22"/>
  <c r="M22" i="22" s="1"/>
  <c r="M23" i="22" s="1"/>
  <c r="N19" i="22" s="1"/>
  <c r="H84" i="28" l="1"/>
  <c r="A85" i="28" s="1"/>
  <c r="C85" i="28" s="1"/>
  <c r="G86" i="29"/>
  <c r="D86" i="29"/>
  <c r="F86" i="29"/>
  <c r="H86" i="29"/>
  <c r="A87" i="29" s="1"/>
  <c r="I86" i="29"/>
  <c r="K86" i="29" s="1"/>
  <c r="N20" i="22"/>
  <c r="N22" i="22" s="1"/>
  <c r="N23" i="22" s="1"/>
  <c r="O19" i="22" s="1"/>
  <c r="H76" i="22"/>
  <c r="C77" i="22"/>
  <c r="D77" i="22"/>
  <c r="A185" i="22"/>
  <c r="C184" i="22"/>
  <c r="I183" i="22"/>
  <c r="H183" i="22"/>
  <c r="F183" i="22"/>
  <c r="D183" i="22"/>
  <c r="G183" i="22"/>
  <c r="B85" i="28" l="1"/>
  <c r="I85" i="28" s="1"/>
  <c r="K85" i="28" s="1"/>
  <c r="C87" i="29"/>
  <c r="B87" i="29"/>
  <c r="O20" i="22"/>
  <c r="O22" i="22" s="1"/>
  <c r="O23" i="22" s="1"/>
  <c r="P19" i="22" s="1"/>
  <c r="A186" i="22"/>
  <c r="C185" i="22"/>
  <c r="F77" i="22"/>
  <c r="G77" i="22"/>
  <c r="G184" i="22"/>
  <c r="F184" i="22"/>
  <c r="I184" i="22"/>
  <c r="H184" i="22"/>
  <c r="D184" i="22"/>
  <c r="D85" i="28" l="1"/>
  <c r="F85" i="28" s="1"/>
  <c r="I87" i="29"/>
  <c r="K87" i="29" s="1"/>
  <c r="H87" i="29"/>
  <c r="A88" i="29" s="1"/>
  <c r="G87" i="29"/>
  <c r="D87" i="29"/>
  <c r="F87" i="29"/>
  <c r="P20" i="22"/>
  <c r="P22" i="22" s="1"/>
  <c r="P23" i="22" s="1"/>
  <c r="Q19" i="22" s="1"/>
  <c r="H77" i="22"/>
  <c r="D78" i="22"/>
  <c r="L29" i="22" s="1" a="1"/>
  <c r="C78" i="22"/>
  <c r="D185" i="22"/>
  <c r="H185" i="22"/>
  <c r="I185" i="22"/>
  <c r="G185" i="22"/>
  <c r="F185" i="22"/>
  <c r="A187" i="22"/>
  <c r="E85" i="28" l="1"/>
  <c r="G85" i="28"/>
  <c r="H85" i="28" s="1"/>
  <c r="A86" i="28" s="1"/>
  <c r="B86" i="28" s="1"/>
  <c r="D86" i="28" s="1"/>
  <c r="B88" i="29"/>
  <c r="C88" i="29"/>
  <c r="Q29" i="22"/>
  <c r="AC29" i="22"/>
  <c r="AO29" i="22"/>
  <c r="AO28" i="22" s="1"/>
  <c r="BA29" i="22"/>
  <c r="BA28" i="22" s="1"/>
  <c r="BM29" i="22"/>
  <c r="BM28" i="22" s="1"/>
  <c r="R29" i="22"/>
  <c r="R28" i="22" s="1"/>
  <c r="AD29" i="22"/>
  <c r="AP29" i="22"/>
  <c r="AP28" i="22" s="1"/>
  <c r="BB29" i="22"/>
  <c r="BB28" i="22" s="1"/>
  <c r="BN29" i="22"/>
  <c r="BN28" i="22" s="1"/>
  <c r="S29" i="22"/>
  <c r="AE29" i="22"/>
  <c r="AQ29" i="22"/>
  <c r="AQ28" i="22" s="1"/>
  <c r="BC29" i="22"/>
  <c r="BC28" i="22" s="1"/>
  <c r="BO29" i="22"/>
  <c r="BO28" i="22" s="1"/>
  <c r="T29" i="22"/>
  <c r="AF29" i="22"/>
  <c r="AR29" i="22"/>
  <c r="AR28" i="22" s="1"/>
  <c r="BD29" i="22"/>
  <c r="BD28" i="22" s="1"/>
  <c r="BP29" i="22"/>
  <c r="BP28" i="22" s="1"/>
  <c r="U29" i="22"/>
  <c r="U28" i="22" s="1"/>
  <c r="AG29" i="22"/>
  <c r="AS29" i="22"/>
  <c r="AS28" i="22" s="1"/>
  <c r="BE29" i="22"/>
  <c r="BE28" i="22" s="1"/>
  <c r="BQ29" i="22"/>
  <c r="BQ28" i="22" s="1"/>
  <c r="V29" i="22"/>
  <c r="AH29" i="22"/>
  <c r="AT29" i="22"/>
  <c r="AT28" i="22" s="1"/>
  <c r="BF29" i="22"/>
  <c r="BF28" i="22" s="1"/>
  <c r="BR29" i="22"/>
  <c r="BR28" i="22" s="1"/>
  <c r="W29" i="22"/>
  <c r="M29" i="22"/>
  <c r="Y29" i="22"/>
  <c r="AK29" i="22"/>
  <c r="AK28" i="22" s="1"/>
  <c r="AW29" i="22"/>
  <c r="AW28" i="22" s="1"/>
  <c r="N29" i="22"/>
  <c r="AX29" i="22"/>
  <c r="AX28" i="22" s="1"/>
  <c r="AA29" i="22"/>
  <c r="AY29" i="22"/>
  <c r="AY28" i="22" s="1"/>
  <c r="AB29" i="22"/>
  <c r="AZ29" i="22"/>
  <c r="AZ28" i="22" s="1"/>
  <c r="AI29" i="22"/>
  <c r="AU29" i="22"/>
  <c r="AU28" i="22" s="1"/>
  <c r="BG29" i="22"/>
  <c r="BG28" i="22" s="1"/>
  <c r="BS29" i="22"/>
  <c r="BS28" i="22" s="1"/>
  <c r="L29" i="22"/>
  <c r="X29" i="22"/>
  <c r="X28" i="22" s="1"/>
  <c r="AJ29" i="22"/>
  <c r="AJ28" i="22" s="1"/>
  <c r="AV29" i="22"/>
  <c r="AV28" i="22" s="1"/>
  <c r="BH29" i="22"/>
  <c r="BH28" i="22" s="1"/>
  <c r="BI29" i="22"/>
  <c r="BI28" i="22" s="1"/>
  <c r="Z29" i="22"/>
  <c r="AL29" i="22"/>
  <c r="AL28" i="22" s="1"/>
  <c r="BJ29" i="22"/>
  <c r="BJ28" i="22" s="1"/>
  <c r="O29" i="22"/>
  <c r="O28" i="22" s="1"/>
  <c r="AM29" i="22"/>
  <c r="AM28" i="22" s="1"/>
  <c r="BK29" i="22"/>
  <c r="BK28" i="22" s="1"/>
  <c r="P29" i="22"/>
  <c r="AN29" i="22"/>
  <c r="AN28" i="22" s="1"/>
  <c r="BL29" i="22"/>
  <c r="BL28" i="22" s="1"/>
  <c r="Q20" i="22"/>
  <c r="Q22" i="22" s="1"/>
  <c r="Q23" i="22" s="1"/>
  <c r="R19" i="22" s="1"/>
  <c r="I186" i="22"/>
  <c r="H186" i="22"/>
  <c r="G186" i="22"/>
  <c r="F186" i="22"/>
  <c r="D186" i="22"/>
  <c r="A188" i="22"/>
  <c r="F78" i="22"/>
  <c r="G78" i="22"/>
  <c r="C186" i="22"/>
  <c r="I86" i="28" l="1"/>
  <c r="K86" i="28" s="1"/>
  <c r="C86" i="28"/>
  <c r="E86" i="28" s="1"/>
  <c r="I88" i="29"/>
  <c r="K88" i="29" s="1"/>
  <c r="H88" i="29"/>
  <c r="A89" i="29" s="1"/>
  <c r="G88" i="29"/>
  <c r="D88" i="29"/>
  <c r="F88" i="29"/>
  <c r="AD28" i="22"/>
  <c r="AA28" i="22"/>
  <c r="AG28" i="22"/>
  <c r="AE28" i="22"/>
  <c r="AB28" i="22"/>
  <c r="AH28" i="22"/>
  <c r="Z28" i="22"/>
  <c r="AI28" i="22"/>
  <c r="AC28" i="22"/>
  <c r="Y28" i="22"/>
  <c r="AF28" i="22"/>
  <c r="N28" i="22"/>
  <c r="P28" i="22"/>
  <c r="M28" i="22"/>
  <c r="W28" i="22"/>
  <c r="S28" i="22"/>
  <c r="T28" i="22"/>
  <c r="V28" i="22"/>
  <c r="Q28" i="22"/>
  <c r="H78" i="22"/>
  <c r="D79" i="22"/>
  <c r="C79" i="22"/>
  <c r="G187" i="22"/>
  <c r="F187" i="22"/>
  <c r="I187" i="22"/>
  <c r="H187" i="22"/>
  <c r="D187" i="22"/>
  <c r="A189" i="22"/>
  <c r="C188" i="22"/>
  <c r="C187" i="22"/>
  <c r="G86" i="28" l="1"/>
  <c r="F86" i="28"/>
  <c r="B89" i="29"/>
  <c r="C89" i="29"/>
  <c r="AB262" i="13"/>
  <c r="G79" i="22"/>
  <c r="F79" i="22"/>
  <c r="C189" i="22"/>
  <c r="A190" i="22"/>
  <c r="D188" i="22"/>
  <c r="H188" i="22"/>
  <c r="F188" i="22"/>
  <c r="I188" i="22"/>
  <c r="G188" i="22"/>
  <c r="H86" i="28" l="1"/>
  <c r="A87" i="28" s="1"/>
  <c r="B87" i="28" s="1"/>
  <c r="I87" i="28" s="1"/>
  <c r="K87" i="28" s="1"/>
  <c r="H89" i="29"/>
  <c r="A90" i="29" s="1"/>
  <c r="F89" i="29"/>
  <c r="I89" i="29"/>
  <c r="K89" i="29" s="1"/>
  <c r="G89" i="29"/>
  <c r="D89" i="29"/>
  <c r="A191" i="22"/>
  <c r="I189" i="22"/>
  <c r="H189" i="22"/>
  <c r="G189" i="22"/>
  <c r="F189" i="22"/>
  <c r="D189" i="22"/>
  <c r="H79" i="22"/>
  <c r="D80" i="22"/>
  <c r="C80" i="22"/>
  <c r="C87" i="28" l="1"/>
  <c r="D87" i="28"/>
  <c r="B90" i="29"/>
  <c r="C90" i="29"/>
  <c r="G190" i="22"/>
  <c r="F190" i="22"/>
  <c r="I190" i="22"/>
  <c r="H190" i="22"/>
  <c r="D190" i="22"/>
  <c r="G80" i="22"/>
  <c r="F80" i="22"/>
  <c r="C190" i="22"/>
  <c r="A192" i="22"/>
  <c r="G87" i="28" l="1"/>
  <c r="E87" i="28"/>
  <c r="F87" i="28"/>
  <c r="H90" i="29"/>
  <c r="A91" i="29" s="1"/>
  <c r="G90" i="29"/>
  <c r="F90" i="29"/>
  <c r="I90" i="29"/>
  <c r="K90" i="29" s="1"/>
  <c r="D90" i="29"/>
  <c r="D191" i="22"/>
  <c r="H191" i="22"/>
  <c r="I191" i="22"/>
  <c r="G191" i="22"/>
  <c r="F191" i="22"/>
  <c r="H80" i="22"/>
  <c r="D81" i="22"/>
  <c r="C81" i="22"/>
  <c r="C191" i="22"/>
  <c r="A193" i="22"/>
  <c r="H87" i="28" l="1"/>
  <c r="A88" i="28" s="1"/>
  <c r="C88" i="28" s="1"/>
  <c r="C91" i="29"/>
  <c r="B91" i="29"/>
  <c r="F81" i="22"/>
  <c r="G81" i="22"/>
  <c r="A194" i="22"/>
  <c r="C193" i="22"/>
  <c r="I192" i="22"/>
  <c r="H192" i="22"/>
  <c r="G192" i="22"/>
  <c r="F192" i="22"/>
  <c r="D192" i="22"/>
  <c r="C192" i="22"/>
  <c r="B88" i="28" l="1"/>
  <c r="D88" i="28" s="1"/>
  <c r="F88" i="28" s="1"/>
  <c r="H91" i="29"/>
  <c r="A92" i="29" s="1"/>
  <c r="F91" i="29"/>
  <c r="I91" i="29"/>
  <c r="K91" i="29" s="1"/>
  <c r="G91" i="29"/>
  <c r="D91" i="29"/>
  <c r="A195" i="22"/>
  <c r="G193" i="22"/>
  <c r="F193" i="22"/>
  <c r="I193" i="22"/>
  <c r="H193" i="22"/>
  <c r="D193" i="22"/>
  <c r="H81" i="22"/>
  <c r="D82" i="22"/>
  <c r="C82" i="22"/>
  <c r="E88" i="28" l="1"/>
  <c r="I88" i="28"/>
  <c r="K88" i="28" s="1"/>
  <c r="G88" i="28"/>
  <c r="H88" i="28" s="1"/>
  <c r="A89" i="28" s="1"/>
  <c r="C89" i="28" s="1"/>
  <c r="C92" i="29"/>
  <c r="B92" i="29"/>
  <c r="G82" i="22"/>
  <c r="F82" i="22"/>
  <c r="D194" i="22"/>
  <c r="I194" i="22"/>
  <c r="H194" i="22"/>
  <c r="F194" i="22"/>
  <c r="G194" i="22"/>
  <c r="C194" i="22"/>
  <c r="A196" i="22"/>
  <c r="C195" i="22"/>
  <c r="B89" i="28" l="1"/>
  <c r="D89" i="28" s="1"/>
  <c r="F89" i="28" s="1"/>
  <c r="F92" i="29"/>
  <c r="I92" i="29"/>
  <c r="K92" i="29" s="1"/>
  <c r="G92" i="29"/>
  <c r="D92" i="29"/>
  <c r="H92" i="29"/>
  <c r="A93" i="29" s="1"/>
  <c r="A197" i="22"/>
  <c r="I195" i="22"/>
  <c r="H195" i="22"/>
  <c r="G195" i="22"/>
  <c r="F195" i="22"/>
  <c r="D195" i="22"/>
  <c r="H82" i="22"/>
  <c r="D83" i="22"/>
  <c r="C83" i="22"/>
  <c r="E89" i="28" l="1"/>
  <c r="G89" i="28"/>
  <c r="H89" i="28" s="1"/>
  <c r="A90" i="28" s="1"/>
  <c r="C90" i="28" s="1"/>
  <c r="I89" i="28"/>
  <c r="K89" i="28" s="1"/>
  <c r="B93" i="29"/>
  <c r="C93" i="29"/>
  <c r="G83" i="22"/>
  <c r="F83" i="22"/>
  <c r="G196" i="22"/>
  <c r="F196" i="22"/>
  <c r="I196" i="22"/>
  <c r="H196" i="22"/>
  <c r="D196" i="22"/>
  <c r="C196" i="22"/>
  <c r="A198" i="22"/>
  <c r="C197" i="22"/>
  <c r="B90" i="28" l="1"/>
  <c r="D90" i="28" s="1"/>
  <c r="F90" i="28" s="1"/>
  <c r="I93" i="29"/>
  <c r="K93" i="29" s="1"/>
  <c r="F93" i="29"/>
  <c r="D93" i="29"/>
  <c r="G93" i="29"/>
  <c r="H93" i="29"/>
  <c r="A94" i="29" s="1"/>
  <c r="A199" i="22"/>
  <c r="C198" i="22"/>
  <c r="D197" i="22"/>
  <c r="H197" i="22"/>
  <c r="I197" i="22"/>
  <c r="G197" i="22"/>
  <c r="F197" i="22"/>
  <c r="H83" i="22"/>
  <c r="D84" i="22"/>
  <c r="C84" i="22"/>
  <c r="G90" i="28" l="1"/>
  <c r="H90" i="28" s="1"/>
  <c r="A91" i="28" s="1"/>
  <c r="C91" i="28" s="1"/>
  <c r="I90" i="28"/>
  <c r="K90" i="28" s="1"/>
  <c r="E90" i="28"/>
  <c r="B94" i="29"/>
  <c r="C94" i="29"/>
  <c r="A200" i="22"/>
  <c r="G84" i="22"/>
  <c r="F84" i="22"/>
  <c r="I198" i="22"/>
  <c r="H198" i="22"/>
  <c r="D198" i="22"/>
  <c r="F198" i="22"/>
  <c r="G198" i="22"/>
  <c r="B91" i="28" l="1"/>
  <c r="D91" i="28" s="1"/>
  <c r="G91" i="28" s="1"/>
  <c r="F94" i="29"/>
  <c r="G94" i="29"/>
  <c r="H94" i="29"/>
  <c r="A95" i="29" s="1"/>
  <c r="D94" i="29"/>
  <c r="I94" i="29"/>
  <c r="K94" i="29" s="1"/>
  <c r="H84" i="22"/>
  <c r="D85" i="22"/>
  <c r="C85" i="22"/>
  <c r="G199" i="22"/>
  <c r="F199" i="22"/>
  <c r="I199" i="22"/>
  <c r="H199" i="22"/>
  <c r="D199" i="22"/>
  <c r="C199" i="22"/>
  <c r="A201" i="22"/>
  <c r="F91" i="28" l="1"/>
  <c r="H91" i="28" s="1"/>
  <c r="A92" i="28" s="1"/>
  <c r="B92" i="28" s="1"/>
  <c r="E91" i="28"/>
  <c r="I91" i="28"/>
  <c r="K91" i="28" s="1"/>
  <c r="B95" i="29"/>
  <c r="C95" i="29"/>
  <c r="D200" i="22"/>
  <c r="I200" i="22"/>
  <c r="H200" i="22"/>
  <c r="G200" i="22"/>
  <c r="F200" i="22"/>
  <c r="C201" i="22"/>
  <c r="A202" i="22"/>
  <c r="C200" i="22"/>
  <c r="F85" i="22"/>
  <c r="G85" i="22"/>
  <c r="C92" i="28" l="1"/>
  <c r="F95" i="29"/>
  <c r="G95" i="29"/>
  <c r="I95" i="29"/>
  <c r="K95" i="29" s="1"/>
  <c r="D95" i="29"/>
  <c r="H95" i="29"/>
  <c r="A96" i="29" s="1"/>
  <c r="I92" i="28"/>
  <c r="K92" i="28" s="1"/>
  <c r="D92" i="28"/>
  <c r="I201" i="22"/>
  <c r="H201" i="22"/>
  <c r="D201" i="22"/>
  <c r="F201" i="22"/>
  <c r="G201" i="22"/>
  <c r="H85" i="22"/>
  <c r="D86" i="22"/>
  <c r="C86" i="22"/>
  <c r="A203" i="22"/>
  <c r="C202" i="22"/>
  <c r="C96" i="29" l="1"/>
  <c r="B96" i="29"/>
  <c r="F92" i="28"/>
  <c r="G92" i="28"/>
  <c r="E92" i="28"/>
  <c r="G86" i="22"/>
  <c r="F86" i="22"/>
  <c r="G202" i="22"/>
  <c r="F202" i="22"/>
  <c r="I202" i="22"/>
  <c r="D202" i="22"/>
  <c r="H202" i="22"/>
  <c r="A204" i="22"/>
  <c r="H92" i="28" l="1"/>
  <c r="A93" i="28" s="1"/>
  <c r="B93" i="28" s="1"/>
  <c r="H96" i="29"/>
  <c r="A97" i="29" s="1"/>
  <c r="G96" i="29"/>
  <c r="I96" i="29"/>
  <c r="K96" i="29" s="1"/>
  <c r="D96" i="29"/>
  <c r="F96" i="29"/>
  <c r="D203" i="22"/>
  <c r="H203" i="22"/>
  <c r="G203" i="22"/>
  <c r="F203" i="22"/>
  <c r="I203" i="22"/>
  <c r="C203" i="22"/>
  <c r="C204" i="22"/>
  <c r="A205" i="22"/>
  <c r="H86" i="22"/>
  <c r="D87" i="22"/>
  <c r="C87" i="22"/>
  <c r="C93" i="28" l="1"/>
  <c r="B97" i="29"/>
  <c r="C97" i="29"/>
  <c r="I93" i="28"/>
  <c r="K93" i="28" s="1"/>
  <c r="D93" i="28"/>
  <c r="A206" i="22"/>
  <c r="G87" i="22"/>
  <c r="F87" i="22"/>
  <c r="I204" i="22"/>
  <c r="H204" i="22"/>
  <c r="G204" i="22"/>
  <c r="F204" i="22"/>
  <c r="D204" i="22"/>
  <c r="E93" i="28" l="1"/>
  <c r="G97" i="29"/>
  <c r="I97" i="29"/>
  <c r="K97" i="29" s="1"/>
  <c r="F97" i="29"/>
  <c r="H97" i="29"/>
  <c r="A98" i="29" s="1"/>
  <c r="D97" i="29"/>
  <c r="G93" i="28"/>
  <c r="F93" i="28"/>
  <c r="H87" i="22"/>
  <c r="D88" i="22"/>
  <c r="C88" i="22"/>
  <c r="A207" i="22"/>
  <c r="C206" i="22"/>
  <c r="G205" i="22"/>
  <c r="F205" i="22"/>
  <c r="I205" i="22"/>
  <c r="H205" i="22"/>
  <c r="D205" i="22"/>
  <c r="C205" i="22"/>
  <c r="C98" i="29" l="1"/>
  <c r="B98" i="29"/>
  <c r="H93" i="28"/>
  <c r="A94" i="28" s="1"/>
  <c r="C207" i="22"/>
  <c r="A208" i="22"/>
  <c r="G88" i="22"/>
  <c r="F88" i="22"/>
  <c r="D206" i="22"/>
  <c r="I206" i="22"/>
  <c r="H206" i="22"/>
  <c r="F206" i="22"/>
  <c r="G206" i="22"/>
  <c r="I98" i="29" l="1"/>
  <c r="K98" i="29" s="1"/>
  <c r="H98" i="29"/>
  <c r="A99" i="29" s="1"/>
  <c r="D98" i="29"/>
  <c r="G98" i="29"/>
  <c r="F98" i="29"/>
  <c r="C94" i="28"/>
  <c r="B94" i="28"/>
  <c r="H88" i="22"/>
  <c r="D89" i="22"/>
  <c r="C89" i="22"/>
  <c r="A209" i="22"/>
  <c r="C208" i="22"/>
  <c r="I207" i="22"/>
  <c r="H207" i="22"/>
  <c r="G207" i="22"/>
  <c r="F207" i="22"/>
  <c r="D207" i="22"/>
  <c r="C99" i="29" l="1"/>
  <c r="B99" i="29"/>
  <c r="I94" i="28"/>
  <c r="K94" i="28" s="1"/>
  <c r="D94" i="28"/>
  <c r="G94" i="28" s="1"/>
  <c r="G208" i="22"/>
  <c r="F208" i="22"/>
  <c r="I208" i="22"/>
  <c r="H208" i="22"/>
  <c r="D208" i="22"/>
  <c r="A210" i="22"/>
  <c r="C209" i="22"/>
  <c r="F89" i="22"/>
  <c r="G89" i="22"/>
  <c r="E94" i="28" l="1"/>
  <c r="F94" i="28"/>
  <c r="H94" i="28" s="1"/>
  <c r="A95" i="28" s="1"/>
  <c r="B95" i="28" s="1"/>
  <c r="D95" i="28" s="1"/>
  <c r="I99" i="29"/>
  <c r="K99" i="29" s="1"/>
  <c r="H99" i="29"/>
  <c r="A100" i="29" s="1"/>
  <c r="G99" i="29"/>
  <c r="D99" i="29"/>
  <c r="F99" i="29"/>
  <c r="A211" i="22"/>
  <c r="C210" i="22"/>
  <c r="H89" i="22"/>
  <c r="D90" i="22"/>
  <c r="C90" i="22" s="1"/>
  <c r="D209" i="22"/>
  <c r="H209" i="22"/>
  <c r="G209" i="22"/>
  <c r="F209" i="22"/>
  <c r="I209" i="22"/>
  <c r="C100" i="29" l="1"/>
  <c r="B100" i="29"/>
  <c r="I95" i="28"/>
  <c r="K95" i="28" s="1"/>
  <c r="C95" i="28"/>
  <c r="G90" i="22"/>
  <c r="F90" i="22"/>
  <c r="A212" i="22"/>
  <c r="R21" i="22"/>
  <c r="S21" i="22"/>
  <c r="I210" i="22"/>
  <c r="H210" i="22"/>
  <c r="G210" i="22"/>
  <c r="F210" i="22"/>
  <c r="D210" i="22"/>
  <c r="I100" i="29" l="1"/>
  <c r="K100" i="29" s="1"/>
  <c r="H100" i="29"/>
  <c r="A101" i="29" s="1"/>
  <c r="G100" i="29"/>
  <c r="F100" i="29"/>
  <c r="D100" i="29"/>
  <c r="G95" i="28"/>
  <c r="F95" i="28"/>
  <c r="E95" i="28"/>
  <c r="R20" i="22"/>
  <c r="R22" i="22" s="1"/>
  <c r="R23" i="22" s="1"/>
  <c r="S19" i="22" s="1"/>
  <c r="S20" i="22" s="1"/>
  <c r="S22" i="22" s="1"/>
  <c r="A213" i="22"/>
  <c r="C212" i="22"/>
  <c r="G211" i="22"/>
  <c r="F211" i="22"/>
  <c r="I211" i="22"/>
  <c r="H211" i="22"/>
  <c r="D211" i="22"/>
  <c r="C211" i="22"/>
  <c r="H90" i="22"/>
  <c r="H95" i="28" l="1"/>
  <c r="A96" i="28" s="1"/>
  <c r="C96" i="28" s="1"/>
  <c r="B101" i="29"/>
  <c r="C101" i="29"/>
  <c r="S23" i="22"/>
  <c r="T19" i="22" s="1"/>
  <c r="D212" i="22"/>
  <c r="I212" i="22"/>
  <c r="H212" i="22"/>
  <c r="G212" i="22"/>
  <c r="F212" i="22"/>
  <c r="C213" i="22"/>
  <c r="A214" i="22"/>
  <c r="B96" i="28" l="1"/>
  <c r="D96" i="28" s="1"/>
  <c r="F96" i="28" s="1"/>
  <c r="D101" i="29"/>
  <c r="I101" i="29"/>
  <c r="K101" i="29" s="1"/>
  <c r="F101" i="29"/>
  <c r="H101" i="29"/>
  <c r="A102" i="29" s="1"/>
  <c r="G101" i="29"/>
  <c r="A215" i="22"/>
  <c r="C214" i="22"/>
  <c r="I213" i="22"/>
  <c r="H213" i="22"/>
  <c r="D213" i="22"/>
  <c r="F213" i="22"/>
  <c r="G213" i="22"/>
  <c r="T20" i="22"/>
  <c r="T22" i="22" s="1"/>
  <c r="T23" i="22" s="1"/>
  <c r="U19" i="22" s="1"/>
  <c r="I96" i="28" l="1"/>
  <c r="K96" i="28" s="1"/>
  <c r="E96" i="28"/>
  <c r="G96" i="28"/>
  <c r="H96" i="28" s="1"/>
  <c r="A97" i="28" s="1"/>
  <c r="C97" i="28" s="1"/>
  <c r="C102" i="29"/>
  <c r="B102" i="29"/>
  <c r="U20" i="22"/>
  <c r="U22" i="22" s="1"/>
  <c r="U23" i="22" s="1"/>
  <c r="V19" i="22" s="1"/>
  <c r="G214" i="22"/>
  <c r="F214" i="22"/>
  <c r="I214" i="22"/>
  <c r="H214" i="22"/>
  <c r="D214" i="22"/>
  <c r="A216" i="22"/>
  <c r="C215" i="22"/>
  <c r="B97" i="28" l="1"/>
  <c r="F102" i="29"/>
  <c r="D102" i="29"/>
  <c r="G102" i="29"/>
  <c r="H102" i="29"/>
  <c r="A103" i="29" s="1"/>
  <c r="I102" i="29"/>
  <c r="K102" i="29" s="1"/>
  <c r="V20" i="22"/>
  <c r="V22" i="22" s="1"/>
  <c r="V23" i="22" s="1"/>
  <c r="W19" i="22" s="1"/>
  <c r="A217" i="22"/>
  <c r="C216" i="22"/>
  <c r="D215" i="22"/>
  <c r="H215" i="22"/>
  <c r="I215" i="22"/>
  <c r="G215" i="22"/>
  <c r="F215" i="22"/>
  <c r="I97" i="28" l="1"/>
  <c r="K97" i="28" s="1"/>
  <c r="D97" i="28"/>
  <c r="C103" i="29"/>
  <c r="B103" i="29"/>
  <c r="W20" i="22"/>
  <c r="W22" i="22" s="1"/>
  <c r="W23" i="22" s="1"/>
  <c r="A218" i="22"/>
  <c r="C217" i="22"/>
  <c r="I216" i="22"/>
  <c r="H216" i="22"/>
  <c r="G216" i="22"/>
  <c r="F216" i="22"/>
  <c r="D216" i="22"/>
  <c r="E97" i="28" l="1"/>
  <c r="F97" i="28"/>
  <c r="G97" i="28"/>
  <c r="D103" i="29"/>
  <c r="I103" i="29"/>
  <c r="K103" i="29" s="1"/>
  <c r="H103" i="29"/>
  <c r="A104" i="29" s="1"/>
  <c r="G103" i="29"/>
  <c r="F103" i="29"/>
  <c r="G217" i="22"/>
  <c r="F217" i="22"/>
  <c r="I217" i="22"/>
  <c r="H217" i="22"/>
  <c r="D217" i="22"/>
  <c r="A219" i="22"/>
  <c r="H97" i="28" l="1"/>
  <c r="A98" i="28" s="1"/>
  <c r="C104" i="29"/>
  <c r="B104" i="29"/>
  <c r="D218" i="22"/>
  <c r="I218" i="22"/>
  <c r="H218" i="22"/>
  <c r="G218" i="22"/>
  <c r="F218" i="22"/>
  <c r="A220" i="22"/>
  <c r="C219" i="22"/>
  <c r="C218" i="22"/>
  <c r="B98" i="28" l="1"/>
  <c r="C98" i="28"/>
  <c r="F104" i="29"/>
  <c r="G104" i="29"/>
  <c r="D104" i="29"/>
  <c r="H104" i="29"/>
  <c r="A105" i="29" s="1"/>
  <c r="I104" i="29"/>
  <c r="K104" i="29" s="1"/>
  <c r="I219" i="22"/>
  <c r="H219" i="22"/>
  <c r="G219" i="22"/>
  <c r="F219" i="22"/>
  <c r="D219" i="22"/>
  <c r="A221" i="22"/>
  <c r="I98" i="28" l="1"/>
  <c r="K98" i="28" s="1"/>
  <c r="D98" i="28"/>
  <c r="E98" i="28" s="1"/>
  <c r="C105" i="29"/>
  <c r="B105" i="29"/>
  <c r="G220" i="22"/>
  <c r="F220" i="22"/>
  <c r="I220" i="22"/>
  <c r="H220" i="22"/>
  <c r="D220" i="22"/>
  <c r="C220" i="22"/>
  <c r="A222" i="22"/>
  <c r="C221" i="22"/>
  <c r="G98" i="28" l="1"/>
  <c r="F98" i="28"/>
  <c r="G105" i="29"/>
  <c r="F105" i="29"/>
  <c r="D105" i="29"/>
  <c r="I105" i="29"/>
  <c r="K105" i="29" s="1"/>
  <c r="H105" i="29"/>
  <c r="A106" i="29" s="1"/>
  <c r="A223" i="22"/>
  <c r="C222" i="22"/>
  <c r="D221" i="22"/>
  <c r="H221" i="22"/>
  <c r="I221" i="22"/>
  <c r="G221" i="22"/>
  <c r="F221" i="22"/>
  <c r="H98" i="28" l="1"/>
  <c r="A99" i="28" s="1"/>
  <c r="B99" i="28" s="1"/>
  <c r="C106" i="29"/>
  <c r="B106" i="29"/>
  <c r="A224" i="22"/>
  <c r="I222" i="22"/>
  <c r="H222" i="22"/>
  <c r="G222" i="22"/>
  <c r="F222" i="22"/>
  <c r="D222" i="22"/>
  <c r="I99" i="28" l="1"/>
  <c r="K99" i="28" s="1"/>
  <c r="D99" i="28"/>
  <c r="C99" i="28"/>
  <c r="H106" i="29"/>
  <c r="A107" i="29" s="1"/>
  <c r="I106" i="29"/>
  <c r="K106" i="29" s="1"/>
  <c r="D106" i="29"/>
  <c r="G106" i="29"/>
  <c r="F106" i="29"/>
  <c r="G223" i="22"/>
  <c r="F223" i="22"/>
  <c r="I223" i="22"/>
  <c r="D223" i="22"/>
  <c r="H223" i="22"/>
  <c r="A225" i="22"/>
  <c r="C224" i="22"/>
  <c r="C223" i="22"/>
  <c r="G99" i="28" l="1"/>
  <c r="F99" i="28"/>
  <c r="E99" i="28"/>
  <c r="C107" i="29"/>
  <c r="B107" i="29"/>
  <c r="A226" i="22"/>
  <c r="C225" i="22"/>
  <c r="D224" i="22"/>
  <c r="I224" i="22"/>
  <c r="H224" i="22"/>
  <c r="G224" i="22"/>
  <c r="F224" i="22"/>
  <c r="H99" i="28" l="1"/>
  <c r="A100" i="28" s="1"/>
  <c r="B100" i="28" s="1"/>
  <c r="I107" i="29"/>
  <c r="K107" i="29" s="1"/>
  <c r="H107" i="29"/>
  <c r="A108" i="29" s="1"/>
  <c r="G107" i="29"/>
  <c r="F107" i="29"/>
  <c r="D107" i="29"/>
  <c r="A227" i="22"/>
  <c r="C226" i="22"/>
  <c r="I225" i="22"/>
  <c r="H225" i="22"/>
  <c r="F225" i="22"/>
  <c r="D225" i="22"/>
  <c r="G225" i="22"/>
  <c r="C100" i="28" l="1"/>
  <c r="D100" i="28"/>
  <c r="I100" i="28"/>
  <c r="K100" i="28" s="1"/>
  <c r="C108" i="29"/>
  <c r="B108" i="29"/>
  <c r="G226" i="22"/>
  <c r="F226" i="22"/>
  <c r="I226" i="22"/>
  <c r="H226" i="22"/>
  <c r="D226" i="22"/>
  <c r="A228" i="22"/>
  <c r="C227" i="22"/>
  <c r="G100" i="28" l="1"/>
  <c r="F100" i="28"/>
  <c r="E100" i="28"/>
  <c r="I108" i="29"/>
  <c r="K108" i="29" s="1"/>
  <c r="D108" i="29"/>
  <c r="F108" i="29"/>
  <c r="H108" i="29"/>
  <c r="A109" i="29" s="1"/>
  <c r="G108" i="29"/>
  <c r="A229" i="22"/>
  <c r="C228" i="22"/>
  <c r="D227" i="22"/>
  <c r="H227" i="22"/>
  <c r="I227" i="22"/>
  <c r="G227" i="22"/>
  <c r="F227" i="22"/>
  <c r="H100" i="28" l="1"/>
  <c r="A101" i="28" s="1"/>
  <c r="B101" i="28" s="1"/>
  <c r="C109" i="29"/>
  <c r="B109" i="29"/>
  <c r="A230" i="22"/>
  <c r="I228" i="22"/>
  <c r="H228" i="22"/>
  <c r="G228" i="22"/>
  <c r="F228" i="22"/>
  <c r="D228" i="22"/>
  <c r="C101" i="28" l="1"/>
  <c r="D101" i="28"/>
  <c r="I101" i="28"/>
  <c r="K101" i="28" s="1"/>
  <c r="I109" i="29"/>
  <c r="K109" i="29" s="1"/>
  <c r="F109" i="29"/>
  <c r="H109" i="29"/>
  <c r="A110" i="29" s="1"/>
  <c r="G109" i="29"/>
  <c r="D109" i="29"/>
  <c r="G229" i="22"/>
  <c r="F229" i="22"/>
  <c r="I229" i="22"/>
  <c r="D229" i="22"/>
  <c r="H229" i="22"/>
  <c r="C229" i="22"/>
  <c r="A231" i="22"/>
  <c r="C230" i="22"/>
  <c r="E101" i="28" l="1"/>
  <c r="G101" i="28"/>
  <c r="F101" i="28"/>
  <c r="C110" i="29"/>
  <c r="B110" i="29"/>
  <c r="D230" i="22"/>
  <c r="I230" i="22"/>
  <c r="H230" i="22"/>
  <c r="G230" i="22"/>
  <c r="F230" i="22"/>
  <c r="A232" i="22"/>
  <c r="C231" i="22"/>
  <c r="H101" i="28" l="1"/>
  <c r="A102" i="28" s="1"/>
  <c r="C102" i="28" s="1"/>
  <c r="I110" i="29"/>
  <c r="K110" i="29" s="1"/>
  <c r="H110" i="29"/>
  <c r="A111" i="29" s="1"/>
  <c r="G110" i="29"/>
  <c r="F110" i="29"/>
  <c r="D110" i="29"/>
  <c r="A233" i="22"/>
  <c r="C232" i="22"/>
  <c r="I231" i="22"/>
  <c r="H231" i="22"/>
  <c r="G231" i="22"/>
  <c r="F231" i="22"/>
  <c r="D231" i="22"/>
  <c r="B102" i="28" l="1"/>
  <c r="D102" i="28" s="1"/>
  <c r="G102" i="28" s="1"/>
  <c r="B111" i="29"/>
  <c r="C111" i="29"/>
  <c r="G232" i="22"/>
  <c r="F232" i="22"/>
  <c r="I232" i="22"/>
  <c r="H232" i="22"/>
  <c r="D232" i="22"/>
  <c r="A234" i="22"/>
  <c r="C233" i="22"/>
  <c r="I102" i="28" l="1"/>
  <c r="K102" i="28" s="1"/>
  <c r="F102" i="28"/>
  <c r="H102" i="28" s="1"/>
  <c r="A103" i="28" s="1"/>
  <c r="E102" i="28"/>
  <c r="G111" i="29"/>
  <c r="F111" i="29"/>
  <c r="D111" i="29"/>
  <c r="H111" i="29"/>
  <c r="A112" i="29" s="1"/>
  <c r="I111" i="29"/>
  <c r="K111" i="29" s="1"/>
  <c r="A235" i="22"/>
  <c r="C234" i="22"/>
  <c r="D233" i="22"/>
  <c r="H233" i="22"/>
  <c r="G233" i="22"/>
  <c r="F233" i="22"/>
  <c r="I233" i="22"/>
  <c r="C103" i="28" l="1"/>
  <c r="B103" i="28"/>
  <c r="C112" i="29"/>
  <c r="B112" i="29"/>
  <c r="A236" i="22"/>
  <c r="I234" i="22"/>
  <c r="H234" i="22"/>
  <c r="G234" i="22"/>
  <c r="F234" i="22"/>
  <c r="D234" i="22"/>
  <c r="I103" i="28" l="1"/>
  <c r="K103" i="28" s="1"/>
  <c r="D103" i="28"/>
  <c r="F103" i="28" s="1"/>
  <c r="F112" i="29"/>
  <c r="I112" i="29"/>
  <c r="K112" i="29" s="1"/>
  <c r="H112" i="29"/>
  <c r="A113" i="29" s="1"/>
  <c r="G112" i="29"/>
  <c r="D112" i="29"/>
  <c r="G235" i="22"/>
  <c r="F235" i="22"/>
  <c r="I235" i="22"/>
  <c r="H235" i="22"/>
  <c r="D235" i="22"/>
  <c r="C235" i="22"/>
  <c r="A237" i="22"/>
  <c r="C236" i="22"/>
  <c r="G103" i="28" l="1"/>
  <c r="H103" i="28" s="1"/>
  <c r="A104" i="28" s="1"/>
  <c r="E103" i="28"/>
  <c r="B113" i="29"/>
  <c r="C113" i="29"/>
  <c r="D236" i="22"/>
  <c r="I236" i="22"/>
  <c r="H236" i="22"/>
  <c r="G236" i="22"/>
  <c r="F236" i="22"/>
  <c r="C237" i="22"/>
  <c r="A238" i="22"/>
  <c r="B104" i="28" l="1"/>
  <c r="C104" i="28"/>
  <c r="D113" i="29"/>
  <c r="H113" i="29"/>
  <c r="A114" i="29" s="1"/>
  <c r="G113" i="29"/>
  <c r="F113" i="29"/>
  <c r="I113" i="29"/>
  <c r="K113" i="29" s="1"/>
  <c r="I237" i="22"/>
  <c r="H237" i="22"/>
  <c r="D237" i="22"/>
  <c r="F237" i="22"/>
  <c r="G237" i="22"/>
  <c r="A239" i="22"/>
  <c r="C238" i="22"/>
  <c r="D104" i="28" l="1"/>
  <c r="G104" i="28" s="1"/>
  <c r="I104" i="28"/>
  <c r="K104" i="28" s="1"/>
  <c r="C114" i="29"/>
  <c r="B114" i="29"/>
  <c r="A240" i="22"/>
  <c r="G238" i="22"/>
  <c r="F238" i="22"/>
  <c r="I238" i="22"/>
  <c r="H238" i="22"/>
  <c r="D238" i="22"/>
  <c r="E104" i="28" l="1"/>
  <c r="F104" i="28"/>
  <c r="H104" i="28" s="1"/>
  <c r="A105" i="28" s="1"/>
  <c r="F114" i="29"/>
  <c r="D114" i="29"/>
  <c r="I114" i="29"/>
  <c r="K114" i="29" s="1"/>
  <c r="H114" i="29"/>
  <c r="A115" i="29" s="1"/>
  <c r="G114" i="29"/>
  <c r="D239" i="22"/>
  <c r="H239" i="22"/>
  <c r="I239" i="22"/>
  <c r="G239" i="22"/>
  <c r="F239" i="22"/>
  <c r="C239" i="22"/>
  <c r="A241" i="22"/>
  <c r="C240" i="22"/>
  <c r="C105" i="28" l="1"/>
  <c r="B105" i="28"/>
  <c r="B115" i="29"/>
  <c r="C115" i="29"/>
  <c r="A242" i="22"/>
  <c r="C241" i="22"/>
  <c r="I240" i="22"/>
  <c r="H240" i="22"/>
  <c r="G240" i="22"/>
  <c r="F240" i="22"/>
  <c r="D240" i="22"/>
  <c r="I105" i="28" l="1"/>
  <c r="K105" i="28" s="1"/>
  <c r="D105" i="28"/>
  <c r="F105" i="28" s="1"/>
  <c r="G115" i="29"/>
  <c r="I115" i="29"/>
  <c r="K115" i="29" s="1"/>
  <c r="H115" i="29"/>
  <c r="A116" i="29" s="1"/>
  <c r="F115" i="29"/>
  <c r="D115" i="29"/>
  <c r="G241" i="22"/>
  <c r="F241" i="22"/>
  <c r="I241" i="22"/>
  <c r="H241" i="22"/>
  <c r="D241" i="22"/>
  <c r="A243" i="22"/>
  <c r="C242" i="22"/>
  <c r="E105" i="28" l="1"/>
  <c r="G105" i="28"/>
  <c r="H105" i="28" s="1"/>
  <c r="A106" i="28" s="1"/>
  <c r="C106" i="28" s="1"/>
  <c r="C116" i="29"/>
  <c r="B116" i="29"/>
  <c r="C243" i="22"/>
  <c r="A244" i="22"/>
  <c r="D242" i="22"/>
  <c r="I242" i="22"/>
  <c r="H242" i="22"/>
  <c r="G242" i="22"/>
  <c r="F242" i="22"/>
  <c r="B106" i="28" l="1"/>
  <c r="I106" i="28" s="1"/>
  <c r="K106" i="28" s="1"/>
  <c r="H116" i="29"/>
  <c r="A117" i="29" s="1"/>
  <c r="G116" i="29"/>
  <c r="F116" i="29"/>
  <c r="D116" i="29"/>
  <c r="I116" i="29"/>
  <c r="K116" i="29" s="1"/>
  <c r="A245" i="22"/>
  <c r="C244" i="22"/>
  <c r="I243" i="22"/>
  <c r="H243" i="22"/>
  <c r="G243" i="22"/>
  <c r="F243" i="22"/>
  <c r="D243" i="22"/>
  <c r="D106" i="28" l="1"/>
  <c r="G106" i="28" s="1"/>
  <c r="C117" i="29"/>
  <c r="B117" i="29"/>
  <c r="G244" i="22"/>
  <c r="F244" i="22"/>
  <c r="I244" i="22"/>
  <c r="H244" i="22"/>
  <c r="D244" i="22"/>
  <c r="A246" i="22"/>
  <c r="C245" i="22"/>
  <c r="F106" i="28" l="1"/>
  <c r="H106" i="28" s="1"/>
  <c r="A107" i="28" s="1"/>
  <c r="E106" i="28"/>
  <c r="I117" i="29"/>
  <c r="K117" i="29" s="1"/>
  <c r="H117" i="29"/>
  <c r="A118" i="29" s="1"/>
  <c r="G117" i="29"/>
  <c r="F117" i="29"/>
  <c r="D117" i="29"/>
  <c r="C246" i="22"/>
  <c r="A247" i="22"/>
  <c r="D245" i="22"/>
  <c r="H245" i="22"/>
  <c r="G245" i="22"/>
  <c r="I245" i="22"/>
  <c r="F245" i="22"/>
  <c r="C107" i="28" l="1"/>
  <c r="B107" i="28"/>
  <c r="D107" i="28" s="1"/>
  <c r="C118" i="29"/>
  <c r="B118" i="29"/>
  <c r="A248" i="22"/>
  <c r="C247" i="22"/>
  <c r="I246" i="22"/>
  <c r="H246" i="22"/>
  <c r="G246" i="22"/>
  <c r="F246" i="22"/>
  <c r="D246" i="22"/>
  <c r="I107" i="28" l="1"/>
  <c r="K107" i="28" s="1"/>
  <c r="F107" i="28"/>
  <c r="G107" i="28"/>
  <c r="E107" i="28"/>
  <c r="I118" i="29"/>
  <c r="K118" i="29" s="1"/>
  <c r="H118" i="29"/>
  <c r="A119" i="29" s="1"/>
  <c r="D118" i="29"/>
  <c r="F118" i="29"/>
  <c r="G118" i="29"/>
  <c r="G247" i="22"/>
  <c r="F247" i="22"/>
  <c r="I247" i="22"/>
  <c r="H247" i="22"/>
  <c r="D247" i="22"/>
  <c r="A249" i="22"/>
  <c r="C248" i="22"/>
  <c r="H107" i="28" l="1"/>
  <c r="A108" i="28" s="1"/>
  <c r="B108" i="28" s="1"/>
  <c r="C119" i="29"/>
  <c r="B119" i="29"/>
  <c r="C249" i="22"/>
  <c r="A250" i="22"/>
  <c r="D248" i="22"/>
  <c r="I248" i="22"/>
  <c r="H248" i="22"/>
  <c r="G248" i="22"/>
  <c r="F248" i="22"/>
  <c r="C108" i="28" l="1"/>
  <c r="D108" i="28"/>
  <c r="I108" i="28"/>
  <c r="K108" i="28" s="1"/>
  <c r="D119" i="29"/>
  <c r="I119" i="29"/>
  <c r="K119" i="29" s="1"/>
  <c r="H119" i="29"/>
  <c r="A120" i="29" s="1"/>
  <c r="G119" i="29"/>
  <c r="F119" i="29"/>
  <c r="A251" i="22"/>
  <c r="I249" i="22"/>
  <c r="H249" i="22"/>
  <c r="G249" i="22"/>
  <c r="F249" i="22"/>
  <c r="D249" i="22"/>
  <c r="F108" i="28" l="1"/>
  <c r="G108" i="28"/>
  <c r="E108" i="28"/>
  <c r="C120" i="29"/>
  <c r="B120" i="29"/>
  <c r="G250" i="22"/>
  <c r="F250" i="22"/>
  <c r="I250" i="22"/>
  <c r="H250" i="22"/>
  <c r="D250" i="22"/>
  <c r="C250" i="22"/>
  <c r="A252" i="22"/>
  <c r="C251" i="22"/>
  <c r="H108" i="28" l="1"/>
  <c r="A109" i="28" s="1"/>
  <c r="B109" i="28" s="1"/>
  <c r="G120" i="29"/>
  <c r="F120" i="29"/>
  <c r="D120" i="29"/>
  <c r="I120" i="29"/>
  <c r="K120" i="29" s="1"/>
  <c r="H120" i="29"/>
  <c r="A121" i="29" s="1"/>
  <c r="C252" i="22"/>
  <c r="A253" i="22"/>
  <c r="D251" i="22"/>
  <c r="H251" i="22"/>
  <c r="G251" i="22"/>
  <c r="I251" i="22"/>
  <c r="F251" i="22"/>
  <c r="C109" i="28" l="1"/>
  <c r="D109" i="28"/>
  <c r="I109" i="28"/>
  <c r="K109" i="28" s="1"/>
  <c r="B121" i="29"/>
  <c r="C121" i="29"/>
  <c r="A254" i="22"/>
  <c r="I252" i="22"/>
  <c r="H252" i="22"/>
  <c r="G252" i="22"/>
  <c r="F252" i="22"/>
  <c r="D252" i="22"/>
  <c r="G109" i="28" l="1"/>
  <c r="F109" i="28"/>
  <c r="E109" i="28"/>
  <c r="I121" i="29"/>
  <c r="K121" i="29" s="1"/>
  <c r="H121" i="29"/>
  <c r="A122" i="29" s="1"/>
  <c r="G121" i="29"/>
  <c r="F121" i="29"/>
  <c r="D121" i="29"/>
  <c r="G253" i="22"/>
  <c r="F253" i="22"/>
  <c r="I253" i="22"/>
  <c r="H253" i="22"/>
  <c r="D253" i="22"/>
  <c r="C253" i="22"/>
  <c r="A255" i="22"/>
  <c r="C254" i="22"/>
  <c r="H109" i="28" l="1"/>
  <c r="A110" i="28" s="1"/>
  <c r="C110" i="28" s="1"/>
  <c r="C122" i="29"/>
  <c r="B122" i="29"/>
  <c r="C255" i="22"/>
  <c r="A256" i="22"/>
  <c r="D254" i="22"/>
  <c r="I254" i="22"/>
  <c r="H254" i="22"/>
  <c r="G254" i="22"/>
  <c r="F254" i="22"/>
  <c r="B110" i="28" l="1"/>
  <c r="I110" i="28" s="1"/>
  <c r="K110" i="28" s="1"/>
  <c r="I122" i="29"/>
  <c r="K122" i="29" s="1"/>
  <c r="H122" i="29"/>
  <c r="A123" i="29" s="1"/>
  <c r="D122" i="29"/>
  <c r="G122" i="29"/>
  <c r="F122" i="29"/>
  <c r="A257" i="22"/>
  <c r="I255" i="22"/>
  <c r="H255" i="22"/>
  <c r="G255" i="22"/>
  <c r="F255" i="22"/>
  <c r="D255" i="22"/>
  <c r="D110" i="28" l="1"/>
  <c r="E110" i="28" s="1"/>
  <c r="C123" i="29"/>
  <c r="B123" i="29"/>
  <c r="G256" i="22"/>
  <c r="F256" i="22"/>
  <c r="I256" i="22"/>
  <c r="H256" i="22"/>
  <c r="D256" i="22"/>
  <c r="C256" i="22"/>
  <c r="A258" i="22"/>
  <c r="C257" i="22"/>
  <c r="F110" i="28" l="1"/>
  <c r="G110" i="28"/>
  <c r="D123" i="29"/>
  <c r="G123" i="29"/>
  <c r="I123" i="29"/>
  <c r="K123" i="29" s="1"/>
  <c r="H123" i="29"/>
  <c r="A124" i="29" s="1"/>
  <c r="F123" i="29"/>
  <c r="D257" i="22"/>
  <c r="H257" i="22"/>
  <c r="G257" i="22"/>
  <c r="I257" i="22"/>
  <c r="F257" i="22"/>
  <c r="A259" i="22"/>
  <c r="C258" i="22"/>
  <c r="H110" i="28" l="1"/>
  <c r="A111" i="28" s="1"/>
  <c r="B111" i="28" s="1"/>
  <c r="I111" i="28" s="1"/>
  <c r="K111" i="28" s="1"/>
  <c r="C124" i="29"/>
  <c r="B124" i="29"/>
  <c r="I258" i="22"/>
  <c r="H258" i="22"/>
  <c r="G258" i="22"/>
  <c r="F258" i="22"/>
  <c r="D258" i="22"/>
  <c r="A260" i="22"/>
  <c r="D111" i="28" l="1"/>
  <c r="C111" i="28"/>
  <c r="F124" i="29"/>
  <c r="I124" i="29"/>
  <c r="K124" i="29" s="1"/>
  <c r="H124" i="29"/>
  <c r="A125" i="29" s="1"/>
  <c r="G124" i="29"/>
  <c r="D124" i="29"/>
  <c r="A261" i="22"/>
  <c r="C260" i="22"/>
  <c r="G259" i="22"/>
  <c r="F259" i="22"/>
  <c r="I259" i="22"/>
  <c r="H259" i="22"/>
  <c r="D259" i="22"/>
  <c r="C259" i="22"/>
  <c r="E111" i="28" l="1"/>
  <c r="F111" i="28"/>
  <c r="G111" i="28"/>
  <c r="C125" i="29"/>
  <c r="B125" i="29"/>
  <c r="D260" i="22"/>
  <c r="I260" i="22"/>
  <c r="H260" i="22"/>
  <c r="G260" i="22"/>
  <c r="F260" i="22"/>
  <c r="A262" i="22"/>
  <c r="C261" i="22"/>
  <c r="H111" i="28" l="1"/>
  <c r="A112" i="28" s="1"/>
  <c r="C112" i="28" s="1"/>
  <c r="G125" i="29"/>
  <c r="F125" i="29"/>
  <c r="D125" i="29"/>
  <c r="H125" i="29"/>
  <c r="A126" i="29" s="1"/>
  <c r="I125" i="29"/>
  <c r="K125" i="29" s="1"/>
  <c r="A263" i="22"/>
  <c r="C262" i="22"/>
  <c r="I261" i="22"/>
  <c r="H261" i="22"/>
  <c r="G261" i="22"/>
  <c r="F261" i="22"/>
  <c r="D261" i="22"/>
  <c r="B112" i="28" l="1"/>
  <c r="I112" i="28" s="1"/>
  <c r="K112" i="28" s="1"/>
  <c r="C126" i="29"/>
  <c r="B126" i="29"/>
  <c r="G262" i="22"/>
  <c r="F262" i="22"/>
  <c r="I262" i="22"/>
  <c r="H262" i="22"/>
  <c r="D262" i="22"/>
  <c r="A264" i="22"/>
  <c r="D112" i="28" l="1"/>
  <c r="G112" i="28" s="1"/>
  <c r="H126" i="29"/>
  <c r="A127" i="29" s="1"/>
  <c r="I126" i="29"/>
  <c r="K126" i="29" s="1"/>
  <c r="G126" i="29"/>
  <c r="F126" i="29"/>
  <c r="D126" i="29"/>
  <c r="D263" i="22"/>
  <c r="H263" i="22"/>
  <c r="G263" i="22"/>
  <c r="I263" i="22"/>
  <c r="F263" i="22"/>
  <c r="A265" i="22"/>
  <c r="C264" i="22"/>
  <c r="C263" i="22"/>
  <c r="F112" i="28" l="1"/>
  <c r="H112" i="28" s="1"/>
  <c r="A113" i="28" s="1"/>
  <c r="C113" i="28" s="1"/>
  <c r="E112" i="28"/>
  <c r="C127" i="29"/>
  <c r="B127" i="29"/>
  <c r="A266" i="22"/>
  <c r="I264" i="22"/>
  <c r="H264" i="22"/>
  <c r="G264" i="22"/>
  <c r="F264" i="22"/>
  <c r="D264" i="22"/>
  <c r="B113" i="28" l="1"/>
  <c r="D113" i="28" s="1"/>
  <c r="E113" i="28" s="1"/>
  <c r="I127" i="29"/>
  <c r="K127" i="29" s="1"/>
  <c r="H127" i="29"/>
  <c r="A128" i="29" s="1"/>
  <c r="G127" i="29"/>
  <c r="F127" i="29"/>
  <c r="D127" i="29"/>
  <c r="G265" i="22"/>
  <c r="F265" i="22"/>
  <c r="I265" i="22"/>
  <c r="H265" i="22"/>
  <c r="D265" i="22"/>
  <c r="C265" i="22"/>
  <c r="A267" i="22"/>
  <c r="C266" i="22"/>
  <c r="I113" i="28" l="1"/>
  <c r="K113" i="28" s="1"/>
  <c r="F113" i="28"/>
  <c r="G113" i="28"/>
  <c r="C128" i="29"/>
  <c r="B128" i="29"/>
  <c r="C267" i="22"/>
  <c r="A268" i="22"/>
  <c r="D266" i="22"/>
  <c r="I266" i="22"/>
  <c r="H266" i="22"/>
  <c r="G266" i="22"/>
  <c r="F266" i="22"/>
  <c r="H113" i="28" l="1"/>
  <c r="A114" i="28" s="1"/>
  <c r="C114" i="28" s="1"/>
  <c r="H128" i="29"/>
  <c r="A129" i="29" s="1"/>
  <c r="G128" i="29"/>
  <c r="F128" i="29"/>
  <c r="D128" i="29"/>
  <c r="I128" i="29"/>
  <c r="K128" i="29" s="1"/>
  <c r="A269" i="22"/>
  <c r="C268" i="22"/>
  <c r="I267" i="22"/>
  <c r="H267" i="22"/>
  <c r="G267" i="22"/>
  <c r="F267" i="22"/>
  <c r="D267" i="22"/>
  <c r="B114" i="28" l="1"/>
  <c r="D114" i="28" s="1"/>
  <c r="E114" i="28" s="1"/>
  <c r="B129" i="29"/>
  <c r="C129" i="29"/>
  <c r="G268" i="22"/>
  <c r="F268" i="22"/>
  <c r="I268" i="22"/>
  <c r="H268" i="22"/>
  <c r="D268" i="22"/>
  <c r="A270" i="22"/>
  <c r="G114" i="28" l="1"/>
  <c r="F114" i="28"/>
  <c r="I114" i="28"/>
  <c r="K114" i="28" s="1"/>
  <c r="I129" i="29"/>
  <c r="K129" i="29" s="1"/>
  <c r="H129" i="29"/>
  <c r="A130" i="29" s="1"/>
  <c r="G129" i="29"/>
  <c r="F129" i="29"/>
  <c r="D129" i="29"/>
  <c r="D269" i="22"/>
  <c r="H269" i="22"/>
  <c r="G269" i="22"/>
  <c r="I269" i="22"/>
  <c r="F269" i="22"/>
  <c r="A271" i="22"/>
  <c r="C270" i="22"/>
  <c r="C269" i="22"/>
  <c r="H114" i="28" l="1"/>
  <c r="A115" i="28" s="1"/>
  <c r="C115" i="28" s="1"/>
  <c r="C130" i="29"/>
  <c r="B130" i="29"/>
  <c r="A272" i="22"/>
  <c r="I270" i="22"/>
  <c r="H270" i="22"/>
  <c r="G270" i="22"/>
  <c r="F270" i="22"/>
  <c r="D270" i="22"/>
  <c r="B115" i="28" l="1"/>
  <c r="D115" i="28" s="1"/>
  <c r="F115" i="28" s="1"/>
  <c r="H130" i="29"/>
  <c r="A131" i="29" s="1"/>
  <c r="F130" i="29"/>
  <c r="D130" i="29"/>
  <c r="I130" i="29"/>
  <c r="K130" i="29" s="1"/>
  <c r="G130" i="29"/>
  <c r="G271" i="22"/>
  <c r="F271" i="22"/>
  <c r="I271" i="22"/>
  <c r="H271" i="22"/>
  <c r="D271" i="22"/>
  <c r="C271" i="22"/>
  <c r="A273" i="22"/>
  <c r="C272" i="22"/>
  <c r="E115" i="28" l="1"/>
  <c r="I115" i="28"/>
  <c r="K115" i="28" s="1"/>
  <c r="G115" i="28"/>
  <c r="H115" i="28" s="1"/>
  <c r="A116" i="28" s="1"/>
  <c r="B116" i="28" s="1"/>
  <c r="B131" i="29"/>
  <c r="C131" i="29"/>
  <c r="D272" i="22"/>
  <c r="I272" i="22"/>
  <c r="H272" i="22"/>
  <c r="G272" i="22"/>
  <c r="F272" i="22"/>
  <c r="A274" i="22"/>
  <c r="C116" i="28" l="1"/>
  <c r="I116" i="28"/>
  <c r="K116" i="28" s="1"/>
  <c r="D116" i="28"/>
  <c r="H131" i="29"/>
  <c r="A132" i="29" s="1"/>
  <c r="I131" i="29"/>
  <c r="K131" i="29" s="1"/>
  <c r="F131" i="29"/>
  <c r="D131" i="29"/>
  <c r="G131" i="29"/>
  <c r="I273" i="22"/>
  <c r="H273" i="22"/>
  <c r="G273" i="22"/>
  <c r="F273" i="22"/>
  <c r="D273" i="22"/>
  <c r="C273" i="22"/>
  <c r="A275" i="22"/>
  <c r="C274" i="22"/>
  <c r="E116" i="28" l="1"/>
  <c r="F116" i="28"/>
  <c r="G116" i="28"/>
  <c r="C132" i="29"/>
  <c r="B132" i="29"/>
  <c r="G274" i="22"/>
  <c r="F274" i="22"/>
  <c r="I274" i="22"/>
  <c r="H274" i="22"/>
  <c r="D274" i="22"/>
  <c r="A276" i="22"/>
  <c r="C275" i="22"/>
  <c r="H116" i="28" l="1"/>
  <c r="A117" i="28" s="1"/>
  <c r="B117" i="28" s="1"/>
  <c r="G132" i="29"/>
  <c r="H132" i="29"/>
  <c r="A133" i="29" s="1"/>
  <c r="F132" i="29"/>
  <c r="I132" i="29"/>
  <c r="K132" i="29" s="1"/>
  <c r="D132" i="29"/>
  <c r="A277" i="22"/>
  <c r="C276" i="22"/>
  <c r="D275" i="22"/>
  <c r="H275" i="22"/>
  <c r="G275" i="22"/>
  <c r="I275" i="22"/>
  <c r="F275" i="22"/>
  <c r="C117" i="28" l="1"/>
  <c r="I117" i="28"/>
  <c r="K117" i="28" s="1"/>
  <c r="D117" i="28"/>
  <c r="B133" i="29"/>
  <c r="C133" i="29"/>
  <c r="A278" i="22"/>
  <c r="C277" i="22"/>
  <c r="I276" i="22"/>
  <c r="H276" i="22"/>
  <c r="G276" i="22"/>
  <c r="F276" i="22"/>
  <c r="D276" i="22"/>
  <c r="E117" i="28" l="1"/>
  <c r="F117" i="28"/>
  <c r="G117" i="28"/>
  <c r="D133" i="29"/>
  <c r="H133" i="29"/>
  <c r="A134" i="29" s="1"/>
  <c r="G133" i="29"/>
  <c r="F133" i="29"/>
  <c r="I133" i="29"/>
  <c r="K133" i="29" s="1"/>
  <c r="G277" i="22"/>
  <c r="F277" i="22"/>
  <c r="I277" i="22"/>
  <c r="H277" i="22"/>
  <c r="D277" i="22"/>
  <c r="A279" i="22"/>
  <c r="C278" i="22"/>
  <c r="H117" i="28" l="1"/>
  <c r="A118" i="28" s="1"/>
  <c r="C118" i="28" s="1"/>
  <c r="B134" i="29"/>
  <c r="C134" i="29"/>
  <c r="D278" i="22"/>
  <c r="I278" i="22"/>
  <c r="H278" i="22"/>
  <c r="G278" i="22"/>
  <c r="F278" i="22"/>
  <c r="A280" i="22"/>
  <c r="C279" i="22"/>
  <c r="B118" i="28" l="1"/>
  <c r="D118" i="28" s="1"/>
  <c r="F118" i="28" s="1"/>
  <c r="H134" i="29"/>
  <c r="A135" i="29" s="1"/>
  <c r="G134" i="29"/>
  <c r="D134" i="29"/>
  <c r="F134" i="29"/>
  <c r="I134" i="29"/>
  <c r="K134" i="29" s="1"/>
  <c r="I279" i="22"/>
  <c r="H279" i="22"/>
  <c r="G279" i="22"/>
  <c r="F279" i="22"/>
  <c r="D279" i="22"/>
  <c r="A281" i="22"/>
  <c r="C280" i="22"/>
  <c r="I118" i="28" l="1"/>
  <c r="K118" i="28" s="1"/>
  <c r="E118" i="28"/>
  <c r="G118" i="28"/>
  <c r="H118" i="28" s="1"/>
  <c r="A119" i="28" s="1"/>
  <c r="C135" i="29"/>
  <c r="B135" i="29"/>
  <c r="G280" i="22"/>
  <c r="F280" i="22"/>
  <c r="I280" i="22"/>
  <c r="H280" i="22"/>
  <c r="D280" i="22"/>
  <c r="A282" i="22"/>
  <c r="C281" i="22"/>
  <c r="C119" i="28" l="1"/>
  <c r="B119" i="28"/>
  <c r="I119" i="28" s="1"/>
  <c r="K119" i="28" s="1"/>
  <c r="G135" i="29"/>
  <c r="D135" i="29"/>
  <c r="I135" i="29"/>
  <c r="K135" i="29" s="1"/>
  <c r="H135" i="29"/>
  <c r="A136" i="29" s="1"/>
  <c r="F135" i="29"/>
  <c r="A283" i="22"/>
  <c r="C282" i="22"/>
  <c r="D281" i="22"/>
  <c r="H281" i="22"/>
  <c r="G281" i="22"/>
  <c r="I281" i="22"/>
  <c r="F281" i="22"/>
  <c r="D119" i="28" l="1"/>
  <c r="E119" i="28" s="1"/>
  <c r="B136" i="29"/>
  <c r="C136" i="29"/>
  <c r="A284" i="22"/>
  <c r="I282" i="22"/>
  <c r="H282" i="22"/>
  <c r="G282" i="22"/>
  <c r="F282" i="22"/>
  <c r="D282" i="22"/>
  <c r="F119" i="28" l="1"/>
  <c r="G119" i="28"/>
  <c r="G136" i="29"/>
  <c r="F136" i="29"/>
  <c r="I136" i="29"/>
  <c r="K136" i="29" s="1"/>
  <c r="D136" i="29"/>
  <c r="H136" i="29"/>
  <c r="A137" i="29" s="1"/>
  <c r="A285" i="22"/>
  <c r="C284" i="22"/>
  <c r="G283" i="22"/>
  <c r="F283" i="22"/>
  <c r="I283" i="22"/>
  <c r="H283" i="22"/>
  <c r="D283" i="22"/>
  <c r="C283" i="22"/>
  <c r="H119" i="28" l="1"/>
  <c r="A120" i="28" s="1"/>
  <c r="B120" i="28" s="1"/>
  <c r="I120" i="28" s="1"/>
  <c r="K120" i="28" s="1"/>
  <c r="C137" i="29"/>
  <c r="B137" i="29"/>
  <c r="D284" i="22"/>
  <c r="I284" i="22"/>
  <c r="H284" i="22"/>
  <c r="G284" i="22"/>
  <c r="F284" i="22"/>
  <c r="A286" i="22"/>
  <c r="C285" i="22"/>
  <c r="C120" i="28" l="1"/>
  <c r="D120" i="28"/>
  <c r="I137" i="29"/>
  <c r="K137" i="29" s="1"/>
  <c r="D137" i="29"/>
  <c r="G137" i="29"/>
  <c r="F137" i="29"/>
  <c r="H137" i="29"/>
  <c r="A138" i="29" s="1"/>
  <c r="I285" i="22"/>
  <c r="H285" i="22"/>
  <c r="G285" i="22"/>
  <c r="F285" i="22"/>
  <c r="D285" i="22"/>
  <c r="A287" i="22"/>
  <c r="C286" i="22"/>
  <c r="E120" i="28" l="1"/>
  <c r="G120" i="28"/>
  <c r="F120" i="28"/>
  <c r="C138" i="29"/>
  <c r="H11" i="29" s="1"/>
  <c r="B138" i="29"/>
  <c r="A288" i="22"/>
  <c r="C287" i="22"/>
  <c r="G286" i="22"/>
  <c r="F286" i="22"/>
  <c r="I286" i="22"/>
  <c r="H286" i="22"/>
  <c r="D286" i="22"/>
  <c r="H120" i="28" l="1"/>
  <c r="A121" i="28" s="1"/>
  <c r="C121" i="28" s="1"/>
  <c r="I138" i="29"/>
  <c r="H138" i="29"/>
  <c r="A139" i="29" s="1"/>
  <c r="G138" i="29"/>
  <c r="F138" i="29"/>
  <c r="D138" i="29"/>
  <c r="D287" i="22"/>
  <c r="H287" i="22"/>
  <c r="G287" i="22"/>
  <c r="I287" i="22"/>
  <c r="F287" i="22"/>
  <c r="A289" i="22"/>
  <c r="C288" i="22"/>
  <c r="L20" i="29" l="1"/>
  <c r="M20" i="29"/>
  <c r="H12" i="29"/>
  <c r="L31" i="29" a="1"/>
  <c r="EA31" i="29" s="1"/>
  <c r="B121" i="28"/>
  <c r="I121" i="28" s="1"/>
  <c r="K121" i="28" s="1"/>
  <c r="S21" i="29"/>
  <c r="K138" i="29"/>
  <c r="N21" i="29"/>
  <c r="W21" i="29"/>
  <c r="Q21" i="29"/>
  <c r="T21" i="29"/>
  <c r="M21" i="29"/>
  <c r="U21" i="29"/>
  <c r="R21" i="29"/>
  <c r="V21" i="29"/>
  <c r="P21" i="29"/>
  <c r="O21" i="29"/>
  <c r="L21" i="29"/>
  <c r="I288" i="22"/>
  <c r="H288" i="22"/>
  <c r="G288" i="22"/>
  <c r="F288" i="22"/>
  <c r="D288" i="22"/>
  <c r="A290" i="22"/>
  <c r="AC31" i="29" l="1"/>
  <c r="BB110" i="13" s="1"/>
  <c r="BM31" i="29"/>
  <c r="CJ31" i="29"/>
  <c r="CK31" i="29"/>
  <c r="AM31" i="29"/>
  <c r="BK31" i="29"/>
  <c r="CL31" i="29"/>
  <c r="DA31" i="29"/>
  <c r="DD31" i="29"/>
  <c r="DY31" i="29"/>
  <c r="BG31" i="29"/>
  <c r="CE31" i="29"/>
  <c r="CU31" i="29"/>
  <c r="AF31" i="29"/>
  <c r="AV31" i="29"/>
  <c r="DZ31" i="29"/>
  <c r="AJ31" i="29"/>
  <c r="DO31" i="29"/>
  <c r="CZ31" i="29"/>
  <c r="DM31" i="29"/>
  <c r="BH31" i="29"/>
  <c r="BA31" i="29"/>
  <c r="BU31" i="29"/>
  <c r="X31" i="29"/>
  <c r="AW110" i="13" s="1"/>
  <c r="BZ31" i="29"/>
  <c r="CI31" i="29"/>
  <c r="DW31" i="29"/>
  <c r="DX31" i="29"/>
  <c r="AZ31" i="29"/>
  <c r="CV31" i="29"/>
  <c r="AD31" i="29"/>
  <c r="BC110" i="13" s="1"/>
  <c r="DT31" i="29"/>
  <c r="DC31" i="29"/>
  <c r="T31" i="29"/>
  <c r="AS110" i="13" s="1"/>
  <c r="BL31" i="29"/>
  <c r="AL31" i="29"/>
  <c r="DU31" i="29"/>
  <c r="CD31" i="29"/>
  <c r="AS31" i="29"/>
  <c r="CT31" i="29"/>
  <c r="DV31" i="29"/>
  <c r="S31" i="29"/>
  <c r="AR110" i="13" s="1"/>
  <c r="DF31" i="29"/>
  <c r="AT31" i="29"/>
  <c r="AW31" i="29"/>
  <c r="AX31" i="29"/>
  <c r="CA31" i="29"/>
  <c r="CY31" i="29"/>
  <c r="L31" i="29"/>
  <c r="BO31" i="29"/>
  <c r="BR31" i="29"/>
  <c r="P31" i="29"/>
  <c r="DS31" i="29"/>
  <c r="BQ31" i="29"/>
  <c r="O31" i="29"/>
  <c r="AE31" i="29"/>
  <c r="AI31" i="29"/>
  <c r="BX31" i="29"/>
  <c r="DP31" i="29"/>
  <c r="CW31" i="29"/>
  <c r="CS31" i="29"/>
  <c r="DQ31" i="29"/>
  <c r="AG31" i="29"/>
  <c r="R31" i="29"/>
  <c r="AQ110" i="13" s="1"/>
  <c r="AN31" i="29"/>
  <c r="BF31" i="29"/>
  <c r="DB31" i="29"/>
  <c r="BN31" i="29"/>
  <c r="CB31" i="29"/>
  <c r="AB31" i="29"/>
  <c r="BA110" i="13" s="1"/>
  <c r="BD31" i="29"/>
  <c r="BT31" i="29"/>
  <c r="U31" i="29"/>
  <c r="AT110" i="13" s="1"/>
  <c r="BV31" i="29"/>
  <c r="M31" i="29"/>
  <c r="DJ31" i="29"/>
  <c r="V31" i="29"/>
  <c r="AU110" i="13" s="1"/>
  <c r="BE31" i="29"/>
  <c r="Y31" i="29"/>
  <c r="AX110" i="13" s="1"/>
  <c r="CH31" i="29"/>
  <c r="DI31" i="29"/>
  <c r="CX31" i="29"/>
  <c r="AA31" i="29"/>
  <c r="AZ110" i="13" s="1"/>
  <c r="DR31" i="29"/>
  <c r="DN31" i="29"/>
  <c r="AU31" i="29"/>
  <c r="AQ31" i="29"/>
  <c r="AY31" i="29"/>
  <c r="CN31" i="29"/>
  <c r="N31" i="29"/>
  <c r="BC31" i="29"/>
  <c r="CR31" i="29"/>
  <c r="AO31" i="29"/>
  <c r="BS31" i="29"/>
  <c r="DH31" i="29"/>
  <c r="AH31" i="29"/>
  <c r="BW31" i="29"/>
  <c r="DL31" i="29"/>
  <c r="BI31" i="29"/>
  <c r="CM31" i="29"/>
  <c r="BY31" i="29"/>
  <c r="BB31" i="29"/>
  <c r="CQ31" i="29"/>
  <c r="Q31" i="29"/>
  <c r="AP110" i="13" s="1"/>
  <c r="CC31" i="29"/>
  <c r="DG31" i="29"/>
  <c r="DK31" i="29"/>
  <c r="CP31" i="29"/>
  <c r="DE31" i="29"/>
  <c r="AR31" i="29"/>
  <c r="AP31" i="29"/>
  <c r="CG31" i="29"/>
  <c r="BJ31" i="29"/>
  <c r="CO31" i="29"/>
  <c r="Z31" i="29"/>
  <c r="AY110" i="13" s="1"/>
  <c r="AK31" i="29"/>
  <c r="BP31" i="29"/>
  <c r="W31" i="29"/>
  <c r="AV110" i="13" s="1"/>
  <c r="CF31" i="29"/>
  <c r="D121" i="28"/>
  <c r="F121" i="28" s="1"/>
  <c r="L22" i="29"/>
  <c r="M68" i="29" s="1"/>
  <c r="G289" i="22"/>
  <c r="F289" i="22"/>
  <c r="I289" i="22"/>
  <c r="H289" i="22"/>
  <c r="D289" i="22"/>
  <c r="C289" i="22"/>
  <c r="A291" i="22"/>
  <c r="C290" i="22"/>
  <c r="BG110" i="13" l="1"/>
  <c r="BF110" i="13"/>
  <c r="AL125" i="13"/>
  <c r="AK277" i="13"/>
  <c r="G121" i="28"/>
  <c r="H121" i="28" s="1"/>
  <c r="A122" i="28" s="1"/>
  <c r="C122" i="28" s="1"/>
  <c r="E121" i="28"/>
  <c r="C291" i="22"/>
  <c r="A292" i="22"/>
  <c r="D290" i="22"/>
  <c r="I290" i="22"/>
  <c r="H290" i="22"/>
  <c r="G290" i="22"/>
  <c r="F290" i="22"/>
  <c r="B122" i="28" l="1"/>
  <c r="D122" i="28" s="1"/>
  <c r="F122" i="28" s="1"/>
  <c r="I291" i="22"/>
  <c r="H291" i="22"/>
  <c r="G291" i="22"/>
  <c r="F291" i="22"/>
  <c r="D291" i="22"/>
  <c r="A293" i="22"/>
  <c r="C292" i="22"/>
  <c r="I122" i="28" l="1"/>
  <c r="K122" i="28" s="1"/>
  <c r="G122" i="28"/>
  <c r="H122" i="28" s="1"/>
  <c r="A123" i="28" s="1"/>
  <c r="B123" i="28" s="1"/>
  <c r="D123" i="28" s="1"/>
  <c r="E122" i="28"/>
  <c r="G292" i="22"/>
  <c r="F292" i="22"/>
  <c r="I292" i="22"/>
  <c r="H292" i="22"/>
  <c r="D292" i="22"/>
  <c r="A294" i="22"/>
  <c r="C293" i="22"/>
  <c r="I123" i="28" l="1"/>
  <c r="K123" i="28" s="1"/>
  <c r="C123" i="28"/>
  <c r="G123" i="28" s="1"/>
  <c r="D293" i="22"/>
  <c r="H293" i="22"/>
  <c r="G293" i="22"/>
  <c r="I293" i="22"/>
  <c r="F293" i="22"/>
  <c r="A295" i="22"/>
  <c r="C294" i="22"/>
  <c r="E123" i="28" l="1"/>
  <c r="F123" i="28"/>
  <c r="H123" i="28" s="1"/>
  <c r="A124" i="28" s="1"/>
  <c r="C124" i="28" s="1"/>
  <c r="A296" i="22"/>
  <c r="I294" i="22"/>
  <c r="H294" i="22"/>
  <c r="G294" i="22"/>
  <c r="F294" i="22"/>
  <c r="D294" i="22"/>
  <c r="B124" i="28" l="1"/>
  <c r="D124" i="28" s="1"/>
  <c r="E124" i="28" s="1"/>
  <c r="A297" i="22"/>
  <c r="C296" i="22"/>
  <c r="G295" i="22"/>
  <c r="F295" i="22"/>
  <c r="I295" i="22"/>
  <c r="H295" i="22"/>
  <c r="D295" i="22"/>
  <c r="C295" i="22"/>
  <c r="F124" i="28" l="1"/>
  <c r="G124" i="28"/>
  <c r="I124" i="28"/>
  <c r="K124" i="28" s="1"/>
  <c r="D296" i="22"/>
  <c r="I296" i="22"/>
  <c r="H296" i="22"/>
  <c r="G296" i="22"/>
  <c r="F296" i="22"/>
  <c r="C297" i="22"/>
  <c r="A298" i="22"/>
  <c r="H124" i="28" l="1"/>
  <c r="A125" i="28" s="1"/>
  <c r="C125" i="28" s="1"/>
  <c r="A299" i="22"/>
  <c r="C298" i="22"/>
  <c r="I297" i="22"/>
  <c r="H297" i="22"/>
  <c r="G297" i="22"/>
  <c r="F297" i="22"/>
  <c r="D297" i="22"/>
  <c r="B125" i="28" l="1"/>
  <c r="D125" i="28" s="1"/>
  <c r="F125" i="28" s="1"/>
  <c r="A300" i="22"/>
  <c r="G298" i="22"/>
  <c r="F298" i="22"/>
  <c r="I298" i="22"/>
  <c r="H298" i="22"/>
  <c r="D298" i="22"/>
  <c r="E125" i="28" l="1"/>
  <c r="I125" i="28"/>
  <c r="K125" i="28" s="1"/>
  <c r="G125" i="28"/>
  <c r="H125" i="28" s="1"/>
  <c r="A126" i="28" s="1"/>
  <c r="B126" i="28" s="1"/>
  <c r="I126" i="28" s="1"/>
  <c r="K126" i="28" s="1"/>
  <c r="D299" i="22"/>
  <c r="H299" i="22"/>
  <c r="G299" i="22"/>
  <c r="I299" i="22"/>
  <c r="F299" i="22"/>
  <c r="A301" i="22"/>
  <c r="C299" i="22"/>
  <c r="C126" i="28" l="1"/>
  <c r="D126" i="28"/>
  <c r="I300" i="22"/>
  <c r="H300" i="22"/>
  <c r="G300" i="22"/>
  <c r="F300" i="22"/>
  <c r="D300" i="22"/>
  <c r="A302" i="22"/>
  <c r="C301" i="22"/>
  <c r="C300" i="22"/>
  <c r="E126" i="28" l="1"/>
  <c r="G126" i="28"/>
  <c r="F126" i="28"/>
  <c r="A303" i="22"/>
  <c r="C302" i="22"/>
  <c r="G301" i="22"/>
  <c r="F301" i="22"/>
  <c r="I301" i="22"/>
  <c r="H301" i="22"/>
  <c r="D301" i="22"/>
  <c r="H126" i="28" l="1"/>
  <c r="A127" i="28" s="1"/>
  <c r="C127" i="28" s="1"/>
  <c r="D302" i="22"/>
  <c r="I302" i="22"/>
  <c r="H302" i="22"/>
  <c r="G302" i="22"/>
  <c r="F302" i="22"/>
  <c r="A304" i="22"/>
  <c r="C303" i="22"/>
  <c r="B127" i="28" l="1"/>
  <c r="D127" i="28" s="1"/>
  <c r="E127" i="28" s="1"/>
  <c r="I303" i="22"/>
  <c r="H303" i="22"/>
  <c r="G303" i="22"/>
  <c r="F303" i="22"/>
  <c r="D303" i="22"/>
  <c r="A305" i="22"/>
  <c r="C304" i="22"/>
  <c r="I127" i="28" l="1"/>
  <c r="K127" i="28" s="1"/>
  <c r="G127" i="28"/>
  <c r="F127" i="28"/>
  <c r="G304" i="22"/>
  <c r="F304" i="22"/>
  <c r="I304" i="22"/>
  <c r="H304" i="22"/>
  <c r="D304" i="22"/>
  <c r="A306" i="22"/>
  <c r="C305" i="22"/>
  <c r="H127" i="28" l="1"/>
  <c r="A128" i="28" s="1"/>
  <c r="C128" i="28" s="1"/>
  <c r="A307" i="22"/>
  <c r="C306" i="22"/>
  <c r="D305" i="22"/>
  <c r="H305" i="22"/>
  <c r="G305" i="22"/>
  <c r="I305" i="22"/>
  <c r="F305" i="22"/>
  <c r="B128" i="28" l="1"/>
  <c r="D128" i="28" s="1"/>
  <c r="E128" i="28" s="1"/>
  <c r="A308" i="22"/>
  <c r="I306" i="22"/>
  <c r="H306" i="22"/>
  <c r="G306" i="22"/>
  <c r="F306" i="22"/>
  <c r="D306" i="22"/>
  <c r="G128" i="28" l="1"/>
  <c r="F128" i="28"/>
  <c r="I128" i="28"/>
  <c r="K128" i="28" s="1"/>
  <c r="A309" i="22"/>
  <c r="C308" i="22"/>
  <c r="G307" i="22"/>
  <c r="F307" i="22"/>
  <c r="I307" i="22"/>
  <c r="H307" i="22"/>
  <c r="D307" i="22"/>
  <c r="C307" i="22"/>
  <c r="H128" i="28" l="1"/>
  <c r="A129" i="28" s="1"/>
  <c r="C129" i="28" s="1"/>
  <c r="D308" i="22"/>
  <c r="I308" i="22"/>
  <c r="H308" i="22"/>
  <c r="G308" i="22"/>
  <c r="F308" i="22"/>
  <c r="C309" i="22"/>
  <c r="A310" i="22"/>
  <c r="B129" i="28" l="1"/>
  <c r="D129" i="28" s="1"/>
  <c r="G129" i="28" s="1"/>
  <c r="A311" i="22"/>
  <c r="C310" i="22"/>
  <c r="I309" i="22"/>
  <c r="H309" i="22"/>
  <c r="G309" i="22"/>
  <c r="F309" i="22"/>
  <c r="D309" i="22"/>
  <c r="E129" i="28" l="1"/>
  <c r="F129" i="28"/>
  <c r="H129" i="28" s="1"/>
  <c r="A130" i="28" s="1"/>
  <c r="C130" i="28" s="1"/>
  <c r="I129" i="28"/>
  <c r="K129" i="28" s="1"/>
  <c r="G310" i="22"/>
  <c r="F310" i="22"/>
  <c r="I310" i="22"/>
  <c r="H310" i="22"/>
  <c r="D310" i="22"/>
  <c r="A312" i="22"/>
  <c r="C311" i="22"/>
  <c r="B130" i="28" l="1"/>
  <c r="D130" i="28" s="1"/>
  <c r="E130" i="28" s="1"/>
  <c r="D311" i="22"/>
  <c r="H311" i="22"/>
  <c r="G311" i="22"/>
  <c r="I311" i="22"/>
  <c r="F311" i="22"/>
  <c r="A313" i="22"/>
  <c r="C312" i="22"/>
  <c r="I130" i="28" l="1"/>
  <c r="K130" i="28" s="1"/>
  <c r="F130" i="28"/>
  <c r="G130" i="28"/>
  <c r="A314" i="22"/>
  <c r="C313" i="22"/>
  <c r="I312" i="22"/>
  <c r="H312" i="22"/>
  <c r="G312" i="22"/>
  <c r="F312" i="22"/>
  <c r="D312" i="22"/>
  <c r="H130" i="28" l="1"/>
  <c r="A131" i="28" s="1"/>
  <c r="B131" i="28" s="1"/>
  <c r="I131" i="28" s="1"/>
  <c r="K131" i="28" s="1"/>
  <c r="G313" i="22"/>
  <c r="F313" i="22"/>
  <c r="I313" i="22"/>
  <c r="H313" i="22"/>
  <c r="D313" i="22"/>
  <c r="A315" i="22"/>
  <c r="D131" i="28" l="1"/>
  <c r="C131" i="28"/>
  <c r="D314" i="22"/>
  <c r="I314" i="22"/>
  <c r="H314" i="22"/>
  <c r="G314" i="22"/>
  <c r="F314" i="22"/>
  <c r="C314" i="22"/>
  <c r="A316" i="22"/>
  <c r="F131" i="28" l="1"/>
  <c r="G131" i="28"/>
  <c r="E131" i="28"/>
  <c r="I315" i="22"/>
  <c r="H315" i="22"/>
  <c r="G315" i="22"/>
  <c r="F315" i="22"/>
  <c r="D315" i="22"/>
  <c r="C315" i="22"/>
  <c r="A317" i="22"/>
  <c r="C316" i="22"/>
  <c r="H131" i="28" l="1"/>
  <c r="A132" i="28" s="1"/>
  <c r="B132" i="28" s="1"/>
  <c r="D132" i="28" s="1"/>
  <c r="G316" i="22"/>
  <c r="F316" i="22"/>
  <c r="I316" i="22"/>
  <c r="H316" i="22"/>
  <c r="D316" i="22"/>
  <c r="A318" i="22"/>
  <c r="I132" i="28" l="1"/>
  <c r="K132" i="28" s="1"/>
  <c r="C132" i="28"/>
  <c r="E132" i="28" s="1"/>
  <c r="H317" i="22"/>
  <c r="D317" i="22"/>
  <c r="I317" i="22"/>
  <c r="F317" i="22"/>
  <c r="G317" i="22"/>
  <c r="C318" i="22"/>
  <c r="A319" i="22"/>
  <c r="C317" i="22"/>
  <c r="G132" i="28" l="1"/>
  <c r="F132" i="28"/>
  <c r="G318" i="22"/>
  <c r="I318" i="22"/>
  <c r="F318" i="22"/>
  <c r="H318" i="22"/>
  <c r="D318" i="22"/>
  <c r="A320" i="22"/>
  <c r="H132" i="28" l="1"/>
  <c r="A133" i="28" s="1"/>
  <c r="C133" i="28" s="1"/>
  <c r="A321" i="22"/>
  <c r="C320" i="22"/>
  <c r="G319" i="22"/>
  <c r="F319" i="22"/>
  <c r="H319" i="22"/>
  <c r="D319" i="22"/>
  <c r="I319" i="22"/>
  <c r="C319" i="22"/>
  <c r="B133" i="28" l="1"/>
  <c r="D133" i="28" s="1"/>
  <c r="E133" i="28" s="1"/>
  <c r="A322" i="22"/>
  <c r="C321" i="22"/>
  <c r="H320" i="22"/>
  <c r="D320" i="22"/>
  <c r="G320" i="22"/>
  <c r="F320" i="22"/>
  <c r="I320" i="22"/>
  <c r="G133" i="28" l="1"/>
  <c r="I133" i="28"/>
  <c r="K133" i="28" s="1"/>
  <c r="F133" i="28"/>
  <c r="A323" i="22"/>
  <c r="G321" i="22"/>
  <c r="I321" i="22"/>
  <c r="H321" i="22"/>
  <c r="F321" i="22"/>
  <c r="D321" i="22"/>
  <c r="H133" i="28" l="1"/>
  <c r="A134" i="28" s="1"/>
  <c r="C134" i="28" s="1"/>
  <c r="G322" i="22"/>
  <c r="F322" i="22"/>
  <c r="I322" i="22"/>
  <c r="H322" i="22"/>
  <c r="D322" i="22"/>
  <c r="A324" i="22"/>
  <c r="C323" i="22"/>
  <c r="C322" i="22"/>
  <c r="B134" i="28" l="1"/>
  <c r="I134" i="28" s="1"/>
  <c r="K134" i="28" s="1"/>
  <c r="A325" i="22"/>
  <c r="H323" i="22"/>
  <c r="D323" i="22"/>
  <c r="G323" i="22"/>
  <c r="F323" i="22"/>
  <c r="I323" i="22"/>
  <c r="D134" i="28" l="1"/>
  <c r="G134" i="28" s="1"/>
  <c r="A326" i="22"/>
  <c r="C325" i="22"/>
  <c r="G324" i="22"/>
  <c r="I324" i="22"/>
  <c r="H324" i="22"/>
  <c r="F324" i="22"/>
  <c r="D324" i="22"/>
  <c r="C324" i="22"/>
  <c r="F134" i="28" l="1"/>
  <c r="H134" i="28" s="1"/>
  <c r="A135" i="28" s="1"/>
  <c r="C135" i="28" s="1"/>
  <c r="E134" i="28"/>
  <c r="G325" i="22"/>
  <c r="F325" i="22"/>
  <c r="I325" i="22"/>
  <c r="H325" i="22"/>
  <c r="D325" i="22"/>
  <c r="A327" i="22"/>
  <c r="C326" i="22"/>
  <c r="B135" i="28" l="1"/>
  <c r="D135" i="28" s="1"/>
  <c r="E135" i="28" s="1"/>
  <c r="A328" i="22"/>
  <c r="C327" i="22"/>
  <c r="H326" i="22"/>
  <c r="D326" i="22"/>
  <c r="I326" i="22"/>
  <c r="G326" i="22"/>
  <c r="F326" i="22"/>
  <c r="I135" i="28" l="1"/>
  <c r="K135" i="28" s="1"/>
  <c r="F135" i="28"/>
  <c r="G135" i="28"/>
  <c r="H327" i="22"/>
  <c r="F327" i="22"/>
  <c r="D327" i="22"/>
  <c r="I327" i="22"/>
  <c r="G327" i="22"/>
  <c r="A329" i="22"/>
  <c r="C328" i="22"/>
  <c r="AL277" i="13" l="1"/>
  <c r="H135" i="28"/>
  <c r="A136" i="28" s="1"/>
  <c r="C136" i="28" s="1"/>
  <c r="H328" i="22"/>
  <c r="I328" i="22"/>
  <c r="F328" i="22"/>
  <c r="G328" i="22"/>
  <c r="D328" i="22"/>
  <c r="A330" i="22"/>
  <c r="C329" i="22"/>
  <c r="B136" i="28" l="1"/>
  <c r="I136" i="28" s="1"/>
  <c r="K136" i="28" s="1"/>
  <c r="F329" i="22"/>
  <c r="G329" i="22"/>
  <c r="I329" i="22"/>
  <c r="H329" i="22"/>
  <c r="D329" i="22"/>
  <c r="A331" i="22"/>
  <c r="C330" i="22"/>
  <c r="D136" i="28" l="1"/>
  <c r="H330" i="22"/>
  <c r="G330" i="22"/>
  <c r="D330" i="22"/>
  <c r="F330" i="22"/>
  <c r="I330" i="22"/>
  <c r="A332" i="22"/>
  <c r="F136" i="28" l="1"/>
  <c r="E136" i="28"/>
  <c r="G136" i="28"/>
  <c r="H331" i="22"/>
  <c r="D331" i="22"/>
  <c r="G331" i="22"/>
  <c r="I331" i="22"/>
  <c r="F331" i="22"/>
  <c r="C331" i="22"/>
  <c r="A333" i="22"/>
  <c r="H136" i="28" l="1"/>
  <c r="A137" i="28" s="1"/>
  <c r="B137" i="28" s="1"/>
  <c r="D137" i="28" s="1"/>
  <c r="F332" i="22"/>
  <c r="G332" i="22"/>
  <c r="D332" i="22"/>
  <c r="I332" i="22"/>
  <c r="H332" i="22"/>
  <c r="C332" i="22"/>
  <c r="A334" i="22"/>
  <c r="I137" i="28" l="1"/>
  <c r="K137" i="28" s="1"/>
  <c r="C137" i="28"/>
  <c r="G137" i="28" s="1"/>
  <c r="I333" i="22"/>
  <c r="F333" i="22"/>
  <c r="G333" i="22"/>
  <c r="D333" i="22"/>
  <c r="H333" i="22"/>
  <c r="C333" i="22"/>
  <c r="A335" i="22"/>
  <c r="F137" i="28" l="1"/>
  <c r="H137" i="28" s="1"/>
  <c r="A138" i="28" s="1"/>
  <c r="B138" i="28" s="1"/>
  <c r="E137" i="28"/>
  <c r="H334" i="22"/>
  <c r="D334" i="22"/>
  <c r="I334" i="22"/>
  <c r="G334" i="22"/>
  <c r="F334" i="22"/>
  <c r="C334" i="22"/>
  <c r="A336" i="22"/>
  <c r="I138" i="28" l="1"/>
  <c r="R21" i="28" s="1"/>
  <c r="D138" i="28"/>
  <c r="C138" i="28" s="1"/>
  <c r="F138" i="28" s="1"/>
  <c r="F335" i="22"/>
  <c r="H335" i="22"/>
  <c r="I335" i="22"/>
  <c r="D335" i="22"/>
  <c r="G335" i="22"/>
  <c r="A337" i="22"/>
  <c r="C335" i="22"/>
  <c r="L31" i="28" l="1" a="1"/>
  <c r="CJ31" i="28" s="1"/>
  <c r="H12" i="28"/>
  <c r="L20" i="28"/>
  <c r="S21" i="28"/>
  <c r="L21" i="28"/>
  <c r="W21" i="28"/>
  <c r="M20" i="28"/>
  <c r="Q21" i="28"/>
  <c r="V21" i="28"/>
  <c r="K138" i="28"/>
  <c r="M21" i="28"/>
  <c r="T21" i="28"/>
  <c r="O21" i="28"/>
  <c r="N21" i="28"/>
  <c r="U21" i="28"/>
  <c r="P21" i="28"/>
  <c r="DH31" i="28"/>
  <c r="AW31" i="28"/>
  <c r="BX31" i="28"/>
  <c r="BK31" i="28"/>
  <c r="DC31" i="28"/>
  <c r="DE31" i="28"/>
  <c r="AV31" i="28"/>
  <c r="CM31" i="28"/>
  <c r="CA31" i="28"/>
  <c r="BM31" i="28"/>
  <c r="CC31" i="28"/>
  <c r="AD31" i="28"/>
  <c r="BC109" i="13" s="1"/>
  <c r="BJ31" i="28"/>
  <c r="DF31" i="28"/>
  <c r="L31" i="28"/>
  <c r="BH31" i="28"/>
  <c r="DA31" i="28"/>
  <c r="CB31" i="28"/>
  <c r="BN31" i="28"/>
  <c r="CV31" i="28"/>
  <c r="DR31" i="28"/>
  <c r="N31" i="28"/>
  <c r="CR31" i="28"/>
  <c r="CZ31" i="28"/>
  <c r="AX31" i="28"/>
  <c r="AL31" i="28"/>
  <c r="BP31" i="28"/>
  <c r="BZ31" i="28"/>
  <c r="DK31" i="28"/>
  <c r="AU31" i="28"/>
  <c r="T31" i="28"/>
  <c r="AS109" i="13" s="1"/>
  <c r="DB31" i="28"/>
  <c r="DD31" i="28"/>
  <c r="CS31" i="28"/>
  <c r="AZ31" i="28"/>
  <c r="DP31" i="28"/>
  <c r="BD31" i="28"/>
  <c r="AR31" i="28"/>
  <c r="AH31" i="28"/>
  <c r="DL31" i="28"/>
  <c r="BA31" i="28"/>
  <c r="BU31" i="28"/>
  <c r="Z31" i="28"/>
  <c r="AY109" i="13" s="1"/>
  <c r="BW31" i="28"/>
  <c r="CQ31" i="28"/>
  <c r="DU31" i="28"/>
  <c r="AK31" i="28"/>
  <c r="CW31" i="28"/>
  <c r="DT31" i="28"/>
  <c r="AC31" i="28"/>
  <c r="BB109" i="13" s="1"/>
  <c r="CI31" i="28"/>
  <c r="CN31" i="28"/>
  <c r="U31" i="28"/>
  <c r="AT109" i="13" s="1"/>
  <c r="AE31" i="28"/>
  <c r="Y31" i="28"/>
  <c r="AX109" i="13" s="1"/>
  <c r="BV31" i="28"/>
  <c r="CD31" i="28"/>
  <c r="AM31" i="28"/>
  <c r="BS31" i="28"/>
  <c r="W31" i="28"/>
  <c r="AV109" i="13" s="1"/>
  <c r="CF31" i="28"/>
  <c r="AG31" i="28"/>
  <c r="AO31" i="28"/>
  <c r="DO31" i="28"/>
  <c r="AA31" i="28"/>
  <c r="AZ109" i="13" s="1"/>
  <c r="BL31" i="28"/>
  <c r="CK31" i="28"/>
  <c r="Q31" i="28"/>
  <c r="AP109" i="13" s="1"/>
  <c r="DN31" i="28"/>
  <c r="CE31" i="28"/>
  <c r="AS31" i="28"/>
  <c r="AB31" i="28"/>
  <c r="BA109" i="13" s="1"/>
  <c r="DV31" i="28"/>
  <c r="AY31" i="28"/>
  <c r="DW31" i="28"/>
  <c r="BO31" i="28"/>
  <c r="CP31" i="28"/>
  <c r="DJ31" i="28"/>
  <c r="O31" i="28"/>
  <c r="AI31" i="28"/>
  <c r="CO31" i="28"/>
  <c r="DX31" i="28"/>
  <c r="DI31" i="28"/>
  <c r="CT31" i="28"/>
  <c r="CY31" i="28"/>
  <c r="DQ31" i="28"/>
  <c r="V31" i="28"/>
  <c r="AU109" i="13" s="1"/>
  <c r="DY31" i="28"/>
  <c r="DZ31" i="28"/>
  <c r="EA31" i="28"/>
  <c r="E138" i="28"/>
  <c r="H11" i="28"/>
  <c r="G138" i="28"/>
  <c r="H138" i="28" s="1"/>
  <c r="A139" i="28" s="1"/>
  <c r="H336" i="22"/>
  <c r="G336" i="22"/>
  <c r="F336" i="22"/>
  <c r="D336" i="22"/>
  <c r="I336" i="22"/>
  <c r="C336" i="22"/>
  <c r="A338" i="22"/>
  <c r="C337" i="22"/>
  <c r="BC125" i="13" l="1"/>
  <c r="BB125" i="13"/>
  <c r="BA125" i="13"/>
  <c r="AZ125" i="13"/>
  <c r="AY125" i="13"/>
  <c r="AX125" i="13"/>
  <c r="AV125" i="13"/>
  <c r="AU125" i="13"/>
  <c r="AT125" i="13"/>
  <c r="AS125" i="13"/>
  <c r="AP114" i="13"/>
  <c r="AP125" i="13"/>
  <c r="CL31" i="28"/>
  <c r="DS31" i="28"/>
  <c r="AF31" i="28"/>
  <c r="AT31" i="28"/>
  <c r="M31" i="28"/>
  <c r="R31" i="28"/>
  <c r="AQ109" i="13" s="1"/>
  <c r="AQ31" i="28"/>
  <c r="X31" i="28"/>
  <c r="AW109" i="13" s="1"/>
  <c r="P31" i="28"/>
  <c r="S31" i="28"/>
  <c r="AR109" i="13" s="1"/>
  <c r="AR277" i="13" s="1"/>
  <c r="CU31" i="28"/>
  <c r="AP31" i="28"/>
  <c r="BY31" i="28"/>
  <c r="CX31" i="28"/>
  <c r="BI31" i="28"/>
  <c r="BG31" i="28"/>
  <c r="DG31" i="28"/>
  <c r="CH31" i="28"/>
  <c r="BE31" i="28"/>
  <c r="AN31" i="28"/>
  <c r="BB31" i="28"/>
  <c r="CG31" i="28"/>
  <c r="BQ31" i="28"/>
  <c r="BR31" i="28"/>
  <c r="BC31" i="28"/>
  <c r="BF31" i="28"/>
  <c r="DM31" i="28"/>
  <c r="AJ31" i="28"/>
  <c r="BT31" i="28"/>
  <c r="AM125" i="13"/>
  <c r="N32" i="28"/>
  <c r="L22" i="28"/>
  <c r="M68" i="28" s="1"/>
  <c r="M22" i="28"/>
  <c r="M23" i="28" s="1"/>
  <c r="N19" i="28" s="1"/>
  <c r="N20" i="28" s="1"/>
  <c r="N22" i="28" s="1"/>
  <c r="N23" i="28" s="1"/>
  <c r="O19" i="28" s="1"/>
  <c r="O20" i="28" s="1"/>
  <c r="O22" i="28" s="1"/>
  <c r="O23" i="28" s="1"/>
  <c r="P19" i="28" s="1"/>
  <c r="P20" i="28" s="1"/>
  <c r="P22" i="28" s="1"/>
  <c r="P23" i="28" s="1"/>
  <c r="Q19" i="28" s="1"/>
  <c r="Q20" i="28" s="1"/>
  <c r="Q22" i="28" s="1"/>
  <c r="Q23" i="28" s="1"/>
  <c r="R19" i="28" s="1"/>
  <c r="R20" i="28" s="1"/>
  <c r="R22" i="28" s="1"/>
  <c r="R23" i="28" s="1"/>
  <c r="S19" i="28" s="1"/>
  <c r="S20" i="28" s="1"/>
  <c r="S22" i="28" s="1"/>
  <c r="S23" i="28" s="1"/>
  <c r="T19" i="28" s="1"/>
  <c r="T20" i="28" s="1"/>
  <c r="T22" i="28" s="1"/>
  <c r="T23" i="28" s="1"/>
  <c r="U19" i="28" s="1"/>
  <c r="U20" i="28" s="1"/>
  <c r="U22" i="28" s="1"/>
  <c r="U23" i="28" s="1"/>
  <c r="V19" i="28" s="1"/>
  <c r="V20" i="28" s="1"/>
  <c r="V22" i="28" s="1"/>
  <c r="V23" i="28" s="1"/>
  <c r="W19" i="28" s="1"/>
  <c r="W20" i="28" s="1"/>
  <c r="W22" i="28" s="1"/>
  <c r="W23" i="28" s="1"/>
  <c r="AP277" i="13"/>
  <c r="L30" i="28" a="1"/>
  <c r="EA30" i="28" s="1"/>
  <c r="A339" i="22"/>
  <c r="C338" i="22"/>
  <c r="H337" i="22"/>
  <c r="I337" i="22"/>
  <c r="F337" i="22"/>
  <c r="G337" i="22"/>
  <c r="D337" i="22"/>
  <c r="AR114" i="13" l="1"/>
  <c r="BG109" i="13"/>
  <c r="AW125" i="13"/>
  <c r="AR125" i="13"/>
  <c r="BF109" i="13"/>
  <c r="AQ277" i="13"/>
  <c r="AQ114" i="13"/>
  <c r="AQ125" i="13"/>
  <c r="BF125" i="13" s="1"/>
  <c r="AM277" i="13"/>
  <c r="CW30" i="28"/>
  <c r="DH30" i="28"/>
  <c r="AC30" i="28"/>
  <c r="BB252" i="13" s="1"/>
  <c r="X30" i="28"/>
  <c r="AW252" i="13" s="1"/>
  <c r="BE30" i="28"/>
  <c r="BP30" i="28"/>
  <c r="BJ30" i="28"/>
  <c r="AX30" i="28"/>
  <c r="Y30" i="28"/>
  <c r="AX252" i="13" s="1"/>
  <c r="BZ30" i="28"/>
  <c r="BQ30" i="28"/>
  <c r="BX30" i="28"/>
  <c r="M30" i="28"/>
  <c r="DU30" i="28"/>
  <c r="DN30" i="28"/>
  <c r="AG30" i="28"/>
  <c r="DS30" i="28"/>
  <c r="BA30" i="28"/>
  <c r="CU30" i="28"/>
  <c r="AR30" i="28"/>
  <c r="AK30" i="28"/>
  <c r="BU30" i="28"/>
  <c r="DV30" i="28"/>
  <c r="BH30" i="28"/>
  <c r="CK30" i="28"/>
  <c r="AY30" i="28"/>
  <c r="BR30" i="28"/>
  <c r="N30" i="28"/>
  <c r="CM30" i="28"/>
  <c r="CX30" i="28"/>
  <c r="AB30" i="28"/>
  <c r="BA252" i="13" s="1"/>
  <c r="BV30" i="28"/>
  <c r="AM30" i="28"/>
  <c r="AT30" i="28"/>
  <c r="R30" i="28"/>
  <c r="DT30" i="28"/>
  <c r="AV30" i="28"/>
  <c r="CG30" i="28"/>
  <c r="V30" i="28"/>
  <c r="AU252" i="13" s="1"/>
  <c r="BO30" i="28"/>
  <c r="BW30" i="28"/>
  <c r="CY30" i="28"/>
  <c r="CR30" i="28"/>
  <c r="BN30" i="28"/>
  <c r="CL30" i="28"/>
  <c r="DL30" i="28"/>
  <c r="DB30" i="28"/>
  <c r="DF30" i="28"/>
  <c r="CV30" i="28"/>
  <c r="AL30" i="28"/>
  <c r="CJ30" i="28"/>
  <c r="CH30" i="28"/>
  <c r="BI30" i="28"/>
  <c r="CB30" i="28"/>
  <c r="CC30" i="28"/>
  <c r="DM30" i="28"/>
  <c r="W30" i="28"/>
  <c r="AV252" i="13" s="1"/>
  <c r="AW30" i="28"/>
  <c r="CE30" i="28"/>
  <c r="AJ30" i="28"/>
  <c r="L30" i="28"/>
  <c r="AK216" i="13" s="1"/>
  <c r="AR16" i="19" s="1"/>
  <c r="AR17" i="19" s="1"/>
  <c r="AR18" i="19" s="1"/>
  <c r="CI30" i="28"/>
  <c r="BT30" i="28"/>
  <c r="DX30" i="28"/>
  <c r="AQ30" i="28"/>
  <c r="DE30" i="28"/>
  <c r="BG30" i="28"/>
  <c r="BS30" i="28"/>
  <c r="CD30" i="28"/>
  <c r="BF30" i="28"/>
  <c r="CF30" i="28"/>
  <c r="CP30" i="28"/>
  <c r="DO30" i="28"/>
  <c r="AF30" i="28"/>
  <c r="AZ30" i="28"/>
  <c r="DK30" i="28"/>
  <c r="U30" i="28"/>
  <c r="AT252" i="13" s="1"/>
  <c r="AS30" i="28"/>
  <c r="CS30" i="28"/>
  <c r="CO30" i="28"/>
  <c r="AA30" i="28"/>
  <c r="AZ252" i="13" s="1"/>
  <c r="DA30" i="28"/>
  <c r="DI30" i="28"/>
  <c r="DP30" i="28"/>
  <c r="AE30" i="28"/>
  <c r="O30" i="28"/>
  <c r="AU30" i="28"/>
  <c r="DQ30" i="28"/>
  <c r="Q30" i="28"/>
  <c r="AP252" i="13" s="1"/>
  <c r="AH30" i="28"/>
  <c r="DG30" i="28"/>
  <c r="DR30" i="28"/>
  <c r="CT30" i="28"/>
  <c r="BM30" i="28"/>
  <c r="BL30" i="28"/>
  <c r="BY30" i="28"/>
  <c r="CZ30" i="28"/>
  <c r="T30" i="28"/>
  <c r="AS252" i="13" s="1"/>
  <c r="S30" i="28"/>
  <c r="AR252" i="13" s="1"/>
  <c r="AR276" i="13" s="1"/>
  <c r="DD30" i="28"/>
  <c r="BK30" i="28"/>
  <c r="CA30" i="28"/>
  <c r="BD30" i="28"/>
  <c r="DC30" i="28"/>
  <c r="AP30" i="28"/>
  <c r="DW30" i="28"/>
  <c r="BB30" i="28"/>
  <c r="BC30" i="28"/>
  <c r="AD30" i="28"/>
  <c r="BC252" i="13" s="1"/>
  <c r="DJ30" i="28"/>
  <c r="AI30" i="28"/>
  <c r="AO30" i="28"/>
  <c r="AN30" i="28"/>
  <c r="Z30" i="28"/>
  <c r="AY252" i="13" s="1"/>
  <c r="P30" i="28"/>
  <c r="CQ30" i="28"/>
  <c r="CN30" i="28"/>
  <c r="DY30" i="28"/>
  <c r="DZ30" i="28"/>
  <c r="A340" i="22"/>
  <c r="F338" i="22"/>
  <c r="G338" i="22"/>
  <c r="I338" i="22"/>
  <c r="D338" i="22"/>
  <c r="H338" i="22"/>
  <c r="AR278" i="13" l="1"/>
  <c r="BG125" i="13"/>
  <c r="AO276" i="13"/>
  <c r="AO278" i="13" s="1"/>
  <c r="BF114" i="13"/>
  <c r="AQ252" i="13"/>
  <c r="AQ276" i="13" s="1"/>
  <c r="AQ278" i="13" s="1"/>
  <c r="AL216" i="13"/>
  <c r="AS16" i="19" s="1"/>
  <c r="AS17" i="19" s="1"/>
  <c r="AS18" i="19" s="1"/>
  <c r="AL276" i="13"/>
  <c r="AL278" i="13" s="1"/>
  <c r="AL262" i="13"/>
  <c r="AS44" i="19" s="1"/>
  <c r="AM262" i="13"/>
  <c r="AT44" i="19" s="1"/>
  <c r="AM276" i="13"/>
  <c r="AM278" i="13" s="1"/>
  <c r="AP262" i="13"/>
  <c r="AP276" i="13"/>
  <c r="AP278" i="13" s="1"/>
  <c r="AK278" i="13"/>
  <c r="H339" i="22"/>
  <c r="G339" i="22"/>
  <c r="D339" i="22"/>
  <c r="I339" i="22"/>
  <c r="F339" i="22"/>
  <c r="A341" i="22"/>
  <c r="C340" i="22"/>
  <c r="C339" i="22"/>
  <c r="BF252" i="13" l="1"/>
  <c r="AU16" i="19"/>
  <c r="H340" i="22"/>
  <c r="D340" i="22"/>
  <c r="G340" i="22"/>
  <c r="I340" i="22"/>
  <c r="F340" i="22"/>
  <c r="A342" i="22"/>
  <c r="C341" i="22"/>
  <c r="AM216" i="13" l="1"/>
  <c r="AT16" i="19" s="1"/>
  <c r="AT17" i="19" s="1"/>
  <c r="AT18" i="19" s="1"/>
  <c r="A343" i="22"/>
  <c r="F341" i="22"/>
  <c r="G341" i="22"/>
  <c r="D341" i="22"/>
  <c r="H341" i="22"/>
  <c r="I341" i="22"/>
  <c r="I342" i="22" l="1"/>
  <c r="F342" i="22"/>
  <c r="H342" i="22"/>
  <c r="G342" i="22"/>
  <c r="D342" i="22"/>
  <c r="A344" i="22"/>
  <c r="C343" i="22"/>
  <c r="C342" i="22"/>
  <c r="A345" i="22" l="1"/>
  <c r="C344" i="22"/>
  <c r="H343" i="22"/>
  <c r="D343" i="22"/>
  <c r="I343" i="22"/>
  <c r="G343" i="22"/>
  <c r="F343" i="22"/>
  <c r="AP207" i="13" l="1"/>
  <c r="F344" i="22"/>
  <c r="H344" i="22"/>
  <c r="G344" i="22"/>
  <c r="D344" i="22"/>
  <c r="I344" i="22"/>
  <c r="A346" i="22"/>
  <c r="AP216" i="13" l="1"/>
  <c r="AP295" i="13"/>
  <c r="AQ207" i="13"/>
  <c r="A347" i="22"/>
  <c r="C346" i="22"/>
  <c r="H345" i="22"/>
  <c r="I345" i="22"/>
  <c r="G345" i="22"/>
  <c r="F345" i="22"/>
  <c r="D345" i="22"/>
  <c r="C345" i="22"/>
  <c r="AR207" i="13" l="1"/>
  <c r="AR295" i="13"/>
  <c r="AR296" i="13" s="1"/>
  <c r="AR216" i="13"/>
  <c r="AS207" i="13"/>
  <c r="BF207" i="13"/>
  <c r="H346" i="22"/>
  <c r="I346" i="22"/>
  <c r="F346" i="22"/>
  <c r="G346" i="22"/>
  <c r="D346" i="22"/>
  <c r="A348" i="22"/>
  <c r="C347" i="22"/>
  <c r="AT207" i="13" l="1"/>
  <c r="G347" i="22"/>
  <c r="F347" i="22"/>
  <c r="H347" i="22"/>
  <c r="I347" i="22"/>
  <c r="D347" i="22"/>
  <c r="A349" i="22"/>
  <c r="C348" i="22"/>
  <c r="AU207" i="13" l="1"/>
  <c r="I348" i="22"/>
  <c r="H348" i="22"/>
  <c r="F348" i="22"/>
  <c r="G348" i="22"/>
  <c r="D348" i="22"/>
  <c r="A350" i="22"/>
  <c r="C349" i="22"/>
  <c r="AV207" i="13" l="1"/>
  <c r="H349" i="22"/>
  <c r="G349" i="22"/>
  <c r="D349" i="22"/>
  <c r="I349" i="22"/>
  <c r="F349" i="22"/>
  <c r="A351" i="22"/>
  <c r="AW207" i="13" l="1"/>
  <c r="G350" i="22"/>
  <c r="F350" i="22"/>
  <c r="I350" i="22"/>
  <c r="D350" i="22"/>
  <c r="H350" i="22"/>
  <c r="C350" i="22"/>
  <c r="A352" i="22"/>
  <c r="AX207" i="13" l="1"/>
  <c r="G351" i="22"/>
  <c r="I351" i="22"/>
  <c r="H351" i="22"/>
  <c r="D351" i="22"/>
  <c r="F351" i="22"/>
  <c r="A353" i="22"/>
  <c r="C352" i="22"/>
  <c r="C351" i="22"/>
  <c r="AY207" i="13" l="1"/>
  <c r="A354" i="22"/>
  <c r="C353" i="22"/>
  <c r="H352" i="22"/>
  <c r="I352" i="22"/>
  <c r="F352" i="22"/>
  <c r="G352" i="22"/>
  <c r="D352" i="22"/>
  <c r="AZ207" i="13" l="1"/>
  <c r="G353" i="22"/>
  <c r="F353" i="22"/>
  <c r="H353" i="22"/>
  <c r="I353" i="22"/>
  <c r="D353" i="22"/>
  <c r="A355" i="22"/>
  <c r="C354" i="22"/>
  <c r="BA207" i="13" l="1"/>
  <c r="I354" i="22"/>
  <c r="H354" i="22"/>
  <c r="F354" i="22"/>
  <c r="G354" i="22"/>
  <c r="D354" i="22"/>
  <c r="A356" i="22"/>
  <c r="C355" i="22"/>
  <c r="BB207" i="13" l="1"/>
  <c r="A357" i="22"/>
  <c r="H355" i="22"/>
  <c r="G355" i="22"/>
  <c r="I355" i="22"/>
  <c r="F355" i="22"/>
  <c r="D355" i="22"/>
  <c r="BC207" i="13" l="1"/>
  <c r="G356" i="22"/>
  <c r="F356" i="22"/>
  <c r="I356" i="22"/>
  <c r="D356" i="22"/>
  <c r="H356" i="22"/>
  <c r="C356" i="22"/>
  <c r="A358" i="22"/>
  <c r="C357" i="22"/>
  <c r="BG207" i="13" l="1"/>
  <c r="G357" i="22"/>
  <c r="I357" i="22"/>
  <c r="F357" i="22"/>
  <c r="D357" i="22"/>
  <c r="H357" i="22"/>
  <c r="C358" i="22"/>
  <c r="A359" i="22"/>
  <c r="A360" i="22" l="1"/>
  <c r="H358" i="22"/>
  <c r="I358" i="22"/>
  <c r="F358" i="22"/>
  <c r="G358" i="22"/>
  <c r="D358" i="22"/>
  <c r="G359" i="22" l="1"/>
  <c r="F359" i="22"/>
  <c r="H359" i="22"/>
  <c r="D359" i="22"/>
  <c r="I359" i="22"/>
  <c r="C359" i="22"/>
  <c r="A361" i="22"/>
  <c r="C360" i="22"/>
  <c r="I360" i="22" l="1"/>
  <c r="H360" i="22"/>
  <c r="F360" i="22"/>
  <c r="G360" i="22"/>
  <c r="D360" i="22"/>
  <c r="A362" i="22"/>
  <c r="C361" i="22"/>
  <c r="A363" i="22" l="1"/>
  <c r="H361" i="22"/>
  <c r="G361" i="22"/>
  <c r="F361" i="22"/>
  <c r="D361" i="22"/>
  <c r="I361" i="22"/>
  <c r="G362" i="22" l="1"/>
  <c r="F362" i="22"/>
  <c r="I362" i="22"/>
  <c r="D362" i="22"/>
  <c r="H362" i="22"/>
  <c r="C362" i="22"/>
  <c r="A364" i="22"/>
  <c r="G363" i="22" l="1"/>
  <c r="I363" i="22"/>
  <c r="H363" i="22"/>
  <c r="F363" i="22"/>
  <c r="D363" i="22"/>
  <c r="A365" i="22"/>
  <c r="C364" i="22"/>
  <c r="C363" i="22"/>
  <c r="H364" i="22" l="1"/>
  <c r="I364" i="22"/>
  <c r="F364" i="22"/>
  <c r="D364" i="22"/>
  <c r="G364" i="22"/>
  <c r="A366" i="22"/>
  <c r="G365" i="22" l="1"/>
  <c r="F365" i="22"/>
  <c r="H365" i="22"/>
  <c r="I365" i="22"/>
  <c r="D365" i="22"/>
  <c r="C365" i="22"/>
  <c r="A367" i="22"/>
  <c r="C366" i="22"/>
  <c r="I366" i="22" l="1"/>
  <c r="H366" i="22"/>
  <c r="F366" i="22"/>
  <c r="D366" i="22"/>
  <c r="G366" i="22"/>
  <c r="A368" i="22"/>
  <c r="C367" i="22"/>
  <c r="A369" i="22" l="1"/>
  <c r="H367" i="22"/>
  <c r="G367" i="22"/>
  <c r="I367" i="22"/>
  <c r="F367" i="22"/>
  <c r="D367" i="22"/>
  <c r="G368" i="22" l="1"/>
  <c r="F368" i="22"/>
  <c r="I368" i="22"/>
  <c r="D368" i="22"/>
  <c r="H368" i="22"/>
  <c r="A370" i="22"/>
  <c r="C368" i="22"/>
  <c r="A371" i="22" l="1"/>
  <c r="G369" i="22"/>
  <c r="I369" i="22"/>
  <c r="H369" i="22"/>
  <c r="F369" i="22"/>
  <c r="D369" i="22"/>
  <c r="C369" i="22"/>
  <c r="H370" i="22" l="1"/>
  <c r="I370" i="22"/>
  <c r="F370" i="22"/>
  <c r="G370" i="22"/>
  <c r="D370" i="22"/>
  <c r="C370" i="22"/>
  <c r="C371" i="22"/>
  <c r="A372" i="22"/>
  <c r="A373" i="22" l="1"/>
  <c r="C372" i="22"/>
  <c r="F371" i="22"/>
  <c r="H371" i="22"/>
  <c r="G371" i="22"/>
  <c r="D371" i="22"/>
  <c r="I371" i="22"/>
  <c r="A374" i="22" l="1"/>
  <c r="F372" i="22"/>
  <c r="H372" i="22"/>
  <c r="G372" i="22"/>
  <c r="I372" i="22"/>
  <c r="D372" i="22"/>
  <c r="G373" i="22" l="1"/>
  <c r="F373" i="22"/>
  <c r="D373" i="22"/>
  <c r="H373" i="22"/>
  <c r="I373" i="22"/>
  <c r="A375" i="22"/>
  <c r="C373" i="22"/>
  <c r="A376" i="22" l="1"/>
  <c r="C375" i="22"/>
  <c r="F374" i="22"/>
  <c r="G374" i="22"/>
  <c r="I374" i="22"/>
  <c r="H374" i="22"/>
  <c r="D374" i="22"/>
  <c r="C374" i="22"/>
  <c r="A377" i="22" l="1"/>
  <c r="C376" i="22"/>
  <c r="D375" i="22"/>
  <c r="F375" i="22"/>
  <c r="H375" i="22"/>
  <c r="I375" i="22"/>
  <c r="G375" i="22"/>
  <c r="A378" i="22" l="1"/>
  <c r="G376" i="22"/>
  <c r="I376" i="22"/>
  <c r="D376" i="22"/>
  <c r="F376" i="22"/>
  <c r="H376" i="22"/>
  <c r="F377" i="22" l="1"/>
  <c r="I377" i="22"/>
  <c r="D377" i="22"/>
  <c r="H377" i="22"/>
  <c r="G377" i="22"/>
  <c r="A379" i="22"/>
  <c r="C378" i="22"/>
  <c r="C377" i="22"/>
  <c r="A380" i="22" l="1"/>
  <c r="C379" i="22"/>
  <c r="I378" i="22"/>
  <c r="H378" i="22"/>
  <c r="G378" i="22"/>
  <c r="D378" i="22"/>
  <c r="F378" i="22"/>
  <c r="G379" i="22" l="1"/>
  <c r="H379" i="22"/>
  <c r="F379" i="22"/>
  <c r="I379" i="22"/>
  <c r="D379" i="22"/>
  <c r="C380" i="22"/>
  <c r="A381" i="22"/>
  <c r="C381" i="22" l="1"/>
  <c r="A382" i="22"/>
  <c r="F380" i="22"/>
  <c r="H380" i="22"/>
  <c r="G380" i="22"/>
  <c r="D380" i="22"/>
  <c r="I380" i="22"/>
  <c r="C382" i="22" l="1"/>
  <c r="A383" i="22"/>
  <c r="F381" i="22"/>
  <c r="H381" i="22"/>
  <c r="D381" i="22"/>
  <c r="I381" i="22"/>
  <c r="G381" i="22"/>
  <c r="A384" i="22" l="1"/>
  <c r="G382" i="22"/>
  <c r="F382" i="22"/>
  <c r="D382" i="22"/>
  <c r="I382" i="22"/>
  <c r="H382" i="22"/>
  <c r="F383" i="22" l="1"/>
  <c r="G383" i="22"/>
  <c r="D383" i="22"/>
  <c r="I383" i="22"/>
  <c r="H383" i="22"/>
  <c r="A385" i="22"/>
  <c r="C384" i="22"/>
  <c r="C383" i="22"/>
  <c r="D384" i="22" l="1"/>
  <c r="G384" i="22"/>
  <c r="I384" i="22"/>
  <c r="H384" i="22"/>
  <c r="F384" i="22"/>
  <c r="A386" i="22"/>
  <c r="C385" i="22"/>
  <c r="C386" i="22" l="1"/>
  <c r="A387" i="22"/>
  <c r="G385" i="22"/>
  <c r="I385" i="22"/>
  <c r="D385" i="22"/>
  <c r="H385" i="22"/>
  <c r="F385" i="22"/>
  <c r="F386" i="22" l="1"/>
  <c r="I386" i="22"/>
  <c r="G386" i="22"/>
  <c r="D386" i="22"/>
  <c r="H386" i="22"/>
  <c r="C387" i="22"/>
  <c r="A388" i="22"/>
  <c r="A389" i="22" l="1"/>
  <c r="C388" i="22"/>
  <c r="I387" i="22"/>
  <c r="H387" i="22"/>
  <c r="G387" i="22"/>
  <c r="F387" i="22"/>
  <c r="D387" i="22"/>
  <c r="G388" i="22" l="1"/>
  <c r="H388" i="22"/>
  <c r="I388" i="22"/>
  <c r="F388" i="22"/>
  <c r="D388" i="22"/>
  <c r="A390" i="22"/>
  <c r="C389" i="22"/>
  <c r="F389" i="22" l="1"/>
  <c r="H389" i="22"/>
  <c r="G389" i="22"/>
  <c r="D389" i="22"/>
  <c r="I389" i="22"/>
  <c r="A391" i="22"/>
  <c r="C390" i="22"/>
  <c r="A392" i="22" l="1"/>
  <c r="F390" i="22"/>
  <c r="H390" i="22"/>
  <c r="G390" i="22"/>
  <c r="I390" i="22"/>
  <c r="D390" i="22"/>
  <c r="G391" i="22" l="1"/>
  <c r="F391" i="22"/>
  <c r="D391" i="22"/>
  <c r="I391" i="22"/>
  <c r="H391" i="22"/>
  <c r="C392" i="22"/>
  <c r="A393" i="22"/>
  <c r="C391" i="22"/>
  <c r="F392" i="22" l="1"/>
  <c r="G392" i="22"/>
  <c r="H392" i="22"/>
  <c r="D392" i="22"/>
  <c r="I392" i="22"/>
  <c r="C393" i="22"/>
  <c r="A394" i="22"/>
  <c r="A395" i="22" l="1"/>
  <c r="D393" i="22"/>
  <c r="H393" i="22"/>
  <c r="I393" i="22"/>
  <c r="G393" i="22"/>
  <c r="F393" i="22"/>
  <c r="G394" i="22" l="1"/>
  <c r="I394" i="22"/>
  <c r="D394" i="22"/>
  <c r="H394" i="22"/>
  <c r="F394" i="22"/>
  <c r="C394" i="22"/>
  <c r="C395" i="22"/>
  <c r="A396" i="22"/>
  <c r="F395" i="22" l="1"/>
  <c r="I395" i="22"/>
  <c r="H395" i="22"/>
  <c r="G395" i="22"/>
  <c r="D395" i="22"/>
  <c r="A397" i="22"/>
  <c r="C396" i="22"/>
  <c r="C397" i="22" l="1"/>
  <c r="A398" i="22"/>
  <c r="I396" i="22"/>
  <c r="H396" i="22"/>
  <c r="G396" i="22"/>
  <c r="F396" i="22"/>
  <c r="D396" i="22"/>
  <c r="A399" i="22" l="1"/>
  <c r="C398" i="22"/>
  <c r="H397" i="22"/>
  <c r="G397" i="22"/>
  <c r="I397" i="22"/>
  <c r="D397" i="22"/>
  <c r="F397" i="22"/>
  <c r="A400" i="22" l="1"/>
  <c r="F398" i="22"/>
  <c r="I398" i="22"/>
  <c r="H398" i="22"/>
  <c r="G398" i="22"/>
  <c r="D398" i="22"/>
  <c r="H399" i="22" l="1"/>
  <c r="D399" i="22"/>
  <c r="I399" i="22"/>
  <c r="G399" i="22"/>
  <c r="F399" i="22"/>
  <c r="A401" i="22"/>
  <c r="C400" i="22"/>
  <c r="C399" i="22"/>
  <c r="H400" i="22" l="1"/>
  <c r="G400" i="22"/>
  <c r="I400" i="22"/>
  <c r="F400" i="22"/>
  <c r="D400" i="22"/>
  <c r="A402" i="22"/>
  <c r="C401" i="22"/>
  <c r="F401" i="22" l="1"/>
  <c r="H401" i="22"/>
  <c r="G401" i="22"/>
  <c r="I401" i="22"/>
  <c r="D401" i="22"/>
  <c r="C402" i="22"/>
  <c r="A403" i="22"/>
  <c r="A404" i="22" l="1"/>
  <c r="C403" i="22"/>
  <c r="I402" i="22"/>
  <c r="H402" i="22"/>
  <c r="G402" i="22"/>
  <c r="F402" i="22"/>
  <c r="D402" i="22"/>
  <c r="H403" i="22" l="1"/>
  <c r="G403" i="22"/>
  <c r="I403" i="22"/>
  <c r="F403" i="22"/>
  <c r="D403" i="22"/>
  <c r="A405" i="22"/>
  <c r="F404" i="22" l="1"/>
  <c r="I404" i="22"/>
  <c r="H404" i="22"/>
  <c r="G404" i="22"/>
  <c r="D404" i="22"/>
  <c r="C404" i="22"/>
  <c r="C405" i="22"/>
  <c r="A406" i="22"/>
  <c r="A407" i="22" l="1"/>
  <c r="C406" i="22"/>
  <c r="H405" i="22"/>
  <c r="I405" i="22"/>
  <c r="G405" i="22"/>
  <c r="D405" i="22"/>
  <c r="F405" i="22"/>
  <c r="H406" i="22" l="1"/>
  <c r="G406" i="22"/>
  <c r="I406" i="22"/>
  <c r="F406" i="22"/>
  <c r="D406" i="22"/>
  <c r="A408" i="22"/>
  <c r="C407" i="22"/>
  <c r="A409" i="22" l="1"/>
  <c r="F407" i="22"/>
  <c r="H407" i="22"/>
  <c r="D407" i="22"/>
  <c r="G407" i="22"/>
  <c r="I407" i="22"/>
  <c r="I408" i="22" l="1"/>
  <c r="H408" i="22"/>
  <c r="G408" i="22"/>
  <c r="F408" i="22"/>
  <c r="D408" i="22"/>
  <c r="A410" i="22"/>
  <c r="C408" i="22"/>
  <c r="A411" i="22" l="1"/>
  <c r="C410" i="22"/>
  <c r="H409" i="22"/>
  <c r="G409" i="22"/>
  <c r="I409" i="22"/>
  <c r="D409" i="22"/>
  <c r="F409" i="22"/>
  <c r="C409" i="22"/>
  <c r="A412" i="22" l="1"/>
  <c r="F410" i="22"/>
  <c r="I410" i="22"/>
  <c r="H410" i="22"/>
  <c r="G410" i="22"/>
  <c r="D410" i="22"/>
  <c r="H411" i="22" l="1"/>
  <c r="I411" i="22"/>
  <c r="D411" i="22"/>
  <c r="F411" i="22"/>
  <c r="G411" i="22"/>
  <c r="A413" i="22"/>
  <c r="C412" i="22"/>
  <c r="C411" i="22"/>
  <c r="H412" i="22" l="1"/>
  <c r="G412" i="22"/>
  <c r="I412" i="22"/>
  <c r="F412" i="22"/>
  <c r="D412" i="22"/>
  <c r="A414" i="22"/>
  <c r="C413" i="22"/>
  <c r="A415" i="22" l="1"/>
  <c r="F413" i="22"/>
  <c r="H413" i="22"/>
  <c r="I413" i="22"/>
  <c r="G413" i="22"/>
  <c r="D413" i="22"/>
  <c r="I414" i="22" l="1"/>
  <c r="H414" i="22"/>
  <c r="G414" i="22"/>
  <c r="D414" i="22"/>
  <c r="F414" i="22"/>
  <c r="A416" i="22"/>
  <c r="C414" i="22"/>
  <c r="C416" i="22" l="1"/>
  <c r="A417" i="22"/>
  <c r="H415" i="22"/>
  <c r="G415" i="22"/>
  <c r="I415" i="22"/>
  <c r="F415" i="22"/>
  <c r="D415" i="22"/>
  <c r="C415" i="22"/>
  <c r="A418" i="22" l="1"/>
  <c r="F416" i="22"/>
  <c r="I416" i="22"/>
  <c r="H416" i="22"/>
  <c r="G416" i="22"/>
  <c r="D416" i="22"/>
  <c r="H417" i="22" l="1"/>
  <c r="G417" i="22"/>
  <c r="F417" i="22"/>
  <c r="I417" i="22"/>
  <c r="D417" i="22"/>
  <c r="A419" i="22"/>
  <c r="C417" i="22"/>
  <c r="H418" i="22" l="1"/>
  <c r="G418" i="22"/>
  <c r="I418" i="22"/>
  <c r="F418" i="22"/>
  <c r="D418" i="22"/>
  <c r="C418" i="22"/>
  <c r="A420" i="22"/>
  <c r="C419" i="22"/>
  <c r="F419" i="22" l="1"/>
  <c r="H419" i="22"/>
  <c r="G419" i="22"/>
  <c r="D419" i="22"/>
  <c r="I419" i="22"/>
  <c r="A421" i="22"/>
  <c r="I420" i="22" l="1"/>
  <c r="H420" i="22"/>
  <c r="G420" i="22"/>
  <c r="F420" i="22"/>
  <c r="D420" i="22"/>
  <c r="A422" i="22"/>
  <c r="C420" i="22"/>
  <c r="H421" i="22" l="1"/>
  <c r="G421" i="22"/>
  <c r="I421" i="22"/>
  <c r="D421" i="22"/>
  <c r="F421" i="22"/>
  <c r="C421" i="22"/>
  <c r="A423" i="22"/>
  <c r="C422" i="22"/>
  <c r="F422" i="22" l="1"/>
  <c r="I422" i="22"/>
  <c r="H422" i="22"/>
  <c r="G422" i="22"/>
  <c r="D422" i="22"/>
  <c r="C423" i="22"/>
  <c r="A424" i="22"/>
  <c r="A425" i="22" l="1"/>
  <c r="C424" i="22"/>
  <c r="H423" i="22"/>
  <c r="D423" i="22"/>
  <c r="I423" i="22"/>
  <c r="G423" i="22"/>
  <c r="F423" i="22"/>
  <c r="H424" i="22" l="1"/>
  <c r="G424" i="22"/>
  <c r="I424" i="22"/>
  <c r="F424" i="22"/>
  <c r="D424" i="22"/>
  <c r="A426" i="22"/>
  <c r="C425" i="22"/>
  <c r="F425" i="22" l="1"/>
  <c r="H425" i="22"/>
  <c r="I425" i="22"/>
  <c r="G425" i="22"/>
  <c r="D425" i="22"/>
  <c r="C426" i="22"/>
  <c r="A427" i="22"/>
  <c r="I426" i="22" l="1"/>
  <c r="H426" i="22"/>
  <c r="G426" i="22"/>
  <c r="F426" i="22"/>
  <c r="D426" i="22"/>
  <c r="A428" i="22"/>
  <c r="H427" i="22" l="1"/>
  <c r="G427" i="22"/>
  <c r="I427" i="22"/>
  <c r="F427" i="22"/>
  <c r="D427" i="22"/>
  <c r="C427" i="22"/>
  <c r="C428" i="22"/>
  <c r="A429" i="22"/>
  <c r="A430" i="22" l="1"/>
  <c r="F428" i="22"/>
  <c r="I428" i="22"/>
  <c r="H428" i="22"/>
  <c r="G428" i="22"/>
  <c r="D428" i="22"/>
  <c r="H429" i="22" l="1"/>
  <c r="I429" i="22"/>
  <c r="G429" i="22"/>
  <c r="F429" i="22"/>
  <c r="D429" i="22"/>
  <c r="A431" i="22"/>
  <c r="C430" i="22"/>
  <c r="C429" i="22"/>
  <c r="H430" i="22" l="1"/>
  <c r="G430" i="22"/>
  <c r="I430" i="22"/>
  <c r="F430" i="22"/>
  <c r="D430" i="22"/>
  <c r="A432" i="22"/>
  <c r="F431" i="22" l="1"/>
  <c r="H431" i="22"/>
  <c r="D431" i="22"/>
  <c r="G431" i="22"/>
  <c r="I431" i="22"/>
  <c r="C431" i="22"/>
  <c r="A433" i="22"/>
  <c r="I432" i="22" l="1"/>
  <c r="H432" i="22"/>
  <c r="G432" i="22"/>
  <c r="F432" i="22"/>
  <c r="D432" i="22"/>
  <c r="C432" i="22"/>
  <c r="A434" i="22"/>
  <c r="A435" i="22" l="1"/>
  <c r="C434" i="22"/>
  <c r="H433" i="22"/>
  <c r="G433" i="22"/>
  <c r="I433" i="22"/>
  <c r="D433" i="22"/>
  <c r="F433" i="22"/>
  <c r="C433" i="22"/>
  <c r="A436" i="22" l="1"/>
  <c r="F434" i="22"/>
  <c r="I434" i="22"/>
  <c r="H434" i="22"/>
  <c r="G434" i="22"/>
  <c r="D434" i="22"/>
  <c r="H435" i="22" l="1"/>
  <c r="I435" i="22"/>
  <c r="D435" i="22"/>
  <c r="G435" i="22"/>
  <c r="F435" i="22"/>
  <c r="A437" i="22"/>
  <c r="C435" i="22"/>
  <c r="H436" i="22" l="1"/>
  <c r="G436" i="22"/>
  <c r="I436" i="22"/>
  <c r="F436" i="22"/>
  <c r="D436" i="22"/>
  <c r="C436" i="22"/>
  <c r="A438" i="22"/>
  <c r="C437" i="22"/>
  <c r="F437" i="22" l="1"/>
  <c r="H437" i="22"/>
  <c r="I437" i="22"/>
  <c r="G437" i="22"/>
  <c r="D437" i="22"/>
  <c r="C438" i="22"/>
  <c r="A439" i="22"/>
  <c r="A440" i="22" l="1"/>
  <c r="C439" i="22"/>
  <c r="I438" i="22"/>
  <c r="H438" i="22"/>
  <c r="G438" i="22"/>
  <c r="D438" i="22"/>
  <c r="F438" i="22"/>
  <c r="A441" i="22" l="1"/>
  <c r="C440" i="22"/>
  <c r="H439" i="22"/>
  <c r="G439" i="22"/>
  <c r="I439" i="22"/>
  <c r="F439" i="22"/>
  <c r="D439" i="22"/>
  <c r="F440" i="22" l="1"/>
  <c r="I440" i="22"/>
  <c r="H440" i="22"/>
  <c r="D440" i="22"/>
  <c r="G440" i="22"/>
  <c r="A442" i="22"/>
  <c r="D441" i="22" l="1"/>
  <c r="I441" i="22"/>
  <c r="H441" i="22"/>
  <c r="G441" i="22"/>
  <c r="F441" i="22"/>
  <c r="A443" i="22"/>
  <c r="C442" i="22"/>
  <c r="C441" i="22"/>
  <c r="C443" i="22" l="1"/>
  <c r="A444" i="22"/>
  <c r="H442" i="22"/>
  <c r="G442" i="22"/>
  <c r="D442" i="22"/>
  <c r="I442" i="22"/>
  <c r="F442" i="22"/>
  <c r="A445" i="22" l="1"/>
  <c r="F443" i="22"/>
  <c r="D443" i="22"/>
  <c r="I443" i="22"/>
  <c r="H443" i="22"/>
  <c r="G443" i="22"/>
  <c r="C445" i="22" l="1"/>
  <c r="A446" i="22"/>
  <c r="D444" i="22"/>
  <c r="G444" i="22"/>
  <c r="H444" i="22"/>
  <c r="I444" i="22"/>
  <c r="F444" i="22"/>
  <c r="C444" i="22"/>
  <c r="A447" i="22" l="1"/>
  <c r="H445" i="22"/>
  <c r="G445" i="22"/>
  <c r="F445" i="22"/>
  <c r="D445" i="22"/>
  <c r="I445" i="22"/>
  <c r="F446" i="22" l="1"/>
  <c r="D446" i="22"/>
  <c r="H446" i="22"/>
  <c r="I446" i="22"/>
  <c r="G446" i="22"/>
  <c r="C446" i="22"/>
  <c r="A448" i="22"/>
  <c r="H447" i="22" l="1"/>
  <c r="G447" i="22"/>
  <c r="F447" i="22"/>
  <c r="I447" i="22"/>
  <c r="D447" i="22"/>
  <c r="C447" i="22"/>
  <c r="A449" i="22"/>
  <c r="C448" i="22"/>
  <c r="H448" i="22" l="1"/>
  <c r="G448" i="22"/>
  <c r="F448" i="22"/>
  <c r="I448" i="22"/>
  <c r="D448" i="22"/>
  <c r="A450" i="22"/>
  <c r="F449" i="22" l="1"/>
  <c r="I449" i="22"/>
  <c r="H449" i="22"/>
  <c r="G449" i="22"/>
  <c r="D449" i="22"/>
  <c r="C450" i="22"/>
  <c r="A451" i="22"/>
  <c r="C449" i="22"/>
  <c r="A452" i="22" l="1"/>
  <c r="C451" i="22"/>
  <c r="H450" i="22"/>
  <c r="I450" i="22"/>
  <c r="G450" i="22"/>
  <c r="F450" i="22"/>
  <c r="D450" i="22"/>
  <c r="A453" i="22" l="1"/>
  <c r="H451" i="22"/>
  <c r="G451" i="22"/>
  <c r="I451" i="22"/>
  <c r="F451" i="22"/>
  <c r="D451" i="22"/>
  <c r="F452" i="22" l="1"/>
  <c r="H452" i="22"/>
  <c r="I452" i="22"/>
  <c r="G452" i="22"/>
  <c r="D452" i="22"/>
  <c r="C452" i="22"/>
  <c r="C453" i="22"/>
  <c r="A454" i="22"/>
  <c r="A455" i="22" l="1"/>
  <c r="D453" i="22"/>
  <c r="G453" i="22"/>
  <c r="F453" i="22"/>
  <c r="H453" i="22"/>
  <c r="I453" i="22"/>
  <c r="H454" i="22" l="1"/>
  <c r="G454" i="22"/>
  <c r="I454" i="22"/>
  <c r="D454" i="22"/>
  <c r="F454" i="22"/>
  <c r="A456" i="22"/>
  <c r="C455" i="22"/>
  <c r="C454" i="22"/>
  <c r="F455" i="22" l="1"/>
  <c r="G455" i="22"/>
  <c r="I455" i="22"/>
  <c r="H455" i="22"/>
  <c r="D455" i="22"/>
  <c r="A457" i="22"/>
  <c r="H456" i="22" l="1"/>
  <c r="I456" i="22"/>
  <c r="G456" i="22"/>
  <c r="F456" i="22"/>
  <c r="D456" i="22"/>
  <c r="C457" i="22"/>
  <c r="A458" i="22"/>
  <c r="C456" i="22"/>
  <c r="A459" i="22" l="1"/>
  <c r="H457" i="22"/>
  <c r="G457" i="22"/>
  <c r="I457" i="22"/>
  <c r="F457" i="22"/>
  <c r="D457" i="22"/>
  <c r="F458" i="22" l="1"/>
  <c r="H458" i="22"/>
  <c r="G458" i="22"/>
  <c r="D458" i="22"/>
  <c r="I458" i="22"/>
  <c r="C458" i="22"/>
  <c r="C459" i="22"/>
  <c r="A460" i="22"/>
  <c r="H459" i="22" l="1"/>
  <c r="I459" i="22"/>
  <c r="G459" i="22"/>
  <c r="F459" i="22"/>
  <c r="D459" i="22"/>
  <c r="A461" i="22"/>
  <c r="C460" i="22"/>
  <c r="H460" i="22" l="1"/>
  <c r="G460" i="22"/>
  <c r="I460" i="22"/>
  <c r="F460" i="22"/>
  <c r="D460" i="22"/>
  <c r="C461" i="22"/>
  <c r="A462" i="22"/>
  <c r="F461" i="22" l="1"/>
  <c r="H461" i="22"/>
  <c r="G461" i="22"/>
  <c r="I461" i="22"/>
  <c r="D461" i="22"/>
  <c r="A463" i="22"/>
  <c r="H462" i="22" l="1"/>
  <c r="G462" i="22"/>
  <c r="I462" i="22"/>
  <c r="F462" i="22"/>
  <c r="D462" i="22"/>
  <c r="C462" i="22"/>
  <c r="C463" i="22"/>
  <c r="A464" i="22"/>
  <c r="A465" i="22" l="1"/>
  <c r="C464" i="22"/>
  <c r="H463" i="22"/>
  <c r="G463" i="22"/>
  <c r="I463" i="22"/>
  <c r="D463" i="22"/>
  <c r="F463" i="22"/>
  <c r="F464" i="22" l="1"/>
  <c r="H464" i="22"/>
  <c r="G464" i="22"/>
  <c r="D464" i="22"/>
  <c r="I464" i="22"/>
  <c r="C465" i="22"/>
  <c r="A466" i="22"/>
  <c r="A467" i="22" l="1"/>
  <c r="H465" i="22"/>
  <c r="I465" i="22"/>
  <c r="G465" i="22"/>
  <c r="F465" i="22"/>
  <c r="D465" i="22"/>
  <c r="H466" i="22" l="1"/>
  <c r="G466" i="22"/>
  <c r="I466" i="22"/>
  <c r="F466" i="22"/>
  <c r="D466" i="22"/>
  <c r="C466" i="22"/>
  <c r="A468" i="22"/>
  <c r="F467" i="22" l="1"/>
  <c r="H467" i="22"/>
  <c r="D467" i="22"/>
  <c r="I467" i="22"/>
  <c r="G467" i="22"/>
  <c r="C467" i="22"/>
  <c r="A469" i="22"/>
  <c r="I468" i="22" l="1"/>
  <c r="H468" i="22"/>
  <c r="G468" i="22"/>
  <c r="F468" i="22"/>
  <c r="D468" i="22"/>
  <c r="C468" i="22"/>
  <c r="A470" i="22"/>
  <c r="H469" i="22" l="1"/>
  <c r="G469" i="22"/>
  <c r="I469" i="22"/>
  <c r="D469" i="22"/>
  <c r="F469" i="22"/>
  <c r="C469" i="22"/>
  <c r="A471" i="22"/>
  <c r="C470" i="22"/>
  <c r="A472" i="22" l="1"/>
  <c r="F470" i="22"/>
  <c r="I470" i="22"/>
  <c r="H470" i="22"/>
  <c r="G470" i="22"/>
  <c r="D470" i="22"/>
  <c r="A473" i="22" l="1"/>
  <c r="H471" i="22"/>
  <c r="F471" i="22"/>
  <c r="I471" i="22"/>
  <c r="G471" i="22"/>
  <c r="D471" i="22"/>
  <c r="C471" i="22"/>
  <c r="H472" i="22" l="1"/>
  <c r="G472" i="22"/>
  <c r="I472" i="22"/>
  <c r="F472" i="22"/>
  <c r="D472" i="22"/>
  <c r="C472" i="22"/>
  <c r="A474" i="22"/>
  <c r="F473" i="22" l="1"/>
  <c r="H473" i="22"/>
  <c r="I473" i="22"/>
  <c r="G473" i="22"/>
  <c r="D473" i="22"/>
  <c r="C473" i="22"/>
  <c r="C474" i="22"/>
  <c r="A475" i="22"/>
  <c r="A476" i="22" l="1"/>
  <c r="C475" i="22"/>
  <c r="I474" i="22"/>
  <c r="H474" i="22"/>
  <c r="G474" i="22"/>
  <c r="F474" i="22"/>
  <c r="D474" i="22"/>
  <c r="A477" i="22" l="1"/>
  <c r="C476" i="22"/>
  <c r="H475" i="22"/>
  <c r="G475" i="22"/>
  <c r="I475" i="22"/>
  <c r="F475" i="22"/>
  <c r="D475" i="22"/>
  <c r="F476" i="22" l="1"/>
  <c r="I476" i="22"/>
  <c r="H476" i="22"/>
  <c r="G476" i="22"/>
  <c r="D476" i="22"/>
  <c r="C477" i="22"/>
  <c r="A478" i="22"/>
  <c r="A479" i="22" l="1"/>
  <c r="C478" i="22"/>
  <c r="H477" i="22"/>
  <c r="G477" i="22"/>
  <c r="I477" i="22"/>
  <c r="F477" i="22"/>
  <c r="D477" i="22"/>
  <c r="H478" i="22" l="1"/>
  <c r="G478" i="22"/>
  <c r="I478" i="22"/>
  <c r="F478" i="22"/>
  <c r="D478" i="22"/>
  <c r="C479" i="22"/>
  <c r="A480" i="22"/>
  <c r="F479" i="22" l="1"/>
  <c r="H479" i="22"/>
  <c r="G479" i="22"/>
  <c r="D479" i="22"/>
  <c r="I479" i="22"/>
  <c r="C480" i="22"/>
  <c r="A481" i="22"/>
  <c r="C481" i="22" l="1"/>
  <c r="A482" i="22"/>
  <c r="I480" i="22"/>
  <c r="H480" i="22"/>
  <c r="G480" i="22"/>
  <c r="D480" i="22"/>
  <c r="F480" i="22"/>
  <c r="A483" i="22" l="1"/>
  <c r="H481" i="22"/>
  <c r="G481" i="22"/>
  <c r="I481" i="22"/>
  <c r="F481" i="22"/>
  <c r="D481" i="22"/>
  <c r="F482" i="22" l="1"/>
  <c r="I482" i="22"/>
  <c r="H482" i="22"/>
  <c r="G482" i="22"/>
  <c r="D482" i="22"/>
  <c r="C482" i="22"/>
  <c r="C483" i="22"/>
  <c r="A484" i="22"/>
  <c r="A485" i="22" l="1"/>
  <c r="H483" i="22"/>
  <c r="D483" i="22"/>
  <c r="I483" i="22"/>
  <c r="G483" i="22"/>
  <c r="F483" i="22"/>
  <c r="H484" i="22" l="1"/>
  <c r="G484" i="22"/>
  <c r="I484" i="22"/>
  <c r="F484" i="22"/>
  <c r="D484" i="22"/>
  <c r="C484" i="22"/>
  <c r="A486" i="22"/>
  <c r="C485" i="22"/>
  <c r="A487" i="22" l="1"/>
  <c r="F485" i="22"/>
  <c r="H485" i="22"/>
  <c r="I485" i="22"/>
  <c r="G485" i="22"/>
  <c r="D485" i="22"/>
  <c r="I486" i="22" l="1"/>
  <c r="H486" i="22"/>
  <c r="G486" i="22"/>
  <c r="D486" i="22"/>
  <c r="F486" i="22"/>
  <c r="A488" i="22"/>
  <c r="C486" i="22"/>
  <c r="H487" i="22" l="1"/>
  <c r="G487" i="22"/>
  <c r="I487" i="22"/>
  <c r="F487" i="22"/>
  <c r="D487" i="22"/>
  <c r="C487" i="22"/>
  <c r="A489" i="22"/>
  <c r="C488" i="22"/>
  <c r="F488" i="22" l="1"/>
  <c r="I488" i="22"/>
  <c r="H488" i="22"/>
  <c r="G488" i="22"/>
  <c r="D488" i="22"/>
  <c r="A490" i="22"/>
  <c r="H489" i="22" l="1"/>
  <c r="I489" i="22"/>
  <c r="G489" i="22"/>
  <c r="F489" i="22"/>
  <c r="D489" i="22"/>
  <c r="A491" i="22"/>
  <c r="C490" i="22"/>
  <c r="C489" i="22"/>
  <c r="H490" i="22" l="1"/>
  <c r="G490" i="22"/>
  <c r="I490" i="22"/>
  <c r="F490" i="22"/>
  <c r="D490" i="22"/>
  <c r="A492" i="22"/>
  <c r="F491" i="22" l="1"/>
  <c r="H491" i="22"/>
  <c r="D491" i="22"/>
  <c r="I491" i="22"/>
  <c r="G491" i="22"/>
  <c r="C492" i="22"/>
  <c r="A493" i="22"/>
  <c r="C491" i="22"/>
  <c r="C493" i="22" l="1"/>
  <c r="A494" i="22"/>
  <c r="I492" i="22"/>
  <c r="H492" i="22"/>
  <c r="G492" i="22"/>
  <c r="F492" i="22"/>
  <c r="D492" i="22"/>
  <c r="A495" i="22" l="1"/>
  <c r="H493" i="22"/>
  <c r="G493" i="22"/>
  <c r="I493" i="22"/>
  <c r="D493" i="22"/>
  <c r="F493" i="22"/>
  <c r="F494" i="22" l="1"/>
  <c r="I494" i="22"/>
  <c r="H494" i="22"/>
  <c r="G494" i="22"/>
  <c r="D494" i="22"/>
  <c r="C494" i="22"/>
  <c r="C495" i="22"/>
  <c r="A496" i="22"/>
  <c r="H495" i="22" l="1"/>
  <c r="F495" i="22"/>
  <c r="I495" i="22"/>
  <c r="G495" i="22"/>
  <c r="D495" i="22"/>
  <c r="A497" i="22"/>
  <c r="A498" i="22" l="1"/>
  <c r="C497" i="22"/>
  <c r="H496" i="22"/>
  <c r="G496" i="22"/>
  <c r="I496" i="22"/>
  <c r="F496" i="22"/>
  <c r="D496" i="22"/>
  <c r="C496" i="22"/>
  <c r="A499" i="22" l="1"/>
  <c r="F497" i="22"/>
  <c r="H497" i="22"/>
  <c r="G497" i="22"/>
  <c r="D497" i="22"/>
  <c r="I497" i="22"/>
  <c r="I498" i="22" l="1"/>
  <c r="H498" i="22"/>
  <c r="G498" i="22"/>
  <c r="F498" i="22"/>
  <c r="D498" i="22"/>
  <c r="A500" i="22"/>
  <c r="C498" i="22"/>
  <c r="H499" i="22" l="1"/>
  <c r="G499" i="22"/>
  <c r="I499" i="22"/>
  <c r="F499" i="22"/>
  <c r="D499" i="22"/>
  <c r="C499" i="22"/>
  <c r="A501" i="22"/>
  <c r="C500" i="22"/>
  <c r="A502" i="22" l="1"/>
  <c r="F500" i="22"/>
  <c r="I500" i="22"/>
  <c r="H500" i="22"/>
  <c r="G500" i="22"/>
  <c r="D500" i="22"/>
  <c r="H501" i="22" l="1"/>
  <c r="G501" i="22"/>
  <c r="I501" i="22"/>
  <c r="F501" i="22"/>
  <c r="D501" i="22"/>
  <c r="A503" i="22"/>
  <c r="C502" i="22"/>
  <c r="C501" i="22"/>
  <c r="C503" i="22" l="1"/>
  <c r="A504" i="22"/>
  <c r="H502" i="22"/>
  <c r="G502" i="22"/>
  <c r="I502" i="22"/>
  <c r="F502" i="22"/>
  <c r="D502" i="22"/>
  <c r="A505" i="22" l="1"/>
  <c r="F503" i="22"/>
  <c r="H503" i="22"/>
  <c r="G503" i="22"/>
  <c r="D503" i="22"/>
  <c r="I503" i="22"/>
  <c r="I504" i="22" l="1"/>
  <c r="H504" i="22"/>
  <c r="G504" i="22"/>
  <c r="F504" i="22"/>
  <c r="D504" i="22"/>
  <c r="A506" i="22"/>
  <c r="C504" i="22"/>
  <c r="H505" i="22" l="1"/>
  <c r="G505" i="22"/>
  <c r="I505" i="22"/>
  <c r="F505" i="22"/>
  <c r="D505" i="22"/>
  <c r="A507" i="22"/>
  <c r="C506" i="22"/>
  <c r="C505" i="22"/>
  <c r="A508" i="22" l="1"/>
  <c r="F506" i="22"/>
  <c r="I506" i="22"/>
  <c r="H506" i="22"/>
  <c r="G506" i="22"/>
  <c r="D506" i="22"/>
  <c r="H507" i="22" l="1"/>
  <c r="D507" i="22"/>
  <c r="I507" i="22"/>
  <c r="G507" i="22"/>
  <c r="F507" i="22"/>
  <c r="A509" i="22"/>
  <c r="C508" i="22"/>
  <c r="C507" i="22"/>
  <c r="A510" i="22" l="1"/>
  <c r="C509" i="22"/>
  <c r="H508" i="22"/>
  <c r="G508" i="22"/>
  <c r="I508" i="22"/>
  <c r="F508" i="22"/>
  <c r="D508" i="22"/>
  <c r="A511" i="22" l="1"/>
  <c r="F509" i="22"/>
  <c r="H509" i="22"/>
  <c r="I509" i="22"/>
  <c r="D509" i="22"/>
  <c r="G509" i="22"/>
  <c r="A512" i="22" l="1"/>
  <c r="C511" i="22"/>
  <c r="I510" i="22"/>
  <c r="H510" i="22"/>
  <c r="G510" i="22"/>
  <c r="D510" i="22"/>
  <c r="F510" i="22"/>
  <c r="C510" i="22"/>
  <c r="A513" i="22" l="1"/>
  <c r="H511" i="22"/>
  <c r="G511" i="22"/>
  <c r="I511" i="22"/>
  <c r="F511" i="22"/>
  <c r="D511" i="22"/>
  <c r="F512" i="22" l="1"/>
  <c r="I512" i="22"/>
  <c r="H512" i="22"/>
  <c r="G512" i="22"/>
  <c r="D512" i="22"/>
  <c r="C512" i="22"/>
  <c r="C513" i="22"/>
  <c r="A514" i="22"/>
  <c r="H513" i="22" l="1"/>
  <c r="I513" i="22"/>
  <c r="G513" i="22"/>
  <c r="F513" i="22"/>
  <c r="D513" i="22"/>
  <c r="A515" i="22"/>
  <c r="H514" i="22" l="1"/>
  <c r="G514" i="22"/>
  <c r="I514" i="22"/>
  <c r="F514" i="22"/>
  <c r="D514" i="22"/>
  <c r="C514" i="22"/>
  <c r="C515" i="22"/>
  <c r="A516" i="22"/>
  <c r="A517" i="22" l="1"/>
  <c r="F515" i="22"/>
  <c r="H515" i="22"/>
  <c r="D515" i="22"/>
  <c r="I515" i="22"/>
  <c r="G515" i="22"/>
  <c r="C517" i="22" l="1"/>
  <c r="A518" i="22"/>
  <c r="I516" i="22"/>
  <c r="H516" i="22"/>
  <c r="G516" i="22"/>
  <c r="F516" i="22"/>
  <c r="D516" i="22"/>
  <c r="C516" i="22"/>
  <c r="A519" i="22" l="1"/>
  <c r="C518" i="22"/>
  <c r="H517" i="22"/>
  <c r="G517" i="22"/>
  <c r="I517" i="22"/>
  <c r="D517" i="22"/>
  <c r="F517" i="22"/>
  <c r="F518" i="22" l="1"/>
  <c r="I518" i="22"/>
  <c r="H518" i="22"/>
  <c r="G518" i="22"/>
  <c r="D518" i="22"/>
  <c r="A520" i="22"/>
  <c r="H519" i="22" l="1"/>
  <c r="F519" i="22"/>
  <c r="I519" i="22"/>
  <c r="G519" i="22"/>
  <c r="D519" i="22"/>
  <c r="A521" i="22"/>
  <c r="C519" i="22"/>
  <c r="A522" i="22" l="1"/>
  <c r="C521" i="22"/>
  <c r="H520" i="22"/>
  <c r="G520" i="22"/>
  <c r="I520" i="22"/>
  <c r="F520" i="22"/>
  <c r="D520" i="22"/>
  <c r="C520" i="22"/>
  <c r="A523" i="22" l="1"/>
  <c r="F521" i="22"/>
  <c r="H521" i="22"/>
  <c r="D521" i="22"/>
  <c r="G521" i="22"/>
  <c r="I521" i="22"/>
  <c r="I522" i="22" l="1"/>
  <c r="H522" i="22"/>
  <c r="G522" i="22"/>
  <c r="F522" i="22"/>
  <c r="D522" i="22"/>
  <c r="A524" i="22"/>
  <c r="C523" i="22"/>
  <c r="C522" i="22"/>
  <c r="A525" i="22" l="1"/>
  <c r="C524" i="22"/>
  <c r="H523" i="22"/>
  <c r="G523" i="22"/>
  <c r="I523" i="22"/>
  <c r="F523" i="22"/>
  <c r="D523" i="22"/>
  <c r="F524" i="22" l="1"/>
  <c r="I524" i="22"/>
  <c r="H524" i="22"/>
  <c r="G524" i="22"/>
  <c r="D524" i="22"/>
  <c r="A526" i="22"/>
  <c r="H525" i="22" l="1"/>
  <c r="G525" i="22"/>
  <c r="I525" i="22"/>
  <c r="F525" i="22"/>
  <c r="D525" i="22"/>
  <c r="A527" i="22"/>
  <c r="C525" i="22"/>
  <c r="H526" i="22" l="1"/>
  <c r="G526" i="22"/>
  <c r="I526" i="22"/>
  <c r="F526" i="22"/>
  <c r="D526" i="22"/>
  <c r="C526" i="22"/>
  <c r="C527" i="22"/>
  <c r="A528" i="22"/>
  <c r="A529" i="22" l="1"/>
  <c r="F527" i="22"/>
  <c r="H527" i="22"/>
  <c r="G527" i="22"/>
  <c r="D527" i="22"/>
  <c r="I527" i="22"/>
  <c r="I528" i="22" l="1"/>
  <c r="H528" i="22"/>
  <c r="G528" i="22"/>
  <c r="F528" i="22"/>
  <c r="D528" i="22"/>
  <c r="A530" i="22"/>
  <c r="C528" i="22"/>
  <c r="I529" i="22" l="1"/>
  <c r="H529" i="22"/>
  <c r="G529" i="22"/>
  <c r="F529" i="22"/>
  <c r="D529" i="22"/>
  <c r="C529" i="22"/>
  <c r="A531" i="22"/>
  <c r="C530" i="22"/>
  <c r="A532" i="22" l="1"/>
  <c r="H530" i="22"/>
  <c r="G530" i="22"/>
  <c r="I530" i="22"/>
  <c r="F530" i="22"/>
  <c r="D530" i="22"/>
  <c r="D531" i="22" l="1"/>
  <c r="G531" i="22"/>
  <c r="F531" i="22"/>
  <c r="H531" i="22"/>
  <c r="I531" i="22"/>
  <c r="A533" i="22"/>
  <c r="C532" i="22"/>
  <c r="C531" i="22"/>
  <c r="I532" i="22" l="1"/>
  <c r="F532" i="22"/>
  <c r="H532" i="22"/>
  <c r="G532" i="22"/>
  <c r="D532" i="22"/>
  <c r="A534" i="22"/>
  <c r="A535" i="22" l="1"/>
  <c r="H533" i="22"/>
  <c r="F533" i="22"/>
  <c r="D533" i="22"/>
  <c r="I533" i="22"/>
  <c r="G533" i="22"/>
  <c r="C533" i="22"/>
  <c r="F534" i="22" l="1"/>
  <c r="D534" i="22"/>
  <c r="G534" i="22"/>
  <c r="I534" i="22"/>
  <c r="H534" i="22"/>
  <c r="C534" i="22"/>
  <c r="A536" i="22"/>
  <c r="I535" i="22" l="1"/>
  <c r="F535" i="22"/>
  <c r="D535" i="22"/>
  <c r="G535" i="22"/>
  <c r="H535" i="22"/>
  <c r="C535" i="22"/>
  <c r="C536" i="22"/>
  <c r="A537" i="22"/>
  <c r="H536" i="22" l="1"/>
  <c r="F536" i="22"/>
  <c r="G536" i="22"/>
  <c r="D536" i="22"/>
  <c r="I536" i="22"/>
  <c r="A538" i="22"/>
  <c r="A539" i="22" l="1"/>
  <c r="C538" i="22"/>
  <c r="F537" i="22"/>
  <c r="D537" i="22"/>
  <c r="G537" i="22"/>
  <c r="H537" i="22"/>
  <c r="I537" i="22"/>
  <c r="C537" i="22"/>
  <c r="I538" i="22" l="1"/>
  <c r="F538" i="22"/>
  <c r="H538" i="22"/>
  <c r="G538" i="22"/>
  <c r="D538" i="22"/>
  <c r="C539" i="22"/>
  <c r="A540" i="22"/>
  <c r="H539" i="22" l="1"/>
  <c r="F539" i="22"/>
  <c r="D539" i="22"/>
  <c r="I539" i="22"/>
  <c r="G539" i="22"/>
  <c r="A541" i="22"/>
  <c r="F540" i="22" l="1"/>
  <c r="D540" i="22"/>
  <c r="G540" i="22"/>
  <c r="I540" i="22"/>
  <c r="H540" i="22"/>
  <c r="C540" i="22"/>
  <c r="A542" i="22"/>
  <c r="C541" i="22"/>
  <c r="I541" i="22" l="1"/>
  <c r="F541" i="22"/>
  <c r="D541" i="22"/>
  <c r="H541" i="22"/>
  <c r="G541" i="22"/>
  <c r="A543" i="22"/>
  <c r="H542" i="22" l="1"/>
  <c r="F542" i="22"/>
  <c r="I542" i="22"/>
  <c r="D542" i="22"/>
  <c r="G542" i="22"/>
  <c r="C542" i="22"/>
  <c r="A544" i="22"/>
  <c r="F543" i="22" l="1"/>
  <c r="D543" i="22"/>
  <c r="G543" i="22"/>
  <c r="I543" i="22"/>
  <c r="H543" i="22"/>
  <c r="A545" i="22"/>
  <c r="C544" i="22"/>
  <c r="C543" i="22"/>
  <c r="I544" i="22" l="1"/>
  <c r="F544" i="22"/>
  <c r="G544" i="22"/>
  <c r="D544" i="22"/>
  <c r="H544" i="22"/>
  <c r="C545" i="22"/>
  <c r="A546" i="22"/>
  <c r="A547" i="22" l="1"/>
  <c r="H545" i="22"/>
  <c r="F545" i="22"/>
  <c r="D545" i="22"/>
  <c r="G545" i="22"/>
  <c r="I545" i="22"/>
  <c r="A548" i="22" l="1"/>
  <c r="F546" i="22"/>
  <c r="D546" i="22"/>
  <c r="G546" i="22"/>
  <c r="I546" i="22"/>
  <c r="H546" i="22"/>
  <c r="C546" i="22"/>
  <c r="I547" i="22" l="1"/>
  <c r="F547" i="22"/>
  <c r="D547" i="22"/>
  <c r="H547" i="22"/>
  <c r="G547" i="22"/>
  <c r="C547" i="22"/>
  <c r="A549" i="22"/>
  <c r="C548" i="22"/>
  <c r="A550" i="22" l="1"/>
  <c r="H548" i="22"/>
  <c r="D548" i="22"/>
  <c r="F548" i="22"/>
  <c r="I548" i="22"/>
  <c r="G548" i="22"/>
  <c r="F549" i="22" l="1"/>
  <c r="D549" i="22"/>
  <c r="G549" i="22"/>
  <c r="I549" i="22"/>
  <c r="H549" i="22"/>
  <c r="A551" i="22"/>
  <c r="C549" i="22"/>
  <c r="A552" i="22" l="1"/>
  <c r="I550" i="22"/>
  <c r="D550" i="22"/>
  <c r="F550" i="22"/>
  <c r="H550" i="22"/>
  <c r="G550" i="22"/>
  <c r="C550" i="22"/>
  <c r="A553" i="22" l="1"/>
  <c r="H551" i="22"/>
  <c r="F551" i="22"/>
  <c r="D551" i="22"/>
  <c r="I551" i="22"/>
  <c r="G551" i="22"/>
  <c r="C551" i="22"/>
  <c r="A554" i="22" l="1"/>
  <c r="C553" i="22"/>
  <c r="F552" i="22"/>
  <c r="D552" i="22"/>
  <c r="G552" i="22"/>
  <c r="I552" i="22"/>
  <c r="H552" i="22"/>
  <c r="C552" i="22"/>
  <c r="I553" i="22" l="1"/>
  <c r="F553" i="22"/>
  <c r="D553" i="22"/>
  <c r="H553" i="22"/>
  <c r="G553" i="22"/>
  <c r="C554" i="22"/>
  <c r="A555" i="22"/>
  <c r="H554" i="22" l="1"/>
  <c r="D554" i="22"/>
  <c r="F554" i="22"/>
  <c r="G554" i="22"/>
  <c r="I554" i="22"/>
  <c r="A556" i="22"/>
  <c r="F555" i="22" l="1"/>
  <c r="D555" i="22"/>
  <c r="G555" i="22"/>
  <c r="I555" i="22"/>
  <c r="H555" i="22"/>
  <c r="A557" i="22"/>
  <c r="C555" i="22"/>
  <c r="A558" i="22" l="1"/>
  <c r="I556" i="22"/>
  <c r="D556" i="22"/>
  <c r="F556" i="22"/>
  <c r="H556" i="22"/>
  <c r="G556" i="22"/>
  <c r="C556" i="22"/>
  <c r="H557" i="22" l="1"/>
  <c r="F557" i="22"/>
  <c r="D557" i="22"/>
  <c r="I557" i="22"/>
  <c r="G557" i="22"/>
  <c r="A559" i="22"/>
  <c r="C558" i="22"/>
  <c r="C557" i="22"/>
  <c r="F558" i="22" l="1"/>
  <c r="D558" i="22"/>
  <c r="G558" i="22"/>
  <c r="I558" i="22"/>
  <c r="H558" i="22"/>
  <c r="A560" i="22"/>
  <c r="I559" i="22" l="1"/>
  <c r="F559" i="22"/>
  <c r="D559" i="22"/>
  <c r="H559" i="22"/>
  <c r="G559" i="22"/>
  <c r="C559" i="22"/>
  <c r="A561" i="22"/>
  <c r="C560" i="22"/>
  <c r="A562" i="22" l="1"/>
  <c r="H560" i="22"/>
  <c r="D560" i="22"/>
  <c r="F560" i="22"/>
  <c r="I560" i="22"/>
  <c r="G560" i="22"/>
  <c r="F561" i="22" l="1"/>
  <c r="D561" i="22"/>
  <c r="G561" i="22"/>
  <c r="H561" i="22"/>
  <c r="I561" i="22"/>
  <c r="A563" i="22"/>
  <c r="C562" i="22"/>
  <c r="C561" i="22"/>
  <c r="I562" i="22" l="1"/>
  <c r="D562" i="22"/>
  <c r="F562" i="22"/>
  <c r="G562" i="22"/>
  <c r="H562" i="22"/>
  <c r="A564" i="22"/>
  <c r="I563" i="22" l="1"/>
  <c r="G563" i="22"/>
  <c r="F563" i="22"/>
  <c r="D563" i="22"/>
  <c r="H563" i="22"/>
  <c r="C563" i="22"/>
  <c r="A565" i="22"/>
  <c r="C564" i="22"/>
  <c r="G564" i="22" l="1"/>
  <c r="I564" i="22"/>
  <c r="H564" i="22"/>
  <c r="F564" i="22"/>
  <c r="D564" i="22"/>
  <c r="A566" i="22"/>
  <c r="F565" i="22" l="1"/>
  <c r="H565" i="22"/>
  <c r="I565" i="22"/>
  <c r="G565" i="22"/>
  <c r="D565" i="22"/>
  <c r="C565" i="22"/>
  <c r="A567" i="22"/>
  <c r="C566" i="22"/>
  <c r="C567" i="22" l="1"/>
  <c r="A568" i="22"/>
  <c r="G566" i="22"/>
  <c r="F566" i="22"/>
  <c r="H566" i="22"/>
  <c r="D566" i="22"/>
  <c r="I566" i="22"/>
  <c r="A569" i="22" l="1"/>
  <c r="H567" i="22"/>
  <c r="G567" i="22"/>
  <c r="F567" i="22"/>
  <c r="I567" i="22"/>
  <c r="D567" i="22"/>
  <c r="A570" i="22" l="1"/>
  <c r="F568" i="22"/>
  <c r="G568" i="22"/>
  <c r="D568" i="22"/>
  <c r="H568" i="22"/>
  <c r="I568" i="22"/>
  <c r="C568" i="22"/>
  <c r="G569" i="22" l="1"/>
  <c r="H569" i="22"/>
  <c r="I569" i="22"/>
  <c r="F569" i="22"/>
  <c r="D569" i="22"/>
  <c r="A571" i="22"/>
  <c r="C570" i="22"/>
  <c r="C569" i="22"/>
  <c r="A572" i="22" l="1"/>
  <c r="H570" i="22"/>
  <c r="G570" i="22"/>
  <c r="F570" i="22"/>
  <c r="D570" i="22"/>
  <c r="I570" i="22"/>
  <c r="A573" i="22" l="1"/>
  <c r="F571" i="22"/>
  <c r="G571" i="22"/>
  <c r="D571" i="22"/>
  <c r="I571" i="22"/>
  <c r="H571" i="22"/>
  <c r="C571" i="22"/>
  <c r="A574" i="22" l="1"/>
  <c r="C573" i="22"/>
  <c r="G572" i="22"/>
  <c r="F572" i="22"/>
  <c r="D572" i="22"/>
  <c r="H572" i="22"/>
  <c r="I572" i="22"/>
  <c r="C572" i="22"/>
  <c r="H573" i="22" l="1"/>
  <c r="G573" i="22"/>
  <c r="F573" i="22"/>
  <c r="I573" i="22"/>
  <c r="D573" i="22"/>
  <c r="A575" i="22"/>
  <c r="F574" i="22" l="1"/>
  <c r="G574" i="22"/>
  <c r="D574" i="22"/>
  <c r="H574" i="22"/>
  <c r="I574" i="22"/>
  <c r="C574" i="22"/>
  <c r="C575" i="22"/>
  <c r="A576" i="22"/>
  <c r="A577" i="22" l="1"/>
  <c r="G575" i="22"/>
  <c r="D575" i="22"/>
  <c r="H575" i="22"/>
  <c r="I575" i="22"/>
  <c r="F575" i="22"/>
  <c r="H576" i="22" l="1"/>
  <c r="G576" i="22"/>
  <c r="F576" i="22"/>
  <c r="D576" i="22"/>
  <c r="I576" i="22"/>
  <c r="A578" i="22"/>
  <c r="C577" i="22"/>
  <c r="C576" i="22"/>
  <c r="F577" i="22" l="1"/>
  <c r="G577" i="22"/>
  <c r="H577" i="22"/>
  <c r="I577" i="22"/>
  <c r="D577" i="22"/>
  <c r="A579" i="22"/>
  <c r="A580" i="22" l="1"/>
  <c r="G578" i="22"/>
  <c r="F578" i="22"/>
  <c r="I578" i="22"/>
  <c r="H578" i="22"/>
  <c r="D578" i="22"/>
  <c r="C578" i="22"/>
  <c r="A581" i="22" l="1"/>
  <c r="H579" i="22"/>
  <c r="G579" i="22"/>
  <c r="F579" i="22"/>
  <c r="D579" i="22"/>
  <c r="I579" i="22"/>
  <c r="C579" i="22"/>
  <c r="A582" i="22" l="1"/>
  <c r="F580" i="22"/>
  <c r="G580" i="22"/>
  <c r="D580" i="22"/>
  <c r="H580" i="22"/>
  <c r="I580" i="22"/>
  <c r="C580" i="22"/>
  <c r="G581" i="22" l="1"/>
  <c r="I581" i="22"/>
  <c r="H581" i="22"/>
  <c r="F581" i="22"/>
  <c r="D581" i="22"/>
  <c r="A583" i="22"/>
  <c r="C582" i="22"/>
  <c r="C581" i="22"/>
  <c r="H582" i="22" l="1"/>
  <c r="G582" i="22"/>
  <c r="F582" i="22"/>
  <c r="D582" i="22"/>
  <c r="I582" i="22"/>
  <c r="C583" i="22"/>
  <c r="A584" i="22"/>
  <c r="A585" i="22" l="1"/>
  <c r="F583" i="22"/>
  <c r="G583" i="22"/>
  <c r="D583" i="22"/>
  <c r="I583" i="22"/>
  <c r="H583" i="22"/>
  <c r="A586" i="22" l="1"/>
  <c r="G584" i="22"/>
  <c r="F584" i="22"/>
  <c r="H584" i="22"/>
  <c r="D584" i="22"/>
  <c r="I584" i="22"/>
  <c r="C584" i="22"/>
  <c r="H585" i="22" l="1"/>
  <c r="G585" i="22"/>
  <c r="F585" i="22"/>
  <c r="I585" i="22"/>
  <c r="D585" i="22"/>
  <c r="C585" i="22"/>
  <c r="A587" i="22"/>
  <c r="C586" i="22"/>
  <c r="F586" i="22" l="1"/>
  <c r="G586" i="22"/>
  <c r="D586" i="22"/>
  <c r="I586" i="22"/>
  <c r="H586" i="22"/>
  <c r="C587" i="22"/>
  <c r="A588" i="22"/>
  <c r="A589" i="22" l="1"/>
  <c r="G587" i="22"/>
  <c r="D587" i="22"/>
  <c r="I587" i="22"/>
  <c r="H587" i="22"/>
  <c r="F587" i="22"/>
  <c r="A590" i="22" l="1"/>
  <c r="H588" i="22"/>
  <c r="G588" i="22"/>
  <c r="F588" i="22"/>
  <c r="D588" i="22"/>
  <c r="I588" i="22"/>
  <c r="C588" i="22"/>
  <c r="F589" i="22" l="1"/>
  <c r="G589" i="22"/>
  <c r="I589" i="22"/>
  <c r="H589" i="22"/>
  <c r="D589" i="22"/>
  <c r="A591" i="22"/>
  <c r="C589" i="22"/>
  <c r="C591" i="22" l="1"/>
  <c r="A592" i="22"/>
  <c r="G590" i="22"/>
  <c r="F590" i="22"/>
  <c r="I590" i="22"/>
  <c r="D590" i="22"/>
  <c r="H590" i="22"/>
  <c r="C590" i="22"/>
  <c r="A593" i="22" l="1"/>
  <c r="H591" i="22"/>
  <c r="G591" i="22"/>
  <c r="F591" i="22"/>
  <c r="I591" i="22"/>
  <c r="D591" i="22"/>
  <c r="A594" i="22" l="1"/>
  <c r="F592" i="22"/>
  <c r="G592" i="22"/>
  <c r="D592" i="22"/>
  <c r="H592" i="22"/>
  <c r="I592" i="22"/>
  <c r="C592" i="22"/>
  <c r="A595" i="22" l="1"/>
  <c r="G593" i="22"/>
  <c r="H593" i="22"/>
  <c r="I593" i="22"/>
  <c r="F593" i="22"/>
  <c r="D593" i="22"/>
  <c r="C593" i="22"/>
  <c r="H594" i="22" l="1"/>
  <c r="G594" i="22"/>
  <c r="F594" i="22"/>
  <c r="D594" i="22"/>
  <c r="I594" i="22"/>
  <c r="C594" i="22"/>
  <c r="A596" i="22"/>
  <c r="F595" i="22" l="1"/>
  <c r="G595" i="22"/>
  <c r="I595" i="22"/>
  <c r="H595" i="22"/>
  <c r="D595" i="22"/>
  <c r="A597" i="22"/>
  <c r="C595" i="22"/>
  <c r="G596" i="22" l="1"/>
  <c r="F596" i="22"/>
  <c r="D596" i="22"/>
  <c r="H596" i="22"/>
  <c r="I596" i="22"/>
  <c r="A598" i="22"/>
  <c r="C597" i="22"/>
  <c r="C596" i="22"/>
  <c r="H597" i="22" l="1"/>
  <c r="G597" i="22"/>
  <c r="F597" i="22"/>
  <c r="I597" i="22"/>
  <c r="D597" i="22"/>
  <c r="A599" i="22"/>
  <c r="C598" i="22"/>
  <c r="A600" i="22" l="1"/>
  <c r="F598" i="22"/>
  <c r="G598" i="22"/>
  <c r="D598" i="22"/>
  <c r="H598" i="22"/>
  <c r="I598" i="22"/>
  <c r="G599" i="22" l="1"/>
  <c r="D599" i="22"/>
  <c r="I599" i="22"/>
  <c r="H599" i="22"/>
  <c r="F599" i="22"/>
  <c r="C600" i="22"/>
  <c r="A601" i="22"/>
  <c r="C599" i="22"/>
  <c r="A602" i="22" l="1"/>
  <c r="H600" i="22"/>
  <c r="G600" i="22"/>
  <c r="F600" i="22"/>
  <c r="D600" i="22"/>
  <c r="I600" i="22"/>
  <c r="F601" i="22" l="1"/>
  <c r="G601" i="22"/>
  <c r="H601" i="22"/>
  <c r="I601" i="22"/>
  <c r="D601" i="22"/>
  <c r="A603" i="22"/>
  <c r="C601" i="22"/>
  <c r="G602" i="22" l="1"/>
  <c r="F602" i="22"/>
  <c r="I602" i="22"/>
  <c r="D602" i="22"/>
  <c r="H602" i="22"/>
  <c r="C602" i="22"/>
  <c r="A604" i="22"/>
  <c r="A605" i="22" l="1"/>
  <c r="H603" i="22"/>
  <c r="G603" i="22"/>
  <c r="F603" i="22"/>
  <c r="D603" i="22"/>
  <c r="I603" i="22"/>
  <c r="C603" i="22"/>
  <c r="F604" i="22" l="1"/>
  <c r="G604" i="22"/>
  <c r="D604" i="22"/>
  <c r="H604" i="22"/>
  <c r="I604" i="22"/>
  <c r="C605" i="22"/>
  <c r="A606" i="22"/>
  <c r="C604" i="22"/>
  <c r="G605" i="22" l="1"/>
  <c r="I605" i="22"/>
  <c r="H605" i="22"/>
  <c r="F605" i="22"/>
  <c r="D605" i="22"/>
  <c r="C606" i="22"/>
  <c r="A607" i="22"/>
  <c r="A608" i="22" l="1"/>
  <c r="C607" i="22"/>
  <c r="H606" i="22"/>
  <c r="G606" i="22"/>
  <c r="F606" i="22"/>
  <c r="D606" i="22"/>
  <c r="I606" i="22"/>
  <c r="A609" i="22" l="1"/>
  <c r="F607" i="22"/>
  <c r="G607" i="22"/>
  <c r="H607" i="22"/>
  <c r="I607" i="22"/>
  <c r="D607" i="22"/>
  <c r="G608" i="22" l="1"/>
  <c r="F608" i="22"/>
  <c r="H608" i="22"/>
  <c r="D608" i="22"/>
  <c r="I608" i="22"/>
  <c r="A610" i="22"/>
  <c r="C608" i="22"/>
  <c r="H609" i="22" l="1"/>
  <c r="G609" i="22"/>
  <c r="F609" i="22"/>
  <c r="I609" i="22"/>
  <c r="D609" i="22"/>
  <c r="C609" i="22"/>
  <c r="A611" i="22"/>
  <c r="C610" i="22"/>
  <c r="F610" i="22" l="1"/>
  <c r="G610" i="22"/>
  <c r="D610" i="22"/>
  <c r="I610" i="22"/>
  <c r="H610" i="22"/>
  <c r="C611" i="22"/>
  <c r="A612" i="22"/>
  <c r="A613" i="22" l="1"/>
  <c r="H611" i="22"/>
  <c r="D611" i="22"/>
  <c r="I611" i="22"/>
  <c r="F611" i="22"/>
  <c r="G611" i="22"/>
  <c r="F612" i="22" l="1"/>
  <c r="I612" i="22"/>
  <c r="H612" i="22"/>
  <c r="G612" i="22"/>
  <c r="D612" i="22"/>
  <c r="C612" i="22"/>
  <c r="A614" i="22"/>
  <c r="C613" i="22"/>
  <c r="A615" i="22" l="1"/>
  <c r="I613" i="22"/>
  <c r="D613" i="22"/>
  <c r="G613" i="22"/>
  <c r="H613" i="22"/>
  <c r="F613" i="22"/>
  <c r="H614" i="22" l="1"/>
  <c r="I614" i="22"/>
  <c r="F614" i="22"/>
  <c r="D614" i="22"/>
  <c r="G614" i="22"/>
  <c r="C614" i="22"/>
  <c r="A616" i="22"/>
  <c r="F615" i="22" l="1"/>
  <c r="I615" i="22"/>
  <c r="D615" i="22"/>
  <c r="H615" i="22"/>
  <c r="G615" i="22"/>
  <c r="A617" i="22"/>
  <c r="C616" i="22"/>
  <c r="C615" i="22"/>
  <c r="A618" i="22" l="1"/>
  <c r="H616" i="22"/>
  <c r="G616" i="22"/>
  <c r="F616" i="22"/>
  <c r="D616" i="22"/>
  <c r="I616" i="22"/>
  <c r="H617" i="22" l="1"/>
  <c r="G617" i="22"/>
  <c r="I617" i="22"/>
  <c r="F617" i="22"/>
  <c r="D617" i="22"/>
  <c r="C617" i="22"/>
  <c r="A619" i="22"/>
  <c r="C618" i="22"/>
  <c r="A620" i="22" l="1"/>
  <c r="F618" i="22"/>
  <c r="G618" i="22"/>
  <c r="D618" i="22"/>
  <c r="I618" i="22"/>
  <c r="H618" i="22"/>
  <c r="F619" i="22" l="1"/>
  <c r="I619" i="22"/>
  <c r="D619" i="22"/>
  <c r="H619" i="22"/>
  <c r="G619" i="22"/>
  <c r="C619" i="22"/>
  <c r="C620" i="22"/>
  <c r="A621" i="22"/>
  <c r="A622" i="22" l="1"/>
  <c r="H620" i="22"/>
  <c r="D620" i="22"/>
  <c r="I620" i="22"/>
  <c r="G620" i="22"/>
  <c r="F620" i="22"/>
  <c r="F621" i="22" l="1"/>
  <c r="D621" i="22"/>
  <c r="H621" i="22"/>
  <c r="G621" i="22"/>
  <c r="I621" i="22"/>
  <c r="C621" i="22"/>
  <c r="A623" i="22"/>
  <c r="C622" i="22"/>
  <c r="A624" i="22" l="1"/>
  <c r="C623" i="22"/>
  <c r="G622" i="22"/>
  <c r="F622" i="22"/>
  <c r="D622" i="22"/>
  <c r="H622" i="22"/>
  <c r="I622" i="22"/>
  <c r="I623" i="22" l="1"/>
  <c r="H623" i="22"/>
  <c r="G623" i="22"/>
  <c r="F623" i="22"/>
  <c r="D623" i="22"/>
  <c r="A625" i="22"/>
  <c r="C624" i="22"/>
  <c r="A626" i="22" l="1"/>
  <c r="F624" i="22"/>
  <c r="I624" i="22"/>
  <c r="D624" i="22"/>
  <c r="G624" i="22"/>
  <c r="H624" i="22"/>
  <c r="D625" i="22" l="1"/>
  <c r="I625" i="22"/>
  <c r="H625" i="22"/>
  <c r="G625" i="22"/>
  <c r="F625" i="22"/>
  <c r="C625" i="22"/>
  <c r="C626" i="22"/>
  <c r="A627" i="22"/>
  <c r="I626" i="22" l="1"/>
  <c r="H626" i="22"/>
  <c r="F626" i="22"/>
  <c r="G626" i="22"/>
  <c r="D626" i="22"/>
  <c r="A628" i="22"/>
  <c r="C627" i="22"/>
  <c r="F627" i="22" l="1"/>
  <c r="I627" i="22"/>
  <c r="H627" i="22"/>
  <c r="G627" i="22"/>
  <c r="D627" i="22"/>
  <c r="A629" i="22"/>
  <c r="C628" i="22"/>
  <c r="A630" i="22" l="1"/>
  <c r="D628" i="22"/>
  <c r="I628" i="22"/>
  <c r="F628" i="22"/>
  <c r="H628" i="22"/>
  <c r="G628" i="22"/>
  <c r="I629" i="22" l="1"/>
  <c r="H629" i="22"/>
  <c r="D629" i="22"/>
  <c r="F629" i="22"/>
  <c r="G629" i="22"/>
  <c r="C629" i="22"/>
  <c r="A631" i="22"/>
  <c r="C630" i="22"/>
  <c r="A632" i="22" l="1"/>
  <c r="F630" i="22"/>
  <c r="G630" i="22"/>
  <c r="D630" i="22"/>
  <c r="I630" i="22"/>
  <c r="H630" i="22"/>
  <c r="D631" i="22" l="1"/>
  <c r="I631" i="22"/>
  <c r="H631" i="22"/>
  <c r="F631" i="22"/>
  <c r="G631" i="22"/>
  <c r="C631" i="22"/>
  <c r="A633" i="22"/>
  <c r="C632" i="22"/>
  <c r="A634" i="22" l="1"/>
  <c r="C633" i="22"/>
  <c r="I632" i="22"/>
  <c r="H632" i="22"/>
  <c r="G632" i="22"/>
  <c r="F632" i="22"/>
  <c r="D632" i="22"/>
  <c r="F633" i="22" l="1"/>
  <c r="I633" i="22"/>
  <c r="D633" i="22"/>
  <c r="H633" i="22"/>
  <c r="G633" i="22"/>
  <c r="A635" i="22"/>
  <c r="C634" i="22"/>
  <c r="D634" i="22" l="1"/>
  <c r="G634" i="22"/>
  <c r="I634" i="22"/>
  <c r="H634" i="22"/>
  <c r="F634" i="22"/>
  <c r="A636" i="22"/>
  <c r="I635" i="22" l="1"/>
  <c r="H635" i="22"/>
  <c r="G635" i="22"/>
  <c r="F635" i="22"/>
  <c r="D635" i="22"/>
  <c r="A637" i="22"/>
  <c r="C636" i="22"/>
  <c r="C635" i="22"/>
  <c r="F636" i="22" l="1"/>
  <c r="G636" i="22"/>
  <c r="H636" i="22"/>
  <c r="D636" i="22"/>
  <c r="I636" i="22"/>
  <c r="A638" i="22"/>
  <c r="C637" i="22"/>
  <c r="D637" i="22" l="1"/>
  <c r="I637" i="22"/>
  <c r="H637" i="22"/>
  <c r="G637" i="22"/>
  <c r="F637" i="22"/>
  <c r="C638" i="22"/>
  <c r="A639" i="22"/>
  <c r="A640" i="22" l="1"/>
  <c r="C639" i="22"/>
  <c r="I638" i="22"/>
  <c r="H638" i="22"/>
  <c r="F638" i="22"/>
  <c r="D638" i="22"/>
  <c r="G638" i="22"/>
  <c r="F639" i="22" l="1"/>
  <c r="I639" i="22"/>
  <c r="H639" i="22"/>
  <c r="G639" i="22"/>
  <c r="D639" i="22"/>
  <c r="A641" i="22"/>
  <c r="C640" i="22"/>
  <c r="D640" i="22" l="1"/>
  <c r="I640" i="22"/>
  <c r="F640" i="22"/>
  <c r="G640" i="22"/>
  <c r="H640" i="22"/>
  <c r="A642" i="22"/>
  <c r="C641" i="22"/>
  <c r="A643" i="22" l="1"/>
  <c r="C642" i="22"/>
  <c r="I641" i="22"/>
  <c r="H641" i="22"/>
  <c r="G641" i="22"/>
  <c r="F641" i="22"/>
  <c r="D641" i="22"/>
  <c r="A644" i="22" l="1"/>
  <c r="F642" i="22"/>
  <c r="G642" i="22"/>
  <c r="D642" i="22"/>
  <c r="I642" i="22"/>
  <c r="H642" i="22"/>
  <c r="D643" i="22" l="1"/>
  <c r="I643" i="22"/>
  <c r="H643" i="22"/>
  <c r="G643" i="22"/>
  <c r="F643" i="22"/>
  <c r="C643" i="22"/>
  <c r="C644" i="22"/>
  <c r="A645" i="22"/>
  <c r="I644" i="22" l="1"/>
  <c r="H644" i="22"/>
  <c r="G644" i="22"/>
  <c r="D644" i="22"/>
  <c r="F644" i="22"/>
  <c r="A646" i="22"/>
  <c r="C645" i="22"/>
  <c r="F645" i="22" l="1"/>
  <c r="D645" i="22"/>
  <c r="G645" i="22"/>
  <c r="I645" i="22"/>
  <c r="H645" i="22"/>
  <c r="A647" i="22"/>
  <c r="D646" i="22" l="1"/>
  <c r="G646" i="22"/>
  <c r="F646" i="22"/>
  <c r="I646" i="22"/>
  <c r="H646" i="22"/>
  <c r="C646" i="22"/>
  <c r="A648" i="22"/>
  <c r="C647" i="22"/>
  <c r="C648" i="22" l="1"/>
  <c r="A649" i="22"/>
  <c r="I647" i="22"/>
  <c r="H647" i="22"/>
  <c r="G647" i="22"/>
  <c r="F647" i="22"/>
  <c r="D647" i="22"/>
  <c r="A650" i="22" l="1"/>
  <c r="C649" i="22"/>
  <c r="F648" i="22"/>
  <c r="H648" i="22"/>
  <c r="G648" i="22"/>
  <c r="D648" i="22"/>
  <c r="I648" i="22"/>
  <c r="D649" i="22" l="1"/>
  <c r="I649" i="22"/>
  <c r="H649" i="22"/>
  <c r="G649" i="22"/>
  <c r="F649" i="22"/>
  <c r="A651" i="22"/>
  <c r="C650" i="22"/>
  <c r="I650" i="22" l="1"/>
  <c r="H650" i="22"/>
  <c r="G650" i="22"/>
  <c r="F650" i="22"/>
  <c r="D650" i="22"/>
  <c r="A652" i="22"/>
  <c r="C651" i="22"/>
  <c r="A653" i="22" l="1"/>
  <c r="F651" i="22"/>
  <c r="H651" i="22"/>
  <c r="G651" i="22"/>
  <c r="I651" i="22"/>
  <c r="D651" i="22"/>
  <c r="D652" i="22" l="1"/>
  <c r="F652" i="22"/>
  <c r="I652" i="22"/>
  <c r="H652" i="22"/>
  <c r="G652" i="22"/>
  <c r="C652" i="22"/>
  <c r="A654" i="22"/>
  <c r="I653" i="22" l="1"/>
  <c r="H653" i="22"/>
  <c r="G653" i="22"/>
  <c r="F653" i="22"/>
  <c r="D653" i="22"/>
  <c r="C653" i="22"/>
  <c r="A655" i="22"/>
  <c r="C654" i="22"/>
  <c r="A656" i="22" l="1"/>
  <c r="F654" i="22"/>
  <c r="H654" i="22"/>
  <c r="I654" i="22"/>
  <c r="D654" i="22"/>
  <c r="G654" i="22"/>
  <c r="D655" i="22" l="1"/>
  <c r="I655" i="22"/>
  <c r="G655" i="22"/>
  <c r="H655" i="22"/>
  <c r="F655" i="22"/>
  <c r="C655" i="22"/>
  <c r="A657" i="22"/>
  <c r="A658" i="22" l="1"/>
  <c r="C657" i="22"/>
  <c r="I656" i="22"/>
  <c r="H656" i="22"/>
  <c r="G656" i="22"/>
  <c r="F656" i="22"/>
  <c r="D656" i="22"/>
  <c r="C656" i="22"/>
  <c r="F657" i="22" l="1"/>
  <c r="H657" i="22"/>
  <c r="D657" i="22"/>
  <c r="I657" i="22"/>
  <c r="G657" i="22"/>
  <c r="A659" i="22"/>
  <c r="D658" i="22" l="1"/>
  <c r="H658" i="22"/>
  <c r="G658" i="22"/>
  <c r="F658" i="22"/>
  <c r="I658" i="22"/>
  <c r="C658" i="22"/>
  <c r="A660" i="22"/>
  <c r="C659" i="22"/>
  <c r="A661" i="22" l="1"/>
  <c r="C660" i="22"/>
  <c r="I659" i="22"/>
  <c r="H659" i="22"/>
  <c r="G659" i="22"/>
  <c r="F659" i="22"/>
  <c r="D659" i="22"/>
  <c r="F660" i="22" l="1"/>
  <c r="H660" i="22"/>
  <c r="I660" i="22"/>
  <c r="G660" i="22"/>
  <c r="D660" i="22"/>
  <c r="A662" i="22"/>
  <c r="D661" i="22" l="1"/>
  <c r="F661" i="22"/>
  <c r="I661" i="22"/>
  <c r="G661" i="22"/>
  <c r="H661" i="22"/>
  <c r="C661" i="22"/>
  <c r="A663" i="22"/>
  <c r="C662" i="22"/>
  <c r="A664" i="22" l="1"/>
  <c r="I662" i="22"/>
  <c r="H662" i="22"/>
  <c r="G662" i="22"/>
  <c r="F662" i="22"/>
  <c r="D662" i="22"/>
  <c r="A665" i="22" l="1"/>
  <c r="C664" i="22"/>
  <c r="F663" i="22"/>
  <c r="H663" i="22"/>
  <c r="I663" i="22"/>
  <c r="G663" i="22"/>
  <c r="D663" i="22"/>
  <c r="C663" i="22"/>
  <c r="D664" i="22" l="1"/>
  <c r="F664" i="22"/>
  <c r="G664" i="22"/>
  <c r="I664" i="22"/>
  <c r="H664" i="22"/>
  <c r="C665" i="22"/>
  <c r="A666" i="22"/>
  <c r="I665" i="22" l="1"/>
  <c r="H665" i="22"/>
  <c r="G665" i="22"/>
  <c r="D665" i="22"/>
  <c r="F665" i="22"/>
  <c r="A667" i="22"/>
  <c r="C666" i="22"/>
  <c r="A668" i="22" l="1"/>
  <c r="F666" i="22"/>
  <c r="H666" i="22"/>
  <c r="D666" i="22"/>
  <c r="I666" i="22"/>
  <c r="G666" i="22"/>
  <c r="D667" i="22" l="1"/>
  <c r="H667" i="22"/>
  <c r="I667" i="22"/>
  <c r="G667" i="22"/>
  <c r="F667" i="22"/>
  <c r="C667" i="22"/>
  <c r="C668" i="22"/>
  <c r="A669" i="22"/>
  <c r="I668" i="22" l="1"/>
  <c r="H668" i="22"/>
  <c r="G668" i="22"/>
  <c r="F668" i="22"/>
  <c r="D668" i="22"/>
  <c r="A670" i="22"/>
  <c r="C669" i="22"/>
  <c r="A671" i="22" l="1"/>
  <c r="C670" i="22"/>
  <c r="F669" i="22"/>
  <c r="H669" i="22"/>
  <c r="I669" i="22"/>
  <c r="D669" i="22"/>
  <c r="G669" i="22"/>
  <c r="D670" i="22" l="1"/>
  <c r="F670" i="22"/>
  <c r="G670" i="22"/>
  <c r="H670" i="22"/>
  <c r="I670" i="22"/>
  <c r="A672" i="22"/>
  <c r="F671" i="22" l="1"/>
  <c r="I671" i="22"/>
  <c r="H671" i="22"/>
  <c r="G671" i="22"/>
  <c r="D671" i="22"/>
  <c r="C672" i="22"/>
  <c r="A673" i="22"/>
  <c r="C671" i="22"/>
  <c r="C673" i="22" l="1"/>
  <c r="A674" i="22"/>
  <c r="H672" i="22"/>
  <c r="F672" i="22"/>
  <c r="I672" i="22"/>
  <c r="G672" i="22"/>
  <c r="D672" i="22"/>
  <c r="A675" i="22" l="1"/>
  <c r="G673" i="22"/>
  <c r="I673" i="22"/>
  <c r="H673" i="22"/>
  <c r="F673" i="22"/>
  <c r="D673" i="22"/>
  <c r="F674" i="22" l="1"/>
  <c r="G674" i="22"/>
  <c r="I674" i="22"/>
  <c r="H674" i="22"/>
  <c r="D674" i="22"/>
  <c r="A676" i="22"/>
  <c r="C674" i="22"/>
  <c r="G675" i="22" l="1"/>
  <c r="F675" i="22"/>
  <c r="D675" i="22"/>
  <c r="H675" i="22"/>
  <c r="I675" i="22"/>
  <c r="A677" i="22"/>
  <c r="C675" i="22"/>
  <c r="A678" i="22" l="1"/>
  <c r="G676" i="22"/>
  <c r="D676" i="22"/>
  <c r="H676" i="22"/>
  <c r="F676" i="22"/>
  <c r="I676" i="22"/>
  <c r="C676" i="22"/>
  <c r="F677" i="22" l="1"/>
  <c r="D677" i="22"/>
  <c r="I677" i="22"/>
  <c r="H677" i="22"/>
  <c r="G677" i="22"/>
  <c r="A679" i="22"/>
  <c r="C678" i="22"/>
  <c r="C677" i="22"/>
  <c r="I678" i="22" l="1"/>
  <c r="F678" i="22"/>
  <c r="G678" i="22"/>
  <c r="D678" i="22"/>
  <c r="H678" i="22"/>
  <c r="A680" i="22"/>
  <c r="H679" i="22" l="1"/>
  <c r="G679" i="22"/>
  <c r="F679" i="22"/>
  <c r="D679" i="22"/>
  <c r="I679" i="22"/>
  <c r="C679" i="22"/>
  <c r="C680" i="22"/>
  <c r="A681" i="22"/>
  <c r="A682" i="22" l="1"/>
  <c r="F680" i="22"/>
  <c r="I680" i="22"/>
  <c r="D680" i="22"/>
  <c r="H680" i="22"/>
  <c r="G680" i="22"/>
  <c r="D681" i="22" l="1"/>
  <c r="F681" i="22"/>
  <c r="G681" i="22"/>
  <c r="H681" i="22"/>
  <c r="I681" i="22"/>
  <c r="A683" i="22"/>
  <c r="C682" i="22"/>
  <c r="C681" i="22"/>
  <c r="A684" i="22" l="1"/>
  <c r="H682" i="22"/>
  <c r="G682" i="22"/>
  <c r="D682" i="22"/>
  <c r="I682" i="22"/>
  <c r="F682" i="22"/>
  <c r="F683" i="22" l="1"/>
  <c r="D683" i="22"/>
  <c r="I683" i="22"/>
  <c r="H683" i="22"/>
  <c r="G683" i="22"/>
  <c r="C683" i="22"/>
  <c r="A685" i="22"/>
  <c r="I684" i="22" l="1"/>
  <c r="F684" i="22"/>
  <c r="G684" i="22"/>
  <c r="D684" i="22"/>
  <c r="H684" i="22"/>
  <c r="C684" i="22"/>
  <c r="C685" i="22"/>
  <c r="A686" i="22"/>
  <c r="A687" i="22" l="1"/>
  <c r="C686" i="22"/>
  <c r="H685" i="22"/>
  <c r="G685" i="22"/>
  <c r="F685" i="22"/>
  <c r="I685" i="22"/>
  <c r="D685" i="22"/>
  <c r="A688" i="22" l="1"/>
  <c r="F686" i="22"/>
  <c r="I686" i="22"/>
  <c r="D686" i="22"/>
  <c r="H686" i="22"/>
  <c r="G686" i="22"/>
  <c r="A689" i="22" l="1"/>
  <c r="I687" i="22"/>
  <c r="D687" i="22"/>
  <c r="H687" i="22"/>
  <c r="G687" i="22"/>
  <c r="F687" i="22"/>
  <c r="C687" i="22"/>
  <c r="A690" i="22" l="1"/>
  <c r="H688" i="22"/>
  <c r="G688" i="22"/>
  <c r="F688" i="22"/>
  <c r="D688" i="22"/>
  <c r="I688" i="22"/>
  <c r="C688" i="22"/>
  <c r="D689" i="22" l="1"/>
  <c r="F689" i="22"/>
  <c r="G689" i="22"/>
  <c r="I689" i="22"/>
  <c r="H689" i="22"/>
  <c r="C689" i="22"/>
  <c r="A691" i="22"/>
  <c r="A692" i="22" l="1"/>
  <c r="C691" i="22"/>
  <c r="I690" i="22"/>
  <c r="G690" i="22"/>
  <c r="D690" i="22"/>
  <c r="F690" i="22"/>
  <c r="H690" i="22"/>
  <c r="C690" i="22"/>
  <c r="H691" i="22" l="1"/>
  <c r="G691" i="22"/>
  <c r="F691" i="22"/>
  <c r="I691" i="22"/>
  <c r="D691" i="22"/>
  <c r="A693" i="22"/>
  <c r="D692" i="22" l="1"/>
  <c r="F692" i="22"/>
  <c r="G692" i="22"/>
  <c r="I692" i="22"/>
  <c r="H692" i="22"/>
  <c r="C692" i="22"/>
  <c r="C693" i="22"/>
  <c r="A694" i="22"/>
  <c r="A695" i="22" l="1"/>
  <c r="I693" i="22"/>
  <c r="D693" i="22"/>
  <c r="G693" i="22"/>
  <c r="F693" i="22"/>
  <c r="H693" i="22"/>
  <c r="A696" i="22" l="1"/>
  <c r="H694" i="22"/>
  <c r="G694" i="22"/>
  <c r="F694" i="22"/>
  <c r="I694" i="22"/>
  <c r="D694" i="22"/>
  <c r="C694" i="22"/>
  <c r="D695" i="22" l="1"/>
  <c r="F695" i="22"/>
  <c r="H695" i="22"/>
  <c r="I695" i="22"/>
  <c r="G695" i="22"/>
  <c r="C695" i="22"/>
  <c r="A697" i="22"/>
  <c r="A698" i="22" l="1"/>
  <c r="I696" i="22"/>
  <c r="H696" i="22"/>
  <c r="D696" i="22"/>
  <c r="G696" i="22"/>
  <c r="F696" i="22"/>
  <c r="C696" i="22"/>
  <c r="H697" i="22" l="1"/>
  <c r="G697" i="22"/>
  <c r="F697" i="22"/>
  <c r="I697" i="22"/>
  <c r="D697" i="22"/>
  <c r="A699" i="22"/>
  <c r="C698" i="22"/>
  <c r="C697" i="22"/>
  <c r="D698" i="22" l="1"/>
  <c r="F698" i="22"/>
  <c r="H698" i="22"/>
  <c r="I698" i="22"/>
  <c r="G698" i="22"/>
  <c r="A700" i="22"/>
  <c r="I699" i="22" l="1"/>
  <c r="H699" i="22"/>
  <c r="G699" i="22"/>
  <c r="F699" i="22"/>
  <c r="D699" i="22"/>
  <c r="C699" i="22"/>
  <c r="A701" i="22"/>
  <c r="H700" i="22" l="1"/>
  <c r="G700" i="22"/>
  <c r="F700" i="22"/>
  <c r="I700" i="22"/>
  <c r="D700" i="22"/>
  <c r="A702" i="22"/>
  <c r="C701" i="22"/>
  <c r="C700" i="22"/>
  <c r="A703" i="22" l="1"/>
  <c r="D701" i="22"/>
  <c r="F701" i="22"/>
  <c r="I701" i="22"/>
  <c r="H701" i="22"/>
  <c r="G701" i="22"/>
  <c r="I702" i="22" l="1"/>
  <c r="F702" i="22"/>
  <c r="D702" i="22"/>
  <c r="G702" i="22"/>
  <c r="H702" i="22"/>
  <c r="A704" i="22"/>
  <c r="C703" i="22"/>
  <c r="C702" i="22"/>
  <c r="H703" i="22" l="1"/>
  <c r="G703" i="22"/>
  <c r="F703" i="22"/>
  <c r="D703" i="22"/>
  <c r="I703" i="22"/>
  <c r="A705" i="22"/>
  <c r="D704" i="22" l="1"/>
  <c r="F704" i="22"/>
  <c r="I704" i="22"/>
  <c r="H704" i="22"/>
  <c r="G704" i="22"/>
  <c r="C704" i="22"/>
  <c r="A706" i="22"/>
  <c r="I705" i="22" l="1"/>
  <c r="G705" i="22"/>
  <c r="F705" i="22"/>
  <c r="D705" i="22"/>
  <c r="H705" i="22"/>
  <c r="A707" i="22"/>
  <c r="C706" i="22"/>
  <c r="C705" i="22"/>
  <c r="H706" i="22" l="1"/>
  <c r="G706" i="22"/>
  <c r="F706" i="22"/>
  <c r="D706" i="22"/>
  <c r="I706" i="22"/>
  <c r="A708" i="22"/>
  <c r="C707" i="22"/>
  <c r="D707" i="22" l="1"/>
  <c r="F707" i="22"/>
  <c r="G707" i="22"/>
  <c r="I707" i="22"/>
  <c r="H707" i="22"/>
  <c r="C708" i="22"/>
  <c r="A709" i="22"/>
  <c r="A710" i="22" l="1"/>
  <c r="C709" i="22"/>
  <c r="I708" i="22"/>
  <c r="G708" i="22"/>
  <c r="D708" i="22"/>
  <c r="H708" i="22"/>
  <c r="F708" i="22"/>
  <c r="H709" i="22" l="1"/>
  <c r="G709" i="22"/>
  <c r="F709" i="22"/>
  <c r="I709" i="22"/>
  <c r="D709" i="22"/>
  <c r="A711" i="22"/>
  <c r="C710" i="22"/>
  <c r="A712" i="22" l="1"/>
  <c r="D710" i="22"/>
  <c r="F710" i="22"/>
  <c r="I710" i="22"/>
  <c r="H710" i="22"/>
  <c r="G710" i="22"/>
  <c r="A713" i="22" l="1"/>
  <c r="I711" i="22"/>
  <c r="D711" i="22"/>
  <c r="G711" i="22"/>
  <c r="F711" i="22"/>
  <c r="H711" i="22"/>
  <c r="C711" i="22"/>
  <c r="H712" i="22" l="1"/>
  <c r="G712" i="22"/>
  <c r="F712" i="22"/>
  <c r="I712" i="22"/>
  <c r="D712" i="22"/>
  <c r="A714" i="22"/>
  <c r="C712" i="22"/>
  <c r="A715" i="22" l="1"/>
  <c r="D713" i="22"/>
  <c r="F713" i="22"/>
  <c r="H713" i="22"/>
  <c r="I713" i="22"/>
  <c r="G713" i="22"/>
  <c r="C713" i="22"/>
  <c r="I714" i="22" l="1"/>
  <c r="H714" i="22"/>
  <c r="D714" i="22"/>
  <c r="F714" i="22"/>
  <c r="G714" i="22"/>
  <c r="A716" i="22"/>
  <c r="C714" i="22"/>
  <c r="H715" i="22" l="1"/>
  <c r="G715" i="22"/>
  <c r="F715" i="22"/>
  <c r="D715" i="22"/>
  <c r="I715" i="22"/>
  <c r="C715" i="22"/>
  <c r="A717" i="22"/>
  <c r="D716" i="22" l="1"/>
  <c r="F716" i="22"/>
  <c r="H716" i="22"/>
  <c r="G716" i="22"/>
  <c r="I716" i="22"/>
  <c r="C716" i="22"/>
  <c r="C717" i="22"/>
  <c r="A718" i="22"/>
  <c r="I717" i="22" l="1"/>
  <c r="H717" i="22"/>
  <c r="G717" i="22"/>
  <c r="F717" i="22"/>
  <c r="D717" i="22"/>
  <c r="A719" i="22"/>
  <c r="A720" i="22" l="1"/>
  <c r="H718" i="22"/>
  <c r="G718" i="22"/>
  <c r="F718" i="22"/>
  <c r="I718" i="22"/>
  <c r="D718" i="22"/>
  <c r="C718" i="22"/>
  <c r="D719" i="22" l="1"/>
  <c r="F719" i="22"/>
  <c r="I719" i="22"/>
  <c r="H719" i="22"/>
  <c r="G719" i="22"/>
  <c r="C719" i="22"/>
  <c r="A721" i="22"/>
  <c r="A722" i="22" l="1"/>
  <c r="C721" i="22"/>
  <c r="I720" i="22"/>
  <c r="F720" i="22"/>
  <c r="D720" i="22"/>
  <c r="G720" i="22"/>
  <c r="H720" i="22"/>
  <c r="C720" i="22"/>
  <c r="H721" i="22" l="1"/>
  <c r="G721" i="22"/>
  <c r="F721" i="22"/>
  <c r="D721" i="22"/>
  <c r="I721" i="22"/>
  <c r="A723" i="22"/>
  <c r="C722" i="22"/>
  <c r="D722" i="22" l="1"/>
  <c r="F722" i="22"/>
  <c r="I722" i="22"/>
  <c r="H722" i="22"/>
  <c r="G722" i="22"/>
  <c r="C723" i="22"/>
  <c r="A724" i="22"/>
  <c r="I723" i="22" l="1"/>
  <c r="F723" i="22"/>
  <c r="D723" i="22"/>
  <c r="G723" i="22"/>
  <c r="H723" i="22"/>
  <c r="C724" i="22"/>
  <c r="A725" i="22"/>
  <c r="A726" i="22" l="1"/>
  <c r="C725" i="22"/>
  <c r="H724" i="22"/>
  <c r="G724" i="22"/>
  <c r="F724" i="22"/>
  <c r="D724" i="22"/>
  <c r="I724" i="22"/>
  <c r="D725" i="22" l="1"/>
  <c r="F725" i="22"/>
  <c r="G725" i="22"/>
  <c r="H725" i="22"/>
  <c r="I725" i="22"/>
  <c r="A727" i="22"/>
  <c r="I726" i="22" l="1"/>
  <c r="G726" i="22"/>
  <c r="D726" i="22"/>
  <c r="F726" i="22"/>
  <c r="H726" i="22"/>
  <c r="A728" i="22"/>
  <c r="C727" i="22"/>
  <c r="C726" i="22"/>
  <c r="H727" i="22" l="1"/>
  <c r="G727" i="22"/>
  <c r="F727" i="22"/>
  <c r="I727" i="22"/>
  <c r="D727" i="22"/>
  <c r="A729" i="22"/>
  <c r="C728" i="22"/>
  <c r="A730" i="22" l="1"/>
  <c r="D728" i="22"/>
  <c r="F728" i="22"/>
  <c r="H728" i="22"/>
  <c r="G728" i="22"/>
  <c r="I728" i="22"/>
  <c r="A731" i="22" l="1"/>
  <c r="I729" i="22"/>
  <c r="D729" i="22"/>
  <c r="G729" i="22"/>
  <c r="H729" i="22"/>
  <c r="F729" i="22"/>
  <c r="C729" i="22"/>
  <c r="H730" i="22" l="1"/>
  <c r="G730" i="22"/>
  <c r="F730" i="22"/>
  <c r="I730" i="22"/>
  <c r="D730" i="22"/>
  <c r="A732" i="22"/>
  <c r="C731" i="22"/>
  <c r="C730" i="22"/>
  <c r="A733" i="22" l="1"/>
  <c r="D731" i="22"/>
  <c r="F731" i="22"/>
  <c r="H731" i="22"/>
  <c r="I731" i="22"/>
  <c r="G731" i="22"/>
  <c r="A734" i="22" l="1"/>
  <c r="I732" i="22"/>
  <c r="H732" i="22"/>
  <c r="D732" i="22"/>
  <c r="G732" i="22"/>
  <c r="F732" i="22"/>
  <c r="C732" i="22"/>
  <c r="H733" i="22" l="1"/>
  <c r="G733" i="22"/>
  <c r="F733" i="22"/>
  <c r="I733" i="22"/>
  <c r="D733" i="22"/>
  <c r="A735" i="22"/>
  <c r="C733" i="22"/>
  <c r="A736" i="22" l="1"/>
  <c r="D734" i="22"/>
  <c r="F734" i="22"/>
  <c r="H734" i="22"/>
  <c r="G734" i="22"/>
  <c r="I734" i="22"/>
  <c r="C734" i="22"/>
  <c r="I735" i="22" l="1"/>
  <c r="H735" i="22"/>
  <c r="G735" i="22"/>
  <c r="F735" i="22"/>
  <c r="D735" i="22"/>
  <c r="A737" i="22"/>
  <c r="C736" i="22"/>
  <c r="C735" i="22"/>
  <c r="H736" i="22" l="1"/>
  <c r="G736" i="22"/>
  <c r="F736" i="22"/>
  <c r="D736" i="22"/>
  <c r="I736" i="22"/>
  <c r="A738" i="22"/>
  <c r="C737" i="22"/>
  <c r="D737" i="22" l="1"/>
  <c r="F737" i="22"/>
  <c r="I737" i="22"/>
  <c r="G737" i="22"/>
  <c r="H737" i="22"/>
  <c r="A739" i="22"/>
  <c r="I738" i="22" l="1"/>
  <c r="F738" i="22"/>
  <c r="D738" i="22"/>
  <c r="H738" i="22"/>
  <c r="G738" i="22"/>
  <c r="C738" i="22"/>
  <c r="A740" i="22"/>
  <c r="C739" i="22"/>
  <c r="A741" i="22" l="1"/>
  <c r="H739" i="22"/>
  <c r="G739" i="22"/>
  <c r="F739" i="22"/>
  <c r="D739" i="22"/>
  <c r="I739" i="22"/>
  <c r="D740" i="22" l="1"/>
  <c r="F740" i="22"/>
  <c r="I740" i="22"/>
  <c r="H740" i="22"/>
  <c r="G740" i="22"/>
  <c r="C740" i="22"/>
  <c r="A742" i="22"/>
  <c r="I741" i="22" l="1"/>
  <c r="D741" i="22"/>
  <c r="H741" i="22"/>
  <c r="G741" i="22"/>
  <c r="F741" i="22"/>
  <c r="A743" i="22"/>
  <c r="C742" i="22"/>
  <c r="C741" i="22"/>
  <c r="A744" i="22" l="1"/>
  <c r="C743" i="22"/>
  <c r="H742" i="22"/>
  <c r="G742" i="22"/>
  <c r="F742" i="22"/>
  <c r="D742" i="22"/>
  <c r="I742" i="22"/>
  <c r="D743" i="22" l="1"/>
  <c r="F743" i="22"/>
  <c r="G743" i="22"/>
  <c r="H743" i="22"/>
  <c r="I743" i="22"/>
  <c r="A745" i="22"/>
  <c r="I744" i="22" l="1"/>
  <c r="G744" i="22"/>
  <c r="H744" i="22"/>
  <c r="F744" i="22"/>
  <c r="D744" i="22"/>
  <c r="A746" i="22"/>
  <c r="C745" i="22"/>
  <c r="C744" i="22"/>
  <c r="A747" i="22" l="1"/>
  <c r="C746" i="22"/>
  <c r="H745" i="22"/>
  <c r="G745" i="22"/>
  <c r="F745" i="22"/>
  <c r="I745" i="22"/>
  <c r="D745" i="22"/>
  <c r="D746" i="22" l="1"/>
  <c r="F746" i="22"/>
  <c r="G746" i="22"/>
  <c r="H746" i="22"/>
  <c r="I746" i="22"/>
  <c r="A748" i="22"/>
  <c r="I747" i="22" l="1"/>
  <c r="D747" i="22"/>
  <c r="G747" i="22"/>
  <c r="F747" i="22"/>
  <c r="H747" i="22"/>
  <c r="A749" i="22"/>
  <c r="C747" i="22"/>
  <c r="A750" i="22" l="1"/>
  <c r="C749" i="22"/>
  <c r="H748" i="22"/>
  <c r="G748" i="22"/>
  <c r="F748" i="22"/>
  <c r="I748" i="22"/>
  <c r="D748" i="22"/>
  <c r="C748" i="22"/>
  <c r="D749" i="22" l="1"/>
  <c r="F749" i="22"/>
  <c r="H749" i="22"/>
  <c r="G749" i="22"/>
  <c r="I749" i="22"/>
  <c r="C750" i="22"/>
  <c r="A751" i="22"/>
  <c r="A752" i="22" l="1"/>
  <c r="I750" i="22"/>
  <c r="H750" i="22"/>
  <c r="D750" i="22"/>
  <c r="F750" i="22"/>
  <c r="G750" i="22"/>
  <c r="A753" i="22" l="1"/>
  <c r="C752" i="22"/>
  <c r="H751" i="22"/>
  <c r="G751" i="22"/>
  <c r="F751" i="22"/>
  <c r="I751" i="22"/>
  <c r="D751" i="22"/>
  <c r="C751" i="22"/>
  <c r="D752" i="22" l="1"/>
  <c r="F752" i="22"/>
  <c r="H752" i="22"/>
  <c r="I752" i="22"/>
  <c r="G752" i="22"/>
  <c r="C753" i="22"/>
  <c r="A754" i="22"/>
  <c r="A755" i="22" l="1"/>
  <c r="C754" i="22"/>
  <c r="I753" i="22"/>
  <c r="H753" i="22"/>
  <c r="G753" i="22"/>
  <c r="F753" i="22"/>
  <c r="D753" i="22"/>
  <c r="H754" i="22" l="1"/>
  <c r="G754" i="22"/>
  <c r="F754" i="22"/>
  <c r="D754" i="22"/>
  <c r="I754" i="22"/>
  <c r="A756" i="22"/>
  <c r="A757" i="22" l="1"/>
  <c r="D755" i="22"/>
  <c r="F755" i="22"/>
  <c r="I755" i="22"/>
  <c r="H755" i="22"/>
  <c r="G755" i="22"/>
  <c r="C755" i="22"/>
  <c r="A758" i="22" l="1"/>
  <c r="I756" i="22"/>
  <c r="F756" i="22"/>
  <c r="D756" i="22"/>
  <c r="G756" i="22"/>
  <c r="H756" i="22"/>
  <c r="C756" i="22"/>
  <c r="H757" i="22" l="1"/>
  <c r="G757" i="22"/>
  <c r="F757" i="22"/>
  <c r="D757" i="22"/>
  <c r="I757" i="22"/>
  <c r="C757" i="22"/>
  <c r="A759" i="22"/>
  <c r="D758" i="22" l="1"/>
  <c r="F758" i="22"/>
  <c r="I758" i="22"/>
  <c r="H758" i="22"/>
  <c r="G758" i="22"/>
  <c r="C758" i="22"/>
  <c r="A760" i="22"/>
  <c r="I759" i="22" l="1"/>
  <c r="D759" i="22"/>
  <c r="F759" i="22"/>
  <c r="H759" i="22"/>
  <c r="G759" i="22"/>
  <c r="C760" i="22"/>
  <c r="A761" i="22"/>
  <c r="C759" i="22"/>
  <c r="A762" i="22" l="1"/>
  <c r="C761" i="22"/>
  <c r="H760" i="22"/>
  <c r="G760" i="22"/>
  <c r="F760" i="22"/>
  <c r="D760" i="22"/>
  <c r="I760" i="22"/>
  <c r="D761" i="22" l="1"/>
  <c r="F761" i="22"/>
  <c r="G761" i="22"/>
  <c r="I761" i="22"/>
  <c r="H761" i="22"/>
  <c r="C762" i="22"/>
  <c r="A763" i="22"/>
  <c r="I762" i="22" l="1"/>
  <c r="G762" i="22"/>
  <c r="H762" i="22"/>
  <c r="F762" i="22"/>
  <c r="D762" i="22"/>
  <c r="A764" i="22"/>
  <c r="C763" i="22"/>
  <c r="A765" i="22" l="1"/>
  <c r="H763" i="22"/>
  <c r="G763" i="22"/>
  <c r="F763" i="22"/>
  <c r="I763" i="22"/>
  <c r="D763" i="22"/>
  <c r="D764" i="22" l="1"/>
  <c r="F764" i="22"/>
  <c r="I764" i="22"/>
  <c r="G764" i="22"/>
  <c r="H764" i="22"/>
  <c r="C764" i="22"/>
  <c r="A766" i="22"/>
  <c r="I765" i="22" l="1"/>
  <c r="D765" i="22"/>
  <c r="G765" i="22"/>
  <c r="H765" i="22"/>
  <c r="F765" i="22"/>
  <c r="A767" i="22"/>
  <c r="C765" i="22"/>
  <c r="H766" i="22" l="1"/>
  <c r="G766" i="22"/>
  <c r="F766" i="22"/>
  <c r="I766" i="22"/>
  <c r="D766" i="22"/>
  <c r="A768" i="22"/>
  <c r="C766" i="22"/>
  <c r="A769" i="22" l="1"/>
  <c r="D767" i="22"/>
  <c r="F767" i="22"/>
  <c r="H767" i="22"/>
  <c r="I767" i="22"/>
  <c r="G767" i="22"/>
  <c r="C767" i="22"/>
  <c r="A770" i="22" l="1"/>
  <c r="I768" i="22"/>
  <c r="H768" i="22"/>
  <c r="D768" i="22"/>
  <c r="G768" i="22"/>
  <c r="F768" i="22"/>
  <c r="C768" i="22"/>
  <c r="H769" i="22" l="1"/>
  <c r="G769" i="22"/>
  <c r="F769" i="22"/>
  <c r="I769" i="22"/>
  <c r="D769" i="22"/>
  <c r="A771" i="22"/>
  <c r="C770" i="22"/>
  <c r="C769" i="22"/>
  <c r="D770" i="22" l="1"/>
  <c r="F770" i="22"/>
  <c r="H770" i="22"/>
  <c r="I770" i="22"/>
  <c r="G770" i="22"/>
  <c r="A772" i="22"/>
  <c r="I771" i="22" l="1"/>
  <c r="F771" i="22"/>
  <c r="D771" i="22"/>
  <c r="H771" i="22"/>
  <c r="G771" i="22"/>
  <c r="A773" i="22"/>
  <c r="C772" i="22"/>
  <c r="C771" i="22"/>
  <c r="I772" i="22" l="1"/>
  <c r="H772" i="22"/>
  <c r="G772" i="22"/>
  <c r="F772" i="22"/>
  <c r="D772" i="22"/>
  <c r="A774" i="22"/>
  <c r="D773" i="22" l="1"/>
  <c r="I773" i="22"/>
  <c r="F773" i="22"/>
  <c r="H773" i="22"/>
  <c r="G773" i="22"/>
  <c r="C773" i="22"/>
  <c r="C774" i="22"/>
  <c r="A775" i="22"/>
  <c r="I774" i="22" l="1"/>
  <c r="G774" i="22"/>
  <c r="F774" i="22"/>
  <c r="D774" i="22"/>
  <c r="H774" i="22"/>
  <c r="A776" i="22"/>
  <c r="C775" i="22"/>
  <c r="A777" i="22" l="1"/>
  <c r="C776" i="22"/>
  <c r="I775" i="22"/>
  <c r="H775" i="22"/>
  <c r="G775" i="22"/>
  <c r="F775" i="22"/>
  <c r="D775" i="22"/>
  <c r="A778" i="22" l="1"/>
  <c r="D776" i="22"/>
  <c r="I776" i="22"/>
  <c r="F776" i="22"/>
  <c r="H776" i="22"/>
  <c r="G776" i="22"/>
  <c r="I777" i="22" l="1"/>
  <c r="G777" i="22"/>
  <c r="F777" i="22"/>
  <c r="D777" i="22"/>
  <c r="H777" i="22"/>
  <c r="A779" i="22"/>
  <c r="C777" i="22"/>
  <c r="I778" i="22" l="1"/>
  <c r="H778" i="22"/>
  <c r="G778" i="22"/>
  <c r="F778" i="22"/>
  <c r="D778" i="22"/>
  <c r="A780" i="22"/>
  <c r="C779" i="22"/>
  <c r="C778" i="22"/>
  <c r="D779" i="22" l="1"/>
  <c r="I779" i="22"/>
  <c r="F779" i="22"/>
  <c r="H779" i="22"/>
  <c r="G779" i="22"/>
  <c r="A781" i="22"/>
  <c r="I780" i="22" l="1"/>
  <c r="G780" i="22"/>
  <c r="F780" i="22"/>
  <c r="D780" i="22"/>
  <c r="H780" i="22"/>
  <c r="A782" i="22"/>
  <c r="C781" i="22"/>
  <c r="C780" i="22"/>
  <c r="A783" i="22" l="1"/>
  <c r="I781" i="22"/>
  <c r="H781" i="22"/>
  <c r="G781" i="22"/>
  <c r="F781" i="22"/>
  <c r="D781" i="22"/>
  <c r="A784" i="22" l="1"/>
  <c r="D782" i="22"/>
  <c r="I782" i="22"/>
  <c r="H782" i="22"/>
  <c r="F782" i="22"/>
  <c r="G782" i="22"/>
  <c r="C782" i="22"/>
  <c r="A785" i="22" l="1"/>
  <c r="I783" i="22"/>
  <c r="H783" i="22"/>
  <c r="G783" i="22"/>
  <c r="F783" i="22"/>
  <c r="D783" i="22"/>
  <c r="C783" i="22"/>
  <c r="I784" i="22" l="1"/>
  <c r="H784" i="22"/>
  <c r="G784" i="22"/>
  <c r="F784" i="22"/>
  <c r="D784" i="22"/>
  <c r="C784" i="22"/>
  <c r="A786" i="22"/>
  <c r="D785" i="22" l="1"/>
  <c r="I785" i="22"/>
  <c r="H785" i="22"/>
  <c r="F785" i="22"/>
  <c r="G785" i="22"/>
  <c r="C785" i="22"/>
  <c r="C786" i="22"/>
  <c r="A787" i="22"/>
  <c r="A788" i="22" l="1"/>
  <c r="I786" i="22"/>
  <c r="H786" i="22"/>
  <c r="G786" i="22"/>
  <c r="F786" i="22"/>
  <c r="D786" i="22"/>
  <c r="I787" i="22" l="1"/>
  <c r="H787" i="22"/>
  <c r="G787" i="22"/>
  <c r="F787" i="22"/>
  <c r="D787" i="22"/>
  <c r="C787" i="22"/>
  <c r="C788" i="22"/>
  <c r="A789" i="22"/>
  <c r="D788" i="22" l="1"/>
  <c r="I788" i="22"/>
  <c r="H788" i="22"/>
  <c r="F788" i="22"/>
  <c r="G788" i="22"/>
  <c r="A790" i="22"/>
  <c r="I789" i="22" l="1"/>
  <c r="H789" i="22"/>
  <c r="G789" i="22"/>
  <c r="F789" i="22"/>
  <c r="D789" i="22"/>
  <c r="A791" i="22"/>
  <c r="C790" i="22"/>
  <c r="C789" i="22"/>
  <c r="A792" i="22" l="1"/>
  <c r="I790" i="22"/>
  <c r="H790" i="22"/>
  <c r="G790" i="22"/>
  <c r="F790" i="22"/>
  <c r="D790" i="22"/>
  <c r="D791" i="22" l="1"/>
  <c r="I791" i="22"/>
  <c r="H791" i="22"/>
  <c r="F791" i="22"/>
  <c r="G791" i="22"/>
  <c r="C792" i="22"/>
  <c r="A793" i="22"/>
  <c r="C791" i="22"/>
  <c r="A794" i="22" l="1"/>
  <c r="I792" i="22"/>
  <c r="H792" i="22"/>
  <c r="G792" i="22"/>
  <c r="F792" i="22"/>
  <c r="D792" i="22"/>
  <c r="I793" i="22" l="1"/>
  <c r="H793" i="22"/>
  <c r="G793" i="22"/>
  <c r="F793" i="22"/>
  <c r="D793" i="22"/>
  <c r="C793" i="22"/>
  <c r="A795" i="22"/>
  <c r="D794" i="22" l="1"/>
  <c r="I794" i="22"/>
  <c r="H794" i="22"/>
  <c r="F794" i="22"/>
  <c r="G794" i="22"/>
  <c r="C794" i="22"/>
  <c r="C795" i="22"/>
  <c r="A796" i="22"/>
  <c r="A797" i="22" l="1"/>
  <c r="I795" i="22"/>
  <c r="H795" i="22"/>
  <c r="G795" i="22"/>
  <c r="F795" i="22"/>
  <c r="D795" i="22"/>
  <c r="I796" i="22" l="1"/>
  <c r="H796" i="22"/>
  <c r="G796" i="22"/>
  <c r="F796" i="22"/>
  <c r="D796" i="22"/>
  <c r="C796" i="22"/>
  <c r="A798" i="22"/>
  <c r="D797" i="22" l="1"/>
  <c r="I797" i="22"/>
  <c r="H797" i="22"/>
  <c r="F797" i="22"/>
  <c r="G797" i="22"/>
  <c r="C797" i="22"/>
  <c r="I798" i="22" l="1"/>
  <c r="H798" i="22"/>
  <c r="G798" i="22"/>
  <c r="F798" i="22"/>
  <c r="D798" i="22"/>
  <c r="H13" i="22" s="1"/>
  <c r="C798" i="22"/>
  <c r="H12" i="22" s="1"/>
  <c r="T85" i="13" l="1"/>
  <c r="R260" i="13" l="1"/>
  <c r="R245" i="13"/>
  <c r="R247" i="13" s="1"/>
  <c r="R238" i="13"/>
  <c r="R237" i="13"/>
  <c r="R225" i="13"/>
  <c r="R224" i="13"/>
  <c r="R221" i="13"/>
  <c r="R206" i="13"/>
  <c r="R185" i="13"/>
  <c r="R175" i="13"/>
  <c r="R140" i="13"/>
  <c r="R241" i="13" s="1"/>
  <c r="R119" i="13"/>
  <c r="R26" i="13"/>
  <c r="R186" i="13" l="1"/>
  <c r="R51" i="13"/>
  <c r="R141" i="13" l="1"/>
  <c r="R11" i="13"/>
  <c r="R12" i="13" s="1"/>
  <c r="R143" i="13"/>
  <c r="R147" i="13"/>
  <c r="AX145" i="19" l="1"/>
  <c r="AX144" i="19"/>
  <c r="AX143" i="19"/>
  <c r="AZ142" i="19"/>
  <c r="AZ144" i="19" s="1"/>
  <c r="AK133" i="19"/>
  <c r="AK146" i="19"/>
  <c r="AK145" i="19"/>
  <c r="AK144" i="19"/>
  <c r="AK143" i="19"/>
  <c r="AX141" i="19"/>
  <c r="AZ141" i="19" s="1"/>
  <c r="AX140" i="19"/>
  <c r="AZ140" i="19" s="1"/>
  <c r="AX171" i="19"/>
  <c r="AX211" i="19" s="1"/>
  <c r="AK211" i="19"/>
  <c r="AK224" i="19"/>
  <c r="AG217" i="19" s="1"/>
  <c r="AX219" i="19" s="1"/>
  <c r="AZ223" i="19"/>
  <c r="AX223" i="19"/>
  <c r="AK223" i="19"/>
  <c r="AZ222" i="19"/>
  <c r="AX222" i="19"/>
  <c r="AK222" i="19"/>
  <c r="AZ221" i="19"/>
  <c r="AX221" i="19"/>
  <c r="AK221" i="19"/>
  <c r="AX218" i="19"/>
  <c r="AZ183" i="19"/>
  <c r="AZ182" i="19"/>
  <c r="AZ181" i="19"/>
  <c r="AK184" i="19"/>
  <c r="AL178" i="19" s="1"/>
  <c r="AX182" i="19"/>
  <c r="AK182" i="19"/>
  <c r="AK183" i="19"/>
  <c r="AX183" i="19"/>
  <c r="AX181" i="19"/>
  <c r="AK181" i="19"/>
  <c r="AX179" i="19"/>
  <c r="AZ179" i="19" s="1"/>
  <c r="AX178" i="19"/>
  <c r="AL140" i="19" l="1"/>
  <c r="AX146" i="19"/>
  <c r="AX133" i="19"/>
  <c r="AZ146" i="19"/>
  <c r="BA140" i="19" s="1"/>
  <c r="AL141" i="19"/>
  <c r="AZ145" i="19"/>
  <c r="AL142" i="19"/>
  <c r="AZ143" i="19"/>
  <c r="AL218" i="19"/>
  <c r="AL219" i="19"/>
  <c r="AZ219" i="19"/>
  <c r="AX224" i="19"/>
  <c r="AL220" i="19"/>
  <c r="AL179" i="19"/>
  <c r="AL180" i="19"/>
  <c r="AX184" i="19"/>
  <c r="AY178" i="19" s="1"/>
  <c r="AZ178" i="19"/>
  <c r="AZ184" i="19" s="1"/>
  <c r="AZ171" i="19"/>
  <c r="AZ218" i="19"/>
  <c r="BA142" i="19" l="1"/>
  <c r="BA141" i="19"/>
  <c r="AY219" i="19"/>
  <c r="AY220" i="19"/>
  <c r="AY218" i="19"/>
  <c r="AY141" i="19"/>
  <c r="AY142" i="19"/>
  <c r="AY140" i="19"/>
  <c r="AZ211" i="19"/>
  <c r="AZ133" i="19"/>
  <c r="AY179" i="19"/>
  <c r="BA180" i="19"/>
  <c r="AY180" i="19"/>
  <c r="AZ224" i="19"/>
  <c r="BA220" i="19" s="1"/>
  <c r="BA178" i="19"/>
  <c r="BA179" i="19"/>
  <c r="BA218" i="19" l="1"/>
  <c r="BA219" i="19"/>
  <c r="BE68" i="13" l="1"/>
  <c r="BE93" i="13"/>
  <c r="BE92" i="13"/>
  <c r="BE91" i="13"/>
  <c r="BE90" i="13"/>
  <c r="BE88" i="13"/>
  <c r="AE119" i="13" l="1"/>
  <c r="AD119" i="13"/>
  <c r="AE86" i="13" l="1"/>
  <c r="AD86" i="13"/>
  <c r="AE85" i="13"/>
  <c r="AD85" i="13"/>
  <c r="AE84" i="13"/>
  <c r="AD84" i="13"/>
  <c r="N93" i="19"/>
  <c r="O93" i="19" s="1"/>
  <c r="P93" i="19" s="1"/>
  <c r="Q93" i="19" s="1"/>
  <c r="R93" i="19" s="1"/>
  <c r="S93" i="19" s="1"/>
  <c r="T93" i="19" s="1"/>
  <c r="U93" i="19" s="1"/>
  <c r="V93" i="19" s="1"/>
  <c r="W93" i="19" s="1"/>
  <c r="X93" i="19" s="1"/>
  <c r="N92" i="19"/>
  <c r="O92" i="19" s="1"/>
  <c r="P92" i="19" s="1"/>
  <c r="Q92" i="19" s="1"/>
  <c r="R92" i="19" s="1"/>
  <c r="S92" i="19" s="1"/>
  <c r="T92" i="19" s="1"/>
  <c r="U92" i="19" s="1"/>
  <c r="V92" i="19" s="1"/>
  <c r="W92" i="19" s="1"/>
  <c r="X92" i="19" s="1"/>
  <c r="N91" i="19"/>
  <c r="O91" i="19" s="1"/>
  <c r="P91" i="19" s="1"/>
  <c r="Q91" i="19" s="1"/>
  <c r="R91" i="19" s="1"/>
  <c r="S91" i="19" s="1"/>
  <c r="T91" i="19" s="1"/>
  <c r="U91" i="19" s="1"/>
  <c r="V91" i="19" s="1"/>
  <c r="W91" i="19" s="1"/>
  <c r="X91" i="19" s="1"/>
  <c r="Q58" i="13" l="1"/>
  <c r="Q36" i="13"/>
  <c r="Q57" i="13"/>
  <c r="Q61" i="13" l="1"/>
  <c r="BF85" i="13" l="1"/>
  <c r="Q238" i="13"/>
  <c r="Q237" i="13"/>
  <c r="Q251" i="13"/>
  <c r="Q259" i="13"/>
  <c r="O212" i="13"/>
  <c r="BF84" i="13" l="1"/>
  <c r="G242" i="13" l="1"/>
  <c r="W52" i="19"/>
  <c r="AI53" i="19" s="1"/>
  <c r="O173" i="19" l="1"/>
  <c r="P173" i="19" s="1"/>
  <c r="Q173" i="19" s="1"/>
  <c r="R173" i="19" s="1"/>
  <c r="S173" i="19" s="1"/>
  <c r="T173" i="19" s="1"/>
  <c r="U173" i="19" s="1"/>
  <c r="V173" i="19" s="1"/>
  <c r="W173" i="19" s="1"/>
  <c r="X174" i="19" s="1"/>
  <c r="Y173" i="19" s="1"/>
  <c r="Z173" i="19" s="1"/>
  <c r="Z172" i="19" s="1"/>
  <c r="U86" i="20" l="1"/>
  <c r="AA50" i="19" l="1"/>
  <c r="C29" i="14"/>
  <c r="C28" i="14"/>
  <c r="C27" i="14"/>
  <c r="C26" i="14"/>
  <c r="S251" i="13"/>
  <c r="AJ31" i="14"/>
  <c r="AI31" i="14"/>
  <c r="AH31" i="14"/>
  <c r="AG31" i="14"/>
  <c r="X31" i="14"/>
  <c r="Y31" i="14" s="1"/>
  <c r="Z31" i="14" s="1"/>
  <c r="AA31" i="14" s="1"/>
  <c r="AB31" i="14" s="1"/>
  <c r="AC31" i="14" s="1"/>
  <c r="AD31" i="14" s="1"/>
  <c r="AE31" i="14" s="1"/>
  <c r="AF31" i="14" s="1"/>
  <c r="D14" i="14"/>
  <c r="E27" i="14"/>
  <c r="E28" i="14" s="1"/>
  <c r="E29" i="14" s="1"/>
  <c r="E25" i="14"/>
  <c r="E24" i="14"/>
  <c r="E23" i="14"/>
  <c r="H9" i="14"/>
  <c r="G18" i="14"/>
  <c r="H11" i="14"/>
  <c r="E21" i="14"/>
  <c r="B19" i="14"/>
  <c r="B18" i="14"/>
  <c r="AB119" i="13"/>
  <c r="AA119" i="13"/>
  <c r="Z119" i="13"/>
  <c r="AD50" i="19" l="1"/>
  <c r="AE50" i="19" s="1"/>
  <c r="AF50" i="19" s="1"/>
  <c r="AG50" i="19" s="1"/>
  <c r="AX50" i="19"/>
  <c r="R138" i="13"/>
  <c r="C19" i="14"/>
  <c r="G19" i="14" s="1"/>
  <c r="D19" i="14"/>
  <c r="CP50" i="19" l="1"/>
  <c r="CO50" i="19"/>
  <c r="R240" i="13"/>
  <c r="R139" i="13"/>
  <c r="O62" i="13" l="1"/>
  <c r="O96" i="13"/>
  <c r="N140" i="13"/>
  <c r="N206" i="13"/>
  <c r="M35" i="13" l="1"/>
  <c r="M142" i="13"/>
  <c r="L245" i="13" l="1"/>
  <c r="M138" i="13"/>
  <c r="K81" i="13"/>
  <c r="J81" i="13" l="1"/>
  <c r="I81" i="13"/>
  <c r="H81" i="13"/>
  <c r="T87" i="13" l="1"/>
  <c r="Y86" i="13"/>
  <c r="R84" i="13" l="1"/>
  <c r="R85" i="13"/>
  <c r="R86" i="13"/>
  <c r="S56" i="19" l="1"/>
  <c r="S55" i="19"/>
  <c r="S54" i="19"/>
  <c r="R55" i="19"/>
  <c r="R54" i="19"/>
  <c r="R56" i="19"/>
  <c r="R52" i="19"/>
  <c r="AD53" i="19" s="1"/>
  <c r="Q55" i="19"/>
  <c r="Q54" i="19"/>
  <c r="Q56" i="19"/>
  <c r="Q52" i="19"/>
  <c r="AC53" i="19" s="1"/>
  <c r="O55" i="19"/>
  <c r="O54" i="19"/>
  <c r="O56" i="19"/>
  <c r="O52" i="19"/>
  <c r="AA53" i="19" s="1"/>
  <c r="P55" i="19"/>
  <c r="P54" i="19"/>
  <c r="P56" i="19"/>
  <c r="P52" i="19"/>
  <c r="AB53" i="19" s="1"/>
  <c r="S52" i="19"/>
  <c r="AE53" i="19" s="1"/>
  <c r="Y119" i="13" l="1"/>
  <c r="Y85" i="13"/>
  <c r="Y84" i="13"/>
  <c r="X119" i="13"/>
  <c r="X85" i="13"/>
  <c r="X84" i="13"/>
  <c r="W119" i="13"/>
  <c r="W85" i="13"/>
  <c r="W84" i="13"/>
  <c r="I6" i="16"/>
  <c r="B72" i="16" s="1"/>
  <c r="E799" i="14"/>
  <c r="W31" i="14"/>
  <c r="V31" i="14"/>
  <c r="U31" i="14"/>
  <c r="T31" i="14"/>
  <c r="S31" i="14"/>
  <c r="R31" i="14"/>
  <c r="Q31" i="14"/>
  <c r="P31" i="14"/>
  <c r="O31" i="14"/>
  <c r="N31" i="14"/>
  <c r="M31" i="14"/>
  <c r="J19" i="14"/>
  <c r="I19" i="14"/>
  <c r="W18" i="14"/>
  <c r="V18" i="14"/>
  <c r="U18" i="14"/>
  <c r="T18" i="14"/>
  <c r="S18" i="14"/>
  <c r="R18" i="14"/>
  <c r="Q18" i="14"/>
  <c r="P18" i="14"/>
  <c r="O18" i="14"/>
  <c r="N18" i="14"/>
  <c r="M18" i="14"/>
  <c r="H10" i="14"/>
  <c r="H2" i="14"/>
  <c r="L190" i="20"/>
  <c r="K190" i="20"/>
  <c r="J190" i="20"/>
  <c r="I190" i="20"/>
  <c r="H190" i="20"/>
  <c r="G190" i="20"/>
  <c r="L189" i="20"/>
  <c r="K189" i="20"/>
  <c r="J189" i="20"/>
  <c r="I189" i="20"/>
  <c r="H189" i="20"/>
  <c r="G189" i="20"/>
  <c r="L188" i="20"/>
  <c r="K188" i="20"/>
  <c r="J188" i="20"/>
  <c r="I188" i="20"/>
  <c r="H188" i="20"/>
  <c r="G188" i="20"/>
  <c r="M187" i="20"/>
  <c r="L187" i="20"/>
  <c r="K187" i="20"/>
  <c r="J187" i="20"/>
  <c r="I187" i="20"/>
  <c r="H187" i="20"/>
  <c r="G187" i="20"/>
  <c r="S185" i="20"/>
  <c r="R185" i="20"/>
  <c r="Q185" i="20"/>
  <c r="P185" i="20"/>
  <c r="O185" i="20"/>
  <c r="N185" i="20"/>
  <c r="M185" i="20"/>
  <c r="L185" i="20"/>
  <c r="K185" i="20"/>
  <c r="J185" i="20"/>
  <c r="I185" i="20"/>
  <c r="H185" i="20"/>
  <c r="G185" i="20"/>
  <c r="N184" i="20"/>
  <c r="H184" i="20"/>
  <c r="S183" i="20"/>
  <c r="R183" i="20"/>
  <c r="Q183" i="20"/>
  <c r="P183" i="20"/>
  <c r="O183" i="20"/>
  <c r="N183" i="20"/>
  <c r="M183" i="20"/>
  <c r="L183" i="20"/>
  <c r="K183" i="20"/>
  <c r="J183" i="20"/>
  <c r="I183" i="20"/>
  <c r="H183" i="20"/>
  <c r="Q182" i="20"/>
  <c r="P182" i="20"/>
  <c r="O182" i="20"/>
  <c r="N182" i="20"/>
  <c r="M182" i="20"/>
  <c r="L181" i="20"/>
  <c r="Q179" i="20"/>
  <c r="N179" i="20"/>
  <c r="I179" i="20"/>
  <c r="H179" i="20"/>
  <c r="S175" i="20"/>
  <c r="R175" i="20"/>
  <c r="Q175" i="20"/>
  <c r="P175" i="20"/>
  <c r="O175" i="20"/>
  <c r="N175" i="20"/>
  <c r="M175" i="20"/>
  <c r="L175" i="20"/>
  <c r="K175" i="20"/>
  <c r="J175" i="20"/>
  <c r="I175" i="20"/>
  <c r="H175" i="20"/>
  <c r="G175" i="20"/>
  <c r="R173" i="20"/>
  <c r="P173" i="20"/>
  <c r="O173" i="20"/>
  <c r="N173" i="20"/>
  <c r="M173" i="20"/>
  <c r="L173" i="20"/>
  <c r="K173" i="20"/>
  <c r="J173" i="20"/>
  <c r="I173" i="20"/>
  <c r="H173" i="20"/>
  <c r="G173" i="20"/>
  <c r="S170" i="20"/>
  <c r="R170" i="20"/>
  <c r="Q170" i="20"/>
  <c r="P170" i="20"/>
  <c r="O170" i="20"/>
  <c r="N170" i="20"/>
  <c r="L170" i="20"/>
  <c r="K170" i="20"/>
  <c r="J170" i="20"/>
  <c r="I170" i="20"/>
  <c r="H170" i="20"/>
  <c r="G170" i="20"/>
  <c r="S169" i="20"/>
  <c r="R169" i="20"/>
  <c r="Q169" i="20"/>
  <c r="P169" i="20"/>
  <c r="O169" i="20"/>
  <c r="N169" i="20"/>
  <c r="M169" i="20"/>
  <c r="L169" i="20"/>
  <c r="K169" i="20"/>
  <c r="J169" i="20"/>
  <c r="I169" i="20"/>
  <c r="H169" i="20"/>
  <c r="G169" i="20"/>
  <c r="S168" i="20"/>
  <c r="R168" i="20"/>
  <c r="Q168" i="20"/>
  <c r="P168" i="20"/>
  <c r="O168" i="20"/>
  <c r="N168" i="20"/>
  <c r="M168" i="20"/>
  <c r="L168" i="20"/>
  <c r="K168" i="20"/>
  <c r="J168" i="20"/>
  <c r="I168" i="20"/>
  <c r="H168" i="20"/>
  <c r="G168" i="20"/>
  <c r="S167" i="20"/>
  <c r="S166" i="20"/>
  <c r="Q166" i="20"/>
  <c r="S165" i="20"/>
  <c r="R165" i="20"/>
  <c r="Q165" i="20"/>
  <c r="P165" i="20"/>
  <c r="O165" i="20"/>
  <c r="N165" i="20"/>
  <c r="M165" i="20"/>
  <c r="L165" i="20"/>
  <c r="K165" i="20"/>
  <c r="J165" i="20"/>
  <c r="I165" i="20"/>
  <c r="H165" i="20"/>
  <c r="S164" i="20"/>
  <c r="R164" i="20"/>
  <c r="Q164" i="20"/>
  <c r="P164" i="20"/>
  <c r="O164" i="20"/>
  <c r="N164" i="20"/>
  <c r="M164" i="20"/>
  <c r="M170" i="20" s="1"/>
  <c r="M188" i="20" s="1"/>
  <c r="L164" i="20"/>
  <c r="K164" i="20"/>
  <c r="J164" i="20"/>
  <c r="I164" i="20"/>
  <c r="H164" i="20"/>
  <c r="S163" i="20"/>
  <c r="R163" i="20"/>
  <c r="Q163" i="20"/>
  <c r="P163" i="20"/>
  <c r="O163" i="20"/>
  <c r="N163" i="20"/>
  <c r="M163" i="20"/>
  <c r="L163" i="20"/>
  <c r="K163" i="20"/>
  <c r="J163" i="20"/>
  <c r="I163" i="20"/>
  <c r="H163" i="20"/>
  <c r="G163" i="20"/>
  <c r="S157" i="20"/>
  <c r="R157" i="20"/>
  <c r="Q157" i="20"/>
  <c r="P157" i="20"/>
  <c r="O157" i="20"/>
  <c r="N157" i="20"/>
  <c r="L157" i="20"/>
  <c r="K157" i="20"/>
  <c r="J157" i="20"/>
  <c r="I157" i="20"/>
  <c r="H157" i="20"/>
  <c r="G157" i="20"/>
  <c r="S156" i="20"/>
  <c r="R156" i="20"/>
  <c r="Q156" i="20"/>
  <c r="P156" i="20"/>
  <c r="O156" i="20"/>
  <c r="N156" i="20"/>
  <c r="M156" i="20"/>
  <c r="L156" i="20"/>
  <c r="K156" i="20"/>
  <c r="J156" i="20"/>
  <c r="I156" i="20"/>
  <c r="H156" i="20"/>
  <c r="G156" i="20"/>
  <c r="S155" i="20"/>
  <c r="R155" i="20"/>
  <c r="Q155" i="20"/>
  <c r="P155" i="20"/>
  <c r="O155" i="20"/>
  <c r="N155" i="20"/>
  <c r="M155" i="20"/>
  <c r="L155" i="20"/>
  <c r="K155" i="20"/>
  <c r="J155" i="20"/>
  <c r="I155" i="20"/>
  <c r="H155" i="20"/>
  <c r="G155" i="20"/>
  <c r="S154" i="20"/>
  <c r="R154" i="20"/>
  <c r="P154" i="20"/>
  <c r="O154" i="20"/>
  <c r="K154" i="20"/>
  <c r="J154" i="20"/>
  <c r="I154" i="20"/>
  <c r="H154" i="20"/>
  <c r="L153" i="20"/>
  <c r="K153" i="20"/>
  <c r="Q152" i="20"/>
  <c r="N152" i="20"/>
  <c r="K152" i="20"/>
  <c r="I152" i="20"/>
  <c r="H152" i="20"/>
  <c r="Q151" i="20"/>
  <c r="N151" i="20"/>
  <c r="M151" i="20"/>
  <c r="L151" i="20"/>
  <c r="K151" i="20"/>
  <c r="Q150" i="20"/>
  <c r="N150" i="20"/>
  <c r="M150" i="20"/>
  <c r="L150" i="20"/>
  <c r="K150" i="20"/>
  <c r="S148" i="20"/>
  <c r="R148" i="20"/>
  <c r="Q148" i="20"/>
  <c r="P148" i="20"/>
  <c r="O148" i="20"/>
  <c r="N148" i="20"/>
  <c r="M148" i="20"/>
  <c r="L148" i="20"/>
  <c r="K148" i="20"/>
  <c r="J148" i="20"/>
  <c r="I148" i="20"/>
  <c r="H148" i="20"/>
  <c r="S147" i="20"/>
  <c r="R147" i="20"/>
  <c r="Q147" i="20"/>
  <c r="P147" i="20"/>
  <c r="O147" i="20"/>
  <c r="N147" i="20"/>
  <c r="M147" i="20"/>
  <c r="L147" i="20"/>
  <c r="K147" i="20"/>
  <c r="J147" i="20"/>
  <c r="I147" i="20"/>
  <c r="H147" i="20"/>
  <c r="G147" i="20"/>
  <c r="S146" i="20"/>
  <c r="R146" i="20"/>
  <c r="Q146" i="20"/>
  <c r="P146" i="20"/>
  <c r="O146" i="20"/>
  <c r="N146" i="20"/>
  <c r="M146" i="20"/>
  <c r="L146" i="20"/>
  <c r="K146" i="20"/>
  <c r="J146" i="20"/>
  <c r="I146" i="20"/>
  <c r="H146" i="20"/>
  <c r="G146" i="20"/>
  <c r="R145" i="20"/>
  <c r="L145" i="20"/>
  <c r="J145" i="20"/>
  <c r="R144" i="20"/>
  <c r="R143" i="20"/>
  <c r="M143" i="20"/>
  <c r="K143" i="20"/>
  <c r="I143" i="20"/>
  <c r="H143" i="20"/>
  <c r="G143" i="20"/>
  <c r="R142" i="20"/>
  <c r="M142" i="20"/>
  <c r="L142" i="20"/>
  <c r="K142" i="20"/>
  <c r="S139" i="20"/>
  <c r="R139" i="20"/>
  <c r="Q139" i="20"/>
  <c r="P139" i="20"/>
  <c r="O139" i="20"/>
  <c r="N139" i="20"/>
  <c r="M139" i="20"/>
  <c r="L139" i="20"/>
  <c r="K139" i="20"/>
  <c r="J139" i="20"/>
  <c r="I139" i="20"/>
  <c r="H139" i="20"/>
  <c r="G139" i="20"/>
  <c r="M138" i="20"/>
  <c r="L138" i="20"/>
  <c r="K138" i="20"/>
  <c r="F137" i="20"/>
  <c r="F136" i="20"/>
  <c r="F135" i="20"/>
  <c r="S131" i="20"/>
  <c r="Q131" i="20"/>
  <c r="O131" i="20"/>
  <c r="N131" i="20"/>
  <c r="M131" i="20"/>
  <c r="L131" i="20"/>
  <c r="K131" i="20"/>
  <c r="J131" i="20"/>
  <c r="I131" i="20"/>
  <c r="G131" i="20"/>
  <c r="S127" i="20"/>
  <c r="R127" i="20"/>
  <c r="Q127" i="20"/>
  <c r="P127" i="20"/>
  <c r="O127" i="20"/>
  <c r="N127" i="20"/>
  <c r="L127" i="20"/>
  <c r="K127" i="20"/>
  <c r="J127" i="20"/>
  <c r="I127" i="20"/>
  <c r="H127" i="20"/>
  <c r="G127" i="20"/>
  <c r="S126" i="20"/>
  <c r="R126" i="20"/>
  <c r="Q126" i="20"/>
  <c r="P126" i="20"/>
  <c r="O126" i="20"/>
  <c r="N126" i="20"/>
  <c r="M126" i="20"/>
  <c r="L126" i="20"/>
  <c r="K126" i="20"/>
  <c r="J126" i="20"/>
  <c r="I126" i="20"/>
  <c r="H126" i="20"/>
  <c r="G126" i="20"/>
  <c r="J123" i="20"/>
  <c r="S120" i="20"/>
  <c r="R120" i="20"/>
  <c r="Q120" i="20"/>
  <c r="P120" i="20"/>
  <c r="O120" i="20"/>
  <c r="N120" i="20"/>
  <c r="M120" i="20"/>
  <c r="M127" i="20" s="1"/>
  <c r="M157" i="20" s="1"/>
  <c r="L120" i="20"/>
  <c r="K120" i="20"/>
  <c r="J120" i="20"/>
  <c r="I120" i="20"/>
  <c r="H120" i="20"/>
  <c r="G120" i="20"/>
  <c r="F119" i="20"/>
  <c r="F118" i="20"/>
  <c r="J117" i="20"/>
  <c r="F117" i="20"/>
  <c r="F116" i="20"/>
  <c r="F115" i="20"/>
  <c r="M111" i="20"/>
  <c r="S105" i="20"/>
  <c r="R105" i="20"/>
  <c r="Q105" i="20"/>
  <c r="P105" i="20"/>
  <c r="O105" i="20"/>
  <c r="N105" i="20"/>
  <c r="L105" i="20"/>
  <c r="K105" i="20"/>
  <c r="J105" i="20"/>
  <c r="I105" i="20"/>
  <c r="H105" i="20"/>
  <c r="G105" i="20"/>
  <c r="S104" i="20"/>
  <c r="R104" i="20"/>
  <c r="Q104" i="20"/>
  <c r="P104" i="20"/>
  <c r="O104" i="20"/>
  <c r="N104" i="20"/>
  <c r="L104" i="20"/>
  <c r="K104" i="20"/>
  <c r="J104" i="20"/>
  <c r="I104" i="20"/>
  <c r="H104" i="20"/>
  <c r="G104" i="20"/>
  <c r="S103" i="20"/>
  <c r="R103" i="20"/>
  <c r="Q103" i="20"/>
  <c r="P103" i="20"/>
  <c r="O103" i="20"/>
  <c r="N103" i="20"/>
  <c r="L103" i="20"/>
  <c r="K103" i="20"/>
  <c r="J103" i="20"/>
  <c r="I103" i="20"/>
  <c r="H103" i="20"/>
  <c r="G103" i="20"/>
  <c r="S102" i="20"/>
  <c r="R102" i="20"/>
  <c r="Q102" i="20"/>
  <c r="P102" i="20"/>
  <c r="O102" i="20"/>
  <c r="N102" i="20"/>
  <c r="M102" i="20"/>
  <c r="M103" i="20" s="1"/>
  <c r="L102" i="20"/>
  <c r="K102" i="20"/>
  <c r="J102" i="20"/>
  <c r="I102" i="20"/>
  <c r="H102" i="20"/>
  <c r="G102" i="20"/>
  <c r="S101" i="20"/>
  <c r="R101" i="20"/>
  <c r="Q101" i="20"/>
  <c r="P101" i="20"/>
  <c r="O101" i="20"/>
  <c r="L101" i="20"/>
  <c r="K101" i="20"/>
  <c r="J101" i="20"/>
  <c r="I101" i="20"/>
  <c r="H101" i="20"/>
  <c r="G101" i="20"/>
  <c r="T100" i="20"/>
  <c r="S100" i="20"/>
  <c r="R100" i="20"/>
  <c r="Q100" i="20"/>
  <c r="P100" i="20"/>
  <c r="O100" i="20"/>
  <c r="L100" i="20"/>
  <c r="K100" i="20"/>
  <c r="J100" i="20"/>
  <c r="I100" i="20"/>
  <c r="H100" i="20"/>
  <c r="G100" i="20"/>
  <c r="S99" i="20"/>
  <c r="R99" i="20"/>
  <c r="Q99" i="20"/>
  <c r="P99" i="20"/>
  <c r="O99" i="20"/>
  <c r="N99" i="20"/>
  <c r="M99" i="20"/>
  <c r="L99" i="20"/>
  <c r="K99" i="20"/>
  <c r="J99" i="20"/>
  <c r="I99" i="20"/>
  <c r="H99" i="20"/>
  <c r="G99" i="20"/>
  <c r="S97" i="20"/>
  <c r="R97" i="20"/>
  <c r="Q97" i="20"/>
  <c r="P97" i="20"/>
  <c r="O97" i="20"/>
  <c r="L97" i="20"/>
  <c r="K97" i="20"/>
  <c r="J97" i="20"/>
  <c r="I97" i="20"/>
  <c r="H97" i="20"/>
  <c r="G97" i="20"/>
  <c r="S96" i="20"/>
  <c r="R96" i="20"/>
  <c r="Q96" i="20"/>
  <c r="P96" i="20"/>
  <c r="O96" i="20"/>
  <c r="L96" i="20"/>
  <c r="K96" i="20"/>
  <c r="J96" i="20"/>
  <c r="I96" i="20"/>
  <c r="H96" i="20"/>
  <c r="S95" i="20"/>
  <c r="R95" i="20"/>
  <c r="Q95" i="20"/>
  <c r="P95" i="20"/>
  <c r="O95" i="20"/>
  <c r="N95" i="20"/>
  <c r="M95" i="20"/>
  <c r="L95" i="20"/>
  <c r="K95" i="20"/>
  <c r="J95" i="20"/>
  <c r="I95" i="20"/>
  <c r="H95" i="20"/>
  <c r="G95" i="20"/>
  <c r="O94" i="20"/>
  <c r="N94" i="20"/>
  <c r="M94" i="20"/>
  <c r="L94" i="20"/>
  <c r="K94" i="20"/>
  <c r="J94" i="20"/>
  <c r="I94" i="20"/>
  <c r="H94" i="20"/>
  <c r="S93" i="20"/>
  <c r="R93" i="20"/>
  <c r="Q93" i="20"/>
  <c r="P93" i="20"/>
  <c r="O93" i="20"/>
  <c r="N93" i="20"/>
  <c r="M93" i="20"/>
  <c r="L93" i="20"/>
  <c r="K93" i="20"/>
  <c r="J93" i="20"/>
  <c r="I93" i="20"/>
  <c r="H93" i="20"/>
  <c r="G93" i="20"/>
  <c r="S92" i="20"/>
  <c r="R92" i="20"/>
  <c r="Q92" i="20"/>
  <c r="P92" i="20"/>
  <c r="O92" i="20"/>
  <c r="N92" i="20"/>
  <c r="M92" i="20"/>
  <c r="L92" i="20"/>
  <c r="K92" i="20"/>
  <c r="J92" i="20"/>
  <c r="I92" i="20"/>
  <c r="H92" i="20"/>
  <c r="G92" i="20"/>
  <c r="S91" i="20"/>
  <c r="R91" i="20"/>
  <c r="Q91" i="20"/>
  <c r="P91" i="20"/>
  <c r="O91" i="20"/>
  <c r="N91" i="20"/>
  <c r="M91" i="20"/>
  <c r="L91" i="20"/>
  <c r="K91" i="20"/>
  <c r="J91" i="20"/>
  <c r="I91" i="20"/>
  <c r="H91" i="20"/>
  <c r="G91" i="20"/>
  <c r="S90" i="20"/>
  <c r="R90" i="20"/>
  <c r="Q90" i="20"/>
  <c r="P90" i="20"/>
  <c r="O90" i="20"/>
  <c r="N90" i="20"/>
  <c r="M90" i="20"/>
  <c r="L90" i="20"/>
  <c r="K90" i="20"/>
  <c r="J90" i="20"/>
  <c r="I90" i="20"/>
  <c r="H90" i="20"/>
  <c r="G90" i="20"/>
  <c r="S89" i="20"/>
  <c r="R89" i="20"/>
  <c r="Q89" i="20"/>
  <c r="P89" i="20"/>
  <c r="O89" i="20"/>
  <c r="N89" i="20"/>
  <c r="M89" i="20"/>
  <c r="L89" i="20"/>
  <c r="K89" i="20"/>
  <c r="J89" i="20"/>
  <c r="I89" i="20"/>
  <c r="H89" i="20"/>
  <c r="G89" i="20"/>
  <c r="T88" i="20"/>
  <c r="S88" i="20"/>
  <c r="R88" i="20"/>
  <c r="Q88" i="20"/>
  <c r="P88" i="20"/>
  <c r="O88" i="20"/>
  <c r="N88" i="20"/>
  <c r="M88" i="20"/>
  <c r="L88" i="20"/>
  <c r="K88" i="20"/>
  <c r="J88" i="20"/>
  <c r="I88" i="20"/>
  <c r="H88" i="20"/>
  <c r="G88" i="20"/>
  <c r="S87" i="20"/>
  <c r="R87" i="20"/>
  <c r="Q87" i="20"/>
  <c r="P87" i="20"/>
  <c r="O87" i="20"/>
  <c r="N87" i="20"/>
  <c r="M87" i="20"/>
  <c r="L87" i="20"/>
  <c r="K87" i="20"/>
  <c r="J87" i="20"/>
  <c r="I87" i="20"/>
  <c r="H87" i="20"/>
  <c r="G87" i="20"/>
  <c r="T86" i="20"/>
  <c r="S86" i="20"/>
  <c r="R86" i="20"/>
  <c r="Q86" i="20"/>
  <c r="P86" i="20"/>
  <c r="O86" i="20"/>
  <c r="N86" i="20"/>
  <c r="M86" i="20"/>
  <c r="L86" i="20"/>
  <c r="K86" i="20"/>
  <c r="J86" i="20"/>
  <c r="I86" i="20"/>
  <c r="H86" i="20"/>
  <c r="G86" i="20"/>
  <c r="T82" i="20"/>
  <c r="T81" i="20"/>
  <c r="T80" i="20"/>
  <c r="T79" i="20"/>
  <c r="K79" i="20"/>
  <c r="T78" i="20"/>
  <c r="S76" i="20"/>
  <c r="T75" i="20"/>
  <c r="S75" i="20"/>
  <c r="R75" i="20"/>
  <c r="Q75" i="20"/>
  <c r="P75" i="20"/>
  <c r="O75" i="20"/>
  <c r="N75" i="20"/>
  <c r="M75" i="20"/>
  <c r="L75" i="20"/>
  <c r="K75" i="20"/>
  <c r="J75" i="20"/>
  <c r="I75" i="20"/>
  <c r="H75" i="20"/>
  <c r="G75" i="20"/>
  <c r="F75" i="20"/>
  <c r="S74" i="20"/>
  <c r="O74" i="20"/>
  <c r="S72" i="20"/>
  <c r="R72" i="20"/>
  <c r="Q72" i="20"/>
  <c r="P72" i="20"/>
  <c r="O72" i="20"/>
  <c r="N72" i="20"/>
  <c r="M72" i="20"/>
  <c r="L72" i="20"/>
  <c r="J72" i="20"/>
  <c r="I72" i="20"/>
  <c r="H72" i="20"/>
  <c r="G72" i="20"/>
  <c r="P71" i="20"/>
  <c r="O71" i="20"/>
  <c r="T69" i="20"/>
  <c r="S69" i="20"/>
  <c r="R69" i="20"/>
  <c r="Q69" i="20"/>
  <c r="P69" i="20"/>
  <c r="O69" i="20"/>
  <c r="N69" i="20"/>
  <c r="M69" i="20"/>
  <c r="L69" i="20"/>
  <c r="K69" i="20"/>
  <c r="J69" i="20"/>
  <c r="F69" i="20"/>
  <c r="T65" i="20"/>
  <c r="T63" i="20"/>
  <c r="S63" i="20"/>
  <c r="R63" i="20"/>
  <c r="Q63" i="20"/>
  <c r="P63" i="20"/>
  <c r="O63" i="20"/>
  <c r="N63" i="20"/>
  <c r="M63" i="20"/>
  <c r="L63" i="20"/>
  <c r="K63" i="20"/>
  <c r="J63" i="20"/>
  <c r="I63" i="20"/>
  <c r="H63" i="20"/>
  <c r="G63" i="20"/>
  <c r="T61" i="20"/>
  <c r="S61" i="20"/>
  <c r="R61" i="20"/>
  <c r="Q61" i="20"/>
  <c r="P61" i="20"/>
  <c r="O61" i="20"/>
  <c r="N61" i="20"/>
  <c r="M61" i="20"/>
  <c r="L61" i="20"/>
  <c r="K61" i="20"/>
  <c r="I61" i="20"/>
  <c r="H61" i="20"/>
  <c r="G61" i="20"/>
  <c r="T60" i="20"/>
  <c r="T59" i="20"/>
  <c r="T58" i="20"/>
  <c r="T57" i="20"/>
  <c r="U55" i="20"/>
  <c r="T55" i="20"/>
  <c r="S55" i="20"/>
  <c r="R55" i="20"/>
  <c r="Q55" i="20"/>
  <c r="P55" i="20"/>
  <c r="O55" i="20"/>
  <c r="N55" i="20"/>
  <c r="M55" i="20"/>
  <c r="L55" i="20"/>
  <c r="K55" i="20"/>
  <c r="J55" i="20"/>
  <c r="I55" i="20"/>
  <c r="H55" i="20"/>
  <c r="G55" i="20"/>
  <c r="U54" i="20"/>
  <c r="T54" i="20"/>
  <c r="S54" i="20"/>
  <c r="R54" i="20"/>
  <c r="Q54" i="20"/>
  <c r="P54" i="20"/>
  <c r="O54" i="20"/>
  <c r="N54" i="20"/>
  <c r="M54" i="20"/>
  <c r="L54" i="20"/>
  <c r="K54" i="20"/>
  <c r="J54" i="20"/>
  <c r="I54" i="20"/>
  <c r="H54" i="20"/>
  <c r="G54" i="20"/>
  <c r="F54" i="20"/>
  <c r="S53" i="20"/>
  <c r="R53" i="20"/>
  <c r="Q53" i="20"/>
  <c r="P53" i="20"/>
  <c r="O53" i="20"/>
  <c r="N53" i="20"/>
  <c r="M53" i="20"/>
  <c r="L53" i="20"/>
  <c r="K53" i="20"/>
  <c r="J53" i="20"/>
  <c r="I53" i="20"/>
  <c r="H53" i="20"/>
  <c r="G53" i="20"/>
  <c r="S52" i="20"/>
  <c r="R52" i="20"/>
  <c r="Q52" i="20"/>
  <c r="P52" i="20"/>
  <c r="O52" i="20"/>
  <c r="N52" i="20"/>
  <c r="M52" i="20"/>
  <c r="L52" i="20"/>
  <c r="K52" i="20"/>
  <c r="J52" i="20"/>
  <c r="I52" i="20"/>
  <c r="H52" i="20"/>
  <c r="G52" i="20"/>
  <c r="U51" i="20"/>
  <c r="T51" i="20"/>
  <c r="S51" i="20"/>
  <c r="R51" i="20"/>
  <c r="Q51" i="20"/>
  <c r="P51" i="20"/>
  <c r="O51" i="20"/>
  <c r="N51" i="20"/>
  <c r="M51" i="20"/>
  <c r="L51" i="20"/>
  <c r="K51" i="20"/>
  <c r="J51" i="20"/>
  <c r="I51" i="20"/>
  <c r="H51" i="20"/>
  <c r="G51" i="20"/>
  <c r="T50" i="20"/>
  <c r="T49" i="20"/>
  <c r="T48" i="20"/>
  <c r="T47" i="20"/>
  <c r="T46" i="20"/>
  <c r="T45" i="20"/>
  <c r="T44" i="20"/>
  <c r="T43" i="20"/>
  <c r="T42" i="20"/>
  <c r="V41" i="20"/>
  <c r="U41" i="20"/>
  <c r="V40" i="20"/>
  <c r="U40" i="20"/>
  <c r="T40" i="20"/>
  <c r="V39" i="20"/>
  <c r="U39" i="20"/>
  <c r="T39" i="20"/>
  <c r="V38" i="20"/>
  <c r="U38" i="20"/>
  <c r="T38" i="20"/>
  <c r="S36" i="20"/>
  <c r="R36" i="20"/>
  <c r="Q36" i="20"/>
  <c r="P36" i="20"/>
  <c r="O36" i="20"/>
  <c r="N36" i="20"/>
  <c r="M36" i="20"/>
  <c r="L36" i="20"/>
  <c r="K36" i="20"/>
  <c r="J36" i="20"/>
  <c r="I36" i="20"/>
  <c r="H36" i="20"/>
  <c r="S35" i="20"/>
  <c r="R35" i="20"/>
  <c r="Q35" i="20"/>
  <c r="P35" i="20"/>
  <c r="O35" i="20"/>
  <c r="N35" i="20"/>
  <c r="M35" i="20"/>
  <c r="L35" i="20"/>
  <c r="K35" i="20"/>
  <c r="J35" i="20"/>
  <c r="I35" i="20"/>
  <c r="H35" i="20"/>
  <c r="T34" i="20"/>
  <c r="S34" i="20"/>
  <c r="R34" i="20"/>
  <c r="Q34" i="20"/>
  <c r="P34" i="20"/>
  <c r="O34" i="20"/>
  <c r="N34" i="20"/>
  <c r="M34" i="20"/>
  <c r="L34" i="20"/>
  <c r="K34" i="20"/>
  <c r="J34" i="20"/>
  <c r="I34" i="20"/>
  <c r="H34" i="20"/>
  <c r="G34" i="20"/>
  <c r="F34" i="20"/>
  <c r="T33" i="20"/>
  <c r="F33" i="20"/>
  <c r="T32" i="20"/>
  <c r="F32" i="20"/>
  <c r="T31" i="20"/>
  <c r="F31" i="20"/>
  <c r="T30" i="20"/>
  <c r="F30" i="20"/>
  <c r="T29" i="20"/>
  <c r="F29" i="20"/>
  <c r="T28" i="20"/>
  <c r="F28" i="20"/>
  <c r="T27" i="20"/>
  <c r="F27" i="20"/>
  <c r="T26" i="20"/>
  <c r="F26" i="20"/>
  <c r="T25" i="20"/>
  <c r="F25" i="20"/>
  <c r="O20" i="20"/>
  <c r="M20" i="20"/>
  <c r="H20" i="20"/>
  <c r="S18" i="20"/>
  <c r="R18" i="20"/>
  <c r="Q18" i="20"/>
  <c r="P18" i="20"/>
  <c r="O18" i="20"/>
  <c r="N18" i="20"/>
  <c r="M18" i="20"/>
  <c r="L18" i="20"/>
  <c r="K18" i="20"/>
  <c r="J18" i="20"/>
  <c r="I18" i="20"/>
  <c r="H18" i="20"/>
  <c r="G18" i="20"/>
  <c r="S15" i="20"/>
  <c r="R15" i="20"/>
  <c r="Q15" i="20"/>
  <c r="P15" i="20"/>
  <c r="O15" i="20"/>
  <c r="N15" i="20"/>
  <c r="M15" i="20"/>
  <c r="L15" i="20"/>
  <c r="K15" i="20"/>
  <c r="J15" i="20"/>
  <c r="I15" i="20"/>
  <c r="H15" i="20"/>
  <c r="G15" i="20"/>
  <c r="S14" i="20"/>
  <c r="R14" i="20"/>
  <c r="Q14" i="20"/>
  <c r="P14" i="20"/>
  <c r="O14" i="20"/>
  <c r="N14" i="20"/>
  <c r="M14" i="20"/>
  <c r="L14" i="20"/>
  <c r="K14" i="20"/>
  <c r="J14" i="20"/>
  <c r="I14" i="20"/>
  <c r="H14" i="20"/>
  <c r="G14" i="20"/>
  <c r="S13" i="20"/>
  <c r="R13" i="20"/>
  <c r="Q13" i="20"/>
  <c r="P13" i="20"/>
  <c r="O13" i="20"/>
  <c r="N13" i="20"/>
  <c r="M13" i="20"/>
  <c r="L13" i="20"/>
  <c r="K13" i="20"/>
  <c r="J13" i="20"/>
  <c r="I13" i="20"/>
  <c r="H13" i="20"/>
  <c r="G13" i="20"/>
  <c r="S12" i="20"/>
  <c r="R12" i="20"/>
  <c r="Q12" i="20"/>
  <c r="P12" i="20"/>
  <c r="O12" i="20"/>
  <c r="N12" i="20"/>
  <c r="M12" i="20"/>
  <c r="L12" i="20"/>
  <c r="K12" i="20"/>
  <c r="J12" i="20"/>
  <c r="I12" i="20"/>
  <c r="H12" i="20"/>
  <c r="G12" i="20"/>
  <c r="S11" i="20"/>
  <c r="R11" i="20"/>
  <c r="Q11" i="20"/>
  <c r="P11" i="20"/>
  <c r="O11" i="20"/>
  <c r="N11" i="20"/>
  <c r="M11" i="20"/>
  <c r="L11" i="20"/>
  <c r="K11" i="20"/>
  <c r="J11" i="20"/>
  <c r="I11" i="20"/>
  <c r="H11" i="20"/>
  <c r="G11" i="20"/>
  <c r="S10" i="20"/>
  <c r="R10" i="20"/>
  <c r="Q10" i="20"/>
  <c r="P10" i="20"/>
  <c r="O10" i="20"/>
  <c r="N10" i="20"/>
  <c r="M10" i="20"/>
  <c r="L10" i="20"/>
  <c r="K10" i="20"/>
  <c r="J10" i="20"/>
  <c r="I10" i="20"/>
  <c r="H10" i="20"/>
  <c r="G10" i="20"/>
  <c r="S9" i="20"/>
  <c r="R9" i="20"/>
  <c r="Q9" i="20"/>
  <c r="P9" i="20"/>
  <c r="O9" i="20"/>
  <c r="N9" i="20"/>
  <c r="M9" i="20"/>
  <c r="L9" i="20"/>
  <c r="K9" i="20"/>
  <c r="J9" i="20"/>
  <c r="I9" i="20"/>
  <c r="H9" i="20"/>
  <c r="G9" i="20"/>
  <c r="S7" i="20"/>
  <c r="R7" i="20"/>
  <c r="Q7" i="20"/>
  <c r="P7" i="20"/>
  <c r="O7" i="20"/>
  <c r="N7" i="20"/>
  <c r="M7" i="20"/>
  <c r="L7" i="20"/>
  <c r="K7" i="20"/>
  <c r="J7" i="20"/>
  <c r="I7" i="20"/>
  <c r="H7" i="20"/>
  <c r="G7" i="20"/>
  <c r="S6" i="20"/>
  <c r="R6" i="20"/>
  <c r="Q6" i="20"/>
  <c r="P6" i="20"/>
  <c r="O6" i="20"/>
  <c r="N6" i="20"/>
  <c r="M6" i="20"/>
  <c r="L6" i="20"/>
  <c r="K6" i="20"/>
  <c r="J6" i="20"/>
  <c r="I6" i="20"/>
  <c r="H6" i="20"/>
  <c r="G6" i="20"/>
  <c r="S5" i="20"/>
  <c r="R5" i="20"/>
  <c r="Q5" i="20"/>
  <c r="P5" i="20"/>
  <c r="O5" i="20"/>
  <c r="N5" i="20"/>
  <c r="M5" i="20"/>
  <c r="L5" i="20"/>
  <c r="K5" i="20"/>
  <c r="J5" i="20"/>
  <c r="I5" i="20"/>
  <c r="H5" i="20"/>
  <c r="G5" i="20"/>
  <c r="S4" i="20"/>
  <c r="R4" i="20"/>
  <c r="Q4" i="20"/>
  <c r="P4" i="20"/>
  <c r="O4" i="20"/>
  <c r="N4" i="20"/>
  <c r="M4" i="20"/>
  <c r="L4" i="20"/>
  <c r="K4" i="20"/>
  <c r="J4" i="20"/>
  <c r="I4" i="20"/>
  <c r="H4" i="20"/>
  <c r="G4" i="20"/>
  <c r="S3" i="20"/>
  <c r="R3" i="20"/>
  <c r="Q3" i="20"/>
  <c r="P3" i="20"/>
  <c r="O3" i="20"/>
  <c r="N3" i="20"/>
  <c r="M3" i="20"/>
  <c r="L3" i="20"/>
  <c r="K3" i="20"/>
  <c r="J3" i="20"/>
  <c r="I3" i="20"/>
  <c r="H3" i="20"/>
  <c r="G3" i="20"/>
  <c r="S2" i="20"/>
  <c r="R2" i="20"/>
  <c r="Q2" i="20"/>
  <c r="P2" i="20"/>
  <c r="O2" i="20"/>
  <c r="N2" i="20"/>
  <c r="M2" i="20"/>
  <c r="L2" i="20"/>
  <c r="K2" i="20"/>
  <c r="J2" i="20"/>
  <c r="I2" i="20"/>
  <c r="H2" i="20"/>
  <c r="G2" i="20"/>
  <c r="D92" i="19"/>
  <c r="E92" i="19" s="1"/>
  <c r="F92" i="19" s="1"/>
  <c r="G92" i="19" s="1"/>
  <c r="H92" i="19" s="1"/>
  <c r="I92" i="19" s="1"/>
  <c r="J92" i="19" s="1"/>
  <c r="K92" i="19" s="1"/>
  <c r="L92" i="19" s="1"/>
  <c r="Y93" i="19" s="1"/>
  <c r="Z93" i="19" s="1"/>
  <c r="AA93" i="19" s="1"/>
  <c r="AB93" i="19" s="1"/>
  <c r="AC93" i="19" s="1"/>
  <c r="AD93" i="19" s="1"/>
  <c r="AE93" i="19" s="1"/>
  <c r="AF93" i="19" s="1"/>
  <c r="AG93" i="19" s="1"/>
  <c r="AH93" i="19" s="1"/>
  <c r="AI93" i="19" s="1"/>
  <c r="AJ93" i="19" s="1"/>
  <c r="AK93" i="19" s="1"/>
  <c r="AL93" i="19" s="1"/>
  <c r="AM93" i="19" s="1"/>
  <c r="AN93" i="19" s="1"/>
  <c r="D91" i="19"/>
  <c r="E91" i="19" s="1"/>
  <c r="F91" i="19" s="1"/>
  <c r="G91" i="19" s="1"/>
  <c r="H91" i="19" s="1"/>
  <c r="I91" i="19" s="1"/>
  <c r="J91" i="19" s="1"/>
  <c r="K91" i="19" s="1"/>
  <c r="L91" i="19" s="1"/>
  <c r="D90" i="19"/>
  <c r="E90" i="19" s="1"/>
  <c r="F90" i="19" s="1"/>
  <c r="G90" i="19" s="1"/>
  <c r="H90" i="19" s="1"/>
  <c r="I90" i="19" s="1"/>
  <c r="J90" i="19" s="1"/>
  <c r="K90" i="19" s="1"/>
  <c r="L90" i="19" s="1"/>
  <c r="M90" i="19" s="1"/>
  <c r="N90" i="19" s="1"/>
  <c r="C49" i="19"/>
  <c r="D49" i="19" s="1"/>
  <c r="E49" i="19" s="1"/>
  <c r="F49" i="19" s="1"/>
  <c r="G49" i="19" s="1"/>
  <c r="H49" i="19" s="1"/>
  <c r="I49" i="19" s="1"/>
  <c r="J49" i="19" s="1"/>
  <c r="K49" i="19" s="1"/>
  <c r="L49" i="19" s="1"/>
  <c r="M49" i="19" s="1"/>
  <c r="N49" i="19" s="1"/>
  <c r="C48" i="19"/>
  <c r="D48" i="19" s="1"/>
  <c r="E48" i="19" s="1"/>
  <c r="F48" i="19" s="1"/>
  <c r="G48" i="19" s="1"/>
  <c r="H48" i="19" s="1"/>
  <c r="I48" i="19" s="1"/>
  <c r="J48" i="19" s="1"/>
  <c r="K48" i="19" s="1"/>
  <c r="L48" i="19" s="1"/>
  <c r="M48" i="19" s="1"/>
  <c r="N48" i="19" s="1"/>
  <c r="C47" i="19"/>
  <c r="D47" i="19" s="1"/>
  <c r="E47" i="19" s="1"/>
  <c r="F47" i="19" s="1"/>
  <c r="G47" i="19" s="1"/>
  <c r="H47" i="19" s="1"/>
  <c r="I47" i="19" s="1"/>
  <c r="J47" i="19" s="1"/>
  <c r="K47" i="19" s="1"/>
  <c r="L47" i="19" s="1"/>
  <c r="M47" i="19" s="1"/>
  <c r="N47" i="19" s="1"/>
  <c r="N45" i="19"/>
  <c r="M45" i="19"/>
  <c r="L45" i="19"/>
  <c r="K45" i="19"/>
  <c r="J45" i="19"/>
  <c r="I45" i="19"/>
  <c r="H45" i="19"/>
  <c r="G45" i="19"/>
  <c r="F45" i="19"/>
  <c r="E45" i="19"/>
  <c r="D45" i="19"/>
  <c r="C45" i="19"/>
  <c r="S33" i="19"/>
  <c r="R33" i="19"/>
  <c r="Q33" i="19"/>
  <c r="P33" i="19"/>
  <c r="O33" i="19"/>
  <c r="S32" i="19"/>
  <c r="R32" i="19"/>
  <c r="Q32" i="19"/>
  <c r="P32" i="19"/>
  <c r="O32" i="19"/>
  <c r="N32" i="19"/>
  <c r="M32" i="19"/>
  <c r="L32" i="19"/>
  <c r="K32" i="19"/>
  <c r="J32" i="19"/>
  <c r="I32" i="19"/>
  <c r="H32" i="19"/>
  <c r="G32" i="19"/>
  <c r="F32" i="19"/>
  <c r="E32" i="19"/>
  <c r="D32" i="19"/>
  <c r="C32" i="19"/>
  <c r="S30" i="19"/>
  <c r="R30" i="19"/>
  <c r="Q30" i="19"/>
  <c r="P30" i="19"/>
  <c r="O30" i="19"/>
  <c r="O31" i="19" s="1"/>
  <c r="S29" i="19"/>
  <c r="R29" i="19"/>
  <c r="Q29" i="19"/>
  <c r="P29" i="19"/>
  <c r="O29" i="19"/>
  <c r="N17" i="19"/>
  <c r="N18" i="19" s="1"/>
  <c r="M17" i="19"/>
  <c r="M18" i="19" s="1"/>
  <c r="L17" i="19"/>
  <c r="L18" i="19" s="1"/>
  <c r="K17" i="19"/>
  <c r="K18" i="19" s="1"/>
  <c r="J17" i="19"/>
  <c r="J18" i="19" s="1"/>
  <c r="I17" i="19"/>
  <c r="I18" i="19" s="1"/>
  <c r="H17" i="19"/>
  <c r="H18" i="19" s="1"/>
  <c r="G17" i="19"/>
  <c r="G18" i="19" s="1"/>
  <c r="F17" i="19"/>
  <c r="F18" i="19" s="1"/>
  <c r="E17" i="19"/>
  <c r="E18" i="19" s="1"/>
  <c r="D17" i="19"/>
  <c r="D18" i="19" s="1"/>
  <c r="C17" i="19"/>
  <c r="C18" i="19" s="1"/>
  <c r="P15" i="19"/>
  <c r="O15" i="19"/>
  <c r="S14" i="19"/>
  <c r="R14" i="19"/>
  <c r="Q14" i="19"/>
  <c r="P14" i="19"/>
  <c r="O14" i="19"/>
  <c r="N11" i="19"/>
  <c r="M11" i="19"/>
  <c r="L11" i="19"/>
  <c r="K11" i="19"/>
  <c r="J11" i="19"/>
  <c r="I11" i="19"/>
  <c r="H11" i="19"/>
  <c r="G11" i="19"/>
  <c r="F11" i="19"/>
  <c r="E11" i="19"/>
  <c r="D11" i="19"/>
  <c r="C11" i="19"/>
  <c r="N9" i="19"/>
  <c r="M9" i="19"/>
  <c r="L9" i="19"/>
  <c r="K9" i="19"/>
  <c r="J9" i="19"/>
  <c r="I9" i="19"/>
  <c r="H9" i="19"/>
  <c r="G9" i="19"/>
  <c r="F9" i="19"/>
  <c r="E9" i="19"/>
  <c r="D9" i="19"/>
  <c r="C9" i="19"/>
  <c r="N6" i="19"/>
  <c r="M6" i="19"/>
  <c r="L6" i="19"/>
  <c r="K6" i="19"/>
  <c r="J6" i="19"/>
  <c r="I6" i="19"/>
  <c r="H6" i="19"/>
  <c r="G6" i="19"/>
  <c r="F6" i="19"/>
  <c r="E6" i="19"/>
  <c r="D6" i="19"/>
  <c r="C6" i="19"/>
  <c r="G265" i="13"/>
  <c r="H264" i="13" s="1"/>
  <c r="G262" i="13"/>
  <c r="K262" i="13"/>
  <c r="R44" i="19" s="1"/>
  <c r="K247" i="13"/>
  <c r="R43" i="19" s="1"/>
  <c r="AC43" i="19"/>
  <c r="T247" i="13"/>
  <c r="S247" i="13"/>
  <c r="Z43" i="19" s="1"/>
  <c r="Y43" i="19"/>
  <c r="Q247" i="13"/>
  <c r="X43" i="19" s="1"/>
  <c r="P247" i="13"/>
  <c r="W43" i="19" s="1"/>
  <c r="O247" i="13"/>
  <c r="V43" i="19" s="1"/>
  <c r="M247" i="13"/>
  <c r="T43" i="19" s="1"/>
  <c r="L247" i="13"/>
  <c r="S43" i="19" s="1"/>
  <c r="J245" i="13"/>
  <c r="J247" i="13" s="1"/>
  <c r="Q43" i="19" s="1"/>
  <c r="I245" i="13"/>
  <c r="I247" i="13" s="1"/>
  <c r="P43" i="19" s="1"/>
  <c r="H245" i="13"/>
  <c r="H247" i="13" s="1"/>
  <c r="O43" i="19" s="1"/>
  <c r="G247" i="13"/>
  <c r="K228" i="13"/>
  <c r="R19" i="19" s="1"/>
  <c r="J228" i="13"/>
  <c r="Q19" i="19" s="1"/>
  <c r="I228" i="13"/>
  <c r="P19" i="19" s="1"/>
  <c r="H228" i="13"/>
  <c r="O19" i="19" s="1"/>
  <c r="G228" i="13"/>
  <c r="L226" i="13"/>
  <c r="M226" i="13" s="1"/>
  <c r="L225" i="13"/>
  <c r="M225" i="13" s="1"/>
  <c r="O225" i="13" s="1"/>
  <c r="L224" i="13"/>
  <c r="M224" i="13" s="1"/>
  <c r="O224" i="13" s="1"/>
  <c r="L221" i="13"/>
  <c r="M221" i="13" s="1"/>
  <c r="O221" i="13" s="1"/>
  <c r="L216" i="13"/>
  <c r="S16" i="19" s="1"/>
  <c r="K216" i="13"/>
  <c r="R16" i="19" s="1"/>
  <c r="J216" i="13"/>
  <c r="Q16" i="19" s="1"/>
  <c r="I216" i="13"/>
  <c r="H216" i="13"/>
  <c r="O16" i="19" s="1"/>
  <c r="G216" i="13"/>
  <c r="O206" i="13"/>
  <c r="I202" i="13"/>
  <c r="H202" i="13"/>
  <c r="G202" i="13"/>
  <c r="J190" i="13"/>
  <c r="Q15" i="19" s="1"/>
  <c r="L185" i="13"/>
  <c r="K185" i="13"/>
  <c r="J185" i="13"/>
  <c r="I185" i="13"/>
  <c r="H185" i="13"/>
  <c r="G185" i="13"/>
  <c r="L175" i="13"/>
  <c r="K175" i="13"/>
  <c r="J175" i="13"/>
  <c r="I175" i="13"/>
  <c r="H175" i="13"/>
  <c r="G175" i="13"/>
  <c r="H147" i="13"/>
  <c r="L140" i="13"/>
  <c r="K140" i="13"/>
  <c r="J140" i="13"/>
  <c r="I140" i="13"/>
  <c r="H140" i="13"/>
  <c r="L138" i="13"/>
  <c r="K138" i="13"/>
  <c r="J138" i="13"/>
  <c r="I138" i="13"/>
  <c r="H138" i="13"/>
  <c r="O121" i="13"/>
  <c r="U119" i="13"/>
  <c r="T119" i="13"/>
  <c r="S119" i="13"/>
  <c r="Q119" i="13"/>
  <c r="P119" i="13"/>
  <c r="O119" i="13"/>
  <c r="N119" i="13"/>
  <c r="M119" i="13"/>
  <c r="L119" i="13"/>
  <c r="J119" i="13"/>
  <c r="I119" i="13"/>
  <c r="H119" i="13"/>
  <c r="G119" i="13"/>
  <c r="G122" i="13" s="1"/>
  <c r="G116" i="13"/>
  <c r="K126" i="13"/>
  <c r="K114" i="13" s="1"/>
  <c r="J126" i="13"/>
  <c r="J114" i="13" s="1"/>
  <c r="I96" i="13"/>
  <c r="H96" i="13"/>
  <c r="S86" i="13"/>
  <c r="Q86" i="13"/>
  <c r="P86" i="13"/>
  <c r="O86" i="13"/>
  <c r="N86" i="13"/>
  <c r="U85" i="13"/>
  <c r="S85" i="13"/>
  <c r="Q85" i="13"/>
  <c r="P85" i="13"/>
  <c r="O85" i="13"/>
  <c r="N85" i="13"/>
  <c r="U84" i="13"/>
  <c r="S84" i="13"/>
  <c r="Q84" i="13"/>
  <c r="P84" i="13"/>
  <c r="O84" i="13"/>
  <c r="N84" i="13"/>
  <c r="G78" i="13"/>
  <c r="G101" i="13" s="1"/>
  <c r="L63" i="13"/>
  <c r="K63" i="13"/>
  <c r="J63" i="13"/>
  <c r="I63" i="13"/>
  <c r="H63" i="13"/>
  <c r="L64" i="13"/>
  <c r="K64" i="13"/>
  <c r="J64" i="13"/>
  <c r="I64" i="13"/>
  <c r="H64" i="13"/>
  <c r="S61" i="13"/>
  <c r="P61" i="13"/>
  <c r="O61" i="13"/>
  <c r="N61" i="13"/>
  <c r="M61" i="13"/>
  <c r="L61" i="13"/>
  <c r="K61" i="13"/>
  <c r="J61" i="13"/>
  <c r="I61" i="13"/>
  <c r="H61" i="13"/>
  <c r="L59" i="13"/>
  <c r="I59" i="13"/>
  <c r="H59" i="13"/>
  <c r="L62" i="13"/>
  <c r="K62" i="13"/>
  <c r="J62" i="13"/>
  <c r="I62" i="13"/>
  <c r="H62" i="13"/>
  <c r="L58" i="13"/>
  <c r="K58" i="13"/>
  <c r="J58" i="13"/>
  <c r="I58" i="13"/>
  <c r="H58" i="13"/>
  <c r="L57" i="13"/>
  <c r="K57" i="13"/>
  <c r="J57" i="13"/>
  <c r="I57" i="13"/>
  <c r="H57" i="13"/>
  <c r="L56" i="13"/>
  <c r="K56" i="13"/>
  <c r="J56" i="13"/>
  <c r="I56" i="13"/>
  <c r="M105" i="13"/>
  <c r="L105" i="13"/>
  <c r="K105" i="13"/>
  <c r="J105" i="13"/>
  <c r="I105" i="13"/>
  <c r="H105" i="13"/>
  <c r="M42" i="13"/>
  <c r="L42" i="13"/>
  <c r="K42" i="13"/>
  <c r="J42" i="13"/>
  <c r="I42" i="13"/>
  <c r="H42" i="13"/>
  <c r="M104" i="13"/>
  <c r="L104" i="13"/>
  <c r="K104" i="13"/>
  <c r="J104" i="13"/>
  <c r="I104" i="13"/>
  <c r="H104" i="13"/>
  <c r="L41" i="13"/>
  <c r="J41" i="13"/>
  <c r="I41" i="13"/>
  <c r="M40" i="13"/>
  <c r="L40" i="13"/>
  <c r="K40" i="13"/>
  <c r="J40" i="13"/>
  <c r="I40" i="13"/>
  <c r="H40" i="13"/>
  <c r="S39" i="13"/>
  <c r="Q39" i="13"/>
  <c r="P39" i="13"/>
  <c r="O39" i="13"/>
  <c r="N39" i="13"/>
  <c r="M39" i="13"/>
  <c r="L39" i="13"/>
  <c r="K39" i="13"/>
  <c r="J39" i="13"/>
  <c r="I39" i="13"/>
  <c r="H39" i="13"/>
  <c r="M38" i="13"/>
  <c r="L38" i="13"/>
  <c r="K38" i="13"/>
  <c r="J38" i="13"/>
  <c r="I38" i="13"/>
  <c r="H38" i="13"/>
  <c r="L44" i="13"/>
  <c r="K44" i="13"/>
  <c r="J44" i="13"/>
  <c r="L43" i="13"/>
  <c r="K43" i="13"/>
  <c r="M37" i="13"/>
  <c r="L37" i="13"/>
  <c r="K37" i="13"/>
  <c r="J37" i="13"/>
  <c r="I37" i="13"/>
  <c r="H37" i="13"/>
  <c r="M36" i="13"/>
  <c r="L36" i="13"/>
  <c r="K36" i="13"/>
  <c r="J36" i="13"/>
  <c r="I36" i="13"/>
  <c r="H36" i="13"/>
  <c r="L35" i="13"/>
  <c r="K35" i="13"/>
  <c r="J35" i="13"/>
  <c r="I35" i="13"/>
  <c r="H35" i="13"/>
  <c r="O28" i="13"/>
  <c r="P26" i="13" s="1"/>
  <c r="M28" i="13"/>
  <c r="M26" i="13" s="1"/>
  <c r="G27" i="13"/>
  <c r="S26" i="13"/>
  <c r="Q26" i="13"/>
  <c r="L26" i="13"/>
  <c r="K26" i="13"/>
  <c r="J26" i="13"/>
  <c r="I26" i="13"/>
  <c r="K96" i="13"/>
  <c r="L86" i="13"/>
  <c r="K86" i="13"/>
  <c r="J86" i="13"/>
  <c r="I86" i="13"/>
  <c r="H86" i="13"/>
  <c r="L85" i="13"/>
  <c r="K85" i="13"/>
  <c r="J85" i="13"/>
  <c r="I85" i="13"/>
  <c r="L84" i="13"/>
  <c r="K84" i="13"/>
  <c r="J84" i="13"/>
  <c r="I84" i="13"/>
  <c r="H84" i="13"/>
  <c r="L89" i="13"/>
  <c r="L94" i="13" s="1"/>
  <c r="K89" i="13"/>
  <c r="K94" i="13" s="1"/>
  <c r="I89" i="13"/>
  <c r="I94" i="13" s="1"/>
  <c r="L65" i="13"/>
  <c r="J65" i="13"/>
  <c r="M63" i="13"/>
  <c r="M64" i="13"/>
  <c r="M59" i="13"/>
  <c r="J59" i="13"/>
  <c r="M62" i="13"/>
  <c r="M58" i="13"/>
  <c r="M57" i="13"/>
  <c r="M56" i="13"/>
  <c r="M106" i="13" l="1"/>
  <c r="K106" i="13"/>
  <c r="L106" i="13"/>
  <c r="J106" i="13"/>
  <c r="H106" i="13"/>
  <c r="I106" i="13"/>
  <c r="B22" i="16"/>
  <c r="C22" i="16" s="1"/>
  <c r="B17" i="16"/>
  <c r="C17" i="16" s="1"/>
  <c r="B21" i="16"/>
  <c r="C21" i="16" s="1"/>
  <c r="AW93" i="19"/>
  <c r="AO93" i="19"/>
  <c r="AP93" i="19" s="1"/>
  <c r="AQ93" i="19" s="1"/>
  <c r="AR93" i="19" s="1"/>
  <c r="AS93" i="19" s="1"/>
  <c r="AT93" i="19" s="1"/>
  <c r="AU93" i="19" s="1"/>
  <c r="AA43" i="19"/>
  <c r="B15" i="16"/>
  <c r="B16" i="16"/>
  <c r="I65" i="13"/>
  <c r="K67" i="13"/>
  <c r="K76" i="13" s="1"/>
  <c r="L67" i="13"/>
  <c r="L76" i="13" s="1"/>
  <c r="I67" i="13"/>
  <c r="J67" i="13"/>
  <c r="I3" i="13"/>
  <c r="P21" i="19" s="1"/>
  <c r="N187" i="20"/>
  <c r="N188" i="20" s="1"/>
  <c r="M190" i="20"/>
  <c r="M189" i="20"/>
  <c r="M104" i="20"/>
  <c r="M105" i="20" s="1"/>
  <c r="J186" i="13"/>
  <c r="M96" i="20"/>
  <c r="N96" i="20"/>
  <c r="B14" i="16"/>
  <c r="D14" i="16" s="1"/>
  <c r="I14" i="16" s="1"/>
  <c r="B26" i="16"/>
  <c r="C26" i="16" s="1"/>
  <c r="B42" i="16"/>
  <c r="C42" i="16" s="1"/>
  <c r="B27" i="16"/>
  <c r="C27" i="16" s="1"/>
  <c r="B45" i="16"/>
  <c r="B28" i="16"/>
  <c r="C28" i="16" s="1"/>
  <c r="B48" i="16"/>
  <c r="C48" i="16" s="1"/>
  <c r="B29" i="16"/>
  <c r="B51" i="16"/>
  <c r="C51" i="16" s="1"/>
  <c r="B18" i="16"/>
  <c r="C18" i="16" s="1"/>
  <c r="B30" i="16"/>
  <c r="B54" i="16"/>
  <c r="C54" i="16" s="1"/>
  <c r="B19" i="16"/>
  <c r="C19" i="16" s="1"/>
  <c r="B31" i="16"/>
  <c r="C31" i="16" s="1"/>
  <c r="B57" i="16"/>
  <c r="C57" i="16" s="1"/>
  <c r="B20" i="16"/>
  <c r="C20" i="16" s="1"/>
  <c r="B32" i="16"/>
  <c r="C32" i="16" s="1"/>
  <c r="B60" i="16"/>
  <c r="B33" i="16"/>
  <c r="B63" i="16"/>
  <c r="G63" i="16" s="1"/>
  <c r="B34" i="16"/>
  <c r="B66" i="16"/>
  <c r="D66" i="16" s="1"/>
  <c r="B23" i="16"/>
  <c r="C23" i="16" s="1"/>
  <c r="B69" i="16"/>
  <c r="E69" i="16" s="1"/>
  <c r="I5" i="16"/>
  <c r="B24" i="16"/>
  <c r="C24" i="16" s="1"/>
  <c r="B36" i="16"/>
  <c r="C36" i="16" s="1"/>
  <c r="B25" i="16"/>
  <c r="C25" i="16" s="1"/>
  <c r="B39" i="16"/>
  <c r="Q31" i="19"/>
  <c r="AC15" i="19"/>
  <c r="H150" i="13"/>
  <c r="H151" i="13" s="1"/>
  <c r="AA15" i="19"/>
  <c r="AB15" i="19"/>
  <c r="Y92" i="19"/>
  <c r="Z92" i="19" s="1"/>
  <c r="AA92" i="19" s="1"/>
  <c r="AB92" i="19" s="1"/>
  <c r="AC92" i="19" s="1"/>
  <c r="AD92" i="19" s="1"/>
  <c r="AE92" i="19" s="1"/>
  <c r="AF92" i="19" s="1"/>
  <c r="AG92" i="19" s="1"/>
  <c r="AH92" i="19" s="1"/>
  <c r="AI92" i="19" s="1"/>
  <c r="AJ92" i="19" s="1"/>
  <c r="AK92" i="19" s="1"/>
  <c r="AL92" i="19" s="1"/>
  <c r="AM92" i="19" s="1"/>
  <c r="AN92" i="19" s="1"/>
  <c r="Y91" i="19"/>
  <c r="Z91" i="19" s="1"/>
  <c r="AA91" i="19" s="1"/>
  <c r="AB91" i="19" s="1"/>
  <c r="AC91" i="19" s="1"/>
  <c r="AD91" i="19" s="1"/>
  <c r="AE91" i="19" s="1"/>
  <c r="AF91" i="19" s="1"/>
  <c r="AG91" i="19" s="1"/>
  <c r="AH91" i="19" s="1"/>
  <c r="AI91" i="19" s="1"/>
  <c r="AJ91" i="19" s="1"/>
  <c r="AK91" i="19" s="1"/>
  <c r="AL91" i="19" s="1"/>
  <c r="AM91" i="19" s="1"/>
  <c r="AN91" i="19" s="1"/>
  <c r="G186" i="13"/>
  <c r="R31" i="19"/>
  <c r="S31" i="19"/>
  <c r="H18" i="14"/>
  <c r="F19" i="14"/>
  <c r="H19" i="14" s="1"/>
  <c r="A20" i="14" s="1"/>
  <c r="O17" i="19"/>
  <c r="O18" i="19" s="1"/>
  <c r="H56" i="13"/>
  <c r="K59" i="13"/>
  <c r="P104" i="13"/>
  <c r="O105" i="13"/>
  <c r="P31" i="19"/>
  <c r="Q105" i="13"/>
  <c r="S42" i="13"/>
  <c r="H67" i="13"/>
  <c r="H89" i="13"/>
  <c r="H94" i="13" s="1"/>
  <c r="I186" i="13"/>
  <c r="N105" i="13"/>
  <c r="N37" i="13"/>
  <c r="N104" i="13"/>
  <c r="N38" i="13"/>
  <c r="N42" i="13"/>
  <c r="N40" i="13"/>
  <c r="N36" i="13"/>
  <c r="N43" i="13"/>
  <c r="N35" i="13"/>
  <c r="N41" i="13"/>
  <c r="P37" i="13"/>
  <c r="S38" i="13"/>
  <c r="P56" i="13"/>
  <c r="I217" i="13"/>
  <c r="I4" i="13" s="1"/>
  <c r="P22" i="19" s="1"/>
  <c r="I152" i="13"/>
  <c r="P25" i="19" s="1"/>
  <c r="I150" i="13"/>
  <c r="P26" i="19" s="1"/>
  <c r="M262" i="13"/>
  <c r="T44" i="19" s="1"/>
  <c r="H262" i="13"/>
  <c r="O44" i="19" s="1"/>
  <c r="N26" i="13"/>
  <c r="H83" i="13"/>
  <c r="I83" i="13"/>
  <c r="I87" i="13" s="1"/>
  <c r="J83" i="13"/>
  <c r="J87" i="13" s="1"/>
  <c r="K83" i="13"/>
  <c r="K87" i="13" s="1"/>
  <c r="L83" i="13"/>
  <c r="L87" i="13" s="1"/>
  <c r="S104" i="13"/>
  <c r="J72" i="16"/>
  <c r="I72" i="16"/>
  <c r="H72" i="16"/>
  <c r="G72" i="16"/>
  <c r="F72" i="16"/>
  <c r="D72" i="16"/>
  <c r="C72" i="16"/>
  <c r="K72" i="16"/>
  <c r="E72" i="16"/>
  <c r="B37" i="16"/>
  <c r="B40" i="16"/>
  <c r="B43" i="16"/>
  <c r="B46" i="16"/>
  <c r="B49" i="16"/>
  <c r="B52" i="16"/>
  <c r="B55" i="16"/>
  <c r="B58" i="16"/>
  <c r="B61" i="16"/>
  <c r="B64" i="16"/>
  <c r="B67" i="16"/>
  <c r="B70" i="16"/>
  <c r="B73" i="16"/>
  <c r="C33" i="16"/>
  <c r="B35" i="16"/>
  <c r="B38" i="16"/>
  <c r="B41" i="16"/>
  <c r="B44" i="16"/>
  <c r="B47" i="16"/>
  <c r="B50" i="16"/>
  <c r="B53" i="16"/>
  <c r="B56" i="16"/>
  <c r="B59" i="16"/>
  <c r="B62" i="16"/>
  <c r="B65" i="16"/>
  <c r="B68" i="16"/>
  <c r="B71" i="16"/>
  <c r="C14" i="16"/>
  <c r="J63" i="16"/>
  <c r="I63" i="16"/>
  <c r="H63" i="16"/>
  <c r="F63" i="16"/>
  <c r="D63" i="16"/>
  <c r="C63" i="16"/>
  <c r="K63" i="16"/>
  <c r="H69" i="16"/>
  <c r="K69" i="16"/>
  <c r="E63" i="16"/>
  <c r="O104" i="13"/>
  <c r="P64" i="13"/>
  <c r="P44" i="13"/>
  <c r="P42" i="13"/>
  <c r="O38" i="13"/>
  <c r="P41" i="13"/>
  <c r="P105" i="13"/>
  <c r="H3" i="13"/>
  <c r="O21" i="19" s="1"/>
  <c r="H152" i="13"/>
  <c r="M216" i="13"/>
  <c r="I262" i="13"/>
  <c r="P44" i="19" s="1"/>
  <c r="K186" i="13"/>
  <c r="J262" i="13"/>
  <c r="Q44" i="19" s="1"/>
  <c r="H186" i="13"/>
  <c r="L262" i="13"/>
  <c r="S44" i="19" s="1"/>
  <c r="J89" i="13"/>
  <c r="J94" i="13" s="1"/>
  <c r="N138" i="13"/>
  <c r="J96" i="13"/>
  <c r="G264" i="13"/>
  <c r="G266" i="13" s="1"/>
  <c r="Q17" i="19"/>
  <c r="Q18" i="19" s="1"/>
  <c r="H141" i="13"/>
  <c r="L186" i="13"/>
  <c r="P16" i="19"/>
  <c r="P17" i="19" s="1"/>
  <c r="P18" i="19" s="1"/>
  <c r="O26" i="13"/>
  <c r="K190" i="13"/>
  <c r="G267" i="13"/>
  <c r="G217" i="13"/>
  <c r="G229" i="13" s="1"/>
  <c r="J202" i="13"/>
  <c r="H217" i="13"/>
  <c r="H139" i="13"/>
  <c r="Q104" i="13"/>
  <c r="P58" i="13"/>
  <c r="N44" i="13"/>
  <c r="O41" i="13"/>
  <c r="Q41" i="13"/>
  <c r="O42" i="13"/>
  <c r="L51" i="13"/>
  <c r="D69" i="16" l="1"/>
  <c r="E30" i="16"/>
  <c r="F69" i="16"/>
  <c r="E39" i="16"/>
  <c r="E29" i="16"/>
  <c r="E21" i="16"/>
  <c r="C29" i="16"/>
  <c r="E28" i="16"/>
  <c r="E24" i="16"/>
  <c r="E26" i="16"/>
  <c r="C69" i="16"/>
  <c r="L69" i="16" s="1"/>
  <c r="E25" i="16"/>
  <c r="E14" i="16"/>
  <c r="F14" i="16" s="1"/>
  <c r="G14" i="16" s="1"/>
  <c r="H14" i="16" s="1"/>
  <c r="J14" i="16" s="1"/>
  <c r="E23" i="16"/>
  <c r="G69" i="16"/>
  <c r="E22" i="16"/>
  <c r="F66" i="16"/>
  <c r="G66" i="16"/>
  <c r="H66" i="16"/>
  <c r="I66" i="16"/>
  <c r="K66" i="16"/>
  <c r="J66" i="16"/>
  <c r="P106" i="13"/>
  <c r="E66" i="16"/>
  <c r="E60" i="16"/>
  <c r="E42" i="16"/>
  <c r="N106" i="13"/>
  <c r="O106" i="13"/>
  <c r="Q106" i="13"/>
  <c r="C30" i="16"/>
  <c r="M30" i="16" s="1"/>
  <c r="E51" i="16"/>
  <c r="E16" i="16"/>
  <c r="E36" i="16"/>
  <c r="E15" i="16"/>
  <c r="E57" i="16"/>
  <c r="E31" i="16"/>
  <c r="E48" i="16"/>
  <c r="E54" i="16"/>
  <c r="E27" i="16"/>
  <c r="C60" i="16"/>
  <c r="M60" i="16" s="1"/>
  <c r="E18" i="16"/>
  <c r="E45" i="16"/>
  <c r="E17" i="16"/>
  <c r="C16" i="16"/>
  <c r="M16" i="16" s="1"/>
  <c r="J69" i="16"/>
  <c r="C15" i="16"/>
  <c r="M15" i="16" s="1"/>
  <c r="E20" i="16"/>
  <c r="E19" i="16"/>
  <c r="C66" i="16"/>
  <c r="L66" i="16" s="1"/>
  <c r="E33" i="16"/>
  <c r="I69" i="16"/>
  <c r="AW92" i="19"/>
  <c r="AO92" i="19"/>
  <c r="AP92" i="19" s="1"/>
  <c r="AQ92" i="19" s="1"/>
  <c r="AR92" i="19" s="1"/>
  <c r="AS92" i="19" s="1"/>
  <c r="AT92" i="19" s="1"/>
  <c r="AU92" i="19" s="1"/>
  <c r="AW91" i="19"/>
  <c r="AO91" i="19"/>
  <c r="AP91" i="19" s="1"/>
  <c r="AQ91" i="19" s="1"/>
  <c r="AR91" i="19" s="1"/>
  <c r="AS91" i="19" s="1"/>
  <c r="AT91" i="19" s="1"/>
  <c r="AU91" i="19" s="1"/>
  <c r="C45" i="16"/>
  <c r="M45" i="16" s="1"/>
  <c r="C39" i="16"/>
  <c r="M39" i="16" s="1"/>
  <c r="I144" i="13"/>
  <c r="P27" i="19" s="1"/>
  <c r="J76" i="13"/>
  <c r="I76" i="13"/>
  <c r="H85" i="13"/>
  <c r="G230" i="13"/>
  <c r="H144" i="13"/>
  <c r="O27" i="19" s="1"/>
  <c r="O26" i="19"/>
  <c r="I229" i="13"/>
  <c r="I230" i="13" s="1"/>
  <c r="N100" i="20"/>
  <c r="N101" i="20" s="1"/>
  <c r="N97" i="20"/>
  <c r="M100" i="20"/>
  <c r="M101" i="20" s="1"/>
  <c r="M97" i="20"/>
  <c r="N190" i="20"/>
  <c r="N189" i="20"/>
  <c r="O187" i="20"/>
  <c r="O188" i="20" s="1"/>
  <c r="C34" i="16"/>
  <c r="E34" i="16"/>
  <c r="E32" i="16"/>
  <c r="S40" i="13"/>
  <c r="S64" i="13"/>
  <c r="H76" i="13"/>
  <c r="AG15" i="19"/>
  <c r="AF15" i="19"/>
  <c r="AB190" i="13"/>
  <c r="AE15" i="19"/>
  <c r="B20" i="14"/>
  <c r="AA84" i="13"/>
  <c r="AB84" i="13"/>
  <c r="AA85" i="13"/>
  <c r="AB85" i="13"/>
  <c r="Z86" i="13"/>
  <c r="AA86" i="13"/>
  <c r="AB86" i="13"/>
  <c r="T16" i="19"/>
  <c r="N63" i="13"/>
  <c r="N64" i="13"/>
  <c r="N58" i="13"/>
  <c r="P43" i="13"/>
  <c r="N59" i="13"/>
  <c r="N57" i="13"/>
  <c r="M65" i="13"/>
  <c r="N56" i="13"/>
  <c r="P35" i="13"/>
  <c r="K14" i="16"/>
  <c r="C38" i="16"/>
  <c r="E38" i="16"/>
  <c r="M26" i="16"/>
  <c r="L26" i="16"/>
  <c r="M14" i="16"/>
  <c r="L14" i="16"/>
  <c r="C41" i="16"/>
  <c r="E41" i="16"/>
  <c r="J64" i="16"/>
  <c r="I64" i="16"/>
  <c r="H64" i="16"/>
  <c r="G64" i="16"/>
  <c r="F64" i="16"/>
  <c r="D64" i="16"/>
  <c r="C64" i="16"/>
  <c r="K64" i="16"/>
  <c r="E64" i="16"/>
  <c r="M57" i="16"/>
  <c r="L57" i="16"/>
  <c r="M48" i="16"/>
  <c r="L48" i="16"/>
  <c r="M24" i="16"/>
  <c r="L24" i="16"/>
  <c r="J71" i="16"/>
  <c r="I71" i="16"/>
  <c r="H71" i="16"/>
  <c r="G71" i="16"/>
  <c r="F71" i="16"/>
  <c r="D71" i="16"/>
  <c r="C71" i="16"/>
  <c r="K71" i="16"/>
  <c r="E71" i="16"/>
  <c r="C35" i="16"/>
  <c r="E35" i="16"/>
  <c r="C58" i="16"/>
  <c r="E58" i="16"/>
  <c r="M23" i="16"/>
  <c r="L23" i="16"/>
  <c r="J68" i="16"/>
  <c r="I68" i="16"/>
  <c r="H68" i="16"/>
  <c r="G68" i="16"/>
  <c r="F68" i="16"/>
  <c r="D68" i="16"/>
  <c r="C68" i="16"/>
  <c r="K68" i="16"/>
  <c r="E68" i="16"/>
  <c r="M33" i="16"/>
  <c r="L33" i="16"/>
  <c r="C55" i="16"/>
  <c r="E55" i="16"/>
  <c r="M22" i="16"/>
  <c r="L22" i="16"/>
  <c r="J65" i="16"/>
  <c r="I65" i="16"/>
  <c r="H65" i="16"/>
  <c r="G65" i="16"/>
  <c r="F65" i="16"/>
  <c r="D65" i="16"/>
  <c r="C65" i="16"/>
  <c r="K65" i="16"/>
  <c r="E65" i="16"/>
  <c r="C52" i="16"/>
  <c r="E52" i="16"/>
  <c r="M21" i="16"/>
  <c r="L21" i="16"/>
  <c r="J62" i="16"/>
  <c r="I62" i="16"/>
  <c r="H62" i="16"/>
  <c r="G62" i="16"/>
  <c r="F62" i="16"/>
  <c r="D62" i="16"/>
  <c r="C62" i="16"/>
  <c r="K62" i="16"/>
  <c r="E62" i="16"/>
  <c r="C49" i="16"/>
  <c r="E49" i="16"/>
  <c r="M69" i="16"/>
  <c r="M51" i="16"/>
  <c r="L51" i="16"/>
  <c r="M42" i="16"/>
  <c r="L42" i="16"/>
  <c r="L32" i="16"/>
  <c r="M32" i="16"/>
  <c r="M20" i="16"/>
  <c r="L20" i="16"/>
  <c r="C59" i="16"/>
  <c r="E59" i="16"/>
  <c r="C46" i="16"/>
  <c r="E46" i="16"/>
  <c r="C61" i="16"/>
  <c r="E61" i="16"/>
  <c r="M31" i="16"/>
  <c r="L31" i="16"/>
  <c r="M19" i="16"/>
  <c r="L19" i="16"/>
  <c r="C56" i="16"/>
  <c r="E56" i="16"/>
  <c r="C43" i="16"/>
  <c r="E43" i="16"/>
  <c r="M18" i="16"/>
  <c r="L18" i="16"/>
  <c r="C53" i="16"/>
  <c r="E53" i="16"/>
  <c r="C40" i="16"/>
  <c r="E40" i="16"/>
  <c r="M29" i="16"/>
  <c r="L29" i="16"/>
  <c r="M17" i="16"/>
  <c r="L17" i="16"/>
  <c r="C50" i="16"/>
  <c r="E50" i="16"/>
  <c r="J73" i="16"/>
  <c r="I73" i="16"/>
  <c r="H73" i="16"/>
  <c r="G73" i="16"/>
  <c r="F73" i="16"/>
  <c r="D73" i="16"/>
  <c r="C73" i="16"/>
  <c r="K73" i="16"/>
  <c r="E73" i="16"/>
  <c r="C37" i="16"/>
  <c r="E37" i="16"/>
  <c r="M72" i="16"/>
  <c r="L72" i="16"/>
  <c r="M63" i="16"/>
  <c r="L63" i="16"/>
  <c r="M54" i="16"/>
  <c r="L54" i="16"/>
  <c r="M36" i="16"/>
  <c r="L36" i="16"/>
  <c r="M28" i="16"/>
  <c r="L28" i="16"/>
  <c r="C47" i="16"/>
  <c r="E47" i="16"/>
  <c r="J70" i="16"/>
  <c r="I70" i="16"/>
  <c r="H70" i="16"/>
  <c r="G70" i="16"/>
  <c r="F70" i="16"/>
  <c r="D70" i="16"/>
  <c r="C70" i="16"/>
  <c r="K70" i="16"/>
  <c r="E70" i="16"/>
  <c r="M25" i="16"/>
  <c r="L25" i="16"/>
  <c r="M27" i="16"/>
  <c r="L27" i="16"/>
  <c r="C44" i="16"/>
  <c r="E44" i="16"/>
  <c r="J67" i="16"/>
  <c r="I67" i="16"/>
  <c r="H67" i="16"/>
  <c r="G67" i="16"/>
  <c r="F67" i="16"/>
  <c r="D67" i="16"/>
  <c r="C67" i="16"/>
  <c r="K67" i="16"/>
  <c r="E67" i="16"/>
  <c r="O59" i="13"/>
  <c r="P40" i="13"/>
  <c r="P63" i="13"/>
  <c r="O25" i="19"/>
  <c r="H153" i="13"/>
  <c r="M140" i="13"/>
  <c r="M185" i="13"/>
  <c r="O138" i="13"/>
  <c r="K202" i="13"/>
  <c r="L190" i="13"/>
  <c r="R15" i="19"/>
  <c r="H4" i="13"/>
  <c r="O22" i="19" s="1"/>
  <c r="H229" i="13"/>
  <c r="H230" i="13" s="1"/>
  <c r="J152" i="13"/>
  <c r="Q25" i="19" s="1"/>
  <c r="J217" i="13"/>
  <c r="J150" i="13"/>
  <c r="J3" i="13"/>
  <c r="Q21" i="19" s="1"/>
  <c r="O214" i="13"/>
  <c r="N51" i="13"/>
  <c r="P62" i="13"/>
  <c r="P140" i="13"/>
  <c r="O43" i="13"/>
  <c r="Q40" i="13"/>
  <c r="Q64" i="13"/>
  <c r="Q63" i="13"/>
  <c r="S105" i="13"/>
  <c r="S106" i="13" s="1"/>
  <c r="Q43" i="13"/>
  <c r="Q37" i="13"/>
  <c r="O36" i="13"/>
  <c r="O57" i="13"/>
  <c r="O44" i="13"/>
  <c r="P38" i="13"/>
  <c r="P59" i="13"/>
  <c r="Q44" i="13"/>
  <c r="Q42" i="13"/>
  <c r="S35" i="13"/>
  <c r="S43" i="13"/>
  <c r="S37" i="13"/>
  <c r="S41" i="13"/>
  <c r="L143" i="13"/>
  <c r="S4" i="19"/>
  <c r="L11" i="13"/>
  <c r="L139" i="13"/>
  <c r="L147" i="13"/>
  <c r="L141" i="13"/>
  <c r="O37" i="13"/>
  <c r="O58" i="13"/>
  <c r="O35" i="13"/>
  <c r="O40" i="13"/>
  <c r="O64" i="13"/>
  <c r="O63" i="13"/>
  <c r="Q38" i="13"/>
  <c r="Q59" i="13"/>
  <c r="P36" i="13"/>
  <c r="T33" i="19"/>
  <c r="Q35" i="13"/>
  <c r="S36" i="13"/>
  <c r="S44" i="13"/>
  <c r="BG86" i="13" l="1"/>
  <c r="L30" i="16"/>
  <c r="AF190" i="13"/>
  <c r="AJ190" i="13" s="1"/>
  <c r="AN190" i="13" s="1"/>
  <c r="AB238" i="13"/>
  <c r="AC238" i="13"/>
  <c r="M66" i="16"/>
  <c r="L60" i="16"/>
  <c r="L39" i="16"/>
  <c r="L16" i="16"/>
  <c r="L15" i="16"/>
  <c r="L45" i="16"/>
  <c r="BE86" i="13"/>
  <c r="AM15" i="19"/>
  <c r="AM17" i="19" s="1"/>
  <c r="AM18" i="19" s="1"/>
  <c r="AF202" i="13"/>
  <c r="AB202" i="13"/>
  <c r="AJ15" i="19"/>
  <c r="H145" i="13"/>
  <c r="H87" i="13"/>
  <c r="S51" i="19"/>
  <c r="Z84" i="13"/>
  <c r="Z85" i="13"/>
  <c r="O190" i="20"/>
  <c r="O189" i="20"/>
  <c r="P187" i="20"/>
  <c r="P188" i="20" s="1"/>
  <c r="M34" i="16"/>
  <c r="L34" i="16"/>
  <c r="AK15" i="19"/>
  <c r="S63" i="13"/>
  <c r="AI15" i="19"/>
  <c r="D20" i="14"/>
  <c r="C20" i="14"/>
  <c r="I20" i="14"/>
  <c r="J20" i="14"/>
  <c r="S59" i="13"/>
  <c r="N62" i="13"/>
  <c r="V55" i="19"/>
  <c r="M40" i="16"/>
  <c r="L40" i="16"/>
  <c r="M73" i="16"/>
  <c r="L73" i="16"/>
  <c r="M43" i="16"/>
  <c r="L43" i="16"/>
  <c r="M61" i="16"/>
  <c r="L61" i="16"/>
  <c r="M71" i="16"/>
  <c r="L71" i="16"/>
  <c r="M44" i="16"/>
  <c r="L44" i="16"/>
  <c r="M37" i="16"/>
  <c r="L37" i="16"/>
  <c r="M62" i="16"/>
  <c r="L62" i="16"/>
  <c r="M35" i="16"/>
  <c r="L35" i="16"/>
  <c r="M47" i="16"/>
  <c r="L47" i="16"/>
  <c r="M67" i="16"/>
  <c r="L67" i="16"/>
  <c r="M65" i="16"/>
  <c r="L65" i="16"/>
  <c r="M41" i="16"/>
  <c r="L41" i="16"/>
  <c r="D15" i="16"/>
  <c r="M70" i="16"/>
  <c r="L70" i="16"/>
  <c r="M49" i="16"/>
  <c r="L49" i="16"/>
  <c r="M68" i="16"/>
  <c r="L68" i="16"/>
  <c r="M58" i="16"/>
  <c r="L58" i="16"/>
  <c r="M59" i="16"/>
  <c r="L59" i="16"/>
  <c r="M52" i="16"/>
  <c r="L52" i="16"/>
  <c r="M55" i="16"/>
  <c r="L55" i="16"/>
  <c r="M64" i="16"/>
  <c r="L64" i="16"/>
  <c r="M53" i="16"/>
  <c r="L53" i="16"/>
  <c r="M50" i="16"/>
  <c r="L50" i="16"/>
  <c r="M56" i="16"/>
  <c r="L56" i="16"/>
  <c r="M46" i="16"/>
  <c r="L46" i="16"/>
  <c r="M38" i="16"/>
  <c r="L38" i="16"/>
  <c r="Q51" i="13"/>
  <c r="U140" i="13"/>
  <c r="U241" i="13" s="1"/>
  <c r="R17" i="19"/>
  <c r="R18" i="19" s="1"/>
  <c r="K217" i="13"/>
  <c r="K3" i="13"/>
  <c r="R21" i="19" s="1"/>
  <c r="K152" i="13"/>
  <c r="K150" i="13"/>
  <c r="L202" i="13"/>
  <c r="S15" i="19"/>
  <c r="S17" i="19" s="1"/>
  <c r="S18" i="19" s="1"/>
  <c r="O262" i="13"/>
  <c r="V44" i="19" s="1"/>
  <c r="P51" i="13"/>
  <c r="J144" i="13"/>
  <c r="Q26" i="19"/>
  <c r="J4" i="13"/>
  <c r="Q22" i="19" s="1"/>
  <c r="J229" i="13"/>
  <c r="J230" i="13" s="1"/>
  <c r="U4" i="19"/>
  <c r="N139" i="13"/>
  <c r="U33" i="19"/>
  <c r="N147" i="13"/>
  <c r="S35" i="19"/>
  <c r="L12" i="13"/>
  <c r="O56" i="13"/>
  <c r="S58" i="13"/>
  <c r="S62" i="13"/>
  <c r="P57" i="13"/>
  <c r="S56" i="13"/>
  <c r="O51" i="13"/>
  <c r="S51" i="13"/>
  <c r="Q56" i="13"/>
  <c r="Q140" i="13"/>
  <c r="Q62" i="13"/>
  <c r="S57" i="13"/>
  <c r="P33" i="13" l="1"/>
  <c r="BN48" i="13" s="1"/>
  <c r="BN47" i="13" s="1"/>
  <c r="S33" i="13"/>
  <c r="BO48" i="13" s="1"/>
  <c r="BO47" i="13" s="1"/>
  <c r="BE84" i="13"/>
  <c r="BG84" i="13"/>
  <c r="BE85" i="13"/>
  <c r="BG85" i="13"/>
  <c r="AF3" i="13"/>
  <c r="AF150" i="13"/>
  <c r="AN238" i="13"/>
  <c r="AN242" i="13" s="1"/>
  <c r="AN202" i="13"/>
  <c r="AN150" i="13" s="1"/>
  <c r="AO144" i="13" s="1"/>
  <c r="AU15" i="19"/>
  <c r="AQ15" i="19"/>
  <c r="AQ17" i="19" s="1"/>
  <c r="AQ18" i="19" s="1"/>
  <c r="AJ238" i="13"/>
  <c r="AJ202" i="13"/>
  <c r="AG238" i="13"/>
  <c r="AF238" i="13"/>
  <c r="AF242" i="13" s="1"/>
  <c r="AM42" i="19" s="1"/>
  <c r="AK238" i="13"/>
  <c r="AG242" i="13"/>
  <c r="AF217" i="13"/>
  <c r="AM21" i="19"/>
  <c r="AF152" i="13"/>
  <c r="U245" i="13"/>
  <c r="BB15" i="19"/>
  <c r="AJ55" i="19"/>
  <c r="AK58" i="19"/>
  <c r="M85" i="13"/>
  <c r="P190" i="20"/>
  <c r="P189" i="20"/>
  <c r="Q187" i="20"/>
  <c r="Q188" i="20" s="1"/>
  <c r="AJ58" i="19"/>
  <c r="R53" i="13"/>
  <c r="Q53" i="13"/>
  <c r="Q11" i="13"/>
  <c r="Q12" i="13" s="1"/>
  <c r="AH58" i="19"/>
  <c r="AG55" i="19"/>
  <c r="AI55" i="19"/>
  <c r="AD55" i="19"/>
  <c r="AG58" i="19"/>
  <c r="AE58" i="19"/>
  <c r="AA55" i="19"/>
  <c r="AB58" i="19"/>
  <c r="AF58" i="19"/>
  <c r="AF55" i="19"/>
  <c r="AE55" i="19"/>
  <c r="G20" i="14"/>
  <c r="F20" i="14"/>
  <c r="N65" i="13"/>
  <c r="X4" i="19"/>
  <c r="P141" i="13"/>
  <c r="U51" i="19"/>
  <c r="W83" i="13"/>
  <c r="T55" i="19"/>
  <c r="U55" i="19"/>
  <c r="Y83" i="13"/>
  <c r="Y87" i="13" s="1"/>
  <c r="X83" i="13"/>
  <c r="P53" i="13"/>
  <c r="W33" i="19"/>
  <c r="P65" i="13"/>
  <c r="X33" i="19"/>
  <c r="X55" i="19"/>
  <c r="W55" i="19"/>
  <c r="Q143" i="13"/>
  <c r="Q147" i="13"/>
  <c r="I15" i="16"/>
  <c r="F15" i="16"/>
  <c r="P147" i="13"/>
  <c r="W4" i="19"/>
  <c r="W51" i="19" s="1"/>
  <c r="Q138" i="13"/>
  <c r="P138" i="13"/>
  <c r="W140" i="13"/>
  <c r="W241" i="13" s="1"/>
  <c r="W245" i="13" s="1"/>
  <c r="W247" i="13" s="1"/>
  <c r="P262" i="13"/>
  <c r="W44" i="19" s="1"/>
  <c r="Q27" i="19"/>
  <c r="L217" i="13"/>
  <c r="L3" i="13"/>
  <c r="S21" i="19" s="1"/>
  <c r="L152" i="13"/>
  <c r="L150" i="13"/>
  <c r="K144" i="13"/>
  <c r="R26" i="19"/>
  <c r="R25" i="19"/>
  <c r="N190" i="13"/>
  <c r="N202" i="13" s="1"/>
  <c r="T15" i="19"/>
  <c r="K4" i="13"/>
  <c r="R22" i="19" s="1"/>
  <c r="K229" i="13"/>
  <c r="K230" i="13" s="1"/>
  <c r="P143" i="13"/>
  <c r="S143" i="13"/>
  <c r="Z33" i="19"/>
  <c r="S147" i="13"/>
  <c r="S53" i="13"/>
  <c r="Z4" i="19"/>
  <c r="O65" i="13"/>
  <c r="O140" i="13"/>
  <c r="S36" i="19"/>
  <c r="Q241" i="13"/>
  <c r="Q141" i="13"/>
  <c r="Y4" i="19"/>
  <c r="Y33" i="19"/>
  <c r="O147" i="13"/>
  <c r="O139" i="13"/>
  <c r="V4" i="19"/>
  <c r="V33" i="19"/>
  <c r="O53" i="13"/>
  <c r="O143" i="13"/>
  <c r="BG238" i="13" l="1"/>
  <c r="U142" i="13"/>
  <c r="AO145" i="13"/>
  <c r="AV27" i="19"/>
  <c r="AU17" i="19"/>
  <c r="AN203" i="13"/>
  <c r="AN152" i="13"/>
  <c r="AN153" i="13" s="1"/>
  <c r="AN3" i="13"/>
  <c r="AN217" i="13"/>
  <c r="AM26" i="19"/>
  <c r="AG144" i="13"/>
  <c r="AG148" i="13" s="1"/>
  <c r="AN42" i="19"/>
  <c r="AF153" i="13"/>
  <c r="AM25" i="19"/>
  <c r="U247" i="13"/>
  <c r="AF151" i="13"/>
  <c r="AF4" i="13"/>
  <c r="AM22" i="19" s="1"/>
  <c r="AF229" i="13"/>
  <c r="AF230" i="13" s="1"/>
  <c r="AK55" i="19"/>
  <c r="AL58" i="19"/>
  <c r="V51" i="19"/>
  <c r="W142" i="13"/>
  <c r="AD43" i="19"/>
  <c r="AA83" i="13"/>
  <c r="AA87" i="13" s="1"/>
  <c r="AB83" i="13"/>
  <c r="AB87" i="13" s="1"/>
  <c r="Z83" i="13"/>
  <c r="Z87" i="13" s="1"/>
  <c r="V96" i="13"/>
  <c r="V138" i="13"/>
  <c r="W1" i="19"/>
  <c r="Z51" i="19"/>
  <c r="Z1" i="19"/>
  <c r="AY33" i="19"/>
  <c r="M84" i="13"/>
  <c r="M86" i="13"/>
  <c r="Q190" i="20"/>
  <c r="Q189" i="20"/>
  <c r="R187" i="20"/>
  <c r="R188" i="20" s="1"/>
  <c r="Y51" i="19"/>
  <c r="Q65" i="13"/>
  <c r="AH55" i="19"/>
  <c r="AI58" i="19"/>
  <c r="X51" i="19"/>
  <c r="AB55" i="19"/>
  <c r="AC58" i="19"/>
  <c r="AC55" i="19"/>
  <c r="AD58" i="19"/>
  <c r="H20" i="14"/>
  <c r="A21" i="14" s="1"/>
  <c r="X87" i="13"/>
  <c r="T17" i="19"/>
  <c r="P83" i="13"/>
  <c r="P87" i="13" s="1"/>
  <c r="N141" i="13"/>
  <c r="W87" i="13"/>
  <c r="U83" i="13"/>
  <c r="O83" i="13"/>
  <c r="O87" i="13" s="1"/>
  <c r="K15" i="16"/>
  <c r="G15" i="16"/>
  <c r="H15" i="16" s="1"/>
  <c r="J15" i="16" s="1"/>
  <c r="P139" i="13"/>
  <c r="Q240" i="13"/>
  <c r="Q139" i="13"/>
  <c r="X140" i="13"/>
  <c r="X241" i="13" s="1"/>
  <c r="X245" i="13" s="1"/>
  <c r="X247" i="13" s="1"/>
  <c r="L144" i="13"/>
  <c r="S26" i="19"/>
  <c r="L151" i="13"/>
  <c r="S25" i="19"/>
  <c r="L153" i="13"/>
  <c r="R27" i="19"/>
  <c r="O190" i="13"/>
  <c r="U15" i="19"/>
  <c r="Q260" i="13"/>
  <c r="S65" i="13"/>
  <c r="O141" i="13"/>
  <c r="U87" i="13" l="1"/>
  <c r="AB43" i="19"/>
  <c r="CM27" i="19"/>
  <c r="AZ27" i="19"/>
  <c r="AN151" i="13"/>
  <c r="AN4" i="13"/>
  <c r="AN219" i="13"/>
  <c r="AN229" i="13"/>
  <c r="AN230" i="13" s="1"/>
  <c r="AG145" i="13"/>
  <c r="AN27" i="19"/>
  <c r="AD83" i="13"/>
  <c r="AL55" i="19"/>
  <c r="X142" i="13"/>
  <c r="AE43" i="19"/>
  <c r="V240" i="13"/>
  <c r="V139" i="13"/>
  <c r="R190" i="20"/>
  <c r="R189" i="20"/>
  <c r="S187" i="20"/>
  <c r="S188" i="20" s="1"/>
  <c r="B21" i="14"/>
  <c r="Q83" i="13"/>
  <c r="M83" i="13"/>
  <c r="T56" i="19"/>
  <c r="N83" i="13"/>
  <c r="D16" i="16"/>
  <c r="O11" i="13"/>
  <c r="O12" i="13" s="1"/>
  <c r="P190" i="13"/>
  <c r="V15" i="19"/>
  <c r="T260" i="13"/>
  <c r="S27" i="19"/>
  <c r="L145" i="13"/>
  <c r="T30" i="19"/>
  <c r="T31" i="19" s="1"/>
  <c r="AD87" i="13" l="1"/>
  <c r="AG149" i="13"/>
  <c r="AN12" i="19"/>
  <c r="Y140" i="13"/>
  <c r="Y241" i="13" s="1"/>
  <c r="AE83" i="13"/>
  <c r="BG83" i="13" s="1"/>
  <c r="S190" i="20"/>
  <c r="S189" i="20"/>
  <c r="S260" i="13"/>
  <c r="Z140" i="13"/>
  <c r="Z241" i="13" s="1"/>
  <c r="Z245" i="13" s="1"/>
  <c r="S138" i="13"/>
  <c r="S139" i="13" s="1"/>
  <c r="C21" i="14"/>
  <c r="D21" i="14"/>
  <c r="J21" i="14"/>
  <c r="I21" i="14"/>
  <c r="V35" i="19"/>
  <c r="Q87" i="13"/>
  <c r="N87" i="13"/>
  <c r="M87" i="13"/>
  <c r="N89" i="13"/>
  <c r="M89" i="13"/>
  <c r="F16" i="16"/>
  <c r="I16" i="16"/>
  <c r="V30" i="19"/>
  <c r="N11" i="13"/>
  <c r="U30" i="19"/>
  <c r="T138" i="13"/>
  <c r="T240" i="13" s="1"/>
  <c r="Q190" i="13"/>
  <c r="R190" i="13" s="1"/>
  <c r="W15" i="19"/>
  <c r="Y245" i="13" l="1"/>
  <c r="Y247" i="13"/>
  <c r="Y142" i="13"/>
  <c r="AE87" i="13"/>
  <c r="BE87" i="13" s="1"/>
  <c r="BE83" i="13"/>
  <c r="M67" i="13"/>
  <c r="R202" i="13"/>
  <c r="S240" i="13"/>
  <c r="V260" i="13"/>
  <c r="AA140" i="13"/>
  <c r="AA241" i="13" s="1"/>
  <c r="F21" i="14"/>
  <c r="G21" i="14"/>
  <c r="H21" i="14" s="1"/>
  <c r="A22" i="14" s="1"/>
  <c r="U35" i="19"/>
  <c r="N12" i="13"/>
  <c r="U36" i="19" s="1"/>
  <c r="V36" i="19"/>
  <c r="U31" i="19"/>
  <c r="V31" i="19"/>
  <c r="M94" i="13"/>
  <c r="U56" i="19"/>
  <c r="N94" i="13"/>
  <c r="T52" i="19"/>
  <c r="AF53" i="19" s="1"/>
  <c r="T54" i="19"/>
  <c r="K16" i="16"/>
  <c r="G16" i="16"/>
  <c r="H16" i="16" s="1"/>
  <c r="J16" i="16" s="1"/>
  <c r="X15" i="19"/>
  <c r="BG87" i="13" l="1"/>
  <c r="AF43" i="19"/>
  <c r="AA245" i="13"/>
  <c r="M76" i="13"/>
  <c r="N67" i="13"/>
  <c r="N76" i="13" s="1"/>
  <c r="R150" i="13"/>
  <c r="R3" i="13"/>
  <c r="R152" i="13"/>
  <c r="R153" i="13" s="1"/>
  <c r="AB140" i="13"/>
  <c r="AB241" i="13" s="1"/>
  <c r="U260" i="13"/>
  <c r="B22" i="14"/>
  <c r="U54" i="19"/>
  <c r="O89" i="13"/>
  <c r="U52" i="19"/>
  <c r="AG53" i="19" s="1"/>
  <c r="D17" i="16"/>
  <c r="U138" i="13"/>
  <c r="U240" i="13" s="1"/>
  <c r="Y15" i="19"/>
  <c r="AA247" i="13" l="1"/>
  <c r="AB245" i="13"/>
  <c r="AB247" i="13" s="1"/>
  <c r="R151" i="13"/>
  <c r="AD15" i="19"/>
  <c r="C22" i="14"/>
  <c r="I22" i="14"/>
  <c r="J22" i="14"/>
  <c r="D22" i="14"/>
  <c r="P11" i="13"/>
  <c r="W30" i="19"/>
  <c r="W31" i="19" s="1"/>
  <c r="X36" i="19"/>
  <c r="V56" i="19"/>
  <c r="W56" i="19"/>
  <c r="O94" i="13"/>
  <c r="V54" i="19"/>
  <c r="F17" i="16"/>
  <c r="I17" i="16"/>
  <c r="W138" i="13"/>
  <c r="W240" i="13" s="1"/>
  <c r="Z15" i="19"/>
  <c r="AY15" i="19" l="1"/>
  <c r="AD140" i="13"/>
  <c r="AD241" i="13" s="1"/>
  <c r="R83" i="13"/>
  <c r="R87" i="13" s="1"/>
  <c r="W35" i="19"/>
  <c r="P12" i="13"/>
  <c r="AH15" i="19"/>
  <c r="F22" i="14"/>
  <c r="G22" i="14"/>
  <c r="H22" i="14" s="1"/>
  <c r="A23" i="14" s="1"/>
  <c r="X35" i="19"/>
  <c r="X30" i="19"/>
  <c r="X56" i="19"/>
  <c r="M202" i="13"/>
  <c r="M217" i="13" s="1"/>
  <c r="T32" i="19"/>
  <c r="V52" i="19"/>
  <c r="AH53" i="19" s="1"/>
  <c r="K17" i="16"/>
  <c r="G17" i="16"/>
  <c r="H17" i="16" s="1"/>
  <c r="J17" i="16" s="1"/>
  <c r="X138" i="13"/>
  <c r="X240" i="13" s="1"/>
  <c r="AD245" i="13" l="1"/>
  <c r="AD247" i="13" s="1"/>
  <c r="AL15" i="19"/>
  <c r="Z138" i="13"/>
  <c r="Z240" i="13" s="1"/>
  <c r="Y138" i="13"/>
  <c r="Y240" i="13" s="1"/>
  <c r="Y55" i="19"/>
  <c r="W36" i="19"/>
  <c r="X31" i="19"/>
  <c r="B23" i="14"/>
  <c r="U32" i="19"/>
  <c r="Y56" i="19"/>
  <c r="O67" i="13"/>
  <c r="D18" i="16"/>
  <c r="AX15" i="19" l="1"/>
  <c r="AE140" i="13"/>
  <c r="AE241" i="13" s="1"/>
  <c r="BE128" i="13"/>
  <c r="BE140" i="13" s="1"/>
  <c r="O76" i="13"/>
  <c r="Y36" i="19"/>
  <c r="AF44" i="19"/>
  <c r="C23" i="14"/>
  <c r="I23" i="14"/>
  <c r="J23" i="14"/>
  <c r="D23" i="14"/>
  <c r="N216" i="13"/>
  <c r="F18" i="16"/>
  <c r="I18" i="16"/>
  <c r="AE245" i="13" l="1"/>
  <c r="BG241" i="13"/>
  <c r="BA15" i="19"/>
  <c r="CP15" i="19" s="1"/>
  <c r="CO15" i="19"/>
  <c r="BE241" i="13"/>
  <c r="AA58" i="19"/>
  <c r="S83" i="13"/>
  <c r="Z55" i="19"/>
  <c r="AA59" i="19"/>
  <c r="Y35" i="19"/>
  <c r="Y30" i="19"/>
  <c r="Z260" i="13"/>
  <c r="F23" i="14"/>
  <c r="G23" i="14"/>
  <c r="H23" i="14" s="1"/>
  <c r="A24" i="14" s="1"/>
  <c r="Z56" i="19"/>
  <c r="K18" i="16"/>
  <c r="G18" i="16"/>
  <c r="H18" i="16" s="1"/>
  <c r="J18" i="16" s="1"/>
  <c r="O205" i="13"/>
  <c r="U16" i="19"/>
  <c r="N217" i="13"/>
  <c r="BE260" i="13" l="1"/>
  <c r="BG260" i="13"/>
  <c r="AE247" i="13"/>
  <c r="BG245" i="13"/>
  <c r="AA138" i="13"/>
  <c r="AA240" i="13" s="1"/>
  <c r="BE245" i="13"/>
  <c r="AB138" i="13"/>
  <c r="AB240" i="13" s="1"/>
  <c r="Y31" i="19"/>
  <c r="AC56" i="19"/>
  <c r="S87" i="13"/>
  <c r="S11" i="13"/>
  <c r="Z30" i="19"/>
  <c r="AB59" i="19"/>
  <c r="AA56" i="19"/>
  <c r="U96" i="13"/>
  <c r="AB56" i="19"/>
  <c r="AC59" i="19"/>
  <c r="B24" i="14"/>
  <c r="U17" i="19"/>
  <c r="D19" i="16"/>
  <c r="O216" i="13"/>
  <c r="V16" i="19" s="1"/>
  <c r="P216" i="13"/>
  <c r="Z35" i="19" l="1"/>
  <c r="S12" i="13"/>
  <c r="Z36" i="19" s="1"/>
  <c r="AC57" i="19"/>
  <c r="AD59" i="19"/>
  <c r="BE127" i="13"/>
  <c r="BE138" i="13" s="1"/>
  <c r="AY30" i="19"/>
  <c r="Z31" i="19"/>
  <c r="C24" i="14"/>
  <c r="J24" i="14"/>
  <c r="D24" i="14"/>
  <c r="I24" i="14"/>
  <c r="V17" i="19"/>
  <c r="O202" i="13"/>
  <c r="O217" i="13" s="1"/>
  <c r="V32" i="19"/>
  <c r="F19" i="16"/>
  <c r="I19" i="16"/>
  <c r="K19" i="16" s="1"/>
  <c r="W16" i="19"/>
  <c r="W17" i="19" s="1"/>
  <c r="AC54" i="19" l="1"/>
  <c r="AE138" i="13"/>
  <c r="AE240" i="13" s="1"/>
  <c r="AY31" i="19"/>
  <c r="AC52" i="19"/>
  <c r="AO53" i="19" s="1"/>
  <c r="AD57" i="19"/>
  <c r="AB54" i="19"/>
  <c r="AB52" i="19"/>
  <c r="AN53" i="19" s="1"/>
  <c r="AD56" i="19"/>
  <c r="AE59" i="19"/>
  <c r="AD138" i="13"/>
  <c r="AD240" i="13" s="1"/>
  <c r="F24" i="14"/>
  <c r="G24" i="14"/>
  <c r="H24" i="14" s="1"/>
  <c r="A25" i="14" s="1"/>
  <c r="B25" i="14" s="1"/>
  <c r="G19" i="16"/>
  <c r="H19" i="16" s="1"/>
  <c r="J19" i="16" s="1"/>
  <c r="D20" i="16" s="1"/>
  <c r="BG240" i="13" l="1"/>
  <c r="BE240" i="13"/>
  <c r="AD54" i="19"/>
  <c r="AE57" i="19"/>
  <c r="AD52" i="19"/>
  <c r="AP53" i="19" s="1"/>
  <c r="AF59" i="19"/>
  <c r="AE56" i="19"/>
  <c r="AK44" i="19"/>
  <c r="C25" i="14"/>
  <c r="J25" i="14"/>
  <c r="D25" i="14"/>
  <c r="I25" i="14"/>
  <c r="M228" i="13"/>
  <c r="T19" i="19" s="1"/>
  <c r="F20" i="16"/>
  <c r="I20" i="16"/>
  <c r="K20" i="16" s="1"/>
  <c r="AE52" i="19" l="1"/>
  <c r="AQ53" i="19" s="1"/>
  <c r="AF57" i="19"/>
  <c r="AE54" i="19"/>
  <c r="AF54" i="19"/>
  <c r="AH59" i="19"/>
  <c r="AF56" i="19"/>
  <c r="AG59" i="19"/>
  <c r="F25" i="14"/>
  <c r="G25" i="14"/>
  <c r="L19" i="14" s="1"/>
  <c r="N262" i="13"/>
  <c r="U44" i="19" s="1"/>
  <c r="O226" i="13"/>
  <c r="M229" i="13"/>
  <c r="M4" i="13"/>
  <c r="T22" i="19" s="1"/>
  <c r="G20" i="16"/>
  <c r="H20" i="16" s="1"/>
  <c r="J20" i="16" s="1"/>
  <c r="D21" i="16" s="1"/>
  <c r="AG57" i="19" l="1"/>
  <c r="AF52" i="19"/>
  <c r="AR53" i="19" s="1"/>
  <c r="AG56" i="19"/>
  <c r="AG54" i="19"/>
  <c r="AH57" i="19"/>
  <c r="AG52" i="19"/>
  <c r="AS53" i="19" s="1"/>
  <c r="H25" i="14"/>
  <c r="A26" i="14" s="1"/>
  <c r="B26" i="14" s="1"/>
  <c r="I26" i="14" s="1"/>
  <c r="I21" i="16"/>
  <c r="K21" i="16" s="1"/>
  <c r="F21" i="16"/>
  <c r="AI59" i="19" l="1"/>
  <c r="AH56" i="19"/>
  <c r="J26" i="14"/>
  <c r="D26" i="14"/>
  <c r="F26" i="14" s="1"/>
  <c r="T14" i="19"/>
  <c r="T18" i="19" s="1"/>
  <c r="G21" i="16"/>
  <c r="H21" i="16" s="1"/>
  <c r="J21" i="16" s="1"/>
  <c r="D22" i="16" s="1"/>
  <c r="AH54" i="19" l="1"/>
  <c r="AI57" i="19"/>
  <c r="AH52" i="19"/>
  <c r="AT53" i="19" s="1"/>
  <c r="AJ59" i="19"/>
  <c r="AI56" i="19"/>
  <c r="G26" i="14"/>
  <c r="H26" i="14" s="1"/>
  <c r="A27" i="14" s="1"/>
  <c r="B27" i="14" s="1"/>
  <c r="I22" i="16"/>
  <c r="K22" i="16" s="1"/>
  <c r="F22" i="16"/>
  <c r="AJ56" i="19" l="1"/>
  <c r="AK59" i="19"/>
  <c r="D27" i="14"/>
  <c r="J27" i="14"/>
  <c r="I27" i="14"/>
  <c r="N228" i="13"/>
  <c r="U19" i="19" s="1"/>
  <c r="G22" i="16"/>
  <c r="H22" i="16" s="1"/>
  <c r="J22" i="16" s="1"/>
  <c r="D23" i="16" s="1"/>
  <c r="AJ54" i="19" l="1"/>
  <c r="AL59" i="19"/>
  <c r="AJ57" i="19"/>
  <c r="AJ52" i="19"/>
  <c r="AK57" i="19"/>
  <c r="N229" i="13"/>
  <c r="AI54" i="19"/>
  <c r="AI52" i="19"/>
  <c r="AU53" i="19" s="1"/>
  <c r="AK56" i="19"/>
  <c r="AK54" i="19"/>
  <c r="AL57" i="19"/>
  <c r="AK52" i="19"/>
  <c r="AL56" i="19"/>
  <c r="F27" i="14"/>
  <c r="G27" i="14"/>
  <c r="H27" i="14" s="1"/>
  <c r="A28" i="14" s="1"/>
  <c r="N4" i="13"/>
  <c r="U22" i="19" s="1"/>
  <c r="I23" i="16"/>
  <c r="K23" i="16" s="1"/>
  <c r="F23" i="16"/>
  <c r="AB57" i="19" l="1"/>
  <c r="AL54" i="19"/>
  <c r="AL52" i="19"/>
  <c r="AA52" i="19"/>
  <c r="AM53" i="19" s="1"/>
  <c r="AA54" i="19"/>
  <c r="B28" i="14"/>
  <c r="O228" i="13"/>
  <c r="G23" i="16"/>
  <c r="H23" i="16" s="1"/>
  <c r="J23" i="16" s="1"/>
  <c r="D24" i="16" s="1"/>
  <c r="I28" i="14" l="1"/>
  <c r="J28" i="14"/>
  <c r="D28" i="14"/>
  <c r="O229" i="13"/>
  <c r="V19" i="19"/>
  <c r="O4" i="13"/>
  <c r="V22" i="19" s="1"/>
  <c r="I24" i="16"/>
  <c r="K24" i="16" s="1"/>
  <c r="F24" i="16"/>
  <c r="F28" i="14" l="1"/>
  <c r="G24" i="16"/>
  <c r="H24" i="16" s="1"/>
  <c r="J24" i="16" s="1"/>
  <c r="D25" i="16" s="1"/>
  <c r="G28" i="14" l="1"/>
  <c r="H28" i="14" s="1"/>
  <c r="A29" i="14" s="1"/>
  <c r="B29" i="14" s="1"/>
  <c r="I25" i="16"/>
  <c r="K25" i="16" s="1"/>
  <c r="F25" i="16"/>
  <c r="D29" i="14" l="1"/>
  <c r="J29" i="14"/>
  <c r="I29" i="14"/>
  <c r="G25" i="16"/>
  <c r="H25" i="16" s="1"/>
  <c r="J25" i="16" s="1"/>
  <c r="D26" i="16" s="1"/>
  <c r="F29" i="14" l="1"/>
  <c r="G29" i="14"/>
  <c r="K26" i="14" s="1"/>
  <c r="I26" i="16"/>
  <c r="K26" i="16" s="1"/>
  <c r="F26" i="16"/>
  <c r="H29" i="14" l="1"/>
  <c r="A30" i="14" s="1"/>
  <c r="B30" i="14" s="1"/>
  <c r="D30" i="14" s="1"/>
  <c r="G26" i="16"/>
  <c r="H26" i="16" s="1"/>
  <c r="J26" i="16"/>
  <c r="D27" i="16" s="1"/>
  <c r="F30" i="14" l="1"/>
  <c r="J30" i="14"/>
  <c r="I30" i="14"/>
  <c r="L32" i="14"/>
  <c r="I27" i="16"/>
  <c r="K27" i="16" s="1"/>
  <c r="F27" i="16"/>
  <c r="L33" i="14" l="1"/>
  <c r="G30" i="14"/>
  <c r="G27" i="16"/>
  <c r="H27" i="16" s="1"/>
  <c r="J27" i="16" s="1"/>
  <c r="D28" i="16" s="1"/>
  <c r="H30" i="14" l="1"/>
  <c r="A31" i="14" s="1"/>
  <c r="I28" i="16"/>
  <c r="K28" i="16" s="1"/>
  <c r="F28" i="16"/>
  <c r="B31" i="14" l="1"/>
  <c r="G28" i="16"/>
  <c r="H28" i="16" s="1"/>
  <c r="J28" i="16" s="1"/>
  <c r="D29" i="16" s="1"/>
  <c r="J31" i="14" l="1"/>
  <c r="I31" i="14"/>
  <c r="D31" i="14"/>
  <c r="O32" i="14" s="1"/>
  <c r="O33" i="14" s="1"/>
  <c r="I29" i="16"/>
  <c r="K29" i="16" s="1"/>
  <c r="F29" i="16"/>
  <c r="G31" i="14" l="1"/>
  <c r="F31" i="14"/>
  <c r="G29" i="16"/>
  <c r="H29" i="16" s="1"/>
  <c r="J29" i="16" s="1"/>
  <c r="D30" i="16" s="1"/>
  <c r="H31" i="14" l="1"/>
  <c r="A32" i="14" s="1"/>
  <c r="I30" i="16"/>
  <c r="K30" i="16" s="1"/>
  <c r="F30" i="16"/>
  <c r="B32" i="14" l="1"/>
  <c r="G30" i="16"/>
  <c r="H30" i="16" s="1"/>
  <c r="J30" i="16" s="1"/>
  <c r="D31" i="16" s="1"/>
  <c r="J32" i="14" l="1"/>
  <c r="I32" i="14"/>
  <c r="D32" i="14"/>
  <c r="R32" i="14" s="1"/>
  <c r="AE44" i="19"/>
  <c r="AH44" i="19"/>
  <c r="I31" i="16"/>
  <c r="K31" i="16" s="1"/>
  <c r="F31" i="16"/>
  <c r="G32" i="14" l="1"/>
  <c r="F32" i="14"/>
  <c r="R33" i="14"/>
  <c r="AI44" i="19"/>
  <c r="G31" i="16"/>
  <c r="H31" i="16" s="1"/>
  <c r="J31" i="16" s="1"/>
  <c r="D32" i="16" s="1"/>
  <c r="H32" i="14" l="1"/>
  <c r="A33" i="14" s="1"/>
  <c r="I32" i="16"/>
  <c r="K32" i="16" s="1"/>
  <c r="F32" i="16"/>
  <c r="B33" i="14" l="1"/>
  <c r="G32" i="16"/>
  <c r="H32" i="16" s="1"/>
  <c r="J32" i="16" s="1"/>
  <c r="D33" i="16" s="1"/>
  <c r="I33" i="14" l="1"/>
  <c r="D33" i="14"/>
  <c r="J33" i="14"/>
  <c r="I33" i="16"/>
  <c r="K33" i="16" s="1"/>
  <c r="F33" i="16"/>
  <c r="U32" i="14" l="1"/>
  <c r="G33" i="14"/>
  <c r="H33" i="14" s="1"/>
  <c r="A34" i="14" s="1"/>
  <c r="F33" i="14"/>
  <c r="G33" i="16"/>
  <c r="H33" i="16" s="1"/>
  <c r="J33" i="16" s="1"/>
  <c r="D34" i="16" s="1"/>
  <c r="U33" i="14" l="1"/>
  <c r="B34" i="14"/>
  <c r="F34" i="16"/>
  <c r="I34" i="16"/>
  <c r="K34" i="16" s="1"/>
  <c r="Q216" i="13" l="1"/>
  <c r="C34" i="14"/>
  <c r="J34" i="14"/>
  <c r="D34" i="14"/>
  <c r="X32" i="14" s="1"/>
  <c r="I34" i="14"/>
  <c r="G34" i="16"/>
  <c r="H34" i="16" s="1"/>
  <c r="J34" i="16" s="1"/>
  <c r="D35" i="16" s="1"/>
  <c r="X16" i="19" l="1"/>
  <c r="G34" i="14"/>
  <c r="F34" i="14"/>
  <c r="X33" i="14"/>
  <c r="I35" i="16"/>
  <c r="K35" i="16" s="1"/>
  <c r="F35" i="16"/>
  <c r="X17" i="19" l="1"/>
  <c r="H34" i="14"/>
  <c r="A35" i="14" s="1"/>
  <c r="G35" i="16"/>
  <c r="H35" i="16" s="1"/>
  <c r="J35" i="16" s="1"/>
  <c r="D36" i="16" s="1"/>
  <c r="T96" i="13" l="1"/>
  <c r="B35" i="14"/>
  <c r="I36" i="16"/>
  <c r="K36" i="16" s="1"/>
  <c r="F36" i="16"/>
  <c r="C35" i="14" l="1"/>
  <c r="I35" i="14"/>
  <c r="J35" i="14"/>
  <c r="D35" i="14"/>
  <c r="AA32" i="14" s="1"/>
  <c r="G36" i="16"/>
  <c r="H36" i="16" s="1"/>
  <c r="J36" i="16" s="1"/>
  <c r="D37" i="16" s="1"/>
  <c r="G35" i="14" l="1"/>
  <c r="F35" i="14"/>
  <c r="AA33" i="14"/>
  <c r="W262" i="13" s="1"/>
  <c r="I37" i="16"/>
  <c r="K37" i="16" s="1"/>
  <c r="F37" i="16"/>
  <c r="H35" i="14" l="1"/>
  <c r="A36" i="14" s="1"/>
  <c r="G37" i="16"/>
  <c r="H37" i="16" s="1"/>
  <c r="J37" i="16" s="1"/>
  <c r="D38" i="16" s="1"/>
  <c r="B36" i="14" l="1"/>
  <c r="I38" i="16"/>
  <c r="K38" i="16" s="1"/>
  <c r="F38" i="16"/>
  <c r="C36" i="14" l="1"/>
  <c r="B37" i="14"/>
  <c r="I36" i="14"/>
  <c r="J36" i="14"/>
  <c r="D36" i="14"/>
  <c r="AD32" i="14" s="1"/>
  <c r="G38" i="16"/>
  <c r="H38" i="16" s="1"/>
  <c r="J38" i="16" s="1"/>
  <c r="D39" i="16" s="1"/>
  <c r="G36" i="14" l="1"/>
  <c r="AD33" i="14"/>
  <c r="I37" i="14"/>
  <c r="J37" i="14"/>
  <c r="C37" i="14"/>
  <c r="F36" i="14"/>
  <c r="I39" i="16"/>
  <c r="K39" i="16" s="1"/>
  <c r="F39" i="16"/>
  <c r="D37" i="14" l="1"/>
  <c r="AG32" i="14" s="1"/>
  <c r="G39" i="16"/>
  <c r="H39" i="16" s="1"/>
  <c r="J39" i="16" s="1"/>
  <c r="D40" i="16" s="1"/>
  <c r="BE125" i="13" l="1"/>
  <c r="AG33" i="14"/>
  <c r="G37" i="14"/>
  <c r="H36" i="14"/>
  <c r="F37" i="14"/>
  <c r="I40" i="16"/>
  <c r="K40" i="16" s="1"/>
  <c r="F40" i="16"/>
  <c r="H37" i="14" l="1"/>
  <c r="A38" i="14" s="1"/>
  <c r="G40" i="16"/>
  <c r="H40" i="16" s="1"/>
  <c r="J40" i="16" s="1"/>
  <c r="D41" i="16" s="1"/>
  <c r="B38" i="14" l="1"/>
  <c r="I41" i="16"/>
  <c r="K41" i="16" s="1"/>
  <c r="F41" i="16"/>
  <c r="J38" i="14" l="1"/>
  <c r="I38" i="14"/>
  <c r="D38" i="14"/>
  <c r="G41" i="16"/>
  <c r="H41" i="16" s="1"/>
  <c r="J41" i="16" s="1"/>
  <c r="D42" i="16" s="1"/>
  <c r="AJ32" i="14" l="1"/>
  <c r="C38" i="14"/>
  <c r="G38" i="14" s="1"/>
  <c r="I42" i="16"/>
  <c r="K42" i="16" s="1"/>
  <c r="F42" i="16"/>
  <c r="AM10" i="19" l="1"/>
  <c r="AF272" i="13"/>
  <c r="AF135" i="13"/>
  <c r="AM11" i="19" s="1"/>
  <c r="AF136" i="13"/>
  <c r="AJ33" i="14"/>
  <c r="AI33" i="14" s="1"/>
  <c r="F38" i="14"/>
  <c r="G42" i="16"/>
  <c r="H42" i="16" s="1"/>
  <c r="J42" i="16" s="1"/>
  <c r="D43" i="16" s="1"/>
  <c r="AF137" i="13" l="1"/>
  <c r="AM48" i="19"/>
  <c r="AN48" i="19" s="1"/>
  <c r="AO48" i="19" s="1"/>
  <c r="AP48" i="19" s="1"/>
  <c r="AL44" i="19"/>
  <c r="H38" i="14"/>
  <c r="A39" i="14" s="1"/>
  <c r="I43" i="16"/>
  <c r="K43" i="16" s="1"/>
  <c r="F43" i="16"/>
  <c r="B39" i="14" l="1"/>
  <c r="G43" i="16"/>
  <c r="H43" i="16" s="1"/>
  <c r="J43" i="16" s="1"/>
  <c r="D44" i="16" s="1"/>
  <c r="C39" i="14" l="1"/>
  <c r="J39" i="14"/>
  <c r="I39" i="14"/>
  <c r="E39" i="14"/>
  <c r="D39" i="14" s="1"/>
  <c r="F39" i="14" s="1"/>
  <c r="I44" i="16"/>
  <c r="K44" i="16" s="1"/>
  <c r="F44" i="16"/>
  <c r="G39" i="14" l="1"/>
  <c r="H39" i="14"/>
  <c r="A40" i="14" s="1"/>
  <c r="G44" i="16"/>
  <c r="H44" i="16" s="1"/>
  <c r="J44" i="16" s="1"/>
  <c r="D45" i="16" s="1"/>
  <c r="B40" i="14" l="1"/>
  <c r="G40" i="14" s="1"/>
  <c r="I45" i="16"/>
  <c r="K45" i="16" s="1"/>
  <c r="F45" i="16"/>
  <c r="C40" i="14" l="1"/>
  <c r="J40" i="14"/>
  <c r="I40" i="14"/>
  <c r="E40" i="14"/>
  <c r="D40" i="14" s="1"/>
  <c r="F40" i="14" s="1"/>
  <c r="G45" i="16"/>
  <c r="H45" i="16" s="1"/>
  <c r="J45" i="16" s="1"/>
  <c r="D46" i="16" s="1"/>
  <c r="H40" i="14" l="1"/>
  <c r="A41" i="14" s="1"/>
  <c r="B41" i="14" s="1"/>
  <c r="G41" i="14" s="1"/>
  <c r="I46" i="16"/>
  <c r="K46" i="16" s="1"/>
  <c r="F46" i="16"/>
  <c r="C41" i="14" l="1"/>
  <c r="J41" i="14"/>
  <c r="E41" i="14"/>
  <c r="D41" i="14" s="1"/>
  <c r="F41" i="14" s="1"/>
  <c r="I41" i="14"/>
  <c r="G46" i="16"/>
  <c r="H46" i="16" s="1"/>
  <c r="J46" i="16" s="1"/>
  <c r="D47" i="16" s="1"/>
  <c r="H41" i="14" l="1"/>
  <c r="A42" i="14" s="1"/>
  <c r="I47" i="16"/>
  <c r="K47" i="16" s="1"/>
  <c r="F47" i="16"/>
  <c r="B42" i="14" l="1"/>
  <c r="G47" i="16"/>
  <c r="H47" i="16" s="1"/>
  <c r="J47" i="16" s="1"/>
  <c r="D48" i="16" s="1"/>
  <c r="C42" i="14" l="1"/>
  <c r="G42" i="14"/>
  <c r="E42" i="14"/>
  <c r="D42" i="14" s="1"/>
  <c r="F42" i="14" s="1"/>
  <c r="I42" i="14"/>
  <c r="J42" i="14"/>
  <c r="I48" i="16"/>
  <c r="K48" i="16" s="1"/>
  <c r="F48" i="16"/>
  <c r="H42" i="14" l="1"/>
  <c r="A43" i="14" s="1"/>
  <c r="G48" i="16"/>
  <c r="H48" i="16" s="1"/>
  <c r="J48" i="16" s="1"/>
  <c r="D49" i="16" s="1"/>
  <c r="B43" i="14" l="1"/>
  <c r="G43" i="14" s="1"/>
  <c r="I49" i="16"/>
  <c r="K49" i="16" s="1"/>
  <c r="F49" i="16"/>
  <c r="C43" i="14" l="1"/>
  <c r="J43" i="14"/>
  <c r="E43" i="14"/>
  <c r="D43" i="14" s="1"/>
  <c r="F43" i="14" s="1"/>
  <c r="I43" i="14"/>
  <c r="G49" i="16"/>
  <c r="H49" i="16" s="1"/>
  <c r="J49" i="16" s="1"/>
  <c r="D50" i="16" s="1"/>
  <c r="H43" i="14" l="1"/>
  <c r="A44" i="14" s="1"/>
  <c r="I50" i="16"/>
  <c r="K50" i="16" s="1"/>
  <c r="F50" i="16"/>
  <c r="B44" i="14" l="1"/>
  <c r="G44" i="14" s="1"/>
  <c r="G50" i="16"/>
  <c r="H50" i="16" s="1"/>
  <c r="J50" i="16" s="1"/>
  <c r="D51" i="16" s="1"/>
  <c r="C44" i="14" l="1"/>
  <c r="J44" i="14"/>
  <c r="E44" i="14"/>
  <c r="D44" i="14" s="1"/>
  <c r="F44" i="14" s="1"/>
  <c r="I44" i="14"/>
  <c r="I51" i="16"/>
  <c r="K51" i="16" s="1"/>
  <c r="F51" i="16"/>
  <c r="H44" i="14" l="1"/>
  <c r="A45" i="14" s="1"/>
  <c r="B45" i="14" s="1"/>
  <c r="G45" i="14" s="1"/>
  <c r="G51" i="16"/>
  <c r="H51" i="16" s="1"/>
  <c r="J51" i="16" s="1"/>
  <c r="D52" i="16" s="1"/>
  <c r="C45" i="14" l="1"/>
  <c r="J45" i="14"/>
  <c r="I45" i="14"/>
  <c r="E45" i="14"/>
  <c r="D45" i="14" s="1"/>
  <c r="F45" i="14" s="1"/>
  <c r="F52" i="16"/>
  <c r="I52" i="16"/>
  <c r="K52" i="16" s="1"/>
  <c r="H45" i="14" l="1"/>
  <c r="A46" i="14" s="1"/>
  <c r="B46" i="14" s="1"/>
  <c r="G46" i="14" s="1"/>
  <c r="G52" i="16"/>
  <c r="H52" i="16" s="1"/>
  <c r="J52" i="16" s="1"/>
  <c r="D53" i="16" s="1"/>
  <c r="C46" i="14" l="1"/>
  <c r="E46" i="14"/>
  <c r="D46" i="14" s="1"/>
  <c r="F46" i="14" s="1"/>
  <c r="J46" i="14"/>
  <c r="I46" i="14"/>
  <c r="I53" i="16"/>
  <c r="K53" i="16" s="1"/>
  <c r="F53" i="16"/>
  <c r="H46" i="14" l="1"/>
  <c r="A47" i="14" s="1"/>
  <c r="B47" i="14" s="1"/>
  <c r="G47" i="14" s="1"/>
  <c r="G53" i="16"/>
  <c r="H53" i="16" s="1"/>
  <c r="J53" i="16" s="1"/>
  <c r="D54" i="16" s="1"/>
  <c r="C47" i="14" l="1"/>
  <c r="I47" i="14"/>
  <c r="J47" i="14"/>
  <c r="E47" i="14"/>
  <c r="D47" i="14" s="1"/>
  <c r="F47" i="14" s="1"/>
  <c r="I54" i="16"/>
  <c r="K54" i="16" s="1"/>
  <c r="F54" i="16"/>
  <c r="H47" i="14" l="1"/>
  <c r="A48" i="14" s="1"/>
  <c r="G54" i="16"/>
  <c r="H54" i="16" s="1"/>
  <c r="J54" i="16" s="1"/>
  <c r="D55" i="16" s="1"/>
  <c r="B48" i="14" l="1"/>
  <c r="G48" i="14" s="1"/>
  <c r="F55" i="16"/>
  <c r="I55" i="16"/>
  <c r="K55" i="16" s="1"/>
  <c r="C48" i="14" l="1"/>
  <c r="I48" i="14"/>
  <c r="J48" i="14"/>
  <c r="E48" i="14"/>
  <c r="D48" i="14" s="1"/>
  <c r="F48" i="14" s="1"/>
  <c r="G55" i="16"/>
  <c r="H55" i="16" s="1"/>
  <c r="J55" i="16" s="1"/>
  <c r="D56" i="16" s="1"/>
  <c r="H48" i="14" l="1"/>
  <c r="A49" i="14" s="1"/>
  <c r="I56" i="16"/>
  <c r="K56" i="16" s="1"/>
  <c r="F56" i="16"/>
  <c r="B49" i="14" l="1"/>
  <c r="G49" i="14" s="1"/>
  <c r="G56" i="16"/>
  <c r="H56" i="16" s="1"/>
  <c r="J56" i="16" s="1"/>
  <c r="D57" i="16" s="1"/>
  <c r="I49" i="14" l="1"/>
  <c r="E49" i="14"/>
  <c r="D49" i="14" s="1"/>
  <c r="J49" i="14"/>
  <c r="C49" i="14"/>
  <c r="I57" i="16"/>
  <c r="K57" i="16" s="1"/>
  <c r="F57" i="16"/>
  <c r="F49" i="14" l="1"/>
  <c r="G57" i="16"/>
  <c r="H57" i="16" s="1"/>
  <c r="J57" i="16" s="1"/>
  <c r="D58" i="16" s="1"/>
  <c r="H49" i="14" l="1"/>
  <c r="A50" i="14" s="1"/>
  <c r="B50" i="14" s="1"/>
  <c r="G50" i="14" s="1"/>
  <c r="I58" i="16"/>
  <c r="K58" i="16" s="1"/>
  <c r="F58" i="16"/>
  <c r="C50" i="14" l="1"/>
  <c r="J50" i="14"/>
  <c r="I50" i="14"/>
  <c r="E50" i="14"/>
  <c r="D50" i="14" s="1"/>
  <c r="F50" i="14" s="1"/>
  <c r="G58" i="16"/>
  <c r="H58" i="16" s="1"/>
  <c r="J58" i="16" s="1"/>
  <c r="D59" i="16" s="1"/>
  <c r="H50" i="14" l="1"/>
  <c r="A51" i="14" s="1"/>
  <c r="F59" i="16"/>
  <c r="I59" i="16"/>
  <c r="K59" i="16" s="1"/>
  <c r="B51" i="14" l="1"/>
  <c r="G51" i="14" s="1"/>
  <c r="G59" i="16"/>
  <c r="H59" i="16" s="1"/>
  <c r="J59" i="16" s="1"/>
  <c r="D60" i="16" s="1"/>
  <c r="C51" i="14" l="1"/>
  <c r="I51" i="14"/>
  <c r="E51" i="14"/>
  <c r="D51" i="14" s="1"/>
  <c r="F51" i="14" s="1"/>
  <c r="I60" i="16"/>
  <c r="K60" i="16" s="1"/>
  <c r="F60" i="16"/>
  <c r="H51" i="14" l="1"/>
  <c r="A52" i="14" s="1"/>
  <c r="B52" i="14" s="1"/>
  <c r="G52" i="14" s="1"/>
  <c r="G60" i="16"/>
  <c r="H60" i="16" s="1"/>
  <c r="J60" i="16" s="1"/>
  <c r="D61" i="16" s="1"/>
  <c r="C52" i="14" l="1"/>
  <c r="E52" i="14"/>
  <c r="D52" i="14" s="1"/>
  <c r="F52" i="14" s="1"/>
  <c r="I52" i="14"/>
  <c r="I61" i="16"/>
  <c r="F61" i="16"/>
  <c r="H52" i="14" l="1"/>
  <c r="A53" i="14" s="1"/>
  <c r="B53" i="14" s="1"/>
  <c r="G53" i="14" s="1"/>
  <c r="J61" i="16"/>
  <c r="I7" i="16" s="1"/>
  <c r="G61" i="16"/>
  <c r="H61" i="16" s="1"/>
  <c r="I8" i="16"/>
  <c r="I9" i="16"/>
  <c r="K61" i="16"/>
  <c r="C53" i="14" l="1"/>
  <c r="I53" i="14"/>
  <c r="E53" i="14"/>
  <c r="D53" i="14" s="1"/>
  <c r="F53" i="14" s="1"/>
  <c r="H53" i="14" l="1"/>
  <c r="A54" i="14" s="1"/>
  <c r="B54" i="14" l="1"/>
  <c r="C54" i="14" l="1"/>
  <c r="J54" i="14" s="1"/>
  <c r="G54" i="14"/>
  <c r="I54" i="14"/>
  <c r="E54" i="14"/>
  <c r="D54" i="14" s="1"/>
  <c r="F54" i="14" s="1"/>
  <c r="H54" i="14" l="1"/>
  <c r="A55" i="14" s="1"/>
  <c r="B55" i="14" s="1"/>
  <c r="I55" i="14" l="1"/>
  <c r="G55" i="14"/>
  <c r="E55" i="14"/>
  <c r="D55" i="14" s="1"/>
  <c r="C55" i="14"/>
  <c r="F55" i="14" l="1"/>
  <c r="H55" i="14" l="1"/>
  <c r="A56" i="14" s="1"/>
  <c r="B56" i="14" s="1"/>
  <c r="G56" i="14" s="1"/>
  <c r="C56" i="14" l="1"/>
  <c r="E56" i="14"/>
  <c r="D56" i="14" s="1"/>
  <c r="F56" i="14" s="1"/>
  <c r="I56" i="14"/>
  <c r="H56" i="14" l="1"/>
  <c r="A57" i="14" s="1"/>
  <c r="B57" i="14" l="1"/>
  <c r="C57" i="14" l="1"/>
  <c r="G57" i="14"/>
  <c r="I57" i="14"/>
  <c r="E57" i="14"/>
  <c r="D57" i="14" s="1"/>
  <c r="F57" i="14" s="1"/>
  <c r="H57" i="14" l="1"/>
  <c r="A58" i="14" s="1"/>
  <c r="B58" i="14" s="1"/>
  <c r="G58" i="14" s="1"/>
  <c r="E58" i="14" l="1"/>
  <c r="D58" i="14" s="1"/>
  <c r="C58" i="14" s="1"/>
  <c r="I58" i="14"/>
  <c r="F58" i="14" l="1"/>
  <c r="H58" i="14" l="1"/>
  <c r="A59" i="14" s="1"/>
  <c r="B59" i="14" s="1"/>
  <c r="G59" i="14" s="1"/>
  <c r="C59" i="14" l="1"/>
  <c r="E59" i="14"/>
  <c r="F59" i="14"/>
  <c r="D59" i="14"/>
  <c r="I59" i="14"/>
  <c r="H59" i="14"/>
  <c r="A60" i="14" s="1"/>
  <c r="B60" i="14" s="1"/>
  <c r="G60" i="14" s="1"/>
  <c r="C60" i="14" l="1"/>
  <c r="I60" i="14"/>
  <c r="F60" i="14"/>
  <c r="D60" i="14"/>
  <c r="H60" i="14"/>
  <c r="A61" i="14" s="1"/>
  <c r="B61" i="14" s="1"/>
  <c r="E60" i="14"/>
  <c r="D61" i="14" l="1"/>
  <c r="G61" i="14"/>
  <c r="I61" i="14"/>
  <c r="E61" i="14"/>
  <c r="H61" i="14"/>
  <c r="A62" i="14" s="1"/>
  <c r="B62" i="14" s="1"/>
  <c r="G62" i="14" s="1"/>
  <c r="F61" i="14"/>
  <c r="C61" i="14"/>
  <c r="C62" i="14" l="1"/>
  <c r="D62" i="14"/>
  <c r="I62" i="14"/>
  <c r="F62" i="14"/>
  <c r="E62" i="14"/>
  <c r="H62" i="14"/>
  <c r="A63" i="14" s="1"/>
  <c r="B63" i="14" l="1"/>
  <c r="G63" i="14" s="1"/>
  <c r="C63" i="14" l="1"/>
  <c r="D63" i="14"/>
  <c r="E63" i="14"/>
  <c r="I63" i="14"/>
  <c r="F63" i="14"/>
  <c r="H63" i="14"/>
  <c r="A64" i="14" s="1"/>
  <c r="B64" i="14" l="1"/>
  <c r="G64" i="14" s="1"/>
  <c r="C64" i="14" l="1"/>
  <c r="D64" i="14"/>
  <c r="I64" i="14"/>
  <c r="K65" i="14" s="1"/>
  <c r="E64" i="14"/>
  <c r="F64" i="14"/>
  <c r="H64" i="14"/>
  <c r="A65" i="14" s="1"/>
  <c r="B65" i="14" l="1"/>
  <c r="G65" i="14" s="1"/>
  <c r="C65" i="14" l="1"/>
  <c r="D65" i="14"/>
  <c r="E65" i="14"/>
  <c r="F65" i="14"/>
  <c r="I65" i="14"/>
  <c r="K66" i="14" s="1"/>
  <c r="H65" i="14"/>
  <c r="A66" i="14" s="1"/>
  <c r="B66" i="14" l="1"/>
  <c r="E66" i="14" l="1"/>
  <c r="H66" i="14"/>
  <c r="A67" i="14" s="1"/>
  <c r="I66" i="14"/>
  <c r="K67" i="14" s="1"/>
  <c r="G66" i="14"/>
  <c r="F66" i="14"/>
  <c r="D66" i="14"/>
  <c r="C66" i="14"/>
  <c r="B67" i="14" l="1"/>
  <c r="H67" i="14" l="1"/>
  <c r="A68" i="14" s="1"/>
  <c r="F67" i="14"/>
  <c r="I67" i="14"/>
  <c r="K68" i="14" s="1"/>
  <c r="E67" i="14"/>
  <c r="D67" i="14"/>
  <c r="G67" i="14"/>
  <c r="C67" i="14"/>
  <c r="B68" i="14" l="1"/>
  <c r="I68" i="14" l="1"/>
  <c r="K69" i="14" s="1"/>
  <c r="H68" i="14"/>
  <c r="A69" i="14" s="1"/>
  <c r="G68" i="14"/>
  <c r="L65" i="14" s="1"/>
  <c r="E68" i="14"/>
  <c r="F68" i="14"/>
  <c r="D68" i="14"/>
  <c r="C68" i="14"/>
  <c r="B69" i="14" l="1"/>
  <c r="C69" i="14" s="1"/>
  <c r="E69" i="14" l="1"/>
  <c r="I69" i="14"/>
  <c r="K70" i="14" s="1"/>
  <c r="H69" i="14"/>
  <c r="A70" i="14" s="1"/>
  <c r="G69" i="14"/>
  <c r="F69" i="14"/>
  <c r="D69" i="14"/>
  <c r="B70" i="14" l="1"/>
  <c r="E70" i="14" l="1"/>
  <c r="G70" i="14"/>
  <c r="F70" i="14"/>
  <c r="D70" i="14"/>
  <c r="I70" i="14"/>
  <c r="K71" i="14" s="1"/>
  <c r="H70" i="14"/>
  <c r="A71" i="14" s="1"/>
  <c r="C70" i="14"/>
  <c r="B71" i="14" l="1"/>
  <c r="H71" i="14" l="1"/>
  <c r="A72" i="14" s="1"/>
  <c r="F71" i="14"/>
  <c r="G71" i="14"/>
  <c r="I71" i="14"/>
  <c r="K72" i="14" s="1"/>
  <c r="E71" i="14"/>
  <c r="D71" i="14"/>
  <c r="C71" i="14"/>
  <c r="B72" i="14" l="1"/>
  <c r="C72" i="14" s="1"/>
  <c r="I72" i="14" l="1"/>
  <c r="K73" i="14" s="1"/>
  <c r="E72" i="14"/>
  <c r="G72" i="14"/>
  <c r="F72" i="14"/>
  <c r="H72" i="14"/>
  <c r="A73" i="14" s="1"/>
  <c r="D72" i="14"/>
  <c r="B73" i="14" l="1"/>
  <c r="C73" i="14" s="1"/>
  <c r="G73" i="14" l="1"/>
  <c r="F73" i="14"/>
  <c r="E73" i="14"/>
  <c r="D73" i="14"/>
  <c r="I73" i="14"/>
  <c r="K74" i="14" s="1"/>
  <c r="H73" i="14"/>
  <c r="A74" i="14" s="1"/>
  <c r="B74" i="14" l="1"/>
  <c r="E74" i="14" l="1"/>
  <c r="I74" i="14"/>
  <c r="K75" i="14" s="1"/>
  <c r="H74" i="14"/>
  <c r="A75" i="14" s="1"/>
  <c r="G74" i="14"/>
  <c r="L69" i="14" s="1"/>
  <c r="L70" i="14" s="1"/>
  <c r="F74" i="14"/>
  <c r="D74" i="14"/>
  <c r="C74" i="14"/>
  <c r="B75" i="14" l="1"/>
  <c r="H75" i="14" l="1"/>
  <c r="A76" i="14" s="1"/>
  <c r="F75" i="14"/>
  <c r="D75" i="14"/>
  <c r="I75" i="14"/>
  <c r="K76" i="14" s="1"/>
  <c r="G75" i="14"/>
  <c r="E75" i="14"/>
  <c r="C75" i="14"/>
  <c r="B76" i="14" l="1"/>
  <c r="I76" i="14" l="1"/>
  <c r="K77" i="14" s="1"/>
  <c r="H76" i="14"/>
  <c r="A77" i="14" s="1"/>
  <c r="G76" i="14"/>
  <c r="F76" i="14"/>
  <c r="E76" i="14"/>
  <c r="D76" i="14"/>
  <c r="C76" i="14"/>
  <c r="B77" i="14" l="1"/>
  <c r="C77" i="14" s="1"/>
  <c r="I77" i="14" l="1"/>
  <c r="K78" i="14" s="1"/>
  <c r="H77" i="14"/>
  <c r="A78" i="14" s="1"/>
  <c r="F77" i="14"/>
  <c r="E77" i="14"/>
  <c r="G77" i="14"/>
  <c r="D77" i="14"/>
  <c r="B78" i="14" l="1"/>
  <c r="E78" i="14" l="1"/>
  <c r="F78" i="14"/>
  <c r="D78" i="14"/>
  <c r="I78" i="14"/>
  <c r="K79" i="14" s="1"/>
  <c r="H78" i="14"/>
  <c r="A79" i="14" s="1"/>
  <c r="G78" i="14"/>
  <c r="C78" i="14"/>
  <c r="B79" i="14" l="1"/>
  <c r="H79" i="14" l="1"/>
  <c r="A80" i="14" s="1"/>
  <c r="F79" i="14"/>
  <c r="G79" i="14"/>
  <c r="I79" i="14"/>
  <c r="K80" i="14" s="1"/>
  <c r="E79" i="14"/>
  <c r="D79" i="14"/>
  <c r="C79" i="14"/>
  <c r="B80" i="14" l="1"/>
  <c r="I80" i="14" l="1"/>
  <c r="K81" i="14" s="1"/>
  <c r="F80" i="14"/>
  <c r="H80" i="14"/>
  <c r="A81" i="14" s="1"/>
  <c r="G80" i="14"/>
  <c r="E80" i="14"/>
  <c r="D80" i="14"/>
  <c r="C80" i="14"/>
  <c r="B81" i="14" l="1"/>
  <c r="H81" i="14" l="1"/>
  <c r="A82" i="14" s="1"/>
  <c r="G81" i="14"/>
  <c r="F81" i="14"/>
  <c r="E81" i="14"/>
  <c r="D81" i="14"/>
  <c r="I81" i="14"/>
  <c r="K82" i="14" s="1"/>
  <c r="C81" i="14"/>
  <c r="B82" i="14" l="1"/>
  <c r="C82" i="14" s="1"/>
  <c r="E82" i="14" l="1"/>
  <c r="I82" i="14"/>
  <c r="K83" i="14" s="1"/>
  <c r="H82" i="14"/>
  <c r="A83" i="14" s="1"/>
  <c r="G82" i="14"/>
  <c r="D82" i="14"/>
  <c r="F82" i="14"/>
  <c r="B83" i="14" l="1"/>
  <c r="C83" i="14" s="1"/>
  <c r="H83" i="14" l="1"/>
  <c r="A84" i="14" s="1"/>
  <c r="F83" i="14"/>
  <c r="I83" i="14"/>
  <c r="K84" i="14" s="1"/>
  <c r="G83" i="14"/>
  <c r="E83" i="14"/>
  <c r="D83" i="14"/>
  <c r="B84" i="14" l="1"/>
  <c r="I84" i="14" l="1"/>
  <c r="K85" i="14" s="1"/>
  <c r="H84" i="14"/>
  <c r="A85" i="14" s="1"/>
  <c r="G84" i="14"/>
  <c r="F84" i="14"/>
  <c r="E84" i="14"/>
  <c r="D84" i="14"/>
  <c r="C84" i="14"/>
  <c r="B85" i="14" l="1"/>
  <c r="C85" i="14" s="1"/>
  <c r="I85" i="14" l="1"/>
  <c r="K86" i="14" s="1"/>
  <c r="E85" i="14"/>
  <c r="H85" i="14"/>
  <c r="A86" i="14" s="1"/>
  <c r="F85" i="14"/>
  <c r="G85" i="14"/>
  <c r="D85" i="14"/>
  <c r="B86" i="14" l="1"/>
  <c r="E86" i="14" l="1"/>
  <c r="G86" i="14"/>
  <c r="F86" i="14"/>
  <c r="D86" i="14"/>
  <c r="I86" i="14"/>
  <c r="K87" i="14" s="1"/>
  <c r="H86" i="14"/>
  <c r="A87" i="14" s="1"/>
  <c r="C86" i="14"/>
  <c r="B87" i="14" l="1"/>
  <c r="C87" i="14" s="1"/>
  <c r="H87" i="14" l="1"/>
  <c r="A88" i="14" s="1"/>
  <c r="F87" i="14"/>
  <c r="I87" i="14"/>
  <c r="K88" i="14" s="1"/>
  <c r="G87" i="14"/>
  <c r="E87" i="14"/>
  <c r="D87" i="14"/>
  <c r="B88" i="14" l="1"/>
  <c r="C88" i="14" s="1"/>
  <c r="I88" i="14" l="1"/>
  <c r="K89" i="14" s="1"/>
  <c r="E88" i="14"/>
  <c r="G88" i="14"/>
  <c r="F88" i="14"/>
  <c r="H88" i="14"/>
  <c r="A89" i="14" s="1"/>
  <c r="D88" i="14"/>
  <c r="B89" i="14" l="1"/>
  <c r="C89" i="14" s="1"/>
  <c r="G89" i="14" l="1"/>
  <c r="F89" i="14"/>
  <c r="D89" i="14"/>
  <c r="E89" i="14"/>
  <c r="I89" i="14"/>
  <c r="K90" i="14" s="1"/>
  <c r="H89" i="14"/>
  <c r="A90" i="14" s="1"/>
  <c r="B90" i="14" l="1"/>
  <c r="E90" i="14" l="1"/>
  <c r="I90" i="14"/>
  <c r="K91" i="14" s="1"/>
  <c r="H90" i="14"/>
  <c r="A91" i="14" s="1"/>
  <c r="G90" i="14"/>
  <c r="F90" i="14"/>
  <c r="D90" i="14"/>
  <c r="C90" i="14"/>
  <c r="B91" i="14" l="1"/>
  <c r="H91" i="14" l="1"/>
  <c r="A92" i="14" s="1"/>
  <c r="F91" i="14"/>
  <c r="D91" i="14"/>
  <c r="I91" i="14"/>
  <c r="K92" i="14" s="1"/>
  <c r="G91" i="14"/>
  <c r="E91" i="14"/>
  <c r="C91" i="14"/>
  <c r="B92" i="14" l="1"/>
  <c r="I92" i="14" l="1"/>
  <c r="K93" i="14" s="1"/>
  <c r="H92" i="14"/>
  <c r="A93" i="14" s="1"/>
  <c r="G92" i="14"/>
  <c r="F92" i="14"/>
  <c r="E92" i="14"/>
  <c r="D92" i="14"/>
  <c r="C92" i="14"/>
  <c r="B93" i="14" l="1"/>
  <c r="C93" i="14" s="1"/>
  <c r="E93" i="14" l="1"/>
  <c r="I93" i="14"/>
  <c r="K94" i="14" s="1"/>
  <c r="H93" i="14"/>
  <c r="A94" i="14" s="1"/>
  <c r="G93" i="14"/>
  <c r="D93" i="14"/>
  <c r="F93" i="14"/>
  <c r="B94" i="14" l="1"/>
  <c r="E94" i="14" l="1"/>
  <c r="F94" i="14"/>
  <c r="D94" i="14"/>
  <c r="I94" i="14"/>
  <c r="K95" i="14" s="1"/>
  <c r="H94" i="14"/>
  <c r="A95" i="14" s="1"/>
  <c r="G94" i="14"/>
  <c r="C94" i="14"/>
  <c r="B95" i="14" l="1"/>
  <c r="C95" i="14" s="1"/>
  <c r="H95" i="14" l="1"/>
  <c r="A96" i="14" s="1"/>
  <c r="F95" i="14"/>
  <c r="I95" i="14"/>
  <c r="K96" i="14" s="1"/>
  <c r="G95" i="14"/>
  <c r="E95" i="14"/>
  <c r="D95" i="14"/>
  <c r="B96" i="14" l="1"/>
  <c r="C96" i="14" s="1"/>
  <c r="I96" i="14" l="1"/>
  <c r="K97" i="14" s="1"/>
  <c r="E96" i="14"/>
  <c r="F96" i="14"/>
  <c r="G96" i="14"/>
  <c r="H96" i="14"/>
  <c r="A97" i="14" s="1"/>
  <c r="D96" i="14"/>
  <c r="B97" i="14" l="1"/>
  <c r="C97" i="14" s="1"/>
  <c r="G97" i="14" l="1"/>
  <c r="F97" i="14"/>
  <c r="D97" i="14"/>
  <c r="E97" i="14"/>
  <c r="I97" i="14"/>
  <c r="K98" i="14" s="1"/>
  <c r="H97" i="14"/>
  <c r="A98" i="14" s="1"/>
  <c r="B98" i="14" l="1"/>
  <c r="E98" i="14" l="1"/>
  <c r="I98" i="14"/>
  <c r="K99" i="14" s="1"/>
  <c r="H98" i="14"/>
  <c r="A99" i="14" s="1"/>
  <c r="G98" i="14"/>
  <c r="F98" i="14"/>
  <c r="D98" i="14"/>
  <c r="C98" i="14"/>
  <c r="B99" i="14" l="1"/>
  <c r="H99" i="14" l="1"/>
  <c r="A100" i="14" s="1"/>
  <c r="F99" i="14"/>
  <c r="E99" i="14"/>
  <c r="D99" i="14"/>
  <c r="G99" i="14"/>
  <c r="I99" i="14"/>
  <c r="K100" i="14" s="1"/>
  <c r="C99" i="14"/>
  <c r="B100" i="14" l="1"/>
  <c r="I100" i="14" l="1"/>
  <c r="K101" i="14" s="1"/>
  <c r="F100" i="14"/>
  <c r="H100" i="14"/>
  <c r="A101" i="14" s="1"/>
  <c r="G100" i="14"/>
  <c r="E100" i="14"/>
  <c r="D100" i="14"/>
  <c r="C100" i="14"/>
  <c r="B101" i="14" l="1"/>
  <c r="C101" i="14" s="1"/>
  <c r="I101" i="14" l="1"/>
  <c r="K102" i="14" s="1"/>
  <c r="F101" i="14"/>
  <c r="H101" i="14"/>
  <c r="A102" i="14" s="1"/>
  <c r="G101" i="14"/>
  <c r="E101" i="14"/>
  <c r="D101" i="14"/>
  <c r="B102" i="14" l="1"/>
  <c r="E102" i="14" l="1"/>
  <c r="H102" i="14"/>
  <c r="A103" i="14" s="1"/>
  <c r="I102" i="14"/>
  <c r="K103" i="14" s="1"/>
  <c r="F102" i="14"/>
  <c r="G102" i="14"/>
  <c r="D102" i="14"/>
  <c r="C102" i="14"/>
  <c r="B103" i="14" l="1"/>
  <c r="H103" i="14" l="1"/>
  <c r="A104" i="14" s="1"/>
  <c r="F103" i="14"/>
  <c r="I103" i="14"/>
  <c r="G103" i="14"/>
  <c r="E103" i="14"/>
  <c r="D103" i="14"/>
  <c r="C103" i="14"/>
  <c r="K104" i="14" l="1"/>
  <c r="B104" i="14"/>
  <c r="C104" i="14" s="1"/>
  <c r="I104" i="14" l="1"/>
  <c r="F104" i="14"/>
  <c r="E104" i="14"/>
  <c r="H104" i="14"/>
  <c r="A105" i="14" s="1"/>
  <c r="G104" i="14"/>
  <c r="D104" i="14"/>
  <c r="B105" i="14" l="1"/>
  <c r="C105" i="14" s="1"/>
  <c r="K105" i="14"/>
  <c r="I105" i="14" l="1"/>
  <c r="H105" i="14"/>
  <c r="A106" i="14" s="1"/>
  <c r="E105" i="14"/>
  <c r="D105" i="14"/>
  <c r="G105" i="14"/>
  <c r="F105" i="14"/>
  <c r="B106" i="14" l="1"/>
  <c r="K106" i="14"/>
  <c r="E106" i="14" l="1"/>
  <c r="H106" i="14"/>
  <c r="A107" i="14" s="1"/>
  <c r="I106" i="14"/>
  <c r="G106" i="14"/>
  <c r="F106" i="14"/>
  <c r="D106" i="14"/>
  <c r="C106" i="14"/>
  <c r="B107" i="14" l="1"/>
  <c r="K107" i="14"/>
  <c r="H107" i="14" l="1"/>
  <c r="A108" i="14" s="1"/>
  <c r="F107" i="14"/>
  <c r="G107" i="14"/>
  <c r="E107" i="14"/>
  <c r="D107" i="14"/>
  <c r="I107" i="14"/>
  <c r="C107" i="14"/>
  <c r="K108" i="14" l="1"/>
  <c r="B108" i="14"/>
  <c r="C108" i="14" s="1"/>
  <c r="I108" i="14" l="1"/>
  <c r="K109" i="14" s="1"/>
  <c r="F108" i="14"/>
  <c r="E108" i="14"/>
  <c r="G108" i="14"/>
  <c r="H108" i="14"/>
  <c r="A109" i="14" s="1"/>
  <c r="D108" i="14"/>
  <c r="B109" i="14" l="1"/>
  <c r="C109" i="14" s="1"/>
  <c r="I109" i="14" l="1"/>
  <c r="K110" i="14" s="1"/>
  <c r="H109" i="14"/>
  <c r="A110" i="14" s="1"/>
  <c r="E109" i="14"/>
  <c r="G109" i="14"/>
  <c r="D109" i="14"/>
  <c r="F109" i="14"/>
  <c r="B110" i="14" l="1"/>
  <c r="C110" i="14" s="1"/>
  <c r="E110" i="14" l="1"/>
  <c r="H110" i="14"/>
  <c r="A111" i="14" s="1"/>
  <c r="F110" i="14"/>
  <c r="I110" i="14"/>
  <c r="K111" i="14" s="1"/>
  <c r="G110" i="14"/>
  <c r="D110" i="14"/>
  <c r="N247" i="13"/>
  <c r="U43" i="19" s="1"/>
  <c r="AY43" i="19" s="1"/>
  <c r="N142" i="13"/>
  <c r="N143" i="13" s="1"/>
  <c r="B111" i="14" l="1"/>
  <c r="N185" i="13"/>
  <c r="H111" i="14" l="1"/>
  <c r="A112" i="14" s="1"/>
  <c r="F111" i="14"/>
  <c r="I111" i="14"/>
  <c r="K112" i="14" s="1"/>
  <c r="G111" i="14"/>
  <c r="E111" i="14"/>
  <c r="D111" i="14"/>
  <c r="C111" i="14"/>
  <c r="O185" i="13"/>
  <c r="B112" i="14" l="1"/>
  <c r="C112" i="14" s="1"/>
  <c r="P185" i="13"/>
  <c r="I112" i="14" l="1"/>
  <c r="K113" i="14" s="1"/>
  <c r="F112" i="14"/>
  <c r="E112" i="14"/>
  <c r="H112" i="14"/>
  <c r="A113" i="14" s="1"/>
  <c r="G112" i="14"/>
  <c r="D112" i="14"/>
  <c r="Q185" i="13"/>
  <c r="B113" i="14" l="1"/>
  <c r="C113" i="14" s="1"/>
  <c r="I113" i="14" l="1"/>
  <c r="K114" i="14" s="1"/>
  <c r="H113" i="14"/>
  <c r="A114" i="14" s="1"/>
  <c r="E113" i="14"/>
  <c r="G113" i="14"/>
  <c r="F113" i="14"/>
  <c r="D113" i="14"/>
  <c r="T29" i="19"/>
  <c r="M175" i="13"/>
  <c r="M186" i="13" s="1"/>
  <c r="M230" i="13" s="1"/>
  <c r="B114" i="14" l="1"/>
  <c r="M150" i="13"/>
  <c r="T26" i="19" s="1"/>
  <c r="M152" i="13"/>
  <c r="M3" i="13"/>
  <c r="T21" i="19" s="1"/>
  <c r="E114" i="14" l="1"/>
  <c r="H114" i="14"/>
  <c r="A115" i="14" s="1"/>
  <c r="F114" i="14"/>
  <c r="D114" i="14"/>
  <c r="I114" i="14"/>
  <c r="K115" i="14" s="1"/>
  <c r="G114" i="14"/>
  <c r="C114" i="14"/>
  <c r="M144" i="13"/>
  <c r="T27" i="19" s="1"/>
  <c r="T25" i="19"/>
  <c r="B115" i="14" l="1"/>
  <c r="H115" i="14" l="1"/>
  <c r="A116" i="14" s="1"/>
  <c r="F115" i="14"/>
  <c r="D115" i="14"/>
  <c r="I115" i="14"/>
  <c r="K116" i="14" s="1"/>
  <c r="E115" i="14"/>
  <c r="G115" i="14"/>
  <c r="C115" i="14"/>
  <c r="U29" i="19"/>
  <c r="O242" i="13"/>
  <c r="V42" i="19" s="1"/>
  <c r="V29" i="19"/>
  <c r="B116" i="14" l="1"/>
  <c r="C116" i="14" s="1"/>
  <c r="I116" i="14" l="1"/>
  <c r="K117" i="14" s="1"/>
  <c r="F116" i="14"/>
  <c r="E116" i="14"/>
  <c r="H116" i="14"/>
  <c r="A117" i="14" s="1"/>
  <c r="G116" i="14"/>
  <c r="D116" i="14"/>
  <c r="U14" i="19"/>
  <c r="N175" i="13"/>
  <c r="B117" i="14" l="1"/>
  <c r="U18" i="19"/>
  <c r="V14" i="19"/>
  <c r="O175" i="13"/>
  <c r="N152" i="13"/>
  <c r="N3" i="13"/>
  <c r="U21" i="19" s="1"/>
  <c r="N150" i="13"/>
  <c r="N186" i="13"/>
  <c r="N230" i="13" s="1"/>
  <c r="I117" i="14" l="1"/>
  <c r="K118" i="14" s="1"/>
  <c r="H117" i="14"/>
  <c r="A118" i="14" s="1"/>
  <c r="E117" i="14"/>
  <c r="D117" i="14"/>
  <c r="F117" i="14"/>
  <c r="G117" i="14"/>
  <c r="C117" i="14"/>
  <c r="O3" i="13"/>
  <c r="V21" i="19" s="1"/>
  <c r="O150" i="13"/>
  <c r="V18" i="19"/>
  <c r="U25" i="19"/>
  <c r="N153" i="13"/>
  <c r="O152" i="13"/>
  <c r="O186" i="13"/>
  <c r="O230" i="13" s="1"/>
  <c r="U26" i="19"/>
  <c r="N151" i="13"/>
  <c r="N144" i="13"/>
  <c r="B118" i="14" l="1"/>
  <c r="C118" i="14" s="1"/>
  <c r="V26" i="19"/>
  <c r="O155" i="13"/>
  <c r="O153" i="13"/>
  <c r="V25" i="19"/>
  <c r="O144" i="13"/>
  <c r="O151" i="13"/>
  <c r="U27" i="19"/>
  <c r="N145" i="13"/>
  <c r="E118" i="14" l="1"/>
  <c r="H118" i="14"/>
  <c r="A119" i="14" s="1"/>
  <c r="I118" i="14"/>
  <c r="K119" i="14" s="1"/>
  <c r="F118" i="14"/>
  <c r="G118" i="14"/>
  <c r="D118" i="14"/>
  <c r="V27" i="19"/>
  <c r="O145" i="13"/>
  <c r="B119" i="14" l="1"/>
  <c r="H119" i="14" l="1"/>
  <c r="A120" i="14" s="1"/>
  <c r="F119" i="14"/>
  <c r="I119" i="14"/>
  <c r="K120" i="14" s="1"/>
  <c r="E119" i="14"/>
  <c r="D119" i="14"/>
  <c r="G119" i="14"/>
  <c r="C119" i="14"/>
  <c r="B120" i="14" l="1"/>
  <c r="C120" i="14" s="1"/>
  <c r="S140" i="13" l="1"/>
  <c r="S241" i="13" s="1"/>
  <c r="I120" i="14"/>
  <c r="K121" i="14" s="1"/>
  <c r="F120" i="14"/>
  <c r="E120" i="14"/>
  <c r="H120" i="14"/>
  <c r="A121" i="14" s="1"/>
  <c r="G120" i="14"/>
  <c r="D120" i="14"/>
  <c r="S141" i="13" l="1"/>
  <c r="B121" i="14"/>
  <c r="C121" i="14" s="1"/>
  <c r="H43" i="13"/>
  <c r="I121" i="14" l="1"/>
  <c r="K122" i="14" s="1"/>
  <c r="H121" i="14"/>
  <c r="A122" i="14" s="1"/>
  <c r="E121" i="14"/>
  <c r="F121" i="14"/>
  <c r="D121" i="14"/>
  <c r="G121" i="14"/>
  <c r="H44" i="13"/>
  <c r="H41" i="13"/>
  <c r="U185" i="13" l="1"/>
  <c r="B122" i="14"/>
  <c r="H51" i="13"/>
  <c r="O4" i="19" l="1"/>
  <c r="O47" i="19" s="1"/>
  <c r="H53" i="13"/>
  <c r="H11" i="13"/>
  <c r="H12" i="13" s="1"/>
  <c r="O36" i="19" s="1"/>
  <c r="E122" i="14"/>
  <c r="H122" i="14"/>
  <c r="A123" i="14" s="1"/>
  <c r="I122" i="14"/>
  <c r="K123" i="14" s="1"/>
  <c r="G122" i="14"/>
  <c r="F122" i="14"/>
  <c r="D122" i="14"/>
  <c r="C122" i="14"/>
  <c r="H54" i="13"/>
  <c r="H143" i="13"/>
  <c r="H65" i="13" l="1"/>
  <c r="O35" i="19"/>
  <c r="O51" i="19"/>
  <c r="W185" i="13"/>
  <c r="B123" i="14"/>
  <c r="X185" i="13" l="1"/>
  <c r="H123" i="14"/>
  <c r="A124" i="14" s="1"/>
  <c r="F123" i="14"/>
  <c r="I123" i="14"/>
  <c r="K124" i="14" s="1"/>
  <c r="G123" i="14"/>
  <c r="E123" i="14"/>
  <c r="D123" i="14"/>
  <c r="C123" i="14"/>
  <c r="Y185" i="13" l="1"/>
  <c r="B124" i="14"/>
  <c r="C124" i="14" s="1"/>
  <c r="I124" i="14" l="1"/>
  <c r="K125" i="14" s="1"/>
  <c r="F124" i="14"/>
  <c r="E124" i="14"/>
  <c r="D124" i="14"/>
  <c r="G124" i="14"/>
  <c r="H124" i="14"/>
  <c r="A125" i="14" s="1"/>
  <c r="H242" i="13"/>
  <c r="B125" i="14" l="1"/>
  <c r="C125" i="14" s="1"/>
  <c r="O42" i="19"/>
  <c r="H265" i="13"/>
  <c r="I125" i="14" l="1"/>
  <c r="K126" i="14" s="1"/>
  <c r="H125" i="14"/>
  <c r="A126" i="14" s="1"/>
  <c r="E125" i="14"/>
  <c r="G125" i="14"/>
  <c r="F125" i="14"/>
  <c r="D125" i="14"/>
  <c r="H266" i="13"/>
  <c r="O45" i="19" s="1"/>
  <c r="H267" i="13"/>
  <c r="I264" i="13"/>
  <c r="B126" i="14" l="1"/>
  <c r="I43" i="13"/>
  <c r="E126" i="14" l="1"/>
  <c r="H126" i="14"/>
  <c r="A127" i="14" s="1"/>
  <c r="G126" i="14"/>
  <c r="I126" i="14"/>
  <c r="K127" i="14" s="1"/>
  <c r="F126" i="14"/>
  <c r="D126" i="14"/>
  <c r="C126" i="14"/>
  <c r="I44" i="13"/>
  <c r="B127" i="14" l="1"/>
  <c r="I51" i="13"/>
  <c r="P4" i="19" l="1"/>
  <c r="P51" i="19" s="1"/>
  <c r="I151" i="13"/>
  <c r="I53" i="13"/>
  <c r="I141" i="13"/>
  <c r="I147" i="13"/>
  <c r="I143" i="13"/>
  <c r="I145" i="13"/>
  <c r="I139" i="13"/>
  <c r="I54" i="13"/>
  <c r="I153" i="13"/>
  <c r="H127" i="14"/>
  <c r="A128" i="14" s="1"/>
  <c r="F127" i="14"/>
  <c r="I127" i="14"/>
  <c r="K128" i="14" s="1"/>
  <c r="G127" i="14"/>
  <c r="E127" i="14"/>
  <c r="D127" i="14"/>
  <c r="C127" i="14"/>
  <c r="I11" i="13"/>
  <c r="P47" i="19" l="1"/>
  <c r="B128" i="14"/>
  <c r="C128" i="14" s="1"/>
  <c r="P35" i="19"/>
  <c r="I12" i="13"/>
  <c r="P36" i="19" s="1"/>
  <c r="I128" i="14" l="1"/>
  <c r="K129" i="14" s="1"/>
  <c r="F128" i="14"/>
  <c r="E128" i="14"/>
  <c r="D128" i="14"/>
  <c r="H128" i="14"/>
  <c r="A129" i="14" s="1"/>
  <c r="G128" i="14"/>
  <c r="I242" i="13"/>
  <c r="B129" i="14" l="1"/>
  <c r="C129" i="14" s="1"/>
  <c r="P42" i="19"/>
  <c r="I265" i="13"/>
  <c r="I129" i="14" l="1"/>
  <c r="K130" i="14" s="1"/>
  <c r="H129" i="14"/>
  <c r="A130" i="14" s="1"/>
  <c r="E129" i="14"/>
  <c r="G129" i="14"/>
  <c r="F129" i="14"/>
  <c r="D129" i="14"/>
  <c r="I267" i="13"/>
  <c r="I266" i="13"/>
  <c r="P45" i="19" s="1"/>
  <c r="J264" i="13"/>
  <c r="B130" i="14" l="1"/>
  <c r="J43" i="13"/>
  <c r="E130" i="14" l="1"/>
  <c r="H130" i="14"/>
  <c r="A131" i="14" s="1"/>
  <c r="G130" i="14"/>
  <c r="F130" i="14"/>
  <c r="D130" i="14"/>
  <c r="I130" i="14"/>
  <c r="K131" i="14" s="1"/>
  <c r="C130" i="14"/>
  <c r="J51" i="13"/>
  <c r="J33" i="13" s="1"/>
  <c r="BL48" i="13" s="1"/>
  <c r="BL47" i="13" s="1"/>
  <c r="J139" i="13" l="1"/>
  <c r="J153" i="13"/>
  <c r="J145" i="13"/>
  <c r="Q1" i="19"/>
  <c r="J143" i="13"/>
  <c r="J141" i="13"/>
  <c r="J54" i="13"/>
  <c r="J11" i="13"/>
  <c r="J12" i="13" s="1"/>
  <c r="Q36" i="19" s="1"/>
  <c r="J53" i="13"/>
  <c r="J147" i="13"/>
  <c r="B131" i="14"/>
  <c r="Q4" i="19"/>
  <c r="J151" i="13"/>
  <c r="Q51" i="19" l="1"/>
  <c r="Q47" i="19"/>
  <c r="Q35" i="19"/>
  <c r="H131" i="14"/>
  <c r="A132" i="14" s="1"/>
  <c r="F131" i="14"/>
  <c r="I131" i="14"/>
  <c r="K132" i="14" s="1"/>
  <c r="D131" i="14"/>
  <c r="G131" i="14"/>
  <c r="E131" i="14"/>
  <c r="C131" i="14"/>
  <c r="B132" i="14" l="1"/>
  <c r="C132" i="14" s="1"/>
  <c r="J242" i="13"/>
  <c r="I132" i="14" l="1"/>
  <c r="K133" i="14" s="1"/>
  <c r="F132" i="14"/>
  <c r="E132" i="14"/>
  <c r="H132" i="14"/>
  <c r="A133" i="14" s="1"/>
  <c r="G132" i="14"/>
  <c r="D132" i="14"/>
  <c r="Q42" i="19"/>
  <c r="J265" i="13"/>
  <c r="B133" i="14" l="1"/>
  <c r="C133" i="14" s="1"/>
  <c r="J266" i="13"/>
  <c r="Q45" i="19" s="1"/>
  <c r="J267" i="13"/>
  <c r="K264" i="13"/>
  <c r="I133" i="14" l="1"/>
  <c r="K134" i="14" s="1"/>
  <c r="H133" i="14"/>
  <c r="A134" i="14" s="1"/>
  <c r="E133" i="14"/>
  <c r="F133" i="14"/>
  <c r="G133" i="14"/>
  <c r="D133" i="14"/>
  <c r="K41" i="13"/>
  <c r="B134" i="14" l="1"/>
  <c r="K51" i="13"/>
  <c r="K65" i="13" l="1"/>
  <c r="E134" i="14"/>
  <c r="H134" i="14"/>
  <c r="A135" i="14" s="1"/>
  <c r="I134" i="14"/>
  <c r="K135" i="14" s="1"/>
  <c r="F134" i="14"/>
  <c r="G134" i="14"/>
  <c r="D134" i="14"/>
  <c r="C134" i="14"/>
  <c r="K11" i="13"/>
  <c r="K145" i="13"/>
  <c r="K139" i="13"/>
  <c r="K54" i="13"/>
  <c r="L54" i="13" s="1"/>
  <c r="K153" i="13"/>
  <c r="R4" i="19"/>
  <c r="L53" i="13"/>
  <c r="K53" i="13"/>
  <c r="K143" i="13"/>
  <c r="K151" i="13"/>
  <c r="K147" i="13"/>
  <c r="K141" i="13"/>
  <c r="B135" i="14" l="1"/>
  <c r="R47" i="19"/>
  <c r="S47" i="19" s="1"/>
  <c r="R51" i="19"/>
  <c r="K12" i="13"/>
  <c r="R36" i="19" s="1"/>
  <c r="R35" i="19"/>
  <c r="H135" i="14" l="1"/>
  <c r="A136" i="14" s="1"/>
  <c r="F135" i="14"/>
  <c r="D135" i="14"/>
  <c r="I135" i="14"/>
  <c r="K136" i="14" s="1"/>
  <c r="G135" i="14"/>
  <c r="E135" i="14"/>
  <c r="C135" i="14"/>
  <c r="B136" i="14" l="1"/>
  <c r="C136" i="14" s="1"/>
  <c r="K242" i="13"/>
  <c r="I136" i="14" l="1"/>
  <c r="K137" i="14" s="1"/>
  <c r="F136" i="14"/>
  <c r="E136" i="14"/>
  <c r="H136" i="14"/>
  <c r="A137" i="14" s="1"/>
  <c r="G136" i="14"/>
  <c r="D136" i="14"/>
  <c r="K265" i="13"/>
  <c r="R42" i="19"/>
  <c r="B137" i="14" l="1"/>
  <c r="C137" i="14" s="1"/>
  <c r="L264" i="13"/>
  <c r="K267" i="13"/>
  <c r="K266" i="13"/>
  <c r="R45" i="19" s="1"/>
  <c r="I137" i="14" l="1"/>
  <c r="K138" i="14" s="1"/>
  <c r="H137" i="14"/>
  <c r="A138" i="14" s="1"/>
  <c r="E137" i="14"/>
  <c r="F137" i="14"/>
  <c r="D137" i="14"/>
  <c r="G137" i="14"/>
  <c r="B138" i="14" l="1"/>
  <c r="E138" i="14" l="1"/>
  <c r="H138" i="14"/>
  <c r="A139" i="14" s="1"/>
  <c r="I138" i="14"/>
  <c r="G138" i="14"/>
  <c r="F138" i="14"/>
  <c r="D138" i="14"/>
  <c r="C138" i="14"/>
  <c r="B139" i="14" l="1"/>
  <c r="K139" i="14"/>
  <c r="P21" i="14"/>
  <c r="N22" i="14"/>
  <c r="V21" i="14"/>
  <c r="X22" i="14"/>
  <c r="X21" i="14"/>
  <c r="M20" i="14"/>
  <c r="N21" i="14"/>
  <c r="T22" i="14"/>
  <c r="Q21" i="14"/>
  <c r="W21" i="14"/>
  <c r="V22" i="14"/>
  <c r="U21" i="14"/>
  <c r="M22" i="14"/>
  <c r="T21" i="14"/>
  <c r="U22" i="14"/>
  <c r="P22" i="14"/>
  <c r="Q22" i="14"/>
  <c r="O21" i="14"/>
  <c r="S21" i="14"/>
  <c r="W22" i="14"/>
  <c r="S22" i="14"/>
  <c r="R21" i="14"/>
  <c r="L20" i="14"/>
  <c r="M21" i="14"/>
  <c r="R22" i="14"/>
  <c r="L21" i="14"/>
  <c r="O22" i="14"/>
  <c r="L242" i="13"/>
  <c r="L22" i="14" l="1"/>
  <c r="H139" i="14"/>
  <c r="A140" i="14" s="1"/>
  <c r="F139" i="14"/>
  <c r="G139" i="14"/>
  <c r="E139" i="14"/>
  <c r="D139" i="14"/>
  <c r="I139" i="14"/>
  <c r="C139" i="14"/>
  <c r="S42" i="19"/>
  <c r="L265" i="13"/>
  <c r="B140" i="14" l="1"/>
  <c r="C140" i="14" s="1"/>
  <c r="M69" i="14"/>
  <c r="L24" i="14"/>
  <c r="M19" i="14" s="1"/>
  <c r="M24" i="14" s="1"/>
  <c r="L266" i="13"/>
  <c r="S45" i="19" s="1"/>
  <c r="M264" i="13"/>
  <c r="L267" i="13"/>
  <c r="N19" i="14" l="1"/>
  <c r="N27" i="14"/>
  <c r="N29" i="14" s="1"/>
  <c r="N28" i="14"/>
  <c r="I140" i="14"/>
  <c r="F140" i="14"/>
  <c r="E140" i="14"/>
  <c r="H140" i="14"/>
  <c r="A141" i="14" s="1"/>
  <c r="G140" i="14"/>
  <c r="D140" i="14"/>
  <c r="B141" i="14" l="1"/>
  <c r="C141" i="14" s="1"/>
  <c r="N24" i="14"/>
  <c r="O19" i="14" s="1"/>
  <c r="N20" i="14"/>
  <c r="M43" i="13"/>
  <c r="O20" i="14" l="1"/>
  <c r="O24" i="14"/>
  <c r="P19" i="14" s="1"/>
  <c r="I141" i="14"/>
  <c r="H141" i="14"/>
  <c r="A142" i="14" s="1"/>
  <c r="E141" i="14"/>
  <c r="G141" i="14"/>
  <c r="F141" i="14"/>
  <c r="D141" i="14"/>
  <c r="M44" i="13"/>
  <c r="M41" i="13"/>
  <c r="B142" i="14" l="1"/>
  <c r="P24" i="14"/>
  <c r="Q19" i="14" s="1"/>
  <c r="P20" i="14"/>
  <c r="M51" i="13"/>
  <c r="M33" i="13" s="1"/>
  <c r="BM48" i="13" s="1"/>
  <c r="BM47" i="13" s="1"/>
  <c r="T1" i="19" l="1"/>
  <c r="M53" i="13"/>
  <c r="M139" i="13"/>
  <c r="M141" i="13"/>
  <c r="N53" i="13"/>
  <c r="M145" i="13"/>
  <c r="E142" i="14"/>
  <c r="H142" i="14"/>
  <c r="A143" i="14" s="1"/>
  <c r="F142" i="14"/>
  <c r="G142" i="14"/>
  <c r="I142" i="14"/>
  <c r="D142" i="14"/>
  <c r="Q20" i="14"/>
  <c r="Q24" i="14"/>
  <c r="R19" i="14" s="1"/>
  <c r="C142" i="14"/>
  <c r="M143" i="13"/>
  <c r="M54" i="13"/>
  <c r="N54" i="13" s="1"/>
  <c r="O54" i="13" s="1"/>
  <c r="P54" i="13" s="1"/>
  <c r="Q54" i="13" s="1"/>
  <c r="T4" i="19"/>
  <c r="M11" i="13"/>
  <c r="T35" i="19" s="1"/>
  <c r="M151" i="13"/>
  <c r="M147" i="13"/>
  <c r="M153" i="13"/>
  <c r="AY4" i="19" l="1"/>
  <c r="T47" i="19"/>
  <c r="U47" i="19" s="1"/>
  <c r="V47" i="19" s="1"/>
  <c r="W47" i="19" s="1"/>
  <c r="X47" i="19" s="1"/>
  <c r="T51" i="19"/>
  <c r="M12" i="13"/>
  <c r="T36" i="19" s="1"/>
  <c r="R24" i="14"/>
  <c r="S19" i="14" s="1"/>
  <c r="R20" i="14"/>
  <c r="B143" i="14"/>
  <c r="R54" i="13"/>
  <c r="S54" i="13" s="1"/>
  <c r="AY35" i="19" l="1"/>
  <c r="AY36" i="19" s="1"/>
  <c r="F143" i="14"/>
  <c r="I143" i="14"/>
  <c r="G143" i="14"/>
  <c r="H143" i="14"/>
  <c r="A144" i="14" s="1"/>
  <c r="E143" i="14"/>
  <c r="D143" i="14"/>
  <c r="C143" i="14"/>
  <c r="S24" i="14"/>
  <c r="T19" i="14" s="1"/>
  <c r="S20" i="14"/>
  <c r="AE35" i="13"/>
  <c r="AD35" i="13"/>
  <c r="Z35" i="13"/>
  <c r="AA35" i="13"/>
  <c r="W42" i="13"/>
  <c r="AD42" i="13"/>
  <c r="U42" i="13"/>
  <c r="AE42" i="13"/>
  <c r="AA42" i="13"/>
  <c r="Z42" i="13"/>
  <c r="W105" i="13"/>
  <c r="U105" i="13"/>
  <c r="AD105" i="13"/>
  <c r="X105" i="13"/>
  <c r="AE105" i="13"/>
  <c r="AA105" i="13"/>
  <c r="Z105" i="13"/>
  <c r="U40" i="13"/>
  <c r="X40" i="13"/>
  <c r="Y40" i="13"/>
  <c r="AE40" i="13"/>
  <c r="AD40" i="13"/>
  <c r="W40" i="13"/>
  <c r="AA40" i="13"/>
  <c r="Z40" i="13"/>
  <c r="AC57" i="13"/>
  <c r="X104" i="13"/>
  <c r="X106" i="13" s="1"/>
  <c r="AD104" i="13"/>
  <c r="AE104" i="13"/>
  <c r="AE106" i="13" s="1"/>
  <c r="AA104" i="13"/>
  <c r="Z104" i="13"/>
  <c r="AY51" i="19"/>
  <c r="AD41" i="13"/>
  <c r="AE41" i="13"/>
  <c r="AA41" i="13"/>
  <c r="Y47" i="19"/>
  <c r="S89" i="13"/>
  <c r="M242" i="13"/>
  <c r="U106" i="13" l="1"/>
  <c r="AA106" i="13"/>
  <c r="AD106" i="13"/>
  <c r="Z106" i="13"/>
  <c r="AC56" i="13"/>
  <c r="AC62" i="13"/>
  <c r="AA44" i="13"/>
  <c r="Z38" i="13"/>
  <c r="Z59" i="13"/>
  <c r="AD39" i="13"/>
  <c r="AD61" i="13"/>
  <c r="AA38" i="13"/>
  <c r="AA59" i="13"/>
  <c r="U37" i="13"/>
  <c r="U58" i="13"/>
  <c r="AC59" i="13"/>
  <c r="AC58" i="13"/>
  <c r="AE43" i="13"/>
  <c r="AE62" i="13"/>
  <c r="AA37" i="13"/>
  <c r="AA58" i="13"/>
  <c r="U36" i="13"/>
  <c r="X39" i="13"/>
  <c r="X61" i="13"/>
  <c r="AD38" i="13"/>
  <c r="AD59" i="13"/>
  <c r="AD37" i="13"/>
  <c r="AD58" i="13"/>
  <c r="W39" i="13"/>
  <c r="W61" i="13"/>
  <c r="AE38" i="13"/>
  <c r="AE59" i="13"/>
  <c r="W43" i="13"/>
  <c r="W62" i="13"/>
  <c r="AE37" i="13"/>
  <c r="AE58" i="13"/>
  <c r="AD36" i="13"/>
  <c r="AC61" i="13"/>
  <c r="U43" i="13"/>
  <c r="U62" i="13"/>
  <c r="U44" i="13"/>
  <c r="AE36" i="13"/>
  <c r="U39" i="13"/>
  <c r="U61" i="13"/>
  <c r="U38" i="13"/>
  <c r="U59" i="13"/>
  <c r="AE39" i="13"/>
  <c r="AE61" i="13"/>
  <c r="AE44" i="13"/>
  <c r="W37" i="13"/>
  <c r="W58" i="13"/>
  <c r="X43" i="13"/>
  <c r="X62" i="13"/>
  <c r="X44" i="13"/>
  <c r="Y39" i="13"/>
  <c r="Y61" i="13"/>
  <c r="Z37" i="13"/>
  <c r="Z58" i="13"/>
  <c r="Z39" i="13"/>
  <c r="Z61" i="13"/>
  <c r="AD44" i="13"/>
  <c r="Y43" i="13"/>
  <c r="Y62" i="13"/>
  <c r="Z43" i="13"/>
  <c r="Z62" i="13"/>
  <c r="Z44" i="13"/>
  <c r="Y36" i="13"/>
  <c r="Y57" i="13"/>
  <c r="AA39" i="13"/>
  <c r="AA61" i="13"/>
  <c r="W38" i="13"/>
  <c r="W59" i="13"/>
  <c r="AA36" i="13"/>
  <c r="AA57" i="13"/>
  <c r="X37" i="13"/>
  <c r="X58" i="13"/>
  <c r="Y44" i="13"/>
  <c r="X36" i="13"/>
  <c r="X57" i="13"/>
  <c r="X38" i="13"/>
  <c r="X59" i="13"/>
  <c r="Y37" i="13"/>
  <c r="Y58" i="13"/>
  <c r="AA43" i="13"/>
  <c r="AA62" i="13"/>
  <c r="W44" i="13"/>
  <c r="W36" i="13"/>
  <c r="W57" i="13"/>
  <c r="Y38" i="13"/>
  <c r="Y59" i="13"/>
  <c r="T24" i="14"/>
  <c r="U19" i="14" s="1"/>
  <c r="T20" i="14"/>
  <c r="B144" i="14"/>
  <c r="BE41" i="13"/>
  <c r="T104" i="13"/>
  <c r="T42" i="13"/>
  <c r="T39" i="13"/>
  <c r="T105" i="13"/>
  <c r="BE105" i="13" s="1"/>
  <c r="T36" i="13"/>
  <c r="Z57" i="13"/>
  <c r="T40" i="13"/>
  <c r="BE40" i="13" s="1"/>
  <c r="T44" i="13"/>
  <c r="T38" i="13"/>
  <c r="T37" i="13"/>
  <c r="T43" i="13"/>
  <c r="AD62" i="13"/>
  <c r="Z47" i="19"/>
  <c r="S94" i="13"/>
  <c r="Q89" i="13"/>
  <c r="M265" i="13"/>
  <c r="T42" i="19"/>
  <c r="BG58" i="13" l="1"/>
  <c r="BG59" i="13"/>
  <c r="BG61" i="13"/>
  <c r="BG44" i="13"/>
  <c r="BG62" i="13"/>
  <c r="T106" i="13"/>
  <c r="AC63" i="13"/>
  <c r="AA63" i="13"/>
  <c r="AE63" i="13"/>
  <c r="AY47" i="19"/>
  <c r="AC30" i="19"/>
  <c r="BE38" i="13"/>
  <c r="BE37" i="13"/>
  <c r="BE39" i="13"/>
  <c r="U51" i="13"/>
  <c r="AA51" i="13"/>
  <c r="AA11" i="13" s="1"/>
  <c r="AA12" i="13" s="1"/>
  <c r="Y64" i="13"/>
  <c r="BE35" i="13"/>
  <c r="BE44" i="13"/>
  <c r="Y63" i="13"/>
  <c r="AB51" i="13"/>
  <c r="I144" i="14"/>
  <c r="G144" i="14"/>
  <c r="F144" i="14"/>
  <c r="E144" i="14"/>
  <c r="D144" i="14"/>
  <c r="H144" i="14"/>
  <c r="A145" i="14" s="1"/>
  <c r="C144" i="14"/>
  <c r="U24" i="14"/>
  <c r="V19" i="14" s="1"/>
  <c r="U20" i="14"/>
  <c r="X63" i="13"/>
  <c r="Z63" i="13"/>
  <c r="Z64" i="13"/>
  <c r="AE64" i="13"/>
  <c r="T57" i="13"/>
  <c r="AD64" i="13"/>
  <c r="T58" i="13"/>
  <c r="T64" i="13"/>
  <c r="AD56" i="13"/>
  <c r="W64" i="13"/>
  <c r="AB89" i="13"/>
  <c r="AE56" i="13"/>
  <c r="AE51" i="13"/>
  <c r="T59" i="13"/>
  <c r="U64" i="13"/>
  <c r="W56" i="13"/>
  <c r="T51" i="13"/>
  <c r="U63" i="13"/>
  <c r="Y51" i="13"/>
  <c r="X56" i="13"/>
  <c r="X42" i="13"/>
  <c r="T63" i="13"/>
  <c r="Z36" i="13"/>
  <c r="Y56" i="13"/>
  <c r="W104" i="13"/>
  <c r="W63" i="13"/>
  <c r="AD43" i="13"/>
  <c r="BE43" i="13" s="1"/>
  <c r="AC67" i="13"/>
  <c r="AC76" i="13" s="1"/>
  <c r="AA64" i="13"/>
  <c r="U56" i="13"/>
  <c r="T56" i="13"/>
  <c r="T61" i="13"/>
  <c r="Z56" i="13"/>
  <c r="AC64" i="13"/>
  <c r="AA56" i="13"/>
  <c r="P89" i="13"/>
  <c r="M266" i="13"/>
  <c r="T45" i="19" s="1"/>
  <c r="M267" i="13"/>
  <c r="N264" i="13"/>
  <c r="Q94" i="13"/>
  <c r="V33" i="13" l="1"/>
  <c r="BP48" i="13" s="1"/>
  <c r="BP47" i="13" s="1"/>
  <c r="BG43" i="13"/>
  <c r="X51" i="13"/>
  <c r="X11" i="13" s="1"/>
  <c r="X12" i="13" s="1"/>
  <c r="AE36" i="19" s="1"/>
  <c r="BG64" i="13"/>
  <c r="BG56" i="13"/>
  <c r="BE104" i="13"/>
  <c r="W106" i="13"/>
  <c r="W51" i="13"/>
  <c r="Y33" i="13" s="1"/>
  <c r="BQ48" i="13" s="1"/>
  <c r="BQ47" i="13" s="1"/>
  <c r="Z51" i="13"/>
  <c r="AB33" i="13" s="1"/>
  <c r="BR48" i="13" s="1"/>
  <c r="BR47" i="13" s="1"/>
  <c r="BE36" i="13"/>
  <c r="AD63" i="13"/>
  <c r="BG63" i="13" s="1"/>
  <c r="Y11" i="13"/>
  <c r="Y12" i="13" s="1"/>
  <c r="U67" i="13"/>
  <c r="W67" i="13"/>
  <c r="W76" i="13" s="1"/>
  <c r="X67" i="13"/>
  <c r="Y67" i="13"/>
  <c r="AE67" i="13"/>
  <c r="AD67" i="13"/>
  <c r="AA67" i="13"/>
  <c r="AB67" i="13"/>
  <c r="AB76" i="13" s="1"/>
  <c r="AH33" i="19"/>
  <c r="T11" i="13"/>
  <c r="T12" i="13" s="1"/>
  <c r="AA36" i="19" s="1"/>
  <c r="AI4" i="19"/>
  <c r="AC4" i="19"/>
  <c r="AB30" i="19"/>
  <c r="AC31" i="19" s="1"/>
  <c r="U11" i="13"/>
  <c r="U12" i="13" s="1"/>
  <c r="AB36" i="19" s="1"/>
  <c r="AE57" i="13"/>
  <c r="AA141" i="13"/>
  <c r="AA147" i="13"/>
  <c r="AA139" i="13"/>
  <c r="U143" i="13"/>
  <c r="AB4" i="19"/>
  <c r="U147" i="13"/>
  <c r="U141" i="13"/>
  <c r="U139" i="13"/>
  <c r="AC33" i="19"/>
  <c r="AB33" i="19"/>
  <c r="AH4" i="19"/>
  <c r="AH51" i="19" s="1"/>
  <c r="AB147" i="13"/>
  <c r="AB141" i="13"/>
  <c r="AB139" i="13"/>
  <c r="AI33" i="19"/>
  <c r="T94" i="13"/>
  <c r="BE56" i="13"/>
  <c r="V24" i="14"/>
  <c r="W19" i="14" s="1"/>
  <c r="V20" i="14"/>
  <c r="B145" i="14"/>
  <c r="C145" i="14" s="1"/>
  <c r="Z67" i="13"/>
  <c r="Z76" i="13" s="1"/>
  <c r="X139" i="13"/>
  <c r="AE4" i="19"/>
  <c r="AE33" i="19"/>
  <c r="X147" i="13"/>
  <c r="X141" i="13"/>
  <c r="AE30" i="19"/>
  <c r="X143" i="13"/>
  <c r="AD51" i="13"/>
  <c r="AE33" i="13" s="1"/>
  <c r="BS48" i="13" s="1"/>
  <c r="BS47" i="13" s="1"/>
  <c r="BE58" i="13"/>
  <c r="X94" i="13"/>
  <c r="AE89" i="13"/>
  <c r="AE94" i="13" s="1"/>
  <c r="BE42" i="13"/>
  <c r="BE62" i="13"/>
  <c r="AA33" i="19"/>
  <c r="AA4" i="19"/>
  <c r="AA30" i="19"/>
  <c r="AA31" i="19" s="1"/>
  <c r="T147" i="13"/>
  <c r="T141" i="13"/>
  <c r="T143" i="13"/>
  <c r="T139" i="13"/>
  <c r="T65" i="13"/>
  <c r="Y139" i="13"/>
  <c r="Y141" i="13"/>
  <c r="Y143" i="13"/>
  <c r="Y147" i="13"/>
  <c r="AF33" i="19"/>
  <c r="AF4" i="19"/>
  <c r="AF51" i="19" s="1"/>
  <c r="Z89" i="13"/>
  <c r="Z94" i="13" s="1"/>
  <c r="AJ4" i="19"/>
  <c r="AJ33" i="19"/>
  <c r="U94" i="13"/>
  <c r="AC70" i="13"/>
  <c r="AC77" i="13" s="1"/>
  <c r="AB70" i="13"/>
  <c r="BE59" i="13"/>
  <c r="AA89" i="13"/>
  <c r="AA94" i="13" s="1"/>
  <c r="AD89" i="13"/>
  <c r="AD94" i="13" s="1"/>
  <c r="BE64" i="13"/>
  <c r="BE61" i="13"/>
  <c r="Y89" i="13"/>
  <c r="AB94" i="13"/>
  <c r="P94" i="13"/>
  <c r="BX48" i="13" l="1"/>
  <c r="BI29" i="13"/>
  <c r="BY48" i="13"/>
  <c r="BX47" i="13"/>
  <c r="F29" i="13"/>
  <c r="BI51" i="13"/>
  <c r="BG147" i="13"/>
  <c r="BG141" i="13"/>
  <c r="BG139" i="13"/>
  <c r="U76" i="13"/>
  <c r="BG67" i="13"/>
  <c r="BG76" i="13" s="1"/>
  <c r="Y94" i="13"/>
  <c r="BG89" i="13"/>
  <c r="AD11" i="13"/>
  <c r="AD12" i="13" s="1"/>
  <c r="BE51" i="13"/>
  <c r="AJ143" i="13"/>
  <c r="AJ139" i="13"/>
  <c r="AJ141" i="13"/>
  <c r="AJ147" i="13"/>
  <c r="AE76" i="13"/>
  <c r="BE63" i="13"/>
  <c r="AE51" i="19"/>
  <c r="AD76" i="13"/>
  <c r="AJ51" i="19"/>
  <c r="AB77" i="13"/>
  <c r="AI51" i="19"/>
  <c r="BB33" i="19"/>
  <c r="AA47" i="19"/>
  <c r="AB47" i="19" s="1"/>
  <c r="AC47" i="19" s="1"/>
  <c r="AA76" i="13"/>
  <c r="Z11" i="13"/>
  <c r="Z12" i="13" s="1"/>
  <c r="AG36" i="19" s="1"/>
  <c r="Y76" i="13"/>
  <c r="T67" i="13"/>
  <c r="T76" i="13" s="1"/>
  <c r="X76" i="13"/>
  <c r="W11" i="13"/>
  <c r="W12" i="13" s="1"/>
  <c r="AD36" i="19" s="1"/>
  <c r="AB35" i="19"/>
  <c r="AC51" i="19"/>
  <c r="AC35" i="19"/>
  <c r="AC36" i="19"/>
  <c r="AB51" i="19"/>
  <c r="AG4" i="19"/>
  <c r="AG51" i="19" s="1"/>
  <c r="Z139" i="13"/>
  <c r="Z147" i="13"/>
  <c r="AG33" i="19"/>
  <c r="Z141" i="13"/>
  <c r="AB31" i="19"/>
  <c r="D145" i="14"/>
  <c r="G145" i="14"/>
  <c r="I145" i="14"/>
  <c r="H145" i="14"/>
  <c r="A146" i="14" s="1"/>
  <c r="F145" i="14"/>
  <c r="E145" i="14"/>
  <c r="W20" i="14"/>
  <c r="W24" i="14"/>
  <c r="X19" i="14" s="1"/>
  <c r="R76" i="13"/>
  <c r="AE35" i="19"/>
  <c r="AA35" i="19"/>
  <c r="AK33" i="19"/>
  <c r="AD147" i="13"/>
  <c r="AD141" i="13"/>
  <c r="AD139" i="13"/>
  <c r="AK4" i="19"/>
  <c r="W94" i="13"/>
  <c r="AA51" i="19"/>
  <c r="W141" i="13"/>
  <c r="AD33" i="19"/>
  <c r="AD30" i="19"/>
  <c r="W143" i="13"/>
  <c r="W147" i="13"/>
  <c r="W139" i="13"/>
  <c r="AD4" i="19"/>
  <c r="AL4" i="19"/>
  <c r="AA57" i="19"/>
  <c r="Y52" i="19"/>
  <c r="AK53" i="19" s="1"/>
  <c r="Y54" i="19"/>
  <c r="X52" i="19"/>
  <c r="AJ53" i="19" s="1"/>
  <c r="X54" i="19"/>
  <c r="W54" i="19"/>
  <c r="Z54" i="19"/>
  <c r="Z52" i="19"/>
  <c r="AL53" i="19" s="1"/>
  <c r="BG94" i="13" l="1"/>
  <c r="BZ48" i="13"/>
  <c r="BY47" i="13"/>
  <c r="BA4" i="19"/>
  <c r="AJ284" i="13"/>
  <c r="AJ285" i="13" s="1"/>
  <c r="AJ286" i="13" s="1"/>
  <c r="AK139" i="13"/>
  <c r="AK141" i="13"/>
  <c r="AK147" i="13"/>
  <c r="BA51" i="19"/>
  <c r="CP51" i="19" s="1"/>
  <c r="BE11" i="13"/>
  <c r="BE12" i="13" s="1"/>
  <c r="BE147" i="13"/>
  <c r="BE153" i="13"/>
  <c r="BE139" i="13"/>
  <c r="BE141" i="13"/>
  <c r="AK51" i="19"/>
  <c r="AG35" i="19"/>
  <c r="P67" i="13"/>
  <c r="P76" i="13" s="1"/>
  <c r="Q67" i="13"/>
  <c r="Q76" i="13" s="1"/>
  <c r="AD31" i="19"/>
  <c r="AD51" i="19"/>
  <c r="V65" i="13"/>
  <c r="U65" i="13"/>
  <c r="AX4" i="19"/>
  <c r="BE89" i="13"/>
  <c r="AG30" i="19"/>
  <c r="BE67" i="13"/>
  <c r="R75" i="13"/>
  <c r="B146" i="14"/>
  <c r="X24" i="14"/>
  <c r="X20" i="14"/>
  <c r="BE94" i="13"/>
  <c r="R77" i="13"/>
  <c r="AD35" i="19"/>
  <c r="AD47" i="19"/>
  <c r="AE31" i="19"/>
  <c r="BB4" i="19"/>
  <c r="AL51" i="19"/>
  <c r="AE141" i="13"/>
  <c r="AL33" i="19"/>
  <c r="AL30" i="19"/>
  <c r="AE139" i="13"/>
  <c r="AE147" i="13"/>
  <c r="S67" i="13"/>
  <c r="CA48" i="13" l="1"/>
  <c r="CA47" i="13" s="1"/>
  <c r="BZ47" i="13"/>
  <c r="AL139" i="13"/>
  <c r="BF61" i="13"/>
  <c r="AL141" i="13"/>
  <c r="AL143" i="13"/>
  <c r="AL147" i="13"/>
  <c r="AM141" i="13"/>
  <c r="AM147" i="13"/>
  <c r="AM139" i="13"/>
  <c r="CP4" i="19"/>
  <c r="AI67" i="19"/>
  <c r="AI69" i="19" s="1"/>
  <c r="AM31" i="19"/>
  <c r="CO4" i="19"/>
  <c r="AX33" i="19"/>
  <c r="CO33" i="19"/>
  <c r="AX51" i="19"/>
  <c r="BA47" i="19"/>
  <c r="CP47" i="19" s="1"/>
  <c r="AE47" i="19"/>
  <c r="AF47" i="19" s="1"/>
  <c r="AG47" i="19" s="1"/>
  <c r="S76" i="13"/>
  <c r="R15" i="13"/>
  <c r="R16" i="13" s="1"/>
  <c r="R13" i="13"/>
  <c r="R14" i="13" s="1"/>
  <c r="R78" i="13"/>
  <c r="H146" i="14"/>
  <c r="A147" i="14" s="1"/>
  <c r="F146" i="14"/>
  <c r="I146" i="14"/>
  <c r="G146" i="14"/>
  <c r="E146" i="14"/>
  <c r="D146" i="14"/>
  <c r="C146" i="14"/>
  <c r="W65" i="13"/>
  <c r="AX30" i="19"/>
  <c r="AE11" i="13"/>
  <c r="N242" i="13"/>
  <c r="AX35" i="19" l="1"/>
  <c r="R6" i="13"/>
  <c r="R101" i="13"/>
  <c r="R115" i="13" s="1"/>
  <c r="AM87" i="13"/>
  <c r="AK284" i="13"/>
  <c r="AK285" i="13" s="1"/>
  <c r="AK286" i="13" s="1"/>
  <c r="BA33" i="19"/>
  <c r="CP33" i="19" s="1"/>
  <c r="AL35" i="19"/>
  <c r="AE12" i="13"/>
  <c r="AL36" i="19" s="1"/>
  <c r="AH47" i="19"/>
  <c r="R79" i="13"/>
  <c r="B147" i="14"/>
  <c r="C147" i="14" s="1"/>
  <c r="X65" i="13"/>
  <c r="U42" i="19"/>
  <c r="N265" i="13"/>
  <c r="AX36" i="19" l="1"/>
  <c r="BF58" i="13"/>
  <c r="BF56" i="13"/>
  <c r="AU35" i="19"/>
  <c r="AL284" i="13"/>
  <c r="AL285" i="13" s="1"/>
  <c r="AL286" i="13" s="1"/>
  <c r="AI47" i="19"/>
  <c r="F147" i="14"/>
  <c r="G147" i="14"/>
  <c r="E147" i="14"/>
  <c r="D147" i="14"/>
  <c r="I147" i="14"/>
  <c r="H147" i="14"/>
  <c r="A148" i="14" s="1"/>
  <c r="Y6" i="19"/>
  <c r="N267" i="13"/>
  <c r="N266" i="13"/>
  <c r="U45" i="19" s="1"/>
  <c r="O264" i="13"/>
  <c r="O265" i="13" s="1"/>
  <c r="BF63" i="13" l="1"/>
  <c r="AU36" i="19"/>
  <c r="AM284" i="13"/>
  <c r="AM285" i="13" s="1"/>
  <c r="AM286" i="13" s="1"/>
  <c r="BB47" i="19"/>
  <c r="AJ47" i="19"/>
  <c r="Y65" i="13"/>
  <c r="B148" i="14"/>
  <c r="Y5" i="19"/>
  <c r="X32" i="19"/>
  <c r="Q202" i="13"/>
  <c r="Q217" i="13" s="1"/>
  <c r="O266" i="13"/>
  <c r="V45" i="19" s="1"/>
  <c r="O267" i="13"/>
  <c r="P264" i="13"/>
  <c r="X29" i="19"/>
  <c r="P202" i="13"/>
  <c r="W32" i="19"/>
  <c r="W29" i="19"/>
  <c r="AP11" i="13" l="1"/>
  <c r="BF196" i="13"/>
  <c r="AW33" i="19" s="1"/>
  <c r="BF141" i="13"/>
  <c r="BF139" i="13"/>
  <c r="AW4" i="19"/>
  <c r="BF147" i="13"/>
  <c r="BF64" i="13"/>
  <c r="BF67" i="13"/>
  <c r="BF86" i="13"/>
  <c r="BF60" i="13"/>
  <c r="BF69" i="13"/>
  <c r="BF59" i="13"/>
  <c r="AP12" i="13"/>
  <c r="AK47" i="19"/>
  <c r="Z65" i="13"/>
  <c r="I148" i="14"/>
  <c r="F148" i="14"/>
  <c r="G148" i="14"/>
  <c r="H148" i="14"/>
  <c r="A149" i="14" s="1"/>
  <c r="E148" i="14"/>
  <c r="D148" i="14"/>
  <c r="C148" i="14"/>
  <c r="AA29" i="19"/>
  <c r="AA32" i="19"/>
  <c r="Y38" i="19"/>
  <c r="P217" i="13"/>
  <c r="AP160" i="13" l="1"/>
  <c r="AP284" i="13" s="1"/>
  <c r="AP285" i="13" s="1"/>
  <c r="AP286" i="13" s="1"/>
  <c r="AQ11" i="13"/>
  <c r="BF76" i="13"/>
  <c r="BF66" i="13"/>
  <c r="AW51" i="19"/>
  <c r="AW47" i="19"/>
  <c r="AQ141" i="13"/>
  <c r="AQ139" i="13"/>
  <c r="AQ143" i="13"/>
  <c r="AQ147" i="13"/>
  <c r="AQ87" i="13"/>
  <c r="BF87" i="13" s="1"/>
  <c r="BF83" i="13"/>
  <c r="AQ12" i="13"/>
  <c r="AL47" i="19"/>
  <c r="AB65" i="13"/>
  <c r="AA65" i="13"/>
  <c r="B149" i="14"/>
  <c r="C149" i="14" s="1"/>
  <c r="Y37" i="19"/>
  <c r="Y29" i="19"/>
  <c r="P96" i="13"/>
  <c r="AR11" i="13" l="1"/>
  <c r="AQ160" i="13"/>
  <c r="BF160" i="13" s="1"/>
  <c r="AW30" i="19" s="1"/>
  <c r="AW31" i="19" s="1"/>
  <c r="AX47" i="19"/>
  <c r="CO47" i="19"/>
  <c r="AC65" i="13"/>
  <c r="AC75" i="13" s="1"/>
  <c r="G149" i="14"/>
  <c r="E149" i="14"/>
  <c r="F149" i="14"/>
  <c r="D149" i="14"/>
  <c r="I149" i="14"/>
  <c r="H149" i="14"/>
  <c r="A150" i="14" s="1"/>
  <c r="Z29" i="19"/>
  <c r="AQ284" i="13" l="1"/>
  <c r="AR160" i="13"/>
  <c r="AR12" i="13"/>
  <c r="AS11" i="13"/>
  <c r="AQ285" i="13"/>
  <c r="BF11" i="13"/>
  <c r="AW35" i="19" s="1"/>
  <c r="AC78" i="13"/>
  <c r="AC101" i="13" s="1"/>
  <c r="AC15" i="13"/>
  <c r="AC16" i="13" s="1"/>
  <c r="AC13" i="13"/>
  <c r="AC14" i="13" s="1"/>
  <c r="AY29" i="19"/>
  <c r="B150" i="14"/>
  <c r="AD65" i="13"/>
  <c r="Z32" i="19"/>
  <c r="AS12" i="13" l="1"/>
  <c r="AS160" i="13"/>
  <c r="AT11" i="13"/>
  <c r="AQ286" i="13"/>
  <c r="BF12" i="13"/>
  <c r="AW36" i="19" s="1"/>
  <c r="AC6" i="13"/>
  <c r="AC79" i="13"/>
  <c r="AY32" i="19"/>
  <c r="I150" i="14"/>
  <c r="F150" i="14"/>
  <c r="E150" i="14"/>
  <c r="H150" i="14"/>
  <c r="A151" i="14" s="1"/>
  <c r="G150" i="14"/>
  <c r="D150" i="14"/>
  <c r="C150" i="14"/>
  <c r="AT12" i="13" l="1"/>
  <c r="AT160" i="13"/>
  <c r="AU11" i="13"/>
  <c r="AE65" i="13"/>
  <c r="BG65" i="13" s="1"/>
  <c r="Y96" i="13"/>
  <c r="B151" i="14"/>
  <c r="C151" i="14" s="1"/>
  <c r="AU12" i="13" l="1"/>
  <c r="AU160" i="13"/>
  <c r="AV11" i="13"/>
  <c r="AW11" i="13"/>
  <c r="BE65" i="13"/>
  <c r="X96" i="13"/>
  <c r="F151" i="14"/>
  <c r="I151" i="14"/>
  <c r="E151" i="14"/>
  <c r="H151" i="14"/>
  <c r="A152" i="14" s="1"/>
  <c r="G151" i="14"/>
  <c r="D151" i="14"/>
  <c r="P228" i="13"/>
  <c r="P242" i="13"/>
  <c r="AW12" i="13" l="1"/>
  <c r="AW160" i="13"/>
  <c r="AX11" i="13"/>
  <c r="AY11" i="13" s="1"/>
  <c r="AV12" i="13"/>
  <c r="AV160" i="13"/>
  <c r="B152" i="14"/>
  <c r="C152" i="14" s="1"/>
  <c r="P229" i="13"/>
  <c r="W19" i="19"/>
  <c r="P4" i="13"/>
  <c r="W22" i="19" s="1"/>
  <c r="Q262" i="13"/>
  <c r="W42" i="19"/>
  <c r="P265" i="13"/>
  <c r="Q264" i="13" s="1"/>
  <c r="AY12" i="13" l="1"/>
  <c r="AY160" i="13"/>
  <c r="AX12" i="13"/>
  <c r="AX160" i="13"/>
  <c r="AZ11" i="13"/>
  <c r="I152" i="14"/>
  <c r="F152" i="14"/>
  <c r="D152" i="14"/>
  <c r="G152" i="14"/>
  <c r="H152" i="14"/>
  <c r="A153" i="14" s="1"/>
  <c r="E152" i="14"/>
  <c r="X44" i="19"/>
  <c r="Q96" i="13"/>
  <c r="P266" i="13"/>
  <c r="W45" i="19" s="1"/>
  <c r="AZ12" i="13" l="1"/>
  <c r="AZ160" i="13"/>
  <c r="BA11" i="13"/>
  <c r="BB11" i="13"/>
  <c r="BF65" i="13"/>
  <c r="B153" i="14"/>
  <c r="P267" i="13"/>
  <c r="W14" i="19"/>
  <c r="W18" i="19" s="1"/>
  <c r="P175" i="13"/>
  <c r="P150" i="13" s="1"/>
  <c r="P144" i="13" s="1"/>
  <c r="W27" i="19" s="1"/>
  <c r="BB12" i="13" l="1"/>
  <c r="BB160" i="13"/>
  <c r="BA12" i="13"/>
  <c r="BA160" i="13"/>
  <c r="BC11" i="13"/>
  <c r="H153" i="14"/>
  <c r="A154" i="14" s="1"/>
  <c r="E153" i="14"/>
  <c r="D153" i="14"/>
  <c r="I153" i="14"/>
  <c r="G153" i="14"/>
  <c r="F153" i="14"/>
  <c r="C153" i="14"/>
  <c r="P152" i="13"/>
  <c r="P3" i="13"/>
  <c r="W21" i="19" s="1"/>
  <c r="P186" i="13"/>
  <c r="P230" i="13" s="1"/>
  <c r="BC12" i="13" l="1"/>
  <c r="BC160" i="13"/>
  <c r="BG160" i="13" s="1"/>
  <c r="BG11" i="13" s="1"/>
  <c r="BG12" i="13" s="1"/>
  <c r="B154" i="14"/>
  <c r="W26" i="19"/>
  <c r="P151" i="13"/>
  <c r="P153" i="13"/>
  <c r="W25" i="19"/>
  <c r="I154" i="14" l="1"/>
  <c r="H154" i="14"/>
  <c r="A155" i="14" s="1"/>
  <c r="E154" i="14"/>
  <c r="F154" i="14"/>
  <c r="D154" i="14"/>
  <c r="G154" i="14"/>
  <c r="C154" i="14"/>
  <c r="Q228" i="13"/>
  <c r="P145" i="13"/>
  <c r="B155" i="14" l="1"/>
  <c r="Q229" i="13"/>
  <c r="X19" i="19"/>
  <c r="Q4" i="13"/>
  <c r="X22" i="19" s="1"/>
  <c r="F155" i="14" l="1"/>
  <c r="E155" i="14"/>
  <c r="I155" i="14"/>
  <c r="H155" i="14"/>
  <c r="A156" i="14" s="1"/>
  <c r="G155" i="14"/>
  <c r="D155" i="14"/>
  <c r="C155" i="14"/>
  <c r="B156" i="14" l="1"/>
  <c r="Q175" i="13"/>
  <c r="Q3" i="13" s="1"/>
  <c r="X14" i="19"/>
  <c r="I156" i="14" l="1"/>
  <c r="G156" i="14"/>
  <c r="D156" i="14"/>
  <c r="H156" i="14"/>
  <c r="A157" i="14" s="1"/>
  <c r="F156" i="14"/>
  <c r="E156" i="14"/>
  <c r="C156" i="14"/>
  <c r="X18" i="19"/>
  <c r="X21" i="19"/>
  <c r="Q186" i="13"/>
  <c r="Q230" i="13" s="1"/>
  <c r="Q152" i="13"/>
  <c r="Q150" i="13"/>
  <c r="R144" i="13" s="1"/>
  <c r="B157" i="14" l="1"/>
  <c r="R145" i="13"/>
  <c r="X25" i="19"/>
  <c r="Q153" i="13"/>
  <c r="Q144" i="13"/>
  <c r="Q151" i="13"/>
  <c r="X26" i="19"/>
  <c r="H157" i="14" l="1"/>
  <c r="A158" i="14" s="1"/>
  <c r="G157" i="14"/>
  <c r="D157" i="14"/>
  <c r="E157" i="14"/>
  <c r="F157" i="14"/>
  <c r="I157" i="14"/>
  <c r="C157" i="14"/>
  <c r="X27" i="19"/>
  <c r="Q145" i="13"/>
  <c r="B158" i="14" l="1"/>
  <c r="E158" i="14" l="1"/>
  <c r="H158" i="14"/>
  <c r="A159" i="14" s="1"/>
  <c r="I158" i="14"/>
  <c r="G158" i="14"/>
  <c r="F158" i="14"/>
  <c r="D158" i="14"/>
  <c r="C158" i="14"/>
  <c r="B159" i="14" l="1"/>
  <c r="F159" i="14" l="1"/>
  <c r="E159" i="14"/>
  <c r="H159" i="14"/>
  <c r="A160" i="14" s="1"/>
  <c r="G159" i="14"/>
  <c r="D159" i="14"/>
  <c r="I159" i="14"/>
  <c r="C159" i="14"/>
  <c r="B160" i="14" l="1"/>
  <c r="I160" i="14" l="1"/>
  <c r="H160" i="14"/>
  <c r="A161" i="14" s="1"/>
  <c r="G160" i="14"/>
  <c r="D160" i="14"/>
  <c r="F160" i="14"/>
  <c r="E160" i="14"/>
  <c r="C160" i="14"/>
  <c r="B161" i="14" l="1"/>
  <c r="F161" i="14" l="1"/>
  <c r="D161" i="14"/>
  <c r="I161" i="14"/>
  <c r="H161" i="14"/>
  <c r="A162" i="14" s="1"/>
  <c r="E161" i="14"/>
  <c r="G161" i="14"/>
  <c r="C161" i="14"/>
  <c r="B162" i="14" l="1"/>
  <c r="I162" i="14" l="1"/>
  <c r="F162" i="14"/>
  <c r="E162" i="14"/>
  <c r="D162" i="14"/>
  <c r="H162" i="14"/>
  <c r="A163" i="14" s="1"/>
  <c r="G162" i="14"/>
  <c r="C162" i="14"/>
  <c r="B163" i="14" l="1"/>
  <c r="C163" i="14" s="1"/>
  <c r="AA19" i="19"/>
  <c r="F163" i="14" l="1"/>
  <c r="E163" i="14"/>
  <c r="G163" i="14"/>
  <c r="I163" i="14"/>
  <c r="H163" i="14"/>
  <c r="A164" i="14" s="1"/>
  <c r="D163" i="14"/>
  <c r="B164" i="14" l="1"/>
  <c r="I164" i="14" l="1"/>
  <c r="H164" i="14"/>
  <c r="A165" i="14" s="1"/>
  <c r="F164" i="14"/>
  <c r="G164" i="14"/>
  <c r="E164" i="14"/>
  <c r="D164" i="14"/>
  <c r="C164" i="14"/>
  <c r="AB96" i="13" l="1"/>
  <c r="B165" i="14"/>
  <c r="AD96" i="13" l="1"/>
  <c r="F165" i="14"/>
  <c r="I165" i="14"/>
  <c r="H165" i="14"/>
  <c r="A166" i="14" s="1"/>
  <c r="D165" i="14"/>
  <c r="E165" i="14"/>
  <c r="G165" i="14"/>
  <c r="C165" i="14"/>
  <c r="B166" i="14" l="1"/>
  <c r="C166" i="14" s="1"/>
  <c r="I166" i="14" l="1"/>
  <c r="G166" i="14"/>
  <c r="E166" i="14"/>
  <c r="H166" i="14"/>
  <c r="A167" i="14" s="1"/>
  <c r="F166" i="14"/>
  <c r="D166" i="14"/>
  <c r="AE96" i="13" l="1"/>
  <c r="B167" i="14"/>
  <c r="C167" i="14" s="1"/>
  <c r="F167" i="14" l="1"/>
  <c r="E167" i="14"/>
  <c r="H167" i="14"/>
  <c r="A168" i="14" s="1"/>
  <c r="G167" i="14"/>
  <c r="I167" i="14"/>
  <c r="D167" i="14"/>
  <c r="B168" i="14" l="1"/>
  <c r="I168" i="14" l="1"/>
  <c r="H168" i="14"/>
  <c r="A169" i="14" s="1"/>
  <c r="E168" i="14"/>
  <c r="D168" i="14"/>
  <c r="G168" i="14"/>
  <c r="F168" i="14"/>
  <c r="C168" i="14"/>
  <c r="B169" i="14" l="1"/>
  <c r="C169" i="14" s="1"/>
  <c r="F169" i="14" l="1"/>
  <c r="I169" i="14"/>
  <c r="E169" i="14"/>
  <c r="D169" i="14"/>
  <c r="H169" i="14"/>
  <c r="A170" i="14" s="1"/>
  <c r="G169" i="14"/>
  <c r="B170" i="14" l="1"/>
  <c r="I170" i="14" l="1"/>
  <c r="D170" i="14"/>
  <c r="G170" i="14"/>
  <c r="H170" i="14"/>
  <c r="A171" i="14" s="1"/>
  <c r="F170" i="14"/>
  <c r="E170" i="14"/>
  <c r="C170" i="14"/>
  <c r="B171" i="14" l="1"/>
  <c r="Y40" i="19"/>
  <c r="F171" i="14" l="1"/>
  <c r="E171" i="14"/>
  <c r="H171" i="14"/>
  <c r="A172" i="14" s="1"/>
  <c r="I171" i="14"/>
  <c r="G171" i="14"/>
  <c r="D171" i="14"/>
  <c r="C171" i="14"/>
  <c r="Y32" i="19"/>
  <c r="Y39" i="19"/>
  <c r="B172" i="14" l="1"/>
  <c r="I172" i="14" l="1"/>
  <c r="H172" i="14"/>
  <c r="A173" i="14" s="1"/>
  <c r="E172" i="14"/>
  <c r="G172" i="14"/>
  <c r="F172" i="14"/>
  <c r="D172" i="14"/>
  <c r="C172" i="14"/>
  <c r="Y14" i="19"/>
  <c r="B173" i="14" l="1"/>
  <c r="C173" i="14" s="1"/>
  <c r="Z14" i="19"/>
  <c r="Y21" i="19"/>
  <c r="F173" i="14" l="1"/>
  <c r="H173" i="14"/>
  <c r="A174" i="14" s="1"/>
  <c r="E173" i="14"/>
  <c r="I173" i="14"/>
  <c r="D173" i="14"/>
  <c r="G173" i="14"/>
  <c r="Y26" i="19"/>
  <c r="Y25" i="19"/>
  <c r="AA14" i="19"/>
  <c r="AY14" i="19"/>
  <c r="AK173" i="19" s="1"/>
  <c r="S3" i="13"/>
  <c r="Z21" i="19" s="1"/>
  <c r="S150" i="13"/>
  <c r="S152" i="13"/>
  <c r="B174" i="14" l="1"/>
  <c r="AK213" i="19"/>
  <c r="AK135" i="19"/>
  <c r="AX173" i="19"/>
  <c r="AX135" i="19" s="1"/>
  <c r="T150" i="13"/>
  <c r="T144" i="13" s="1"/>
  <c r="T3" i="13"/>
  <c r="AA21" i="19" s="1"/>
  <c r="AY21" i="19"/>
  <c r="S153" i="13"/>
  <c r="Z25" i="19"/>
  <c r="Z26" i="19"/>
  <c r="S151" i="13"/>
  <c r="S144" i="13"/>
  <c r="Y27" i="19"/>
  <c r="I174" i="14" l="1"/>
  <c r="H174" i="14"/>
  <c r="A175" i="14" s="1"/>
  <c r="G174" i="14"/>
  <c r="D174" i="14"/>
  <c r="E174" i="14"/>
  <c r="F174" i="14"/>
  <c r="C174" i="14"/>
  <c r="AX213" i="19"/>
  <c r="AA25" i="19"/>
  <c r="T153" i="13"/>
  <c r="Z27" i="19"/>
  <c r="S145" i="13"/>
  <c r="AY25" i="19"/>
  <c r="AA26" i="19"/>
  <c r="T151" i="13"/>
  <c r="AY26" i="19"/>
  <c r="AY27" i="19" l="1"/>
  <c r="B175" i="14"/>
  <c r="T145" i="13"/>
  <c r="AA27" i="19"/>
  <c r="F175" i="14" l="1"/>
  <c r="E175" i="14"/>
  <c r="G175" i="14"/>
  <c r="I175" i="14"/>
  <c r="H175" i="14"/>
  <c r="A176" i="14" s="1"/>
  <c r="D175" i="14"/>
  <c r="C175" i="14"/>
  <c r="B176" i="14" l="1"/>
  <c r="I176" i="14" l="1"/>
  <c r="H176" i="14"/>
  <c r="A177" i="14" s="1"/>
  <c r="F176" i="14"/>
  <c r="E176" i="14"/>
  <c r="G176" i="14"/>
  <c r="D176" i="14"/>
  <c r="C176" i="14"/>
  <c r="B177" i="14" l="1"/>
  <c r="C177" i="14" s="1"/>
  <c r="F177" i="14" l="1"/>
  <c r="D177" i="14"/>
  <c r="H177" i="14"/>
  <c r="A178" i="14" s="1"/>
  <c r="E177" i="14"/>
  <c r="I177" i="14"/>
  <c r="G177" i="14"/>
  <c r="B178" i="14" l="1"/>
  <c r="I178" i="14" l="1"/>
  <c r="H178" i="14"/>
  <c r="A179" i="14" s="1"/>
  <c r="E178" i="14"/>
  <c r="D178" i="14"/>
  <c r="G178" i="14"/>
  <c r="F178" i="14"/>
  <c r="C178" i="14"/>
  <c r="B179" i="14" l="1"/>
  <c r="C179" i="14" s="1"/>
  <c r="F179" i="14" l="1"/>
  <c r="E179" i="14"/>
  <c r="G179" i="14"/>
  <c r="I179" i="14"/>
  <c r="H179" i="14"/>
  <c r="A180" i="14" s="1"/>
  <c r="D179" i="14"/>
  <c r="B180" i="14" l="1"/>
  <c r="I180" i="14" l="1"/>
  <c r="H180" i="14"/>
  <c r="A181" i="14" s="1"/>
  <c r="F180" i="14"/>
  <c r="E180" i="14"/>
  <c r="G180" i="14"/>
  <c r="D180" i="14"/>
  <c r="C180" i="14"/>
  <c r="B181" i="14" l="1"/>
  <c r="I181" i="14" l="1"/>
  <c r="H181" i="14"/>
  <c r="A182" i="14" s="1"/>
  <c r="F181" i="14"/>
  <c r="G181" i="14"/>
  <c r="E181" i="14"/>
  <c r="D181" i="14"/>
  <c r="C181" i="14"/>
  <c r="B182" i="14" l="1"/>
  <c r="C182" i="14" s="1"/>
  <c r="I182" i="14" l="1"/>
  <c r="F182" i="14"/>
  <c r="E182" i="14"/>
  <c r="H182" i="14"/>
  <c r="A183" i="14" s="1"/>
  <c r="G182" i="14"/>
  <c r="D182" i="14"/>
  <c r="B183" i="14" l="1"/>
  <c r="F183" i="14" l="1"/>
  <c r="E183" i="14"/>
  <c r="G183" i="14"/>
  <c r="I183" i="14"/>
  <c r="D183" i="14"/>
  <c r="H183" i="14"/>
  <c r="A184" i="14" s="1"/>
  <c r="C183" i="14"/>
  <c r="B184" i="14" l="1"/>
  <c r="I184" i="14" l="1"/>
  <c r="H184" i="14"/>
  <c r="A185" i="14" s="1"/>
  <c r="F184" i="14"/>
  <c r="E184" i="14"/>
  <c r="G184" i="14"/>
  <c r="D184" i="14"/>
  <c r="C184" i="14"/>
  <c r="B185" i="14" l="1"/>
  <c r="C185" i="14" s="1"/>
  <c r="I185" i="14" l="1"/>
  <c r="H185" i="14"/>
  <c r="A186" i="14" s="1"/>
  <c r="F185" i="14"/>
  <c r="G185" i="14"/>
  <c r="D185" i="14"/>
  <c r="E185" i="14"/>
  <c r="B186" i="14" l="1"/>
  <c r="I186" i="14" l="1"/>
  <c r="H186" i="14"/>
  <c r="A187" i="14" s="1"/>
  <c r="E186" i="14"/>
  <c r="G186" i="14"/>
  <c r="F186" i="14"/>
  <c r="D186" i="14"/>
  <c r="C186" i="14"/>
  <c r="B187" i="14" l="1"/>
  <c r="F187" i="14" l="1"/>
  <c r="E187" i="14"/>
  <c r="H187" i="14"/>
  <c r="A188" i="14" s="1"/>
  <c r="I187" i="14"/>
  <c r="G187" i="14"/>
  <c r="D187" i="14"/>
  <c r="C187" i="14"/>
  <c r="B188" i="14" l="1"/>
  <c r="I188" i="14" l="1"/>
  <c r="H188" i="14"/>
  <c r="A189" i="14" s="1"/>
  <c r="F188" i="14"/>
  <c r="E188" i="14"/>
  <c r="G188" i="14"/>
  <c r="D188" i="14"/>
  <c r="C188" i="14"/>
  <c r="B189" i="14" l="1"/>
  <c r="I189" i="14" l="1"/>
  <c r="H189" i="14"/>
  <c r="A190" i="14" s="1"/>
  <c r="F189" i="14"/>
  <c r="G189" i="14"/>
  <c r="D189" i="14"/>
  <c r="E189" i="14"/>
  <c r="C189" i="14"/>
  <c r="B190" i="14" l="1"/>
  <c r="I190" i="14" l="1"/>
  <c r="E190" i="14"/>
  <c r="H190" i="14"/>
  <c r="A191" i="14" s="1"/>
  <c r="G190" i="14"/>
  <c r="F190" i="14"/>
  <c r="D190" i="14"/>
  <c r="C190" i="14"/>
  <c r="B191" i="14" l="1"/>
  <c r="F191" i="14" l="1"/>
  <c r="E191" i="14"/>
  <c r="H191" i="14"/>
  <c r="A192" i="14" s="1"/>
  <c r="G191" i="14"/>
  <c r="I191" i="14"/>
  <c r="D191" i="14"/>
  <c r="C191" i="14"/>
  <c r="B192" i="14" l="1"/>
  <c r="I192" i="14" l="1"/>
  <c r="H192" i="14"/>
  <c r="A193" i="14" s="1"/>
  <c r="F192" i="14"/>
  <c r="E192" i="14"/>
  <c r="G192" i="14"/>
  <c r="D192" i="14"/>
  <c r="C192" i="14"/>
  <c r="B193" i="14" l="1"/>
  <c r="I193" i="14" l="1"/>
  <c r="H193" i="14"/>
  <c r="A194" i="14" s="1"/>
  <c r="F193" i="14"/>
  <c r="G193" i="14"/>
  <c r="D193" i="14"/>
  <c r="E193" i="14"/>
  <c r="C193" i="14"/>
  <c r="B194" i="14" l="1"/>
  <c r="I194" i="14" l="1"/>
  <c r="H194" i="14"/>
  <c r="A195" i="14" s="1"/>
  <c r="F194" i="14"/>
  <c r="E194" i="14"/>
  <c r="G194" i="14"/>
  <c r="D194" i="14"/>
  <c r="C194" i="14"/>
  <c r="B195" i="14" l="1"/>
  <c r="F195" i="14" l="1"/>
  <c r="E195" i="14"/>
  <c r="H195" i="14"/>
  <c r="A196" i="14" s="1"/>
  <c r="G195" i="14"/>
  <c r="I195" i="14"/>
  <c r="D195" i="14"/>
  <c r="C195" i="14"/>
  <c r="B196" i="14" l="1"/>
  <c r="I196" i="14" l="1"/>
  <c r="H196" i="14"/>
  <c r="A197" i="14" s="1"/>
  <c r="F196" i="14"/>
  <c r="E196" i="14"/>
  <c r="G196" i="14"/>
  <c r="D196" i="14"/>
  <c r="C196" i="14"/>
  <c r="B197" i="14" l="1"/>
  <c r="I197" i="14" l="1"/>
  <c r="H197" i="14"/>
  <c r="A198" i="14" s="1"/>
  <c r="F197" i="14"/>
  <c r="G197" i="14"/>
  <c r="E197" i="14"/>
  <c r="D197" i="14"/>
  <c r="C197" i="14"/>
  <c r="B198" i="14" l="1"/>
  <c r="C198" i="14" s="1"/>
  <c r="I198" i="14" l="1"/>
  <c r="H198" i="14"/>
  <c r="A199" i="14" s="1"/>
  <c r="F198" i="14"/>
  <c r="E198" i="14"/>
  <c r="G198" i="14"/>
  <c r="D198" i="14"/>
  <c r="B199" i="14" l="1"/>
  <c r="F199" i="14" l="1"/>
  <c r="E199" i="14"/>
  <c r="G199" i="14"/>
  <c r="D199" i="14"/>
  <c r="I199" i="14"/>
  <c r="H199" i="14"/>
  <c r="A200" i="14" s="1"/>
  <c r="C199" i="14"/>
  <c r="B200" i="14" l="1"/>
  <c r="I200" i="14" l="1"/>
  <c r="H200" i="14"/>
  <c r="A201" i="14" s="1"/>
  <c r="F200" i="14"/>
  <c r="E200" i="14"/>
  <c r="G200" i="14"/>
  <c r="D200" i="14"/>
  <c r="C200" i="14"/>
  <c r="B201" i="14" l="1"/>
  <c r="I201" i="14" l="1"/>
  <c r="H201" i="14"/>
  <c r="A202" i="14" s="1"/>
  <c r="F201" i="14"/>
  <c r="G201" i="14"/>
  <c r="D201" i="14"/>
  <c r="E201" i="14"/>
  <c r="C201" i="14"/>
  <c r="B202" i="14" l="1"/>
  <c r="I202" i="14" l="1"/>
  <c r="H202" i="14"/>
  <c r="A203" i="14" s="1"/>
  <c r="F202" i="14"/>
  <c r="E202" i="14"/>
  <c r="G202" i="14"/>
  <c r="D202" i="14"/>
  <c r="C202" i="14"/>
  <c r="B203" i="14" l="1"/>
  <c r="C203" i="14" s="1"/>
  <c r="F203" i="14" l="1"/>
  <c r="E203" i="14"/>
  <c r="H203" i="14"/>
  <c r="A204" i="14" s="1"/>
  <c r="G203" i="14"/>
  <c r="D203" i="14"/>
  <c r="I203" i="14"/>
  <c r="B204" i="14" l="1"/>
  <c r="C204" i="14" s="1"/>
  <c r="I204" i="14" l="1"/>
  <c r="H204" i="14"/>
  <c r="A205" i="14" s="1"/>
  <c r="F204" i="14"/>
  <c r="E204" i="14"/>
  <c r="G204" i="14"/>
  <c r="D204" i="14"/>
  <c r="B205" i="14" l="1"/>
  <c r="C205" i="14" s="1"/>
  <c r="I205" i="14" l="1"/>
  <c r="H205" i="14"/>
  <c r="A206" i="14" s="1"/>
  <c r="F205" i="14"/>
  <c r="G205" i="14"/>
  <c r="E205" i="14"/>
  <c r="D205" i="14"/>
  <c r="B206" i="14" l="1"/>
  <c r="I206" i="14" l="1"/>
  <c r="F206" i="14"/>
  <c r="E206" i="14"/>
  <c r="H206" i="14"/>
  <c r="A207" i="14" s="1"/>
  <c r="D206" i="14"/>
  <c r="G206" i="14"/>
  <c r="C206" i="14"/>
  <c r="B207" i="14" l="1"/>
  <c r="F207" i="14" l="1"/>
  <c r="E207" i="14"/>
  <c r="I207" i="14"/>
  <c r="H207" i="14"/>
  <c r="A208" i="14" s="1"/>
  <c r="G207" i="14"/>
  <c r="D207" i="14"/>
  <c r="C207" i="14"/>
  <c r="B208" i="14" l="1"/>
  <c r="I208" i="14" l="1"/>
  <c r="H208" i="14"/>
  <c r="A209" i="14" s="1"/>
  <c r="F208" i="14"/>
  <c r="E208" i="14"/>
  <c r="G208" i="14"/>
  <c r="D208" i="14"/>
  <c r="C208" i="14"/>
  <c r="B209" i="14" l="1"/>
  <c r="I209" i="14" l="1"/>
  <c r="H209" i="14"/>
  <c r="A210" i="14" s="1"/>
  <c r="F209" i="14"/>
  <c r="G209" i="14"/>
  <c r="D209" i="14"/>
  <c r="E209" i="14"/>
  <c r="C209" i="14"/>
  <c r="B210" i="14" l="1"/>
  <c r="I210" i="14" l="1"/>
  <c r="H210" i="14"/>
  <c r="A211" i="14" s="1"/>
  <c r="F210" i="14"/>
  <c r="E210" i="14"/>
  <c r="D210" i="14"/>
  <c r="G210" i="14"/>
  <c r="C210" i="14"/>
  <c r="B211" i="14" l="1"/>
  <c r="F211" i="14" l="1"/>
  <c r="E211" i="14"/>
  <c r="I211" i="14"/>
  <c r="H211" i="14"/>
  <c r="A212" i="14" s="1"/>
  <c r="G211" i="14"/>
  <c r="D211" i="14"/>
  <c r="C211" i="14"/>
  <c r="B212" i="14" l="1"/>
  <c r="I212" i="14" l="1"/>
  <c r="H212" i="14"/>
  <c r="A213" i="14" s="1"/>
  <c r="F212" i="14"/>
  <c r="E212" i="14"/>
  <c r="G212" i="14"/>
  <c r="D212" i="14"/>
  <c r="C212" i="14"/>
  <c r="B213" i="14" l="1"/>
  <c r="I213" i="14" l="1"/>
  <c r="H213" i="14"/>
  <c r="A214" i="14" s="1"/>
  <c r="F213" i="14"/>
  <c r="D213" i="14"/>
  <c r="G213" i="14"/>
  <c r="E213" i="14"/>
  <c r="C213" i="14"/>
  <c r="B214" i="14" l="1"/>
  <c r="I214" i="14" l="1"/>
  <c r="H214" i="14"/>
  <c r="A215" i="14" s="1"/>
  <c r="G214" i="14"/>
  <c r="F214" i="14"/>
  <c r="E214" i="14"/>
  <c r="D214" i="14"/>
  <c r="C214" i="14"/>
  <c r="B215" i="14" l="1"/>
  <c r="I215" i="14" l="1"/>
  <c r="G215" i="14"/>
  <c r="F215" i="14"/>
  <c r="E215" i="14"/>
  <c r="H215" i="14"/>
  <c r="A216" i="14" s="1"/>
  <c r="D215" i="14"/>
  <c r="C215" i="14"/>
  <c r="B216" i="14" l="1"/>
  <c r="I216" i="14" l="1"/>
  <c r="H216" i="14"/>
  <c r="A217" i="14" s="1"/>
  <c r="F216" i="14"/>
  <c r="E216" i="14"/>
  <c r="G216" i="14"/>
  <c r="D216" i="14"/>
  <c r="C216" i="14"/>
  <c r="B217" i="14" l="1"/>
  <c r="I217" i="14" l="1"/>
  <c r="H217" i="14"/>
  <c r="A218" i="14" s="1"/>
  <c r="F217" i="14"/>
  <c r="G217" i="14"/>
  <c r="E217" i="14"/>
  <c r="D217" i="14"/>
  <c r="C217" i="14"/>
  <c r="B218" i="14" l="1"/>
  <c r="F218" i="14" l="1"/>
  <c r="D218" i="14"/>
  <c r="I218" i="14"/>
  <c r="H218" i="14"/>
  <c r="A219" i="14" s="1"/>
  <c r="G218" i="14"/>
  <c r="E218" i="14"/>
  <c r="C218" i="14"/>
  <c r="B219" i="14" l="1"/>
  <c r="I219" i="14" l="1"/>
  <c r="G219" i="14"/>
  <c r="F219" i="14"/>
  <c r="E219" i="14"/>
  <c r="H219" i="14"/>
  <c r="A220" i="14" s="1"/>
  <c r="D219" i="14"/>
  <c r="C219" i="14"/>
  <c r="B220" i="14" l="1"/>
  <c r="I220" i="14" l="1"/>
  <c r="H220" i="14"/>
  <c r="A221" i="14" s="1"/>
  <c r="F220" i="14"/>
  <c r="E220" i="14"/>
  <c r="G220" i="14"/>
  <c r="D220" i="14"/>
  <c r="C220" i="14"/>
  <c r="B221" i="14" l="1"/>
  <c r="I221" i="14" l="1"/>
  <c r="H221" i="14"/>
  <c r="A222" i="14" s="1"/>
  <c r="F221" i="14"/>
  <c r="G221" i="14"/>
  <c r="E221" i="14"/>
  <c r="D221" i="14"/>
  <c r="C221" i="14"/>
  <c r="B222" i="14" l="1"/>
  <c r="F222" i="14" l="1"/>
  <c r="D222" i="14"/>
  <c r="I222" i="14"/>
  <c r="E222" i="14"/>
  <c r="H222" i="14"/>
  <c r="A223" i="14" s="1"/>
  <c r="G222" i="14"/>
  <c r="C222" i="14"/>
  <c r="B223" i="14" l="1"/>
  <c r="I223" i="14" l="1"/>
  <c r="G223" i="14"/>
  <c r="F223" i="14"/>
  <c r="E223" i="14"/>
  <c r="H223" i="14"/>
  <c r="A224" i="14" s="1"/>
  <c r="D223" i="14"/>
  <c r="C223" i="14"/>
  <c r="B224" i="14" l="1"/>
  <c r="C224" i="14" s="1"/>
  <c r="I224" i="14" l="1"/>
  <c r="H224" i="14"/>
  <c r="A225" i="14" s="1"/>
  <c r="G224" i="14"/>
  <c r="F224" i="14"/>
  <c r="E224" i="14"/>
  <c r="D224" i="14"/>
  <c r="B225" i="14" l="1"/>
  <c r="E225" i="14" l="1"/>
  <c r="I225" i="14"/>
  <c r="H225" i="14"/>
  <c r="A226" i="14" s="1"/>
  <c r="F225" i="14"/>
  <c r="G225" i="14"/>
  <c r="D225" i="14"/>
  <c r="C225" i="14"/>
  <c r="B226" i="14" l="1"/>
  <c r="H226" i="14" l="1"/>
  <c r="A227" i="14" s="1"/>
  <c r="F226" i="14"/>
  <c r="D226" i="14"/>
  <c r="I226" i="14"/>
  <c r="G226" i="14"/>
  <c r="E226" i="14"/>
  <c r="C226" i="14"/>
  <c r="B227" i="14" l="1"/>
  <c r="I227" i="14" l="1"/>
  <c r="G227" i="14"/>
  <c r="F227" i="14"/>
  <c r="E227" i="14"/>
  <c r="D227" i="14"/>
  <c r="H227" i="14"/>
  <c r="A228" i="14" s="1"/>
  <c r="C227" i="14"/>
  <c r="B228" i="14" l="1"/>
  <c r="C228" i="14" s="1"/>
  <c r="I228" i="14" l="1"/>
  <c r="H228" i="14"/>
  <c r="A229" i="14" s="1"/>
  <c r="G228" i="14"/>
  <c r="F228" i="14"/>
  <c r="E228" i="14"/>
  <c r="D228" i="14"/>
  <c r="B229" i="14" l="1"/>
  <c r="E229" i="14" l="1"/>
  <c r="I229" i="14"/>
  <c r="H229" i="14"/>
  <c r="A230" i="14" s="1"/>
  <c r="F229" i="14"/>
  <c r="G229" i="14"/>
  <c r="D229" i="14"/>
  <c r="C229" i="14"/>
  <c r="B230" i="14" l="1"/>
  <c r="H230" i="14" l="1"/>
  <c r="A231" i="14" s="1"/>
  <c r="F230" i="14"/>
  <c r="D230" i="14"/>
  <c r="I230" i="14"/>
  <c r="G230" i="14"/>
  <c r="E230" i="14"/>
  <c r="C230" i="14"/>
  <c r="B231" i="14" l="1"/>
  <c r="I231" i="14" l="1"/>
  <c r="G231" i="14"/>
  <c r="F231" i="14"/>
  <c r="E231" i="14"/>
  <c r="D231" i="14"/>
  <c r="H231" i="14"/>
  <c r="A232" i="14" s="1"/>
  <c r="C231" i="14"/>
  <c r="B232" i="14" l="1"/>
  <c r="C232" i="14" s="1"/>
  <c r="I232" i="14" l="1"/>
  <c r="H232" i="14"/>
  <c r="A233" i="14" s="1"/>
  <c r="G232" i="14"/>
  <c r="F232" i="14"/>
  <c r="E232" i="14"/>
  <c r="D232" i="14"/>
  <c r="B233" i="14" l="1"/>
  <c r="E233" i="14" l="1"/>
  <c r="I233" i="14"/>
  <c r="H233" i="14"/>
  <c r="A234" i="14" s="1"/>
  <c r="F233" i="14"/>
  <c r="G233" i="14"/>
  <c r="D233" i="14"/>
  <c r="C233" i="14"/>
  <c r="B234" i="14" l="1"/>
  <c r="H234" i="14" l="1"/>
  <c r="A235" i="14" s="1"/>
  <c r="F234" i="14"/>
  <c r="D234" i="14"/>
  <c r="I234" i="14"/>
  <c r="G234" i="14"/>
  <c r="E234" i="14"/>
  <c r="C234" i="14"/>
  <c r="B235" i="14" l="1"/>
  <c r="I235" i="14" l="1"/>
  <c r="G235" i="14"/>
  <c r="F235" i="14"/>
  <c r="E235" i="14"/>
  <c r="D235" i="14"/>
  <c r="H235" i="14"/>
  <c r="A236" i="14" s="1"/>
  <c r="C235" i="14"/>
  <c r="B236" i="14" l="1"/>
  <c r="C236" i="14" s="1"/>
  <c r="I236" i="14" l="1"/>
  <c r="H236" i="14"/>
  <c r="A237" i="14" s="1"/>
  <c r="G236" i="14"/>
  <c r="F236" i="14"/>
  <c r="E236" i="14"/>
  <c r="D236" i="14"/>
  <c r="B237" i="14" l="1"/>
  <c r="E237" i="14" l="1"/>
  <c r="I237" i="14"/>
  <c r="H237" i="14"/>
  <c r="A238" i="14" s="1"/>
  <c r="F237" i="14"/>
  <c r="D237" i="14"/>
  <c r="G237" i="14"/>
  <c r="C237" i="14"/>
  <c r="B238" i="14" l="1"/>
  <c r="H238" i="14" l="1"/>
  <c r="A239" i="14" s="1"/>
  <c r="F238" i="14"/>
  <c r="D238" i="14"/>
  <c r="I238" i="14"/>
  <c r="G238" i="14"/>
  <c r="E238" i="14"/>
  <c r="C238" i="14"/>
  <c r="B239" i="14" l="1"/>
  <c r="I239" i="14" l="1"/>
  <c r="G239" i="14"/>
  <c r="F239" i="14"/>
  <c r="E239" i="14"/>
  <c r="D239" i="14"/>
  <c r="H239" i="14"/>
  <c r="A240" i="14" s="1"/>
  <c r="C239" i="14"/>
  <c r="B240" i="14" l="1"/>
  <c r="C240" i="14" s="1"/>
  <c r="I240" i="14" l="1"/>
  <c r="H240" i="14"/>
  <c r="A241" i="14" s="1"/>
  <c r="G240" i="14"/>
  <c r="F240" i="14"/>
  <c r="E240" i="14"/>
  <c r="D240" i="14"/>
  <c r="B241" i="14" l="1"/>
  <c r="E241" i="14" l="1"/>
  <c r="I241" i="14"/>
  <c r="H241" i="14"/>
  <c r="A242" i="14" s="1"/>
  <c r="F241" i="14"/>
  <c r="G241" i="14"/>
  <c r="D241" i="14"/>
  <c r="C241" i="14"/>
  <c r="B242" i="14" l="1"/>
  <c r="H242" i="14" l="1"/>
  <c r="A243" i="14" s="1"/>
  <c r="F242" i="14"/>
  <c r="D242" i="14"/>
  <c r="I242" i="14"/>
  <c r="G242" i="14"/>
  <c r="E242" i="14"/>
  <c r="C242" i="14"/>
  <c r="B243" i="14" l="1"/>
  <c r="I243" i="14" l="1"/>
  <c r="G243" i="14"/>
  <c r="F243" i="14"/>
  <c r="E243" i="14"/>
  <c r="D243" i="14"/>
  <c r="H243" i="14"/>
  <c r="A244" i="14" s="1"/>
  <c r="C243" i="14"/>
  <c r="B244" i="14" l="1"/>
  <c r="C244" i="14" s="1"/>
  <c r="I244" i="14" l="1"/>
  <c r="H244" i="14"/>
  <c r="A245" i="14" s="1"/>
  <c r="G244" i="14"/>
  <c r="F244" i="14"/>
  <c r="E244" i="14"/>
  <c r="D244" i="14"/>
  <c r="B245" i="14" l="1"/>
  <c r="E245" i="14" l="1"/>
  <c r="I245" i="14"/>
  <c r="H245" i="14"/>
  <c r="A246" i="14" s="1"/>
  <c r="F245" i="14"/>
  <c r="G245" i="14"/>
  <c r="D245" i="14"/>
  <c r="C245" i="14"/>
  <c r="B246" i="14" l="1"/>
  <c r="H246" i="14" l="1"/>
  <c r="A247" i="14" s="1"/>
  <c r="F246" i="14"/>
  <c r="D246" i="14"/>
  <c r="I246" i="14"/>
  <c r="G246" i="14"/>
  <c r="E246" i="14"/>
  <c r="C246" i="14"/>
  <c r="B247" i="14" l="1"/>
  <c r="I247" i="14" l="1"/>
  <c r="G247" i="14"/>
  <c r="F247" i="14"/>
  <c r="E247" i="14"/>
  <c r="D247" i="14"/>
  <c r="H247" i="14"/>
  <c r="A248" i="14" s="1"/>
  <c r="C247" i="14"/>
  <c r="B248" i="14" l="1"/>
  <c r="C248" i="14" s="1"/>
  <c r="I248" i="14" l="1"/>
  <c r="H248" i="14"/>
  <c r="A249" i="14" s="1"/>
  <c r="G248" i="14"/>
  <c r="F248" i="14"/>
  <c r="E248" i="14"/>
  <c r="D248" i="14"/>
  <c r="B249" i="14" l="1"/>
  <c r="E249" i="14" l="1"/>
  <c r="I249" i="14"/>
  <c r="H249" i="14"/>
  <c r="A250" i="14" s="1"/>
  <c r="F249" i="14"/>
  <c r="G249" i="14"/>
  <c r="D249" i="14"/>
  <c r="C249" i="14"/>
  <c r="B250" i="14" l="1"/>
  <c r="H250" i="14" l="1"/>
  <c r="A251" i="14" s="1"/>
  <c r="F250" i="14"/>
  <c r="D250" i="14"/>
  <c r="I250" i="14"/>
  <c r="G250" i="14"/>
  <c r="E250" i="14"/>
  <c r="C250" i="14"/>
  <c r="B251" i="14" l="1"/>
  <c r="I251" i="14" l="1"/>
  <c r="G251" i="14"/>
  <c r="F251" i="14"/>
  <c r="E251" i="14"/>
  <c r="D251" i="14"/>
  <c r="H251" i="14"/>
  <c r="A252" i="14" s="1"/>
  <c r="C251" i="14"/>
  <c r="B252" i="14" l="1"/>
  <c r="I252" i="14" l="1"/>
  <c r="H252" i="14"/>
  <c r="A253" i="14" s="1"/>
  <c r="G252" i="14"/>
  <c r="F252" i="14"/>
  <c r="D252" i="14"/>
  <c r="E252" i="14"/>
  <c r="C252" i="14"/>
  <c r="B253" i="14" l="1"/>
  <c r="F253" i="14" l="1"/>
  <c r="H253" i="14"/>
  <c r="A254" i="14" s="1"/>
  <c r="E253" i="14"/>
  <c r="I253" i="14"/>
  <c r="G253" i="14"/>
  <c r="D253" i="14"/>
  <c r="C253" i="14"/>
  <c r="B254" i="14" l="1"/>
  <c r="I254" i="14" l="1"/>
  <c r="D254" i="14"/>
  <c r="H254" i="14"/>
  <c r="A255" i="14" s="1"/>
  <c r="G254" i="14"/>
  <c r="F254" i="14"/>
  <c r="E254" i="14"/>
  <c r="C254" i="14"/>
  <c r="B255" i="14" l="1"/>
  <c r="C255" i="14" s="1"/>
  <c r="G255" i="14" l="1"/>
  <c r="D255" i="14"/>
  <c r="I255" i="14"/>
  <c r="H255" i="14"/>
  <c r="A256" i="14" s="1"/>
  <c r="E255" i="14"/>
  <c r="F255" i="14"/>
  <c r="B256" i="14" l="1"/>
  <c r="I256" i="14" l="1"/>
  <c r="G256" i="14"/>
  <c r="E256" i="14"/>
  <c r="D256" i="14"/>
  <c r="H256" i="14"/>
  <c r="A257" i="14" s="1"/>
  <c r="F256" i="14"/>
  <c r="C256" i="14"/>
  <c r="B257" i="14" l="1"/>
  <c r="C257" i="14" s="1"/>
  <c r="F257" i="14" l="1"/>
  <c r="I257" i="14"/>
  <c r="H257" i="14"/>
  <c r="A258" i="14" s="1"/>
  <c r="G257" i="14"/>
  <c r="E257" i="14"/>
  <c r="D257" i="14"/>
  <c r="B258" i="14" l="1"/>
  <c r="I258" i="14" l="1"/>
  <c r="D258" i="14"/>
  <c r="F258" i="14"/>
  <c r="G258" i="14"/>
  <c r="H258" i="14"/>
  <c r="A259" i="14" s="1"/>
  <c r="E258" i="14"/>
  <c r="C258" i="14"/>
  <c r="B259" i="14" l="1"/>
  <c r="C259" i="14" s="1"/>
  <c r="G259" i="14" l="1"/>
  <c r="I259" i="14"/>
  <c r="F259" i="14"/>
  <c r="E259" i="14"/>
  <c r="D259" i="14"/>
  <c r="H259" i="14"/>
  <c r="A260" i="14" s="1"/>
  <c r="B260" i="14" l="1"/>
  <c r="I260" i="14" l="1"/>
  <c r="H260" i="14"/>
  <c r="A261" i="14" s="1"/>
  <c r="G260" i="14"/>
  <c r="F260" i="14"/>
  <c r="D260" i="14"/>
  <c r="E260" i="14"/>
  <c r="C260" i="14"/>
  <c r="B261" i="14" l="1"/>
  <c r="F261" i="14" l="1"/>
  <c r="H261" i="14"/>
  <c r="A262" i="14" s="1"/>
  <c r="E261" i="14"/>
  <c r="I261" i="14"/>
  <c r="G261" i="14"/>
  <c r="D261" i="14"/>
  <c r="C261" i="14"/>
  <c r="B262" i="14" l="1"/>
  <c r="I262" i="14" l="1"/>
  <c r="D262" i="14"/>
  <c r="H262" i="14"/>
  <c r="A263" i="14" s="1"/>
  <c r="G262" i="14"/>
  <c r="F262" i="14"/>
  <c r="E262" i="14"/>
  <c r="C262" i="14"/>
  <c r="B263" i="14" l="1"/>
  <c r="C263" i="14" s="1"/>
  <c r="G263" i="14" l="1"/>
  <c r="D263" i="14"/>
  <c r="I263" i="14"/>
  <c r="H263" i="14"/>
  <c r="A264" i="14" s="1"/>
  <c r="E263" i="14"/>
  <c r="F263" i="14"/>
  <c r="B264" i="14" l="1"/>
  <c r="I264" i="14" l="1"/>
  <c r="G264" i="14"/>
  <c r="E264" i="14"/>
  <c r="D264" i="14"/>
  <c r="H264" i="14"/>
  <c r="A265" i="14" s="1"/>
  <c r="F264" i="14"/>
  <c r="C264" i="14"/>
  <c r="B265" i="14" l="1"/>
  <c r="C265" i="14" s="1"/>
  <c r="F265" i="14" l="1"/>
  <c r="I265" i="14"/>
  <c r="H265" i="14"/>
  <c r="A266" i="14" s="1"/>
  <c r="G265" i="14"/>
  <c r="E265" i="14"/>
  <c r="D265" i="14"/>
  <c r="B266" i="14" l="1"/>
  <c r="I266" i="14" l="1"/>
  <c r="D266" i="14"/>
  <c r="F266" i="14"/>
  <c r="G266" i="14"/>
  <c r="E266" i="14"/>
  <c r="H266" i="14"/>
  <c r="A267" i="14" s="1"/>
  <c r="C266" i="14"/>
  <c r="B267" i="14" l="1"/>
  <c r="G267" i="14" l="1"/>
  <c r="I267" i="14"/>
  <c r="F267" i="14"/>
  <c r="E267" i="14"/>
  <c r="D267" i="14"/>
  <c r="H267" i="14"/>
  <c r="A268" i="14" s="1"/>
  <c r="C267" i="14"/>
  <c r="B268" i="14" l="1"/>
  <c r="I268" i="14" l="1"/>
  <c r="H268" i="14"/>
  <c r="A269" i="14" s="1"/>
  <c r="G268" i="14"/>
  <c r="F268" i="14"/>
  <c r="D268" i="14"/>
  <c r="E268" i="14"/>
  <c r="C268" i="14"/>
  <c r="B269" i="14" l="1"/>
  <c r="F269" i="14" l="1"/>
  <c r="H269" i="14"/>
  <c r="A270" i="14" s="1"/>
  <c r="E269" i="14"/>
  <c r="I269" i="14"/>
  <c r="G269" i="14"/>
  <c r="D269" i="14"/>
  <c r="C269" i="14"/>
  <c r="B270" i="14" l="1"/>
  <c r="I270" i="14" l="1"/>
  <c r="D270" i="14"/>
  <c r="H270" i="14"/>
  <c r="A271" i="14" s="1"/>
  <c r="G270" i="14"/>
  <c r="F270" i="14"/>
  <c r="E270" i="14"/>
  <c r="C270" i="14"/>
  <c r="B271" i="14" l="1"/>
  <c r="C271" i="14" s="1"/>
  <c r="G271" i="14" l="1"/>
  <c r="D271" i="14"/>
  <c r="I271" i="14"/>
  <c r="H271" i="14"/>
  <c r="A272" i="14" s="1"/>
  <c r="E271" i="14"/>
  <c r="F271" i="14"/>
  <c r="B272" i="14" l="1"/>
  <c r="I272" i="14" l="1"/>
  <c r="G272" i="14"/>
  <c r="E272" i="14"/>
  <c r="D272" i="14"/>
  <c r="H272" i="14"/>
  <c r="A273" i="14" s="1"/>
  <c r="F272" i="14"/>
  <c r="C272" i="14"/>
  <c r="B273" i="14" l="1"/>
  <c r="C273" i="14" s="1"/>
  <c r="F273" i="14" l="1"/>
  <c r="I273" i="14"/>
  <c r="H273" i="14"/>
  <c r="A274" i="14" s="1"/>
  <c r="G273" i="14"/>
  <c r="E273" i="14"/>
  <c r="D273" i="14"/>
  <c r="B274" i="14" l="1"/>
  <c r="I274" i="14" l="1"/>
  <c r="D274" i="14"/>
  <c r="F274" i="14"/>
  <c r="G274" i="14"/>
  <c r="H274" i="14"/>
  <c r="A275" i="14" s="1"/>
  <c r="E274" i="14"/>
  <c r="C274" i="14"/>
  <c r="B275" i="14" l="1"/>
  <c r="G275" i="14" l="1"/>
  <c r="I275" i="14"/>
  <c r="F275" i="14"/>
  <c r="E275" i="14"/>
  <c r="D275" i="14"/>
  <c r="H275" i="14"/>
  <c r="A276" i="14" s="1"/>
  <c r="C275" i="14"/>
  <c r="B276" i="14" l="1"/>
  <c r="I276" i="14" l="1"/>
  <c r="H276" i="14"/>
  <c r="A277" i="14" s="1"/>
  <c r="G276" i="14"/>
  <c r="F276" i="14"/>
  <c r="D276" i="14"/>
  <c r="E276" i="14"/>
  <c r="C276" i="14"/>
  <c r="B277" i="14" l="1"/>
  <c r="F277" i="14" l="1"/>
  <c r="H277" i="14"/>
  <c r="A278" i="14" s="1"/>
  <c r="E277" i="14"/>
  <c r="I277" i="14"/>
  <c r="G277" i="14"/>
  <c r="D277" i="14"/>
  <c r="C277" i="14"/>
  <c r="B278" i="14" l="1"/>
  <c r="I278" i="14" l="1"/>
  <c r="D278" i="14"/>
  <c r="H278" i="14"/>
  <c r="A279" i="14" s="1"/>
  <c r="G278" i="14"/>
  <c r="F278" i="14"/>
  <c r="E278" i="14"/>
  <c r="C278" i="14"/>
  <c r="B279" i="14" l="1"/>
  <c r="C279" i="14" s="1"/>
  <c r="G279" i="14" l="1"/>
  <c r="D279" i="14"/>
  <c r="I279" i="14"/>
  <c r="H279" i="14"/>
  <c r="A280" i="14" s="1"/>
  <c r="E279" i="14"/>
  <c r="F279" i="14"/>
  <c r="B280" i="14" l="1"/>
  <c r="I280" i="14" l="1"/>
  <c r="G280" i="14"/>
  <c r="E280" i="14"/>
  <c r="D280" i="14"/>
  <c r="H280" i="14"/>
  <c r="A281" i="14" s="1"/>
  <c r="F280" i="14"/>
  <c r="C280" i="14"/>
  <c r="B281" i="14" l="1"/>
  <c r="C281" i="14" s="1"/>
  <c r="F281" i="14" l="1"/>
  <c r="I281" i="14"/>
  <c r="H281" i="14"/>
  <c r="A282" i="14" s="1"/>
  <c r="G281" i="14"/>
  <c r="E281" i="14"/>
  <c r="D281" i="14"/>
  <c r="B282" i="14" l="1"/>
  <c r="I282" i="14" l="1"/>
  <c r="D282" i="14"/>
  <c r="F282" i="14"/>
  <c r="G282" i="14"/>
  <c r="H282" i="14"/>
  <c r="A283" i="14" s="1"/>
  <c r="E282" i="14"/>
  <c r="C282" i="14"/>
  <c r="B283" i="14" l="1"/>
  <c r="G283" i="14" l="1"/>
  <c r="I283" i="14"/>
  <c r="F283" i="14"/>
  <c r="E283" i="14"/>
  <c r="D283" i="14"/>
  <c r="H283" i="14"/>
  <c r="A284" i="14" s="1"/>
  <c r="C283" i="14"/>
  <c r="B284" i="14" l="1"/>
  <c r="I284" i="14" l="1"/>
  <c r="H284" i="14"/>
  <c r="A285" i="14" s="1"/>
  <c r="G284" i="14"/>
  <c r="F284" i="14"/>
  <c r="D284" i="14"/>
  <c r="E284" i="14"/>
  <c r="C284" i="14"/>
  <c r="B285" i="14" l="1"/>
  <c r="F285" i="14" l="1"/>
  <c r="H285" i="14"/>
  <c r="A286" i="14" s="1"/>
  <c r="E285" i="14"/>
  <c r="I285" i="14"/>
  <c r="G285" i="14"/>
  <c r="D285" i="14"/>
  <c r="C285" i="14"/>
  <c r="B286" i="14" l="1"/>
  <c r="I286" i="14" l="1"/>
  <c r="D286" i="14"/>
  <c r="H286" i="14"/>
  <c r="A287" i="14" s="1"/>
  <c r="G286" i="14"/>
  <c r="F286" i="14"/>
  <c r="E286" i="14"/>
  <c r="C286" i="14"/>
  <c r="B287" i="14" l="1"/>
  <c r="G287" i="14" l="1"/>
  <c r="D287" i="14"/>
  <c r="I287" i="14"/>
  <c r="H287" i="14"/>
  <c r="A288" i="14" s="1"/>
  <c r="E287" i="14"/>
  <c r="F287" i="14"/>
  <c r="C287" i="14"/>
  <c r="B288" i="14" l="1"/>
  <c r="I288" i="14" l="1"/>
  <c r="H288" i="14"/>
  <c r="A289" i="14" s="1"/>
  <c r="G288" i="14"/>
  <c r="F288" i="14"/>
  <c r="E288" i="14"/>
  <c r="D288" i="14"/>
  <c r="C288" i="14"/>
  <c r="B289" i="14" l="1"/>
  <c r="C289" i="14" s="1"/>
  <c r="F289" i="14" l="1"/>
  <c r="I289" i="14"/>
  <c r="H289" i="14"/>
  <c r="A290" i="14" s="1"/>
  <c r="G289" i="14"/>
  <c r="E289" i="14"/>
  <c r="D289" i="14"/>
  <c r="B290" i="14" l="1"/>
  <c r="I290" i="14" l="1"/>
  <c r="D290" i="14"/>
  <c r="F290" i="14"/>
  <c r="E290" i="14"/>
  <c r="G290" i="14"/>
  <c r="H290" i="14"/>
  <c r="A291" i="14" s="1"/>
  <c r="C290" i="14"/>
  <c r="B291" i="14" l="1"/>
  <c r="G291" i="14" l="1"/>
  <c r="F291" i="14"/>
  <c r="I291" i="14"/>
  <c r="H291" i="14"/>
  <c r="A292" i="14" s="1"/>
  <c r="E291" i="14"/>
  <c r="D291" i="14"/>
  <c r="C291" i="14"/>
  <c r="B292" i="14" l="1"/>
  <c r="I292" i="14" l="1"/>
  <c r="D292" i="14"/>
  <c r="H292" i="14"/>
  <c r="A293" i="14" s="1"/>
  <c r="G292" i="14"/>
  <c r="E292" i="14"/>
  <c r="F292" i="14"/>
  <c r="C292" i="14"/>
  <c r="B293" i="14" l="1"/>
  <c r="F293" i="14" l="1"/>
  <c r="I293" i="14"/>
  <c r="H293" i="14"/>
  <c r="A294" i="14" s="1"/>
  <c r="G293" i="14"/>
  <c r="E293" i="14"/>
  <c r="D293" i="14"/>
  <c r="C293" i="14"/>
  <c r="B294" i="14" l="1"/>
  <c r="I294" i="14" l="1"/>
  <c r="D294" i="14"/>
  <c r="H294" i="14"/>
  <c r="A295" i="14" s="1"/>
  <c r="G294" i="14"/>
  <c r="F294" i="14"/>
  <c r="E294" i="14"/>
  <c r="C294" i="14"/>
  <c r="B295" i="14" l="1"/>
  <c r="G295" i="14" l="1"/>
  <c r="F295" i="14"/>
  <c r="I295" i="14"/>
  <c r="H295" i="14"/>
  <c r="A296" i="14" s="1"/>
  <c r="E295" i="14"/>
  <c r="D295" i="14"/>
  <c r="C295" i="14"/>
  <c r="B296" i="14" l="1"/>
  <c r="I296" i="14" l="1"/>
  <c r="H296" i="14"/>
  <c r="A297" i="14" s="1"/>
  <c r="G296" i="14"/>
  <c r="F296" i="14"/>
  <c r="E296" i="14"/>
  <c r="D296" i="14"/>
  <c r="C296" i="14"/>
  <c r="B297" i="14" l="1"/>
  <c r="F297" i="14" l="1"/>
  <c r="G297" i="14"/>
  <c r="E297" i="14"/>
  <c r="D297" i="14"/>
  <c r="H297" i="14"/>
  <c r="A298" i="14" s="1"/>
  <c r="I297" i="14"/>
  <c r="C297" i="14"/>
  <c r="B298" i="14" l="1"/>
  <c r="I298" i="14" l="1"/>
  <c r="D298" i="14"/>
  <c r="H298" i="14"/>
  <c r="A299" i="14" s="1"/>
  <c r="G298" i="14"/>
  <c r="F298" i="14"/>
  <c r="E298" i="14"/>
  <c r="C298" i="14"/>
  <c r="B299" i="14" l="1"/>
  <c r="G299" i="14" l="1"/>
  <c r="F299" i="14"/>
  <c r="D299" i="14"/>
  <c r="I299" i="14"/>
  <c r="E299" i="14"/>
  <c r="H299" i="14"/>
  <c r="A300" i="14" s="1"/>
  <c r="C299" i="14"/>
  <c r="B300" i="14" l="1"/>
  <c r="I300" i="14" l="1"/>
  <c r="H300" i="14"/>
  <c r="A301" i="14" s="1"/>
  <c r="G300" i="14"/>
  <c r="F300" i="14"/>
  <c r="E300" i="14"/>
  <c r="D300" i="14"/>
  <c r="C300" i="14"/>
  <c r="B301" i="14" l="1"/>
  <c r="F301" i="14" l="1"/>
  <c r="I301" i="14"/>
  <c r="H301" i="14"/>
  <c r="A302" i="14" s="1"/>
  <c r="G301" i="14"/>
  <c r="D301" i="14"/>
  <c r="E301" i="14"/>
  <c r="C301" i="14"/>
  <c r="B302" i="14" l="1"/>
  <c r="I302" i="14" l="1"/>
  <c r="D302" i="14"/>
  <c r="H302" i="14"/>
  <c r="A303" i="14" s="1"/>
  <c r="G302" i="14"/>
  <c r="F302" i="14"/>
  <c r="E302" i="14"/>
  <c r="C302" i="14"/>
  <c r="B303" i="14" l="1"/>
  <c r="G303" i="14" l="1"/>
  <c r="F303" i="14"/>
  <c r="E303" i="14"/>
  <c r="I303" i="14"/>
  <c r="D303" i="14"/>
  <c r="H303" i="14"/>
  <c r="A304" i="14" s="1"/>
  <c r="C303" i="14"/>
  <c r="B304" i="14" l="1"/>
  <c r="D304" i="14" l="1"/>
  <c r="I304" i="14"/>
  <c r="G304" i="14"/>
  <c r="H304" i="14"/>
  <c r="A305" i="14" s="1"/>
  <c r="F304" i="14"/>
  <c r="E304" i="14"/>
  <c r="C304" i="14"/>
  <c r="B305" i="14" l="1"/>
  <c r="C305" i="14" s="1"/>
  <c r="D305" i="14" l="1"/>
  <c r="H305" i="14"/>
  <c r="A306" i="14" s="1"/>
  <c r="G305" i="14"/>
  <c r="F305" i="14"/>
  <c r="E305" i="14"/>
  <c r="I305" i="14"/>
  <c r="B306" i="14" l="1"/>
  <c r="C306" i="14" s="1"/>
  <c r="G306" i="14" l="1"/>
  <c r="F306" i="14"/>
  <c r="E306" i="14"/>
  <c r="D306" i="14"/>
  <c r="I306" i="14"/>
  <c r="H306" i="14"/>
  <c r="A307" i="14" s="1"/>
  <c r="B307" i="14" l="1"/>
  <c r="I307" i="14" l="1"/>
  <c r="H307" i="14"/>
  <c r="A308" i="14" s="1"/>
  <c r="F307" i="14"/>
  <c r="G307" i="14"/>
  <c r="E307" i="14"/>
  <c r="D307" i="14"/>
  <c r="C307" i="14"/>
  <c r="B308" i="14" l="1"/>
  <c r="C308" i="14" s="1"/>
  <c r="G308" i="14" l="1"/>
  <c r="D308" i="14"/>
  <c r="I308" i="14"/>
  <c r="H308" i="14"/>
  <c r="A309" i="14" s="1"/>
  <c r="E308" i="14"/>
  <c r="F308" i="14"/>
  <c r="B309" i="14" l="1"/>
  <c r="D309" i="14" l="1"/>
  <c r="F309" i="14"/>
  <c r="E309" i="14"/>
  <c r="I309" i="14"/>
  <c r="H309" i="14"/>
  <c r="A310" i="14" s="1"/>
  <c r="G309" i="14"/>
  <c r="C309" i="14"/>
  <c r="B310" i="14" l="1"/>
  <c r="C310" i="14" s="1"/>
  <c r="G310" i="14" l="1"/>
  <c r="I310" i="14"/>
  <c r="H310" i="14"/>
  <c r="A311" i="14" s="1"/>
  <c r="E310" i="14"/>
  <c r="F310" i="14"/>
  <c r="D310" i="14"/>
  <c r="B311" i="14" l="1"/>
  <c r="C311" i="14" s="1"/>
  <c r="F311" i="14" l="1"/>
  <c r="I311" i="14"/>
  <c r="H311" i="14"/>
  <c r="A312" i="14" s="1"/>
  <c r="G311" i="14"/>
  <c r="E311" i="14"/>
  <c r="D311" i="14"/>
  <c r="B312" i="14" l="1"/>
  <c r="E312" i="14" l="1"/>
  <c r="D312" i="14"/>
  <c r="I312" i="14"/>
  <c r="H312" i="14"/>
  <c r="A313" i="14" s="1"/>
  <c r="G312" i="14"/>
  <c r="F312" i="14"/>
  <c r="C312" i="14"/>
  <c r="B313" i="14" l="1"/>
  <c r="C313" i="14" s="1"/>
  <c r="D313" i="14" l="1"/>
  <c r="I313" i="14"/>
  <c r="H313" i="14"/>
  <c r="A314" i="14" s="1"/>
  <c r="G313" i="14"/>
  <c r="E313" i="14"/>
  <c r="F313" i="14"/>
  <c r="B314" i="14" l="1"/>
  <c r="G314" i="14" l="1"/>
  <c r="E314" i="14"/>
  <c r="I314" i="14"/>
  <c r="H314" i="14"/>
  <c r="A315" i="14" s="1"/>
  <c r="F314" i="14"/>
  <c r="D314" i="14"/>
  <c r="C314" i="14"/>
  <c r="B315" i="14" l="1"/>
  <c r="I315" i="14" l="1"/>
  <c r="D315" i="14"/>
  <c r="G315" i="14"/>
  <c r="F315" i="14"/>
  <c r="E315" i="14"/>
  <c r="H315" i="14"/>
  <c r="A316" i="14" s="1"/>
  <c r="C315" i="14"/>
  <c r="B316" i="14" l="1"/>
  <c r="H316" i="14" l="1"/>
  <c r="A317" i="14" s="1"/>
  <c r="G316" i="14"/>
  <c r="F316" i="14"/>
  <c r="D316" i="14"/>
  <c r="I316" i="14"/>
  <c r="E316" i="14"/>
  <c r="C316" i="14"/>
  <c r="B317" i="14" l="1"/>
  <c r="D317" i="14" l="1"/>
  <c r="E317" i="14"/>
  <c r="H317" i="14"/>
  <c r="A318" i="14" s="1"/>
  <c r="I317" i="14"/>
  <c r="G317" i="14"/>
  <c r="F317" i="14"/>
  <c r="C317" i="14"/>
  <c r="B318" i="14" l="1"/>
  <c r="H318" i="14" l="1"/>
  <c r="A319" i="14" s="1"/>
  <c r="G318" i="14"/>
  <c r="E318" i="14"/>
  <c r="F318" i="14"/>
  <c r="D318" i="14"/>
  <c r="I318" i="14"/>
  <c r="C318" i="14"/>
  <c r="B319" i="14" l="1"/>
  <c r="F319" i="14" l="1"/>
  <c r="D319" i="14"/>
  <c r="H319" i="14"/>
  <c r="A320" i="14" s="1"/>
  <c r="E319" i="14"/>
  <c r="I319" i="14"/>
  <c r="G319" i="14"/>
  <c r="C319" i="14"/>
  <c r="B320" i="14" l="1"/>
  <c r="C320" i="14" s="1"/>
  <c r="I320" i="14" l="1"/>
  <c r="G320" i="14"/>
  <c r="H320" i="14"/>
  <c r="A321" i="14" s="1"/>
  <c r="F320" i="14"/>
  <c r="E320" i="14"/>
  <c r="D320" i="14"/>
  <c r="B321" i="14" l="1"/>
  <c r="C321" i="14" s="1"/>
  <c r="I321" i="14" l="1"/>
  <c r="E321" i="14"/>
  <c r="D321" i="14"/>
  <c r="H321" i="14"/>
  <c r="A322" i="14" s="1"/>
  <c r="G321" i="14"/>
  <c r="F321" i="14"/>
  <c r="B322" i="14" l="1"/>
  <c r="H322" i="14" l="1"/>
  <c r="A323" i="14" s="1"/>
  <c r="G322" i="14"/>
  <c r="E322" i="14"/>
  <c r="F322" i="14"/>
  <c r="D322" i="14"/>
  <c r="I322" i="14"/>
  <c r="C322" i="14"/>
  <c r="B323" i="14" l="1"/>
  <c r="F323" i="14" l="1"/>
  <c r="D323" i="14"/>
  <c r="H323" i="14"/>
  <c r="A324" i="14" s="1"/>
  <c r="E323" i="14"/>
  <c r="I323" i="14"/>
  <c r="G323" i="14"/>
  <c r="C323" i="14"/>
  <c r="B324" i="14" l="1"/>
  <c r="C324" i="14" s="1"/>
  <c r="I324" i="14" l="1"/>
  <c r="G324" i="14"/>
  <c r="F324" i="14"/>
  <c r="E324" i="14"/>
  <c r="H324" i="14"/>
  <c r="A325" i="14" s="1"/>
  <c r="D324" i="14"/>
  <c r="B325" i="14" l="1"/>
  <c r="C325" i="14" s="1"/>
  <c r="I325" i="14" l="1"/>
  <c r="E325" i="14"/>
  <c r="D325" i="14"/>
  <c r="H325" i="14"/>
  <c r="A326" i="14" s="1"/>
  <c r="G325" i="14"/>
  <c r="F325" i="14"/>
  <c r="B326" i="14" l="1"/>
  <c r="H326" i="14" l="1"/>
  <c r="A327" i="14" s="1"/>
  <c r="G326" i="14"/>
  <c r="E326" i="14"/>
  <c r="I326" i="14"/>
  <c r="F326" i="14"/>
  <c r="D326" i="14"/>
  <c r="C326" i="14"/>
  <c r="B327" i="14" l="1"/>
  <c r="F327" i="14" l="1"/>
  <c r="D327" i="14"/>
  <c r="H327" i="14"/>
  <c r="A328" i="14" s="1"/>
  <c r="I327" i="14"/>
  <c r="E327" i="14"/>
  <c r="G327" i="14"/>
  <c r="C327" i="14"/>
  <c r="B328" i="14" l="1"/>
  <c r="C328" i="14" s="1"/>
  <c r="I328" i="14" l="1"/>
  <c r="G328" i="14"/>
  <c r="F328" i="14"/>
  <c r="H328" i="14"/>
  <c r="A329" i="14" s="1"/>
  <c r="E328" i="14"/>
  <c r="D328" i="14"/>
  <c r="B329" i="14" l="1"/>
  <c r="C329" i="14" s="1"/>
  <c r="I329" i="14" l="1"/>
  <c r="E329" i="14"/>
  <c r="D329" i="14"/>
  <c r="H329" i="14"/>
  <c r="A330" i="14" s="1"/>
  <c r="G329" i="14"/>
  <c r="F329" i="14"/>
  <c r="B330" i="14" l="1"/>
  <c r="H330" i="14" l="1"/>
  <c r="A331" i="14" s="1"/>
  <c r="G330" i="14"/>
  <c r="E330" i="14"/>
  <c r="F330" i="14"/>
  <c r="I330" i="14"/>
  <c r="D330" i="14"/>
  <c r="C330" i="14"/>
  <c r="B331" i="14" l="1"/>
  <c r="F331" i="14" l="1"/>
  <c r="D331" i="14"/>
  <c r="H331" i="14"/>
  <c r="A332" i="14" s="1"/>
  <c r="E331" i="14"/>
  <c r="I331" i="14"/>
  <c r="G331" i="14"/>
  <c r="C331" i="14"/>
  <c r="B332" i="14" l="1"/>
  <c r="C332" i="14" s="1"/>
  <c r="I332" i="14" l="1"/>
  <c r="G332" i="14"/>
  <c r="F332" i="14"/>
  <c r="E332" i="14"/>
  <c r="H332" i="14"/>
  <c r="A333" i="14" s="1"/>
  <c r="D332" i="14"/>
  <c r="B333" i="14" l="1"/>
  <c r="C333" i="14" s="1"/>
  <c r="I333" i="14" l="1"/>
  <c r="E333" i="14"/>
  <c r="D333" i="14"/>
  <c r="H333" i="14"/>
  <c r="A334" i="14" s="1"/>
  <c r="G333" i="14"/>
  <c r="F333" i="14"/>
  <c r="B334" i="14" l="1"/>
  <c r="H334" i="14" l="1"/>
  <c r="A335" i="14" s="1"/>
  <c r="G334" i="14"/>
  <c r="E334" i="14"/>
  <c r="I334" i="14"/>
  <c r="F334" i="14"/>
  <c r="D334" i="14"/>
  <c r="C334" i="14"/>
  <c r="B335" i="14" l="1"/>
  <c r="F335" i="14" l="1"/>
  <c r="D335" i="14"/>
  <c r="H335" i="14"/>
  <c r="A336" i="14" s="1"/>
  <c r="I335" i="14"/>
  <c r="G335" i="14"/>
  <c r="E335" i="14"/>
  <c r="C335" i="14"/>
  <c r="B336" i="14" l="1"/>
  <c r="C336" i="14" s="1"/>
  <c r="I336" i="14" l="1"/>
  <c r="G336" i="14"/>
  <c r="F336" i="14"/>
  <c r="H336" i="14"/>
  <c r="A337" i="14" s="1"/>
  <c r="E336" i="14"/>
  <c r="D336" i="14"/>
  <c r="B337" i="14" l="1"/>
  <c r="C337" i="14" s="1"/>
  <c r="I337" i="14" l="1"/>
  <c r="E337" i="14"/>
  <c r="D337" i="14"/>
  <c r="H337" i="14"/>
  <c r="A338" i="14" s="1"/>
  <c r="G337" i="14"/>
  <c r="F337" i="14"/>
  <c r="B338" i="14" l="1"/>
  <c r="H338" i="14" l="1"/>
  <c r="A339" i="14" s="1"/>
  <c r="G338" i="14"/>
  <c r="E338" i="14"/>
  <c r="F338" i="14"/>
  <c r="I338" i="14"/>
  <c r="D338" i="14"/>
  <c r="C338" i="14"/>
  <c r="B339" i="14" l="1"/>
  <c r="F339" i="14" l="1"/>
  <c r="D339" i="14"/>
  <c r="H339" i="14"/>
  <c r="A340" i="14" s="1"/>
  <c r="E339" i="14"/>
  <c r="I339" i="14"/>
  <c r="G339" i="14"/>
  <c r="C339" i="14"/>
  <c r="B340" i="14" l="1"/>
  <c r="C340" i="14" s="1"/>
  <c r="I340" i="14" l="1"/>
  <c r="G340" i="14"/>
  <c r="F340" i="14"/>
  <c r="E340" i="14"/>
  <c r="H340" i="14"/>
  <c r="A341" i="14" s="1"/>
  <c r="D340" i="14"/>
  <c r="B341" i="14" l="1"/>
  <c r="C341" i="14" s="1"/>
  <c r="I341" i="14" l="1"/>
  <c r="E341" i="14"/>
  <c r="D341" i="14"/>
  <c r="H341" i="14"/>
  <c r="A342" i="14" s="1"/>
  <c r="G341" i="14"/>
  <c r="F341" i="14"/>
  <c r="B342" i="14" l="1"/>
  <c r="H342" i="14" l="1"/>
  <c r="A343" i="14" s="1"/>
  <c r="G342" i="14"/>
  <c r="E342" i="14"/>
  <c r="I342" i="14"/>
  <c r="F342" i="14"/>
  <c r="D342" i="14"/>
  <c r="C342" i="14"/>
  <c r="B343" i="14" l="1"/>
  <c r="I343" i="14" l="1"/>
  <c r="F343" i="14"/>
  <c r="D343" i="14"/>
  <c r="H343" i="14"/>
  <c r="A344" i="14" s="1"/>
  <c r="G343" i="14"/>
  <c r="E343" i="14"/>
  <c r="C343" i="14"/>
  <c r="B344" i="14" l="1"/>
  <c r="H344" i="14" l="1"/>
  <c r="A345" i="14" s="1"/>
  <c r="G344" i="14"/>
  <c r="I344" i="14"/>
  <c r="F344" i="14"/>
  <c r="E344" i="14"/>
  <c r="D344" i="14"/>
  <c r="C344" i="14"/>
  <c r="B345" i="14" l="1"/>
  <c r="G345" i="14" l="1"/>
  <c r="F345" i="14"/>
  <c r="D345" i="14"/>
  <c r="H345" i="14"/>
  <c r="A346" i="14" s="1"/>
  <c r="E345" i="14"/>
  <c r="I345" i="14"/>
  <c r="C345" i="14"/>
  <c r="B346" i="14" l="1"/>
  <c r="F346" i="14" l="1"/>
  <c r="E346" i="14"/>
  <c r="H346" i="14"/>
  <c r="A347" i="14" s="1"/>
  <c r="I346" i="14"/>
  <c r="G346" i="14"/>
  <c r="D346" i="14"/>
  <c r="C346" i="14"/>
  <c r="B347" i="14" l="1"/>
  <c r="C347" i="14" s="1"/>
  <c r="I347" i="14" l="1"/>
  <c r="G347" i="14"/>
  <c r="F347" i="14"/>
  <c r="H347" i="14"/>
  <c r="A348" i="14" s="1"/>
  <c r="E347" i="14"/>
  <c r="D347" i="14"/>
  <c r="B348" i="14" l="1"/>
  <c r="F348" i="14" l="1"/>
  <c r="E348" i="14"/>
  <c r="I348" i="14"/>
  <c r="H348" i="14"/>
  <c r="A349" i="14" s="1"/>
  <c r="G348" i="14"/>
  <c r="D348" i="14"/>
  <c r="C348" i="14"/>
  <c r="B349" i="14" l="1"/>
  <c r="E349" i="14" l="1"/>
  <c r="I349" i="14"/>
  <c r="G349" i="14"/>
  <c r="H349" i="14"/>
  <c r="A350" i="14" s="1"/>
  <c r="F349" i="14"/>
  <c r="D349" i="14"/>
  <c r="C349" i="14"/>
  <c r="B350" i="14" l="1"/>
  <c r="F350" i="14" l="1"/>
  <c r="I350" i="14"/>
  <c r="G350" i="14"/>
  <c r="E350" i="14"/>
  <c r="H350" i="14"/>
  <c r="A351" i="14" s="1"/>
  <c r="D350" i="14"/>
  <c r="C350" i="14"/>
  <c r="B351" i="14" l="1"/>
  <c r="C351" i="14" s="1"/>
  <c r="I351" i="14" l="1"/>
  <c r="E351" i="14"/>
  <c r="D351" i="14"/>
  <c r="H351" i="14"/>
  <c r="A352" i="14" s="1"/>
  <c r="G351" i="14"/>
  <c r="F351" i="14"/>
  <c r="B352" i="14" l="1"/>
  <c r="D352" i="14" l="1"/>
  <c r="I352" i="14"/>
  <c r="H352" i="14"/>
  <c r="A353" i="14" s="1"/>
  <c r="F352" i="14"/>
  <c r="G352" i="14"/>
  <c r="E352" i="14"/>
  <c r="C352" i="14"/>
  <c r="B353" i="14" l="1"/>
  <c r="H353" i="14" l="1"/>
  <c r="A354" i="14" s="1"/>
  <c r="F353" i="14"/>
  <c r="E353" i="14"/>
  <c r="G353" i="14"/>
  <c r="D353" i="14"/>
  <c r="I353" i="14"/>
  <c r="C353" i="14"/>
  <c r="B354" i="14" l="1"/>
  <c r="F354" i="14" l="1"/>
  <c r="I354" i="14"/>
  <c r="D354" i="14"/>
  <c r="H354" i="14"/>
  <c r="A355" i="14" s="1"/>
  <c r="G354" i="14"/>
  <c r="E354" i="14"/>
  <c r="C354" i="14"/>
  <c r="B355" i="14" l="1"/>
  <c r="I355" i="14" l="1"/>
  <c r="H355" i="14"/>
  <c r="A356" i="14" s="1"/>
  <c r="G355" i="14"/>
  <c r="E355" i="14"/>
  <c r="F355" i="14"/>
  <c r="D355" i="14"/>
  <c r="C355" i="14"/>
  <c r="B356" i="14" l="1"/>
  <c r="G356" i="14" l="1"/>
  <c r="E356" i="14"/>
  <c r="D356" i="14"/>
  <c r="I356" i="14"/>
  <c r="F356" i="14"/>
  <c r="H356" i="14"/>
  <c r="A357" i="14" s="1"/>
  <c r="C356" i="14"/>
  <c r="B357" i="14" l="1"/>
  <c r="I357" i="14" l="1"/>
  <c r="H357" i="14"/>
  <c r="A358" i="14" s="1"/>
  <c r="D357" i="14"/>
  <c r="G357" i="14"/>
  <c r="F357" i="14"/>
  <c r="E357" i="14"/>
  <c r="C357" i="14"/>
  <c r="B358" i="14" l="1"/>
  <c r="C358" i="14" s="1"/>
  <c r="F358" i="14" l="1"/>
  <c r="H358" i="14"/>
  <c r="A359" i="14" s="1"/>
  <c r="G358" i="14"/>
  <c r="D358" i="14"/>
  <c r="E358" i="14"/>
  <c r="I358" i="14"/>
  <c r="B359" i="14" l="1"/>
  <c r="I359" i="14" l="1"/>
  <c r="F359" i="14"/>
  <c r="D359" i="14"/>
  <c r="H359" i="14"/>
  <c r="A360" i="14" s="1"/>
  <c r="E359" i="14"/>
  <c r="G359" i="14"/>
  <c r="C359" i="14"/>
  <c r="B360" i="14" l="1"/>
  <c r="H360" i="14" l="1"/>
  <c r="A361" i="14" s="1"/>
  <c r="G360" i="14"/>
  <c r="F360" i="14"/>
  <c r="E360" i="14"/>
  <c r="D360" i="14"/>
  <c r="I360" i="14"/>
  <c r="C360" i="14"/>
  <c r="B361" i="14" l="1"/>
  <c r="G361" i="14" l="1"/>
  <c r="F361" i="14"/>
  <c r="D361" i="14"/>
  <c r="I361" i="14"/>
  <c r="E361" i="14"/>
  <c r="H361" i="14"/>
  <c r="A362" i="14" s="1"/>
  <c r="C361" i="14"/>
  <c r="B362" i="14" l="1"/>
  <c r="F362" i="14" l="1"/>
  <c r="E362" i="14"/>
  <c r="H362" i="14"/>
  <c r="A363" i="14" s="1"/>
  <c r="D362" i="14"/>
  <c r="I362" i="14"/>
  <c r="G362" i="14"/>
  <c r="C362" i="14"/>
  <c r="B363" i="14" l="1"/>
  <c r="C363" i="14" s="1"/>
  <c r="I363" i="14" l="1"/>
  <c r="G363" i="14"/>
  <c r="F363" i="14"/>
  <c r="E363" i="14"/>
  <c r="H363" i="14"/>
  <c r="A364" i="14" s="1"/>
  <c r="D363" i="14"/>
  <c r="B364" i="14" l="1"/>
  <c r="H364" i="14" l="1"/>
  <c r="A365" i="14" s="1"/>
  <c r="F364" i="14"/>
  <c r="E364" i="14"/>
  <c r="I364" i="14"/>
  <c r="D364" i="14"/>
  <c r="G364" i="14"/>
  <c r="C364" i="14"/>
  <c r="B365" i="14" l="1"/>
  <c r="E365" i="14" l="1"/>
  <c r="I365" i="14"/>
  <c r="G365" i="14"/>
  <c r="F365" i="14"/>
  <c r="D365" i="14"/>
  <c r="H365" i="14"/>
  <c r="A366" i="14" s="1"/>
  <c r="C365" i="14"/>
  <c r="B366" i="14" l="1"/>
  <c r="F366" i="14" l="1"/>
  <c r="I366" i="14"/>
  <c r="G366" i="14"/>
  <c r="E366" i="14"/>
  <c r="D366" i="14"/>
  <c r="H366" i="14"/>
  <c r="A367" i="14" s="1"/>
  <c r="C366" i="14"/>
  <c r="B367" i="14" l="1"/>
  <c r="C367" i="14" s="1"/>
  <c r="I367" i="14" l="1"/>
  <c r="G367" i="14"/>
  <c r="E367" i="14"/>
  <c r="D367" i="14"/>
  <c r="H367" i="14"/>
  <c r="A368" i="14" s="1"/>
  <c r="F367" i="14"/>
  <c r="B368" i="14" l="1"/>
  <c r="C368" i="14" s="1"/>
  <c r="D368" i="14" l="1"/>
  <c r="I368" i="14"/>
  <c r="H368" i="14"/>
  <c r="A369" i="14" s="1"/>
  <c r="F368" i="14"/>
  <c r="G368" i="14"/>
  <c r="E368" i="14"/>
  <c r="B369" i="14" l="1"/>
  <c r="H369" i="14" l="1"/>
  <c r="A370" i="14" s="1"/>
  <c r="F369" i="14"/>
  <c r="E369" i="14"/>
  <c r="I369" i="14"/>
  <c r="G369" i="14"/>
  <c r="D369" i="14"/>
  <c r="C369" i="14"/>
  <c r="B370" i="14" l="1"/>
  <c r="F370" i="14" l="1"/>
  <c r="I370" i="14"/>
  <c r="G370" i="14"/>
  <c r="D370" i="14"/>
  <c r="E370" i="14"/>
  <c r="H370" i="14"/>
  <c r="A371" i="14" s="1"/>
  <c r="C370" i="14"/>
  <c r="B371" i="14" l="1"/>
  <c r="I371" i="14" l="1"/>
  <c r="H371" i="14"/>
  <c r="A372" i="14" s="1"/>
  <c r="G371" i="14"/>
  <c r="E371" i="14"/>
  <c r="D371" i="14"/>
  <c r="F371" i="14"/>
  <c r="C371" i="14"/>
  <c r="B372" i="14" l="1"/>
  <c r="C372" i="14" s="1"/>
  <c r="I372" i="14" l="1"/>
  <c r="G372" i="14"/>
  <c r="E372" i="14"/>
  <c r="D372" i="14"/>
  <c r="F372" i="14"/>
  <c r="H372" i="14"/>
  <c r="A373" i="14" s="1"/>
  <c r="B373" i="14" l="1"/>
  <c r="I373" i="14" l="1"/>
  <c r="G373" i="14"/>
  <c r="E373" i="14"/>
  <c r="D373" i="14"/>
  <c r="H373" i="14"/>
  <c r="A374" i="14" s="1"/>
  <c r="F373" i="14"/>
  <c r="C373" i="14"/>
  <c r="B374" i="14" l="1"/>
  <c r="F374" i="14" l="1"/>
  <c r="D374" i="14"/>
  <c r="I374" i="14"/>
  <c r="G374" i="14"/>
  <c r="H374" i="14"/>
  <c r="A375" i="14" s="1"/>
  <c r="E374" i="14"/>
  <c r="C374" i="14"/>
  <c r="B375" i="14" l="1"/>
  <c r="I375" i="14" l="1"/>
  <c r="F375" i="14"/>
  <c r="G375" i="14"/>
  <c r="E375" i="14"/>
  <c r="H375" i="14"/>
  <c r="A376" i="14" s="1"/>
  <c r="D375" i="14"/>
  <c r="C375" i="14"/>
  <c r="B376" i="14" l="1"/>
  <c r="I376" i="14" l="1"/>
  <c r="H376" i="14"/>
  <c r="A377" i="14" s="1"/>
  <c r="F376" i="14"/>
  <c r="E376" i="14"/>
  <c r="D376" i="14"/>
  <c r="G376" i="14"/>
  <c r="C376" i="14"/>
  <c r="B377" i="14" l="1"/>
  <c r="F377" i="14" l="1"/>
  <c r="D377" i="14"/>
  <c r="H377" i="14"/>
  <c r="A378" i="14" s="1"/>
  <c r="I377" i="14"/>
  <c r="G377" i="14"/>
  <c r="E377" i="14"/>
  <c r="C377" i="14"/>
  <c r="B378" i="14" l="1"/>
  <c r="F378" i="14" l="1"/>
  <c r="I378" i="14"/>
  <c r="H378" i="14"/>
  <c r="A379" i="14" s="1"/>
  <c r="E378" i="14"/>
  <c r="D378" i="14"/>
  <c r="G378" i="14"/>
  <c r="C378" i="14"/>
  <c r="B379" i="14" l="1"/>
  <c r="C379" i="14" s="1"/>
  <c r="I379" i="14" l="1"/>
  <c r="F379" i="14"/>
  <c r="H379" i="14"/>
  <c r="A380" i="14" s="1"/>
  <c r="G379" i="14"/>
  <c r="D379" i="14"/>
  <c r="E379" i="14"/>
  <c r="B380" i="14" l="1"/>
  <c r="C380" i="14" s="1"/>
  <c r="I380" i="14" l="1"/>
  <c r="G380" i="14"/>
  <c r="E380" i="14"/>
  <c r="D380" i="14"/>
  <c r="H380" i="14"/>
  <c r="A381" i="14" s="1"/>
  <c r="F380" i="14"/>
  <c r="B381" i="14" l="1"/>
  <c r="I381" i="14" l="1"/>
  <c r="G381" i="14"/>
  <c r="E381" i="14"/>
  <c r="D381" i="14"/>
  <c r="H381" i="14"/>
  <c r="A382" i="14" s="1"/>
  <c r="F381" i="14"/>
  <c r="C381" i="14"/>
  <c r="B382" i="14" l="1"/>
  <c r="F382" i="14" l="1"/>
  <c r="D382" i="14"/>
  <c r="I382" i="14"/>
  <c r="G382" i="14"/>
  <c r="H382" i="14"/>
  <c r="A383" i="14" s="1"/>
  <c r="E382" i="14"/>
  <c r="C382" i="14"/>
  <c r="B383" i="14" l="1"/>
  <c r="I383" i="14" l="1"/>
  <c r="F383" i="14"/>
  <c r="G383" i="14"/>
  <c r="E383" i="14"/>
  <c r="H383" i="14"/>
  <c r="A384" i="14" s="1"/>
  <c r="D383" i="14"/>
  <c r="C383" i="14"/>
  <c r="B384" i="14" l="1"/>
  <c r="I384" i="14" l="1"/>
  <c r="H384" i="14"/>
  <c r="A385" i="14" s="1"/>
  <c r="F384" i="14"/>
  <c r="E384" i="14"/>
  <c r="G384" i="14"/>
  <c r="D384" i="14"/>
  <c r="C384" i="14"/>
  <c r="B385" i="14" l="1"/>
  <c r="F385" i="14" l="1"/>
  <c r="D385" i="14"/>
  <c r="H385" i="14"/>
  <c r="A386" i="14" s="1"/>
  <c r="G385" i="14"/>
  <c r="E385" i="14"/>
  <c r="I385" i="14"/>
  <c r="C385" i="14"/>
  <c r="B386" i="14" l="1"/>
  <c r="F386" i="14" l="1"/>
  <c r="I386" i="14"/>
  <c r="H386" i="14"/>
  <c r="A387" i="14" s="1"/>
  <c r="E386" i="14"/>
  <c r="G386" i="14"/>
  <c r="D386" i="14"/>
  <c r="C386" i="14"/>
  <c r="B387" i="14" l="1"/>
  <c r="C387" i="14" s="1"/>
  <c r="I387" i="14" l="1"/>
  <c r="F387" i="14"/>
  <c r="H387" i="14"/>
  <c r="A388" i="14" s="1"/>
  <c r="G387" i="14"/>
  <c r="D387" i="14"/>
  <c r="E387" i="14"/>
  <c r="B388" i="14" l="1"/>
  <c r="C388" i="14" s="1"/>
  <c r="I388" i="14" l="1"/>
  <c r="G388" i="14"/>
  <c r="E388" i="14"/>
  <c r="D388" i="14"/>
  <c r="H388" i="14"/>
  <c r="A389" i="14" s="1"/>
  <c r="F388" i="14"/>
  <c r="B389" i="14" l="1"/>
  <c r="I389" i="14" l="1"/>
  <c r="G389" i="14"/>
  <c r="E389" i="14"/>
  <c r="D389" i="14"/>
  <c r="F389" i="14"/>
  <c r="H389" i="14"/>
  <c r="A390" i="14" s="1"/>
  <c r="C389" i="14"/>
  <c r="B390" i="14" l="1"/>
  <c r="F390" i="14" l="1"/>
  <c r="D390" i="14"/>
  <c r="I390" i="14"/>
  <c r="G390" i="14"/>
  <c r="H390" i="14"/>
  <c r="A391" i="14" s="1"/>
  <c r="E390" i="14"/>
  <c r="C390" i="14"/>
  <c r="B391" i="14" l="1"/>
  <c r="I391" i="14" l="1"/>
  <c r="F391" i="14"/>
  <c r="G391" i="14"/>
  <c r="E391" i="14"/>
  <c r="H391" i="14"/>
  <c r="A392" i="14" s="1"/>
  <c r="D391" i="14"/>
  <c r="C391" i="14"/>
  <c r="B392" i="14" l="1"/>
  <c r="I392" i="14" l="1"/>
  <c r="H392" i="14"/>
  <c r="A393" i="14" s="1"/>
  <c r="F392" i="14"/>
  <c r="E392" i="14"/>
  <c r="G392" i="14"/>
  <c r="D392" i="14"/>
  <c r="C392" i="14"/>
  <c r="B393" i="14" l="1"/>
  <c r="F393" i="14" l="1"/>
  <c r="D393" i="14"/>
  <c r="H393" i="14"/>
  <c r="A394" i="14" s="1"/>
  <c r="E393" i="14"/>
  <c r="G393" i="14"/>
  <c r="I393" i="14"/>
  <c r="C393" i="14"/>
  <c r="B394" i="14" l="1"/>
  <c r="F394" i="14" l="1"/>
  <c r="I394" i="14"/>
  <c r="H394" i="14"/>
  <c r="A395" i="14" s="1"/>
  <c r="E394" i="14"/>
  <c r="G394" i="14"/>
  <c r="D394" i="14"/>
  <c r="C394" i="14"/>
  <c r="B395" i="14" l="1"/>
  <c r="C395" i="14" s="1"/>
  <c r="I395" i="14" l="1"/>
  <c r="F395" i="14"/>
  <c r="H395" i="14"/>
  <c r="A396" i="14" s="1"/>
  <c r="G395" i="14"/>
  <c r="D395" i="14"/>
  <c r="E395" i="14"/>
  <c r="B396" i="14" l="1"/>
  <c r="C396" i="14" s="1"/>
  <c r="I396" i="14" l="1"/>
  <c r="G396" i="14"/>
  <c r="E396" i="14"/>
  <c r="D396" i="14"/>
  <c r="H396" i="14"/>
  <c r="A397" i="14" s="1"/>
  <c r="F396" i="14"/>
  <c r="B397" i="14" l="1"/>
  <c r="I397" i="14" l="1"/>
  <c r="G397" i="14"/>
  <c r="E397" i="14"/>
  <c r="D397" i="14"/>
  <c r="H397" i="14"/>
  <c r="A398" i="14" s="1"/>
  <c r="F397" i="14"/>
  <c r="C397" i="14"/>
  <c r="B398" i="14" l="1"/>
  <c r="F398" i="14" l="1"/>
  <c r="D398" i="14"/>
  <c r="I398" i="14"/>
  <c r="G398" i="14"/>
  <c r="H398" i="14"/>
  <c r="A399" i="14" s="1"/>
  <c r="E398" i="14"/>
  <c r="C398" i="14"/>
  <c r="B399" i="14" l="1"/>
  <c r="I399" i="14" l="1"/>
  <c r="F399" i="14"/>
  <c r="G399" i="14"/>
  <c r="E399" i="14"/>
  <c r="D399" i="14"/>
  <c r="H399" i="14"/>
  <c r="A400" i="14" s="1"/>
  <c r="C399" i="14"/>
  <c r="B400" i="14" l="1"/>
  <c r="I400" i="14" l="1"/>
  <c r="H400" i="14"/>
  <c r="A401" i="14" s="1"/>
  <c r="F400" i="14"/>
  <c r="E400" i="14"/>
  <c r="G400" i="14"/>
  <c r="D400" i="14"/>
  <c r="C400" i="14"/>
  <c r="B401" i="14" l="1"/>
  <c r="F401" i="14" l="1"/>
  <c r="D401" i="14"/>
  <c r="H401" i="14"/>
  <c r="A402" i="14" s="1"/>
  <c r="I401" i="14"/>
  <c r="E401" i="14"/>
  <c r="G401" i="14"/>
  <c r="C401" i="14"/>
  <c r="B402" i="14" l="1"/>
  <c r="F402" i="14" l="1"/>
  <c r="I402" i="14"/>
  <c r="H402" i="14"/>
  <c r="A403" i="14" s="1"/>
  <c r="E402" i="14"/>
  <c r="G402" i="14"/>
  <c r="D402" i="14"/>
  <c r="C402" i="14"/>
  <c r="B403" i="14" l="1"/>
  <c r="C403" i="14" s="1"/>
  <c r="I403" i="14" l="1"/>
  <c r="F403" i="14"/>
  <c r="H403" i="14"/>
  <c r="A404" i="14" s="1"/>
  <c r="G403" i="14"/>
  <c r="D403" i="14"/>
  <c r="E403" i="14"/>
  <c r="B404" i="14" l="1"/>
  <c r="C404" i="14" s="1"/>
  <c r="I404" i="14" l="1"/>
  <c r="E404" i="14"/>
  <c r="H404" i="14"/>
  <c r="A405" i="14" s="1"/>
  <c r="F404" i="14"/>
  <c r="D404" i="14"/>
  <c r="G404" i="14"/>
  <c r="B405" i="14" l="1"/>
  <c r="H405" i="14" l="1"/>
  <c r="A406" i="14" s="1"/>
  <c r="I405" i="14"/>
  <c r="F405" i="14"/>
  <c r="E405" i="14"/>
  <c r="G405" i="14"/>
  <c r="D405" i="14"/>
  <c r="C405" i="14"/>
  <c r="B406" i="14" l="1"/>
  <c r="F406" i="14" l="1"/>
  <c r="G406" i="14"/>
  <c r="D406" i="14"/>
  <c r="I406" i="14"/>
  <c r="H406" i="14"/>
  <c r="A407" i="14" s="1"/>
  <c r="E406" i="14"/>
  <c r="C406" i="14"/>
  <c r="B407" i="14" l="1"/>
  <c r="C407" i="14" s="1"/>
  <c r="I407" i="14" l="1"/>
  <c r="F407" i="14"/>
  <c r="G407" i="14"/>
  <c r="D407" i="14"/>
  <c r="E407" i="14"/>
  <c r="H407" i="14"/>
  <c r="A408" i="14" s="1"/>
  <c r="B408" i="14" l="1"/>
  <c r="C408" i="14" s="1"/>
  <c r="I408" i="14" l="1"/>
  <c r="F408" i="14"/>
  <c r="E408" i="14"/>
  <c r="D408" i="14"/>
  <c r="G408" i="14"/>
  <c r="H408" i="14"/>
  <c r="A409" i="14" s="1"/>
  <c r="B409" i="14" l="1"/>
  <c r="I409" i="14" l="1"/>
  <c r="H409" i="14"/>
  <c r="A410" i="14" s="1"/>
  <c r="G409" i="14"/>
  <c r="E409" i="14"/>
  <c r="D409" i="14"/>
  <c r="F409" i="14"/>
  <c r="C409" i="14"/>
  <c r="B410" i="14" l="1"/>
  <c r="F410" i="14" l="1"/>
  <c r="I410" i="14"/>
  <c r="H410" i="14"/>
  <c r="A411" i="14" s="1"/>
  <c r="E410" i="14"/>
  <c r="D410" i="14"/>
  <c r="G410" i="14"/>
  <c r="C410" i="14"/>
  <c r="B411" i="14" l="1"/>
  <c r="I411" i="14" l="1"/>
  <c r="F411" i="14"/>
  <c r="H411" i="14"/>
  <c r="A412" i="14" s="1"/>
  <c r="E411" i="14"/>
  <c r="G411" i="14"/>
  <c r="D411" i="14"/>
  <c r="C411" i="14"/>
  <c r="B412" i="14" l="1"/>
  <c r="I412" i="14" l="1"/>
  <c r="F412" i="14"/>
  <c r="E412" i="14"/>
  <c r="D412" i="14"/>
  <c r="G412" i="14"/>
  <c r="H412" i="14"/>
  <c r="A413" i="14" s="1"/>
  <c r="C412" i="14"/>
  <c r="B413" i="14" l="1"/>
  <c r="I413" i="14" l="1"/>
  <c r="H413" i="14"/>
  <c r="A414" i="14" s="1"/>
  <c r="G413" i="14"/>
  <c r="F413" i="14"/>
  <c r="E413" i="14"/>
  <c r="D413" i="14"/>
  <c r="C413" i="14"/>
  <c r="B414" i="14" l="1"/>
  <c r="F414" i="14" l="1"/>
  <c r="I414" i="14"/>
  <c r="G414" i="14"/>
  <c r="E414" i="14"/>
  <c r="H414" i="14"/>
  <c r="A415" i="14" s="1"/>
  <c r="D414" i="14"/>
  <c r="C414" i="14"/>
  <c r="B415" i="14" l="1"/>
  <c r="I415" i="14" l="1"/>
  <c r="F415" i="14"/>
  <c r="H415" i="14"/>
  <c r="A416" i="14" s="1"/>
  <c r="G415" i="14"/>
  <c r="D415" i="14"/>
  <c r="E415" i="14"/>
  <c r="C415" i="14"/>
  <c r="B416" i="14" l="1"/>
  <c r="I416" i="14" l="1"/>
  <c r="F416" i="14"/>
  <c r="E416" i="14"/>
  <c r="D416" i="14"/>
  <c r="G416" i="14"/>
  <c r="H416" i="14"/>
  <c r="A417" i="14" s="1"/>
  <c r="C416" i="14"/>
  <c r="B417" i="14" l="1"/>
  <c r="I417" i="14" l="1"/>
  <c r="H417" i="14"/>
  <c r="A418" i="14" s="1"/>
  <c r="G417" i="14"/>
  <c r="F417" i="14"/>
  <c r="D417" i="14"/>
  <c r="E417" i="14"/>
  <c r="C417" i="14"/>
  <c r="B418" i="14" l="1"/>
  <c r="F418" i="14" l="1"/>
  <c r="G418" i="14"/>
  <c r="H418" i="14"/>
  <c r="A419" i="14" s="1"/>
  <c r="I418" i="14"/>
  <c r="D418" i="14"/>
  <c r="E418" i="14"/>
  <c r="C418" i="14"/>
  <c r="B419" i="14" l="1"/>
  <c r="I419" i="14" l="1"/>
  <c r="D419" i="14"/>
  <c r="H419" i="14"/>
  <c r="A420" i="14" s="1"/>
  <c r="E419" i="14"/>
  <c r="F419" i="14"/>
  <c r="G419" i="14"/>
  <c r="C419" i="14"/>
  <c r="B420" i="14" l="1"/>
  <c r="G420" i="14" l="1"/>
  <c r="I420" i="14"/>
  <c r="H420" i="14"/>
  <c r="A421" i="14" s="1"/>
  <c r="F420" i="14"/>
  <c r="D420" i="14"/>
  <c r="E420" i="14"/>
  <c r="C420" i="14"/>
  <c r="B421" i="14" l="1"/>
  <c r="H421" i="14" l="1"/>
  <c r="A422" i="14" s="1"/>
  <c r="E421" i="14"/>
  <c r="I421" i="14"/>
  <c r="F421" i="14"/>
  <c r="D421" i="14"/>
  <c r="G421" i="14"/>
  <c r="C421" i="14"/>
  <c r="B422" i="14" l="1"/>
  <c r="F422" i="14" l="1"/>
  <c r="G422" i="14"/>
  <c r="E422" i="14"/>
  <c r="D422" i="14"/>
  <c r="I422" i="14"/>
  <c r="H422" i="14"/>
  <c r="A423" i="14" s="1"/>
  <c r="C422" i="14"/>
  <c r="B423" i="14" l="1"/>
  <c r="C423" i="14" s="1"/>
  <c r="I423" i="14" l="1"/>
  <c r="D423" i="14"/>
  <c r="E423" i="14"/>
  <c r="H423" i="14"/>
  <c r="A424" i="14" s="1"/>
  <c r="F423" i="14"/>
  <c r="G423" i="14"/>
  <c r="B424" i="14" l="1"/>
  <c r="G424" i="14" l="1"/>
  <c r="F424" i="14"/>
  <c r="I424" i="14"/>
  <c r="E424" i="14"/>
  <c r="H424" i="14"/>
  <c r="A425" i="14" s="1"/>
  <c r="D424" i="14"/>
  <c r="C424" i="14"/>
  <c r="B425" i="14" l="1"/>
  <c r="H425" i="14" l="1"/>
  <c r="A426" i="14" s="1"/>
  <c r="G425" i="14"/>
  <c r="F425" i="14"/>
  <c r="E425" i="14"/>
  <c r="D425" i="14"/>
  <c r="I425" i="14"/>
  <c r="C425" i="14"/>
  <c r="B426" i="14" l="1"/>
  <c r="F426" i="14" l="1"/>
  <c r="G426" i="14"/>
  <c r="H426" i="14"/>
  <c r="A427" i="14" s="1"/>
  <c r="I426" i="14"/>
  <c r="E426" i="14"/>
  <c r="D426" i="14"/>
  <c r="C426" i="14"/>
  <c r="B427" i="14" l="1"/>
  <c r="I427" i="14" l="1"/>
  <c r="D427" i="14"/>
  <c r="H427" i="14"/>
  <c r="A428" i="14" s="1"/>
  <c r="E427" i="14"/>
  <c r="G427" i="14"/>
  <c r="F427" i="14"/>
  <c r="C427" i="14"/>
  <c r="B428" i="14" l="1"/>
  <c r="G428" i="14" l="1"/>
  <c r="I428" i="14"/>
  <c r="H428" i="14"/>
  <c r="A429" i="14" s="1"/>
  <c r="F428" i="14"/>
  <c r="D428" i="14"/>
  <c r="E428" i="14"/>
  <c r="C428" i="14"/>
  <c r="B429" i="14" l="1"/>
  <c r="H429" i="14" l="1"/>
  <c r="A430" i="14" s="1"/>
  <c r="E429" i="14"/>
  <c r="I429" i="14"/>
  <c r="G429" i="14"/>
  <c r="D429" i="14"/>
  <c r="F429" i="14"/>
  <c r="C429" i="14"/>
  <c r="B430" i="14" l="1"/>
  <c r="F430" i="14" l="1"/>
  <c r="G430" i="14"/>
  <c r="E430" i="14"/>
  <c r="D430" i="14"/>
  <c r="I430" i="14"/>
  <c r="H430" i="14"/>
  <c r="A431" i="14" s="1"/>
  <c r="C430" i="14"/>
  <c r="B431" i="14" l="1"/>
  <c r="I431" i="14" l="1"/>
  <c r="D431" i="14"/>
  <c r="E431" i="14"/>
  <c r="H431" i="14"/>
  <c r="A432" i="14" s="1"/>
  <c r="F431" i="14"/>
  <c r="G431" i="14"/>
  <c r="C431" i="14"/>
  <c r="B432" i="14" l="1"/>
  <c r="G432" i="14" l="1"/>
  <c r="F432" i="14"/>
  <c r="I432" i="14"/>
  <c r="H432" i="14"/>
  <c r="A433" i="14" s="1"/>
  <c r="D432" i="14"/>
  <c r="E432" i="14"/>
  <c r="C432" i="14"/>
  <c r="B433" i="14" l="1"/>
  <c r="H433" i="14" l="1"/>
  <c r="A434" i="14" s="1"/>
  <c r="G433" i="14"/>
  <c r="F433" i="14"/>
  <c r="E433" i="14"/>
  <c r="I433" i="14"/>
  <c r="D433" i="14"/>
  <c r="C433" i="14"/>
  <c r="B434" i="14" l="1"/>
  <c r="F434" i="14" l="1"/>
  <c r="G434" i="14"/>
  <c r="H434" i="14"/>
  <c r="A435" i="14" s="1"/>
  <c r="E434" i="14"/>
  <c r="D434" i="14"/>
  <c r="I434" i="14"/>
  <c r="C434" i="14"/>
  <c r="B435" i="14" l="1"/>
  <c r="I435" i="14" l="1"/>
  <c r="D435" i="14"/>
  <c r="H435" i="14"/>
  <c r="A436" i="14" s="1"/>
  <c r="E435" i="14"/>
  <c r="F435" i="14"/>
  <c r="G435" i="14"/>
  <c r="C435" i="14"/>
  <c r="B436" i="14" l="1"/>
  <c r="G436" i="14" l="1"/>
  <c r="I436" i="14"/>
  <c r="H436" i="14"/>
  <c r="A437" i="14" s="1"/>
  <c r="F436" i="14"/>
  <c r="D436" i="14"/>
  <c r="E436" i="14"/>
  <c r="C436" i="14"/>
  <c r="B437" i="14" l="1"/>
  <c r="H437" i="14" l="1"/>
  <c r="A438" i="14" s="1"/>
  <c r="E437" i="14"/>
  <c r="I437" i="14"/>
  <c r="F437" i="14"/>
  <c r="G437" i="14"/>
  <c r="D437" i="14"/>
  <c r="C437" i="14"/>
  <c r="B438" i="14" l="1"/>
  <c r="F438" i="14" l="1"/>
  <c r="G438" i="14"/>
  <c r="E438" i="14"/>
  <c r="D438" i="14"/>
  <c r="H438" i="14"/>
  <c r="A439" i="14" s="1"/>
  <c r="I438" i="14"/>
  <c r="C438" i="14"/>
  <c r="B439" i="14" l="1"/>
  <c r="C439" i="14" s="1"/>
  <c r="I439" i="14" l="1"/>
  <c r="D439" i="14"/>
  <c r="E439" i="14"/>
  <c r="H439" i="14"/>
  <c r="A440" i="14" s="1"/>
  <c r="F439" i="14"/>
  <c r="G439" i="14"/>
  <c r="B440" i="14" l="1"/>
  <c r="G440" i="14" l="1"/>
  <c r="F440" i="14"/>
  <c r="H440" i="14"/>
  <c r="A441" i="14" s="1"/>
  <c r="E440" i="14"/>
  <c r="I440" i="14"/>
  <c r="D440" i="14"/>
  <c r="C440" i="14"/>
  <c r="B441" i="14" l="1"/>
  <c r="H441" i="14" l="1"/>
  <c r="A442" i="14" s="1"/>
  <c r="G441" i="14"/>
  <c r="F441" i="14"/>
  <c r="E441" i="14"/>
  <c r="D441" i="14"/>
  <c r="I441" i="14"/>
  <c r="C441" i="14"/>
  <c r="B442" i="14" l="1"/>
  <c r="F442" i="14" l="1"/>
  <c r="H442" i="14"/>
  <c r="A443" i="14" s="1"/>
  <c r="D442" i="14"/>
  <c r="I442" i="14"/>
  <c r="E442" i="14"/>
  <c r="G442" i="14"/>
  <c r="C442" i="14"/>
  <c r="B443" i="14" l="1"/>
  <c r="I443" i="14" l="1"/>
  <c r="F443" i="14"/>
  <c r="D443" i="14"/>
  <c r="G443" i="14"/>
  <c r="E443" i="14"/>
  <c r="H443" i="14"/>
  <c r="A444" i="14" s="1"/>
  <c r="C443" i="14"/>
  <c r="B444" i="14" l="1"/>
  <c r="C444" i="14" s="1"/>
  <c r="I444" i="14" l="1"/>
  <c r="G444" i="14"/>
  <c r="E444" i="14"/>
  <c r="F444" i="14"/>
  <c r="H444" i="14"/>
  <c r="A445" i="14" s="1"/>
  <c r="D444" i="14"/>
  <c r="B445" i="14" l="1"/>
  <c r="H445" i="14" l="1"/>
  <c r="A446" i="14" s="1"/>
  <c r="E445" i="14"/>
  <c r="D445" i="14"/>
  <c r="G445" i="14"/>
  <c r="I445" i="14"/>
  <c r="F445" i="14"/>
  <c r="C445" i="14"/>
  <c r="B446" i="14" l="1"/>
  <c r="F446" i="14" l="1"/>
  <c r="D446" i="14"/>
  <c r="I446" i="14"/>
  <c r="H446" i="14"/>
  <c r="A447" i="14" s="1"/>
  <c r="E446" i="14"/>
  <c r="G446" i="14"/>
  <c r="C446" i="14"/>
  <c r="B447" i="14" l="1"/>
  <c r="C447" i="14" s="1"/>
  <c r="I447" i="14" l="1"/>
  <c r="G447" i="14"/>
  <c r="F447" i="14"/>
  <c r="D447" i="14"/>
  <c r="H447" i="14"/>
  <c r="A448" i="14" s="1"/>
  <c r="E447" i="14"/>
  <c r="B448" i="14" l="1"/>
  <c r="D448" i="14" l="1"/>
  <c r="I448" i="14"/>
  <c r="G448" i="14"/>
  <c r="H448" i="14"/>
  <c r="A449" i="14" s="1"/>
  <c r="E448" i="14"/>
  <c r="F448" i="14"/>
  <c r="C448" i="14"/>
  <c r="B449" i="14" l="1"/>
  <c r="G449" i="14" l="1"/>
  <c r="I449" i="14"/>
  <c r="E449" i="14"/>
  <c r="D449" i="14"/>
  <c r="H449" i="14"/>
  <c r="A450" i="14" s="1"/>
  <c r="F449" i="14"/>
  <c r="C449" i="14"/>
  <c r="B450" i="14" l="1"/>
  <c r="F450" i="14" l="1"/>
  <c r="D450" i="14"/>
  <c r="G450" i="14"/>
  <c r="H450" i="14"/>
  <c r="A451" i="14" s="1"/>
  <c r="E450" i="14"/>
  <c r="I450" i="14"/>
  <c r="C450" i="14"/>
  <c r="B451" i="14" l="1"/>
  <c r="I451" i="14" l="1"/>
  <c r="G451" i="14"/>
  <c r="F451" i="14"/>
  <c r="D451" i="14"/>
  <c r="H451" i="14"/>
  <c r="A452" i="14" s="1"/>
  <c r="E451" i="14"/>
  <c r="C451" i="14"/>
  <c r="B452" i="14" l="1"/>
  <c r="D452" i="14" l="1"/>
  <c r="I452" i="14"/>
  <c r="G452" i="14"/>
  <c r="H452" i="14"/>
  <c r="A453" i="14" s="1"/>
  <c r="F452" i="14"/>
  <c r="E452" i="14"/>
  <c r="C452" i="14"/>
  <c r="B453" i="14" l="1"/>
  <c r="G453" i="14" l="1"/>
  <c r="I453" i="14"/>
  <c r="H453" i="14"/>
  <c r="A454" i="14" s="1"/>
  <c r="F453" i="14"/>
  <c r="E453" i="14"/>
  <c r="D453" i="14"/>
  <c r="C453" i="14"/>
  <c r="B454" i="14" l="1"/>
  <c r="F454" i="14" l="1"/>
  <c r="D454" i="14"/>
  <c r="G454" i="14"/>
  <c r="I454" i="14"/>
  <c r="H454" i="14"/>
  <c r="A455" i="14" s="1"/>
  <c r="E454" i="14"/>
  <c r="C454" i="14"/>
  <c r="B455" i="14" l="1"/>
  <c r="C455" i="14" s="1"/>
  <c r="I455" i="14" l="1"/>
  <c r="G455" i="14"/>
  <c r="F455" i="14"/>
  <c r="D455" i="14"/>
  <c r="H455" i="14"/>
  <c r="A456" i="14" s="1"/>
  <c r="E455" i="14"/>
  <c r="B456" i="14" l="1"/>
  <c r="D456" i="14" l="1"/>
  <c r="I456" i="14"/>
  <c r="H456" i="14"/>
  <c r="A457" i="14" s="1"/>
  <c r="G456" i="14"/>
  <c r="E456" i="14"/>
  <c r="F456" i="14"/>
  <c r="C456" i="14"/>
  <c r="B457" i="14" l="1"/>
  <c r="G457" i="14" l="1"/>
  <c r="F457" i="14"/>
  <c r="H457" i="14"/>
  <c r="A458" i="14" s="1"/>
  <c r="E457" i="14"/>
  <c r="D457" i="14"/>
  <c r="I457" i="14"/>
  <c r="C457" i="14"/>
  <c r="B458" i="14" l="1"/>
  <c r="F458" i="14" l="1"/>
  <c r="D458" i="14"/>
  <c r="I458" i="14"/>
  <c r="H458" i="14"/>
  <c r="A459" i="14" s="1"/>
  <c r="G458" i="14"/>
  <c r="E458" i="14"/>
  <c r="C458" i="14"/>
  <c r="B459" i="14" l="1"/>
  <c r="C459" i="14" s="1"/>
  <c r="I459" i="14" l="1"/>
  <c r="G459" i="14"/>
  <c r="F459" i="14"/>
  <c r="E459" i="14"/>
  <c r="D459" i="14"/>
  <c r="H459" i="14"/>
  <c r="A460" i="14" s="1"/>
  <c r="B460" i="14" l="1"/>
  <c r="D460" i="14" l="1"/>
  <c r="I460" i="14"/>
  <c r="H460" i="14"/>
  <c r="A461" i="14" s="1"/>
  <c r="G460" i="14"/>
  <c r="E460" i="14"/>
  <c r="F460" i="14"/>
  <c r="C460" i="14"/>
  <c r="B461" i="14" l="1"/>
  <c r="G461" i="14" l="1"/>
  <c r="F461" i="14"/>
  <c r="E461" i="14"/>
  <c r="D461" i="14"/>
  <c r="H461" i="14"/>
  <c r="A462" i="14" s="1"/>
  <c r="I461" i="14"/>
  <c r="C461" i="14"/>
  <c r="B462" i="14" l="1"/>
  <c r="F462" i="14" l="1"/>
  <c r="D462" i="14"/>
  <c r="I462" i="14"/>
  <c r="E462" i="14"/>
  <c r="G462" i="14"/>
  <c r="H462" i="14"/>
  <c r="A463" i="14" s="1"/>
  <c r="C462" i="14"/>
  <c r="B463" i="14" l="1"/>
  <c r="C463" i="14" s="1"/>
  <c r="I463" i="14" l="1"/>
  <c r="G463" i="14"/>
  <c r="F463" i="14"/>
  <c r="E463" i="14"/>
  <c r="D463" i="14"/>
  <c r="H463" i="14"/>
  <c r="A464" i="14" s="1"/>
  <c r="B464" i="14" l="1"/>
  <c r="D464" i="14" l="1"/>
  <c r="I464" i="14"/>
  <c r="H464" i="14"/>
  <c r="A465" i="14" s="1"/>
  <c r="G464" i="14"/>
  <c r="E464" i="14"/>
  <c r="F464" i="14"/>
  <c r="C464" i="14"/>
  <c r="B465" i="14" l="1"/>
  <c r="G465" i="14" l="1"/>
  <c r="F465" i="14"/>
  <c r="H465" i="14"/>
  <c r="A466" i="14" s="1"/>
  <c r="D465" i="14"/>
  <c r="I465" i="14"/>
  <c r="E465" i="14"/>
  <c r="C465" i="14"/>
  <c r="B466" i="14" l="1"/>
  <c r="F466" i="14" l="1"/>
  <c r="D466" i="14"/>
  <c r="I466" i="14"/>
  <c r="H466" i="14"/>
  <c r="A467" i="14" s="1"/>
  <c r="G466" i="14"/>
  <c r="E466" i="14"/>
  <c r="C466" i="14"/>
  <c r="B467" i="14" l="1"/>
  <c r="I467" i="14" l="1"/>
  <c r="G467" i="14"/>
  <c r="F467" i="14"/>
  <c r="E467" i="14"/>
  <c r="D467" i="14"/>
  <c r="H467" i="14"/>
  <c r="A468" i="14" s="1"/>
  <c r="C467" i="14"/>
  <c r="B468" i="14" l="1"/>
  <c r="D468" i="14" l="1"/>
  <c r="I468" i="14"/>
  <c r="H468" i="14"/>
  <c r="A469" i="14" s="1"/>
  <c r="G468" i="14"/>
  <c r="E468" i="14"/>
  <c r="F468" i="14"/>
  <c r="C468" i="14"/>
  <c r="B469" i="14" l="1"/>
  <c r="D469" i="14" l="1"/>
  <c r="H469" i="14"/>
  <c r="A470" i="14" s="1"/>
  <c r="G469" i="14"/>
  <c r="F469" i="14"/>
  <c r="E469" i="14"/>
  <c r="I469" i="14"/>
  <c r="C469" i="14"/>
  <c r="B470" i="14" l="1"/>
  <c r="C470" i="14" s="1"/>
  <c r="G470" i="14" l="1"/>
  <c r="I470" i="14"/>
  <c r="F470" i="14"/>
  <c r="E470" i="14"/>
  <c r="D470" i="14"/>
  <c r="H470" i="14"/>
  <c r="A471" i="14" s="1"/>
  <c r="B471" i="14" l="1"/>
  <c r="E471" i="14" l="1"/>
  <c r="D471" i="14"/>
  <c r="I471" i="14"/>
  <c r="H471" i="14"/>
  <c r="A472" i="14" s="1"/>
  <c r="F471" i="14"/>
  <c r="G471" i="14"/>
  <c r="C471" i="14"/>
  <c r="B472" i="14" l="1"/>
  <c r="H472" i="14" l="1"/>
  <c r="A473" i="14" s="1"/>
  <c r="E472" i="14"/>
  <c r="I472" i="14"/>
  <c r="G472" i="14"/>
  <c r="F472" i="14"/>
  <c r="D472" i="14"/>
  <c r="C472" i="14"/>
  <c r="B473" i="14" l="1"/>
  <c r="F473" i="14" l="1"/>
  <c r="D473" i="14"/>
  <c r="I473" i="14"/>
  <c r="H473" i="14"/>
  <c r="A474" i="14" s="1"/>
  <c r="G473" i="14"/>
  <c r="E473" i="14"/>
  <c r="C473" i="14"/>
  <c r="B474" i="14" l="1"/>
  <c r="C474" i="14" s="1"/>
  <c r="I474" i="14" l="1"/>
  <c r="G474" i="14"/>
  <c r="H474" i="14"/>
  <c r="A475" i="14" s="1"/>
  <c r="F474" i="14"/>
  <c r="E474" i="14"/>
  <c r="D474" i="14"/>
  <c r="B475" i="14" l="1"/>
  <c r="E475" i="14" l="1"/>
  <c r="I475" i="14"/>
  <c r="G475" i="14"/>
  <c r="F475" i="14"/>
  <c r="D475" i="14"/>
  <c r="H475" i="14"/>
  <c r="A476" i="14" s="1"/>
  <c r="C475" i="14"/>
  <c r="B476" i="14" l="1"/>
  <c r="H476" i="14" l="1"/>
  <c r="A477" i="14" s="1"/>
  <c r="F476" i="14"/>
  <c r="E476" i="14"/>
  <c r="D476" i="14"/>
  <c r="I476" i="14"/>
  <c r="G476" i="14"/>
  <c r="C476" i="14"/>
  <c r="B477" i="14" l="1"/>
  <c r="F477" i="14" l="1"/>
  <c r="D477" i="14"/>
  <c r="H477" i="14"/>
  <c r="A478" i="14" s="1"/>
  <c r="E477" i="14"/>
  <c r="G477" i="14"/>
  <c r="I477" i="14"/>
  <c r="C477" i="14"/>
  <c r="B478" i="14" l="1"/>
  <c r="C478" i="14" s="1"/>
  <c r="I478" i="14" l="1"/>
  <c r="G478" i="14"/>
  <c r="D478" i="14"/>
  <c r="H478" i="14"/>
  <c r="A479" i="14" s="1"/>
  <c r="E478" i="14"/>
  <c r="F478" i="14"/>
  <c r="B479" i="14" l="1"/>
  <c r="E479" i="14" l="1"/>
  <c r="F479" i="14"/>
  <c r="I479" i="14"/>
  <c r="H479" i="14"/>
  <c r="A480" i="14" s="1"/>
  <c r="G479" i="14"/>
  <c r="D479" i="14"/>
  <c r="C479" i="14"/>
  <c r="B480" i="14" l="1"/>
  <c r="H480" i="14" l="1"/>
  <c r="A481" i="14" s="1"/>
  <c r="I480" i="14"/>
  <c r="G480" i="14"/>
  <c r="F480" i="14"/>
  <c r="E480" i="14"/>
  <c r="D480" i="14"/>
  <c r="C480" i="14"/>
  <c r="B481" i="14" l="1"/>
  <c r="F481" i="14" l="1"/>
  <c r="D481" i="14"/>
  <c r="I481" i="14"/>
  <c r="H481" i="14"/>
  <c r="A482" i="14" s="1"/>
  <c r="G481" i="14"/>
  <c r="E481" i="14"/>
  <c r="C481" i="14"/>
  <c r="B482" i="14" l="1"/>
  <c r="C482" i="14" s="1"/>
  <c r="I482" i="14" l="1"/>
  <c r="G482" i="14"/>
  <c r="H482" i="14"/>
  <c r="A483" i="14" s="1"/>
  <c r="F482" i="14"/>
  <c r="E482" i="14"/>
  <c r="D482" i="14"/>
  <c r="B483" i="14" l="1"/>
  <c r="C483" i="14" s="1"/>
  <c r="E483" i="14" l="1"/>
  <c r="G483" i="14"/>
  <c r="F483" i="14"/>
  <c r="D483" i="14"/>
  <c r="I483" i="14"/>
  <c r="H483" i="14"/>
  <c r="A484" i="14" s="1"/>
  <c r="B484" i="14" l="1"/>
  <c r="H484" i="14" l="1"/>
  <c r="A485" i="14" s="1"/>
  <c r="I484" i="14"/>
  <c r="F484" i="14"/>
  <c r="E484" i="14"/>
  <c r="D484" i="14"/>
  <c r="G484" i="14"/>
  <c r="C484" i="14"/>
  <c r="B485" i="14" l="1"/>
  <c r="F485" i="14" l="1"/>
  <c r="D485" i="14"/>
  <c r="E485" i="14"/>
  <c r="I485" i="14"/>
  <c r="G485" i="14"/>
  <c r="H485" i="14"/>
  <c r="A486" i="14" s="1"/>
  <c r="C485" i="14"/>
  <c r="B486" i="14" l="1"/>
  <c r="C486" i="14" s="1"/>
  <c r="I486" i="14" l="1"/>
  <c r="G486" i="14"/>
  <c r="F486" i="14"/>
  <c r="D486" i="14"/>
  <c r="H486" i="14"/>
  <c r="A487" i="14" s="1"/>
  <c r="E486" i="14"/>
  <c r="B487" i="14" l="1"/>
  <c r="E487" i="14" l="1"/>
  <c r="I487" i="14"/>
  <c r="H487" i="14"/>
  <c r="A488" i="14" s="1"/>
  <c r="G487" i="14"/>
  <c r="F487" i="14"/>
  <c r="D487" i="14"/>
  <c r="C487" i="14"/>
  <c r="B488" i="14" l="1"/>
  <c r="H488" i="14" l="1"/>
  <c r="A489" i="14" s="1"/>
  <c r="E488" i="14"/>
  <c r="I488" i="14"/>
  <c r="D488" i="14"/>
  <c r="G488" i="14"/>
  <c r="F488" i="14"/>
  <c r="C488" i="14"/>
  <c r="B489" i="14" l="1"/>
  <c r="C489" i="14" s="1"/>
  <c r="F489" i="14" l="1"/>
  <c r="D489" i="14"/>
  <c r="I489" i="14"/>
  <c r="H489" i="14"/>
  <c r="A490" i="14" s="1"/>
  <c r="G489" i="14"/>
  <c r="E489" i="14"/>
  <c r="B490" i="14" l="1"/>
  <c r="C490" i="14" s="1"/>
  <c r="I490" i="14" l="1"/>
  <c r="G490" i="14"/>
  <c r="H490" i="14"/>
  <c r="A491" i="14" s="1"/>
  <c r="F490" i="14"/>
  <c r="E490" i="14"/>
  <c r="D490" i="14"/>
  <c r="B491" i="14" l="1"/>
  <c r="E491" i="14" l="1"/>
  <c r="I491" i="14"/>
  <c r="G491" i="14"/>
  <c r="F491" i="14"/>
  <c r="D491" i="14"/>
  <c r="H491" i="14"/>
  <c r="A492" i="14" s="1"/>
  <c r="C491" i="14"/>
  <c r="B492" i="14" l="1"/>
  <c r="H492" i="14" l="1"/>
  <c r="A493" i="14" s="1"/>
  <c r="F492" i="14"/>
  <c r="E492" i="14"/>
  <c r="G492" i="14"/>
  <c r="D492" i="14"/>
  <c r="I492" i="14"/>
  <c r="C492" i="14"/>
  <c r="B493" i="14" l="1"/>
  <c r="F493" i="14" l="1"/>
  <c r="D493" i="14"/>
  <c r="H493" i="14"/>
  <c r="A494" i="14" s="1"/>
  <c r="E493" i="14"/>
  <c r="I493" i="14"/>
  <c r="G493" i="14"/>
  <c r="C493" i="14"/>
  <c r="B494" i="14" l="1"/>
  <c r="C494" i="14" s="1"/>
  <c r="I494" i="14" l="1"/>
  <c r="G494" i="14"/>
  <c r="D494" i="14"/>
  <c r="H494" i="14"/>
  <c r="A495" i="14" s="1"/>
  <c r="E494" i="14"/>
  <c r="F494" i="14"/>
  <c r="B495" i="14" l="1"/>
  <c r="G495" i="14" l="1"/>
  <c r="E495" i="14"/>
  <c r="F495" i="14"/>
  <c r="D495" i="14"/>
  <c r="I495" i="14"/>
  <c r="H495" i="14"/>
  <c r="A496" i="14" s="1"/>
  <c r="C495" i="14"/>
  <c r="B496" i="14" l="1"/>
  <c r="H496" i="14" l="1"/>
  <c r="A497" i="14" s="1"/>
  <c r="D496" i="14"/>
  <c r="I496" i="14"/>
  <c r="G496" i="14"/>
  <c r="E496" i="14"/>
  <c r="F496" i="14"/>
  <c r="C496" i="14"/>
  <c r="B497" i="14" l="1"/>
  <c r="F497" i="14" l="1"/>
  <c r="D497" i="14"/>
  <c r="G497" i="14"/>
  <c r="I497" i="14"/>
  <c r="H497" i="14"/>
  <c r="A498" i="14" s="1"/>
  <c r="E497" i="14"/>
  <c r="C497" i="14"/>
  <c r="B498" i="14" l="1"/>
  <c r="C498" i="14" s="1"/>
  <c r="I498" i="14" l="1"/>
  <c r="G498" i="14"/>
  <c r="D498" i="14"/>
  <c r="H498" i="14"/>
  <c r="A499" i="14" s="1"/>
  <c r="E498" i="14"/>
  <c r="F498" i="14"/>
  <c r="B499" i="14" l="1"/>
  <c r="G499" i="14" l="1"/>
  <c r="E499" i="14"/>
  <c r="F499" i="14"/>
  <c r="D499" i="14"/>
  <c r="H499" i="14"/>
  <c r="A500" i="14" s="1"/>
  <c r="I499" i="14"/>
  <c r="C499" i="14"/>
  <c r="B500" i="14" l="1"/>
  <c r="H500" i="14" l="1"/>
  <c r="A501" i="14" s="1"/>
  <c r="D500" i="14"/>
  <c r="I500" i="14"/>
  <c r="G500" i="14"/>
  <c r="E500" i="14"/>
  <c r="F500" i="14"/>
  <c r="C500" i="14"/>
  <c r="B501" i="14" l="1"/>
  <c r="F501" i="14" l="1"/>
  <c r="D501" i="14"/>
  <c r="G501" i="14"/>
  <c r="I501" i="14"/>
  <c r="H501" i="14"/>
  <c r="A502" i="14" s="1"/>
  <c r="E501" i="14"/>
  <c r="C501" i="14"/>
  <c r="B502" i="14" l="1"/>
  <c r="C502" i="14" s="1"/>
  <c r="F502" i="14" l="1"/>
  <c r="H502" i="14"/>
  <c r="A503" i="14" s="1"/>
  <c r="D502" i="14"/>
  <c r="I502" i="14"/>
  <c r="G502" i="14"/>
  <c r="E502" i="14"/>
  <c r="B503" i="14" l="1"/>
  <c r="I503" i="14" l="1"/>
  <c r="H503" i="14"/>
  <c r="A504" i="14" s="1"/>
  <c r="F503" i="14"/>
  <c r="G503" i="14"/>
  <c r="D503" i="14"/>
  <c r="E503" i="14"/>
  <c r="C503" i="14"/>
  <c r="B504" i="14" l="1"/>
  <c r="E504" i="14" l="1"/>
  <c r="F504" i="14"/>
  <c r="I504" i="14"/>
  <c r="D504" i="14"/>
  <c r="G504" i="14"/>
  <c r="H504" i="14"/>
  <c r="A505" i="14" s="1"/>
  <c r="C504" i="14"/>
  <c r="B505" i="14" l="1"/>
  <c r="I505" i="14" l="1"/>
  <c r="G505" i="14"/>
  <c r="E505" i="14"/>
  <c r="D505" i="14"/>
  <c r="H505" i="14"/>
  <c r="A506" i="14" s="1"/>
  <c r="F505" i="14"/>
  <c r="C505" i="14"/>
  <c r="B506" i="14" l="1"/>
  <c r="C506" i="14" s="1"/>
  <c r="F506" i="14" l="1"/>
  <c r="I506" i="14"/>
  <c r="H506" i="14"/>
  <c r="A507" i="14" s="1"/>
  <c r="E506" i="14"/>
  <c r="G506" i="14"/>
  <c r="D506" i="14"/>
  <c r="B507" i="14" l="1"/>
  <c r="C507" i="14" s="1"/>
  <c r="I507" i="14" l="1"/>
  <c r="D507" i="14"/>
  <c r="H507" i="14"/>
  <c r="A508" i="14" s="1"/>
  <c r="G507" i="14"/>
  <c r="F507" i="14"/>
  <c r="E507" i="14"/>
  <c r="B508" i="14" l="1"/>
  <c r="H508" i="14" l="1"/>
  <c r="A509" i="14" s="1"/>
  <c r="F508" i="14"/>
  <c r="D508" i="14"/>
  <c r="G508" i="14"/>
  <c r="E508" i="14"/>
  <c r="I508" i="14"/>
  <c r="C508" i="14"/>
  <c r="B509" i="14" l="1"/>
  <c r="H509" i="14" l="1"/>
  <c r="A510" i="14" s="1"/>
  <c r="G509" i="14"/>
  <c r="E509" i="14"/>
  <c r="D509" i="14"/>
  <c r="F509" i="14"/>
  <c r="I509" i="14"/>
  <c r="C509" i="14"/>
  <c r="B510" i="14" l="1"/>
  <c r="F510" i="14" l="1"/>
  <c r="I510" i="14"/>
  <c r="G510" i="14"/>
  <c r="E510" i="14"/>
  <c r="D510" i="14"/>
  <c r="H510" i="14"/>
  <c r="A511" i="14" s="1"/>
  <c r="C510" i="14"/>
  <c r="B511" i="14" l="1"/>
  <c r="I511" i="14" l="1"/>
  <c r="G511" i="14"/>
  <c r="E511" i="14"/>
  <c r="H511" i="14"/>
  <c r="A512" i="14" s="1"/>
  <c r="F511" i="14"/>
  <c r="D511" i="14"/>
  <c r="C511" i="14"/>
  <c r="B512" i="14" l="1"/>
  <c r="I512" i="14" l="1"/>
  <c r="G512" i="14"/>
  <c r="F512" i="14"/>
  <c r="D512" i="14"/>
  <c r="H512" i="14"/>
  <c r="A513" i="14" s="1"/>
  <c r="E512" i="14"/>
  <c r="C512" i="14"/>
  <c r="B513" i="14" l="1"/>
  <c r="H513" i="14" l="1"/>
  <c r="A514" i="14" s="1"/>
  <c r="I513" i="14"/>
  <c r="F513" i="14"/>
  <c r="D513" i="14"/>
  <c r="E513" i="14"/>
  <c r="G513" i="14"/>
  <c r="C513" i="14"/>
  <c r="B514" i="14" l="1"/>
  <c r="F514" i="14" l="1"/>
  <c r="H514" i="14"/>
  <c r="A515" i="14" s="1"/>
  <c r="E514" i="14"/>
  <c r="G514" i="14"/>
  <c r="D514" i="14"/>
  <c r="I514" i="14"/>
  <c r="C514" i="14"/>
  <c r="B515" i="14" l="1"/>
  <c r="C515" i="14" s="1"/>
  <c r="I515" i="14" l="1"/>
  <c r="H515" i="14"/>
  <c r="A516" i="14" s="1"/>
  <c r="G515" i="14"/>
  <c r="E515" i="14"/>
  <c r="F515" i="14"/>
  <c r="D515" i="14"/>
  <c r="B516" i="14" l="1"/>
  <c r="C516" i="14" s="1"/>
  <c r="E516" i="14" l="1"/>
  <c r="D516" i="14"/>
  <c r="F516" i="14"/>
  <c r="I516" i="14"/>
  <c r="H516" i="14"/>
  <c r="A517" i="14" s="1"/>
  <c r="G516" i="14"/>
  <c r="B517" i="14" l="1"/>
  <c r="H517" i="14" l="1"/>
  <c r="A518" i="14" s="1"/>
  <c r="G517" i="14"/>
  <c r="E517" i="14"/>
  <c r="D517" i="14"/>
  <c r="I517" i="14"/>
  <c r="F517" i="14"/>
  <c r="C517" i="14"/>
  <c r="B518" i="14" l="1"/>
  <c r="F518" i="14" l="1"/>
  <c r="I518" i="14"/>
  <c r="G518" i="14"/>
  <c r="E518" i="14"/>
  <c r="D518" i="14"/>
  <c r="H518" i="14"/>
  <c r="A519" i="14" s="1"/>
  <c r="C518" i="14"/>
  <c r="B519" i="14" l="1"/>
  <c r="C519" i="14" s="1"/>
  <c r="I519" i="14" l="1"/>
  <c r="F519" i="14"/>
  <c r="D519" i="14"/>
  <c r="H519" i="14"/>
  <c r="A520" i="14" s="1"/>
  <c r="G519" i="14"/>
  <c r="E519" i="14"/>
  <c r="B520" i="14" l="1"/>
  <c r="E520" i="14" l="1"/>
  <c r="I520" i="14"/>
  <c r="G520" i="14"/>
  <c r="F520" i="14"/>
  <c r="H520" i="14"/>
  <c r="A521" i="14" s="1"/>
  <c r="D520" i="14"/>
  <c r="C520" i="14"/>
  <c r="B521" i="14" l="1"/>
  <c r="H521" i="14" l="1"/>
  <c r="A522" i="14" s="1"/>
  <c r="I521" i="14"/>
  <c r="G521" i="14"/>
  <c r="E521" i="14"/>
  <c r="D521" i="14"/>
  <c r="F521" i="14"/>
  <c r="C521" i="14"/>
  <c r="B522" i="14" l="1"/>
  <c r="F522" i="14" l="1"/>
  <c r="H522" i="14"/>
  <c r="A523" i="14" s="1"/>
  <c r="E522" i="14"/>
  <c r="I522" i="14"/>
  <c r="G522" i="14"/>
  <c r="D522" i="14"/>
  <c r="C522" i="14"/>
  <c r="B523" i="14" l="1"/>
  <c r="C523" i="14" s="1"/>
  <c r="I523" i="14" l="1"/>
  <c r="H523" i="14"/>
  <c r="A524" i="14" s="1"/>
  <c r="G523" i="14"/>
  <c r="E523" i="14"/>
  <c r="F523" i="14"/>
  <c r="D523" i="14"/>
  <c r="B524" i="14" l="1"/>
  <c r="C524" i="14" s="1"/>
  <c r="E524" i="14" l="1"/>
  <c r="D524" i="14"/>
  <c r="G524" i="14"/>
  <c r="F524" i="14"/>
  <c r="I524" i="14"/>
  <c r="H524" i="14"/>
  <c r="A525" i="14" s="1"/>
  <c r="B525" i="14" l="1"/>
  <c r="H525" i="14" l="1"/>
  <c r="A526" i="14" s="1"/>
  <c r="G525" i="14"/>
  <c r="E525" i="14"/>
  <c r="D525" i="14"/>
  <c r="F525" i="14"/>
  <c r="I525" i="14"/>
  <c r="C525" i="14"/>
  <c r="B526" i="14" l="1"/>
  <c r="F526" i="14" l="1"/>
  <c r="I526" i="14"/>
  <c r="G526" i="14"/>
  <c r="H526" i="14"/>
  <c r="A527" i="14" s="1"/>
  <c r="E526" i="14"/>
  <c r="D526" i="14"/>
  <c r="C526" i="14"/>
  <c r="B527" i="14" l="1"/>
  <c r="C527" i="14" s="1"/>
  <c r="I527" i="14" l="1"/>
  <c r="F527" i="14"/>
  <c r="D527" i="14"/>
  <c r="E527" i="14"/>
  <c r="H527" i="14"/>
  <c r="A528" i="14" s="1"/>
  <c r="G527" i="14"/>
  <c r="B528" i="14" l="1"/>
  <c r="E528" i="14" l="1"/>
  <c r="I528" i="14"/>
  <c r="G528" i="14"/>
  <c r="F528" i="14"/>
  <c r="H528" i="14"/>
  <c r="A529" i="14" s="1"/>
  <c r="D528" i="14"/>
  <c r="C528" i="14"/>
  <c r="B529" i="14" l="1"/>
  <c r="H529" i="14" l="1"/>
  <c r="A530" i="14" s="1"/>
  <c r="I529" i="14"/>
  <c r="F529" i="14"/>
  <c r="E529" i="14"/>
  <c r="D529" i="14"/>
  <c r="G529" i="14"/>
  <c r="C529" i="14"/>
  <c r="B530" i="14" l="1"/>
  <c r="F530" i="14" l="1"/>
  <c r="H530" i="14"/>
  <c r="A531" i="14" s="1"/>
  <c r="E530" i="14"/>
  <c r="I530" i="14"/>
  <c r="G530" i="14"/>
  <c r="D530" i="14"/>
  <c r="C530" i="14"/>
  <c r="B531" i="14" l="1"/>
  <c r="C531" i="14" s="1"/>
  <c r="I531" i="14" l="1"/>
  <c r="H531" i="14"/>
  <c r="A532" i="14" s="1"/>
  <c r="G531" i="14"/>
  <c r="E531" i="14"/>
  <c r="F531" i="14"/>
  <c r="D531" i="14"/>
  <c r="B532" i="14" l="1"/>
  <c r="C532" i="14" s="1"/>
  <c r="E532" i="14" l="1"/>
  <c r="D532" i="14"/>
  <c r="H532" i="14"/>
  <c r="A533" i="14" s="1"/>
  <c r="F532" i="14"/>
  <c r="I532" i="14"/>
  <c r="G532" i="14"/>
  <c r="B533" i="14" l="1"/>
  <c r="H533" i="14" l="1"/>
  <c r="A534" i="14" s="1"/>
  <c r="G533" i="14"/>
  <c r="E533" i="14"/>
  <c r="D533" i="14"/>
  <c r="I533" i="14"/>
  <c r="F533" i="14"/>
  <c r="C533" i="14"/>
  <c r="B534" i="14" l="1"/>
  <c r="F534" i="14" l="1"/>
  <c r="I534" i="14"/>
  <c r="G534" i="14"/>
  <c r="H534" i="14"/>
  <c r="A535" i="14" s="1"/>
  <c r="E534" i="14"/>
  <c r="D534" i="14"/>
  <c r="C534" i="14"/>
  <c r="B535" i="14" l="1"/>
  <c r="C535" i="14" s="1"/>
  <c r="I535" i="14" l="1"/>
  <c r="F535" i="14"/>
  <c r="D535" i="14"/>
  <c r="G535" i="14"/>
  <c r="E535" i="14"/>
  <c r="H535" i="14"/>
  <c r="A536" i="14" s="1"/>
  <c r="B536" i="14" l="1"/>
  <c r="E536" i="14" l="1"/>
  <c r="I536" i="14"/>
  <c r="G536" i="14"/>
  <c r="F536" i="14"/>
  <c r="D536" i="14"/>
  <c r="H536" i="14"/>
  <c r="A537" i="14" s="1"/>
  <c r="C536" i="14"/>
  <c r="B537" i="14" l="1"/>
  <c r="C537" i="14" s="1"/>
  <c r="H537" i="14" l="1"/>
  <c r="A538" i="14" s="1"/>
  <c r="I537" i="14"/>
  <c r="G537" i="14"/>
  <c r="F537" i="14"/>
  <c r="E537" i="14"/>
  <c r="D537" i="14"/>
  <c r="B538" i="14" l="1"/>
  <c r="F538" i="14" l="1"/>
  <c r="H538" i="14"/>
  <c r="A539" i="14" s="1"/>
  <c r="E538" i="14"/>
  <c r="D538" i="14"/>
  <c r="I538" i="14"/>
  <c r="G538" i="14"/>
  <c r="C538" i="14"/>
  <c r="B539" i="14" l="1"/>
  <c r="C539" i="14" s="1"/>
  <c r="I539" i="14" l="1"/>
  <c r="H539" i="14"/>
  <c r="A540" i="14" s="1"/>
  <c r="G539" i="14"/>
  <c r="E539" i="14"/>
  <c r="F539" i="14"/>
  <c r="D539" i="14"/>
  <c r="B540" i="14" l="1"/>
  <c r="C540" i="14" s="1"/>
  <c r="E540" i="14" l="1"/>
  <c r="D540" i="14"/>
  <c r="I540" i="14"/>
  <c r="G540" i="14"/>
  <c r="F540" i="14"/>
  <c r="H540" i="14"/>
  <c r="A541" i="14" s="1"/>
  <c r="B541" i="14" l="1"/>
  <c r="H541" i="14" l="1"/>
  <c r="A542" i="14" s="1"/>
  <c r="G541" i="14"/>
  <c r="E541" i="14"/>
  <c r="D541" i="14"/>
  <c r="I541" i="14"/>
  <c r="F541" i="14"/>
  <c r="C541" i="14"/>
  <c r="B542" i="14" l="1"/>
  <c r="C542" i="14" s="1"/>
  <c r="F542" i="14" l="1"/>
  <c r="I542" i="14"/>
  <c r="G542" i="14"/>
  <c r="H542" i="14"/>
  <c r="A543" i="14" s="1"/>
  <c r="E542" i="14"/>
  <c r="D542" i="14"/>
  <c r="B543" i="14" l="1"/>
  <c r="C543" i="14" s="1"/>
  <c r="I543" i="14" l="1"/>
  <c r="F543" i="14"/>
  <c r="D543" i="14"/>
  <c r="H543" i="14"/>
  <c r="A544" i="14" s="1"/>
  <c r="E543" i="14"/>
  <c r="G543" i="14"/>
  <c r="B544" i="14" l="1"/>
  <c r="E544" i="14" l="1"/>
  <c r="I544" i="14"/>
  <c r="G544" i="14"/>
  <c r="F544" i="14"/>
  <c r="H544" i="14"/>
  <c r="A545" i="14" s="1"/>
  <c r="D544" i="14"/>
  <c r="C544" i="14"/>
  <c r="B545" i="14" l="1"/>
  <c r="H545" i="14" l="1"/>
  <c r="A546" i="14" s="1"/>
  <c r="I545" i="14"/>
  <c r="G545" i="14"/>
  <c r="F545" i="14"/>
  <c r="E545" i="14"/>
  <c r="D545" i="14"/>
  <c r="C545" i="14"/>
  <c r="B546" i="14" l="1"/>
  <c r="F546" i="14" l="1"/>
  <c r="H546" i="14"/>
  <c r="A547" i="14" s="1"/>
  <c r="E546" i="14"/>
  <c r="G546" i="14"/>
  <c r="D546" i="14"/>
  <c r="I546" i="14"/>
  <c r="C546" i="14"/>
  <c r="B547" i="14" l="1"/>
  <c r="I547" i="14" l="1"/>
  <c r="H547" i="14"/>
  <c r="A548" i="14" s="1"/>
  <c r="F547" i="14"/>
  <c r="E547" i="14"/>
  <c r="D547" i="14"/>
  <c r="G547" i="14"/>
  <c r="C547" i="14"/>
  <c r="B548" i="14" l="1"/>
  <c r="F548" i="14" l="1"/>
  <c r="E548" i="14"/>
  <c r="G548" i="14"/>
  <c r="I548" i="14"/>
  <c r="H548" i="14"/>
  <c r="A549" i="14" s="1"/>
  <c r="D548" i="14"/>
  <c r="C548" i="14"/>
  <c r="B549" i="14" l="1"/>
  <c r="I549" i="14" l="1"/>
  <c r="H549" i="14"/>
  <c r="A550" i="14" s="1"/>
  <c r="G549" i="14"/>
  <c r="F549" i="14"/>
  <c r="D549" i="14"/>
  <c r="E549" i="14"/>
  <c r="C549" i="14"/>
  <c r="B550" i="14" l="1"/>
  <c r="C550" i="14" s="1"/>
  <c r="F550" i="14" l="1"/>
  <c r="D550" i="14"/>
  <c r="G550" i="14"/>
  <c r="E550" i="14"/>
  <c r="H550" i="14"/>
  <c r="A551" i="14" s="1"/>
  <c r="I550" i="14"/>
  <c r="B551" i="14" l="1"/>
  <c r="I551" i="14" l="1"/>
  <c r="H551" i="14"/>
  <c r="A552" i="14" s="1"/>
  <c r="F551" i="14"/>
  <c r="E551" i="14"/>
  <c r="G551" i="14"/>
  <c r="D551" i="14"/>
  <c r="C551" i="14"/>
  <c r="B552" i="14" l="1"/>
  <c r="C552" i="14" s="1"/>
  <c r="F552" i="14" l="1"/>
  <c r="E552" i="14"/>
  <c r="I552" i="14"/>
  <c r="G552" i="14"/>
  <c r="D552" i="14"/>
  <c r="H552" i="14"/>
  <c r="A553" i="14" s="1"/>
  <c r="B553" i="14" l="1"/>
  <c r="I553" i="14" l="1"/>
  <c r="H553" i="14"/>
  <c r="A554" i="14" s="1"/>
  <c r="F553" i="14"/>
  <c r="E553" i="14"/>
  <c r="D553" i="14"/>
  <c r="G553" i="14"/>
  <c r="C553" i="14"/>
  <c r="B554" i="14" l="1"/>
  <c r="C554" i="14" s="1"/>
  <c r="F554" i="14" l="1"/>
  <c r="E554" i="14"/>
  <c r="I554" i="14"/>
  <c r="G554" i="14"/>
  <c r="H554" i="14"/>
  <c r="A555" i="14" s="1"/>
  <c r="D554" i="14"/>
  <c r="B555" i="14" l="1"/>
  <c r="I555" i="14" l="1"/>
  <c r="G555" i="14"/>
  <c r="E555" i="14"/>
  <c r="D555" i="14"/>
  <c r="H555" i="14"/>
  <c r="A556" i="14" s="1"/>
  <c r="F555" i="14"/>
  <c r="C555" i="14"/>
  <c r="B556" i="14" l="1"/>
  <c r="F556" i="14" l="1"/>
  <c r="E556" i="14"/>
  <c r="I556" i="14"/>
  <c r="H556" i="14"/>
  <c r="A557" i="14" s="1"/>
  <c r="D556" i="14"/>
  <c r="G556" i="14"/>
  <c r="C556" i="14"/>
  <c r="B557" i="14" l="1"/>
  <c r="I557" i="14" l="1"/>
  <c r="H557" i="14"/>
  <c r="A558" i="14" s="1"/>
  <c r="E557" i="14"/>
  <c r="G557" i="14"/>
  <c r="F557" i="14"/>
  <c r="D557" i="14"/>
  <c r="C557" i="14"/>
  <c r="B558" i="14" l="1"/>
  <c r="C558" i="14" s="1"/>
  <c r="F558" i="14" l="1"/>
  <c r="I558" i="14"/>
  <c r="H558" i="14"/>
  <c r="A559" i="14" s="1"/>
  <c r="G558" i="14"/>
  <c r="E558" i="14"/>
  <c r="D558" i="14"/>
  <c r="B559" i="14" l="1"/>
  <c r="I559" i="14" l="1"/>
  <c r="H559" i="14"/>
  <c r="A560" i="14" s="1"/>
  <c r="D559" i="14"/>
  <c r="G559" i="14"/>
  <c r="F559" i="14"/>
  <c r="E559" i="14"/>
  <c r="C559" i="14"/>
  <c r="B560" i="14" l="1"/>
  <c r="F560" i="14" l="1"/>
  <c r="G560" i="14"/>
  <c r="E560" i="14"/>
  <c r="I560" i="14"/>
  <c r="H560" i="14"/>
  <c r="A561" i="14" s="1"/>
  <c r="D560" i="14"/>
  <c r="C560" i="14"/>
  <c r="B561" i="14" l="1"/>
  <c r="C561" i="14" s="1"/>
  <c r="I561" i="14" l="1"/>
  <c r="E561" i="14"/>
  <c r="H561" i="14"/>
  <c r="A562" i="14" s="1"/>
  <c r="D561" i="14"/>
  <c r="F561" i="14"/>
  <c r="G561" i="14"/>
  <c r="B562" i="14" l="1"/>
  <c r="E562" i="14" l="1"/>
  <c r="I562" i="14"/>
  <c r="H562" i="14"/>
  <c r="A563" i="14" s="1"/>
  <c r="G562" i="14"/>
  <c r="F562" i="14"/>
  <c r="D562" i="14"/>
  <c r="C562" i="14"/>
  <c r="B563" i="14" l="1"/>
  <c r="H563" i="14" l="1"/>
  <c r="A564" i="14" s="1"/>
  <c r="I563" i="14"/>
  <c r="G563" i="14"/>
  <c r="D563" i="14"/>
  <c r="E563" i="14"/>
  <c r="F563" i="14"/>
  <c r="C563" i="14"/>
  <c r="B564" i="14" l="1"/>
  <c r="C564" i="14" s="1"/>
  <c r="F564" i="14" l="1"/>
  <c r="G564" i="14"/>
  <c r="I564" i="14"/>
  <c r="H564" i="14"/>
  <c r="A565" i="14" s="1"/>
  <c r="E564" i="14"/>
  <c r="D564" i="14"/>
  <c r="B565" i="14" l="1"/>
  <c r="C565" i="14" s="1"/>
  <c r="I565" i="14" l="1"/>
  <c r="E565" i="14"/>
  <c r="D565" i="14"/>
  <c r="F565" i="14"/>
  <c r="G565" i="14"/>
  <c r="H565" i="14"/>
  <c r="A566" i="14" s="1"/>
  <c r="B566" i="14" l="1"/>
  <c r="E566" i="14" l="1"/>
  <c r="I566" i="14"/>
  <c r="H566" i="14"/>
  <c r="A567" i="14" s="1"/>
  <c r="G566" i="14"/>
  <c r="D566" i="14"/>
  <c r="F566" i="14"/>
  <c r="C566" i="14"/>
  <c r="B567" i="14" l="1"/>
  <c r="H567" i="14" l="1"/>
  <c r="A568" i="14" s="1"/>
  <c r="I567" i="14"/>
  <c r="F567" i="14"/>
  <c r="D567" i="14"/>
  <c r="G567" i="14"/>
  <c r="E567" i="14"/>
  <c r="C567" i="14"/>
  <c r="B568" i="14" l="1"/>
  <c r="F568" i="14" l="1"/>
  <c r="G568" i="14"/>
  <c r="E568" i="14"/>
  <c r="I568" i="14"/>
  <c r="D568" i="14"/>
  <c r="H568" i="14"/>
  <c r="A569" i="14" s="1"/>
  <c r="C568" i="14"/>
  <c r="B569" i="14" l="1"/>
  <c r="C569" i="14" s="1"/>
  <c r="I569" i="14" l="1"/>
  <c r="E569" i="14"/>
  <c r="G569" i="14"/>
  <c r="D569" i="14"/>
  <c r="H569" i="14"/>
  <c r="A570" i="14" s="1"/>
  <c r="F569" i="14"/>
  <c r="B570" i="14" l="1"/>
  <c r="E570" i="14" l="1"/>
  <c r="F570" i="14"/>
  <c r="I570" i="14"/>
  <c r="G570" i="14"/>
  <c r="D570" i="14"/>
  <c r="H570" i="14"/>
  <c r="A571" i="14" s="1"/>
  <c r="C570" i="14"/>
  <c r="B571" i="14" l="1"/>
  <c r="H571" i="14" l="1"/>
  <c r="A572" i="14" s="1"/>
  <c r="I571" i="14"/>
  <c r="G571" i="14"/>
  <c r="F571" i="14"/>
  <c r="E571" i="14"/>
  <c r="D571" i="14"/>
  <c r="C571" i="14"/>
  <c r="B572" i="14" l="1"/>
  <c r="C572" i="14" s="1"/>
  <c r="F572" i="14" l="1"/>
  <c r="G572" i="14"/>
  <c r="H572" i="14"/>
  <c r="A573" i="14" s="1"/>
  <c r="I572" i="14"/>
  <c r="E572" i="14"/>
  <c r="D572" i="14"/>
  <c r="B573" i="14" l="1"/>
  <c r="C573" i="14" s="1"/>
  <c r="I573" i="14" l="1"/>
  <c r="E573" i="14"/>
  <c r="D573" i="14"/>
  <c r="H573" i="14"/>
  <c r="A574" i="14" s="1"/>
  <c r="G573" i="14"/>
  <c r="F573" i="14"/>
  <c r="B574" i="14" l="1"/>
  <c r="I574" i="14" l="1"/>
  <c r="E574" i="14"/>
  <c r="H574" i="14"/>
  <c r="A575" i="14" s="1"/>
  <c r="D574" i="14"/>
  <c r="G574" i="14"/>
  <c r="F574" i="14"/>
  <c r="C574" i="14"/>
  <c r="B575" i="14" l="1"/>
  <c r="C575" i="14" s="1"/>
  <c r="H575" i="14" l="1"/>
  <c r="A576" i="14" s="1"/>
  <c r="F575" i="14"/>
  <c r="E575" i="14"/>
  <c r="I575" i="14"/>
  <c r="G575" i="14"/>
  <c r="D575" i="14"/>
  <c r="B576" i="14" l="1"/>
  <c r="C576" i="14" s="1"/>
  <c r="I576" i="14" l="1"/>
  <c r="H576" i="14"/>
  <c r="A577" i="14" s="1"/>
  <c r="F576" i="14"/>
  <c r="D576" i="14"/>
  <c r="E576" i="14"/>
  <c r="G576" i="14"/>
  <c r="B577" i="14" l="1"/>
  <c r="F577" i="14" l="1"/>
  <c r="I577" i="14"/>
  <c r="E577" i="14"/>
  <c r="D577" i="14"/>
  <c r="H577" i="14"/>
  <c r="A578" i="14" s="1"/>
  <c r="G577" i="14"/>
  <c r="C577" i="14"/>
  <c r="B578" i="14" l="1"/>
  <c r="I578" i="14" l="1"/>
  <c r="E578" i="14"/>
  <c r="G578" i="14"/>
  <c r="H578" i="14"/>
  <c r="A579" i="14" s="1"/>
  <c r="F578" i="14"/>
  <c r="D578" i="14"/>
  <c r="C578" i="14"/>
  <c r="B579" i="14" l="1"/>
  <c r="H579" i="14" l="1"/>
  <c r="A580" i="14" s="1"/>
  <c r="F579" i="14"/>
  <c r="E579" i="14"/>
  <c r="I579" i="14"/>
  <c r="G579" i="14"/>
  <c r="D579" i="14"/>
  <c r="C579" i="14"/>
  <c r="B580" i="14" l="1"/>
  <c r="I580" i="14" l="1"/>
  <c r="H580" i="14"/>
  <c r="A581" i="14" s="1"/>
  <c r="F580" i="14"/>
  <c r="G580" i="14"/>
  <c r="D580" i="14"/>
  <c r="E580" i="14"/>
  <c r="C580" i="14"/>
  <c r="B581" i="14" l="1"/>
  <c r="C581" i="14" s="1"/>
  <c r="F581" i="14" l="1"/>
  <c r="I581" i="14"/>
  <c r="H581" i="14"/>
  <c r="A582" i="14" s="1"/>
  <c r="G581" i="14"/>
  <c r="E581" i="14"/>
  <c r="D581" i="14"/>
  <c r="B582" i="14" l="1"/>
  <c r="C582" i="14" s="1"/>
  <c r="I582" i="14" l="1"/>
  <c r="E582" i="14"/>
  <c r="G582" i="14"/>
  <c r="D582" i="14"/>
  <c r="H582" i="14"/>
  <c r="A583" i="14" s="1"/>
  <c r="F582" i="14"/>
  <c r="B583" i="14" l="1"/>
  <c r="C583" i="14" s="1"/>
  <c r="H583" i="14" l="1"/>
  <c r="A584" i="14" s="1"/>
  <c r="F583" i="14"/>
  <c r="E583" i="14"/>
  <c r="D583" i="14"/>
  <c r="I583" i="14"/>
  <c r="G583" i="14"/>
  <c r="B584" i="14" l="1"/>
  <c r="C584" i="14" s="1"/>
  <c r="I584" i="14" l="1"/>
  <c r="H584" i="14"/>
  <c r="A585" i="14" s="1"/>
  <c r="F584" i="14"/>
  <c r="D584" i="14"/>
  <c r="E584" i="14"/>
  <c r="G584" i="14"/>
  <c r="B585" i="14" l="1"/>
  <c r="F585" i="14" l="1"/>
  <c r="I585" i="14"/>
  <c r="E585" i="14"/>
  <c r="G585" i="14"/>
  <c r="H585" i="14"/>
  <c r="A586" i="14" s="1"/>
  <c r="D585" i="14"/>
  <c r="C585" i="14"/>
  <c r="B586" i="14" l="1"/>
  <c r="C586" i="14" s="1"/>
  <c r="I586" i="14" l="1"/>
  <c r="E586" i="14"/>
  <c r="G586" i="14"/>
  <c r="F586" i="14"/>
  <c r="D586" i="14"/>
  <c r="H586" i="14"/>
  <c r="A587" i="14" s="1"/>
  <c r="B587" i="14" l="1"/>
  <c r="C587" i="14" s="1"/>
  <c r="H587" i="14" l="1"/>
  <c r="A588" i="14" s="1"/>
  <c r="F587" i="14"/>
  <c r="E587" i="14"/>
  <c r="I587" i="14"/>
  <c r="G587" i="14"/>
  <c r="D587" i="14"/>
  <c r="B588" i="14" l="1"/>
  <c r="C588" i="14" s="1"/>
  <c r="I588" i="14" l="1"/>
  <c r="H588" i="14"/>
  <c r="A589" i="14" s="1"/>
  <c r="F588" i="14"/>
  <c r="G588" i="14"/>
  <c r="E588" i="14"/>
  <c r="D588" i="14"/>
  <c r="B589" i="14" l="1"/>
  <c r="C589" i="14" s="1"/>
  <c r="F589" i="14" l="1"/>
  <c r="I589" i="14"/>
  <c r="G589" i="14"/>
  <c r="E589" i="14"/>
  <c r="D589" i="14"/>
  <c r="H589" i="14"/>
  <c r="A590" i="14" s="1"/>
  <c r="B590" i="14" l="1"/>
  <c r="I590" i="14" l="1"/>
  <c r="E590" i="14"/>
  <c r="H590" i="14"/>
  <c r="A591" i="14" s="1"/>
  <c r="D590" i="14"/>
  <c r="F590" i="14"/>
  <c r="G590" i="14"/>
  <c r="C590" i="14"/>
  <c r="B591" i="14" l="1"/>
  <c r="C591" i="14" s="1"/>
  <c r="H591" i="14" l="1"/>
  <c r="A592" i="14" s="1"/>
  <c r="F591" i="14"/>
  <c r="E591" i="14"/>
  <c r="D591" i="14"/>
  <c r="I591" i="14"/>
  <c r="G591" i="14"/>
  <c r="B592" i="14" l="1"/>
  <c r="C592" i="14" s="1"/>
  <c r="I592" i="14" l="1"/>
  <c r="H592" i="14"/>
  <c r="A593" i="14" s="1"/>
  <c r="F592" i="14"/>
  <c r="E592" i="14"/>
  <c r="G592" i="14"/>
  <c r="D592" i="14"/>
  <c r="B593" i="14" l="1"/>
  <c r="F593" i="14" l="1"/>
  <c r="I593" i="14"/>
  <c r="H593" i="14"/>
  <c r="A594" i="14" s="1"/>
  <c r="G593" i="14"/>
  <c r="E593" i="14"/>
  <c r="D593" i="14"/>
  <c r="C593" i="14"/>
  <c r="B594" i="14" l="1"/>
  <c r="I594" i="14" l="1"/>
  <c r="E594" i="14"/>
  <c r="H594" i="14"/>
  <c r="A595" i="14" s="1"/>
  <c r="F594" i="14"/>
  <c r="D594" i="14"/>
  <c r="G594" i="14"/>
  <c r="C594" i="14"/>
  <c r="B595" i="14" l="1"/>
  <c r="H595" i="14" l="1"/>
  <c r="A596" i="14" s="1"/>
  <c r="F595" i="14"/>
  <c r="E595" i="14"/>
  <c r="D595" i="14"/>
  <c r="G595" i="14"/>
  <c r="I595" i="14"/>
  <c r="C595" i="14"/>
  <c r="B596" i="14" l="1"/>
  <c r="C596" i="14" s="1"/>
  <c r="I596" i="14" l="1"/>
  <c r="H596" i="14"/>
  <c r="A597" i="14" s="1"/>
  <c r="G596" i="14"/>
  <c r="F596" i="14"/>
  <c r="E596" i="14"/>
  <c r="D596" i="14"/>
  <c r="B597" i="14" l="1"/>
  <c r="C597" i="14" s="1"/>
  <c r="F597" i="14" l="1"/>
  <c r="I597" i="14"/>
  <c r="H597" i="14"/>
  <c r="A598" i="14" s="1"/>
  <c r="G597" i="14"/>
  <c r="D597" i="14"/>
  <c r="E597" i="14"/>
  <c r="B598" i="14" l="1"/>
  <c r="C598" i="14" s="1"/>
  <c r="I598" i="14" l="1"/>
  <c r="E598" i="14"/>
  <c r="F598" i="14"/>
  <c r="G598" i="14"/>
  <c r="H598" i="14"/>
  <c r="A599" i="14" s="1"/>
  <c r="D598" i="14"/>
  <c r="B599" i="14" l="1"/>
  <c r="C599" i="14" s="1"/>
  <c r="H599" i="14" l="1"/>
  <c r="A600" i="14" s="1"/>
  <c r="F599" i="14"/>
  <c r="E599" i="14"/>
  <c r="D599" i="14"/>
  <c r="I599" i="14"/>
  <c r="G599" i="14"/>
  <c r="B600" i="14" l="1"/>
  <c r="C600" i="14" s="1"/>
  <c r="I600" i="14" l="1"/>
  <c r="H600" i="14"/>
  <c r="A601" i="14" s="1"/>
  <c r="G600" i="14"/>
  <c r="F600" i="14"/>
  <c r="E600" i="14"/>
  <c r="D600" i="14"/>
  <c r="B601" i="14" l="1"/>
  <c r="C601" i="14" s="1"/>
  <c r="F601" i="14" l="1"/>
  <c r="I601" i="14"/>
  <c r="H601" i="14"/>
  <c r="A602" i="14" s="1"/>
  <c r="E601" i="14"/>
  <c r="G601" i="14"/>
  <c r="D601" i="14"/>
  <c r="B602" i="14" l="1"/>
  <c r="I602" i="14" l="1"/>
  <c r="E602" i="14"/>
  <c r="H602" i="14"/>
  <c r="A603" i="14" s="1"/>
  <c r="G602" i="14"/>
  <c r="D602" i="14"/>
  <c r="F602" i="14"/>
  <c r="C602" i="14"/>
  <c r="B603" i="14" l="1"/>
  <c r="H603" i="14" l="1"/>
  <c r="A604" i="14" s="1"/>
  <c r="F603" i="14"/>
  <c r="E603" i="14"/>
  <c r="D603" i="14"/>
  <c r="I603" i="14"/>
  <c r="G603" i="14"/>
  <c r="C603" i="14"/>
  <c r="B604" i="14" l="1"/>
  <c r="I604" i="14" l="1"/>
  <c r="H604" i="14"/>
  <c r="A605" i="14" s="1"/>
  <c r="G604" i="14"/>
  <c r="F604" i="14"/>
  <c r="E604" i="14"/>
  <c r="D604" i="14"/>
  <c r="C604" i="14"/>
  <c r="B605" i="14" l="1"/>
  <c r="C605" i="14" s="1"/>
  <c r="F605" i="14" l="1"/>
  <c r="I605" i="14"/>
  <c r="H605" i="14"/>
  <c r="A606" i="14" s="1"/>
  <c r="G605" i="14"/>
  <c r="E605" i="14"/>
  <c r="D605" i="14"/>
  <c r="B606" i="14" l="1"/>
  <c r="I606" i="14" l="1"/>
  <c r="E606" i="14"/>
  <c r="F606" i="14"/>
  <c r="D606" i="14"/>
  <c r="H606" i="14"/>
  <c r="A607" i="14" s="1"/>
  <c r="G606" i="14"/>
  <c r="C606" i="14"/>
  <c r="B607" i="14" l="1"/>
  <c r="H607" i="14" l="1"/>
  <c r="A608" i="14" s="1"/>
  <c r="F607" i="14"/>
  <c r="E607" i="14"/>
  <c r="D607" i="14"/>
  <c r="G607" i="14"/>
  <c r="I607" i="14"/>
  <c r="C607" i="14"/>
  <c r="B608" i="14" l="1"/>
  <c r="I608" i="14" l="1"/>
  <c r="H608" i="14"/>
  <c r="A609" i="14" s="1"/>
  <c r="G608" i="14"/>
  <c r="F608" i="14"/>
  <c r="E608" i="14"/>
  <c r="D608" i="14"/>
  <c r="C608" i="14"/>
  <c r="B609" i="14" l="1"/>
  <c r="C609" i="14" s="1"/>
  <c r="F609" i="14" l="1"/>
  <c r="I609" i="14"/>
  <c r="H609" i="14"/>
  <c r="A610" i="14" s="1"/>
  <c r="E609" i="14"/>
  <c r="D609" i="14"/>
  <c r="G609" i="14"/>
  <c r="B610" i="14" l="1"/>
  <c r="I610" i="14" l="1"/>
  <c r="E610" i="14"/>
  <c r="H610" i="14"/>
  <c r="A611" i="14" s="1"/>
  <c r="G610" i="14"/>
  <c r="F610" i="14"/>
  <c r="D610" i="14"/>
  <c r="C610" i="14"/>
  <c r="B611" i="14" l="1"/>
  <c r="H611" i="14" l="1"/>
  <c r="A612" i="14" s="1"/>
  <c r="F611" i="14"/>
  <c r="E611" i="14"/>
  <c r="D611" i="14"/>
  <c r="G611" i="14"/>
  <c r="I611" i="14"/>
  <c r="C611" i="14"/>
  <c r="B612" i="14" l="1"/>
  <c r="I612" i="14" l="1"/>
  <c r="H612" i="14"/>
  <c r="A613" i="14" s="1"/>
  <c r="G612" i="14"/>
  <c r="F612" i="14"/>
  <c r="E612" i="14"/>
  <c r="D612" i="14"/>
  <c r="C612" i="14"/>
  <c r="B613" i="14" l="1"/>
  <c r="C613" i="14" s="1"/>
  <c r="F613" i="14" l="1"/>
  <c r="I613" i="14"/>
  <c r="H613" i="14"/>
  <c r="A614" i="14" s="1"/>
  <c r="D613" i="14"/>
  <c r="E613" i="14"/>
  <c r="G613" i="14"/>
  <c r="B614" i="14" l="1"/>
  <c r="I614" i="14" l="1"/>
  <c r="E614" i="14"/>
  <c r="F614" i="14"/>
  <c r="G614" i="14"/>
  <c r="H614" i="14"/>
  <c r="A615" i="14" s="1"/>
  <c r="D614" i="14"/>
  <c r="C614" i="14"/>
  <c r="B615" i="14" l="1"/>
  <c r="H615" i="14" l="1"/>
  <c r="A616" i="14" s="1"/>
  <c r="F615" i="14"/>
  <c r="E615" i="14"/>
  <c r="D615" i="14"/>
  <c r="I615" i="14"/>
  <c r="G615" i="14"/>
  <c r="C615" i="14"/>
  <c r="B616" i="14" l="1"/>
  <c r="I616" i="14" l="1"/>
  <c r="H616" i="14"/>
  <c r="A617" i="14" s="1"/>
  <c r="G616" i="14"/>
  <c r="F616" i="14"/>
  <c r="E616" i="14"/>
  <c r="D616" i="14"/>
  <c r="C616" i="14"/>
  <c r="B617" i="14" l="1"/>
  <c r="C617" i="14" s="1"/>
  <c r="F617" i="14" l="1"/>
  <c r="I617" i="14"/>
  <c r="H617" i="14"/>
  <c r="A618" i="14" s="1"/>
  <c r="E617" i="14"/>
  <c r="G617" i="14"/>
  <c r="D617" i="14"/>
  <c r="B618" i="14" l="1"/>
  <c r="I618" i="14" l="1"/>
  <c r="E618" i="14"/>
  <c r="H618" i="14"/>
  <c r="A619" i="14" s="1"/>
  <c r="G618" i="14"/>
  <c r="F618" i="14"/>
  <c r="D618" i="14"/>
  <c r="C618" i="14"/>
  <c r="B619" i="14" l="1"/>
  <c r="F619" i="14" l="1"/>
  <c r="H619" i="14"/>
  <c r="A620" i="14" s="1"/>
  <c r="G619" i="14"/>
  <c r="E619" i="14"/>
  <c r="D619" i="14"/>
  <c r="I619" i="14"/>
  <c r="C619" i="14"/>
  <c r="B620" i="14" l="1"/>
  <c r="I620" i="14" l="1"/>
  <c r="D620" i="14"/>
  <c r="F620" i="14"/>
  <c r="H620" i="14"/>
  <c r="A621" i="14" s="1"/>
  <c r="G620" i="14"/>
  <c r="E620" i="14"/>
  <c r="C620" i="14"/>
  <c r="B621" i="14" l="1"/>
  <c r="G621" i="14" l="1"/>
  <c r="F621" i="14"/>
  <c r="D621" i="14"/>
  <c r="E621" i="14"/>
  <c r="H621" i="14"/>
  <c r="A622" i="14" s="1"/>
  <c r="I621" i="14"/>
  <c r="C621" i="14"/>
  <c r="B622" i="14" l="1"/>
  <c r="I622" i="14" l="1"/>
  <c r="H622" i="14"/>
  <c r="A623" i="14" s="1"/>
  <c r="G622" i="14"/>
  <c r="F622" i="14"/>
  <c r="E622" i="14"/>
  <c r="D622" i="14"/>
  <c r="C622" i="14"/>
  <c r="B623" i="14" l="1"/>
  <c r="F623" i="14" l="1"/>
  <c r="H623" i="14"/>
  <c r="A624" i="14" s="1"/>
  <c r="D623" i="14"/>
  <c r="I623" i="14"/>
  <c r="E623" i="14"/>
  <c r="G623" i="14"/>
  <c r="C623" i="14"/>
  <c r="B624" i="14" l="1"/>
  <c r="I624" i="14" l="1"/>
  <c r="D624" i="14"/>
  <c r="H624" i="14"/>
  <c r="A625" i="14" s="1"/>
  <c r="F624" i="14"/>
  <c r="E624" i="14"/>
  <c r="G624" i="14"/>
  <c r="C624" i="14"/>
  <c r="B625" i="14" l="1"/>
  <c r="C625" i="14" s="1"/>
  <c r="G625" i="14" l="1"/>
  <c r="D625" i="14"/>
  <c r="I625" i="14"/>
  <c r="H625" i="14"/>
  <c r="A626" i="14" s="1"/>
  <c r="F625" i="14"/>
  <c r="E625" i="14"/>
  <c r="B626" i="14" l="1"/>
  <c r="I626" i="14" l="1"/>
  <c r="E626" i="14"/>
  <c r="H626" i="14"/>
  <c r="A627" i="14" s="1"/>
  <c r="G626" i="14"/>
  <c r="F626" i="14"/>
  <c r="D626" i="14"/>
  <c r="C626" i="14"/>
  <c r="B627" i="14" l="1"/>
  <c r="F627" i="14" l="1"/>
  <c r="H627" i="14"/>
  <c r="A628" i="14" s="1"/>
  <c r="G627" i="14"/>
  <c r="E627" i="14"/>
  <c r="D627" i="14"/>
  <c r="I627" i="14"/>
  <c r="C627" i="14"/>
  <c r="B628" i="14" l="1"/>
  <c r="I628" i="14" l="1"/>
  <c r="H628" i="14"/>
  <c r="A629" i="14" s="1"/>
  <c r="D628" i="14"/>
  <c r="F628" i="14"/>
  <c r="G628" i="14"/>
  <c r="E628" i="14"/>
  <c r="C628" i="14"/>
  <c r="B629" i="14" l="1"/>
  <c r="G629" i="14" l="1"/>
  <c r="H629" i="14"/>
  <c r="A630" i="14" s="1"/>
  <c r="E629" i="14"/>
  <c r="D629" i="14"/>
  <c r="F629" i="14"/>
  <c r="I629" i="14"/>
  <c r="C629" i="14"/>
  <c r="B630" i="14" l="1"/>
  <c r="E630" i="14" l="1"/>
  <c r="I630" i="14"/>
  <c r="H630" i="14"/>
  <c r="A631" i="14" s="1"/>
  <c r="G630" i="14"/>
  <c r="F630" i="14"/>
  <c r="D630" i="14"/>
  <c r="C630" i="14"/>
  <c r="B631" i="14" l="1"/>
  <c r="F631" i="14" l="1"/>
  <c r="E631" i="14"/>
  <c r="G631" i="14"/>
  <c r="D631" i="14"/>
  <c r="H631" i="14"/>
  <c r="A632" i="14" s="1"/>
  <c r="I631" i="14"/>
  <c r="C631" i="14"/>
  <c r="B632" i="14" l="1"/>
  <c r="C632" i="14" s="1"/>
  <c r="I632" i="14" l="1"/>
  <c r="H632" i="14"/>
  <c r="A633" i="14" s="1"/>
  <c r="D632" i="14"/>
  <c r="G632" i="14"/>
  <c r="F632" i="14"/>
  <c r="E632" i="14"/>
  <c r="B633" i="14" l="1"/>
  <c r="C633" i="14" s="1"/>
  <c r="G633" i="14" l="1"/>
  <c r="I633" i="14"/>
  <c r="D633" i="14"/>
  <c r="E633" i="14"/>
  <c r="F633" i="14"/>
  <c r="H633" i="14"/>
  <c r="A634" i="14" s="1"/>
  <c r="B634" i="14" l="1"/>
  <c r="H634" i="14" l="1"/>
  <c r="A635" i="14" s="1"/>
  <c r="G634" i="14"/>
  <c r="F634" i="14"/>
  <c r="E634" i="14"/>
  <c r="D634" i="14"/>
  <c r="I634" i="14"/>
  <c r="C634" i="14"/>
  <c r="B635" i="14" l="1"/>
  <c r="C635" i="14" s="1"/>
  <c r="F635" i="14" l="1"/>
  <c r="E635" i="14"/>
  <c r="H635" i="14"/>
  <c r="A636" i="14" s="1"/>
  <c r="D635" i="14"/>
  <c r="I635" i="14"/>
  <c r="G635" i="14"/>
  <c r="B636" i="14" l="1"/>
  <c r="I636" i="14" l="1"/>
  <c r="H636" i="14"/>
  <c r="A637" i="14" s="1"/>
  <c r="D636" i="14"/>
  <c r="F636" i="14"/>
  <c r="E636" i="14"/>
  <c r="G636" i="14"/>
  <c r="C636" i="14"/>
  <c r="B637" i="14" l="1"/>
  <c r="C637" i="14" s="1"/>
  <c r="G637" i="14" l="1"/>
  <c r="E637" i="14"/>
  <c r="I637" i="14"/>
  <c r="H637" i="14"/>
  <c r="A638" i="14" s="1"/>
  <c r="D637" i="14"/>
  <c r="F637" i="14"/>
  <c r="B638" i="14" l="1"/>
  <c r="G638" i="14" l="1"/>
  <c r="E638" i="14"/>
  <c r="D638" i="14"/>
  <c r="I638" i="14"/>
  <c r="F638" i="14"/>
  <c r="H638" i="14"/>
  <c r="A639" i="14" s="1"/>
  <c r="C638" i="14"/>
  <c r="B639" i="14" l="1"/>
  <c r="F639" i="14" l="1"/>
  <c r="E639" i="14"/>
  <c r="I639" i="14"/>
  <c r="H639" i="14"/>
  <c r="A640" i="14" s="1"/>
  <c r="G639" i="14"/>
  <c r="D639" i="14"/>
  <c r="C639" i="14"/>
  <c r="B640" i="14" l="1"/>
  <c r="C640" i="14" s="1"/>
  <c r="I640" i="14" l="1"/>
  <c r="H640" i="14"/>
  <c r="A641" i="14" s="1"/>
  <c r="D640" i="14"/>
  <c r="E640" i="14"/>
  <c r="F640" i="14"/>
  <c r="G640" i="14"/>
  <c r="B641" i="14" l="1"/>
  <c r="C641" i="14" s="1"/>
  <c r="G641" i="14" l="1"/>
  <c r="I641" i="14"/>
  <c r="H641" i="14"/>
  <c r="A642" i="14" s="1"/>
  <c r="F641" i="14"/>
  <c r="E641" i="14"/>
  <c r="D641" i="14"/>
  <c r="B642" i="14" l="1"/>
  <c r="I642" i="14" l="1"/>
  <c r="E642" i="14"/>
  <c r="D642" i="14"/>
  <c r="F642" i="14"/>
  <c r="H642" i="14"/>
  <c r="A643" i="14" s="1"/>
  <c r="G642" i="14"/>
  <c r="C642" i="14"/>
  <c r="B643" i="14" l="1"/>
  <c r="F643" i="14" l="1"/>
  <c r="E643" i="14"/>
  <c r="D643" i="14"/>
  <c r="I643" i="14"/>
  <c r="H643" i="14"/>
  <c r="A644" i="14" s="1"/>
  <c r="G643" i="14"/>
  <c r="C643" i="14"/>
  <c r="B644" i="14" l="1"/>
  <c r="I644" i="14" l="1"/>
  <c r="H644" i="14"/>
  <c r="A645" i="14" s="1"/>
  <c r="G644" i="14"/>
  <c r="D644" i="14"/>
  <c r="E644" i="14"/>
  <c r="F644" i="14"/>
  <c r="C644" i="14"/>
  <c r="B645" i="14" l="1"/>
  <c r="C645" i="14" s="1"/>
  <c r="G645" i="14" l="1"/>
  <c r="I645" i="14"/>
  <c r="H645" i="14"/>
  <c r="A646" i="14" s="1"/>
  <c r="F645" i="14"/>
  <c r="E645" i="14"/>
  <c r="D645" i="14"/>
  <c r="B646" i="14" l="1"/>
  <c r="I646" i="14" l="1"/>
  <c r="E646" i="14"/>
  <c r="G646" i="14"/>
  <c r="H646" i="14"/>
  <c r="A647" i="14" s="1"/>
  <c r="D646" i="14"/>
  <c r="F646" i="14"/>
  <c r="C646" i="14"/>
  <c r="B647" i="14" l="1"/>
  <c r="F647" i="14" l="1"/>
  <c r="E647" i="14"/>
  <c r="D647" i="14"/>
  <c r="I647" i="14"/>
  <c r="H647" i="14"/>
  <c r="A648" i="14" s="1"/>
  <c r="G647" i="14"/>
  <c r="C647" i="14"/>
  <c r="B648" i="14" l="1"/>
  <c r="I648" i="14" l="1"/>
  <c r="H648" i="14"/>
  <c r="A649" i="14" s="1"/>
  <c r="G648" i="14"/>
  <c r="D648" i="14"/>
  <c r="F648" i="14"/>
  <c r="E648" i="14"/>
  <c r="C648" i="14"/>
  <c r="B649" i="14" l="1"/>
  <c r="C649" i="14" s="1"/>
  <c r="G649" i="14" l="1"/>
  <c r="I649" i="14"/>
  <c r="H649" i="14"/>
  <c r="A650" i="14" s="1"/>
  <c r="F649" i="14"/>
  <c r="E649" i="14"/>
  <c r="D649" i="14"/>
  <c r="B650" i="14" l="1"/>
  <c r="H650" i="14" l="1"/>
  <c r="A651" i="14" s="1"/>
  <c r="E650" i="14"/>
  <c r="I650" i="14"/>
  <c r="G650" i="14"/>
  <c r="F650" i="14"/>
  <c r="D650" i="14"/>
  <c r="C650" i="14"/>
  <c r="B651" i="14" l="1"/>
  <c r="C651" i="14" s="1"/>
  <c r="H651" i="14" l="1"/>
  <c r="A652" i="14" s="1"/>
  <c r="F651" i="14"/>
  <c r="E651" i="14"/>
  <c r="D651" i="14"/>
  <c r="I651" i="14"/>
  <c r="G651" i="14"/>
  <c r="B652" i="14" l="1"/>
  <c r="C652" i="14" s="1"/>
  <c r="I652" i="14" l="1"/>
  <c r="H652" i="14"/>
  <c r="A653" i="14" s="1"/>
  <c r="G652" i="14"/>
  <c r="D652" i="14"/>
  <c r="E652" i="14"/>
  <c r="F652" i="14"/>
  <c r="B653" i="14" l="1"/>
  <c r="C653" i="14" s="1"/>
  <c r="E653" i="14" l="1"/>
  <c r="G653" i="14"/>
  <c r="H653" i="14"/>
  <c r="A654" i="14" s="1"/>
  <c r="I653" i="14"/>
  <c r="F653" i="14"/>
  <c r="D653" i="14"/>
  <c r="B654" i="14" l="1"/>
  <c r="H654" i="14" l="1"/>
  <c r="A655" i="14" s="1"/>
  <c r="E654" i="14"/>
  <c r="I654" i="14"/>
  <c r="G654" i="14"/>
  <c r="F654" i="14"/>
  <c r="D654" i="14"/>
  <c r="C654" i="14"/>
  <c r="B655" i="14" l="1"/>
  <c r="C655" i="14" s="1"/>
  <c r="H655" i="14" l="1"/>
  <c r="A656" i="14" s="1"/>
  <c r="F655" i="14"/>
  <c r="E655" i="14"/>
  <c r="D655" i="14"/>
  <c r="G655" i="14"/>
  <c r="I655" i="14"/>
  <c r="B656" i="14" l="1"/>
  <c r="C656" i="14" s="1"/>
  <c r="I656" i="14" l="1"/>
  <c r="H656" i="14"/>
  <c r="A657" i="14" s="1"/>
  <c r="G656" i="14"/>
  <c r="D656" i="14"/>
  <c r="E656" i="14"/>
  <c r="F656" i="14"/>
  <c r="B657" i="14" l="1"/>
  <c r="C657" i="14" s="1"/>
  <c r="E657" i="14" l="1"/>
  <c r="G657" i="14"/>
  <c r="H657" i="14"/>
  <c r="A658" i="14" s="1"/>
  <c r="F657" i="14"/>
  <c r="D657" i="14"/>
  <c r="I657" i="14"/>
  <c r="B658" i="14" l="1"/>
  <c r="H658" i="14" l="1"/>
  <c r="A659" i="14" s="1"/>
  <c r="E658" i="14"/>
  <c r="D658" i="14"/>
  <c r="F658" i="14"/>
  <c r="G658" i="14"/>
  <c r="I658" i="14"/>
  <c r="C658" i="14"/>
  <c r="B659" i="14" l="1"/>
  <c r="C659" i="14" s="1"/>
  <c r="H659" i="14" l="1"/>
  <c r="A660" i="14" s="1"/>
  <c r="F659" i="14"/>
  <c r="E659" i="14"/>
  <c r="D659" i="14"/>
  <c r="I659" i="14"/>
  <c r="G659" i="14"/>
  <c r="B660" i="14" l="1"/>
  <c r="C660" i="14" s="1"/>
  <c r="I660" i="14" l="1"/>
  <c r="H660" i="14"/>
  <c r="A661" i="14" s="1"/>
  <c r="G660" i="14"/>
  <c r="D660" i="14"/>
  <c r="E660" i="14"/>
  <c r="F660" i="14"/>
  <c r="B661" i="14" l="1"/>
  <c r="C661" i="14" s="1"/>
  <c r="E661" i="14" l="1"/>
  <c r="G661" i="14"/>
  <c r="H661" i="14"/>
  <c r="A662" i="14" s="1"/>
  <c r="D661" i="14"/>
  <c r="I661" i="14"/>
  <c r="F661" i="14"/>
  <c r="B662" i="14" l="1"/>
  <c r="H662" i="14" l="1"/>
  <c r="A663" i="14" s="1"/>
  <c r="E662" i="14"/>
  <c r="I662" i="14"/>
  <c r="G662" i="14"/>
  <c r="F662" i="14"/>
  <c r="D662" i="14"/>
  <c r="C662" i="14"/>
  <c r="B663" i="14" l="1"/>
  <c r="C663" i="14" s="1"/>
  <c r="H663" i="14" l="1"/>
  <c r="A664" i="14" s="1"/>
  <c r="F663" i="14"/>
  <c r="E663" i="14"/>
  <c r="D663" i="14"/>
  <c r="G663" i="14"/>
  <c r="I663" i="14"/>
  <c r="B664" i="14" l="1"/>
  <c r="C664" i="14" s="1"/>
  <c r="I664" i="14" l="1"/>
  <c r="H664" i="14"/>
  <c r="A665" i="14" s="1"/>
  <c r="G664" i="14"/>
  <c r="D664" i="14"/>
  <c r="E664" i="14"/>
  <c r="F664" i="14"/>
  <c r="B665" i="14" l="1"/>
  <c r="C665" i="14" s="1"/>
  <c r="E665" i="14" l="1"/>
  <c r="G665" i="14"/>
  <c r="H665" i="14"/>
  <c r="A666" i="14" s="1"/>
  <c r="F665" i="14"/>
  <c r="D665" i="14"/>
  <c r="I665" i="14"/>
  <c r="B666" i="14" l="1"/>
  <c r="H666" i="14" l="1"/>
  <c r="A667" i="14" s="1"/>
  <c r="E666" i="14"/>
  <c r="D666" i="14"/>
  <c r="I666" i="14"/>
  <c r="G666" i="14"/>
  <c r="F666" i="14"/>
  <c r="C666" i="14"/>
  <c r="B667" i="14" l="1"/>
  <c r="C667" i="14" s="1"/>
  <c r="H667" i="14" l="1"/>
  <c r="A668" i="14" s="1"/>
  <c r="F667" i="14"/>
  <c r="E667" i="14"/>
  <c r="D667" i="14"/>
  <c r="I667" i="14"/>
  <c r="G667" i="14"/>
  <c r="B668" i="14" l="1"/>
  <c r="C668" i="14" s="1"/>
  <c r="I668" i="14" l="1"/>
  <c r="H668" i="14"/>
  <c r="A669" i="14" s="1"/>
  <c r="G668" i="14"/>
  <c r="D668" i="14"/>
  <c r="E668" i="14"/>
  <c r="F668" i="14"/>
  <c r="B669" i="14" l="1"/>
  <c r="C669" i="14" s="1"/>
  <c r="E669" i="14" l="1"/>
  <c r="G669" i="14"/>
  <c r="H669" i="14"/>
  <c r="A670" i="14" s="1"/>
  <c r="I669" i="14"/>
  <c r="D669" i="14"/>
  <c r="F669" i="14"/>
  <c r="B670" i="14" l="1"/>
  <c r="H670" i="14" l="1"/>
  <c r="A671" i="14" s="1"/>
  <c r="E670" i="14"/>
  <c r="I670" i="14"/>
  <c r="G670" i="14"/>
  <c r="F670" i="14"/>
  <c r="D670" i="14"/>
  <c r="C670" i="14"/>
  <c r="B671" i="14" l="1"/>
  <c r="C671" i="14" s="1"/>
  <c r="H671" i="14" l="1"/>
  <c r="A672" i="14" s="1"/>
  <c r="F671" i="14"/>
  <c r="E671" i="14"/>
  <c r="D671" i="14"/>
  <c r="G671" i="14"/>
  <c r="I671" i="14"/>
  <c r="B672" i="14" l="1"/>
  <c r="C672" i="14" s="1"/>
  <c r="I672" i="14" l="1"/>
  <c r="H672" i="14"/>
  <c r="A673" i="14" s="1"/>
  <c r="G672" i="14"/>
  <c r="D672" i="14"/>
  <c r="F672" i="14"/>
  <c r="E672" i="14"/>
  <c r="B673" i="14" l="1"/>
  <c r="C673" i="14" s="1"/>
  <c r="E673" i="14" l="1"/>
  <c r="D673" i="14"/>
  <c r="G673" i="14"/>
  <c r="I673" i="14"/>
  <c r="H673" i="14"/>
  <c r="A674" i="14" s="1"/>
  <c r="F673" i="14"/>
  <c r="B674" i="14" l="1"/>
  <c r="H674" i="14" l="1"/>
  <c r="A675" i="14" s="1"/>
  <c r="G674" i="14"/>
  <c r="E674" i="14"/>
  <c r="I674" i="14"/>
  <c r="D674" i="14"/>
  <c r="F674" i="14"/>
  <c r="C674" i="14"/>
  <c r="B675" i="14" l="1"/>
  <c r="C675" i="14" s="1"/>
  <c r="H675" i="14" l="1"/>
  <c r="A676" i="14" s="1"/>
  <c r="F675" i="14"/>
  <c r="E675" i="14"/>
  <c r="D675" i="14"/>
  <c r="I675" i="14"/>
  <c r="G675" i="14"/>
  <c r="B676" i="14" l="1"/>
  <c r="C676" i="14" s="1"/>
  <c r="I676" i="14" l="1"/>
  <c r="H676" i="14"/>
  <c r="A677" i="14" s="1"/>
  <c r="G676" i="14"/>
  <c r="D676" i="14"/>
  <c r="F676" i="14"/>
  <c r="E676" i="14"/>
  <c r="B677" i="14" l="1"/>
  <c r="C677" i="14" s="1"/>
  <c r="E677" i="14" l="1"/>
  <c r="D677" i="14"/>
  <c r="G677" i="14"/>
  <c r="I677" i="14"/>
  <c r="F677" i="14"/>
  <c r="H677" i="14"/>
  <c r="A678" i="14" s="1"/>
  <c r="B678" i="14" l="1"/>
  <c r="H678" i="14" l="1"/>
  <c r="A679" i="14" s="1"/>
  <c r="G678" i="14"/>
  <c r="E678" i="14"/>
  <c r="F678" i="14"/>
  <c r="I678" i="14"/>
  <c r="D678" i="14"/>
  <c r="C678" i="14"/>
  <c r="B679" i="14" l="1"/>
  <c r="C679" i="14" s="1"/>
  <c r="H679" i="14" l="1"/>
  <c r="A680" i="14" s="1"/>
  <c r="F679" i="14"/>
  <c r="E679" i="14"/>
  <c r="D679" i="14"/>
  <c r="I679" i="14"/>
  <c r="G679" i="14"/>
  <c r="B680" i="14" l="1"/>
  <c r="C680" i="14" s="1"/>
  <c r="I680" i="14" l="1"/>
  <c r="H680" i="14"/>
  <c r="A681" i="14" s="1"/>
  <c r="G680" i="14"/>
  <c r="D680" i="14"/>
  <c r="F680" i="14"/>
  <c r="E680" i="14"/>
  <c r="B681" i="14" l="1"/>
  <c r="C681" i="14" s="1"/>
  <c r="E681" i="14" l="1"/>
  <c r="D681" i="14"/>
  <c r="G681" i="14"/>
  <c r="I681" i="14"/>
  <c r="H681" i="14"/>
  <c r="A682" i="14" s="1"/>
  <c r="F681" i="14"/>
  <c r="B682" i="14" l="1"/>
  <c r="H682" i="14" l="1"/>
  <c r="A683" i="14" s="1"/>
  <c r="G682" i="14"/>
  <c r="E682" i="14"/>
  <c r="D682" i="14"/>
  <c r="I682" i="14"/>
  <c r="F682" i="14"/>
  <c r="C682" i="14"/>
  <c r="B683" i="14" l="1"/>
  <c r="H683" i="14" l="1"/>
  <c r="A684" i="14" s="1"/>
  <c r="F683" i="14"/>
  <c r="E683" i="14"/>
  <c r="D683" i="14"/>
  <c r="I683" i="14"/>
  <c r="G683" i="14"/>
  <c r="C683" i="14"/>
  <c r="B684" i="14" l="1"/>
  <c r="C684" i="14" s="1"/>
  <c r="I684" i="14" l="1"/>
  <c r="H684" i="14"/>
  <c r="A685" i="14" s="1"/>
  <c r="G684" i="14"/>
  <c r="D684" i="14"/>
  <c r="E684" i="14"/>
  <c r="F684" i="14"/>
  <c r="B685" i="14" l="1"/>
  <c r="C685" i="14" s="1"/>
  <c r="E685" i="14" l="1"/>
  <c r="D685" i="14"/>
  <c r="G685" i="14"/>
  <c r="F685" i="14"/>
  <c r="I685" i="14"/>
  <c r="H685" i="14"/>
  <c r="A686" i="14" s="1"/>
  <c r="B686" i="14" l="1"/>
  <c r="H686" i="14" l="1"/>
  <c r="A687" i="14" s="1"/>
  <c r="I686" i="14"/>
  <c r="G686" i="14"/>
  <c r="E686" i="14"/>
  <c r="F686" i="14"/>
  <c r="D686" i="14"/>
  <c r="C686" i="14"/>
  <c r="B687" i="14" l="1"/>
  <c r="C687" i="14" s="1"/>
  <c r="I687" i="14" l="1"/>
  <c r="G687" i="14"/>
  <c r="F687" i="14"/>
  <c r="E687" i="14"/>
  <c r="H687" i="14"/>
  <c r="A688" i="14" s="1"/>
  <c r="D687" i="14"/>
  <c r="B688" i="14" l="1"/>
  <c r="C688" i="14" s="1"/>
  <c r="D688" i="14" l="1"/>
  <c r="I688" i="14"/>
  <c r="F688" i="14"/>
  <c r="H688" i="14"/>
  <c r="A689" i="14" s="1"/>
  <c r="G688" i="14"/>
  <c r="E688" i="14"/>
  <c r="B689" i="14" l="1"/>
  <c r="C689" i="14" s="1"/>
  <c r="E689" i="14" l="1"/>
  <c r="H689" i="14"/>
  <c r="A690" i="14" s="1"/>
  <c r="G689" i="14"/>
  <c r="D689" i="14"/>
  <c r="I689" i="14"/>
  <c r="F689" i="14"/>
  <c r="B690" i="14" l="1"/>
  <c r="H690" i="14" l="1"/>
  <c r="A691" i="14" s="1"/>
  <c r="I690" i="14"/>
  <c r="F690" i="14"/>
  <c r="E690" i="14"/>
  <c r="D690" i="14"/>
  <c r="G690" i="14"/>
  <c r="C690" i="14"/>
  <c r="B691" i="14" l="1"/>
  <c r="I691" i="14" l="1"/>
  <c r="H691" i="14"/>
  <c r="A692" i="14" s="1"/>
  <c r="E691" i="14"/>
  <c r="D691" i="14"/>
  <c r="F691" i="14"/>
  <c r="G691" i="14"/>
  <c r="C691" i="14"/>
  <c r="B692" i="14" l="1"/>
  <c r="C692" i="14" s="1"/>
  <c r="G692" i="14" l="1"/>
  <c r="F692" i="14"/>
  <c r="D692" i="14"/>
  <c r="I692" i="14"/>
  <c r="E692" i="14"/>
  <c r="H692" i="14"/>
  <c r="A693" i="14" s="1"/>
  <c r="B693" i="14" l="1"/>
  <c r="E693" i="14" l="1"/>
  <c r="H693" i="14"/>
  <c r="A694" i="14" s="1"/>
  <c r="F693" i="14"/>
  <c r="D693" i="14"/>
  <c r="I693" i="14"/>
  <c r="G693" i="14"/>
  <c r="C693" i="14"/>
  <c r="B694" i="14" l="1"/>
  <c r="C694" i="14" s="1"/>
  <c r="H694" i="14" l="1"/>
  <c r="A695" i="14" s="1"/>
  <c r="I694" i="14"/>
  <c r="G694" i="14"/>
  <c r="D694" i="14"/>
  <c r="F694" i="14"/>
  <c r="E694" i="14"/>
  <c r="B695" i="14" l="1"/>
  <c r="I695" i="14" l="1"/>
  <c r="F695" i="14"/>
  <c r="E695" i="14"/>
  <c r="H695" i="14"/>
  <c r="A696" i="14" s="1"/>
  <c r="D695" i="14"/>
  <c r="G695" i="14"/>
  <c r="C695" i="14"/>
  <c r="B696" i="14" l="1"/>
  <c r="C696" i="14" s="1"/>
  <c r="H696" i="14" l="1"/>
  <c r="A697" i="14" s="1"/>
  <c r="F696" i="14"/>
  <c r="E696" i="14"/>
  <c r="D696" i="14"/>
  <c r="I696" i="14"/>
  <c r="G696" i="14"/>
  <c r="B697" i="14" l="1"/>
  <c r="E697" i="14" l="1"/>
  <c r="I697" i="14"/>
  <c r="F697" i="14"/>
  <c r="H697" i="14"/>
  <c r="A698" i="14" s="1"/>
  <c r="G697" i="14"/>
  <c r="D697" i="14"/>
  <c r="C697" i="14"/>
  <c r="B698" i="14" l="1"/>
  <c r="C698" i="14" s="1"/>
  <c r="H698" i="14" l="1"/>
  <c r="A699" i="14" s="1"/>
  <c r="F698" i="14"/>
  <c r="I698" i="14"/>
  <c r="G698" i="14"/>
  <c r="D698" i="14"/>
  <c r="E698" i="14"/>
  <c r="B699" i="14" l="1"/>
  <c r="C699" i="14" s="1"/>
  <c r="I699" i="14" l="1"/>
  <c r="H699" i="14"/>
  <c r="A700" i="14" s="1"/>
  <c r="G699" i="14"/>
  <c r="F699" i="14"/>
  <c r="E699" i="14"/>
  <c r="D699" i="14"/>
  <c r="B700" i="14" l="1"/>
  <c r="C700" i="14" s="1"/>
  <c r="F700" i="14" l="1"/>
  <c r="E700" i="14"/>
  <c r="H700" i="14"/>
  <c r="A701" i="14" s="1"/>
  <c r="I700" i="14"/>
  <c r="G700" i="14"/>
  <c r="D700" i="14"/>
  <c r="B701" i="14" l="1"/>
  <c r="E701" i="14" l="1"/>
  <c r="I701" i="14"/>
  <c r="G701" i="14"/>
  <c r="F701" i="14"/>
  <c r="D701" i="14"/>
  <c r="H701" i="14"/>
  <c r="A702" i="14" s="1"/>
  <c r="C701" i="14"/>
  <c r="B702" i="14" l="1"/>
  <c r="H702" i="14" l="1"/>
  <c r="A703" i="14" s="1"/>
  <c r="F702" i="14"/>
  <c r="E702" i="14"/>
  <c r="G702" i="14"/>
  <c r="I702" i="14"/>
  <c r="D702" i="14"/>
  <c r="C702" i="14"/>
  <c r="B703" i="14" l="1"/>
  <c r="I703" i="14" l="1"/>
  <c r="H703" i="14"/>
  <c r="A704" i="14" s="1"/>
  <c r="F703" i="14"/>
  <c r="D703" i="14"/>
  <c r="G703" i="14"/>
  <c r="E703" i="14"/>
  <c r="C703" i="14"/>
  <c r="B704" i="14" l="1"/>
  <c r="C704" i="14" s="1"/>
  <c r="H704" i="14" l="1"/>
  <c r="A705" i="14" s="1"/>
  <c r="I704" i="14"/>
  <c r="E704" i="14"/>
  <c r="D704" i="14"/>
  <c r="G704" i="14"/>
  <c r="F704" i="14"/>
  <c r="B705" i="14" l="1"/>
  <c r="E705" i="14" l="1"/>
  <c r="I705" i="14"/>
  <c r="G705" i="14"/>
  <c r="D705" i="14"/>
  <c r="H705" i="14"/>
  <c r="A706" i="14" s="1"/>
  <c r="F705" i="14"/>
  <c r="C705" i="14"/>
  <c r="B706" i="14" l="1"/>
  <c r="C706" i="14" s="1"/>
  <c r="H706" i="14" l="1"/>
  <c r="A707" i="14" s="1"/>
  <c r="F706" i="14"/>
  <c r="E706" i="14"/>
  <c r="D706" i="14"/>
  <c r="I706" i="14"/>
  <c r="G706" i="14"/>
  <c r="B707" i="14" l="1"/>
  <c r="C707" i="14" s="1"/>
  <c r="I707" i="14" l="1"/>
  <c r="H707" i="14"/>
  <c r="A708" i="14" s="1"/>
  <c r="E707" i="14"/>
  <c r="F707" i="14"/>
  <c r="D707" i="14"/>
  <c r="G707" i="14"/>
  <c r="B708" i="14" l="1"/>
  <c r="C708" i="14" s="1"/>
  <c r="I708" i="14" l="1"/>
  <c r="H708" i="14"/>
  <c r="A709" i="14" s="1"/>
  <c r="E708" i="14"/>
  <c r="G708" i="14"/>
  <c r="D708" i="14"/>
  <c r="F708" i="14"/>
  <c r="B709" i="14" l="1"/>
  <c r="E709" i="14" l="1"/>
  <c r="H709" i="14"/>
  <c r="A710" i="14" s="1"/>
  <c r="F709" i="14"/>
  <c r="D709" i="14"/>
  <c r="I709" i="14"/>
  <c r="G709" i="14"/>
  <c r="C709" i="14"/>
  <c r="B710" i="14" l="1"/>
  <c r="H710" i="14" l="1"/>
  <c r="A711" i="14" s="1"/>
  <c r="F710" i="14"/>
  <c r="E710" i="14"/>
  <c r="D710" i="14"/>
  <c r="I710" i="14"/>
  <c r="G710" i="14"/>
  <c r="C710" i="14"/>
  <c r="B711" i="14" l="1"/>
  <c r="I711" i="14" l="1"/>
  <c r="H711" i="14"/>
  <c r="A712" i="14" s="1"/>
  <c r="F711" i="14"/>
  <c r="E711" i="14"/>
  <c r="G711" i="14"/>
  <c r="D711" i="14"/>
  <c r="C711" i="14"/>
  <c r="B712" i="14" l="1"/>
  <c r="C712" i="14" s="1"/>
  <c r="I712" i="14" l="1"/>
  <c r="H712" i="14"/>
  <c r="A713" i="14" s="1"/>
  <c r="F712" i="14"/>
  <c r="E712" i="14"/>
  <c r="G712" i="14"/>
  <c r="D712" i="14"/>
  <c r="B713" i="14" l="1"/>
  <c r="E713" i="14" l="1"/>
  <c r="I713" i="14"/>
  <c r="H713" i="14"/>
  <c r="A714" i="14" s="1"/>
  <c r="G713" i="14"/>
  <c r="F713" i="14"/>
  <c r="D713" i="14"/>
  <c r="C713" i="14"/>
  <c r="B714" i="14" l="1"/>
  <c r="H714" i="14" l="1"/>
  <c r="A715" i="14" s="1"/>
  <c r="F714" i="14"/>
  <c r="E714" i="14"/>
  <c r="I714" i="14"/>
  <c r="D714" i="14"/>
  <c r="G714" i="14"/>
  <c r="C714" i="14"/>
  <c r="B715" i="14" l="1"/>
  <c r="I715" i="14" l="1"/>
  <c r="H715" i="14"/>
  <c r="A716" i="14" s="1"/>
  <c r="F715" i="14"/>
  <c r="E715" i="14"/>
  <c r="G715" i="14"/>
  <c r="D715" i="14"/>
  <c r="C715" i="14"/>
  <c r="B716" i="14" l="1"/>
  <c r="C716" i="14" s="1"/>
  <c r="I716" i="14" l="1"/>
  <c r="H716" i="14"/>
  <c r="A717" i="14" s="1"/>
  <c r="F716" i="14"/>
  <c r="D716" i="14"/>
  <c r="G716" i="14"/>
  <c r="E716" i="14"/>
  <c r="B717" i="14" l="1"/>
  <c r="E717" i="14" l="1"/>
  <c r="D717" i="14"/>
  <c r="G717" i="14"/>
  <c r="I717" i="14"/>
  <c r="H717" i="14"/>
  <c r="A718" i="14" s="1"/>
  <c r="F717" i="14"/>
  <c r="C717" i="14"/>
  <c r="B718" i="14" l="1"/>
  <c r="H718" i="14" l="1"/>
  <c r="A719" i="14" s="1"/>
  <c r="F718" i="14"/>
  <c r="E718" i="14"/>
  <c r="G718" i="14"/>
  <c r="D718" i="14"/>
  <c r="I718" i="14"/>
  <c r="C718" i="14"/>
  <c r="B719" i="14" l="1"/>
  <c r="I719" i="14" l="1"/>
  <c r="H719" i="14"/>
  <c r="A720" i="14" s="1"/>
  <c r="F719" i="14"/>
  <c r="E719" i="14"/>
  <c r="G719" i="14"/>
  <c r="D719" i="14"/>
  <c r="C719" i="14"/>
  <c r="B720" i="14" l="1"/>
  <c r="C720" i="14" s="1"/>
  <c r="I720" i="14" l="1"/>
  <c r="H720" i="14"/>
  <c r="A721" i="14" s="1"/>
  <c r="F720" i="14"/>
  <c r="G720" i="14"/>
  <c r="E720" i="14"/>
  <c r="D720" i="14"/>
  <c r="B721" i="14" l="1"/>
  <c r="E721" i="14" l="1"/>
  <c r="I721" i="14"/>
  <c r="H721" i="14"/>
  <c r="A722" i="14" s="1"/>
  <c r="G721" i="14"/>
  <c r="F721" i="14"/>
  <c r="D721" i="14"/>
  <c r="C721" i="14"/>
  <c r="B722" i="14" l="1"/>
  <c r="H722" i="14" l="1"/>
  <c r="A723" i="14" s="1"/>
  <c r="F722" i="14"/>
  <c r="E722" i="14"/>
  <c r="D722" i="14"/>
  <c r="G722" i="14"/>
  <c r="I722" i="14"/>
  <c r="C722" i="14"/>
  <c r="B723" i="14" l="1"/>
  <c r="I723" i="14" l="1"/>
  <c r="H723" i="14"/>
  <c r="A724" i="14" s="1"/>
  <c r="G723" i="14"/>
  <c r="F723" i="14"/>
  <c r="E723" i="14"/>
  <c r="D723" i="14"/>
  <c r="C723" i="14"/>
  <c r="B724" i="14" l="1"/>
  <c r="C724" i="14" s="1"/>
  <c r="I724" i="14" l="1"/>
  <c r="H724" i="14"/>
  <c r="A725" i="14" s="1"/>
  <c r="F724" i="14"/>
  <c r="G724" i="14"/>
  <c r="E724" i="14"/>
  <c r="D724" i="14"/>
  <c r="B725" i="14" l="1"/>
  <c r="E725" i="14" l="1"/>
  <c r="I725" i="14"/>
  <c r="G725" i="14"/>
  <c r="F725" i="14"/>
  <c r="D725" i="14"/>
  <c r="H725" i="14"/>
  <c r="A726" i="14" s="1"/>
  <c r="C725" i="14"/>
  <c r="B726" i="14" l="1"/>
  <c r="H726" i="14" l="1"/>
  <c r="A727" i="14" s="1"/>
  <c r="F726" i="14"/>
  <c r="E726" i="14"/>
  <c r="D726" i="14"/>
  <c r="I726" i="14"/>
  <c r="G726" i="14"/>
  <c r="C726" i="14"/>
  <c r="B727" i="14" l="1"/>
  <c r="I727" i="14" l="1"/>
  <c r="H727" i="14"/>
  <c r="A728" i="14" s="1"/>
  <c r="G727" i="14"/>
  <c r="F727" i="14"/>
  <c r="E727" i="14"/>
  <c r="D727" i="14"/>
  <c r="C727" i="14"/>
  <c r="B728" i="14" l="1"/>
  <c r="C728" i="14" s="1"/>
  <c r="I728" i="14" l="1"/>
  <c r="H728" i="14"/>
  <c r="A729" i="14" s="1"/>
  <c r="F728" i="14"/>
  <c r="G728" i="14"/>
  <c r="E728" i="14"/>
  <c r="D728" i="14"/>
  <c r="B729" i="14" l="1"/>
  <c r="E729" i="14" l="1"/>
  <c r="I729" i="14"/>
  <c r="H729" i="14"/>
  <c r="A730" i="14" s="1"/>
  <c r="D729" i="14"/>
  <c r="G729" i="14"/>
  <c r="F729" i="14"/>
  <c r="C729" i="14"/>
  <c r="B730" i="14" l="1"/>
  <c r="H730" i="14" l="1"/>
  <c r="A731" i="14" s="1"/>
  <c r="F730" i="14"/>
  <c r="E730" i="14"/>
  <c r="D730" i="14"/>
  <c r="G730" i="14"/>
  <c r="I730" i="14"/>
  <c r="C730" i="14"/>
  <c r="B731" i="14" l="1"/>
  <c r="I731" i="14" l="1"/>
  <c r="H731" i="14"/>
  <c r="A732" i="14" s="1"/>
  <c r="G731" i="14"/>
  <c r="F731" i="14"/>
  <c r="E731" i="14"/>
  <c r="D731" i="14"/>
  <c r="C731" i="14"/>
  <c r="B732" i="14" l="1"/>
  <c r="C732" i="14" s="1"/>
  <c r="I732" i="14" l="1"/>
  <c r="H732" i="14"/>
  <c r="A733" i="14" s="1"/>
  <c r="F732" i="14"/>
  <c r="D732" i="14"/>
  <c r="E732" i="14"/>
  <c r="G732" i="14"/>
  <c r="B733" i="14" l="1"/>
  <c r="E733" i="14" l="1"/>
  <c r="I733" i="14"/>
  <c r="G733" i="14"/>
  <c r="H733" i="14"/>
  <c r="A734" i="14" s="1"/>
  <c r="F733" i="14"/>
  <c r="D733" i="14"/>
  <c r="C733" i="14"/>
  <c r="B734" i="14" l="1"/>
  <c r="H734" i="14" l="1"/>
  <c r="A735" i="14" s="1"/>
  <c r="F734" i="14"/>
  <c r="E734" i="14"/>
  <c r="D734" i="14"/>
  <c r="I734" i="14"/>
  <c r="G734" i="14"/>
  <c r="C734" i="14"/>
  <c r="B735" i="14" l="1"/>
  <c r="I735" i="14" l="1"/>
  <c r="H735" i="14"/>
  <c r="A736" i="14" s="1"/>
  <c r="G735" i="14"/>
  <c r="F735" i="14"/>
  <c r="E735" i="14"/>
  <c r="D735" i="14"/>
  <c r="C735" i="14"/>
  <c r="B736" i="14" l="1"/>
  <c r="C736" i="14" s="1"/>
  <c r="I736" i="14" l="1"/>
  <c r="H736" i="14"/>
  <c r="A737" i="14" s="1"/>
  <c r="F736" i="14"/>
  <c r="D736" i="14"/>
  <c r="E736" i="14"/>
  <c r="G736" i="14"/>
  <c r="B737" i="14" l="1"/>
  <c r="E737" i="14" l="1"/>
  <c r="I737" i="14"/>
  <c r="G737" i="14"/>
  <c r="H737" i="14"/>
  <c r="A738" i="14" s="1"/>
  <c r="F737" i="14"/>
  <c r="D737" i="14"/>
  <c r="C737" i="14"/>
  <c r="B738" i="14" l="1"/>
  <c r="H738" i="14" l="1"/>
  <c r="A739" i="14" s="1"/>
  <c r="F738" i="14"/>
  <c r="E738" i="14"/>
  <c r="D738" i="14"/>
  <c r="I738" i="14"/>
  <c r="G738" i="14"/>
  <c r="C738" i="14"/>
  <c r="B739" i="14" l="1"/>
  <c r="I739" i="14" l="1"/>
  <c r="H739" i="14"/>
  <c r="A740" i="14" s="1"/>
  <c r="G739" i="14"/>
  <c r="F739" i="14"/>
  <c r="E739" i="14"/>
  <c r="D739" i="14"/>
  <c r="C739" i="14"/>
  <c r="B740" i="14" l="1"/>
  <c r="C740" i="14" s="1"/>
  <c r="I740" i="14" l="1"/>
  <c r="H740" i="14"/>
  <c r="A741" i="14" s="1"/>
  <c r="F740" i="14"/>
  <c r="D740" i="14"/>
  <c r="E740" i="14"/>
  <c r="G740" i="14"/>
  <c r="B741" i="14" l="1"/>
  <c r="E741" i="14" l="1"/>
  <c r="I741" i="14"/>
  <c r="G741" i="14"/>
  <c r="H741" i="14"/>
  <c r="A742" i="14" s="1"/>
  <c r="F741" i="14"/>
  <c r="D741" i="14"/>
  <c r="C741" i="14"/>
  <c r="B742" i="14" l="1"/>
  <c r="H742" i="14" l="1"/>
  <c r="A743" i="14" s="1"/>
  <c r="F742" i="14"/>
  <c r="E742" i="14"/>
  <c r="D742" i="14"/>
  <c r="I742" i="14"/>
  <c r="G742" i="14"/>
  <c r="C742" i="14"/>
  <c r="B743" i="14" l="1"/>
  <c r="I743" i="14" l="1"/>
  <c r="H743" i="14"/>
  <c r="A744" i="14" s="1"/>
  <c r="G743" i="14"/>
  <c r="F743" i="14"/>
  <c r="E743" i="14"/>
  <c r="D743" i="14"/>
  <c r="C743" i="14"/>
  <c r="B744" i="14" l="1"/>
  <c r="C744" i="14" s="1"/>
  <c r="I744" i="14" l="1"/>
  <c r="H744" i="14"/>
  <c r="A745" i="14" s="1"/>
  <c r="F744" i="14"/>
  <c r="D744" i="14"/>
  <c r="E744" i="14"/>
  <c r="G744" i="14"/>
  <c r="B745" i="14" l="1"/>
  <c r="E745" i="14" l="1"/>
  <c r="I745" i="14"/>
  <c r="G745" i="14"/>
  <c r="H745" i="14"/>
  <c r="A746" i="14" s="1"/>
  <c r="F745" i="14"/>
  <c r="D745" i="14"/>
  <c r="C745" i="14"/>
  <c r="B746" i="14" l="1"/>
  <c r="H746" i="14" l="1"/>
  <c r="A747" i="14" s="1"/>
  <c r="F746" i="14"/>
  <c r="E746" i="14"/>
  <c r="D746" i="14"/>
  <c r="I746" i="14"/>
  <c r="G746" i="14"/>
  <c r="C746" i="14"/>
  <c r="B747" i="14" l="1"/>
  <c r="I747" i="14" l="1"/>
  <c r="H747" i="14"/>
  <c r="A748" i="14" s="1"/>
  <c r="G747" i="14"/>
  <c r="F747" i="14"/>
  <c r="E747" i="14"/>
  <c r="D747" i="14"/>
  <c r="C747" i="14"/>
  <c r="B748" i="14" l="1"/>
  <c r="C748" i="14" s="1"/>
  <c r="I748" i="14" l="1"/>
  <c r="H748" i="14"/>
  <c r="A749" i="14" s="1"/>
  <c r="F748" i="14"/>
  <c r="D748" i="14"/>
  <c r="E748" i="14"/>
  <c r="G748" i="14"/>
  <c r="B749" i="14" l="1"/>
  <c r="E749" i="14" l="1"/>
  <c r="I749" i="14"/>
  <c r="G749" i="14"/>
  <c r="H749" i="14"/>
  <c r="A750" i="14" s="1"/>
  <c r="F749" i="14"/>
  <c r="D749" i="14"/>
  <c r="C749" i="14"/>
  <c r="B750" i="14" l="1"/>
  <c r="H750" i="14" l="1"/>
  <c r="A751" i="14" s="1"/>
  <c r="F750" i="14"/>
  <c r="E750" i="14"/>
  <c r="D750" i="14"/>
  <c r="I750" i="14"/>
  <c r="G750" i="14"/>
  <c r="C750" i="14"/>
  <c r="B751" i="14" l="1"/>
  <c r="I751" i="14" l="1"/>
  <c r="H751" i="14"/>
  <c r="A752" i="14" s="1"/>
  <c r="G751" i="14"/>
  <c r="F751" i="14"/>
  <c r="E751" i="14"/>
  <c r="D751" i="14"/>
  <c r="C751" i="14"/>
  <c r="B752" i="14" l="1"/>
  <c r="C752" i="14" s="1"/>
  <c r="I752" i="14" l="1"/>
  <c r="H752" i="14"/>
  <c r="A753" i="14" s="1"/>
  <c r="F752" i="14"/>
  <c r="D752" i="14"/>
  <c r="E752" i="14"/>
  <c r="G752" i="14"/>
  <c r="B753" i="14" l="1"/>
  <c r="E753" i="14" l="1"/>
  <c r="I753" i="14"/>
  <c r="G753" i="14"/>
  <c r="H753" i="14"/>
  <c r="A754" i="14" s="1"/>
  <c r="F753" i="14"/>
  <c r="D753" i="14"/>
  <c r="C753" i="14"/>
  <c r="B754" i="14" l="1"/>
  <c r="H754" i="14" l="1"/>
  <c r="A755" i="14" s="1"/>
  <c r="F754" i="14"/>
  <c r="E754" i="14"/>
  <c r="D754" i="14"/>
  <c r="I754" i="14"/>
  <c r="G754" i="14"/>
  <c r="C754" i="14"/>
  <c r="B755" i="14" l="1"/>
  <c r="I755" i="14" l="1"/>
  <c r="H755" i="14"/>
  <c r="A756" i="14" s="1"/>
  <c r="G755" i="14"/>
  <c r="F755" i="14"/>
  <c r="E755" i="14"/>
  <c r="D755" i="14"/>
  <c r="C755" i="14"/>
  <c r="B756" i="14" l="1"/>
  <c r="C756" i="14" s="1"/>
  <c r="I756" i="14" l="1"/>
  <c r="H756" i="14"/>
  <c r="A757" i="14" s="1"/>
  <c r="F756" i="14"/>
  <c r="D756" i="14"/>
  <c r="E756" i="14"/>
  <c r="G756" i="14"/>
  <c r="B757" i="14" l="1"/>
  <c r="E757" i="14" l="1"/>
  <c r="I757" i="14"/>
  <c r="G757" i="14"/>
  <c r="H757" i="14"/>
  <c r="A758" i="14" s="1"/>
  <c r="F757" i="14"/>
  <c r="D757" i="14"/>
  <c r="C757" i="14"/>
  <c r="B758" i="14" l="1"/>
  <c r="H758" i="14" l="1"/>
  <c r="A759" i="14" s="1"/>
  <c r="F758" i="14"/>
  <c r="E758" i="14"/>
  <c r="D758" i="14"/>
  <c r="I758" i="14"/>
  <c r="G758" i="14"/>
  <c r="C758" i="14"/>
  <c r="B759" i="14" l="1"/>
  <c r="I759" i="14" l="1"/>
  <c r="H759" i="14"/>
  <c r="A760" i="14" s="1"/>
  <c r="G759" i="14"/>
  <c r="F759" i="14"/>
  <c r="E759" i="14"/>
  <c r="D759" i="14"/>
  <c r="C759" i="14"/>
  <c r="B760" i="14" l="1"/>
  <c r="C760" i="14" s="1"/>
  <c r="I760" i="14" l="1"/>
  <c r="H760" i="14"/>
  <c r="A761" i="14" s="1"/>
  <c r="F760" i="14"/>
  <c r="D760" i="14"/>
  <c r="E760" i="14"/>
  <c r="G760" i="14"/>
  <c r="B761" i="14" l="1"/>
  <c r="E761" i="14" l="1"/>
  <c r="I761" i="14"/>
  <c r="G761" i="14"/>
  <c r="H761" i="14"/>
  <c r="A762" i="14" s="1"/>
  <c r="F761" i="14"/>
  <c r="D761" i="14"/>
  <c r="C761" i="14"/>
  <c r="B762" i="14" l="1"/>
  <c r="I762" i="14" l="1"/>
  <c r="H762" i="14"/>
  <c r="A763" i="14" s="1"/>
  <c r="G762" i="14"/>
  <c r="F762" i="14"/>
  <c r="E762" i="14"/>
  <c r="D762" i="14"/>
  <c r="C762" i="14"/>
  <c r="B763" i="14" l="1"/>
  <c r="I763" i="14" l="1"/>
  <c r="H763" i="14"/>
  <c r="A764" i="14" s="1"/>
  <c r="G763" i="14"/>
  <c r="F763" i="14"/>
  <c r="E763" i="14"/>
  <c r="D763" i="14"/>
  <c r="C763" i="14"/>
  <c r="B764" i="14" l="1"/>
  <c r="I764" i="14" l="1"/>
  <c r="H764" i="14"/>
  <c r="A765" i="14" s="1"/>
  <c r="F764" i="14"/>
  <c r="D764" i="14"/>
  <c r="G764" i="14"/>
  <c r="E764" i="14"/>
  <c r="C764" i="14"/>
  <c r="B765" i="14" l="1"/>
  <c r="F765" i="14" l="1"/>
  <c r="E765" i="14"/>
  <c r="D765" i="14"/>
  <c r="I765" i="14"/>
  <c r="G765" i="14"/>
  <c r="H765" i="14"/>
  <c r="A766" i="14" s="1"/>
  <c r="C765" i="14"/>
  <c r="B766" i="14" l="1"/>
  <c r="I766" i="14" l="1"/>
  <c r="H766" i="14"/>
  <c r="A767" i="14" s="1"/>
  <c r="G766" i="14"/>
  <c r="F766" i="14"/>
  <c r="E766" i="14"/>
  <c r="D766" i="14"/>
  <c r="C766" i="14"/>
  <c r="B767" i="14" l="1"/>
  <c r="I767" i="14" l="1"/>
  <c r="H767" i="14"/>
  <c r="A768" i="14" s="1"/>
  <c r="G767" i="14"/>
  <c r="F767" i="14"/>
  <c r="E767" i="14"/>
  <c r="D767" i="14"/>
  <c r="C767" i="14"/>
  <c r="B768" i="14" l="1"/>
  <c r="I768" i="14" l="1"/>
  <c r="H768" i="14"/>
  <c r="A769" i="14" s="1"/>
  <c r="F768" i="14"/>
  <c r="D768" i="14"/>
  <c r="G768" i="14"/>
  <c r="E768" i="14"/>
  <c r="C768" i="14"/>
  <c r="B769" i="14" l="1"/>
  <c r="F769" i="14" l="1"/>
  <c r="E769" i="14"/>
  <c r="D769" i="14"/>
  <c r="I769" i="14"/>
  <c r="G769" i="14"/>
  <c r="H769" i="14"/>
  <c r="A770" i="14" s="1"/>
  <c r="C769" i="14"/>
  <c r="B770" i="14" l="1"/>
  <c r="I770" i="14" l="1"/>
  <c r="H770" i="14"/>
  <c r="A771" i="14" s="1"/>
  <c r="G770" i="14"/>
  <c r="F770" i="14"/>
  <c r="E770" i="14"/>
  <c r="D770" i="14"/>
  <c r="C770" i="14"/>
  <c r="B771" i="14" l="1"/>
  <c r="I771" i="14" l="1"/>
  <c r="H771" i="14"/>
  <c r="A772" i="14" s="1"/>
  <c r="G771" i="14"/>
  <c r="F771" i="14"/>
  <c r="E771" i="14"/>
  <c r="D771" i="14"/>
  <c r="C771" i="14"/>
  <c r="B772" i="14" l="1"/>
  <c r="I772" i="14" l="1"/>
  <c r="H772" i="14"/>
  <c r="A773" i="14" s="1"/>
  <c r="F772" i="14"/>
  <c r="D772" i="14"/>
  <c r="G772" i="14"/>
  <c r="E772" i="14"/>
  <c r="C772" i="14"/>
  <c r="B773" i="14" l="1"/>
  <c r="F773" i="14" l="1"/>
  <c r="E773" i="14"/>
  <c r="D773" i="14"/>
  <c r="I773" i="14"/>
  <c r="G773" i="14"/>
  <c r="H773" i="14"/>
  <c r="A774" i="14" s="1"/>
  <c r="C773" i="14"/>
  <c r="B774" i="14" l="1"/>
  <c r="I774" i="14" l="1"/>
  <c r="H774" i="14"/>
  <c r="A775" i="14" s="1"/>
  <c r="G774" i="14"/>
  <c r="F774" i="14"/>
  <c r="E774" i="14"/>
  <c r="D774" i="14"/>
  <c r="C774" i="14"/>
  <c r="B775" i="14" l="1"/>
  <c r="I775" i="14" l="1"/>
  <c r="H775" i="14"/>
  <c r="A776" i="14" s="1"/>
  <c r="G775" i="14"/>
  <c r="F775" i="14"/>
  <c r="E775" i="14"/>
  <c r="D775" i="14"/>
  <c r="C775" i="14"/>
  <c r="B776" i="14" l="1"/>
  <c r="I776" i="14" l="1"/>
  <c r="H776" i="14"/>
  <c r="A777" i="14" s="1"/>
  <c r="F776" i="14"/>
  <c r="D776" i="14"/>
  <c r="G776" i="14"/>
  <c r="E776" i="14"/>
  <c r="C776" i="14"/>
  <c r="B777" i="14" l="1"/>
  <c r="F777" i="14" l="1"/>
  <c r="E777" i="14"/>
  <c r="D777" i="14"/>
  <c r="I777" i="14"/>
  <c r="G777" i="14"/>
  <c r="H777" i="14"/>
  <c r="A778" i="14" s="1"/>
  <c r="C777" i="14"/>
  <c r="B778" i="14" l="1"/>
  <c r="I778" i="14" l="1"/>
  <c r="H778" i="14"/>
  <c r="A779" i="14" s="1"/>
  <c r="G778" i="14"/>
  <c r="F778" i="14"/>
  <c r="E778" i="14"/>
  <c r="D778" i="14"/>
  <c r="C778" i="14"/>
  <c r="B779" i="14" l="1"/>
  <c r="I779" i="14" l="1"/>
  <c r="H779" i="14"/>
  <c r="A780" i="14" s="1"/>
  <c r="G779" i="14"/>
  <c r="F779" i="14"/>
  <c r="E779" i="14"/>
  <c r="D779" i="14"/>
  <c r="C779" i="14"/>
  <c r="B780" i="14" l="1"/>
  <c r="I780" i="14" l="1"/>
  <c r="H780" i="14"/>
  <c r="A781" i="14" s="1"/>
  <c r="F780" i="14"/>
  <c r="D780" i="14"/>
  <c r="G780" i="14"/>
  <c r="E780" i="14"/>
  <c r="C780" i="14"/>
  <c r="B781" i="14" l="1"/>
  <c r="F781" i="14" l="1"/>
  <c r="E781" i="14"/>
  <c r="D781" i="14"/>
  <c r="I781" i="14"/>
  <c r="G781" i="14"/>
  <c r="H781" i="14"/>
  <c r="A782" i="14" s="1"/>
  <c r="C781" i="14"/>
  <c r="B782" i="14" l="1"/>
  <c r="I782" i="14" l="1"/>
  <c r="H782" i="14"/>
  <c r="A783" i="14" s="1"/>
  <c r="G782" i="14"/>
  <c r="F782" i="14"/>
  <c r="E782" i="14"/>
  <c r="D782" i="14"/>
  <c r="C782" i="14"/>
  <c r="B783" i="14" l="1"/>
  <c r="I783" i="14" l="1"/>
  <c r="H783" i="14"/>
  <c r="A784" i="14" s="1"/>
  <c r="G783" i="14"/>
  <c r="F783" i="14"/>
  <c r="E783" i="14"/>
  <c r="D783" i="14"/>
  <c r="C783" i="14"/>
  <c r="B784" i="14" l="1"/>
  <c r="I784" i="14" l="1"/>
  <c r="H784" i="14"/>
  <c r="A785" i="14" s="1"/>
  <c r="F784" i="14"/>
  <c r="D784" i="14"/>
  <c r="G784" i="14"/>
  <c r="E784" i="14"/>
  <c r="C784" i="14"/>
  <c r="B785" i="14" l="1"/>
  <c r="F785" i="14" l="1"/>
  <c r="E785" i="14"/>
  <c r="D785" i="14"/>
  <c r="I785" i="14"/>
  <c r="G785" i="14"/>
  <c r="H785" i="14"/>
  <c r="A786" i="14" s="1"/>
  <c r="C785" i="14"/>
  <c r="B786" i="14" l="1"/>
  <c r="I786" i="14" l="1"/>
  <c r="H786" i="14"/>
  <c r="A787" i="14" s="1"/>
  <c r="G786" i="14"/>
  <c r="F786" i="14"/>
  <c r="E786" i="14"/>
  <c r="D786" i="14"/>
  <c r="C786" i="14"/>
  <c r="B787" i="14" l="1"/>
  <c r="I787" i="14" l="1"/>
  <c r="H787" i="14"/>
  <c r="A788" i="14" s="1"/>
  <c r="G787" i="14"/>
  <c r="F787" i="14"/>
  <c r="E787" i="14"/>
  <c r="D787" i="14"/>
  <c r="C787" i="14"/>
  <c r="B788" i="14" l="1"/>
  <c r="I788" i="14" l="1"/>
  <c r="H788" i="14"/>
  <c r="A789" i="14" s="1"/>
  <c r="F788" i="14"/>
  <c r="D788" i="14"/>
  <c r="G788" i="14"/>
  <c r="E788" i="14"/>
  <c r="C788" i="14"/>
  <c r="B789" i="14" l="1"/>
  <c r="F789" i="14" l="1"/>
  <c r="E789" i="14"/>
  <c r="D789" i="14"/>
  <c r="I789" i="14"/>
  <c r="G789" i="14"/>
  <c r="H789" i="14"/>
  <c r="A790" i="14" s="1"/>
  <c r="C789" i="14"/>
  <c r="B790" i="14" l="1"/>
  <c r="I790" i="14" l="1"/>
  <c r="H790" i="14"/>
  <c r="A791" i="14" s="1"/>
  <c r="G790" i="14"/>
  <c r="F790" i="14"/>
  <c r="E790" i="14"/>
  <c r="D790" i="14"/>
  <c r="C790" i="14"/>
  <c r="B791" i="14" l="1"/>
  <c r="I791" i="14" l="1"/>
  <c r="H791" i="14"/>
  <c r="A792" i="14" s="1"/>
  <c r="G791" i="14"/>
  <c r="F791" i="14"/>
  <c r="E791" i="14"/>
  <c r="D791" i="14"/>
  <c r="C791" i="14"/>
  <c r="B792" i="14" l="1"/>
  <c r="I792" i="14" l="1"/>
  <c r="H792" i="14"/>
  <c r="A793" i="14" s="1"/>
  <c r="F792" i="14"/>
  <c r="D792" i="14"/>
  <c r="G792" i="14"/>
  <c r="E792" i="14"/>
  <c r="C792" i="14"/>
  <c r="B793" i="14" l="1"/>
  <c r="F793" i="14" l="1"/>
  <c r="E793" i="14"/>
  <c r="D793" i="14"/>
  <c r="I793" i="14"/>
  <c r="G793" i="14"/>
  <c r="H793" i="14"/>
  <c r="A794" i="14" s="1"/>
  <c r="C793" i="14"/>
  <c r="B794" i="14" l="1"/>
  <c r="I794" i="14" l="1"/>
  <c r="H794" i="14"/>
  <c r="A795" i="14" s="1"/>
  <c r="G794" i="14"/>
  <c r="F794" i="14"/>
  <c r="E794" i="14"/>
  <c r="D794" i="14"/>
  <c r="C794" i="14"/>
  <c r="B795" i="14" l="1"/>
  <c r="I795" i="14" l="1"/>
  <c r="H795" i="14"/>
  <c r="A796" i="14" s="1"/>
  <c r="G795" i="14"/>
  <c r="F795" i="14"/>
  <c r="E795" i="14"/>
  <c r="D795" i="14"/>
  <c r="C795" i="14"/>
  <c r="B796" i="14" l="1"/>
  <c r="I796" i="14" l="1"/>
  <c r="H796" i="14"/>
  <c r="A797" i="14" s="1"/>
  <c r="F796" i="14"/>
  <c r="D796" i="14"/>
  <c r="G796" i="14"/>
  <c r="E796" i="14"/>
  <c r="C796" i="14"/>
  <c r="B797" i="14" l="1"/>
  <c r="F797" i="14" l="1"/>
  <c r="E797" i="14"/>
  <c r="D797" i="14"/>
  <c r="I797" i="14"/>
  <c r="G797" i="14"/>
  <c r="H797" i="14"/>
  <c r="A798" i="14" s="1"/>
  <c r="C797" i="14"/>
  <c r="B798" i="14" l="1"/>
  <c r="I798" i="14" l="1"/>
  <c r="H798" i="14"/>
  <c r="G798" i="14"/>
  <c r="F798" i="14"/>
  <c r="E798" i="14"/>
  <c r="D798" i="14"/>
  <c r="H13" i="14" s="1"/>
  <c r="C798" i="14"/>
  <c r="H12" i="14" s="1"/>
  <c r="AD57" i="13" l="1"/>
  <c r="U57" i="13"/>
  <c r="BG57" i="13" s="1"/>
  <c r="BE57" i="13" l="1"/>
  <c r="AB29" i="19" l="1"/>
  <c r="AB32" i="19"/>
  <c r="U202" i="13"/>
  <c r="BF57" i="13" l="1"/>
  <c r="AB14" i="19"/>
  <c r="U150" i="13" l="1"/>
  <c r="V144" i="13" s="1"/>
  <c r="U3" i="13"/>
  <c r="AB21" i="19" s="1"/>
  <c r="U152" i="13"/>
  <c r="U186" i="13"/>
  <c r="V145" i="13" l="1"/>
  <c r="U153" i="13"/>
  <c r="AB25" i="19"/>
  <c r="U151" i="13"/>
  <c r="AB26" i="19"/>
  <c r="U144" i="13"/>
  <c r="U145" i="13" l="1"/>
  <c r="AB27" i="19"/>
  <c r="V216" i="13" l="1"/>
  <c r="V217" i="13" s="1"/>
  <c r="U216" i="13"/>
  <c r="U217" i="13" l="1"/>
  <c r="AB16" i="19"/>
  <c r="AC16" i="19"/>
  <c r="W216" i="13"/>
  <c r="AC17" i="19" l="1"/>
  <c r="AB17" i="19"/>
  <c r="AB18" i="19" s="1"/>
  <c r="X216" i="13"/>
  <c r="AD16" i="19"/>
  <c r="AD17" i="19" l="1"/>
  <c r="AE16" i="19"/>
  <c r="Y216" i="13"/>
  <c r="AE17" i="19" l="1"/>
  <c r="AF16" i="19"/>
  <c r="AF17" i="19" l="1"/>
  <c r="AG16" i="19"/>
  <c r="AG17" i="19" l="1"/>
  <c r="AH16" i="19"/>
  <c r="AH17" i="19" s="1"/>
  <c r="AB216" i="13"/>
  <c r="AI16" i="19" l="1"/>
  <c r="BB16" i="19" l="1"/>
  <c r="AI17" i="19"/>
  <c r="AJ16" i="19"/>
  <c r="AJ17" i="19" l="1"/>
  <c r="BB17" i="19"/>
  <c r="AL16" i="19"/>
  <c r="AK16" i="19"/>
  <c r="AK17" i="19" l="1"/>
  <c r="AL17" i="19"/>
  <c r="AX16" i="19"/>
  <c r="CO17" i="19" l="1"/>
  <c r="CO16" i="19"/>
  <c r="BA16" i="19"/>
  <c r="AX17" i="19"/>
  <c r="CO167" i="19" s="1"/>
  <c r="BA17" i="19" l="1"/>
  <c r="CP17" i="19" s="1"/>
  <c r="CP16" i="19"/>
  <c r="CO129" i="19"/>
  <c r="CO207" i="19"/>
  <c r="AZ174" i="19"/>
  <c r="AZ136" i="19" l="1"/>
  <c r="AC32" i="19" l="1"/>
  <c r="AC29" i="19"/>
  <c r="X202" i="13" l="1"/>
  <c r="AE32" i="19"/>
  <c r="AE29" i="19"/>
  <c r="AD29" i="19"/>
  <c r="W202" i="13"/>
  <c r="W217" i="13" s="1"/>
  <c r="AD32" i="19"/>
  <c r="X217" i="13" l="1"/>
  <c r="W228" i="13" l="1"/>
  <c r="X228" i="13" l="1"/>
  <c r="X4" i="13" s="1"/>
  <c r="AC14" i="19"/>
  <c r="AD19" i="19"/>
  <c r="W229" i="13"/>
  <c r="W4" i="13"/>
  <c r="AD22" i="19" s="1"/>
  <c r="AD14" i="19" l="1"/>
  <c r="AC18" i="19"/>
  <c r="AE22" i="19"/>
  <c r="AE19" i="19"/>
  <c r="X229" i="13"/>
  <c r="AC21" i="19"/>
  <c r="AD18" i="19" l="1"/>
  <c r="W3" i="13"/>
  <c r="AC26" i="19"/>
  <c r="AE14" i="19"/>
  <c r="X3" i="13"/>
  <c r="AC25" i="19"/>
  <c r="AE18" i="19" l="1"/>
  <c r="W186" i="13"/>
  <c r="W230" i="13" s="1"/>
  <c r="W152" i="13"/>
  <c r="AD25" i="19" s="1"/>
  <c r="AD21" i="19"/>
  <c r="W150" i="13"/>
  <c r="W144" i="13" s="1"/>
  <c r="AC27" i="19"/>
  <c r="X186" i="13"/>
  <c r="X230" i="13" s="1"/>
  <c r="AE21" i="19"/>
  <c r="X150" i="13"/>
  <c r="X152" i="13"/>
  <c r="W153" i="13" l="1"/>
  <c r="W151" i="13"/>
  <c r="AD26" i="19"/>
  <c r="W145" i="13"/>
  <c r="AD27" i="19"/>
  <c r="AE25" i="19"/>
  <c r="X153" i="13"/>
  <c r="X144" i="13"/>
  <c r="X151" i="13"/>
  <c r="AE26" i="19"/>
  <c r="AE27" i="19" l="1"/>
  <c r="X145" i="13"/>
  <c r="V262" i="13" l="1"/>
  <c r="AC44" i="19" s="1"/>
  <c r="U228" i="13"/>
  <c r="U4" i="13" l="1"/>
  <c r="AB22" i="19" s="1"/>
  <c r="AB19" i="19"/>
  <c r="AD44" i="19"/>
  <c r="U229" i="13"/>
  <c r="U230" i="13" s="1"/>
  <c r="R226" i="13"/>
  <c r="R228" i="13" s="1"/>
  <c r="V228" i="13" l="1"/>
  <c r="Y19" i="19"/>
  <c r="Z19" i="19"/>
  <c r="AY19" i="19" s="1"/>
  <c r="R262" i="13"/>
  <c r="Y44" i="19" s="1"/>
  <c r="R205" i="13"/>
  <c r="R216" i="13" s="1"/>
  <c r="T251" i="13" l="1"/>
  <c r="BE251" i="13" s="1"/>
  <c r="V229" i="13"/>
  <c r="V230" i="13" s="1"/>
  <c r="V4" i="13"/>
  <c r="AC22" i="19" s="1"/>
  <c r="AC19" i="19"/>
  <c r="R217" i="13"/>
  <c r="Y16" i="19"/>
  <c r="Y17" i="19" s="1"/>
  <c r="Y18" i="19" l="1"/>
  <c r="R4" i="13"/>
  <c r="Y22" i="19" s="1"/>
  <c r="R229" i="13"/>
  <c r="R230" i="13" s="1"/>
  <c r="S262" i="13"/>
  <c r="Z44" i="19" s="1"/>
  <c r="AY44" i="19" l="1"/>
  <c r="S4" i="13"/>
  <c r="Z22" i="19" s="1"/>
  <c r="Z16" i="19"/>
  <c r="AY22" i="19" l="1"/>
  <c r="Z17" i="19"/>
  <c r="AY16" i="19"/>
  <c r="AY17" i="19" l="1"/>
  <c r="Z18" i="19"/>
  <c r="AK174" i="19" l="1"/>
  <c r="AY18" i="19"/>
  <c r="AX174" i="19" l="1"/>
  <c r="AK136" i="19"/>
  <c r="AK214" i="19"/>
  <c r="AX136" i="19" l="1"/>
  <c r="T216" i="13" l="1"/>
  <c r="T217" i="13" s="1"/>
  <c r="T229" i="13" s="1"/>
  <c r="T262" i="13"/>
  <c r="U259" i="13"/>
  <c r="BG259" i="13" s="1"/>
  <c r="U262" i="13" l="1"/>
  <c r="BE259" i="13"/>
  <c r="AA44" i="19"/>
  <c r="T230" i="13"/>
  <c r="T4" i="13"/>
  <c r="AA22" i="19" s="1"/>
  <c r="AA16" i="19"/>
  <c r="AA17" i="19" s="1"/>
  <c r="AB44" i="19" l="1"/>
  <c r="AA18" i="19"/>
  <c r="W96" i="13" l="1"/>
  <c r="S96" i="13"/>
  <c r="J70" i="13"/>
  <c r="J75" i="13" s="1"/>
  <c r="N70" i="13"/>
  <c r="N75" i="13" s="1"/>
  <c r="P70" i="13"/>
  <c r="P75" i="13" s="1"/>
  <c r="K70" i="13"/>
  <c r="K75" i="13" s="1"/>
  <c r="K15" i="13" s="1"/>
  <c r="S70" i="13"/>
  <c r="S75" i="13" s="1"/>
  <c r="S78" i="13" s="1"/>
  <c r="I70" i="13"/>
  <c r="O70" i="13"/>
  <c r="O75" i="13" s="1"/>
  <c r="L70" i="13"/>
  <c r="L75" i="13" s="1"/>
  <c r="AE70" i="13"/>
  <c r="AA70" i="13"/>
  <c r="Y70" i="13"/>
  <c r="V70" i="13"/>
  <c r="V75" i="13" s="1"/>
  <c r="T70" i="13"/>
  <c r="T75" i="13" s="1"/>
  <c r="T78" i="13" s="1"/>
  <c r="W70" i="13"/>
  <c r="W75" i="13" s="1"/>
  <c r="H70" i="13"/>
  <c r="H75" i="13" s="1"/>
  <c r="H78" i="13" s="1"/>
  <c r="H101" i="13" s="1"/>
  <c r="H115" i="13" s="1"/>
  <c r="AD70" i="13"/>
  <c r="M70" i="13"/>
  <c r="M75" i="13" s="1"/>
  <c r="Z70" i="13"/>
  <c r="Z77" i="13" s="1"/>
  <c r="Q70" i="13"/>
  <c r="Q75" i="13" s="1"/>
  <c r="Q78" i="13" s="1"/>
  <c r="X70" i="13"/>
  <c r="X75" i="13" s="1"/>
  <c r="U70" i="13"/>
  <c r="U75" i="13" l="1"/>
  <c r="BG70" i="13"/>
  <c r="BG77" i="13" s="1"/>
  <c r="T101" i="13"/>
  <c r="T115" i="13" s="1"/>
  <c r="T134" i="13" s="1"/>
  <c r="S101" i="13"/>
  <c r="S115" i="13" s="1"/>
  <c r="Q79" i="13"/>
  <c r="X6" i="19" s="1"/>
  <c r="Q101" i="13"/>
  <c r="Q115" i="13" s="1"/>
  <c r="AE77" i="13"/>
  <c r="AD77" i="13"/>
  <c r="AA77" i="13"/>
  <c r="Z75" i="13"/>
  <c r="Y75" i="13"/>
  <c r="Y77" i="13"/>
  <c r="Y7" i="19"/>
  <c r="R7" i="13"/>
  <c r="X78" i="13"/>
  <c r="X101" i="13" s="1"/>
  <c r="K13" i="13"/>
  <c r="K14" i="13" s="1"/>
  <c r="V15" i="13"/>
  <c r="V13" i="13"/>
  <c r="V78" i="13"/>
  <c r="M15" i="13"/>
  <c r="M13" i="13"/>
  <c r="M78" i="13"/>
  <c r="O5" i="19"/>
  <c r="H79" i="13"/>
  <c r="O6" i="19" s="1"/>
  <c r="H6" i="13"/>
  <c r="W13" i="13"/>
  <c r="W15" i="13"/>
  <c r="W78" i="13"/>
  <c r="L13" i="13"/>
  <c r="L15" i="13"/>
  <c r="L78" i="13"/>
  <c r="H77" i="13"/>
  <c r="H13" i="13"/>
  <c r="H15" i="13"/>
  <c r="M77" i="13"/>
  <c r="P13" i="13"/>
  <c r="P15" i="13"/>
  <c r="P78" i="13"/>
  <c r="P101" i="13" s="1"/>
  <c r="P115" i="13" s="1"/>
  <c r="V77" i="13"/>
  <c r="I77" i="13"/>
  <c r="I75" i="13"/>
  <c r="L77" i="13"/>
  <c r="S79" i="13"/>
  <c r="Z6" i="19" s="1"/>
  <c r="Z5" i="19"/>
  <c r="S6" i="13"/>
  <c r="N13" i="13"/>
  <c r="N15" i="13"/>
  <c r="N78" i="13"/>
  <c r="X77" i="13"/>
  <c r="T79" i="13"/>
  <c r="AA6" i="19" s="1"/>
  <c r="T6" i="13"/>
  <c r="AA5" i="19"/>
  <c r="X5" i="19"/>
  <c r="Q6" i="13"/>
  <c r="U15" i="13"/>
  <c r="U13" i="13"/>
  <c r="T15" i="13"/>
  <c r="T13" i="13"/>
  <c r="K16" i="13"/>
  <c r="R40" i="19" s="1"/>
  <c r="R39" i="19"/>
  <c r="Q15" i="13"/>
  <c r="Q13" i="13"/>
  <c r="Q77" i="13"/>
  <c r="U77" i="13"/>
  <c r="T77" i="13"/>
  <c r="BE70" i="13"/>
  <c r="J13" i="13"/>
  <c r="J15" i="13"/>
  <c r="J78" i="13"/>
  <c r="J101" i="13" s="1"/>
  <c r="J115" i="13" s="1"/>
  <c r="W77" i="13"/>
  <c r="K78" i="13"/>
  <c r="K101" i="13" s="1"/>
  <c r="K115" i="13" s="1"/>
  <c r="X13" i="13"/>
  <c r="X15" i="13"/>
  <c r="O13" i="13"/>
  <c r="O78" i="13"/>
  <c r="O101" i="13" s="1"/>
  <c r="O115" i="13" s="1"/>
  <c r="O15" i="13"/>
  <c r="S13" i="13"/>
  <c r="S15" i="13"/>
  <c r="P77" i="13"/>
  <c r="S77" i="13"/>
  <c r="K77" i="13"/>
  <c r="O77" i="13"/>
  <c r="N77" i="13"/>
  <c r="J77" i="13"/>
  <c r="U78" i="13" l="1"/>
  <c r="W101" i="13"/>
  <c r="W115" i="13" s="1"/>
  <c r="W134" i="13" s="1"/>
  <c r="V101" i="13"/>
  <c r="V115" i="13" s="1"/>
  <c r="V134" i="13" s="1"/>
  <c r="AJ78" i="13"/>
  <c r="AK78" i="13"/>
  <c r="AR5" i="19" s="1"/>
  <c r="Z15" i="13"/>
  <c r="Z16" i="13" s="1"/>
  <c r="AG40" i="19" s="1"/>
  <c r="Z13" i="13"/>
  <c r="Z14" i="13" s="1"/>
  <c r="AG38" i="19" s="1"/>
  <c r="Q116" i="13"/>
  <c r="X9" i="19" s="1"/>
  <c r="AA7" i="19"/>
  <c r="BE238" i="13"/>
  <c r="Z78" i="13"/>
  <c r="Z101" i="13" s="1"/>
  <c r="T7" i="13"/>
  <c r="Y15" i="13"/>
  <c r="Y16" i="13" s="1"/>
  <c r="Y13" i="13"/>
  <c r="Y14" i="13" s="1"/>
  <c r="Y78" i="13"/>
  <c r="X7" i="19"/>
  <c r="Q8" i="13"/>
  <c r="Q7" i="13"/>
  <c r="X8" i="19"/>
  <c r="X79" i="13"/>
  <c r="AE6" i="19" s="1"/>
  <c r="X6" i="13"/>
  <c r="R37" i="19"/>
  <c r="R116" i="13"/>
  <c r="Y9" i="19" s="1"/>
  <c r="R122" i="13"/>
  <c r="R134" i="13" s="1"/>
  <c r="R148" i="13"/>
  <c r="R10" i="13"/>
  <c r="R236" i="13"/>
  <c r="R242" i="13" s="1"/>
  <c r="Y42" i="19" s="1"/>
  <c r="Y8" i="19"/>
  <c r="R8" i="13"/>
  <c r="AE5" i="19"/>
  <c r="Q148" i="13"/>
  <c r="AA39" i="19"/>
  <c r="T16" i="13"/>
  <c r="AA40" i="19" s="1"/>
  <c r="P79" i="13"/>
  <c r="W6" i="19" s="1"/>
  <c r="P6" i="13"/>
  <c r="W5" i="19"/>
  <c r="Q37" i="19"/>
  <c r="J14" i="13"/>
  <c r="L14" i="13"/>
  <c r="S37" i="19"/>
  <c r="O16" i="13"/>
  <c r="V40" i="19" s="1"/>
  <c r="V39" i="19"/>
  <c r="X37" i="19"/>
  <c r="Q14" i="13"/>
  <c r="X38" i="19" s="1"/>
  <c r="N16" i="13"/>
  <c r="U40" i="19" s="1"/>
  <c r="U39" i="19"/>
  <c r="O37" i="19"/>
  <c r="H14" i="13"/>
  <c r="O38" i="19" s="1"/>
  <c r="V14" i="13"/>
  <c r="AC38" i="19" s="1"/>
  <c r="AC37" i="19"/>
  <c r="Z37" i="19"/>
  <c r="S14" i="13"/>
  <c r="Z38" i="19" s="1"/>
  <c r="AB37" i="19"/>
  <c r="U14" i="13"/>
  <c r="AB38" i="19" s="1"/>
  <c r="V16" i="13"/>
  <c r="AC40" i="19" s="1"/>
  <c r="AC39" i="19"/>
  <c r="V79" i="13"/>
  <c r="AC6" i="19" s="1"/>
  <c r="AC5" i="19"/>
  <c r="V6" i="13"/>
  <c r="P16" i="13"/>
  <c r="W40" i="19" s="1"/>
  <c r="W39" i="19"/>
  <c r="Q16" i="13"/>
  <c r="X40" i="19" s="1"/>
  <c r="X39" i="19"/>
  <c r="P14" i="13"/>
  <c r="W38" i="19" s="1"/>
  <c r="W37" i="19"/>
  <c r="M79" i="13"/>
  <c r="T6" i="19" s="1"/>
  <c r="T5" i="19"/>
  <c r="M6" i="13"/>
  <c r="AG32" i="19"/>
  <c r="N14" i="13"/>
  <c r="U38" i="19" s="1"/>
  <c r="U37" i="19"/>
  <c r="AB39" i="19"/>
  <c r="U16" i="13"/>
  <c r="AB40" i="19" s="1"/>
  <c r="I15" i="13"/>
  <c r="I13" i="13"/>
  <c r="I78" i="13"/>
  <c r="I101" i="13" s="1"/>
  <c r="I115" i="13" s="1"/>
  <c r="O7" i="19"/>
  <c r="H7" i="13"/>
  <c r="W79" i="13"/>
  <c r="AD6" i="19" s="1"/>
  <c r="W6" i="13"/>
  <c r="AD5" i="19"/>
  <c r="T37" i="19"/>
  <c r="M14" i="13"/>
  <c r="R5" i="19"/>
  <c r="K6" i="13"/>
  <c r="K79" i="13"/>
  <c r="R6" i="19" s="1"/>
  <c r="T39" i="19"/>
  <c r="M16" i="13"/>
  <c r="T40" i="19" s="1"/>
  <c r="X16" i="13"/>
  <c r="AE39" i="19"/>
  <c r="J6" i="13"/>
  <c r="Q5" i="19"/>
  <c r="J79" i="13"/>
  <c r="Q6" i="19" s="1"/>
  <c r="S24" i="13"/>
  <c r="S25" i="13" s="1"/>
  <c r="L79" i="13"/>
  <c r="S6" i="19" s="1"/>
  <c r="S5" i="19"/>
  <c r="L6" i="13"/>
  <c r="AA37" i="19"/>
  <c r="T14" i="13"/>
  <c r="AA38" i="19" s="1"/>
  <c r="V5" i="19"/>
  <c r="O6" i="13"/>
  <c r="O79" i="13"/>
  <c r="V6" i="19" s="1"/>
  <c r="X14" i="13"/>
  <c r="AE38" i="19" s="1"/>
  <c r="AE37" i="19"/>
  <c r="R38" i="19"/>
  <c r="H16" i="13"/>
  <c r="O40" i="19" s="1"/>
  <c r="O39" i="19"/>
  <c r="W16" i="13"/>
  <c r="AD40" i="19" s="1"/>
  <c r="AD39" i="19"/>
  <c r="O14" i="13"/>
  <c r="V38" i="19" s="1"/>
  <c r="V37" i="19"/>
  <c r="S16" i="13"/>
  <c r="Z40" i="19" s="1"/>
  <c r="Z39" i="19"/>
  <c r="Q39" i="19"/>
  <c r="J16" i="13"/>
  <c r="Q40" i="19" s="1"/>
  <c r="N79" i="13"/>
  <c r="U6" i="19" s="1"/>
  <c r="N6" i="13"/>
  <c r="U5" i="19"/>
  <c r="L16" i="13"/>
  <c r="S40" i="19" s="1"/>
  <c r="S39" i="19"/>
  <c r="AD37" i="19"/>
  <c r="W14" i="13"/>
  <c r="AD38" i="19" s="1"/>
  <c r="U101" i="13" l="1"/>
  <c r="U6" i="13"/>
  <c r="AB5" i="19"/>
  <c r="U79" i="13"/>
  <c r="AB6" i="19" s="1"/>
  <c r="AQ5" i="19"/>
  <c r="AK80" i="13"/>
  <c r="AK6" i="13"/>
  <c r="AJ101" i="13"/>
  <c r="AJ80" i="13"/>
  <c r="Y101" i="13"/>
  <c r="Y115" i="13" s="1"/>
  <c r="Y134" i="13" s="1"/>
  <c r="AK101" i="13"/>
  <c r="AR7" i="19" s="1"/>
  <c r="AE7" i="19"/>
  <c r="X115" i="13"/>
  <c r="X148" i="13" s="1"/>
  <c r="AE12" i="19" s="1"/>
  <c r="AG39" i="19"/>
  <c r="X7" i="13"/>
  <c r="Z6" i="13"/>
  <c r="AK79" i="13"/>
  <c r="AR6" i="19" s="1"/>
  <c r="AJ79" i="13"/>
  <c r="AQ6" i="19" s="1"/>
  <c r="AJ6" i="13"/>
  <c r="AJ291" i="13"/>
  <c r="AJ292" i="13" s="1"/>
  <c r="AG37" i="19"/>
  <c r="W236" i="13"/>
  <c r="W242" i="13" s="1"/>
  <c r="Q10" i="13"/>
  <c r="Q122" i="13"/>
  <c r="Q134" i="13" s="1"/>
  <c r="Q135" i="13" s="1"/>
  <c r="X11" i="19" s="1"/>
  <c r="Q236" i="13"/>
  <c r="Q242" i="13" s="1"/>
  <c r="Q265" i="13" s="1"/>
  <c r="AG29" i="19"/>
  <c r="Z237" i="13"/>
  <c r="S236" i="13"/>
  <c r="S242" i="13" s="1"/>
  <c r="Z42" i="19" s="1"/>
  <c r="T236" i="13"/>
  <c r="T116" i="13"/>
  <c r="AA9" i="19" s="1"/>
  <c r="T122" i="13"/>
  <c r="T8" i="13"/>
  <c r="AA8" i="19"/>
  <c r="T10" i="13"/>
  <c r="T148" i="13"/>
  <c r="Z79" i="13"/>
  <c r="AG6" i="19" s="1"/>
  <c r="AG5" i="19"/>
  <c r="AF5" i="19"/>
  <c r="Y6" i="13"/>
  <c r="Z7" i="19"/>
  <c r="S7" i="13"/>
  <c r="Y79" i="13"/>
  <c r="AF6" i="19" s="1"/>
  <c r="X12" i="19"/>
  <c r="Q149" i="13"/>
  <c r="Y12" i="19"/>
  <c r="R149" i="13"/>
  <c r="R136" i="13"/>
  <c r="R137" i="13" s="1"/>
  <c r="Y10" i="19"/>
  <c r="R135" i="13"/>
  <c r="Y11" i="19" s="1"/>
  <c r="J7" i="13"/>
  <c r="Q7" i="19"/>
  <c r="P39" i="19"/>
  <c r="I16" i="13"/>
  <c r="P40" i="19" s="1"/>
  <c r="Q38" i="19"/>
  <c r="K7" i="13"/>
  <c r="R7" i="19"/>
  <c r="AC7" i="19"/>
  <c r="V7" i="13"/>
  <c r="S38" i="19"/>
  <c r="H148" i="13"/>
  <c r="H8" i="13"/>
  <c r="H10" i="13"/>
  <c r="H116" i="13"/>
  <c r="O9" i="19" s="1"/>
  <c r="O8" i="19"/>
  <c r="H122" i="13"/>
  <c r="H134" i="13" s="1"/>
  <c r="T38" i="19"/>
  <c r="AE40" i="19"/>
  <c r="AD7" i="19"/>
  <c r="W7" i="13"/>
  <c r="O174" i="19"/>
  <c r="O7" i="13"/>
  <c r="V7" i="19"/>
  <c r="I79" i="13"/>
  <c r="P6" i="19" s="1"/>
  <c r="P5" i="19"/>
  <c r="I6" i="13"/>
  <c r="P37" i="19"/>
  <c r="I14" i="13"/>
  <c r="W7" i="19"/>
  <c r="P7" i="13"/>
  <c r="BE237" i="13" l="1"/>
  <c r="BG237" i="13"/>
  <c r="U7" i="13"/>
  <c r="U115" i="13"/>
  <c r="AB7" i="19"/>
  <c r="AE8" i="19"/>
  <c r="X8" i="13"/>
  <c r="X134" i="13"/>
  <c r="X10" i="13"/>
  <c r="AJ115" i="13"/>
  <c r="AJ116" i="13" s="1"/>
  <c r="AQ9" i="19" s="1"/>
  <c r="AQ7" i="19"/>
  <c r="AJ102" i="13"/>
  <c r="AJ117" i="13"/>
  <c r="AK102" i="13"/>
  <c r="AK7" i="13"/>
  <c r="X122" i="13"/>
  <c r="X135" i="13" s="1"/>
  <c r="AE11" i="19" s="1"/>
  <c r="AK115" i="13"/>
  <c r="X116" i="13"/>
  <c r="AE9" i="19" s="1"/>
  <c r="X236" i="13"/>
  <c r="X242" i="13" s="1"/>
  <c r="AE42" i="19" s="1"/>
  <c r="AJ7" i="13"/>
  <c r="X149" i="13"/>
  <c r="X42" i="19"/>
  <c r="AY42" i="19" s="1"/>
  <c r="T242" i="13"/>
  <c r="AA42" i="19" s="1"/>
  <c r="X10" i="19"/>
  <c r="Q136" i="13"/>
  <c r="Q137" i="13" s="1"/>
  <c r="Y236" i="13"/>
  <c r="Y242" i="13" s="1"/>
  <c r="T136" i="13"/>
  <c r="T149" i="13"/>
  <c r="AA12" i="19"/>
  <c r="S8" i="13"/>
  <c r="S116" i="13"/>
  <c r="Z9" i="19" s="1"/>
  <c r="S122" i="13"/>
  <c r="S134" i="13" s="1"/>
  <c r="S135" i="13" s="1"/>
  <c r="Z11" i="19" s="1"/>
  <c r="Y7" i="13"/>
  <c r="S148" i="13"/>
  <c r="Z12" i="19" s="1"/>
  <c r="S10" i="13"/>
  <c r="Z8" i="19"/>
  <c r="AF7" i="19"/>
  <c r="Q266" i="13"/>
  <c r="X45" i="19" s="1"/>
  <c r="Q267" i="13"/>
  <c r="R264" i="13"/>
  <c r="R265" i="13" s="1"/>
  <c r="BE126" i="13"/>
  <c r="AA96" i="13"/>
  <c r="V8" i="19"/>
  <c r="O116" i="13"/>
  <c r="V9" i="19" s="1"/>
  <c r="O122" i="13"/>
  <c r="O148" i="13" s="1"/>
  <c r="O8" i="13"/>
  <c r="O10" i="13"/>
  <c r="O134" i="13"/>
  <c r="I7" i="13"/>
  <c r="P7" i="19"/>
  <c r="P174" i="19" s="1"/>
  <c r="H136" i="13"/>
  <c r="H137" i="13" s="1"/>
  <c r="H135" i="13"/>
  <c r="O11" i="19" s="1"/>
  <c r="O10" i="19"/>
  <c r="AY5" i="19"/>
  <c r="O12" i="19"/>
  <c r="H149" i="13"/>
  <c r="J116" i="13"/>
  <c r="Q9" i="19" s="1"/>
  <c r="J148" i="13"/>
  <c r="Q8" i="19"/>
  <c r="J8" i="13"/>
  <c r="J10" i="13"/>
  <c r="J122" i="13"/>
  <c r="J134" i="13" s="1"/>
  <c r="K148" i="13"/>
  <c r="K116" i="13"/>
  <c r="R9" i="19" s="1"/>
  <c r="R8" i="19"/>
  <c r="K10" i="13"/>
  <c r="K8" i="13"/>
  <c r="K122" i="13"/>
  <c r="K134" i="13"/>
  <c r="Y228" i="13"/>
  <c r="P38" i="19"/>
  <c r="O175" i="19"/>
  <c r="P148" i="13"/>
  <c r="P8" i="13"/>
  <c r="P122" i="13"/>
  <c r="P134" i="13" s="1"/>
  <c r="P10" i="13"/>
  <c r="W8" i="19"/>
  <c r="P116" i="13"/>
  <c r="W9" i="19" s="1"/>
  <c r="V116" i="13"/>
  <c r="AC9" i="19" s="1"/>
  <c r="V236" i="13"/>
  <c r="V242" i="13" s="1"/>
  <c r="AC42" i="19" s="1"/>
  <c r="V148" i="13"/>
  <c r="V122" i="13"/>
  <c r="V10" i="13"/>
  <c r="V8" i="13"/>
  <c r="AC8" i="19"/>
  <c r="W116" i="13"/>
  <c r="AD9" i="19" s="1"/>
  <c r="W148" i="13"/>
  <c r="AD8" i="19"/>
  <c r="W122" i="13"/>
  <c r="W8" i="13"/>
  <c r="W10" i="13"/>
  <c r="U134" i="13" l="1"/>
  <c r="U236" i="13"/>
  <c r="U116" i="13"/>
  <c r="AB9" i="19" s="1"/>
  <c r="U122" i="13"/>
  <c r="U10" i="13"/>
  <c r="U148" i="13"/>
  <c r="AB8" i="19"/>
  <c r="U8" i="13"/>
  <c r="AJ236" i="13"/>
  <c r="AJ242" i="13" s="1"/>
  <c r="AQ42" i="19" s="1"/>
  <c r="AR8" i="19"/>
  <c r="AK134" i="13"/>
  <c r="AQ8" i="19"/>
  <c r="AJ134" i="13"/>
  <c r="AE10" i="19"/>
  <c r="X136" i="13"/>
  <c r="X137" i="13" s="1"/>
  <c r="AK8" i="13"/>
  <c r="AK117" i="13"/>
  <c r="AK116" i="13"/>
  <c r="AR9" i="19" s="1"/>
  <c r="AK122" i="13"/>
  <c r="AK236" i="13"/>
  <c r="AJ122" i="13"/>
  <c r="AJ8" i="13"/>
  <c r="T265" i="13"/>
  <c r="AA49" i="19"/>
  <c r="T135" i="13"/>
  <c r="AA11" i="19" s="1"/>
  <c r="AA10" i="19"/>
  <c r="AD42" i="19"/>
  <c r="Z10" i="19"/>
  <c r="S136" i="13"/>
  <c r="S137" i="13" s="1"/>
  <c r="S149" i="13"/>
  <c r="Y122" i="13"/>
  <c r="AF10" i="19" s="1"/>
  <c r="Y10" i="13"/>
  <c r="Y8" i="13"/>
  <c r="AF8" i="19"/>
  <c r="Y116" i="13"/>
  <c r="AF9" i="19" s="1"/>
  <c r="S264" i="13"/>
  <c r="R266" i="13"/>
  <c r="Y45" i="19" s="1"/>
  <c r="R267" i="13"/>
  <c r="W149" i="13"/>
  <c r="AD12" i="19"/>
  <c r="I8" i="13"/>
  <c r="I116" i="13"/>
  <c r="P9" i="19" s="1"/>
  <c r="P8" i="19"/>
  <c r="I10" i="13"/>
  <c r="I122" i="13"/>
  <c r="I134" i="13" s="1"/>
  <c r="I148" i="13"/>
  <c r="K149" i="13"/>
  <c r="R12" i="19"/>
  <c r="Q174" i="19"/>
  <c r="P175" i="19"/>
  <c r="K136" i="13"/>
  <c r="K137" i="13" s="1"/>
  <c r="K135" i="13"/>
  <c r="R11" i="19" s="1"/>
  <c r="R10" i="19"/>
  <c r="O49" i="19"/>
  <c r="W12" i="19"/>
  <c r="P149" i="13"/>
  <c r="J135" i="13"/>
  <c r="Q11" i="19" s="1"/>
  <c r="Q10" i="19"/>
  <c r="J136" i="13"/>
  <c r="J137" i="13" s="1"/>
  <c r="O48" i="19"/>
  <c r="O23" i="19"/>
  <c r="O136" i="13"/>
  <c r="O137" i="13" s="1"/>
  <c r="O135" i="13"/>
  <c r="V11" i="19" s="1"/>
  <c r="V10" i="19"/>
  <c r="AF19" i="19"/>
  <c r="O149" i="13"/>
  <c r="V12" i="19"/>
  <c r="AY39" i="19"/>
  <c r="AY6" i="19"/>
  <c r="AY37" i="19"/>
  <c r="P136" i="13"/>
  <c r="P137" i="13" s="1"/>
  <c r="P135" i="13"/>
  <c r="W11" i="19" s="1"/>
  <c r="W10" i="19"/>
  <c r="W136" i="13"/>
  <c r="W137" i="13" s="1"/>
  <c r="W135" i="13"/>
  <c r="AD11" i="19" s="1"/>
  <c r="AD10" i="19"/>
  <c r="AC12" i="19"/>
  <c r="V149" i="13"/>
  <c r="Q12" i="19"/>
  <c r="J149" i="13"/>
  <c r="U149" i="13" l="1"/>
  <c r="AB12" i="19"/>
  <c r="U242" i="13"/>
  <c r="AB42" i="19" s="1"/>
  <c r="AB49" i="19"/>
  <c r="AC49" i="19" s="1"/>
  <c r="AD49" i="19" s="1"/>
  <c r="U135" i="13"/>
  <c r="AB11" i="19" s="1"/>
  <c r="U136" i="13"/>
  <c r="U137" i="13" s="1"/>
  <c r="AB10" i="19"/>
  <c r="S228" i="24"/>
  <c r="S230" i="24" s="1"/>
  <c r="R228" i="24"/>
  <c r="R230" i="24" s="1"/>
  <c r="AJ272" i="13"/>
  <c r="AJ281" i="13" s="1"/>
  <c r="AQ10" i="19"/>
  <c r="AK272" i="13"/>
  <c r="AR10" i="19"/>
  <c r="T266" i="13"/>
  <c r="T267" i="13"/>
  <c r="AK273" i="13"/>
  <c r="AK262" i="13"/>
  <c r="AR44" i="19" s="1"/>
  <c r="AK135" i="13"/>
  <c r="AR11" i="19" s="1"/>
  <c r="AK136" i="13"/>
  <c r="AK137" i="13" s="1"/>
  <c r="AJ228" i="13"/>
  <c r="AQ19" i="19" s="1"/>
  <c r="AK228" i="13"/>
  <c r="AR19" i="19" s="1"/>
  <c r="AJ135" i="13"/>
  <c r="AQ11" i="19" s="1"/>
  <c r="AJ136" i="13"/>
  <c r="T137" i="13"/>
  <c r="AA48" i="19"/>
  <c r="Y136" i="13"/>
  <c r="Y137" i="13" s="1"/>
  <c r="Y135" i="13"/>
  <c r="AF11" i="19" s="1"/>
  <c r="S266" i="13"/>
  <c r="Z45" i="19" s="1"/>
  <c r="AY45" i="19" s="1"/>
  <c r="S267" i="13"/>
  <c r="R174" i="19"/>
  <c r="Q175" i="19"/>
  <c r="AY40" i="19"/>
  <c r="I149" i="13"/>
  <c r="P12" i="19"/>
  <c r="I135" i="13"/>
  <c r="P11" i="19" s="1"/>
  <c r="P10" i="19"/>
  <c r="I136" i="13"/>
  <c r="I137" i="13" s="1"/>
  <c r="AY38" i="19"/>
  <c r="V135" i="13"/>
  <c r="AC11" i="19" s="1"/>
  <c r="V136" i="13"/>
  <c r="AC10" i="19"/>
  <c r="Z96" i="13"/>
  <c r="AB48" i="19" l="1"/>
  <c r="Z115" i="13"/>
  <c r="Z134" i="13" s="1"/>
  <c r="AK274" i="13"/>
  <c r="AJ137" i="13"/>
  <c r="AQ48" i="19"/>
  <c r="AR48" i="19" s="1"/>
  <c r="AK231" i="13"/>
  <c r="AK10" i="13"/>
  <c r="AJ10" i="13"/>
  <c r="AJ231" i="13"/>
  <c r="BF77" i="13"/>
  <c r="BF70" i="13"/>
  <c r="AA45" i="19"/>
  <c r="U264" i="13"/>
  <c r="P49" i="19"/>
  <c r="Q49" i="19" s="1"/>
  <c r="R49" i="19" s="1"/>
  <c r="R175" i="19"/>
  <c r="AE49" i="19"/>
  <c r="P48" i="19"/>
  <c r="Q48" i="19" s="1"/>
  <c r="R48" i="19" s="1"/>
  <c r="P23" i="19"/>
  <c r="Q23" i="19"/>
  <c r="R23" i="19"/>
  <c r="AC48" i="19"/>
  <c r="AD48" i="19" s="1"/>
  <c r="V137" i="13"/>
  <c r="U265" i="13" l="1"/>
  <c r="U267" i="13" s="1"/>
  <c r="BG264" i="13"/>
  <c r="V264" i="13"/>
  <c r="V265" i="13" s="1"/>
  <c r="U266" i="13"/>
  <c r="AB45" i="19" s="1"/>
  <c r="AE48" i="19"/>
  <c r="AF48" i="19" s="1"/>
  <c r="L96" i="13"/>
  <c r="L101" i="13" s="1"/>
  <c r="L115" i="13" s="1"/>
  <c r="W264" i="13" l="1"/>
  <c r="W265" i="13" s="1"/>
  <c r="W267" i="13" s="1"/>
  <c r="V267" i="13"/>
  <c r="AC96" i="13"/>
  <c r="Z7" i="13"/>
  <c r="W266" i="13"/>
  <c r="V266" i="13"/>
  <c r="AC45" i="19" s="1"/>
  <c r="AG7" i="19"/>
  <c r="AC115" i="13" l="1"/>
  <c r="AC134" i="13" s="1"/>
  <c r="BG96" i="13"/>
  <c r="X264" i="13"/>
  <c r="X265" i="13" s="1"/>
  <c r="X267" i="13" s="1"/>
  <c r="BE96" i="13"/>
  <c r="Z10" i="13"/>
  <c r="Z8" i="13"/>
  <c r="Y264" i="13"/>
  <c r="Y265" i="13" s="1"/>
  <c r="AD45" i="19"/>
  <c r="Z236" i="13"/>
  <c r="AG8" i="19"/>
  <c r="Z116" i="13"/>
  <c r="AG9" i="19" s="1"/>
  <c r="Z122" i="13"/>
  <c r="X266" i="13" l="1"/>
  <c r="Y266" i="13"/>
  <c r="Y267" i="13"/>
  <c r="AE45" i="19"/>
  <c r="S7" i="19"/>
  <c r="L7" i="13"/>
  <c r="AC7" i="13" l="1"/>
  <c r="Z136" i="13"/>
  <c r="AG10" i="19"/>
  <c r="Z135" i="13"/>
  <c r="AG11" i="19" s="1"/>
  <c r="L148" i="13"/>
  <c r="L227" i="13"/>
  <c r="L228" i="13" s="1"/>
  <c r="L10" i="13" s="1"/>
  <c r="L8" i="13"/>
  <c r="L116" i="13"/>
  <c r="S9" i="19" s="1"/>
  <c r="S8" i="19"/>
  <c r="L122" i="13"/>
  <c r="L134" i="13" s="1"/>
  <c r="S174" i="19"/>
  <c r="AC122" i="13" l="1"/>
  <c r="AC116" i="13"/>
  <c r="AC8" i="13"/>
  <c r="AC10" i="13"/>
  <c r="AC236" i="13"/>
  <c r="AC242" i="13" s="1"/>
  <c r="AG23" i="19"/>
  <c r="L229" i="13"/>
  <c r="L230" i="13" s="1"/>
  <c r="L4" i="13"/>
  <c r="S22" i="19" s="1"/>
  <c r="S19" i="19"/>
  <c r="S12" i="19"/>
  <c r="L149" i="13"/>
  <c r="Z137" i="13"/>
  <c r="AG48" i="19"/>
  <c r="L135" i="13"/>
  <c r="S11" i="19" s="1"/>
  <c r="L136" i="13"/>
  <c r="L137" i="13" s="1"/>
  <c r="S10" i="19"/>
  <c r="S175" i="19"/>
  <c r="AC135" i="13" l="1"/>
  <c r="M96" i="13"/>
  <c r="M101" i="13" s="1"/>
  <c r="S23" i="19"/>
  <c r="S48" i="19"/>
  <c r="S49" i="19"/>
  <c r="AC136" i="13" l="1"/>
  <c r="AC137" i="13" s="1"/>
  <c r="M7" i="13" l="1"/>
  <c r="T7" i="19"/>
  <c r="M126" i="13"/>
  <c r="M114" i="13" s="1"/>
  <c r="M115" i="13" s="1"/>
  <c r="T174" i="19" l="1"/>
  <c r="M148" i="13" l="1"/>
  <c r="M149" i="13" s="1"/>
  <c r="M10" i="13"/>
  <c r="T8" i="19"/>
  <c r="M122" i="13"/>
  <c r="M134" i="13" s="1"/>
  <c r="T10" i="19" s="1"/>
  <c r="M8" i="13"/>
  <c r="M116" i="13"/>
  <c r="T9" i="19" s="1"/>
  <c r="T175" i="19"/>
  <c r="T12" i="19" l="1"/>
  <c r="T49" i="19" s="1"/>
  <c r="M135" i="13"/>
  <c r="T11" i="19" s="1"/>
  <c r="M136" i="13"/>
  <c r="M137" i="13" s="1"/>
  <c r="N96" i="13"/>
  <c r="N101" i="13" s="1"/>
  <c r="N115" i="13" s="1"/>
  <c r="T23" i="19"/>
  <c r="T48" i="19"/>
  <c r="U7" i="19" l="1"/>
  <c r="N7" i="13"/>
  <c r="N116" i="13" l="1"/>
  <c r="U9" i="19" s="1"/>
  <c r="N148" i="13"/>
  <c r="U8" i="19"/>
  <c r="N10" i="13"/>
  <c r="N8" i="13"/>
  <c r="N122" i="13"/>
  <c r="N134" i="13" s="1"/>
  <c r="AY7" i="19"/>
  <c r="U174" i="19"/>
  <c r="N135" i="13" l="1"/>
  <c r="U11" i="19" s="1"/>
  <c r="N136" i="13"/>
  <c r="N137" i="13" s="1"/>
  <c r="U10" i="19"/>
  <c r="AY8" i="19"/>
  <c r="AY9" i="19" s="1"/>
  <c r="N149" i="13"/>
  <c r="U12" i="19"/>
  <c r="U175" i="19"/>
  <c r="V174" i="19"/>
  <c r="U176" i="19"/>
  <c r="W174" i="19" l="1"/>
  <c r="V175" i="19"/>
  <c r="V176" i="19"/>
  <c r="AF23" i="19"/>
  <c r="V23" i="19"/>
  <c r="AY10" i="19"/>
  <c r="AA23" i="19"/>
  <c r="AD23" i="19"/>
  <c r="AB23" i="19"/>
  <c r="Z23" i="19"/>
  <c r="AY23" i="19" s="1"/>
  <c r="AE23" i="19"/>
  <c r="Y23" i="19"/>
  <c r="AC23" i="19"/>
  <c r="X23" i="19"/>
  <c r="U23" i="19"/>
  <c r="W23" i="19"/>
  <c r="U48" i="19"/>
  <c r="V48" i="19" s="1"/>
  <c r="W48" i="19" s="1"/>
  <c r="X48" i="19" s="1"/>
  <c r="Y48" i="19" s="1"/>
  <c r="Z48" i="19" s="1"/>
  <c r="AY12" i="19"/>
  <c r="U87" i="19"/>
  <c r="U49" i="19"/>
  <c r="V49" i="19" s="1"/>
  <c r="W49" i="19" s="1"/>
  <c r="X49" i="19" s="1"/>
  <c r="Y49" i="19" s="1"/>
  <c r="Z49" i="19" s="1"/>
  <c r="AY49" i="19" s="1"/>
  <c r="AY48" i="19" l="1"/>
  <c r="Z46" i="19"/>
  <c r="AY11" i="19"/>
  <c r="AK170" i="19"/>
  <c r="W175" i="19"/>
  <c r="W176" i="19"/>
  <c r="X175" i="19"/>
  <c r="AK132" i="19" l="1"/>
  <c r="AK187" i="19"/>
  <c r="AK210" i="19"/>
  <c r="AK186" i="19"/>
  <c r="AX170" i="19"/>
  <c r="AK172" i="19"/>
  <c r="X177" i="19"/>
  <c r="X176" i="19"/>
  <c r="Y174" i="19"/>
  <c r="AK226" i="19" l="1"/>
  <c r="AK227" i="19"/>
  <c r="AK134" i="19"/>
  <c r="AK137" i="19" s="1"/>
  <c r="AK150" i="19" s="1"/>
  <c r="AK212" i="19"/>
  <c r="AK215" i="19" s="1"/>
  <c r="AK175" i="19"/>
  <c r="AK188" i="19" s="1"/>
  <c r="AX187" i="19"/>
  <c r="AX210" i="19"/>
  <c r="AX227" i="19" s="1"/>
  <c r="AX186" i="19"/>
  <c r="AX132" i="19"/>
  <c r="AX172" i="19"/>
  <c r="Y175" i="19"/>
  <c r="Z174" i="19"/>
  <c r="Y176" i="19"/>
  <c r="AK233" i="19"/>
  <c r="AK155" i="19"/>
  <c r="AK232" i="19"/>
  <c r="AK193" i="19"/>
  <c r="AK154" i="19"/>
  <c r="AK191" i="19"/>
  <c r="AK153" i="19"/>
  <c r="AK192" i="19"/>
  <c r="AK231" i="19"/>
  <c r="AK149" i="19"/>
  <c r="AK148" i="19"/>
  <c r="AX233" i="19" l="1"/>
  <c r="AX231" i="19"/>
  <c r="AX232" i="19"/>
  <c r="AK228" i="19"/>
  <c r="AH217" i="19"/>
  <c r="Z176" i="19"/>
  <c r="Z175" i="19"/>
  <c r="AX212" i="19"/>
  <c r="AX134" i="19"/>
  <c r="AX137" i="19" s="1"/>
  <c r="AX175" i="19"/>
  <c r="AK238" i="19"/>
  <c r="AK196" i="19"/>
  <c r="AK158" i="19"/>
  <c r="AK236" i="19"/>
  <c r="AK197" i="19"/>
  <c r="AK198" i="19"/>
  <c r="AK203" i="19" s="1"/>
  <c r="AK237" i="19"/>
  <c r="AK159" i="19"/>
  <c r="AK160" i="19"/>
  <c r="AX149" i="19"/>
  <c r="AX148" i="19"/>
  <c r="AX192" i="19"/>
  <c r="AX155" i="19"/>
  <c r="AX191" i="19"/>
  <c r="AX193" i="19"/>
  <c r="AX154" i="19"/>
  <c r="AX153" i="19"/>
  <c r="AK165" i="19" l="1"/>
  <c r="AK164" i="19"/>
  <c r="AK242" i="19"/>
  <c r="AK252" i="19" s="1"/>
  <c r="AX214" i="19"/>
  <c r="AX226" i="19" s="1"/>
  <c r="AG222" i="19"/>
  <c r="AG221" i="19"/>
  <c r="AZ214" i="19" s="1"/>
  <c r="AX247" i="19"/>
  <c r="AZ247" i="19" s="1"/>
  <c r="AX150" i="19"/>
  <c r="AK163" i="19"/>
  <c r="AK241" i="19"/>
  <c r="AK251" i="19" s="1"/>
  <c r="AK243" i="19"/>
  <c r="AK253" i="19" s="1"/>
  <c r="AK202" i="19"/>
  <c r="AK201" i="19"/>
  <c r="AX188" i="19"/>
  <c r="AX215" i="19" l="1"/>
  <c r="AX228" i="19" s="1"/>
  <c r="AX159" i="19"/>
  <c r="AX197" i="19"/>
  <c r="AX160" i="19"/>
  <c r="AX238" i="19"/>
  <c r="AX198" i="19"/>
  <c r="AX203" i="19" s="1"/>
  <c r="AX158" i="19"/>
  <c r="AX196" i="19"/>
  <c r="AX163" i="19" l="1"/>
  <c r="AX202" i="19"/>
  <c r="AX164" i="19"/>
  <c r="AX237" i="19"/>
  <c r="AX242" i="19" s="1"/>
  <c r="AX252" i="19" s="1"/>
  <c r="AX236" i="19"/>
  <c r="AX241" i="19" s="1"/>
  <c r="AX251" i="19" s="1"/>
  <c r="AX243" i="19"/>
  <c r="AX253" i="19" s="1"/>
  <c r="AX165" i="19"/>
  <c r="AX201" i="19"/>
  <c r="AF40" i="19" l="1"/>
  <c r="AF36" i="19"/>
  <c r="AF38" i="19"/>
  <c r="AF35" i="19"/>
  <c r="AF39" i="19"/>
  <c r="AF37" i="19"/>
  <c r="AF29" i="19" l="1"/>
  <c r="AF30" i="19"/>
  <c r="AF32" i="19"/>
  <c r="Y202" i="13"/>
  <c r="Y217" i="13" l="1"/>
  <c r="Y4" i="13" s="1"/>
  <c r="AF22" i="19" s="1"/>
  <c r="Y3" i="13"/>
  <c r="AG31" i="19"/>
  <c r="AF31" i="19"/>
  <c r="Z242" i="13"/>
  <c r="AG42" i="19" s="1"/>
  <c r="Y229" i="13" l="1"/>
  <c r="AF42" i="19"/>
  <c r="Z264" i="13" l="1"/>
  <c r="AF45" i="19"/>
  <c r="AF14" i="19" l="1"/>
  <c r="AF18" i="19" l="1"/>
  <c r="AF21" i="19"/>
  <c r="Y150" i="13"/>
  <c r="Y152" i="13"/>
  <c r="Y186" i="13"/>
  <c r="Y230" i="13" s="1"/>
  <c r="Y153" i="13" l="1"/>
  <c r="AF25" i="19"/>
  <c r="Y144" i="13"/>
  <c r="Y148" i="13" s="1"/>
  <c r="AF26" i="19"/>
  <c r="Y151" i="13"/>
  <c r="Y145" i="13" l="1"/>
  <c r="AF27" i="19"/>
  <c r="Y149" i="13" l="1"/>
  <c r="AF12" i="19"/>
  <c r="AF49" i="19" l="1"/>
  <c r="Z262" i="13" l="1"/>
  <c r="BE262" i="13" l="1"/>
  <c r="BG262" i="13"/>
  <c r="AG19" i="19"/>
  <c r="AG22" i="19"/>
  <c r="AG44" i="19"/>
  <c r="BB44" i="19" l="1"/>
  <c r="AE142" i="13" l="1"/>
  <c r="AD142" i="13"/>
  <c r="AD143" i="13" s="1"/>
  <c r="AA142" i="13"/>
  <c r="AA143" i="13" s="1"/>
  <c r="AB142" i="13"/>
  <c r="AB143" i="13" s="1"/>
  <c r="Z247" i="13"/>
  <c r="BG247" i="13" s="1"/>
  <c r="AH43" i="19"/>
  <c r="AI43" i="19"/>
  <c r="AJ43" i="19"/>
  <c r="AK43" i="19"/>
  <c r="Z142" i="13"/>
  <c r="AL43" i="19"/>
  <c r="AE143" i="13" l="1"/>
  <c r="BG143" i="13"/>
  <c r="AG43" i="19"/>
  <c r="BE247" i="13"/>
  <c r="Z143" i="13"/>
  <c r="BE142" i="13"/>
  <c r="BE143" i="13" s="1"/>
  <c r="Z265" i="13"/>
  <c r="AA264" i="13" l="1"/>
  <c r="Z267" i="13"/>
  <c r="BB43" i="19"/>
  <c r="AX43" i="19"/>
  <c r="Z266" i="13"/>
  <c r="AG45" i="19" s="1"/>
  <c r="AG14" i="19"/>
  <c r="AG18" i="19" l="1"/>
  <c r="Z150" i="13"/>
  <c r="AG21" i="19"/>
  <c r="Z152" i="13"/>
  <c r="Z153" i="13" l="1"/>
  <c r="AG25" i="19"/>
  <c r="Z151" i="13"/>
  <c r="AG26" i="19"/>
  <c r="Z144" i="13"/>
  <c r="Z145" i="13" l="1"/>
  <c r="AG27" i="19"/>
  <c r="Z148" i="13"/>
  <c r="AG12" i="19" l="1"/>
  <c r="Z149" i="13"/>
  <c r="AG49" i="19" l="1"/>
  <c r="AA75" i="13" l="1"/>
  <c r="AA78" i="13" l="1"/>
  <c r="AA13" i="13"/>
  <c r="AA14" i="13" s="1"/>
  <c r="AA15" i="13"/>
  <c r="AA16" i="13" s="1"/>
  <c r="AA101" i="13" l="1"/>
  <c r="AA6" i="13"/>
  <c r="AA115" i="13"/>
  <c r="AA134" i="13" s="1"/>
  <c r="AA79" i="13"/>
  <c r="AH6" i="19" s="1"/>
  <c r="AH5" i="19"/>
  <c r="AA7" i="13" l="1"/>
  <c r="AA10" i="13"/>
  <c r="AH7" i="19"/>
  <c r="AA122" i="13" l="1"/>
  <c r="AA8" i="13"/>
  <c r="AH8" i="19"/>
  <c r="AA236" i="13"/>
  <c r="AA116" i="13"/>
  <c r="AH9" i="19" s="1"/>
  <c r="AJ44" i="19"/>
  <c r="AH19" i="19"/>
  <c r="AA242" i="13" l="1"/>
  <c r="AA265" i="13" s="1"/>
  <c r="AB264" i="13"/>
  <c r="AA267" i="13"/>
  <c r="AX44" i="19"/>
  <c r="AA266" i="13"/>
  <c r="AA136" i="13"/>
  <c r="AH10" i="19"/>
  <c r="AA135" i="13"/>
  <c r="AH11" i="19" s="1"/>
  <c r="AH48" i="19" l="1"/>
  <c r="AH23" i="19"/>
  <c r="AA137" i="13"/>
  <c r="AH36" i="19" l="1"/>
  <c r="AH38" i="19"/>
  <c r="AH40" i="19"/>
  <c r="AH35" i="19"/>
  <c r="AH37" i="19"/>
  <c r="AH39" i="19"/>
  <c r="AH29" i="19" l="1"/>
  <c r="AH32" i="19"/>
  <c r="AH30" i="19"/>
  <c r="AH22" i="19" l="1"/>
  <c r="AH31" i="19"/>
  <c r="AH42" i="19"/>
  <c r="AH45" i="19" l="1"/>
  <c r="AH14" i="19" l="1"/>
  <c r="AH18" i="19" s="1"/>
  <c r="AH21" i="19" l="1"/>
  <c r="AA150" i="13"/>
  <c r="AA152" i="13"/>
  <c r="AA153" i="13" l="1"/>
  <c r="AH25" i="19"/>
  <c r="AA151" i="13"/>
  <c r="AA144" i="13"/>
  <c r="AH26" i="19"/>
  <c r="AH27" i="19" l="1"/>
  <c r="AA145" i="13"/>
  <c r="AA148" i="13"/>
  <c r="AH12" i="19" l="1"/>
  <c r="AA149" i="13"/>
  <c r="AH49" i="19" l="1"/>
  <c r="AI30" i="19" l="1"/>
  <c r="AI31" i="19" l="1"/>
  <c r="BB30" i="19"/>
  <c r="AB11" i="13"/>
  <c r="AB75" i="13"/>
  <c r="AI35" i="19" l="1"/>
  <c r="AB12" i="13"/>
  <c r="AI36" i="19" s="1"/>
  <c r="BB31" i="19"/>
  <c r="AB13" i="13"/>
  <c r="AB14" i="13" s="1"/>
  <c r="AI38" i="19" s="1"/>
  <c r="AB15" i="13"/>
  <c r="AB16" i="13" s="1"/>
  <c r="AI40" i="19" s="1"/>
  <c r="AB78" i="13"/>
  <c r="AB101" i="13" l="1"/>
  <c r="AB115" i="13" s="1"/>
  <c r="AB134" i="13" s="1"/>
  <c r="AI37" i="19"/>
  <c r="AI32" i="19"/>
  <c r="AI5" i="19"/>
  <c r="AB79" i="13"/>
  <c r="AB6" i="13"/>
  <c r="AI39" i="19"/>
  <c r="AI29" i="19"/>
  <c r="BE69" i="13" l="1"/>
  <c r="BE77" i="13" s="1"/>
  <c r="AD75" i="13"/>
  <c r="BB29" i="19"/>
  <c r="BB32" i="19"/>
  <c r="AB217" i="13"/>
  <c r="AJ6" i="19"/>
  <c r="AJ5" i="19"/>
  <c r="AI6" i="19"/>
  <c r="AI7" i="19"/>
  <c r="AB7" i="13"/>
  <c r="AE75" i="13"/>
  <c r="BE66" i="13"/>
  <c r="BE76" i="13" s="1"/>
  <c r="BB5" i="19"/>
  <c r="BB6" i="19" s="1"/>
  <c r="AK32" i="19"/>
  <c r="AD78" i="13" l="1"/>
  <c r="AD15" i="13"/>
  <c r="AD16" i="13" s="1"/>
  <c r="AK40" i="19" s="1"/>
  <c r="AD13" i="13"/>
  <c r="AD14" i="13" s="1"/>
  <c r="AK38" i="19" s="1"/>
  <c r="AB236" i="13"/>
  <c r="BB7" i="19"/>
  <c r="AE15" i="13"/>
  <c r="AE78" i="13"/>
  <c r="BE75" i="13"/>
  <c r="AB122" i="13"/>
  <c r="AB116" i="13"/>
  <c r="AI9" i="19" s="1"/>
  <c r="AI8" i="19"/>
  <c r="AB8" i="13"/>
  <c r="AB228" i="13"/>
  <c r="AB10" i="13" s="1"/>
  <c r="AJ7" i="19"/>
  <c r="AB242" i="13" l="1"/>
  <c r="AB265" i="13" s="1"/>
  <c r="AB267" i="13" s="1"/>
  <c r="AE101" i="13"/>
  <c r="AE115" i="13" s="1"/>
  <c r="AD101" i="13"/>
  <c r="AD115" i="13" s="1"/>
  <c r="AD134" i="13" s="1"/>
  <c r="AK39" i="19"/>
  <c r="BE13" i="13"/>
  <c r="BE14" i="13" s="1"/>
  <c r="BE15" i="13"/>
  <c r="BE16" i="13" s="1"/>
  <c r="AL39" i="19"/>
  <c r="AE16" i="13"/>
  <c r="AL40" i="19" s="1"/>
  <c r="AD6" i="13"/>
  <c r="AK5" i="19"/>
  <c r="AD79" i="13"/>
  <c r="AK6" i="19" s="1"/>
  <c r="AK37" i="19"/>
  <c r="AK29" i="19"/>
  <c r="AB266" i="13"/>
  <c r="AC264" i="13"/>
  <c r="AC265" i="13" s="1"/>
  <c r="AC267" i="13" s="1"/>
  <c r="AL29" i="19"/>
  <c r="AE13" i="13"/>
  <c r="AK291" i="13" s="1"/>
  <c r="AK292" i="13" s="1"/>
  <c r="BB8" i="19"/>
  <c r="BB9" i="19" s="1"/>
  <c r="AL5" i="19"/>
  <c r="AE79" i="13"/>
  <c r="AE6" i="13"/>
  <c r="BE78" i="13"/>
  <c r="AL32" i="19"/>
  <c r="AJ8" i="19"/>
  <c r="AJ9" i="19"/>
  <c r="AB229" i="13"/>
  <c r="AI19" i="19"/>
  <c r="AB4" i="13"/>
  <c r="AI22" i="19" s="1"/>
  <c r="AI42" i="19"/>
  <c r="AE236" i="13" l="1"/>
  <c r="AE134" i="13"/>
  <c r="AL6" i="19"/>
  <c r="BE6" i="13"/>
  <c r="BE101" i="13"/>
  <c r="BE115" i="13" s="1"/>
  <c r="AK237" i="13"/>
  <c r="AX29" i="19"/>
  <c r="AX32" i="19"/>
  <c r="AX5" i="19"/>
  <c r="AL37" i="19"/>
  <c r="AE14" i="13"/>
  <c r="AL38" i="19" s="1"/>
  <c r="AD7" i="13"/>
  <c r="AK7" i="19"/>
  <c r="AD264" i="13"/>
  <c r="AC266" i="13"/>
  <c r="BB42" i="19"/>
  <c r="BB22" i="19"/>
  <c r="BB19" i="19"/>
  <c r="AL7" i="19"/>
  <c r="AE7" i="13"/>
  <c r="AB135" i="13"/>
  <c r="AI11" i="19" s="1"/>
  <c r="AB136" i="13"/>
  <c r="AI10" i="19"/>
  <c r="BE79" i="13"/>
  <c r="AJ10" i="19"/>
  <c r="AJ11" i="19"/>
  <c r="AJ19" i="19"/>
  <c r="AI45" i="19"/>
  <c r="AE242" i="13" l="1"/>
  <c r="BF195" i="13"/>
  <c r="BF163" i="13"/>
  <c r="BF164" i="13"/>
  <c r="BF197" i="13"/>
  <c r="AK217" i="13"/>
  <c r="AX37" i="19"/>
  <c r="BE7" i="13"/>
  <c r="AX6" i="19"/>
  <c r="AX39" i="19"/>
  <c r="AD236" i="13"/>
  <c r="AD242" i="13" s="1"/>
  <c r="AD265" i="13" s="1"/>
  <c r="AD10" i="13"/>
  <c r="AD8" i="13"/>
  <c r="AD116" i="13"/>
  <c r="AK9" i="19" s="1"/>
  <c r="AD122" i="13"/>
  <c r="AK8" i="19"/>
  <c r="AX7" i="19"/>
  <c r="BB45" i="19"/>
  <c r="AB175" i="13"/>
  <c r="AB176" i="13" s="1"/>
  <c r="AI14" i="19"/>
  <c r="AE8" i="13"/>
  <c r="AE116" i="13"/>
  <c r="AL9" i="19" s="1"/>
  <c r="AE122" i="13"/>
  <c r="AE10" i="13"/>
  <c r="AL8" i="19"/>
  <c r="AK19" i="19"/>
  <c r="AK22" i="19"/>
  <c r="AB137" i="13"/>
  <c r="AI48" i="19"/>
  <c r="AJ23" i="19"/>
  <c r="AI23" i="19"/>
  <c r="BB10" i="19"/>
  <c r="BB11" i="19" s="1"/>
  <c r="BG236" i="13" l="1"/>
  <c r="BG242" i="13" s="1"/>
  <c r="BG265" i="13" s="1"/>
  <c r="AX40" i="19"/>
  <c r="AX38" i="19"/>
  <c r="AK219" i="13"/>
  <c r="AK4" i="13"/>
  <c r="AR22" i="19" s="1"/>
  <c r="AE264" i="13"/>
  <c r="AE265" i="13" s="1"/>
  <c r="AF264" i="13" s="1"/>
  <c r="AF265" i="13" s="1"/>
  <c r="AD267" i="13"/>
  <c r="BF194" i="13"/>
  <c r="AK229" i="13"/>
  <c r="BE8" i="13"/>
  <c r="BE10" i="13"/>
  <c r="AX8" i="19"/>
  <c r="BE236" i="13"/>
  <c r="BE242" i="13" s="1"/>
  <c r="BE265" i="13" s="1"/>
  <c r="AD266" i="13"/>
  <c r="AB186" i="13"/>
  <c r="AB230" i="13" s="1"/>
  <c r="BB23" i="19"/>
  <c r="BE122" i="13"/>
  <c r="BE134" i="13" s="1"/>
  <c r="BE116" i="13"/>
  <c r="BB14" i="19"/>
  <c r="AI18" i="19"/>
  <c r="BB48" i="19"/>
  <c r="AJ48" i="19"/>
  <c r="AL19" i="19"/>
  <c r="AL22" i="19"/>
  <c r="AB152" i="13"/>
  <c r="AB150" i="13"/>
  <c r="AB3" i="13"/>
  <c r="AI21" i="19" s="1"/>
  <c r="BG266" i="13" l="1"/>
  <c r="AX9" i="19"/>
  <c r="AE266" i="13"/>
  <c r="AF266" i="13"/>
  <c r="AF267" i="13"/>
  <c r="AE267" i="13"/>
  <c r="AU38" i="19"/>
  <c r="BF264" i="13"/>
  <c r="AG264" i="13"/>
  <c r="AX22" i="19"/>
  <c r="AX19" i="19"/>
  <c r="BE266" i="13"/>
  <c r="BE136" i="13"/>
  <c r="BE137" i="13" s="1"/>
  <c r="BE135" i="13"/>
  <c r="AD136" i="13"/>
  <c r="AD137" i="13" s="1"/>
  <c r="AD135" i="13"/>
  <c r="AK11" i="19" s="1"/>
  <c r="AK10" i="19"/>
  <c r="BB18" i="19"/>
  <c r="BB21" i="19"/>
  <c r="AB153" i="13"/>
  <c r="AI25" i="19"/>
  <c r="AE135" i="13"/>
  <c r="AL11" i="19" s="1"/>
  <c r="AL10" i="19"/>
  <c r="AE136" i="13"/>
  <c r="AB151" i="13"/>
  <c r="AB144" i="13"/>
  <c r="AI26" i="19"/>
  <c r="AR23" i="19" l="1"/>
  <c r="AQ23" i="19"/>
  <c r="AP165" i="13"/>
  <c r="AP23" i="19"/>
  <c r="AO23" i="19"/>
  <c r="AG265" i="13"/>
  <c r="AK48" i="19"/>
  <c r="AL48" i="19" s="1"/>
  <c r="AN23" i="19"/>
  <c r="AM45" i="19"/>
  <c r="AM23" i="19"/>
  <c r="AK23" i="19"/>
  <c r="BB26" i="19"/>
  <c r="BB25" i="19"/>
  <c r="AX10" i="19"/>
  <c r="AL23" i="19"/>
  <c r="AX23" i="19" s="1"/>
  <c r="AE137" i="13"/>
  <c r="AB145" i="13"/>
  <c r="AI27" i="19"/>
  <c r="AB148" i="13"/>
  <c r="AH264" i="13" l="1"/>
  <c r="AH265" i="13" s="1"/>
  <c r="AH266" i="13" s="1"/>
  <c r="AO45" i="19" s="1"/>
  <c r="AG267" i="13"/>
  <c r="BF159" i="13"/>
  <c r="AG266" i="13"/>
  <c r="AX48" i="19"/>
  <c r="CN10" i="19"/>
  <c r="CN11" i="19" s="1"/>
  <c r="CO163" i="19"/>
  <c r="BB27" i="19"/>
  <c r="AI12" i="19"/>
  <c r="AB149" i="13"/>
  <c r="AZ170" i="19"/>
  <c r="AX11" i="19"/>
  <c r="AQ165" i="13" l="1"/>
  <c r="AI264" i="13"/>
  <c r="AI265" i="13" s="1"/>
  <c r="AH267" i="13"/>
  <c r="AN45" i="19"/>
  <c r="CO179" i="19"/>
  <c r="CO125" i="19"/>
  <c r="CO165" i="19"/>
  <c r="CO203" i="19"/>
  <c r="CO180" i="19"/>
  <c r="AI49" i="19"/>
  <c r="BB12" i="19"/>
  <c r="AZ187" i="19"/>
  <c r="AZ132" i="19"/>
  <c r="AZ172" i="19"/>
  <c r="AZ186" i="19"/>
  <c r="AZ210" i="19"/>
  <c r="BF165" i="13" l="1"/>
  <c r="AJ264" i="13"/>
  <c r="AJ265" i="13" s="1"/>
  <c r="AI267" i="13"/>
  <c r="AI266" i="13"/>
  <c r="AP45" i="19" s="1"/>
  <c r="AN21" i="19"/>
  <c r="CO219" i="19"/>
  <c r="CO220" i="19"/>
  <c r="CO127" i="19"/>
  <c r="CO205" i="19"/>
  <c r="CO142" i="19"/>
  <c r="CO141" i="19"/>
  <c r="CO186" i="19"/>
  <c r="CO184" i="19"/>
  <c r="CO148" i="19"/>
  <c r="CO146" i="19"/>
  <c r="CO185" i="19"/>
  <c r="CO147" i="19"/>
  <c r="AZ226" i="19"/>
  <c r="AZ227" i="19"/>
  <c r="AZ212" i="19"/>
  <c r="AZ134" i="19"/>
  <c r="AZ149" i="19"/>
  <c r="AZ148" i="19"/>
  <c r="AZ192" i="19"/>
  <c r="AZ155" i="19"/>
  <c r="AZ191" i="19"/>
  <c r="AZ154" i="19"/>
  <c r="AZ193" i="19"/>
  <c r="AZ153" i="19"/>
  <c r="BB49" i="19"/>
  <c r="AJ266" i="13" l="1"/>
  <c r="AQ45" i="19" s="1"/>
  <c r="AJ267" i="13"/>
  <c r="CO225" i="19"/>
  <c r="CO226" i="19"/>
  <c r="CO224" i="19"/>
  <c r="AZ232" i="19"/>
  <c r="AZ233" i="19"/>
  <c r="AZ231" i="19"/>
  <c r="AJ36" i="19"/>
  <c r="AJ38" i="19"/>
  <c r="AJ40" i="19"/>
  <c r="AO21" i="19" l="1"/>
  <c r="AJ37" i="19"/>
  <c r="AJ35" i="19"/>
  <c r="AJ39" i="19"/>
  <c r="AJ29" i="19"/>
  <c r="AJ32" i="19"/>
  <c r="AJ30" i="19"/>
  <c r="AJ42" i="19" l="1"/>
  <c r="AJ22" i="19"/>
  <c r="AJ31" i="19"/>
  <c r="CO29" i="19" l="1"/>
  <c r="BA29" i="19"/>
  <c r="BA32" i="19"/>
  <c r="CO32" i="19"/>
  <c r="AJ45" i="19"/>
  <c r="CO37" i="19" l="1"/>
  <c r="CO38" i="19"/>
  <c r="CP29" i="19"/>
  <c r="CP32" i="19"/>
  <c r="AJ14" i="19"/>
  <c r="AJ18" i="19" l="1"/>
  <c r="AC152" i="13"/>
  <c r="AC153" i="13" s="1"/>
  <c r="AC150" i="13"/>
  <c r="AJ21" i="19"/>
  <c r="AC144" i="13" l="1"/>
  <c r="AC151" i="13"/>
  <c r="AJ26" i="19"/>
  <c r="AJ25" i="19"/>
  <c r="AC145" i="13" l="1"/>
  <c r="AC148" i="13"/>
  <c r="AC149" i="13" s="1"/>
  <c r="AJ27" i="19"/>
  <c r="AJ12" i="19" l="1"/>
  <c r="AJ49" i="19" l="1"/>
  <c r="AK36" i="19" l="1"/>
  <c r="AK35" i="19"/>
  <c r="AK42" i="19" l="1"/>
  <c r="AL42" i="19"/>
  <c r="AK30" i="19"/>
  <c r="AX42" i="19" l="1"/>
  <c r="AK31" i="19"/>
  <c r="AL31" i="19"/>
  <c r="AK45" i="19"/>
  <c r="BA31" i="19" l="1"/>
  <c r="AX45" i="19"/>
  <c r="AX31" i="19"/>
  <c r="CP31" i="19"/>
  <c r="CO31" i="19"/>
  <c r="BA30" i="19"/>
  <c r="CO30" i="19"/>
  <c r="AK14" i="19"/>
  <c r="AL45" i="19"/>
  <c r="AK18" i="19" l="1"/>
  <c r="CO35" i="19"/>
  <c r="CO36" i="19"/>
  <c r="BA35" i="19"/>
  <c r="CP30" i="19"/>
  <c r="AL14" i="19"/>
  <c r="AK21" i="19"/>
  <c r="AD150" i="13"/>
  <c r="AD230" i="13"/>
  <c r="AD152" i="13"/>
  <c r="CP35" i="19" l="1"/>
  <c r="AI75" i="19"/>
  <c r="BA36" i="19"/>
  <c r="AX14" i="19"/>
  <c r="CO166" i="19" s="1"/>
  <c r="CO128" i="19" s="1"/>
  <c r="CO130" i="19" s="1"/>
  <c r="CO143" i="19" s="1"/>
  <c r="AL18" i="19"/>
  <c r="AK25" i="19"/>
  <c r="AD153" i="13"/>
  <c r="AD151" i="13"/>
  <c r="AD144" i="13"/>
  <c r="AK26" i="19"/>
  <c r="AE152" i="13"/>
  <c r="AE150" i="13"/>
  <c r="AF144" i="13" s="1"/>
  <c r="AE3" i="13"/>
  <c r="AL21" i="19" s="1"/>
  <c r="AM27" i="19" l="1"/>
  <c r="CP36" i="19"/>
  <c r="AI76" i="19"/>
  <c r="CO206" i="19"/>
  <c r="CO208" i="19" s="1"/>
  <c r="CO221" i="19" s="1"/>
  <c r="CO229" i="19" s="1"/>
  <c r="CO168" i="19"/>
  <c r="CO181" i="19" s="1"/>
  <c r="CO190" i="19" s="1"/>
  <c r="AF145" i="13"/>
  <c r="AF148" i="13"/>
  <c r="AX21" i="19"/>
  <c r="CO153" i="19"/>
  <c r="CO158" i="19" s="1"/>
  <c r="CO152" i="19"/>
  <c r="CO157" i="19" s="1"/>
  <c r="CO151" i="19"/>
  <c r="CO156" i="19" s="1"/>
  <c r="AL25" i="19"/>
  <c r="AE153" i="13"/>
  <c r="AK27" i="19"/>
  <c r="AD148" i="13"/>
  <c r="AD145" i="13"/>
  <c r="AE144" i="13"/>
  <c r="BE144" i="13" s="1"/>
  <c r="AL26" i="19"/>
  <c r="AE151" i="13"/>
  <c r="AX18" i="19"/>
  <c r="AZ173" i="19"/>
  <c r="CO231" i="19" l="1"/>
  <c r="CO230" i="19"/>
  <c r="CO189" i="19"/>
  <c r="AF149" i="13"/>
  <c r="AM12" i="19"/>
  <c r="CO191" i="19"/>
  <c r="CO196" i="19" s="1"/>
  <c r="CP196" i="19" s="1"/>
  <c r="AX26" i="19"/>
  <c r="BE145" i="13"/>
  <c r="BE148" i="13"/>
  <c r="BE149" i="13" s="1"/>
  <c r="AX25" i="19"/>
  <c r="AZ213" i="19"/>
  <c r="AZ215" i="19" s="1"/>
  <c r="AZ228" i="19" s="1"/>
  <c r="AZ175" i="19"/>
  <c r="AZ188" i="19" s="1"/>
  <c r="AZ135" i="19"/>
  <c r="AZ137" i="19" s="1"/>
  <c r="AZ150" i="19" s="1"/>
  <c r="AE145" i="13"/>
  <c r="AL27" i="19"/>
  <c r="AE148" i="13"/>
  <c r="AK12" i="19"/>
  <c r="AD149" i="13"/>
  <c r="CO192" i="19" l="1"/>
  <c r="CO194" i="19"/>
  <c r="CP194" i="19" s="1"/>
  <c r="CO234" i="19"/>
  <c r="CO244" i="19" s="1"/>
  <c r="CP244" i="19" s="1"/>
  <c r="AM49" i="19"/>
  <c r="CO195" i="19"/>
  <c r="CP195" i="19" s="1"/>
  <c r="CO235" i="19"/>
  <c r="CO245" i="19" s="1"/>
  <c r="CP245" i="19" s="1"/>
  <c r="CO236" i="19"/>
  <c r="CO246" i="19" s="1"/>
  <c r="CP246" i="19" s="1"/>
  <c r="AX27" i="19"/>
  <c r="AZ160" i="19"/>
  <c r="AZ165" i="19" s="1"/>
  <c r="AZ158" i="19"/>
  <c r="AZ163" i="19" s="1"/>
  <c r="AZ159" i="19"/>
  <c r="AZ164" i="19" s="1"/>
  <c r="AL12" i="19"/>
  <c r="AE149" i="13"/>
  <c r="AZ196" i="19"/>
  <c r="AZ198" i="19"/>
  <c r="AZ203" i="19" s="1"/>
  <c r="AZ197" i="19"/>
  <c r="AK49" i="19"/>
  <c r="AZ237" i="19"/>
  <c r="AZ236" i="19"/>
  <c r="AZ238" i="19"/>
  <c r="AN49" i="19" l="1"/>
  <c r="CO197" i="19"/>
  <c r="AX12" i="19"/>
  <c r="BA203" i="19"/>
  <c r="AZ202" i="19"/>
  <c r="BA202" i="19" s="1"/>
  <c r="AZ243" i="19"/>
  <c r="AZ253" i="19" s="1"/>
  <c r="BA253" i="19" s="1"/>
  <c r="AZ241" i="19"/>
  <c r="AZ251" i="19" s="1"/>
  <c r="BA251" i="19" s="1"/>
  <c r="AL49" i="19"/>
  <c r="AZ242" i="19"/>
  <c r="AZ252" i="19" s="1"/>
  <c r="AZ201" i="19"/>
  <c r="AZ199" i="19"/>
  <c r="AO49" i="19" l="1"/>
  <c r="AP49" i="19" s="1"/>
  <c r="AX49" i="19"/>
  <c r="BB253" i="19"/>
  <c r="BB251" i="19"/>
  <c r="BA201" i="19"/>
  <c r="AZ204" i="19"/>
  <c r="BA252" i="19"/>
  <c r="BB252" i="19"/>
  <c r="AJ14" i="13"/>
  <c r="AQ38" i="19" s="1"/>
  <c r="AQ14" i="13"/>
  <c r="AP14" i="13"/>
  <c r="AG14" i="13"/>
  <c r="AN38" i="19" s="1"/>
  <c r="AG12" i="13"/>
  <c r="AN36" i="19" s="1"/>
  <c r="AK245" i="13" l="1"/>
  <c r="AK142" i="13" s="1"/>
  <c r="AK143" i="13" l="1"/>
  <c r="AL247" i="13"/>
  <c r="AS43" i="19" s="1"/>
  <c r="AK247" i="13"/>
  <c r="AR43" i="19" s="1"/>
  <c r="AM245" i="13" l="1"/>
  <c r="AM247" i="13" l="1"/>
  <c r="AT43" i="19" s="1"/>
  <c r="AM142" i="13"/>
  <c r="AM143" i="13" l="1"/>
  <c r="AU43" i="19"/>
  <c r="M22" i="29" l="1"/>
  <c r="M23" i="29" s="1"/>
  <c r="N19" i="29" s="1"/>
  <c r="N20" i="29" l="1"/>
  <c r="N22" i="29" s="1"/>
  <c r="N23" i="29" s="1"/>
  <c r="O19" i="29" s="1"/>
  <c r="O20" i="29" s="1"/>
  <c r="O22" i="29" s="1"/>
  <c r="O23" i="29" s="1"/>
  <c r="P19" i="29" s="1"/>
  <c r="P20" i="29" s="1"/>
  <c r="P22" i="29" l="1"/>
  <c r="P23" i="29" s="1"/>
  <c r="Q19" i="29" s="1"/>
  <c r="Q20" i="29" s="1"/>
  <c r="Q22" i="29" l="1"/>
  <c r="Q23" i="29" s="1"/>
  <c r="R19" i="29" s="1"/>
  <c r="R20" i="29" s="1"/>
  <c r="R22" i="29" l="1"/>
  <c r="R23" i="29" s="1"/>
  <c r="S19" i="29" l="1"/>
  <c r="S20" i="29"/>
  <c r="S22" i="29" s="1"/>
  <c r="S23" i="29" l="1"/>
  <c r="T19" i="29" s="1"/>
  <c r="T20" i="29" s="1"/>
  <c r="T22" i="29" s="1"/>
  <c r="T23" i="29" s="1"/>
  <c r="U19" i="29" s="1"/>
  <c r="U20" i="29" s="1"/>
  <c r="U22" i="29" l="1"/>
  <c r="U23" i="29" s="1"/>
  <c r="V19" i="29" s="1"/>
  <c r="V20" i="29" s="1"/>
  <c r="V22" i="29" l="1"/>
  <c r="V23" i="29" s="1"/>
  <c r="W19" i="29" s="1"/>
  <c r="W20" i="29" s="1"/>
  <c r="W22" i="29" l="1"/>
  <c r="W23" i="29" s="1"/>
  <c r="AL291" i="13" l="1"/>
  <c r="AL292" i="13" s="1"/>
  <c r="AL202" i="13" l="1"/>
  <c r="AL203" i="13" s="1"/>
  <c r="AM98" i="13"/>
  <c r="AP98" i="13" s="1"/>
  <c r="AM75" i="13"/>
  <c r="AL78" i="13"/>
  <c r="AL80" i="13" s="1"/>
  <c r="AP101" i="13" l="1"/>
  <c r="AP115" i="13" s="1"/>
  <c r="AS5" i="19"/>
  <c r="AM20" i="13"/>
  <c r="AM22" i="13"/>
  <c r="AL6" i="13"/>
  <c r="AL238" i="13"/>
  <c r="AL101" i="13"/>
  <c r="AL102" i="13" s="1"/>
  <c r="AM291" i="13"/>
  <c r="AM292" i="13" s="1"/>
  <c r="BE13" i="27"/>
  <c r="AL79" i="13"/>
  <c r="AS6" i="19" s="1"/>
  <c r="AP134" i="13" l="1"/>
  <c r="AP116" i="13"/>
  <c r="AP122" i="13"/>
  <c r="AS7" i="19"/>
  <c r="AM23" i="13"/>
  <c r="AM21" i="13"/>
  <c r="AM78" i="13"/>
  <c r="AM80" i="13" s="1"/>
  <c r="AM15" i="13"/>
  <c r="AL7" i="13"/>
  <c r="AM202" i="13"/>
  <c r="AM217" i="13" s="1"/>
  <c r="AL115" i="13"/>
  <c r="AL117" i="13" s="1"/>
  <c r="AL217" i="13"/>
  <c r="BF13" i="27"/>
  <c r="BG13" i="27" s="1"/>
  <c r="BD75" i="27"/>
  <c r="AT39" i="19" l="1"/>
  <c r="AP136" i="13"/>
  <c r="AP135" i="13"/>
  <c r="AM6" i="13"/>
  <c r="AS8" i="19"/>
  <c r="AL134" i="13"/>
  <c r="AP22" i="13"/>
  <c r="AP200" i="13" s="1"/>
  <c r="AU5" i="19"/>
  <c r="AM101" i="13"/>
  <c r="AT5" i="19"/>
  <c r="AM79" i="13"/>
  <c r="AT6" i="19" s="1"/>
  <c r="AM16" i="13"/>
  <c r="AT40" i="19" s="1"/>
  <c r="AQ72" i="13"/>
  <c r="AM219" i="13"/>
  <c r="AM203" i="13"/>
  <c r="AL219" i="13"/>
  <c r="AL8" i="13"/>
  <c r="AL116" i="13"/>
  <c r="AS9" i="19" s="1"/>
  <c r="AQ98" i="13"/>
  <c r="AU6" i="19"/>
  <c r="BH13" i="27"/>
  <c r="BI13" i="27" s="1"/>
  <c r="BE75" i="27"/>
  <c r="BD76" i="27"/>
  <c r="AO102" i="13" s="1"/>
  <c r="AP137" i="13" l="1"/>
  <c r="AR98" i="13"/>
  <c r="AP23" i="13"/>
  <c r="AQ75" i="13"/>
  <c r="AR72" i="13"/>
  <c r="AR75" i="13" s="1"/>
  <c r="BF98" i="13"/>
  <c r="BF100" i="13" s="1"/>
  <c r="AZ5" i="19"/>
  <c r="BA5" i="19"/>
  <c r="W228" i="24"/>
  <c r="AM115" i="13"/>
  <c r="AM117" i="13" s="1"/>
  <c r="AM102" i="13"/>
  <c r="AQ22" i="13"/>
  <c r="AP20" i="13"/>
  <c r="AO237" i="13"/>
  <c r="AT7" i="19"/>
  <c r="AM7" i="13"/>
  <c r="BF72" i="13"/>
  <c r="AU7" i="19"/>
  <c r="AP15" i="13"/>
  <c r="AU39" i="19"/>
  <c r="CO39" i="19" s="1"/>
  <c r="AU40" i="19"/>
  <c r="CO40" i="19" s="1"/>
  <c r="BD77" i="27"/>
  <c r="BE76" i="27"/>
  <c r="AP102" i="13" s="1"/>
  <c r="BF75" i="27"/>
  <c r="AL122" i="13"/>
  <c r="T228" i="24" s="1"/>
  <c r="T230" i="24" s="1"/>
  <c r="AL236" i="13"/>
  <c r="AS98" i="13" l="1"/>
  <c r="AZ7" i="19"/>
  <c r="AP171" i="13"/>
  <c r="AP291" i="13" s="1"/>
  <c r="AP292" i="13" s="1"/>
  <c r="AM8" i="13"/>
  <c r="AQ23" i="13"/>
  <c r="AS72" i="13"/>
  <c r="AS75" i="13" s="1"/>
  <c r="AQ15" i="13"/>
  <c r="AR15" i="13" s="1"/>
  <c r="AR22" i="13"/>
  <c r="AS22" i="13" s="1"/>
  <c r="AM116" i="13"/>
  <c r="AT9" i="19" s="1"/>
  <c r="BA7" i="19"/>
  <c r="CP7" i="19" s="1"/>
  <c r="BD90" i="27"/>
  <c r="BD91" i="27" s="1"/>
  <c r="AO117" i="13" s="1"/>
  <c r="AM236" i="13"/>
  <c r="AM242" i="13" s="1"/>
  <c r="AT42" i="19" s="1"/>
  <c r="AM134" i="13"/>
  <c r="AM122" i="13"/>
  <c r="AT8" i="19"/>
  <c r="AQ200" i="13"/>
  <c r="CO7" i="19"/>
  <c r="CP5" i="19"/>
  <c r="BA6" i="19"/>
  <c r="BA37" i="19"/>
  <c r="BA39" i="19"/>
  <c r="AZ6" i="19"/>
  <c r="CO6" i="19" s="1"/>
  <c r="CO5" i="19"/>
  <c r="AQ20" i="13"/>
  <c r="AR20" i="13" s="1"/>
  <c r="AR171" i="13" s="1"/>
  <c r="AP237" i="13"/>
  <c r="AP21" i="13"/>
  <c r="AO238" i="13"/>
  <c r="AP16" i="13"/>
  <c r="AP193" i="13"/>
  <c r="AP238" i="13" s="1"/>
  <c r="BF172" i="13"/>
  <c r="BF75" i="13"/>
  <c r="AL272" i="13"/>
  <c r="AL274" i="13" s="1"/>
  <c r="AS10" i="19"/>
  <c r="AU8" i="19"/>
  <c r="AP226" i="13"/>
  <c r="AU9" i="19"/>
  <c r="BE77" i="27"/>
  <c r="BE90" i="27" s="1"/>
  <c r="BE91" i="27" s="1"/>
  <c r="AP117" i="13" s="1"/>
  <c r="AP6" i="13"/>
  <c r="AQ78" i="13"/>
  <c r="BF76" i="27"/>
  <c r="BG75" i="27"/>
  <c r="BG76" i="27" s="1"/>
  <c r="AL242" i="13"/>
  <c r="AS42" i="19" s="1"/>
  <c r="AL228" i="13"/>
  <c r="AS19" i="19" s="1"/>
  <c r="AL136" i="13"/>
  <c r="AL135" i="13"/>
  <c r="AS11" i="19" s="1"/>
  <c r="AT98" i="13" l="1"/>
  <c r="AU98" i="13"/>
  <c r="AR78" i="13"/>
  <c r="AR101" i="13" s="1"/>
  <c r="AS20" i="13"/>
  <c r="AM272" i="13"/>
  <c r="AM274" i="13" s="1"/>
  <c r="AM136" i="13"/>
  <c r="AM137" i="13" s="1"/>
  <c r="AS23" i="13"/>
  <c r="AS21" i="13"/>
  <c r="AR16" i="13"/>
  <c r="AR193" i="13"/>
  <c r="AS15" i="13"/>
  <c r="AT15" i="13" s="1"/>
  <c r="AQ193" i="13"/>
  <c r="AQ238" i="13" s="1"/>
  <c r="AR23" i="13"/>
  <c r="AS171" i="13"/>
  <c r="AS237" i="13" s="1"/>
  <c r="AS200" i="13"/>
  <c r="AS78" i="13"/>
  <c r="AS101" i="13" s="1"/>
  <c r="AT72" i="13"/>
  <c r="AT75" i="13" s="1"/>
  <c r="AR6" i="13"/>
  <c r="AR79" i="13"/>
  <c r="AR21" i="13"/>
  <c r="AR200" i="13"/>
  <c r="AQ16" i="13"/>
  <c r="AT22" i="13"/>
  <c r="AM135" i="13"/>
  <c r="AT11" i="19" s="1"/>
  <c r="AQ21" i="13"/>
  <c r="AT20" i="13"/>
  <c r="BA8" i="19"/>
  <c r="AZ8" i="19"/>
  <c r="BF200" i="13"/>
  <c r="BD97" i="27"/>
  <c r="W224" i="24" s="1"/>
  <c r="W226" i="24" s="1"/>
  <c r="W230" i="24" s="1"/>
  <c r="U228" i="24"/>
  <c r="U230" i="24" s="1"/>
  <c r="AT10" i="19"/>
  <c r="AT23" i="19" s="1"/>
  <c r="AP202" i="13"/>
  <c r="AP217" i="13" s="1"/>
  <c r="CP39" i="19"/>
  <c r="AI79" i="19"/>
  <c r="BA40" i="19"/>
  <c r="AI77" i="19"/>
  <c r="CP37" i="19"/>
  <c r="BA38" i="19"/>
  <c r="AI70" i="19"/>
  <c r="CP6" i="19"/>
  <c r="AQ171" i="13"/>
  <c r="AQ101" i="13"/>
  <c r="BF101" i="13" s="1"/>
  <c r="BF78" i="13"/>
  <c r="BF79" i="13" s="1"/>
  <c r="AU11" i="19"/>
  <c r="AS48" i="19"/>
  <c r="AS23" i="19"/>
  <c r="AU10" i="19"/>
  <c r="AU42" i="19"/>
  <c r="BF77" i="27"/>
  <c r="BF90" i="27" s="1"/>
  <c r="BF91" i="27" s="1"/>
  <c r="BG77" i="27"/>
  <c r="BG90" i="27" s="1"/>
  <c r="BG91" i="27" s="1"/>
  <c r="AL231" i="13"/>
  <c r="AL10" i="13"/>
  <c r="AL4" i="13"/>
  <c r="AS22" i="19" s="1"/>
  <c r="AL137" i="13"/>
  <c r="AQ6" i="13"/>
  <c r="AQ79" i="13"/>
  <c r="AW29" i="19"/>
  <c r="BH75" i="27"/>
  <c r="BH76" i="27" s="1"/>
  <c r="BI75" i="27"/>
  <c r="BI76" i="27" s="1"/>
  <c r="BI91" i="27" s="1"/>
  <c r="AL229" i="13"/>
  <c r="AM228" i="13"/>
  <c r="AT19" i="19" s="1"/>
  <c r="AV98" i="13" l="1"/>
  <c r="AW98" i="13"/>
  <c r="AR102" i="13"/>
  <c r="AS6" i="13"/>
  <c r="AS79" i="13"/>
  <c r="AQ291" i="13"/>
  <c r="AQ292" i="13" s="1"/>
  <c r="AR237" i="13"/>
  <c r="AT171" i="13"/>
  <c r="AT237" i="13" s="1"/>
  <c r="AT200" i="13"/>
  <c r="AT78" i="13"/>
  <c r="AT101" i="13" s="1"/>
  <c r="AU72" i="13"/>
  <c r="AU75" i="13" s="1"/>
  <c r="AT21" i="13"/>
  <c r="AT23" i="13"/>
  <c r="AS16" i="13"/>
  <c r="AS193" i="13"/>
  <c r="AU15" i="13"/>
  <c r="AU20" i="13"/>
  <c r="AV20" i="13" s="1"/>
  <c r="AT16" i="13"/>
  <c r="AT193" i="13"/>
  <c r="AR238" i="13"/>
  <c r="AR202" i="13"/>
  <c r="AR217" i="13" s="1"/>
  <c r="BF193" i="13"/>
  <c r="BF202" i="13" s="1"/>
  <c r="AQ202" i="13"/>
  <c r="AU22" i="13"/>
  <c r="AZ10" i="19"/>
  <c r="AZ11" i="19" s="1"/>
  <c r="CO11" i="19" s="1"/>
  <c r="AT48" i="19"/>
  <c r="AU48" i="19" s="1"/>
  <c r="AV23" i="19"/>
  <c r="BA10" i="19"/>
  <c r="AQ102" i="13"/>
  <c r="CP38" i="19"/>
  <c r="AI78" i="19"/>
  <c r="AZ9" i="19"/>
  <c r="CO9" i="19" s="1"/>
  <c r="CO8" i="19"/>
  <c r="BA9" i="19"/>
  <c r="CP8" i="19"/>
  <c r="AI80" i="19"/>
  <c r="CP40" i="19"/>
  <c r="AQ237" i="13"/>
  <c r="BF237" i="13" s="1"/>
  <c r="BF171" i="13"/>
  <c r="AQ115" i="13"/>
  <c r="AU23" i="19"/>
  <c r="AM231" i="13"/>
  <c r="AM4" i="13"/>
  <c r="AT22" i="19" s="1"/>
  <c r="AM10" i="13"/>
  <c r="BH77" i="27"/>
  <c r="BH90" i="27" s="1"/>
  <c r="BH91" i="27" s="1"/>
  <c r="AO236" i="13"/>
  <c r="AO242" i="13" s="1"/>
  <c r="AV42" i="19" s="1"/>
  <c r="CM42" i="19" s="1"/>
  <c r="BF13" i="13"/>
  <c r="AW37" i="19" s="1"/>
  <c r="AW5" i="19"/>
  <c r="AW6" i="19" s="1"/>
  <c r="BF6" i="13"/>
  <c r="AQ7" i="13"/>
  <c r="AP7" i="13"/>
  <c r="AM229" i="13"/>
  <c r="AR7" i="13" l="1"/>
  <c r="AX98" i="13"/>
  <c r="AT202" i="13"/>
  <c r="AW20" i="13"/>
  <c r="AW21" i="13" s="1"/>
  <c r="AS7" i="13"/>
  <c r="AS102" i="13"/>
  <c r="AS238" i="13"/>
  <c r="AS202" i="13"/>
  <c r="CO10" i="19"/>
  <c r="AT6" i="13"/>
  <c r="AT79" i="13"/>
  <c r="AU171" i="13"/>
  <c r="AU200" i="13"/>
  <c r="AU78" i="13"/>
  <c r="AU101" i="13" s="1"/>
  <c r="AV72" i="13"/>
  <c r="AV75" i="13" s="1"/>
  <c r="AU16" i="13"/>
  <c r="AU193" i="13"/>
  <c r="AV15" i="13"/>
  <c r="AW15" i="13"/>
  <c r="AU23" i="13"/>
  <c r="AV22" i="13"/>
  <c r="AW22" i="13" s="1"/>
  <c r="AV21" i="13"/>
  <c r="AT238" i="13"/>
  <c r="AU21" i="13"/>
  <c r="AX20" i="13"/>
  <c r="AY20" i="13" s="1"/>
  <c r="AR262" i="13"/>
  <c r="AV48" i="19"/>
  <c r="AZ23" i="19"/>
  <c r="CO23" i="19" s="1"/>
  <c r="CM23" i="19"/>
  <c r="AI71" i="19"/>
  <c r="AI72" i="19" s="1"/>
  <c r="CP9" i="19"/>
  <c r="AQ261" i="13"/>
  <c r="AQ134" i="13"/>
  <c r="CP10" i="19"/>
  <c r="AI68" i="19"/>
  <c r="BA11" i="19"/>
  <c r="CP11" i="19" s="1"/>
  <c r="BA48" i="19"/>
  <c r="CP48" i="19" s="1"/>
  <c r="BA23" i="19"/>
  <c r="CP23" i="19" s="1"/>
  <c r="AQ116" i="13"/>
  <c r="AQ117" i="13"/>
  <c r="BF115" i="13"/>
  <c r="BF116" i="13" s="1"/>
  <c r="BF14" i="13"/>
  <c r="AW38" i="19" s="1"/>
  <c r="BF7" i="13"/>
  <c r="AW7" i="19"/>
  <c r="AY98" i="13" l="1"/>
  <c r="AZ98" i="13"/>
  <c r="AZ20" i="13"/>
  <c r="AU79" i="13"/>
  <c r="AU6" i="13"/>
  <c r="AZ21" i="13"/>
  <c r="AW23" i="13"/>
  <c r="AY21" i="13"/>
  <c r="AV171" i="13"/>
  <c r="AV237" i="13" s="1"/>
  <c r="AV200" i="13"/>
  <c r="AW72" i="13"/>
  <c r="AW75" i="13" s="1"/>
  <c r="AV78" i="13"/>
  <c r="AV101" i="13" s="1"/>
  <c r="AV23" i="13"/>
  <c r="AW16" i="13"/>
  <c r="AW193" i="13"/>
  <c r="AU238" i="13"/>
  <c r="AU202" i="13"/>
  <c r="AT7" i="13"/>
  <c r="AT102" i="13"/>
  <c r="AU237" i="13"/>
  <c r="AX21" i="13"/>
  <c r="BA20" i="13"/>
  <c r="BA21" i="13" s="1"/>
  <c r="AV16" i="13"/>
  <c r="AV193" i="13"/>
  <c r="AX15" i="13"/>
  <c r="AY15" i="13" s="1"/>
  <c r="AX22" i="13"/>
  <c r="AZ48" i="19"/>
  <c r="CO48" i="19" s="1"/>
  <c r="CM48" i="19"/>
  <c r="AQ122" i="13"/>
  <c r="AQ236" i="13"/>
  <c r="AQ242" i="13" s="1"/>
  <c r="AQ8" i="13"/>
  <c r="AP227" i="13"/>
  <c r="AP236" i="13"/>
  <c r="AP242" i="13" s="1"/>
  <c r="AP8" i="13"/>
  <c r="BF8" i="13"/>
  <c r="AW8" i="19"/>
  <c r="AW9" i="19" s="1"/>
  <c r="BA98" i="13" l="1"/>
  <c r="AV202" i="13"/>
  <c r="AY193" i="13"/>
  <c r="AY16" i="13"/>
  <c r="AX23" i="13"/>
  <c r="AV79" i="13"/>
  <c r="AV6" i="13"/>
  <c r="BB20" i="13"/>
  <c r="BB21" i="13" s="1"/>
  <c r="AW200" i="13"/>
  <c r="AW238" i="13" s="1"/>
  <c r="AW171" i="13"/>
  <c r="AW237" i="13" s="1"/>
  <c r="AX72" i="13"/>
  <c r="AX75" i="13" s="1"/>
  <c r="AW78" i="13"/>
  <c r="AW101" i="13" s="1"/>
  <c r="AX16" i="13"/>
  <c r="AX193" i="13"/>
  <c r="AZ15" i="13"/>
  <c r="BA15" i="13" s="1"/>
  <c r="AU102" i="13"/>
  <c r="AU7" i="13"/>
  <c r="AV238" i="13"/>
  <c r="AY22" i="13"/>
  <c r="BF134" i="13"/>
  <c r="BF122" i="13"/>
  <c r="BF123" i="13" s="1"/>
  <c r="AQ136" i="13"/>
  <c r="AQ281" i="13" s="1"/>
  <c r="AQ272" i="13"/>
  <c r="AQ227" i="13"/>
  <c r="AP232" i="13"/>
  <c r="AQ273" i="13"/>
  <c r="AQ226" i="13"/>
  <c r="AR226" i="13" s="1"/>
  <c r="AS226" i="13" s="1"/>
  <c r="AQ135" i="13"/>
  <c r="BF236" i="13"/>
  <c r="AP228" i="13"/>
  <c r="AQ137" i="13" l="1"/>
  <c r="BB98" i="13"/>
  <c r="BC98" i="13" s="1"/>
  <c r="BC20" i="13"/>
  <c r="BC21" i="13" s="1"/>
  <c r="BF135" i="13"/>
  <c r="BH134" i="13"/>
  <c r="AW202" i="13"/>
  <c r="BA16" i="13"/>
  <c r="BA193" i="13"/>
  <c r="BB15" i="13"/>
  <c r="AW79" i="13"/>
  <c r="AW6" i="13"/>
  <c r="AY23" i="13"/>
  <c r="BA22" i="13"/>
  <c r="BA23" i="13" s="1"/>
  <c r="AX171" i="13"/>
  <c r="AX237" i="13" s="1"/>
  <c r="AX200" i="13"/>
  <c r="AX202" i="13" s="1"/>
  <c r="AY72" i="13"/>
  <c r="AY75" i="13" s="1"/>
  <c r="AX78" i="13"/>
  <c r="AX101" i="13" s="1"/>
  <c r="AV7" i="13"/>
  <c r="AV102" i="13"/>
  <c r="AZ22" i="13"/>
  <c r="AZ23" i="13" s="1"/>
  <c r="AZ16" i="13"/>
  <c r="AZ193" i="13"/>
  <c r="BC15" i="13"/>
  <c r="AQ232" i="13"/>
  <c r="BF227" i="13"/>
  <c r="AQ228" i="13"/>
  <c r="BF228" i="13" s="1"/>
  <c r="AQ274" i="13"/>
  <c r="AW10" i="19"/>
  <c r="AW11" i="19" s="1"/>
  <c r="AP272" i="13"/>
  <c r="AP229" i="13"/>
  <c r="AP4" i="13"/>
  <c r="AP10" i="13"/>
  <c r="AX238" i="13" l="1"/>
  <c r="BG98" i="13"/>
  <c r="BG100" i="13" s="1"/>
  <c r="BB22" i="13"/>
  <c r="BB23" i="13" s="1"/>
  <c r="BC16" i="13"/>
  <c r="BC193" i="13"/>
  <c r="BG193" i="13" s="1"/>
  <c r="AY200" i="13"/>
  <c r="AY171" i="13"/>
  <c r="AY237" i="13" s="1"/>
  <c r="AZ72" i="13"/>
  <c r="AZ75" i="13" s="1"/>
  <c r="AY78" i="13"/>
  <c r="AY101" i="13" s="1"/>
  <c r="BB16" i="13"/>
  <c r="BB193" i="13"/>
  <c r="AW7" i="13"/>
  <c r="AW102" i="13"/>
  <c r="AX6" i="13"/>
  <c r="AX79" i="13"/>
  <c r="AQ10" i="13"/>
  <c r="AP274" i="13"/>
  <c r="AW48" i="19"/>
  <c r="BF136" i="13"/>
  <c r="BF137" i="13" s="1"/>
  <c r="AW19" i="19"/>
  <c r="BF10" i="13"/>
  <c r="BC22" i="13" l="1"/>
  <c r="BC23" i="13" s="1"/>
  <c r="AZ171" i="13"/>
  <c r="AZ200" i="13"/>
  <c r="BA72" i="13"/>
  <c r="BA75" i="13" s="1"/>
  <c r="AZ78" i="13"/>
  <c r="AZ101" i="13" s="1"/>
  <c r="AX102" i="13"/>
  <c r="AX7" i="13"/>
  <c r="AY6" i="13"/>
  <c r="AY79" i="13"/>
  <c r="AY202" i="13"/>
  <c r="AY238" i="13"/>
  <c r="AZ237" i="13"/>
  <c r="AK242" i="13"/>
  <c r="AR42" i="19" s="1"/>
  <c r="AJ217" i="13"/>
  <c r="AJ4" i="13" s="1"/>
  <c r="AQ22" i="19" s="1"/>
  <c r="AY102" i="13" l="1"/>
  <c r="AY7" i="13"/>
  <c r="BA200" i="13"/>
  <c r="BA171" i="13"/>
  <c r="BA237" i="13" s="1"/>
  <c r="BB72" i="13"/>
  <c r="BB75" i="13" s="1"/>
  <c r="BA78" i="13"/>
  <c r="BA101" i="13" s="1"/>
  <c r="AZ202" i="13"/>
  <c r="AZ238" i="13"/>
  <c r="AZ6" i="13"/>
  <c r="AZ79" i="13"/>
  <c r="BA42" i="19"/>
  <c r="AZ42" i="19"/>
  <c r="CO42" i="19" s="1"/>
  <c r="AJ229" i="13"/>
  <c r="BB200" i="13" l="1"/>
  <c r="BB171" i="13"/>
  <c r="BC72" i="13"/>
  <c r="BB78" i="13"/>
  <c r="BB101" i="13" s="1"/>
  <c r="BA79" i="13"/>
  <c r="BA6" i="13"/>
  <c r="BA202" i="13"/>
  <c r="BA238" i="13"/>
  <c r="AZ102" i="13"/>
  <c r="AZ7" i="13"/>
  <c r="AI82" i="19"/>
  <c r="CP42" i="19"/>
  <c r="BF238" i="13"/>
  <c r="BG72" i="13" l="1"/>
  <c r="BC75" i="13"/>
  <c r="BA7" i="13"/>
  <c r="BA102" i="13"/>
  <c r="BB79" i="13"/>
  <c r="BB6" i="13"/>
  <c r="BB238" i="13"/>
  <c r="BB202" i="13"/>
  <c r="BC171" i="13"/>
  <c r="BG171" i="13" s="1"/>
  <c r="BC200" i="13"/>
  <c r="BG200" i="13" s="1"/>
  <c r="BC237" i="13"/>
  <c r="BB237" i="13"/>
  <c r="BF242" i="13"/>
  <c r="AW42" i="19" s="1"/>
  <c r="BC78" i="13" l="1"/>
  <c r="BG75" i="13"/>
  <c r="BC79" i="13"/>
  <c r="BC6" i="13"/>
  <c r="BB7" i="13"/>
  <c r="BB102" i="13"/>
  <c r="BC238" i="13"/>
  <c r="BC202" i="13"/>
  <c r="AK264" i="13"/>
  <c r="AK265" i="13" s="1"/>
  <c r="AK267" i="13" s="1"/>
  <c r="BG78" i="13" l="1"/>
  <c r="BC101" i="13"/>
  <c r="BG101" i="13" s="1"/>
  <c r="BG7" i="13"/>
  <c r="BG202" i="13"/>
  <c r="BG15" i="13"/>
  <c r="BG16" i="13" s="1"/>
  <c r="BG13" i="13"/>
  <c r="BG14" i="13" s="1"/>
  <c r="BG79" i="13"/>
  <c r="BG6" i="13"/>
  <c r="BC7" i="13"/>
  <c r="BC102" i="13"/>
  <c r="AJ175" i="13"/>
  <c r="AJ150" i="13" s="1"/>
  <c r="AL264" i="13"/>
  <c r="AL265" i="13" s="1"/>
  <c r="AL267" i="13" s="1"/>
  <c r="AK266" i="13"/>
  <c r="AR45" i="19" s="1"/>
  <c r="AJ176" i="13" l="1"/>
  <c r="AJ3" i="13"/>
  <c r="AQ21" i="19" s="1"/>
  <c r="AQ26" i="19"/>
  <c r="AJ152" i="13"/>
  <c r="AL266" i="13"/>
  <c r="AS45" i="19" s="1"/>
  <c r="AM264" i="13"/>
  <c r="AM265" i="13" s="1"/>
  <c r="AK175" i="13"/>
  <c r="AK150" i="13" s="1"/>
  <c r="AM267" i="13" l="1"/>
  <c r="AN264" i="13"/>
  <c r="AN265" i="13" s="1"/>
  <c r="AJ153" i="13"/>
  <c r="AQ25" i="19"/>
  <c r="AK176" i="13"/>
  <c r="AK3" i="13"/>
  <c r="AR21" i="19" s="1"/>
  <c r="AJ186" i="13"/>
  <c r="AJ187" i="13" s="1"/>
  <c r="AJ289" i="13"/>
  <c r="AJ294" i="13" s="1"/>
  <c r="AJ296" i="13" s="1"/>
  <c r="AL175" i="13"/>
  <c r="AL150" i="13" s="1"/>
  <c r="AM266" i="13"/>
  <c r="AT45" i="19" s="1"/>
  <c r="AK152" i="13"/>
  <c r="AR26" i="19"/>
  <c r="AJ144" i="13"/>
  <c r="AQ27" i="19" s="1"/>
  <c r="AJ151" i="13"/>
  <c r="AN267" i="13" l="1"/>
  <c r="AN266" i="13"/>
  <c r="AK153" i="13"/>
  <c r="AR25" i="19"/>
  <c r="AL176" i="13"/>
  <c r="AL3" i="13"/>
  <c r="AS21" i="19" s="1"/>
  <c r="AJ230" i="13"/>
  <c r="AK186" i="13"/>
  <c r="AK187" i="13" s="1"/>
  <c r="AK289" i="13"/>
  <c r="AK294" i="13" s="1"/>
  <c r="AK296" i="13" s="1"/>
  <c r="AK151" i="13"/>
  <c r="AK144" i="13"/>
  <c r="AJ148" i="13"/>
  <c r="AJ145" i="13"/>
  <c r="AM175" i="13"/>
  <c r="AM150" i="13" s="1"/>
  <c r="AS26" i="19"/>
  <c r="AL152" i="13"/>
  <c r="AR27" i="19" l="1"/>
  <c r="AK148" i="13"/>
  <c r="AL153" i="13"/>
  <c r="AS25" i="19"/>
  <c r="AJ149" i="13"/>
  <c r="AQ12" i="19"/>
  <c r="AM176" i="13"/>
  <c r="AM3" i="13"/>
  <c r="AT21" i="19" s="1"/>
  <c r="AK230" i="13"/>
  <c r="AL186" i="13"/>
  <c r="AL187" i="13" s="1"/>
  <c r="AL289" i="13"/>
  <c r="AL294" i="13" s="1"/>
  <c r="AL296" i="13" s="1"/>
  <c r="AL144" i="13"/>
  <c r="AS27" i="19" s="1"/>
  <c r="AL151" i="13"/>
  <c r="AM152" i="13"/>
  <c r="AK145" i="13"/>
  <c r="AQ49" i="19" l="1"/>
  <c r="AT26" i="19"/>
  <c r="AN144" i="13"/>
  <c r="AM153" i="13"/>
  <c r="AT25" i="19"/>
  <c r="AK149" i="13"/>
  <c r="AR12" i="19"/>
  <c r="AL230" i="13"/>
  <c r="AM186" i="13"/>
  <c r="AM187" i="13" s="1"/>
  <c r="AM289" i="13"/>
  <c r="AM294" i="13" s="1"/>
  <c r="AM296" i="13" s="1"/>
  <c r="AM144" i="13"/>
  <c r="AT27" i="19" s="1"/>
  <c r="AM151" i="13"/>
  <c r="AL148" i="13"/>
  <c r="AL145" i="13"/>
  <c r="AR49" i="19" l="1"/>
  <c r="AN145" i="13"/>
  <c r="AN148" i="13"/>
  <c r="AN149" i="13" s="1"/>
  <c r="AL149" i="13"/>
  <c r="AS12" i="19"/>
  <c r="AM230" i="13"/>
  <c r="AM145" i="13"/>
  <c r="AM148" i="13"/>
  <c r="AP182" i="13"/>
  <c r="AS49" i="19" l="1"/>
  <c r="AM149" i="13"/>
  <c r="AT12" i="19"/>
  <c r="AQ182" i="13"/>
  <c r="AR182" i="13" s="1"/>
  <c r="AS182" i="13" s="1"/>
  <c r="AT182" i="13" s="1"/>
  <c r="AU182" i="13" s="1"/>
  <c r="AV182" i="13" s="1"/>
  <c r="AW182" i="13" s="1"/>
  <c r="AX182" i="13" s="1"/>
  <c r="AY182" i="13" s="1"/>
  <c r="AZ182" i="13" s="1"/>
  <c r="BA182" i="13" s="1"/>
  <c r="BB182" i="13" s="1"/>
  <c r="BC182" i="13" s="1"/>
  <c r="BG182" i="13" s="1"/>
  <c r="AT49" i="19" l="1"/>
  <c r="AP289" i="13"/>
  <c r="AP294" i="13" s="1"/>
  <c r="AP296" i="13" s="1"/>
  <c r="BF182" i="13"/>
  <c r="AQ289" i="13"/>
  <c r="AQ294" i="13" s="1"/>
  <c r="AW32" i="19" l="1"/>
  <c r="BF15" i="13"/>
  <c r="BF16" i="13" s="1"/>
  <c r="AW40" i="19" s="1"/>
  <c r="AW39" i="19" l="1"/>
  <c r="AO262" i="13"/>
  <c r="AV44" i="19" s="1"/>
  <c r="CM44" i="19" s="1"/>
  <c r="BF261" i="13"/>
  <c r="AU19" i="19" l="1"/>
  <c r="AU44" i="19"/>
  <c r="AQ280" i="13"/>
  <c r="AO264" i="13"/>
  <c r="AU45" i="19"/>
  <c r="AU22" i="19"/>
  <c r="AZ44" i="19" l="1"/>
  <c r="BA44" i="19"/>
  <c r="BA22" i="19"/>
  <c r="CO22" i="19"/>
  <c r="AU18" i="19"/>
  <c r="CO18" i="19" s="1"/>
  <c r="CO44" i="19"/>
  <c r="BA19" i="19"/>
  <c r="CO19" i="19"/>
  <c r="AP280" i="13"/>
  <c r="CP19" i="19" l="1"/>
  <c r="AI74" i="19"/>
  <c r="AI84" i="19"/>
  <c r="CP44" i="19"/>
  <c r="CO14" i="19"/>
  <c r="BA14" i="19"/>
  <c r="AI63" i="19"/>
  <c r="CP22" i="19"/>
  <c r="AU21" i="19"/>
  <c r="AU26" i="19"/>
  <c r="BA21" i="19" l="1"/>
  <c r="CO21" i="19"/>
  <c r="CO26" i="19"/>
  <c r="BA26" i="19"/>
  <c r="CP14" i="19"/>
  <c r="BA18" i="19"/>
  <c r="CP18" i="19" s="1"/>
  <c r="AU25" i="19"/>
  <c r="CO25" i="19" l="1"/>
  <c r="BA25" i="19"/>
  <c r="AI65" i="19"/>
  <c r="CP26" i="19"/>
  <c r="AI62" i="19"/>
  <c r="CP21" i="19"/>
  <c r="AU27" i="19"/>
  <c r="CO27" i="19" l="1"/>
  <c r="BA27" i="19"/>
  <c r="CP27" i="19" s="1"/>
  <c r="AI64" i="19"/>
  <c r="CP25" i="19"/>
  <c r="AU12" i="19"/>
  <c r="AU49" i="19" l="1"/>
  <c r="S10" i="30"/>
  <c r="S11" i="30" s="1"/>
  <c r="P11" i="30"/>
  <c r="J3" i="30" s="1"/>
  <c r="M3" i="30" l="1"/>
  <c r="M11" i="30" s="1"/>
  <c r="J11" i="30"/>
  <c r="AQ209" i="13" l="1"/>
  <c r="AQ262" i="13"/>
  <c r="D14" i="31"/>
  <c r="C19" i="31" s="1"/>
  <c r="G18" i="31"/>
  <c r="AQ295" i="13" l="1"/>
  <c r="AQ296" i="13" s="1"/>
  <c r="BF209" i="13"/>
  <c r="D19" i="31"/>
  <c r="F19" i="31" s="1"/>
  <c r="H18" i="31"/>
  <c r="L23" i="31"/>
  <c r="M19" i="31" s="1"/>
  <c r="BF262" i="13"/>
  <c r="AW44" i="19" s="1"/>
  <c r="AQ216" i="13"/>
  <c r="AQ217" i="13" s="1"/>
  <c r="BF216" i="13" l="1"/>
  <c r="AW16" i="19" s="1"/>
  <c r="AW17" i="19" s="1"/>
  <c r="AW23" i="19" s="1"/>
  <c r="E19" i="31"/>
  <c r="J17" i="30"/>
  <c r="G19" i="31"/>
  <c r="H19" i="31" s="1"/>
  <c r="A20" i="31" s="1"/>
  <c r="B20" i="31" s="1"/>
  <c r="AQ4" i="13"/>
  <c r="BF217" i="13"/>
  <c r="BF4" i="13" s="1"/>
  <c r="AW22" i="19" s="1"/>
  <c r="AQ229" i="13"/>
  <c r="D20" i="31" l="1"/>
  <c r="C20" i="31"/>
  <c r="I20" i="31"/>
  <c r="BF229" i="13"/>
  <c r="E20" i="31" l="1"/>
  <c r="BE150" i="13"/>
  <c r="BE151" i="13" s="1"/>
  <c r="BE267" i="13"/>
  <c r="F20" i="31"/>
  <c r="G20" i="31"/>
  <c r="H20" i="31" l="1"/>
  <c r="A21" i="31" s="1"/>
  <c r="B21" i="31" s="1"/>
  <c r="I21" i="31" l="1"/>
  <c r="D21" i="31"/>
  <c r="C21" i="31"/>
  <c r="E21" i="31" l="1"/>
  <c r="G21" i="31"/>
  <c r="F21" i="31"/>
  <c r="H21" i="31" l="1"/>
  <c r="A22" i="31" s="1"/>
  <c r="B22" i="31" s="1"/>
  <c r="D22" i="31" l="1"/>
  <c r="I22" i="31"/>
  <c r="C22" i="31"/>
  <c r="G22" i="31" l="1"/>
  <c r="E22" i="31"/>
  <c r="F22" i="31"/>
  <c r="H22" i="31" l="1"/>
  <c r="A23" i="31" s="1"/>
  <c r="C23" i="31" s="1"/>
  <c r="J23" i="31" s="1"/>
  <c r="B23" i="31" l="1"/>
  <c r="D23" i="31" s="1"/>
  <c r="G23" i="31" s="1"/>
  <c r="I23" i="31" l="1"/>
  <c r="E23" i="31"/>
  <c r="F23" i="31"/>
  <c r="H23" i="31" s="1"/>
  <c r="A24" i="31" s="1"/>
  <c r="B24" i="31" l="1"/>
  <c r="C24" i="31"/>
  <c r="I24" i="31" l="1"/>
  <c r="D24" i="31"/>
  <c r="E24" i="31" s="1"/>
  <c r="F24" i="31" l="1"/>
  <c r="G24" i="31"/>
  <c r="H24" i="31" l="1"/>
  <c r="A25" i="31" s="1"/>
  <c r="B25" i="31" s="1"/>
  <c r="I25" i="31" l="1"/>
  <c r="D25" i="31"/>
  <c r="C25" i="31"/>
  <c r="E25" i="31" l="1"/>
  <c r="F25" i="31"/>
  <c r="G25" i="31"/>
  <c r="H25" i="31" l="1"/>
  <c r="A26" i="31" s="1"/>
  <c r="C26" i="31" s="1"/>
  <c r="B26" i="31" l="1"/>
  <c r="I26" i="31" l="1"/>
  <c r="D26" i="31"/>
  <c r="E26" i="31" s="1"/>
  <c r="G26" i="31" l="1"/>
  <c r="F26" i="31"/>
  <c r="H26" i="31" l="1"/>
  <c r="A27" i="31" s="1"/>
  <c r="C27" i="31" s="1"/>
  <c r="B27" i="31" l="1"/>
  <c r="D27" i="31" l="1"/>
  <c r="G27" i="31" s="1"/>
  <c r="I27" i="31"/>
  <c r="F27" i="31" l="1"/>
  <c r="H27" i="31" s="1"/>
  <c r="A28" i="31" s="1"/>
  <c r="C28" i="31" s="1"/>
  <c r="E27" i="31"/>
  <c r="B28" i="31" l="1"/>
  <c r="I28" i="31" s="1"/>
  <c r="D28" i="31" l="1"/>
  <c r="F28" i="31" s="1"/>
  <c r="G28" i="31" l="1"/>
  <c r="H28" i="31" s="1"/>
  <c r="A29" i="31" s="1"/>
  <c r="B29" i="31" s="1"/>
  <c r="D29" i="31" s="1"/>
  <c r="E28" i="31"/>
  <c r="C29" i="31" l="1"/>
  <c r="F29" i="31" s="1"/>
  <c r="I29" i="31"/>
  <c r="G29" i="31" l="1"/>
  <c r="H29" i="31" s="1"/>
  <c r="A30" i="31" s="1"/>
  <c r="C30" i="31" s="1"/>
  <c r="E29" i="31"/>
  <c r="B30" i="31" l="1"/>
  <c r="D30" i="31" l="1"/>
  <c r="G30" i="31" s="1"/>
  <c r="I30" i="31"/>
  <c r="F30" i="31" l="1"/>
  <c r="H30" i="31" s="1"/>
  <c r="A31" i="31" s="1"/>
  <c r="B31" i="31" s="1"/>
  <c r="E30" i="31"/>
  <c r="C31" i="31" l="1"/>
  <c r="D31" i="31"/>
  <c r="I31" i="31"/>
  <c r="G31" i="31" l="1"/>
  <c r="E31" i="31"/>
  <c r="F31" i="31"/>
  <c r="H31" i="31" l="1"/>
  <c r="A32" i="31" s="1"/>
  <c r="C32" i="31" s="1"/>
  <c r="B32" i="31" l="1"/>
  <c r="D32" i="31" s="1"/>
  <c r="E32" i="31" s="1"/>
  <c r="I32" i="31" l="1"/>
  <c r="F32" i="31"/>
  <c r="G32" i="31"/>
  <c r="H32" i="31" l="1"/>
  <c r="A33" i="31" s="1"/>
  <c r="C33" i="31" s="1"/>
  <c r="B33" i="31" l="1"/>
  <c r="I33" i="31" s="1"/>
  <c r="D33" i="31" l="1"/>
  <c r="E33" i="31" s="1"/>
  <c r="G33" i="31" l="1"/>
  <c r="F33" i="31"/>
  <c r="H33" i="31" l="1"/>
  <c r="A34" i="31" s="1"/>
  <c r="C34" i="31" s="1"/>
  <c r="B34" i="31" l="1"/>
  <c r="D34" i="31" s="1"/>
  <c r="G34" i="31" s="1"/>
  <c r="E34" i="31" l="1"/>
  <c r="F34" i="31"/>
  <c r="H34" i="31" s="1"/>
  <c r="A35" i="31" s="1"/>
  <c r="B35" i="31" s="1"/>
  <c r="D35" i="31" s="1"/>
  <c r="I34" i="31"/>
  <c r="C35" i="31" l="1"/>
  <c r="J35" i="31" s="1"/>
  <c r="I35" i="31"/>
  <c r="E35" i="31" l="1"/>
  <c r="G35" i="31"/>
  <c r="F35" i="31"/>
  <c r="H35" i="31" l="1"/>
  <c r="A36" i="31" s="1"/>
  <c r="C36" i="31" s="1"/>
  <c r="C37" i="31" s="1"/>
  <c r="B36" i="31" l="1"/>
  <c r="D36" i="31" s="1"/>
  <c r="G36" i="31" s="1"/>
  <c r="B37" i="31" l="1"/>
  <c r="I37" i="31" s="1"/>
  <c r="F36" i="31"/>
  <c r="H36" i="31" s="1"/>
  <c r="E36" i="31"/>
  <c r="I36" i="31"/>
  <c r="D37" i="31" l="1"/>
  <c r="E37" i="31" s="1"/>
  <c r="F37" i="31" l="1"/>
  <c r="G37" i="31"/>
  <c r="H37" i="31" l="1"/>
  <c r="A38" i="31" s="1"/>
  <c r="C38" i="31" s="1"/>
  <c r="B38" i="31" l="1"/>
  <c r="I38" i="31" s="1"/>
  <c r="D38" i="31" l="1"/>
  <c r="F38" i="31" s="1"/>
  <c r="G38" i="31" l="1"/>
  <c r="H38" i="31" s="1"/>
  <c r="A39" i="31" s="1"/>
  <c r="C39" i="31" s="1"/>
  <c r="C40" i="31" s="1"/>
  <c r="E38" i="31"/>
  <c r="B39" i="31" l="1"/>
  <c r="D39" i="31" s="1"/>
  <c r="F39" i="31" s="1"/>
  <c r="E39" i="31" l="1"/>
  <c r="I39" i="31"/>
  <c r="G39" i="31"/>
  <c r="H39" i="31" s="1"/>
  <c r="B40" i="31"/>
  <c r="I40" i="31" s="1"/>
  <c r="D40" i="31" l="1"/>
  <c r="E40" i="31" s="1"/>
  <c r="F40" i="31" l="1"/>
  <c r="G40" i="31"/>
  <c r="H40" i="31" l="1"/>
  <c r="A41" i="31" s="1"/>
  <c r="C41" i="31" s="1"/>
  <c r="B41" i="31" l="1"/>
  <c r="D41" i="31" s="1"/>
  <c r="G41" i="31" s="1"/>
  <c r="I41" i="31" l="1"/>
  <c r="F41" i="31"/>
  <c r="H41" i="31" s="1"/>
  <c r="A42" i="31" s="1"/>
  <c r="B42" i="31" s="1"/>
  <c r="D42" i="31" s="1"/>
  <c r="E41" i="31"/>
  <c r="I42" i="31" l="1"/>
  <c r="C42" i="31"/>
  <c r="E42" i="31" s="1"/>
  <c r="F42" i="31" l="1"/>
  <c r="G42" i="31"/>
  <c r="H42" i="31" l="1"/>
  <c r="A43" i="31" s="1"/>
  <c r="C43" i="31" s="1"/>
  <c r="B43" i="31" l="1"/>
  <c r="D43" i="31" s="1"/>
  <c r="E43" i="31" s="1"/>
  <c r="I43" i="31" l="1"/>
  <c r="F43" i="31"/>
  <c r="G43" i="31"/>
  <c r="H43" i="31" l="1"/>
  <c r="A44" i="31" s="1"/>
  <c r="B44" i="31" s="1"/>
  <c r="C44" i="31" l="1"/>
  <c r="D44" i="31"/>
  <c r="I44" i="31"/>
  <c r="E44" i="31" l="1"/>
  <c r="G44" i="31"/>
  <c r="F44" i="31"/>
  <c r="H44" i="31" l="1"/>
  <c r="A45" i="31" s="1"/>
  <c r="B45" i="31" s="1"/>
  <c r="I45" i="31" l="1"/>
  <c r="D45" i="31"/>
  <c r="C45" i="31"/>
  <c r="E45" i="31" l="1"/>
  <c r="F45" i="31"/>
  <c r="G45" i="31"/>
  <c r="H45" i="31" l="1"/>
  <c r="A46" i="31" s="1"/>
  <c r="B46" i="31" s="1"/>
  <c r="D46" i="31" l="1"/>
  <c r="I46" i="31"/>
  <c r="C46" i="31"/>
  <c r="E46" i="31" l="1"/>
  <c r="F46" i="31"/>
  <c r="G46" i="31"/>
  <c r="H46" i="31" l="1"/>
  <c r="A47" i="31" s="1"/>
  <c r="C47" i="31" s="1"/>
  <c r="B47" i="31" l="1"/>
  <c r="J47" i="31"/>
  <c r="D47" i="31" l="1"/>
  <c r="E47" i="31" s="1"/>
  <c r="I47" i="31"/>
  <c r="G47" i="31" l="1"/>
  <c r="F47" i="31"/>
  <c r="H47" i="31" l="1"/>
  <c r="A48" i="31" s="1"/>
  <c r="C48" i="31" s="1"/>
  <c r="B48" i="31" l="1"/>
  <c r="D48" i="31" s="1"/>
  <c r="E48" i="31" s="1"/>
  <c r="F48" i="31" l="1"/>
  <c r="I48" i="31"/>
  <c r="G48" i="31"/>
  <c r="H48" i="31" l="1"/>
  <c r="A49" i="31" s="1"/>
  <c r="C49" i="31" s="1"/>
  <c r="B49" i="31" l="1"/>
  <c r="I49" i="31" s="1"/>
  <c r="D49" i="31" l="1"/>
  <c r="G49" i="31" s="1"/>
  <c r="F49" i="31" l="1"/>
  <c r="H49" i="31" s="1"/>
  <c r="A50" i="31" s="1"/>
  <c r="B50" i="31" s="1"/>
  <c r="D50" i="31" s="1"/>
  <c r="E49" i="31"/>
  <c r="I50" i="31" l="1"/>
  <c r="C50" i="31"/>
  <c r="F50" i="31" s="1"/>
  <c r="G50" i="31" l="1"/>
  <c r="H50" i="31" s="1"/>
  <c r="A51" i="31" s="1"/>
  <c r="C51" i="31" s="1"/>
  <c r="E50" i="31"/>
  <c r="B51" i="31" l="1"/>
  <c r="I51" i="31" l="1"/>
  <c r="D51" i="31"/>
  <c r="F51" i="31" s="1"/>
  <c r="E51" i="31" l="1"/>
  <c r="G51" i="31"/>
  <c r="H51" i="31" s="1"/>
  <c r="A52" i="31" s="1"/>
  <c r="C52" i="31" s="1"/>
  <c r="B52" i="31" l="1"/>
  <c r="D52" i="31" l="1"/>
  <c r="E52" i="31" s="1"/>
  <c r="I52" i="31"/>
  <c r="G52" i="31" l="1"/>
  <c r="F52" i="31"/>
  <c r="H52" i="31" l="1"/>
  <c r="A53" i="31" s="1"/>
  <c r="B53" i="31" s="1"/>
  <c r="I53" i="31" s="1"/>
  <c r="D53" i="31" l="1"/>
  <c r="C53" i="31"/>
  <c r="F53" i="31" l="1"/>
  <c r="G53" i="31"/>
  <c r="E53" i="31"/>
  <c r="H53" i="31" l="1"/>
  <c r="A54" i="31" s="1"/>
  <c r="C54" i="31" s="1"/>
  <c r="B54" i="31" l="1"/>
  <c r="I54" i="31" s="1"/>
  <c r="J54" i="31"/>
  <c r="D54" i="31" l="1"/>
  <c r="G54" i="31" s="1"/>
  <c r="F54" i="31" l="1"/>
  <c r="H54" i="31" s="1"/>
  <c r="A55" i="31" s="1"/>
  <c r="B55" i="31" s="1"/>
  <c r="E54" i="31"/>
  <c r="C55" i="31" l="1"/>
  <c r="D55" i="31"/>
  <c r="I55" i="31"/>
  <c r="E55" i="31" l="1"/>
  <c r="G55" i="31"/>
  <c r="F55" i="31"/>
  <c r="H55" i="31" l="1"/>
  <c r="A56" i="31" s="1"/>
  <c r="C56" i="31" s="1"/>
  <c r="B56" i="31" l="1"/>
  <c r="D56" i="31" l="1"/>
  <c r="F56" i="31" s="1"/>
  <c r="I56" i="31"/>
  <c r="G56" i="31" l="1"/>
  <c r="H56" i="31" s="1"/>
  <c r="A57" i="31" s="1"/>
  <c r="C57" i="31" s="1"/>
  <c r="E56" i="31"/>
  <c r="B57" i="31" l="1"/>
  <c r="D57" i="31" s="1"/>
  <c r="E57" i="31" s="1"/>
  <c r="I57" i="31" l="1"/>
  <c r="G57" i="31"/>
  <c r="F57" i="31"/>
  <c r="H57" i="31" l="1"/>
  <c r="A58" i="31" s="1"/>
  <c r="C58" i="31" l="1"/>
  <c r="B58" i="31"/>
  <c r="D58" i="31" l="1"/>
  <c r="F58" i="31" s="1"/>
  <c r="I58" i="31"/>
  <c r="E58" i="31" l="1"/>
  <c r="G58" i="31"/>
  <c r="H58" i="31" s="1"/>
  <c r="A59" i="31" s="1"/>
  <c r="C59" i="31" s="1"/>
  <c r="B59" i="31" l="1"/>
  <c r="I59" i="31" l="1"/>
  <c r="D59" i="31"/>
  <c r="G59" i="31" s="1"/>
  <c r="E59" i="31" l="1"/>
  <c r="F59" i="31"/>
  <c r="H59" i="31" s="1"/>
  <c r="A60" i="31" s="1"/>
  <c r="C60" i="31" l="1"/>
  <c r="B60" i="31"/>
  <c r="I60" i="31" l="1"/>
  <c r="D60" i="31"/>
  <c r="F60" i="31" s="1"/>
  <c r="E60" i="31" l="1"/>
  <c r="G60" i="31"/>
  <c r="H60" i="31" s="1"/>
  <c r="A61" i="31" s="1"/>
  <c r="C61" i="31" s="1"/>
  <c r="B61" i="31" l="1"/>
  <c r="D61" i="31" l="1"/>
  <c r="E61" i="31" s="1"/>
  <c r="I61" i="31"/>
  <c r="F61" i="31" l="1"/>
  <c r="G61" i="31"/>
  <c r="H61" i="31" l="1"/>
  <c r="A62" i="31" s="1"/>
  <c r="C62" i="31" s="1"/>
  <c r="B62" i="31" l="1"/>
  <c r="I62" i="31" s="1"/>
  <c r="D62" i="31" l="1"/>
  <c r="F62" i="31" s="1"/>
  <c r="G62" i="31" l="1"/>
  <c r="H62" i="31" s="1"/>
  <c r="A63" i="31" s="1"/>
  <c r="C63" i="31" s="1"/>
  <c r="E62" i="31"/>
  <c r="B63" i="31" l="1"/>
  <c r="I63" i="31" s="1"/>
  <c r="D63" i="31" l="1"/>
  <c r="F63" i="31" s="1"/>
  <c r="G63" i="31" l="1"/>
  <c r="H63" i="31" s="1"/>
  <c r="A64" i="31" s="1"/>
  <c r="B64" i="31" s="1"/>
  <c r="I64" i="31" s="1"/>
  <c r="K64" i="31" s="1"/>
  <c r="E63" i="31"/>
  <c r="C64" i="31" l="1"/>
  <c r="D64" i="31"/>
  <c r="E64" i="31" l="1"/>
  <c r="G64" i="31"/>
  <c r="F64" i="31"/>
  <c r="H64" i="31" l="1"/>
  <c r="A65" i="31" s="1"/>
  <c r="C65" i="31" s="1"/>
  <c r="B65" i="31" l="1"/>
  <c r="I65" i="31" s="1"/>
  <c r="K65" i="31" s="1"/>
  <c r="D65" i="31" l="1"/>
  <c r="F65" i="31" s="1"/>
  <c r="G65" i="31" l="1"/>
  <c r="H65" i="31" s="1"/>
  <c r="A66" i="31" s="1"/>
  <c r="C66" i="31" s="1"/>
  <c r="E65" i="31"/>
  <c r="B66" i="31" l="1"/>
  <c r="D66" i="31" s="1"/>
  <c r="E66" i="31" s="1"/>
  <c r="I66" i="31" l="1"/>
  <c r="K66" i="31" s="1"/>
  <c r="G66" i="31"/>
  <c r="F66" i="31"/>
  <c r="H66" i="31" l="1"/>
  <c r="A67" i="31" s="1"/>
  <c r="C67" i="31" s="1"/>
  <c r="B67" i="31" l="1"/>
  <c r="I67" i="31" s="1"/>
  <c r="K67" i="31" s="1"/>
  <c r="D67" i="31" l="1"/>
  <c r="G67" i="31" s="1"/>
  <c r="F67" i="31" l="1"/>
  <c r="H67" i="31" s="1"/>
  <c r="A68" i="31" s="1"/>
  <c r="C68" i="31" s="1"/>
  <c r="E67" i="31"/>
  <c r="B68" i="31" l="1"/>
  <c r="D68" i="31" s="1"/>
  <c r="E68" i="31" s="1"/>
  <c r="I68" i="31" l="1"/>
  <c r="K68" i="31" s="1"/>
  <c r="F68" i="31"/>
  <c r="G68" i="31"/>
  <c r="L64" i="31" s="1"/>
  <c r="H68" i="31" l="1"/>
  <c r="A69" i="31" s="1"/>
  <c r="C69" i="31" s="1"/>
  <c r="B69" i="31" l="1"/>
  <c r="D69" i="31" s="1"/>
  <c r="E69" i="31" s="1"/>
  <c r="I69" i="31" l="1"/>
  <c r="K69" i="31" s="1"/>
  <c r="G69" i="31"/>
  <c r="F69" i="31"/>
  <c r="H69" i="31" l="1"/>
  <c r="A70" i="31" s="1"/>
  <c r="C70" i="31" l="1"/>
  <c r="B70" i="31"/>
  <c r="I70" i="31" l="1"/>
  <c r="K70" i="31" s="1"/>
  <c r="D70" i="31"/>
  <c r="E70" i="31" s="1"/>
  <c r="G70" i="31" l="1"/>
  <c r="F70" i="31"/>
  <c r="H70" i="31" l="1"/>
  <c r="A71" i="31" s="1"/>
  <c r="C71" i="31" l="1"/>
  <c r="B71" i="31"/>
  <c r="D71" i="31" l="1"/>
  <c r="G71" i="31" s="1"/>
  <c r="I71" i="31"/>
  <c r="K71" i="31" s="1"/>
  <c r="E71" i="31" l="1"/>
  <c r="F71" i="31"/>
  <c r="H71" i="31" s="1"/>
  <c r="A72" i="31" s="1"/>
  <c r="B72" i="31" s="1"/>
  <c r="C72" i="31" l="1"/>
  <c r="D72" i="31"/>
  <c r="I72" i="31"/>
  <c r="K72" i="31" s="1"/>
  <c r="E72" i="31" l="1"/>
  <c r="F72" i="31"/>
  <c r="G72" i="31"/>
  <c r="H72" i="31" l="1"/>
  <c r="A73" i="31" s="1"/>
  <c r="B73" i="31" s="1"/>
  <c r="I73" i="31" l="1"/>
  <c r="K73" i="31" s="1"/>
  <c r="C73" i="31"/>
  <c r="D73" i="31"/>
  <c r="E73" i="31" l="1"/>
  <c r="G73" i="31"/>
  <c r="F73" i="31"/>
  <c r="H73" i="31" l="1"/>
  <c r="A74" i="31" s="1"/>
  <c r="B74" i="31" s="1"/>
  <c r="D74" i="31" l="1"/>
  <c r="C74" i="31"/>
  <c r="I74" i="31"/>
  <c r="K74" i="31" s="1"/>
  <c r="E74" i="31" l="1"/>
  <c r="G74" i="31"/>
  <c r="L68" i="31" s="1"/>
  <c r="L69" i="31" s="1"/>
  <c r="F74" i="31"/>
  <c r="H74" i="31" l="1"/>
  <c r="A75" i="31" s="1"/>
  <c r="B75" i="31" s="1"/>
  <c r="I75" i="31" l="1"/>
  <c r="K75" i="31" s="1"/>
  <c r="D75" i="31"/>
  <c r="C75" i="31"/>
  <c r="E75" i="31" l="1"/>
  <c r="F75" i="31"/>
  <c r="G75" i="31"/>
  <c r="H75" i="31" l="1"/>
  <c r="A76" i="31" s="1"/>
  <c r="B76" i="31" s="1"/>
  <c r="I76" i="31" s="1"/>
  <c r="K76" i="31" s="1"/>
  <c r="D76" i="31" l="1"/>
  <c r="C76" i="31"/>
  <c r="F76" i="31" l="1"/>
  <c r="G76" i="31"/>
  <c r="E76" i="31"/>
  <c r="H76" i="31" l="1"/>
  <c r="A77" i="31" s="1"/>
  <c r="B77" i="31" s="1"/>
  <c r="I77" i="31" s="1"/>
  <c r="K77" i="31" s="1"/>
  <c r="D77" i="31" l="1"/>
  <c r="C77" i="31"/>
  <c r="G77" i="31" l="1"/>
  <c r="F77" i="31"/>
  <c r="E77" i="31"/>
  <c r="H77" i="31" l="1"/>
  <c r="A78" i="31" s="1"/>
  <c r="B78" i="31" s="1"/>
  <c r="I78" i="31" s="1"/>
  <c r="K78" i="31" s="1"/>
  <c r="C78" i="31" l="1"/>
  <c r="D78" i="31"/>
  <c r="F78" i="31" l="1"/>
  <c r="G78" i="31"/>
  <c r="E78" i="31"/>
  <c r="H78" i="31" l="1"/>
  <c r="A79" i="31" s="1"/>
  <c r="C79" i="31" s="1"/>
  <c r="B79" i="31" l="1"/>
  <c r="E79" i="31" s="1"/>
  <c r="G79" i="31" l="1"/>
  <c r="H79" i="31"/>
  <c r="A80" i="31" s="1"/>
  <c r="C80" i="31" s="1"/>
  <c r="F79" i="31"/>
  <c r="I79" i="31"/>
  <c r="K79" i="31" s="1"/>
  <c r="D79" i="31"/>
  <c r="B80" i="31" l="1"/>
  <c r="E80" i="31" s="1"/>
  <c r="I80" i="31" l="1"/>
  <c r="K80" i="31" s="1"/>
  <c r="H80" i="31"/>
  <c r="A81" i="31" s="1"/>
  <c r="C81" i="31" s="1"/>
  <c r="F80" i="31"/>
  <c r="D80" i="31"/>
  <c r="G80" i="31"/>
  <c r="B81" i="31" l="1"/>
  <c r="E81" i="31" s="1"/>
  <c r="F81" i="31" l="1"/>
  <c r="I81" i="31"/>
  <c r="K81" i="31" s="1"/>
  <c r="G81" i="31"/>
  <c r="D81" i="31"/>
  <c r="H81" i="31"/>
  <c r="A82" i="31" s="1"/>
  <c r="B82" i="31" s="1"/>
  <c r="E82" i="31" s="1"/>
  <c r="C82" i="31" l="1"/>
  <c r="I82" i="31"/>
  <c r="K82" i="31" s="1"/>
  <c r="H82" i="31"/>
  <c r="A83" i="31" s="1"/>
  <c r="B83" i="31" s="1"/>
  <c r="E83" i="31" s="1"/>
  <c r="G82" i="31"/>
  <c r="D82" i="31"/>
  <c r="F82" i="31"/>
  <c r="H83" i="31" l="1"/>
  <c r="A84" i="31" s="1"/>
  <c r="C84" i="31" s="1"/>
  <c r="F83" i="31"/>
  <c r="I83" i="31"/>
  <c r="K83" i="31" s="1"/>
  <c r="D83" i="31"/>
  <c r="G83" i="31"/>
  <c r="C83" i="31"/>
  <c r="B84" i="31" l="1"/>
  <c r="E84" i="31" s="1"/>
  <c r="G84" i="31"/>
  <c r="F84" i="31" l="1"/>
  <c r="I84" i="31"/>
  <c r="K84" i="31" s="1"/>
  <c r="D84" i="31"/>
  <c r="H84" i="31"/>
  <c r="A85" i="31" s="1"/>
  <c r="C85" i="31" s="1"/>
  <c r="B85" i="31" l="1"/>
  <c r="E85" i="31" s="1"/>
  <c r="D85" i="31"/>
  <c r="F85" i="31"/>
  <c r="H85" i="31"/>
  <c r="A86" i="31" s="1"/>
  <c r="G85" i="31"/>
  <c r="I85" i="31" l="1"/>
  <c r="K85" i="31" s="1"/>
  <c r="C86" i="31"/>
  <c r="B86" i="31"/>
  <c r="E86" i="31" s="1"/>
  <c r="D86" i="31" l="1"/>
  <c r="H86" i="31"/>
  <c r="A87" i="31" s="1"/>
  <c r="F86" i="31"/>
  <c r="I86" i="31"/>
  <c r="K86" i="31" s="1"/>
  <c r="G86" i="31"/>
  <c r="C87" i="31" l="1"/>
  <c r="B87" i="31"/>
  <c r="E87" i="31" s="1"/>
  <c r="I87" i="31" l="1"/>
  <c r="K87" i="31" s="1"/>
  <c r="D87" i="31"/>
  <c r="H87" i="31"/>
  <c r="A88" i="31" s="1"/>
  <c r="F87" i="31"/>
  <c r="G87" i="31"/>
  <c r="C88" i="31" l="1"/>
  <c r="B88" i="31"/>
  <c r="E88" i="31" s="1"/>
  <c r="I88" i="31" l="1"/>
  <c r="K88" i="31" s="1"/>
  <c r="G88" i="31"/>
  <c r="H88" i="31"/>
  <c r="A89" i="31" s="1"/>
  <c r="F88" i="31"/>
  <c r="D88" i="31"/>
  <c r="B89" i="31" l="1"/>
  <c r="E89" i="31" s="1"/>
  <c r="C89" i="31"/>
  <c r="F89" i="31" l="1"/>
  <c r="I89" i="31"/>
  <c r="K89" i="31" s="1"/>
  <c r="G89" i="31"/>
  <c r="H89" i="31"/>
  <c r="A90" i="31" s="1"/>
  <c r="D89" i="31"/>
  <c r="B90" i="31" l="1"/>
  <c r="E90" i="31" s="1"/>
  <c r="C90" i="31"/>
  <c r="F90" i="31" l="1"/>
  <c r="H90" i="31"/>
  <c r="A91" i="31" s="1"/>
  <c r="D90" i="31"/>
  <c r="I90" i="31"/>
  <c r="K90" i="31" s="1"/>
  <c r="G90" i="31"/>
  <c r="C91" i="31" l="1"/>
  <c r="B91" i="31"/>
  <c r="E91" i="31" s="1"/>
  <c r="G91" i="31" l="1"/>
  <c r="I91" i="31"/>
  <c r="K91" i="31" s="1"/>
  <c r="H91" i="31"/>
  <c r="A92" i="31" s="1"/>
  <c r="D91" i="31"/>
  <c r="F91" i="31"/>
  <c r="C92" i="31" l="1"/>
  <c r="B92" i="31"/>
  <c r="E92" i="31" s="1"/>
  <c r="G92" i="31" l="1"/>
  <c r="I92" i="31"/>
  <c r="K92" i="31" s="1"/>
  <c r="D92" i="31"/>
  <c r="H92" i="31"/>
  <c r="A93" i="31" s="1"/>
  <c r="F92" i="31"/>
  <c r="C93" i="31" l="1"/>
  <c r="B93" i="31"/>
  <c r="E93" i="31" s="1"/>
  <c r="F93" i="31" l="1"/>
  <c r="I93" i="31"/>
  <c r="K93" i="31" s="1"/>
  <c r="H93" i="31"/>
  <c r="A94" i="31" s="1"/>
  <c r="D93" i="31"/>
  <c r="G93" i="31"/>
  <c r="B94" i="31" l="1"/>
  <c r="E94" i="31" s="1"/>
  <c r="C94" i="31"/>
  <c r="H94" i="31" l="1"/>
  <c r="A95" i="31" s="1"/>
  <c r="I94" i="31"/>
  <c r="K94" i="31" s="1"/>
  <c r="G94" i="31"/>
  <c r="F94" i="31"/>
  <c r="D94" i="31"/>
  <c r="C95" i="31" l="1"/>
  <c r="B95" i="31"/>
  <c r="E95" i="31" s="1"/>
  <c r="G95" i="31" l="1"/>
  <c r="H95" i="31"/>
  <c r="A96" i="31" s="1"/>
  <c r="I95" i="31"/>
  <c r="K95" i="31" s="1"/>
  <c r="F95" i="31"/>
  <c r="D95" i="31"/>
  <c r="B96" i="31" l="1"/>
  <c r="E96" i="31" s="1"/>
  <c r="C96" i="31"/>
  <c r="G96" i="31" l="1"/>
  <c r="D96" i="31"/>
  <c r="I96" i="31"/>
  <c r="K96" i="31" s="1"/>
  <c r="F96" i="31"/>
  <c r="H96" i="31"/>
  <c r="A97" i="31" s="1"/>
  <c r="C97" i="31" l="1"/>
  <c r="B97" i="31"/>
  <c r="E97" i="31" s="1"/>
  <c r="D97" i="31" l="1"/>
  <c r="G97" i="31"/>
  <c r="F97" i="31"/>
  <c r="I97" i="31"/>
  <c r="K97" i="31" s="1"/>
  <c r="H97" i="31"/>
  <c r="A98" i="31" s="1"/>
  <c r="C98" i="31" l="1"/>
  <c r="B98" i="31"/>
  <c r="E98" i="31" s="1"/>
  <c r="D98" i="31" l="1"/>
  <c r="F98" i="31"/>
  <c r="H98" i="31"/>
  <c r="A99" i="31" s="1"/>
  <c r="G98" i="31"/>
  <c r="I98" i="31"/>
  <c r="K98" i="31" s="1"/>
  <c r="C99" i="31" l="1"/>
  <c r="B99" i="31"/>
  <c r="E99" i="31" s="1"/>
  <c r="F99" i="31" l="1"/>
  <c r="D99" i="31"/>
  <c r="I99" i="31"/>
  <c r="K99" i="31" s="1"/>
  <c r="H99" i="31"/>
  <c r="A100" i="31" s="1"/>
  <c r="G99" i="31"/>
  <c r="B100" i="31" l="1"/>
  <c r="E100" i="31" s="1"/>
  <c r="C100" i="31"/>
  <c r="H100" i="31" l="1"/>
  <c r="A101" i="31" s="1"/>
  <c r="I100" i="31"/>
  <c r="K100" i="31" s="1"/>
  <c r="G100" i="31"/>
  <c r="F100" i="31"/>
  <c r="D100" i="31"/>
  <c r="C101" i="31" l="1"/>
  <c r="B101" i="31"/>
  <c r="E101" i="31" s="1"/>
  <c r="G101" i="31" l="1"/>
  <c r="D101" i="31"/>
  <c r="F101" i="31"/>
  <c r="H101" i="31"/>
  <c r="A102" i="31" s="1"/>
  <c r="I101" i="31"/>
  <c r="K101" i="31" s="1"/>
  <c r="C102" i="31" l="1"/>
  <c r="B102" i="31"/>
  <c r="E102" i="31" s="1"/>
  <c r="F102" i="31" l="1"/>
  <c r="I102" i="31"/>
  <c r="K102" i="31" s="1"/>
  <c r="G102" i="31"/>
  <c r="D102" i="31"/>
  <c r="H102" i="31"/>
  <c r="A103" i="31" s="1"/>
  <c r="C103" i="31" l="1"/>
  <c r="B103" i="31"/>
  <c r="E103" i="31" s="1"/>
  <c r="F103" i="31" l="1"/>
  <c r="D103" i="31"/>
  <c r="I103" i="31"/>
  <c r="K103" i="31" s="1"/>
  <c r="H103" i="31"/>
  <c r="A104" i="31" s="1"/>
  <c r="G103" i="31"/>
  <c r="C104" i="31" l="1"/>
  <c r="B104" i="31"/>
  <c r="E104" i="31" s="1"/>
  <c r="H104" i="31" l="1"/>
  <c r="A105" i="31" s="1"/>
  <c r="D104" i="31"/>
  <c r="F104" i="31"/>
  <c r="I104" i="31"/>
  <c r="K104" i="31" s="1"/>
  <c r="G104" i="31"/>
  <c r="C105" i="31" l="1"/>
  <c r="B105" i="31"/>
  <c r="E105" i="31" s="1"/>
  <c r="H105" i="31" l="1"/>
  <c r="A106" i="31" s="1"/>
  <c r="I105" i="31"/>
  <c r="K105" i="31" s="1"/>
  <c r="F105" i="31"/>
  <c r="D105" i="31"/>
  <c r="G105" i="31"/>
  <c r="B106" i="31" l="1"/>
  <c r="E106" i="31" s="1"/>
  <c r="C106" i="31"/>
  <c r="I106" i="31" l="1"/>
  <c r="K106" i="31" s="1"/>
  <c r="H106" i="31"/>
  <c r="A107" i="31" s="1"/>
  <c r="D106" i="31"/>
  <c r="G106" i="31"/>
  <c r="F106" i="31"/>
  <c r="C107" i="31" l="1"/>
  <c r="B107" i="31"/>
  <c r="E107" i="31" s="1"/>
  <c r="F107" i="31" l="1"/>
  <c r="H107" i="31"/>
  <c r="A108" i="31" s="1"/>
  <c r="G107" i="31"/>
  <c r="I107" i="31"/>
  <c r="K107" i="31" s="1"/>
  <c r="D107" i="31"/>
  <c r="B108" i="31" l="1"/>
  <c r="E108" i="31" s="1"/>
  <c r="C108" i="31"/>
  <c r="G108" i="31" l="1"/>
  <c r="F108" i="31"/>
  <c r="H108" i="31"/>
  <c r="A109" i="31" s="1"/>
  <c r="I108" i="31"/>
  <c r="K108" i="31" s="1"/>
  <c r="D108" i="31"/>
  <c r="C109" i="31" l="1"/>
  <c r="B109" i="31"/>
  <c r="E109" i="31" s="1"/>
  <c r="I109" i="31" l="1"/>
  <c r="K109" i="31" s="1"/>
  <c r="F109" i="31"/>
  <c r="D109" i="31"/>
  <c r="H109" i="31"/>
  <c r="A110" i="31" s="1"/>
  <c r="G109" i="31"/>
  <c r="C110" i="31" l="1"/>
  <c r="B110" i="31"/>
  <c r="E110" i="31" s="1"/>
  <c r="H110" i="31" l="1"/>
  <c r="A111" i="31" s="1"/>
  <c r="I110" i="31"/>
  <c r="K110" i="31" s="1"/>
  <c r="G110" i="31"/>
  <c r="D110" i="31"/>
  <c r="F110" i="31"/>
  <c r="B111" i="31" l="1"/>
  <c r="E111" i="31" s="1"/>
  <c r="C111" i="31"/>
  <c r="G111" i="31" l="1"/>
  <c r="F111" i="31"/>
  <c r="I111" i="31"/>
  <c r="K111" i="31" s="1"/>
  <c r="H111" i="31"/>
  <c r="A112" i="31" s="1"/>
  <c r="D111" i="31"/>
  <c r="B112" i="31" l="1"/>
  <c r="E112" i="31" s="1"/>
  <c r="C112" i="31"/>
  <c r="H112" i="31" l="1"/>
  <c r="A113" i="31" s="1"/>
  <c r="I112" i="31"/>
  <c r="K112" i="31" s="1"/>
  <c r="D112" i="31"/>
  <c r="F112" i="31"/>
  <c r="G112" i="31"/>
  <c r="C113" i="31" l="1"/>
  <c r="B113" i="31"/>
  <c r="E113" i="31" s="1"/>
  <c r="F113" i="31" l="1"/>
  <c r="G113" i="31"/>
  <c r="H113" i="31"/>
  <c r="A114" i="31" s="1"/>
  <c r="I113" i="31"/>
  <c r="K113" i="31" s="1"/>
  <c r="D113" i="31"/>
  <c r="C114" i="31" l="1"/>
  <c r="B114" i="31"/>
  <c r="E114" i="31" s="1"/>
  <c r="G114" i="31" l="1"/>
  <c r="I114" i="31"/>
  <c r="K114" i="31" s="1"/>
  <c r="F114" i="31"/>
  <c r="H114" i="31"/>
  <c r="A115" i="31" s="1"/>
  <c r="D114" i="31"/>
  <c r="C115" i="31" l="1"/>
  <c r="B115" i="31"/>
  <c r="E115" i="31" s="1"/>
  <c r="G115" i="31" l="1"/>
  <c r="F115" i="31"/>
  <c r="D115" i="31"/>
  <c r="H115" i="31"/>
  <c r="A116" i="31" s="1"/>
  <c r="I115" i="31"/>
  <c r="K115" i="31" s="1"/>
  <c r="C116" i="31" l="1"/>
  <c r="B116" i="31"/>
  <c r="E116" i="31" s="1"/>
  <c r="H116" i="31" l="1"/>
  <c r="A117" i="31" s="1"/>
  <c r="G116" i="31"/>
  <c r="D116" i="31"/>
  <c r="I116" i="31"/>
  <c r="K116" i="31" s="1"/>
  <c r="F116" i="31"/>
  <c r="C117" i="31" l="1"/>
  <c r="B117" i="31"/>
  <c r="E117" i="31" s="1"/>
  <c r="G117" i="31" l="1"/>
  <c r="I117" i="31"/>
  <c r="K117" i="31" s="1"/>
  <c r="F117" i="31"/>
  <c r="D117" i="31"/>
  <c r="H117" i="31"/>
  <c r="A118" i="31" s="1"/>
  <c r="B118" i="31" l="1"/>
  <c r="E118" i="31" s="1"/>
  <c r="C118" i="31"/>
  <c r="H118" i="31" l="1"/>
  <c r="A119" i="31" s="1"/>
  <c r="I118" i="31"/>
  <c r="K118" i="31" s="1"/>
  <c r="F118" i="31"/>
  <c r="D118" i="31"/>
  <c r="G118" i="31"/>
  <c r="C119" i="31" l="1"/>
  <c r="B119" i="31"/>
  <c r="E119" i="31" s="1"/>
  <c r="F119" i="31" l="1"/>
  <c r="I119" i="31"/>
  <c r="K119" i="31" s="1"/>
  <c r="G119" i="31"/>
  <c r="D119" i="31"/>
  <c r="H119" i="31"/>
  <c r="A120" i="31" s="1"/>
  <c r="C120" i="31" l="1"/>
  <c r="B120" i="31"/>
  <c r="E120" i="31" s="1"/>
  <c r="H120" i="31" l="1"/>
  <c r="A121" i="31" s="1"/>
  <c r="G120" i="31"/>
  <c r="F120" i="31"/>
  <c r="D120" i="31"/>
  <c r="I120" i="31"/>
  <c r="K120" i="31" s="1"/>
  <c r="C121" i="31" l="1"/>
  <c r="B121" i="31"/>
  <c r="E121" i="31" s="1"/>
  <c r="G121" i="31" l="1"/>
  <c r="F121" i="31"/>
  <c r="I121" i="31"/>
  <c r="K121" i="31" s="1"/>
  <c r="H121" i="31"/>
  <c r="A122" i="31" s="1"/>
  <c r="D121" i="31"/>
  <c r="B122" i="31" l="1"/>
  <c r="E122" i="31" s="1"/>
  <c r="C122" i="31"/>
  <c r="H122" i="31" l="1"/>
  <c r="A123" i="31" s="1"/>
  <c r="D122" i="31"/>
  <c r="F122" i="31"/>
  <c r="G122" i="31"/>
  <c r="I122" i="31"/>
  <c r="K122" i="31" s="1"/>
  <c r="C123" i="31" l="1"/>
  <c r="B123" i="31"/>
  <c r="E123" i="31" s="1"/>
  <c r="G123" i="31" l="1"/>
  <c r="D123" i="31"/>
  <c r="I123" i="31"/>
  <c r="K123" i="31" s="1"/>
  <c r="H123" i="31"/>
  <c r="A124" i="31" s="1"/>
  <c r="F123" i="31"/>
  <c r="B124" i="31" l="1"/>
  <c r="E124" i="31" s="1"/>
  <c r="C124" i="31"/>
  <c r="H124" i="31" l="1"/>
  <c r="A125" i="31" s="1"/>
  <c r="I124" i="31"/>
  <c r="K124" i="31" s="1"/>
  <c r="G124" i="31"/>
  <c r="F124" i="31"/>
  <c r="D124" i="31"/>
  <c r="C125" i="31" l="1"/>
  <c r="B125" i="31"/>
  <c r="E125" i="31" s="1"/>
  <c r="F125" i="31" l="1"/>
  <c r="G125" i="31"/>
  <c r="D125" i="31"/>
  <c r="H125" i="31"/>
  <c r="A126" i="31" s="1"/>
  <c r="I125" i="31"/>
  <c r="K125" i="31" s="1"/>
  <c r="C126" i="31" l="1"/>
  <c r="B126" i="31"/>
  <c r="E126" i="31" s="1"/>
  <c r="H126" i="31" l="1"/>
  <c r="A127" i="31" s="1"/>
  <c r="I126" i="31"/>
  <c r="K126" i="31" s="1"/>
  <c r="G126" i="31"/>
  <c r="F126" i="31"/>
  <c r="D126" i="31"/>
  <c r="C127" i="31" l="1"/>
  <c r="B127" i="31"/>
  <c r="E127" i="31" s="1"/>
  <c r="F127" i="31" l="1"/>
  <c r="I127" i="31"/>
  <c r="K127" i="31" s="1"/>
  <c r="G127" i="31"/>
  <c r="H127" i="31"/>
  <c r="A128" i="31" s="1"/>
  <c r="D127" i="31"/>
  <c r="B128" i="31" l="1"/>
  <c r="E128" i="31" s="1"/>
  <c r="C128" i="31"/>
  <c r="D128" i="31" l="1"/>
  <c r="F128" i="31"/>
  <c r="G128" i="31"/>
  <c r="H128" i="31"/>
  <c r="A129" i="31" s="1"/>
  <c r="I128" i="31"/>
  <c r="K128" i="31" s="1"/>
  <c r="C129" i="31" l="1"/>
  <c r="B129" i="31"/>
  <c r="E129" i="31" s="1"/>
  <c r="F129" i="31" l="1"/>
  <c r="D129" i="31"/>
  <c r="I129" i="31"/>
  <c r="K129" i="31" s="1"/>
  <c r="G129" i="31"/>
  <c r="H129" i="31"/>
  <c r="A130" i="31" s="1"/>
  <c r="C130" i="31" l="1"/>
  <c r="B130" i="31"/>
  <c r="E130" i="31" s="1"/>
  <c r="G130" i="31" l="1"/>
  <c r="I130" i="31"/>
  <c r="K130" i="31" s="1"/>
  <c r="F130" i="31"/>
  <c r="H130" i="31"/>
  <c r="A131" i="31" s="1"/>
  <c r="D130" i="31"/>
  <c r="C131" i="31" l="1"/>
  <c r="B131" i="31"/>
  <c r="E131" i="31" s="1"/>
  <c r="F131" i="31" l="1"/>
  <c r="I131" i="31"/>
  <c r="K131" i="31" s="1"/>
  <c r="G131" i="31"/>
  <c r="D131" i="31"/>
  <c r="H131" i="31"/>
  <c r="A132" i="31" s="1"/>
  <c r="C132" i="31" l="1"/>
  <c r="B132" i="31"/>
  <c r="E132" i="31" s="1"/>
  <c r="D132" i="31" l="1"/>
  <c r="I132" i="31"/>
  <c r="K132" i="31" s="1"/>
  <c r="H132" i="31"/>
  <c r="A133" i="31" s="1"/>
  <c r="F132" i="31"/>
  <c r="G132" i="31"/>
  <c r="C133" i="31" l="1"/>
  <c r="B133" i="31"/>
  <c r="E133" i="31" s="1"/>
  <c r="G133" i="31" l="1"/>
  <c r="F133" i="31"/>
  <c r="D133" i="31"/>
  <c r="I133" i="31"/>
  <c r="K133" i="31" s="1"/>
  <c r="H133" i="31"/>
  <c r="A134" i="31" s="1"/>
  <c r="B134" i="31" l="1"/>
  <c r="E134" i="31" s="1"/>
  <c r="C134" i="31"/>
  <c r="H134" i="31" l="1"/>
  <c r="A135" i="31" s="1"/>
  <c r="I134" i="31"/>
  <c r="K134" i="31" s="1"/>
  <c r="F134" i="31"/>
  <c r="D134" i="31"/>
  <c r="G134" i="31"/>
  <c r="C135" i="31" l="1"/>
  <c r="B135" i="31"/>
  <c r="E135" i="31" s="1"/>
  <c r="F135" i="31" l="1"/>
  <c r="D135" i="31"/>
  <c r="H135" i="31"/>
  <c r="A136" i="31" s="1"/>
  <c r="I135" i="31"/>
  <c r="K135" i="31" s="1"/>
  <c r="G135" i="31"/>
  <c r="C136" i="31" l="1"/>
  <c r="B136" i="31"/>
  <c r="E136" i="31" s="1"/>
  <c r="G136" i="31" l="1"/>
  <c r="D136" i="31"/>
  <c r="F136" i="31"/>
  <c r="H136" i="31"/>
  <c r="A137" i="31" s="1"/>
  <c r="I136" i="31"/>
  <c r="K136" i="31" s="1"/>
  <c r="C137" i="31" l="1"/>
  <c r="B137" i="31"/>
  <c r="E137" i="31" s="1"/>
  <c r="I137" i="31" l="1"/>
  <c r="K137" i="31" s="1"/>
  <c r="D137" i="31"/>
  <c r="F137" i="31"/>
  <c r="G137" i="31"/>
  <c r="H137" i="31"/>
  <c r="A138" i="31" s="1"/>
  <c r="C138" i="31" l="1"/>
  <c r="H11" i="31" s="1"/>
  <c r="B138" i="31"/>
  <c r="E138" i="31" s="1"/>
  <c r="H138" i="31" l="1"/>
  <c r="A139" i="31" s="1"/>
  <c r="F138" i="31"/>
  <c r="G138" i="31"/>
  <c r="I138" i="31"/>
  <c r="D138" i="31"/>
  <c r="T21" i="31" l="1"/>
  <c r="P21" i="31"/>
  <c r="K138" i="31"/>
  <c r="V21" i="31"/>
  <c r="L20" i="31"/>
  <c r="O21" i="31"/>
  <c r="Q21" i="31"/>
  <c r="R21" i="31"/>
  <c r="U21" i="31"/>
  <c r="M21" i="31"/>
  <c r="M20" i="31" s="1"/>
  <c r="N21" i="31"/>
  <c r="L21" i="31"/>
  <c r="W21" i="31"/>
  <c r="S21" i="31"/>
  <c r="L30" i="31" a="1"/>
  <c r="L31" i="31" a="1"/>
  <c r="H12" i="31"/>
  <c r="BY31" i="31" l="1"/>
  <c r="DI31" i="31"/>
  <c r="DS31" i="31"/>
  <c r="Z31" i="31"/>
  <c r="BK31" i="31"/>
  <c r="CZ31" i="31"/>
  <c r="DO31" i="31"/>
  <c r="BU31" i="31"/>
  <c r="CN31" i="31"/>
  <c r="AX31" i="31"/>
  <c r="AN31" i="31"/>
  <c r="CG31" i="31"/>
  <c r="BB31" i="31"/>
  <c r="BE31" i="31"/>
  <c r="DX31" i="31"/>
  <c r="AE31" i="31"/>
  <c r="CK31" i="31"/>
  <c r="M31" i="31"/>
  <c r="AS111" i="13" s="1"/>
  <c r="AS277" i="13" s="1"/>
  <c r="DQ31" i="31"/>
  <c r="AI31" i="31"/>
  <c r="DR31" i="31"/>
  <c r="AS31" i="31"/>
  <c r="CB31" i="31"/>
  <c r="CD31" i="31"/>
  <c r="DC31" i="31"/>
  <c r="CX31" i="31"/>
  <c r="T31" i="31"/>
  <c r="AZ111" i="13" s="1"/>
  <c r="BT31" i="31"/>
  <c r="DU31" i="31"/>
  <c r="AG31" i="31"/>
  <c r="AY31" i="31"/>
  <c r="BG31" i="31"/>
  <c r="CE31" i="31"/>
  <c r="BZ31" i="31"/>
  <c r="O31" i="31"/>
  <c r="AU111" i="13" s="1"/>
  <c r="CY31" i="31"/>
  <c r="CT31" i="31"/>
  <c r="N31" i="31"/>
  <c r="AT111" i="13" s="1"/>
  <c r="AO31" i="31"/>
  <c r="Y31" i="31"/>
  <c r="BX31" i="31"/>
  <c r="DM31" i="31"/>
  <c r="BQ31" i="31"/>
  <c r="CO31" i="31"/>
  <c r="BW31" i="31"/>
  <c r="BV31" i="31"/>
  <c r="CJ31" i="31"/>
  <c r="AU31" i="31"/>
  <c r="CC31" i="31"/>
  <c r="BO31" i="31"/>
  <c r="S31" i="31"/>
  <c r="AY111" i="13" s="1"/>
  <c r="DG31" i="31"/>
  <c r="AM31" i="31"/>
  <c r="L31" i="31"/>
  <c r="AR111" i="13" s="1"/>
  <c r="Q31" i="31"/>
  <c r="AW111" i="13" s="1"/>
  <c r="R31" i="31"/>
  <c r="AX111" i="13" s="1"/>
  <c r="AK31" i="31"/>
  <c r="CH31" i="31"/>
  <c r="DH31" i="31"/>
  <c r="DD31" i="31"/>
  <c r="AV31" i="31"/>
  <c r="W31" i="31"/>
  <c r="BC111" i="13" s="1"/>
  <c r="BA31" i="31"/>
  <c r="AC31" i="31"/>
  <c r="CV31" i="31"/>
  <c r="BN31" i="31"/>
  <c r="BL31" i="31"/>
  <c r="BM31" i="31"/>
  <c r="U31" i="31"/>
  <c r="BA111" i="13" s="1"/>
  <c r="DW31" i="31"/>
  <c r="CM31" i="31"/>
  <c r="DA31" i="31"/>
  <c r="BF31" i="31"/>
  <c r="BP31" i="31"/>
  <c r="CS31" i="31"/>
  <c r="DJ31" i="31"/>
  <c r="AT31" i="31"/>
  <c r="AA31" i="31"/>
  <c r="DL31" i="31"/>
  <c r="AH31" i="31"/>
  <c r="BI31" i="31"/>
  <c r="DB31" i="31"/>
  <c r="AB31" i="31"/>
  <c r="BS31" i="31"/>
  <c r="X31" i="31"/>
  <c r="CI31" i="31"/>
  <c r="CW31" i="31"/>
  <c r="AW31" i="31"/>
  <c r="AF31" i="31"/>
  <c r="AP31" i="31"/>
  <c r="CF31" i="31"/>
  <c r="BH31" i="31"/>
  <c r="CQ31" i="31"/>
  <c r="DE31" i="31"/>
  <c r="BD31" i="31"/>
  <c r="AZ31" i="31"/>
  <c r="DN31" i="31"/>
  <c r="DV31" i="31"/>
  <c r="CL31" i="31"/>
  <c r="DT31" i="31"/>
  <c r="V31" i="31"/>
  <c r="BB111" i="13" s="1"/>
  <c r="AR31" i="31"/>
  <c r="AL31" i="31"/>
  <c r="AQ31" i="31"/>
  <c r="BJ31" i="31"/>
  <c r="CP31" i="31"/>
  <c r="CU31" i="31"/>
  <c r="CR31" i="31"/>
  <c r="AJ31" i="31"/>
  <c r="DK31" i="31"/>
  <c r="AD31" i="31"/>
  <c r="CA31" i="31"/>
  <c r="BR31" i="31"/>
  <c r="P31" i="31"/>
  <c r="AV111" i="13" s="1"/>
  <c r="DY31" i="31"/>
  <c r="DP31" i="31"/>
  <c r="DF31" i="31"/>
  <c r="BC31" i="31"/>
  <c r="DZ31" i="31"/>
  <c r="EA31" i="31"/>
  <c r="L22" i="31"/>
  <c r="M68" i="31" s="1"/>
  <c r="DI30" i="31"/>
  <c r="R30" i="31"/>
  <c r="AX254" i="13" s="1"/>
  <c r="AX276" i="13" s="1"/>
  <c r="CT30" i="31"/>
  <c r="DU30" i="31"/>
  <c r="DP30" i="31"/>
  <c r="S30" i="31"/>
  <c r="AY254" i="13" s="1"/>
  <c r="AY276" i="13" s="1"/>
  <c r="AT30" i="31"/>
  <c r="BL30" i="31"/>
  <c r="BS30" i="31"/>
  <c r="X30" i="31"/>
  <c r="CZ30" i="31"/>
  <c r="AK30" i="31"/>
  <c r="AN30" i="31"/>
  <c r="AH30" i="31"/>
  <c r="BF30" i="31"/>
  <c r="CS30" i="31"/>
  <c r="N30" i="31"/>
  <c r="AT254" i="13" s="1"/>
  <c r="AT276" i="13" s="1"/>
  <c r="DM30" i="31"/>
  <c r="BB30" i="31"/>
  <c r="BG30" i="31"/>
  <c r="Y30" i="31"/>
  <c r="CX30" i="31"/>
  <c r="CI30" i="31"/>
  <c r="CM30" i="31"/>
  <c r="O30" i="31"/>
  <c r="AU254" i="13" s="1"/>
  <c r="AU276" i="13" s="1"/>
  <c r="DE30" i="31"/>
  <c r="BH30" i="31"/>
  <c r="AF30" i="31"/>
  <c r="CW30" i="31"/>
  <c r="CJ30" i="31"/>
  <c r="CR30" i="31"/>
  <c r="DD30" i="31"/>
  <c r="CH30" i="31"/>
  <c r="AD30" i="31"/>
  <c r="AV30" i="31"/>
  <c r="AC30" i="31"/>
  <c r="U30" i="31"/>
  <c r="BA254" i="13" s="1"/>
  <c r="BA276" i="13" s="1"/>
  <c r="BP30" i="31"/>
  <c r="CP30" i="31"/>
  <c r="AB30" i="31"/>
  <c r="BZ30" i="31"/>
  <c r="BJ30" i="31"/>
  <c r="T30" i="31"/>
  <c r="AZ254" i="13" s="1"/>
  <c r="AZ276" i="13" s="1"/>
  <c r="BO30" i="31"/>
  <c r="DT30" i="31"/>
  <c r="AU30" i="31"/>
  <c r="CG30" i="31"/>
  <c r="CV30" i="31"/>
  <c r="AS30" i="31"/>
  <c r="AQ30" i="31"/>
  <c r="AI30" i="31"/>
  <c r="BC30" i="31"/>
  <c r="AP30" i="31"/>
  <c r="Q30" i="31"/>
  <c r="AW254" i="13" s="1"/>
  <c r="AW276" i="13" s="1"/>
  <c r="AR30" i="31"/>
  <c r="DX30" i="31"/>
  <c r="CQ30" i="31"/>
  <c r="DC30" i="31"/>
  <c r="AZ30" i="31"/>
  <c r="BI30" i="31"/>
  <c r="V30" i="31"/>
  <c r="BB254" i="13" s="1"/>
  <c r="BB276" i="13" s="1"/>
  <c r="M30" i="31"/>
  <c r="AS254" i="13" s="1"/>
  <c r="AM30" i="31"/>
  <c r="BN30" i="31"/>
  <c r="CF30" i="31"/>
  <c r="DF30" i="31"/>
  <c r="AX30" i="31"/>
  <c r="CA30" i="31"/>
  <c r="AE30" i="31"/>
  <c r="L30" i="31"/>
  <c r="DV30" i="31"/>
  <c r="P30" i="31"/>
  <c r="AV254" i="13" s="1"/>
  <c r="AV276" i="13" s="1"/>
  <c r="DH30" i="31"/>
  <c r="AO30" i="31"/>
  <c r="CO30" i="31"/>
  <c r="DS30" i="31"/>
  <c r="BQ30" i="31"/>
  <c r="DJ30" i="31"/>
  <c r="BX30" i="31"/>
  <c r="CN30" i="31"/>
  <c r="CE30" i="31"/>
  <c r="CC30" i="31"/>
  <c r="BT30" i="31"/>
  <c r="CD30" i="31"/>
  <c r="DO30" i="31"/>
  <c r="CK30" i="31"/>
  <c r="BM30" i="31"/>
  <c r="DK30" i="31"/>
  <c r="AA30" i="31"/>
  <c r="AW30" i="31"/>
  <c r="DB30" i="31"/>
  <c r="DG30" i="31"/>
  <c r="CY30" i="31"/>
  <c r="W30" i="31"/>
  <c r="BC254" i="13" s="1"/>
  <c r="BC276" i="13" s="1"/>
  <c r="DA30" i="31"/>
  <c r="CU30" i="31"/>
  <c r="AJ30" i="31"/>
  <c r="DL30" i="31"/>
  <c r="DY30" i="31"/>
  <c r="BW30" i="31"/>
  <c r="AG30" i="31"/>
  <c r="DW30" i="31"/>
  <c r="CB30" i="31"/>
  <c r="DQ30" i="31"/>
  <c r="BY30" i="31"/>
  <c r="BE30" i="31"/>
  <c r="BV30" i="31"/>
  <c r="Z30" i="31"/>
  <c r="BU30" i="31"/>
  <c r="CL30" i="31"/>
  <c r="BR30" i="31"/>
  <c r="DR30" i="31"/>
  <c r="BD30" i="31"/>
  <c r="AL30" i="31"/>
  <c r="BK30" i="31"/>
  <c r="AY30" i="31"/>
  <c r="BA30" i="31"/>
  <c r="DN30" i="31"/>
  <c r="DZ30" i="31"/>
  <c r="EA30" i="31"/>
  <c r="M22" i="31"/>
  <c r="M23" i="31" s="1"/>
  <c r="N19" i="31" s="1"/>
  <c r="N20" i="31" s="1"/>
  <c r="N22" i="31" s="1"/>
  <c r="N23" i="31" s="1"/>
  <c r="O19" i="31" s="1"/>
  <c r="O20" i="31" s="1"/>
  <c r="O22" i="31" s="1"/>
  <c r="O23" i="31" s="1"/>
  <c r="P19" i="31" s="1"/>
  <c r="P20" i="31" s="1"/>
  <c r="P22" i="31" s="1"/>
  <c r="P23" i="31" s="1"/>
  <c r="Q19" i="31" s="1"/>
  <c r="Q20" i="31" s="1"/>
  <c r="Q22" i="31" s="1"/>
  <c r="Q23" i="31" s="1"/>
  <c r="R19" i="31" s="1"/>
  <c r="R20" i="31" s="1"/>
  <c r="R22" i="31" s="1"/>
  <c r="R23" i="31" s="1"/>
  <c r="S19" i="31" s="1"/>
  <c r="AT114" i="13" l="1"/>
  <c r="AT115" i="13" s="1"/>
  <c r="AT277" i="13"/>
  <c r="AX114" i="13"/>
  <c r="AX115" i="13" s="1"/>
  <c r="AX236" i="13" s="1"/>
  <c r="AX242" i="13" s="1"/>
  <c r="AX277" i="13"/>
  <c r="AX278" i="13" s="1"/>
  <c r="AW114" i="13"/>
  <c r="AW115" i="13" s="1"/>
  <c r="AW8" i="13" s="1"/>
  <c r="AW277" i="13"/>
  <c r="AW278" i="13" s="1"/>
  <c r="AU114" i="13"/>
  <c r="AU115" i="13" s="1"/>
  <c r="AU236" i="13" s="1"/>
  <c r="AU242" i="13" s="1"/>
  <c r="AU277" i="13"/>
  <c r="AU278" i="13" s="1"/>
  <c r="AV114" i="13"/>
  <c r="AV115" i="13" s="1"/>
  <c r="AV122" i="13" s="1"/>
  <c r="AV277" i="13"/>
  <c r="AV278" i="13" s="1"/>
  <c r="AY114" i="13"/>
  <c r="AY115" i="13" s="1"/>
  <c r="AY122" i="13" s="1"/>
  <c r="AY277" i="13"/>
  <c r="AY278" i="13" s="1"/>
  <c r="AT278" i="13"/>
  <c r="BA114" i="13"/>
  <c r="BA115" i="13" s="1"/>
  <c r="BA134" i="13" s="1"/>
  <c r="BA277" i="13"/>
  <c r="BA278" i="13" s="1"/>
  <c r="AZ114" i="13"/>
  <c r="AZ115" i="13" s="1"/>
  <c r="AZ116" i="13" s="1"/>
  <c r="AZ277" i="13"/>
  <c r="AZ278" i="13" s="1"/>
  <c r="BC114" i="13"/>
  <c r="BC115" i="13" s="1"/>
  <c r="BC117" i="13" s="1"/>
  <c r="BC277" i="13"/>
  <c r="BC278" i="13" s="1"/>
  <c r="BB114" i="13"/>
  <c r="BB115" i="13" s="1"/>
  <c r="BB122" i="13" s="1"/>
  <c r="BB277" i="13"/>
  <c r="BB278" i="13" s="1"/>
  <c r="AS209" i="13"/>
  <c r="AT209" i="13" s="1"/>
  <c r="AS276" i="13"/>
  <c r="AS278" i="13" s="1"/>
  <c r="AS114" i="13"/>
  <c r="AS115" i="13" s="1"/>
  <c r="AS116" i="13" s="1"/>
  <c r="BG111" i="13"/>
  <c r="BA262" i="13"/>
  <c r="AX262" i="13"/>
  <c r="AY262" i="13"/>
  <c r="AU262" i="13"/>
  <c r="BB262" i="13"/>
  <c r="AS262" i="13"/>
  <c r="AT8" i="13"/>
  <c r="AT122" i="13"/>
  <c r="AT236" i="13"/>
  <c r="AT242" i="13" s="1"/>
  <c r="AT134" i="13"/>
  <c r="AT116" i="13"/>
  <c r="AT117" i="13"/>
  <c r="AV262" i="13"/>
  <c r="AR115" i="13"/>
  <c r="J19" i="30"/>
  <c r="N32" i="31"/>
  <c r="S20" i="31"/>
  <c r="S22" i="31" s="1"/>
  <c r="S23" i="31" s="1"/>
  <c r="T19" i="31" s="1"/>
  <c r="T20" i="31" s="1"/>
  <c r="T22" i="31" s="1"/>
  <c r="T23" i="31" s="1"/>
  <c r="U19" i="31" s="1"/>
  <c r="AS295" i="13" l="1"/>
  <c r="AS296" i="13" s="1"/>
  <c r="AX8" i="13"/>
  <c r="AV116" i="13"/>
  <c r="AV134" i="13"/>
  <c r="AV135" i="13" s="1"/>
  <c r="AV236" i="13"/>
  <c r="AV242" i="13" s="1"/>
  <c r="AX116" i="13"/>
  <c r="AY236" i="13"/>
  <c r="AY242" i="13" s="1"/>
  <c r="AW134" i="13"/>
  <c r="AW136" i="13" s="1"/>
  <c r="AV117" i="13"/>
  <c r="AW122" i="13"/>
  <c r="AW236" i="13"/>
  <c r="AW242" i="13" s="1"/>
  <c r="AW117" i="13"/>
  <c r="AX117" i="13"/>
  <c r="AW116" i="13"/>
  <c r="AX122" i="13"/>
  <c r="BC236" i="13"/>
  <c r="BC242" i="13" s="1"/>
  <c r="BC116" i="13"/>
  <c r="BC134" i="13"/>
  <c r="BC136" i="13" s="1"/>
  <c r="AW261" i="13"/>
  <c r="AW273" i="13" s="1"/>
  <c r="BC122" i="13"/>
  <c r="BC8" i="13"/>
  <c r="AX134" i="13"/>
  <c r="AZ261" i="13"/>
  <c r="AZ262" i="13" s="1"/>
  <c r="AY117" i="13"/>
  <c r="BC261" i="13"/>
  <c r="BC262" i="13" s="1"/>
  <c r="AY116" i="13"/>
  <c r="AZ8" i="13"/>
  <c r="AZ134" i="13"/>
  <c r="AY134" i="13"/>
  <c r="AZ117" i="13"/>
  <c r="AY8" i="13"/>
  <c r="AV8" i="13"/>
  <c r="AZ236" i="13"/>
  <c r="AZ242" i="13" s="1"/>
  <c r="BA117" i="13"/>
  <c r="BB134" i="13"/>
  <c r="BA122" i="13"/>
  <c r="AU117" i="13"/>
  <c r="AU8" i="13"/>
  <c r="BB236" i="13"/>
  <c r="BB242" i="13" s="1"/>
  <c r="BA236" i="13"/>
  <c r="BA242" i="13" s="1"/>
  <c r="AU134" i="13"/>
  <c r="AU116" i="13"/>
  <c r="AU122" i="13"/>
  <c r="AZ122" i="13"/>
  <c r="BB117" i="13"/>
  <c r="BB8" i="13"/>
  <c r="BA116" i="13"/>
  <c r="BB116" i="13"/>
  <c r="BA8" i="13"/>
  <c r="AS216" i="13"/>
  <c r="AS217" i="13" s="1"/>
  <c r="AU209" i="13"/>
  <c r="AT295" i="13"/>
  <c r="AT296" i="13" s="1"/>
  <c r="AS8" i="13"/>
  <c r="AS117" i="13"/>
  <c r="AS122" i="13"/>
  <c r="BG114" i="13"/>
  <c r="BG115" i="13" s="1"/>
  <c r="BG116" i="13" s="1"/>
  <c r="AS134" i="13"/>
  <c r="AS135" i="13" s="1"/>
  <c r="AS236" i="13"/>
  <c r="AS242" i="13" s="1"/>
  <c r="AT216" i="13"/>
  <c r="AT217" i="13" s="1"/>
  <c r="BA135" i="13"/>
  <c r="BA136" i="13"/>
  <c r="AT136" i="13"/>
  <c r="AT135" i="13"/>
  <c r="AR236" i="13"/>
  <c r="AR242" i="13" s="1"/>
  <c r="AR8" i="13"/>
  <c r="AR117" i="13"/>
  <c r="AR122" i="13"/>
  <c r="AR134" i="13"/>
  <c r="AR116" i="13"/>
  <c r="AT261" i="13"/>
  <c r="AT273" i="13" s="1"/>
  <c r="AR227" i="13"/>
  <c r="U20" i="31"/>
  <c r="U22" i="31" s="1"/>
  <c r="U23" i="31" s="1"/>
  <c r="V19" i="31" s="1"/>
  <c r="BC137" i="13" l="1"/>
  <c r="BC272" i="13"/>
  <c r="AW137" i="13"/>
  <c r="AW272" i="13"/>
  <c r="AW274" i="13" s="1"/>
  <c r="BC135" i="13"/>
  <c r="AT137" i="13"/>
  <c r="AT272" i="13"/>
  <c r="AT274" i="13" s="1"/>
  <c r="BA137" i="13"/>
  <c r="BA272" i="13"/>
  <c r="BA274" i="13" s="1"/>
  <c r="AV136" i="13"/>
  <c r="AZ135" i="13"/>
  <c r="AW135" i="13"/>
  <c r="AZ273" i="13"/>
  <c r="AW262" i="13"/>
  <c r="AY135" i="13"/>
  <c r="AY136" i="13"/>
  <c r="BC273" i="13"/>
  <c r="BB136" i="13"/>
  <c r="BB135" i="13"/>
  <c r="AX135" i="13"/>
  <c r="AX136" i="13"/>
  <c r="AZ136" i="13"/>
  <c r="AU135" i="13"/>
  <c r="AU136" i="13"/>
  <c r="BG122" i="13"/>
  <c r="BG123" i="13" s="1"/>
  <c r="AV209" i="13"/>
  <c r="AU295" i="13"/>
  <c r="AU296" i="13" s="1"/>
  <c r="AU216" i="13"/>
  <c r="AU217" i="13" s="1"/>
  <c r="AS136" i="13"/>
  <c r="BG8" i="13"/>
  <c r="AS227" i="13"/>
  <c r="AR232" i="13"/>
  <c r="AR228" i="13"/>
  <c r="AT262" i="13"/>
  <c r="AT226" i="13"/>
  <c r="AR135" i="13"/>
  <c r="AR136" i="13"/>
  <c r="BG134" i="13"/>
  <c r="V20" i="31"/>
  <c r="V22" i="31" s="1"/>
  <c r="V23" i="31" s="1"/>
  <c r="W19" i="31" s="1"/>
  <c r="BC274" i="13" l="1"/>
  <c r="AT281" i="13"/>
  <c r="AS281" i="13"/>
  <c r="AV281" i="13"/>
  <c r="AU281" i="13"/>
  <c r="AR272" i="13"/>
  <c r="AR274" i="13" s="1"/>
  <c r="AR281" i="13"/>
  <c r="AR280" i="13"/>
  <c r="AU137" i="13"/>
  <c r="AU272" i="13"/>
  <c r="AV137" i="13"/>
  <c r="AV272" i="13"/>
  <c r="AV274" i="13" s="1"/>
  <c r="AZ137" i="13"/>
  <c r="AZ272" i="13"/>
  <c r="AZ274" i="13" s="1"/>
  <c r="AX137" i="13"/>
  <c r="AX272" i="13"/>
  <c r="AX274" i="13" s="1"/>
  <c r="BB137" i="13"/>
  <c r="BB272" i="13"/>
  <c r="BB274" i="13" s="1"/>
  <c r="AY137" i="13"/>
  <c r="AY272" i="13"/>
  <c r="AY274" i="13" s="1"/>
  <c r="AS137" i="13"/>
  <c r="AS272" i="13"/>
  <c r="AS274" i="13" s="1"/>
  <c r="AW209" i="13"/>
  <c r="AW281" i="13" s="1"/>
  <c r="AV295" i="13"/>
  <c r="AV296" i="13" s="1"/>
  <c r="AV216" i="13"/>
  <c r="AV217" i="13" s="1"/>
  <c r="AR137" i="13"/>
  <c r="BG136" i="13"/>
  <c r="BG137" i="13" s="1"/>
  <c r="BI134" i="13"/>
  <c r="BG135" i="13"/>
  <c r="AU226" i="13"/>
  <c r="AR229" i="13"/>
  <c r="AR4" i="13"/>
  <c r="AR10" i="13"/>
  <c r="AT227" i="13"/>
  <c r="AS228" i="13"/>
  <c r="AS232" i="13"/>
  <c r="W20" i="31"/>
  <c r="W22" i="31" s="1"/>
  <c r="W23" i="31" s="1"/>
  <c r="AP178" i="13"/>
  <c r="AO245" i="13"/>
  <c r="AO142" i="13" s="1"/>
  <c r="BF142" i="13" s="1"/>
  <c r="BF143" i="13" s="1"/>
  <c r="AS280" i="13" l="1"/>
  <c r="AT280" i="13"/>
  <c r="J13" i="30"/>
  <c r="AU274" i="13"/>
  <c r="J14" i="30"/>
  <c r="AX209" i="13"/>
  <c r="AX281" i="13" s="1"/>
  <c r="AW295" i="13"/>
  <c r="AW296" i="13" s="1"/>
  <c r="AW216" i="13"/>
  <c r="AW217" i="13" s="1"/>
  <c r="AS229" i="13"/>
  <c r="AS4" i="13"/>
  <c r="AS10" i="13"/>
  <c r="AU227" i="13"/>
  <c r="AU228" i="13" s="1"/>
  <c r="AT232" i="13"/>
  <c r="AT228" i="13"/>
  <c r="AV226" i="13"/>
  <c r="AO143" i="13"/>
  <c r="AO148" i="13"/>
  <c r="AP245" i="13"/>
  <c r="AP247" i="13" s="1"/>
  <c r="AQ178" i="13"/>
  <c r="AP185" i="13"/>
  <c r="AO247" i="13"/>
  <c r="AV43" i="19" s="1"/>
  <c r="AW280" i="13" l="1"/>
  <c r="BA280" i="13"/>
  <c r="AY280" i="13"/>
  <c r="AX280" i="13"/>
  <c r="AZ280" i="13"/>
  <c r="BB280" i="13"/>
  <c r="BC280" i="13"/>
  <c r="AV280" i="13"/>
  <c r="AU280" i="13"/>
  <c r="J15" i="30" s="1"/>
  <c r="AY209" i="13"/>
  <c r="AY281" i="13" s="1"/>
  <c r="AX295" i="13"/>
  <c r="AX296" i="13" s="1"/>
  <c r="AX216" i="13"/>
  <c r="AX217" i="13" s="1"/>
  <c r="AU229" i="13"/>
  <c r="AU10" i="13"/>
  <c r="AU4" i="13"/>
  <c r="AW226" i="13"/>
  <c r="AT10" i="13"/>
  <c r="AT229" i="13"/>
  <c r="AT4" i="13"/>
  <c r="AV227" i="13"/>
  <c r="AU232" i="13"/>
  <c r="AR178" i="13"/>
  <c r="AR245" i="13"/>
  <c r="AR247" i="13" s="1"/>
  <c r="CM43" i="19"/>
  <c r="AZ43" i="19"/>
  <c r="CO43" i="19" s="1"/>
  <c r="BA43" i="19"/>
  <c r="AO149" i="13"/>
  <c r="AV12" i="19"/>
  <c r="BF178" i="13"/>
  <c r="AQ185" i="13"/>
  <c r="BF185" i="13" s="1"/>
  <c r="AQ245" i="13"/>
  <c r="AO265" i="13"/>
  <c r="AZ209" i="13" l="1"/>
  <c r="AZ281" i="13" s="1"/>
  <c r="AY295" i="13"/>
  <c r="AY296" i="13" s="1"/>
  <c r="AY216" i="13"/>
  <c r="AY217" i="13" s="1"/>
  <c r="AV232" i="13"/>
  <c r="AW227" i="13"/>
  <c r="AX226" i="13"/>
  <c r="AW228" i="13"/>
  <c r="AV228" i="13"/>
  <c r="AS178" i="13"/>
  <c r="AR185" i="13"/>
  <c r="CM12" i="19"/>
  <c r="CN12" i="19" s="1"/>
  <c r="BA12" i="19"/>
  <c r="AZ12" i="19"/>
  <c r="CO12" i="19" s="1"/>
  <c r="AV49" i="19"/>
  <c r="AI83" i="19"/>
  <c r="CP43" i="19"/>
  <c r="BA45" i="19"/>
  <c r="AQ247" i="13"/>
  <c r="BF247" i="13" s="1"/>
  <c r="AW43" i="19" s="1"/>
  <c r="BF245" i="13"/>
  <c r="AO266" i="13"/>
  <c r="AV45" i="19" s="1"/>
  <c r="AP264" i="13"/>
  <c r="AP265" i="13" s="1"/>
  <c r="BA209" i="13" l="1"/>
  <c r="BA281" i="13" s="1"/>
  <c r="AZ295" i="13"/>
  <c r="AZ296" i="13" s="1"/>
  <c r="AZ216" i="13"/>
  <c r="AZ217" i="13" s="1"/>
  <c r="AV4" i="13"/>
  <c r="AV10" i="13"/>
  <c r="AV229" i="13"/>
  <c r="AW229" i="13"/>
  <c r="AW4" i="13"/>
  <c r="AW10" i="13"/>
  <c r="AY226" i="13"/>
  <c r="AX227" i="13"/>
  <c r="AX228" i="13" s="1"/>
  <c r="AW232" i="13"/>
  <c r="AS245" i="13"/>
  <c r="AS247" i="13" s="1"/>
  <c r="AT178" i="13"/>
  <c r="AT245" i="13" s="1"/>
  <c r="AT247" i="13" s="1"/>
  <c r="AS185" i="13"/>
  <c r="CM45" i="19"/>
  <c r="AZ45" i="19"/>
  <c r="CO45" i="19" s="1"/>
  <c r="AI85" i="19"/>
  <c r="CP45" i="19"/>
  <c r="BA49" i="19"/>
  <c r="CP49" i="19" s="1"/>
  <c r="CP12" i="19"/>
  <c r="V87" i="19"/>
  <c r="AZ49" i="19"/>
  <c r="CO49" i="19" s="1"/>
  <c r="CM49" i="19"/>
  <c r="AP158" i="13"/>
  <c r="AQ264" i="13"/>
  <c r="AQ265" i="13" s="1"/>
  <c r="AR264" i="13" s="1"/>
  <c r="AR265" i="13" s="1"/>
  <c r="AP266" i="13"/>
  <c r="AO267" i="13"/>
  <c r="AS264" i="13" l="1"/>
  <c r="AS265" i="13" s="1"/>
  <c r="AR297" i="13"/>
  <c r="BB209" i="13"/>
  <c r="BB281" i="13" s="1"/>
  <c r="BA295" i="13"/>
  <c r="BA296" i="13" s="1"/>
  <c r="BA216" i="13"/>
  <c r="BA217" i="13" s="1"/>
  <c r="AX229" i="13"/>
  <c r="AX10" i="13"/>
  <c r="AX4" i="13"/>
  <c r="AX232" i="13"/>
  <c r="AY227" i="13"/>
  <c r="AY228" i="13" s="1"/>
  <c r="AZ226" i="13"/>
  <c r="AU178" i="13"/>
  <c r="AU245" i="13"/>
  <c r="AU247" i="13" s="1"/>
  <c r="AT185" i="13"/>
  <c r="AS158" i="13"/>
  <c r="AS266" i="13"/>
  <c r="AR266" i="13"/>
  <c r="AR158" i="13"/>
  <c r="AQ158" i="13"/>
  <c r="BF265" i="13"/>
  <c r="AQ266" i="13"/>
  <c r="BF266" i="13" s="1"/>
  <c r="AW45" i="19" s="1"/>
  <c r="AQ297" i="13"/>
  <c r="J16" i="30"/>
  <c r="J18" i="30" s="1"/>
  <c r="AP267" i="13"/>
  <c r="AP175" i="13"/>
  <c r="BC209" i="13" l="1"/>
  <c r="BC281" i="13" s="1"/>
  <c r="BB295" i="13"/>
  <c r="BB296" i="13" s="1"/>
  <c r="BB216" i="13"/>
  <c r="BB217" i="13" s="1"/>
  <c r="AT264" i="13"/>
  <c r="AT265" i="13" s="1"/>
  <c r="AS297" i="13"/>
  <c r="AT158" i="13"/>
  <c r="AY10" i="13"/>
  <c r="AY4" i="13"/>
  <c r="AY229" i="13"/>
  <c r="AY232" i="13"/>
  <c r="AZ227" i="13"/>
  <c r="AZ228" i="13" s="1"/>
  <c r="BA226" i="13"/>
  <c r="AT266" i="13"/>
  <c r="AV178" i="13"/>
  <c r="AV245" i="13"/>
  <c r="AV247" i="13" s="1"/>
  <c r="AU185" i="13"/>
  <c r="AT267" i="13"/>
  <c r="AT175" i="13"/>
  <c r="AS267" i="13"/>
  <c r="AS175" i="13"/>
  <c r="AR267" i="13"/>
  <c r="AR175" i="13"/>
  <c r="AP150" i="13"/>
  <c r="AP152" i="13"/>
  <c r="AP153" i="13" s="1"/>
  <c r="AP3" i="13"/>
  <c r="AP186" i="13"/>
  <c r="AP230" i="13" s="1"/>
  <c r="AQ267" i="13"/>
  <c r="AQ175" i="13"/>
  <c r="BF158" i="13"/>
  <c r="AW14" i="19" s="1"/>
  <c r="AU264" i="13" l="1"/>
  <c r="AU265" i="13" s="1"/>
  <c r="AT297" i="13"/>
  <c r="BC216" i="13"/>
  <c r="BC295" i="13"/>
  <c r="BC296" i="13" s="1"/>
  <c r="BB226" i="13"/>
  <c r="AZ229" i="13"/>
  <c r="AZ10" i="13"/>
  <c r="AZ4" i="13"/>
  <c r="BA227" i="13"/>
  <c r="BA228" i="13" s="1"/>
  <c r="AZ232" i="13"/>
  <c r="AU266" i="13"/>
  <c r="AU158" i="13"/>
  <c r="AW178" i="13"/>
  <c r="AW245" i="13" s="1"/>
  <c r="AW247" i="13" s="1"/>
  <c r="AV185" i="13"/>
  <c r="AT152" i="13"/>
  <c r="AT153" i="13" s="1"/>
  <c r="AT3" i="13"/>
  <c r="AT150" i="13"/>
  <c r="AT186" i="13"/>
  <c r="AT230" i="13" s="1"/>
  <c r="AS3" i="13"/>
  <c r="AS152" i="13"/>
  <c r="AS153" i="13" s="1"/>
  <c r="AS150" i="13"/>
  <c r="AS186" i="13"/>
  <c r="AS230" i="13" s="1"/>
  <c r="AR152" i="13"/>
  <c r="AR153" i="13" s="1"/>
  <c r="AR3" i="13"/>
  <c r="AR150" i="13"/>
  <c r="AR186" i="13"/>
  <c r="AR230" i="13" s="1"/>
  <c r="AP151" i="13"/>
  <c r="AP144" i="13"/>
  <c r="BF175" i="13"/>
  <c r="BF267" i="13"/>
  <c r="AW18" i="19"/>
  <c r="AQ150" i="13"/>
  <c r="AQ152" i="13"/>
  <c r="AQ153" i="13" s="1"/>
  <c r="AQ3" i="13"/>
  <c r="AQ186" i="13"/>
  <c r="BG216" i="13" l="1"/>
  <c r="BC217" i="13"/>
  <c r="BG217" i="13" s="1"/>
  <c r="AV264" i="13"/>
  <c r="AV265" i="13" s="1"/>
  <c r="AU297" i="13"/>
  <c r="BA10" i="13"/>
  <c r="BA229" i="13"/>
  <c r="BA4" i="13"/>
  <c r="BA232" i="13"/>
  <c r="BB227" i="13"/>
  <c r="BB228" i="13" s="1"/>
  <c r="BC226" i="13"/>
  <c r="AV158" i="13"/>
  <c r="AU267" i="13"/>
  <c r="AU175" i="13"/>
  <c r="AX178" i="13"/>
  <c r="AX245" i="13"/>
  <c r="AX247" i="13" s="1"/>
  <c r="AW185" i="13"/>
  <c r="AV267" i="13"/>
  <c r="AV175" i="13"/>
  <c r="AT144" i="13"/>
  <c r="AT151" i="13"/>
  <c r="AS151" i="13"/>
  <c r="AS144" i="13"/>
  <c r="AR151" i="13"/>
  <c r="AR144" i="13"/>
  <c r="AP145" i="13"/>
  <c r="AP148" i="13"/>
  <c r="AP149" i="13" s="1"/>
  <c r="BF186" i="13"/>
  <c r="AQ230" i="13"/>
  <c r="BF230" i="13" s="1"/>
  <c r="AQ144" i="13"/>
  <c r="BF144" i="13" s="1"/>
  <c r="AQ151" i="13"/>
  <c r="BF150" i="13"/>
  <c r="BF151" i="13" s="1"/>
  <c r="BF152" i="13"/>
  <c r="BF153" i="13" s="1"/>
  <c r="BF3" i="13"/>
  <c r="AW21" i="19" s="1"/>
  <c r="AW25" i="19"/>
  <c r="AW26" i="19" s="1"/>
  <c r="AW264" i="13" l="1"/>
  <c r="AW265" i="13" s="1"/>
  <c r="AW297" i="13" s="1"/>
  <c r="AV297" i="13"/>
  <c r="AV266" i="13"/>
  <c r="BB4" i="13"/>
  <c r="BB10" i="13"/>
  <c r="BB229" i="13"/>
  <c r="BG226" i="13"/>
  <c r="BC227" i="13"/>
  <c r="BB232" i="13"/>
  <c r="AU152" i="13"/>
  <c r="AU153" i="13" s="1"/>
  <c r="AU3" i="13"/>
  <c r="AU186" i="13"/>
  <c r="AU230" i="13" s="1"/>
  <c r="AU150" i="13"/>
  <c r="AV3" i="13"/>
  <c r="AV152" i="13"/>
  <c r="AV153" i="13" s="1"/>
  <c r="AV150" i="13"/>
  <c r="AV186" i="13"/>
  <c r="AV230" i="13" s="1"/>
  <c r="AY178" i="13"/>
  <c r="AY245" i="13" s="1"/>
  <c r="AY247" i="13" s="1"/>
  <c r="AX185" i="13"/>
  <c r="AT145" i="13"/>
  <c r="AT148" i="13"/>
  <c r="AT149" i="13" s="1"/>
  <c r="AS145" i="13"/>
  <c r="AS148" i="13"/>
  <c r="AS149" i="13" s="1"/>
  <c r="AR145" i="13"/>
  <c r="AR148" i="13"/>
  <c r="AR149" i="13" s="1"/>
  <c r="BF145" i="13"/>
  <c r="AW27" i="19"/>
  <c r="AQ145" i="13"/>
  <c r="AQ148" i="13"/>
  <c r="AW158" i="13" l="1"/>
  <c r="AX264" i="13"/>
  <c r="AX265" i="13" s="1"/>
  <c r="AX297" i="13" s="1"/>
  <c r="AW266" i="13"/>
  <c r="BC232" i="13"/>
  <c r="BG227" i="13"/>
  <c r="BC228" i="13"/>
  <c r="AU151" i="13"/>
  <c r="AU144" i="13"/>
  <c r="AY264" i="13"/>
  <c r="AY265" i="13" s="1"/>
  <c r="AY297" i="13" s="1"/>
  <c r="AX158" i="13"/>
  <c r="AX266" i="13"/>
  <c r="AZ178" i="13"/>
  <c r="AY185" i="13"/>
  <c r="AV151" i="13"/>
  <c r="AV144" i="13"/>
  <c r="AW175" i="13"/>
  <c r="AW267" i="13"/>
  <c r="AQ149" i="13"/>
  <c r="BF148" i="13"/>
  <c r="BG228" i="13" l="1"/>
  <c r="BC10" i="13"/>
  <c r="BC229" i="13"/>
  <c r="BG229" i="13" s="1"/>
  <c r="BC4" i="13"/>
  <c r="AU148" i="13"/>
  <c r="AU149" i="13" s="1"/>
  <c r="AU145" i="13"/>
  <c r="AV145" i="13"/>
  <c r="AV148" i="13"/>
  <c r="AV149" i="13" s="1"/>
  <c r="BA178" i="13"/>
  <c r="BA245" i="13"/>
  <c r="BA247" i="13" s="1"/>
  <c r="AZ185" i="13"/>
  <c r="AW3" i="13"/>
  <c r="AW152" i="13"/>
  <c r="AW153" i="13" s="1"/>
  <c r="AW150" i="13"/>
  <c r="AW186" i="13"/>
  <c r="AW230" i="13" s="1"/>
  <c r="AZ245" i="13"/>
  <c r="AZ247" i="13" s="1"/>
  <c r="AX175" i="13"/>
  <c r="AX267" i="13"/>
  <c r="AZ264" i="13"/>
  <c r="AZ265" i="13" s="1"/>
  <c r="AZ297" i="13" s="1"/>
  <c r="AY158" i="13"/>
  <c r="AY266" i="13"/>
  <c r="BF149" i="13"/>
  <c r="AW12" i="19"/>
  <c r="AW49" i="19" s="1"/>
  <c r="BG4" i="13" l="1"/>
  <c r="BG10" i="13"/>
  <c r="AY267" i="13"/>
  <c r="AY175" i="13"/>
  <c r="AW151" i="13"/>
  <c r="AW144" i="13"/>
  <c r="BA264" i="13"/>
  <c r="BA265" i="13" s="1"/>
  <c r="BA297" i="13" s="1"/>
  <c r="AZ266" i="13"/>
  <c r="AZ158" i="13"/>
  <c r="AX3" i="13"/>
  <c r="AX150" i="13"/>
  <c r="AX152" i="13"/>
  <c r="AX153" i="13" s="1"/>
  <c r="AX186" i="13"/>
  <c r="AX230" i="13" s="1"/>
  <c r="BB178" i="13"/>
  <c r="BB245" i="13" s="1"/>
  <c r="BB247" i="13" s="1"/>
  <c r="BA185" i="13"/>
  <c r="BB264" i="13" l="1"/>
  <c r="BB265" i="13" s="1"/>
  <c r="BB297" i="13" s="1"/>
  <c r="BA158" i="13"/>
  <c r="BA266" i="13"/>
  <c r="BC178" i="13"/>
  <c r="BB185" i="13"/>
  <c r="AX144" i="13"/>
  <c r="AX151" i="13"/>
  <c r="AZ267" i="13"/>
  <c r="AZ175" i="13"/>
  <c r="AW145" i="13"/>
  <c r="AW148" i="13"/>
  <c r="AW149" i="13" s="1"/>
  <c r="AY3" i="13"/>
  <c r="AY152" i="13"/>
  <c r="AY153" i="13" s="1"/>
  <c r="AY150" i="13"/>
  <c r="AY186" i="13"/>
  <c r="AY230" i="13" s="1"/>
  <c r="BC185" i="13" l="1"/>
  <c r="BG185" i="13" s="1"/>
  <c r="BG178" i="13"/>
  <c r="AY151" i="13"/>
  <c r="AY144" i="13"/>
  <c r="AZ150" i="13"/>
  <c r="AZ3" i="13"/>
  <c r="AZ152" i="13"/>
  <c r="AZ153" i="13" s="1"/>
  <c r="AZ186" i="13"/>
  <c r="AZ230" i="13" s="1"/>
  <c r="AX145" i="13"/>
  <c r="AX148" i="13"/>
  <c r="AX149" i="13" s="1"/>
  <c r="BC245" i="13"/>
  <c r="BC247" i="13" s="1"/>
  <c r="BA175" i="13"/>
  <c r="BA267" i="13"/>
  <c r="BC264" i="13"/>
  <c r="BC265" i="13" s="1"/>
  <c r="BC297" i="13" s="1"/>
  <c r="BB266" i="13"/>
  <c r="BB158" i="13"/>
  <c r="BB175" i="13" l="1"/>
  <c r="BB267" i="13"/>
  <c r="BC266" i="13"/>
  <c r="BC158" i="13"/>
  <c r="BG158" i="13" s="1"/>
  <c r="BA3" i="13"/>
  <c r="BA150" i="13"/>
  <c r="BA152" i="13"/>
  <c r="BA153" i="13" s="1"/>
  <c r="BA186" i="13"/>
  <c r="BA230" i="13" s="1"/>
  <c r="AZ144" i="13"/>
  <c r="AZ151" i="13"/>
  <c r="AY148" i="13"/>
  <c r="AY149" i="13" s="1"/>
  <c r="AY145" i="13"/>
  <c r="BG267" i="13" l="1"/>
  <c r="AZ145" i="13"/>
  <c r="AZ148" i="13"/>
  <c r="AZ149" i="13" s="1"/>
  <c r="BA144" i="13"/>
  <c r="BA151" i="13"/>
  <c r="BC175" i="13"/>
  <c r="BG175" i="13" s="1"/>
  <c r="BC267" i="13"/>
  <c r="BB152" i="13"/>
  <c r="BB153" i="13" s="1"/>
  <c r="BB150" i="13"/>
  <c r="BB3" i="13"/>
  <c r="BB186" i="13"/>
  <c r="BB230" i="13" s="1"/>
  <c r="BG3" i="13" l="1"/>
  <c r="BG152" i="13"/>
  <c r="BG153" i="13" s="1"/>
  <c r="BG150" i="13"/>
  <c r="BG151" i="13" s="1"/>
  <c r="BB144" i="13"/>
  <c r="BB151" i="13"/>
  <c r="BC152" i="13"/>
  <c r="BC153" i="13" s="1"/>
  <c r="BC3" i="13"/>
  <c r="BC150" i="13"/>
  <c r="BC186" i="13"/>
  <c r="BA145" i="13"/>
  <c r="BA148" i="13"/>
  <c r="BA149" i="13" s="1"/>
  <c r="BC230" i="13" l="1"/>
  <c r="BG230" i="13" s="1"/>
  <c r="BG186" i="13"/>
  <c r="BC151" i="13"/>
  <c r="BC144" i="13"/>
  <c r="BG144" i="13" s="1"/>
  <c r="BB145" i="13"/>
  <c r="BB148" i="13"/>
  <c r="BB149" i="13" s="1"/>
  <c r="BG145" i="13" l="1"/>
  <c r="BG148" i="13"/>
  <c r="BG149" i="13" s="1"/>
  <c r="BC145" i="13"/>
  <c r="BC148" i="13"/>
  <c r="BC149"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tc={A6073A33-9ABF-4A94-B044-41395E94A8F0}</author>
    <author>tc={EA1EEF94-BFE4-4B33-B4E8-3DD4EF2394B7}</author>
    <author>tc={3AC8A5B7-1045-4367-8545-28C4BBED84DE}</author>
    <author>tc={705BC33B-5B6C-40D9-A2CC-3296CD7EF839}</author>
    <author>tc={A779A5C4-882F-472B-9387-7151CA89DD4B}</author>
    <author>tc={B022169C-72DB-4876-BD81-2ECC00C3241A}</author>
    <author>tc={5A182BCA-C4F0-4561-841A-7BE91B522E13}</author>
    <author>tc={D61E9CA9-90EA-475B-B1DF-99868A260778}</author>
    <author>tc={007A0B66-E9E1-48A3-89E5-A05091CCB29A}</author>
  </authors>
  <commentList>
    <comment ref="R126" authorId="0" shapeId="0" xr:uid="{A6073A33-9ABF-4A94-B044-41395E94A8F0}">
      <text>
        <t>[Threaded comment]
Your version of Excel allows you to read this threaded comment; however, any edits to it will get removed if the file is opened in a newer version of Excel. Learn more: https://go.microsoft.com/fwlink/?linkid=870924
Comment:
    Includes Fall Property Tax = 19713</t>
      </text>
    </comment>
    <comment ref="G142" authorId="1" shapeId="0" xr:uid="{EA1EEF94-BFE4-4B33-B4E8-3DD4EF2394B7}">
      <text>
        <t>[Threaded comment]
Your version of Excel allows you to read this threaded comment; however, any edits to it will get removed if the file is opened in a newer version of Excel. Learn more: https://go.microsoft.com/fwlink/?linkid=870924
Comment:
    Dec thru April include signifacant capex related to the facility move</t>
      </text>
    </comment>
    <comment ref="J142" authorId="2" shapeId="0" xr:uid="{3AC8A5B7-1045-4367-8545-28C4BBED84DE}">
      <text>
        <t>[Threaded comment]
Your version of Excel allows you to read this threaded comment; however, any edits to it will get removed if the file is opened in a newer version of Excel. Learn more: https://go.microsoft.com/fwlink/?linkid=870924
Comment:
    Burn Table</t>
      </text>
    </comment>
    <comment ref="K142" authorId="3" shapeId="0" xr:uid="{705BC33B-5B6C-40D9-A2CC-3296CD7EF839}">
      <text>
        <t>[Threaded comment]
Your version of Excel allows you to read this threaded comment; however, any edits to it will get removed if the file is opened in a newer version of Excel. Learn more: https://go.microsoft.com/fwlink/?linkid=870924
Comment:
    Casting Investments</t>
      </text>
    </comment>
    <comment ref="AK148" authorId="4" shapeId="0" xr:uid="{A779A5C4-882F-472B-9387-7151CA89DD4B}">
      <text>
        <t>[Threaded comment]
Your version of Excel allows you to read this threaded comment; however, any edits to it will get removed if the file is opened in a newer version of Excel. Learn more: https://go.microsoft.com/fwlink/?linkid=870924
Comment:
    Correcting working capital adjustment on HEC acquisition</t>
      </text>
    </comment>
    <comment ref="F160" authorId="5" shapeId="0" xr:uid="{B022169C-72DB-4876-BD81-2ECC00C3241A}">
      <text>
        <t>[Threaded comment]
Your version of Excel allows you to read this threaded comment; however, any edits to it will get removed if the file is opened in a newer version of Excel. Learn more: https://go.microsoft.com/fwlink/?linkid=870924
Comment:
    would be better to make this a % of TTM revenue</t>
      </text>
    </comment>
    <comment ref="AJ183" authorId="6" shapeId="0" xr:uid="{5A182BCA-C4F0-4561-841A-7BE91B522E13}">
      <text>
        <t>[Threaded comment]
Your version of Excel allows you to read this threaded comment; however, any edits to it will get removed if the file is opened in a newer version of Excel. Learn more: https://go.microsoft.com/fwlink/?linkid=870924
Comment:
    This is the appraised value of the fixed assets</t>
      </text>
    </comment>
    <comment ref="L206" authorId="7" shapeId="0" xr:uid="{D61E9CA9-90EA-475B-B1DF-99868A260778}">
      <text>
        <t>[Threaded comment]
Your version of Excel allows you to read this threaded comment; however, any edits to it will get removed if the file is opened in a newer version of Excel. Learn more: https://go.microsoft.com/fwlink/?linkid=870924
Comment:
    furniture loan added to PPP until new account created</t>
      </text>
    </comment>
    <comment ref="AK246" authorId="8" shapeId="0" xr:uid="{007A0B66-E9E1-48A3-89E5-A05091CCB29A}">
      <text>
        <t>[Threaded comment]
Your version of Excel allows you to read this threaded comment; however, any edits to it will get removed if the file is opened in a newer version of Excel. Learn more: https://go.microsoft.com/fwlink/?linkid=870924
Comment:
    Adjustment to account for additional working capital from heritage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tc={AC39A36B-103C-4ABF-8601-A423B3606E9A}</author>
  </authors>
  <commentList>
    <comment ref="AJ57" authorId="0" shapeId="0" xr:uid="{AC39A36B-103C-4ABF-8601-A423B3606E9A}">
      <text>
        <t>[Threaded comment]
Your version of Excel allows you to read this threaded comment; however, any edits to it will get removed if the file is opened in a newer version of Excel. Learn more: https://go.microsoft.com/fwlink/?linkid=870924
Comment:
    corrected for previously high inventory adjustment that was skewing nmbers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tc={ADD5398E-CEAC-4F38-83A6-0DD4EFFA9424}</author>
    <author>tc={E665307B-9B65-4A61-B737-0567B8351245}</author>
  </authors>
  <commentList>
    <comment ref="AX10" authorId="0" shapeId="0" xr:uid="{ADD5398E-CEAC-4F38-83A6-0DD4EFFA9424}">
      <text>
        <t>[Threaded comment]
Your version of Excel allows you to read this threaded comment; however, any edits to it will get removed if the file is opened in a newer version of Excel. Learn more: https://go.microsoft.com/fwlink/?linkid=870924
Comment:
    increased for inflation plus 15% for headcount increases</t>
      </text>
    </comment>
    <comment ref="AX61" authorId="1" shapeId="0" xr:uid="{E665307B-9B65-4A61-B737-0567B8351245}">
      <text>
        <t>[Threaded comment]
Your version of Excel allows you to read this threaded comment; however, any edits to it will get removed if the file is opened in a newer version of Excel. Learn more: https://go.microsoft.com/fwlink/?linkid=870924
Comment:
    added an inflationary increase + 15% increase in employee count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tc={022D986B-BF3D-4141-9837-027921CE49A3}</author>
    <author>tc={5DD6D30F-3EBF-4F37-865A-37A9741B8110}</author>
    <author>tc={B4DBD434-3254-4E35-AAB8-6009E6BD872A}</author>
    <author>tc={B872FCA6-E5FD-4554-844C-0D83F97ABE96}</author>
    <author>tc={423B847E-BA79-4774-97DF-FF6DFFF1C461}</author>
    <author>tc={4C46B91C-F62B-405B-AFEE-F7378DFD38FA}</author>
    <author>tc={513C358D-B452-4871-90E5-D3DE4CCF64F8}</author>
    <author>tc={62494F53-0D86-466B-A234-ECE3258BC979}</author>
    <author>tc={54356F20-4C96-4038-9D7D-458270DC70BB}</author>
    <author>tc={F941844D-9906-402C-9E1A-3D3BF4F183FF}</author>
    <author>tc={2B199FBB-9BD0-4415-B153-62C2E0EF706A}</author>
    <author>tc={465FC469-F8A0-4598-8F8E-35545A84E09B}</author>
    <author>tc={D68CD0FE-2200-481E-A1D2-42BEA85FFC1A}</author>
    <author>tc={5E49B402-3975-48AC-BF41-5F90441CCF9A}</author>
    <author>tc={A61771AA-9137-4720-A62D-06F7AA5B1575}</author>
    <author>tc={74E85105-4947-4941-8E9F-10A91FE8B94D}</author>
    <author>tc={90A561E0-C6EA-449E-BB5B-CF2F6C4984AC}</author>
    <author>tc={057FA0DE-9679-439E-96E8-A03D57FC3CEB}</author>
    <author>tc={C34F83D5-5E3B-4CA1-BE9E-7C3C8F18DF63}</author>
  </authors>
  <commentList>
    <comment ref="E15" authorId="0" shapeId="0" xr:uid="{022D986B-BF3D-4141-9837-027921CE49A3}">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I15" authorId="1" shapeId="0" xr:uid="{5DD6D30F-3EBF-4F37-865A-37A9741B8110}">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M15" authorId="2" shapeId="0" xr:uid="{B4DBD434-3254-4E35-AAB8-6009E6BD872A}">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N15" authorId="3" shapeId="0" xr:uid="{B872FCA6-E5FD-4554-844C-0D83F97ABE96}">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Q15" authorId="4" shapeId="0" xr:uid="{423B847E-BA79-4774-97DF-FF6DFFF1C461}">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R15" authorId="5" shapeId="0" xr:uid="{4C46B91C-F62B-405B-AFEE-F7378DFD38FA}">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U15" authorId="6" shapeId="0" xr:uid="{513C358D-B452-4871-90E5-D3DE4CCF64F8}">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C15" authorId="7" shapeId="0" xr:uid="{62494F53-0D86-466B-A234-ECE3258BC979}">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D15" authorId="8" shapeId="0" xr:uid="{54356F20-4C96-4038-9D7D-458270DC70BB}">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G15" authorId="9" shapeId="0" xr:uid="{F941844D-9906-402C-9E1A-3D3BF4F183FF}">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H15" authorId="10" shapeId="0" xr:uid="{2B199FBB-9BD0-4415-B153-62C2E0EF706A}">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K15" authorId="11" shapeId="0" xr:uid="{465FC469-F8A0-4598-8F8E-35545A84E09B}">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L15" authorId="12" shapeId="0" xr:uid="{D68CD0FE-2200-481E-A1D2-42BEA85FFC1A}">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O15" authorId="13" shapeId="0" xr:uid="{5E49B402-3975-48AC-BF41-5F90441CCF9A}">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P15" authorId="14" shapeId="0" xr:uid="{A61771AA-9137-4720-A62D-06F7AA5B1575}">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S15" authorId="15" shapeId="0" xr:uid="{74E85105-4947-4941-8E9F-10A91FE8B94D}">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T15" authorId="16" shapeId="0" xr:uid="{90A561E0-C6EA-449E-BB5B-CF2F6C4984AC}">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W15" authorId="17" shapeId="0" xr:uid="{057FA0DE-9679-439E-96E8-A03D57FC3CEB}">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 ref="AX15" authorId="18" shapeId="0" xr:uid="{C34F83D5-5E3B-4CA1-BE9E-7C3C8F18DF63}">
      <text>
        <t>[Threaded comment]
Your version of Excel allows you to read this threaded comment; however, any edits to it will get removed if the file is opened in a newer version of Excel. Learn more: https://go.microsoft.com/fwlink/?linkid=870924
Comment:
    June 2020 value assmed for 2021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tc={E785C195-8452-4A08-A951-B15BF87FBE8F}</author>
    <author>tc={D37B5C6E-E15F-4C5C-A08A-CEBB3CC647C2}</author>
    <author>tc={F3B9EED6-CF07-4257-A887-4679A6A22052}</author>
    <author>tc={E4976D11-6C8E-4942-A253-E77944468887}</author>
    <author>tc={0C693972-A030-424D-B062-1DA965A6310A}</author>
    <author>tc={6843A90D-6822-4603-84B5-5CF8A3C0463C}</author>
    <author>tc={E0EC7F8D-B0C0-42A1-81DE-98614CA9969E}</author>
    <author>tc={4DDDD137-820B-4D4E-A1BB-EC296C9D32E6}</author>
  </authors>
  <commentList>
    <comment ref="O74" authorId="0" shapeId="0" xr:uid="{E785C195-8452-4A08-A951-B15BF87FBE8F}">
      <text>
        <t>[Threaded comment]
Your version of Excel allows you to read this threaded comment; however, any edits to it will get removed if the file is opened in a newer version of Excel. Learn more: https://go.microsoft.com/fwlink/?linkid=870924
Comment:
    this month we recognized a non-cash charged for fixed asset impairment related to our facility move earlier this year.  There were numerous assets specific to our previous location that were written off.</t>
      </text>
    </comment>
    <comment ref="Q78" authorId="1" shapeId="0" xr:uid="{D37B5C6E-E15F-4C5C-A08A-CEBB3CC647C2}">
      <text>
        <t>[Threaded comment]
Your version of Excel allows you to read this threaded comment; however, any edits to it will get removed if the file is opened in a newer version of Excel. Learn more: https://go.microsoft.com/fwlink/?linkid=870924
Comment:
    assume bart interest at $8k</t>
      </text>
    </comment>
    <comment ref="G94" authorId="2" shapeId="0" xr:uid="{F3B9EED6-CF07-4257-A887-4679A6A22052}">
      <text>
        <t>[Threaded comment]
Your version of Excel allows you to read this threaded comment; however, any edits to it will get removed if the file is opened in a newer version of Excel. Learn more: https://go.microsoft.com/fwlink/?linkid=870924
Comment:
    Dec thru April include signifacant capex related to the facility move</t>
      </text>
    </comment>
    <comment ref="L94" authorId="3" shapeId="0" xr:uid="{E4976D11-6C8E-4942-A253-E77944468887}">
      <text>
        <t>[Threaded comment]
Your version of Excel allows you to read this threaded comment; however, any edits to it will get removed if the file is opened in a newer version of Excel. Learn more: https://go.microsoft.com/fwlink/?linkid=870924
Comment:
    New computers for engineering</t>
      </text>
    </comment>
    <comment ref="F111" authorId="4" shapeId="0" xr:uid="{0C693972-A030-424D-B062-1DA965A6310A}">
      <text>
        <t>[Threaded comment]
Your version of Excel allows you to read this threaded comment; however, any edits to it will get removed if the file is opened in a newer version of Excel. Learn more: https://go.microsoft.com/fwlink/?linkid=870924
Comment:
    would be better to make this a % of TTM revenue</t>
      </text>
    </comment>
    <comment ref="L143" authorId="5" shapeId="0" xr:uid="{6843A90D-6822-4603-84B5-5CF8A3C0463C}">
      <text>
        <t>[Threaded comment]
Your version of Excel allows you to read this threaded comment; however, any edits to it will get removed if the file is opened in a newer version of Excel. Learn more: https://go.microsoft.com/fwlink/?linkid=870924
Comment:
    furniture loan added to PPP until new account created</t>
      </text>
    </comment>
    <comment ref="J174" authorId="6" shapeId="0" xr:uid="{E0EC7F8D-B0C0-42A1-81DE-98614CA9969E}">
      <text>
        <t>[Threaded comment]
Your version of Excel allows you to read this threaded comment; however, any edits to it will get removed if the file is opened in a newer version of Excel. Learn more: https://go.microsoft.com/fwlink/?linkid=870924
Comment:
    randome adjustement to make up for cash delta from released balance sheet</t>
      </text>
    </comment>
    <comment ref="K179" authorId="7" shapeId="0" xr:uid="{4DDDD137-820B-4D4E-A1BB-EC296C9D32E6}">
      <text>
        <t>[Threaded comment]
Your version of Excel allows you to read this threaded comment; however, any edits to it will get removed if the file is opened in a newer version of Excel. Learn more: https://go.microsoft.com/fwlink/?linkid=870924
Comment:
    this would be a principal payment to Bart, however, he has agreed to forego that to 1/1/21 per email on 3/20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<sst xmlns="http://schemas.openxmlformats.org/spreadsheetml/2006/main" count="3032" uniqueCount="1520">
  <si>
    <t>Revenue</t>
  </si>
  <si>
    <t>Mixer &amp; Accessories</t>
  </si>
  <si>
    <t>Tanks</t>
  </si>
  <si>
    <t>Control Systems</t>
  </si>
  <si>
    <t>Ratio Licensing Fee</t>
  </si>
  <si>
    <t>Unbilled Project Revenue</t>
  </si>
  <si>
    <t>Shipping Income</t>
  </si>
  <si>
    <t>Returns &amp; Adjustments</t>
  </si>
  <si>
    <t>AR Discounts Taken</t>
  </si>
  <si>
    <t>Misc Income</t>
  </si>
  <si>
    <t>Net Revenue</t>
  </si>
  <si>
    <t>Ratio Service Pack</t>
  </si>
  <si>
    <t>2019 Actual</t>
  </si>
  <si>
    <t>2020 Actual</t>
  </si>
  <si>
    <t>January</t>
  </si>
  <si>
    <t>February</t>
  </si>
  <si>
    <t>March</t>
  </si>
  <si>
    <t>April</t>
  </si>
  <si>
    <t>May</t>
  </si>
  <si>
    <t>June</t>
  </si>
  <si>
    <t>July</t>
  </si>
  <si>
    <t>August</t>
  </si>
  <si>
    <t>September</t>
  </si>
  <si>
    <t>October</t>
  </si>
  <si>
    <t>November</t>
  </si>
  <si>
    <t>December</t>
  </si>
  <si>
    <t>Cost of Goods Sold</t>
  </si>
  <si>
    <t>Tanks - COGS</t>
  </si>
  <si>
    <t>Control Systems - COGS</t>
  </si>
  <si>
    <t>Services / Engineering - COGS</t>
  </si>
  <si>
    <t>Packing Materials</t>
  </si>
  <si>
    <t>Shipping Cost</t>
  </si>
  <si>
    <t>Sales</t>
  </si>
  <si>
    <t>Operations</t>
  </si>
  <si>
    <t>Travel</t>
  </si>
  <si>
    <t>Phone</t>
  </si>
  <si>
    <t>Warranty Expenses</t>
  </si>
  <si>
    <t>Total Sales Expenses</t>
  </si>
  <si>
    <t>Indirect</t>
  </si>
  <si>
    <t>Engineering</t>
  </si>
  <si>
    <t>Bonuses</t>
  </si>
  <si>
    <t>Total Engineering Expenses</t>
  </si>
  <si>
    <t>Total Indirect Expenses</t>
  </si>
  <si>
    <t>Factory</t>
  </si>
  <si>
    <t>Total Factory Expenses</t>
  </si>
  <si>
    <t>Production</t>
  </si>
  <si>
    <t>Subcontract Service/Eng Cost</t>
  </si>
  <si>
    <t>Total Production Expenses</t>
  </si>
  <si>
    <t>Marketing</t>
  </si>
  <si>
    <t>Total Marketing Expenses</t>
  </si>
  <si>
    <t>Admin</t>
  </si>
  <si>
    <t>Employee Profit Sharing</t>
  </si>
  <si>
    <t>Bad Debt</t>
  </si>
  <si>
    <t>Interest Expense</t>
  </si>
  <si>
    <t>Depreciation - Business Startup</t>
  </si>
  <si>
    <t>Donations - Gifts</t>
  </si>
  <si>
    <t>Insurance - Vehicles</t>
  </si>
  <si>
    <t>Leases - Office</t>
  </si>
  <si>
    <t>Misc Purchases</t>
  </si>
  <si>
    <t>Cam &amp; Real Estate Taxes</t>
  </si>
  <si>
    <t>Gain/Loss on Sale of Assets</t>
  </si>
  <si>
    <t>Income Tax - State/Local</t>
  </si>
  <si>
    <t>Income Tax - Federal</t>
  </si>
  <si>
    <t>Admin Expenses</t>
  </si>
  <si>
    <t>Total Cost of Goods Sold</t>
  </si>
  <si>
    <t>Misc COGS &amp; Adjustments</t>
  </si>
  <si>
    <t>AP Discounts Taken</t>
  </si>
  <si>
    <t>Adjustments - WIP</t>
  </si>
  <si>
    <t>Adjustments - Supplier Returns</t>
  </si>
  <si>
    <t>Misc Sales Costs</t>
  </si>
  <si>
    <t>Total Misc COGS &amp; Adjustments</t>
  </si>
  <si>
    <t>ADMIN</t>
  </si>
  <si>
    <t>SALES</t>
  </si>
  <si>
    <t>MARK FRANCO</t>
  </si>
  <si>
    <t>LAUREN PARRY</t>
  </si>
  <si>
    <t>BENJAMIN MCMICAN</t>
  </si>
  <si>
    <t>LORI SMALL-SHUBERT</t>
  </si>
  <si>
    <t>JESSICA MULDER J</t>
  </si>
  <si>
    <t>DANIEL LOESCHEN</t>
  </si>
  <si>
    <t>KEITH JACKSON</t>
  </si>
  <si>
    <t>KEVIN ROYER</t>
  </si>
  <si>
    <t>LUKE FILIPIAK</t>
  </si>
  <si>
    <t>TIMOTHY GUNN</t>
  </si>
  <si>
    <t>RAMIRO GARZA</t>
  </si>
  <si>
    <t>AUDRA WHITAKER</t>
  </si>
  <si>
    <t>JULIE MCCAIN</t>
  </si>
  <si>
    <t>ETHAN SWEETLAND-MAY</t>
  </si>
  <si>
    <t>GREGORY MITCHELL</t>
  </si>
  <si>
    <t>ROBERT THOMPKINS</t>
  </si>
  <si>
    <t>DUNCAN MCDONALD</t>
  </si>
  <si>
    <t>JUSTIN CAREY</t>
  </si>
  <si>
    <t>MATTHEW HEUSER</t>
  </si>
  <si>
    <t>ERIC THOMPSON</t>
  </si>
  <si>
    <t>JOSHUA BECKER</t>
  </si>
  <si>
    <t>KYLE CLARK</t>
  </si>
  <si>
    <t>TANNER STARK</t>
  </si>
  <si>
    <t>KENNETH KELLER</t>
  </si>
  <si>
    <t>ANTHONY VELASCO</t>
  </si>
  <si>
    <t>BRADLEY MULDER B</t>
  </si>
  <si>
    <t>REBECCA CUMMINGS</t>
  </si>
  <si>
    <t>WILLIAM STOLTZ II</t>
  </si>
  <si>
    <t>LEE-ANNE GRAHAM</t>
  </si>
  <si>
    <t>JAMES SCOTT BROCK</t>
  </si>
  <si>
    <t>PARKER KAISER</t>
  </si>
  <si>
    <t>JAMES CLARKE</t>
  </si>
  <si>
    <t>CHRISTOPHER TUMEY</t>
  </si>
  <si>
    <t>THOMAS SANDERS</t>
  </si>
  <si>
    <t>LUCAS SINCLAIR</t>
  </si>
  <si>
    <t>NICHOLAS EDWARDS</t>
  </si>
  <si>
    <t>PHILIP BAYS III</t>
  </si>
  <si>
    <t>MARIAH ROBINSON</t>
  </si>
  <si>
    <t>AUSTIN GARR</t>
  </si>
  <si>
    <t>BAKHADIR CHALAYEV</t>
  </si>
  <si>
    <t>MURADIF HODZIC</t>
  </si>
  <si>
    <t>DAVID CLIFFORD</t>
  </si>
  <si>
    <t>MICHAEL SCHWEITZER</t>
  </si>
  <si>
    <t>MITCHELL FLEENOR</t>
  </si>
  <si>
    <t>RONALD BISSIG</t>
  </si>
  <si>
    <t>STEVEN BURNS</t>
  </si>
  <si>
    <t>DANIEL MEDINA</t>
  </si>
  <si>
    <t>RONALD WOOTEN</t>
  </si>
  <si>
    <t>ROBERT SINGER</t>
  </si>
  <si>
    <t>DAVID BECKER</t>
  </si>
  <si>
    <t>CHARLES BRADSHAW</t>
  </si>
  <si>
    <t>BUSINESS DEVELOPMENT</t>
  </si>
  <si>
    <t>ENGINEERING</t>
  </si>
  <si>
    <t>INDIRECT</t>
  </si>
  <si>
    <t>PRODUCTION</t>
  </si>
  <si>
    <t>Other 3</t>
  </si>
  <si>
    <t>Solid Works Flow Modeling</t>
  </si>
  <si>
    <t>Proffesional Development</t>
  </si>
  <si>
    <t>Configurator</t>
  </si>
  <si>
    <t>Ratio Dev</t>
  </si>
  <si>
    <t>Mobile App</t>
  </si>
  <si>
    <t>Equipment</t>
  </si>
  <si>
    <t>Professional Development</t>
  </si>
  <si>
    <t>Content Outsourcing</t>
  </si>
  <si>
    <t>Amazon</t>
  </si>
  <si>
    <t>Chat</t>
  </si>
  <si>
    <t>Marketing Travel</t>
  </si>
  <si>
    <t>BUSINESS DEVELOPMENT TOTAL</t>
  </si>
  <si>
    <t>Soterra</t>
  </si>
  <si>
    <t>Total</t>
  </si>
  <si>
    <t>Total Operations Expense</t>
  </si>
  <si>
    <t>Dec</t>
  </si>
  <si>
    <t>Jan</t>
  </si>
  <si>
    <t>Feb</t>
  </si>
  <si>
    <t>Mar</t>
  </si>
  <si>
    <t>Apr</t>
  </si>
  <si>
    <t>Jun</t>
  </si>
  <si>
    <t>Jul</t>
  </si>
  <si>
    <t>Aug</t>
  </si>
  <si>
    <t>Sep</t>
  </si>
  <si>
    <t>Oct</t>
  </si>
  <si>
    <t>Nov</t>
  </si>
  <si>
    <t>liquidity (abiility to pay bills)</t>
  </si>
  <si>
    <t xml:space="preserve">Current Ratio (crnt assets / crnt liabilities ---&gt;1.5 - 2.0): </t>
  </si>
  <si>
    <t>safety (ability to withstand adversity)</t>
  </si>
  <si>
    <t>Debt to Equity  (Total Liabilities / Equity ---&gt;  1.0 - 1.5):</t>
  </si>
  <si>
    <t>Debt to TTM EBITDA:</t>
  </si>
  <si>
    <t>Gross Profit Margin:</t>
  </si>
  <si>
    <t>Operating Profit Margin:</t>
  </si>
  <si>
    <t>Net Profit Margin:</t>
  </si>
  <si>
    <t xml:space="preserve">Return on Equity: </t>
  </si>
  <si>
    <t xml:space="preserve">Receivable turnover: </t>
  </si>
  <si>
    <t xml:space="preserve">Receivable Days: </t>
  </si>
  <si>
    <t>Inventory Turnover:</t>
  </si>
  <si>
    <t xml:space="preserve">Inventory Days: </t>
  </si>
  <si>
    <t xml:space="preserve">Payable turnover: </t>
  </si>
  <si>
    <t>Payble Days:</t>
  </si>
  <si>
    <t># of Employees:</t>
  </si>
  <si>
    <t xml:space="preserve">Revenue per Employee: </t>
  </si>
  <si>
    <t>Days in month:</t>
  </si>
  <si>
    <t xml:space="preserve">Total: </t>
  </si>
  <si>
    <t>Income Statement</t>
  </si>
  <si>
    <t>Sales Revenue</t>
  </si>
  <si>
    <t>% of total revenue</t>
  </si>
  <si>
    <t>mixer and accessories</t>
  </si>
  <si>
    <t>Ratio</t>
  </si>
  <si>
    <t>Services / Engineering</t>
  </si>
  <si>
    <t>Systems</t>
  </si>
  <si>
    <t>Other Income</t>
  </si>
  <si>
    <t>Tank</t>
  </si>
  <si>
    <t>Net Sales</t>
  </si>
  <si>
    <t xml:space="preserve">Revenue Growth (decline) </t>
  </si>
  <si>
    <t>Engineering Services</t>
  </si>
  <si>
    <t>Cumulative Revenue</t>
  </si>
  <si>
    <t>Cost of  Good Sold</t>
  </si>
  <si>
    <t>Mixer  &amp; Accessories  -  COGS</t>
  </si>
  <si>
    <t>% of PL revenue</t>
  </si>
  <si>
    <t>RATIO- COS</t>
  </si>
  <si>
    <t>Unbilled Project - COGS</t>
  </si>
  <si>
    <t>Misc. Costs &amp; Adjustments</t>
  </si>
  <si>
    <t>Labor -  Absorbed</t>
  </si>
  <si>
    <t>Interpolated between Dec and Feb</t>
  </si>
  <si>
    <t>Labor Expenses</t>
  </si>
  <si>
    <t>Outside Costs</t>
  </si>
  <si>
    <t>Overhead  -  Absorbed</t>
  </si>
  <si>
    <t>Overhead Expenses</t>
  </si>
  <si>
    <t>Labor efficiency</t>
  </si>
  <si>
    <t>Overhead Efficiency</t>
  </si>
  <si>
    <t xml:space="preserve"> GROSS PROFIT</t>
  </si>
  <si>
    <t>Net Income</t>
  </si>
  <si>
    <t>Sales, General &amp; Administrative</t>
  </si>
  <si>
    <t>Marketing Expenses</t>
  </si>
  <si>
    <t>Sales Expenses</t>
  </si>
  <si>
    <t>SG&amp;A</t>
  </si>
  <si>
    <t>OPERATING  PROFIT</t>
  </si>
  <si>
    <t>State/Fed Tax</t>
  </si>
  <si>
    <t xml:space="preserve">% of Operating Profit: </t>
  </si>
  <si>
    <t>NET INCOME</t>
  </si>
  <si>
    <t>Adjustments</t>
  </si>
  <si>
    <t>One-time warranty</t>
  </si>
  <si>
    <t>other adjustements</t>
  </si>
  <si>
    <t>Adjusted Net Income</t>
  </si>
  <si>
    <t xml:space="preserve">Interest cost on cash: </t>
  </si>
  <si>
    <t>Depreciation</t>
  </si>
  <si>
    <t>Amortization</t>
  </si>
  <si>
    <t>Gain /Loss on Asset Disposal</t>
  </si>
  <si>
    <t>Free Cash Flow Calculation</t>
  </si>
  <si>
    <t>EBITDA</t>
  </si>
  <si>
    <t>% of sales</t>
  </si>
  <si>
    <t>Adjusted EBITDA</t>
  </si>
  <si>
    <t>Plus: Depreciation</t>
  </si>
  <si>
    <t>Plus: Amortization</t>
  </si>
  <si>
    <t>Less: Capital Expenditures</t>
  </si>
  <si>
    <t>Less: Change in Net Working Capital (excluding cash)</t>
  </si>
  <si>
    <t>Plus/Less: Change in Other Operating Assets/Liabilities</t>
  </si>
  <si>
    <t>Free Cash Flow ("FCF") to equity (net of interest payments)</t>
  </si>
  <si>
    <t>Note: Net Working Capital (less cash)</t>
  </si>
  <si>
    <t xml:space="preserve">Working Capital (including cash) </t>
  </si>
  <si>
    <t>Balance Sheet</t>
  </si>
  <si>
    <t>Current Assets</t>
  </si>
  <si>
    <t>Cash and Cash Equivalents</t>
  </si>
  <si>
    <t>these are assumptions to help forecast</t>
  </si>
  <si>
    <t>Receivables - AR Trade</t>
  </si>
  <si>
    <t>% of Reve</t>
  </si>
  <si>
    <t>Receivables - Other</t>
  </si>
  <si>
    <t>Unbilled Revenue</t>
  </si>
  <si>
    <t>Deposits</t>
  </si>
  <si>
    <t>% of total inventory</t>
  </si>
  <si>
    <t>Inventory - Finished Goods</t>
  </si>
  <si>
    <t>Contra WIP / COGS</t>
  </si>
  <si>
    <t>% of mat'l COGS</t>
  </si>
  <si>
    <t>Inventory Quality Reserve</t>
  </si>
  <si>
    <t>Work in Process</t>
  </si>
  <si>
    <t>% of all COGS</t>
  </si>
  <si>
    <t>Total Current Assets</t>
  </si>
  <si>
    <t>Long Term Assets</t>
  </si>
  <si>
    <t>Fixed Assets</t>
  </si>
  <si>
    <t>Fixed Asset Depreciation (Cumulative)</t>
  </si>
  <si>
    <t>Notes Receivable - ShearPro</t>
  </si>
  <si>
    <t>Total Long Term Assets</t>
  </si>
  <si>
    <t xml:space="preserve">Total Assets: </t>
  </si>
  <si>
    <t>Liabilities</t>
  </si>
  <si>
    <t>Current Liabilities</t>
  </si>
  <si>
    <t>Loans Payable (PNC)</t>
  </si>
  <si>
    <t>Supplier Payables</t>
  </si>
  <si>
    <t>Taxes Payable</t>
  </si>
  <si>
    <t>% of Rev</t>
  </si>
  <si>
    <t>Payroll Liabilites</t>
  </si>
  <si>
    <t>Customer Deposits</t>
  </si>
  <si>
    <t>Accrued Expenses</t>
  </si>
  <si>
    <t>Inter Company - MXD Holdings Payable</t>
  </si>
  <si>
    <t>Constant #</t>
  </si>
  <si>
    <t>Total Current Liabiliities</t>
  </si>
  <si>
    <t>Long Term Liabilities</t>
  </si>
  <si>
    <t>Note Payable - Anderson</t>
  </si>
  <si>
    <t>PPP loan</t>
  </si>
  <si>
    <t>PNC Equipment Loan</t>
  </si>
  <si>
    <t>Warranty Reserve</t>
  </si>
  <si>
    <t>Total Long Term Liabilities</t>
  </si>
  <si>
    <t>Total Liabilities</t>
  </si>
  <si>
    <t>Long-term debt + Bank Note</t>
  </si>
  <si>
    <t>Share Holders Equity</t>
  </si>
  <si>
    <t>Paid-in Capital</t>
  </si>
  <si>
    <t>Redeemed Stock</t>
  </si>
  <si>
    <t>Cumulative Retained Earnings</t>
  </si>
  <si>
    <t xml:space="preserve">S- Distributions: </t>
  </si>
  <si>
    <t>Cumulative Net Income (per calendar year)</t>
  </si>
  <si>
    <t>Total Shareholders Equity</t>
  </si>
  <si>
    <t>Total Liabilities &amp; Partners Capital</t>
  </si>
  <si>
    <t xml:space="preserve">Check: </t>
  </si>
  <si>
    <t>Cash Flow Statement</t>
  </si>
  <si>
    <t>Cash flows from Operating Activities</t>
  </si>
  <si>
    <t>Change in Current Assets other than cash</t>
  </si>
  <si>
    <t xml:space="preserve">Change in Current Liabilities </t>
  </si>
  <si>
    <t>Add Back Loss from Disposal of Fixed Assets</t>
  </si>
  <si>
    <t>Net cash used in operating activities</t>
  </si>
  <si>
    <t>Cash flows from Investment Activities</t>
  </si>
  <si>
    <t>Capex</t>
  </si>
  <si>
    <t>Adjustments for cash delta with balance sheet</t>
  </si>
  <si>
    <t>Net cash used in investment activiites</t>
  </si>
  <si>
    <t>Cash Flow from Financing Activities</t>
  </si>
  <si>
    <t>Cash from sale(purchase) of stock</t>
  </si>
  <si>
    <t>Cash from the draw (repayment) of Notes Payable (Bart Anderson)</t>
  </si>
  <si>
    <t>Cash from the draw (repayment) of senior debt principle (PNC)</t>
  </si>
  <si>
    <t>Cash from the draw (repayment) of PPP Loan</t>
  </si>
  <si>
    <t>Cash from the draw (repayment) of Equipment Loan</t>
  </si>
  <si>
    <t>Cash from the accrual (payment) of Warranty Reserve Liability</t>
  </si>
  <si>
    <t>Distributions to Shareholders</t>
  </si>
  <si>
    <t>owners taking tax distributions</t>
  </si>
  <si>
    <t>Net cash used in financing activities</t>
  </si>
  <si>
    <t>Cash and cash eq. beginning of period</t>
  </si>
  <si>
    <t>Cash and cash eq. end of period</t>
  </si>
  <si>
    <t>Net change in cash in period</t>
  </si>
  <si>
    <t xml:space="preserve">this is the error in the cash number relative to released financials. </t>
  </si>
  <si>
    <t>Engineering Expense</t>
  </si>
  <si>
    <t>Indirect Expenses</t>
  </si>
  <si>
    <t>Production Expenses</t>
  </si>
  <si>
    <t>Factory Expenses</t>
  </si>
  <si>
    <t>Total Business Development</t>
  </si>
  <si>
    <t>Total Operations</t>
  </si>
  <si>
    <t>Interest Loan Payment Schedule</t>
  </si>
  <si>
    <t>Using This Worksheet</t>
  </si>
  <si>
    <t>http://www.vertex42.com/Calculators/simple-interest-loan.html</t>
  </si>
  <si>
    <r>
      <t xml:space="preserve">This spreadsheet provides a way to track your actual payments.
1. Look at your contract to fill in the Loan information. To start mid-stream, enter the current day's Principal Balance in the Loan Amount field, tomorrow's date in the First Day Interest Accrues field, and enter your current Interest Balance in cell F14.
2. Enter the date of your payments in column B of the Payment Schedule and the amount you paid in column C. The date should be the day the payment is processed.
3. To fully pay off a loan, first enter the date it will be paid off. The Payment should then be the previous Total Owed amount plus the current Interest Accrued.
</t>
    </r>
    <r>
      <rPr>
        <b/>
        <sz val="9"/>
        <rFont val="Arial"/>
        <family val="2"/>
      </rPr>
      <t>Note:</t>
    </r>
    <r>
      <rPr>
        <sz val="9"/>
        <rFont val="Arial"/>
        <family val="2"/>
      </rPr>
      <t xml:space="preserve"> This payment schedule assumes there are no extra penalties or fees for late payments, missing payments, or prepayments. The payment is first applied to the interest accrued, then the previous interest balance. Anything left over is applied to the principal.
</t>
    </r>
  </si>
  <si>
    <t>Borrower:</t>
  </si>
  <si>
    <t>[Company Name]</t>
  </si>
  <si>
    <t>[Address, City, ST ZIP]</t>
  </si>
  <si>
    <t>[Address, City, ST  ZIP]</t>
  </si>
  <si>
    <t>Phone: [Phone]</t>
  </si>
  <si>
    <t>Loan Information</t>
  </si>
  <si>
    <t>[42]</t>
  </si>
  <si>
    <t>Summary To Date</t>
  </si>
  <si>
    <t>Loan Amount</t>
  </si>
  <si>
    <t>Daily Interest Rate</t>
  </si>
  <si>
    <t>pay PIK monthly?</t>
  </si>
  <si>
    <t>Annual Interest Rate</t>
  </si>
  <si>
    <t>Daily PIK Interest Rate</t>
  </si>
  <si>
    <t>Annual PIK Interest Rate</t>
  </si>
  <si>
    <t># Payments</t>
  </si>
  <si>
    <t>First Day Interest Accrues</t>
  </si>
  <si>
    <t>Total Payments</t>
  </si>
  <si>
    <t>Days in Year</t>
  </si>
  <si>
    <t>Total Interest</t>
  </si>
  <si>
    <t>Payment (for reference)</t>
  </si>
  <si>
    <t>Balloon</t>
  </si>
  <si>
    <t>Payment Schedule</t>
  </si>
  <si>
    <t>The Interest Accrued is Rounded</t>
  </si>
  <si>
    <t>Enter the payment date and the payment amount in the yellow fields.</t>
  </si>
  <si>
    <t>Pmt
No.</t>
  </si>
  <si>
    <t>Date</t>
  </si>
  <si>
    <t>Payment</t>
  </si>
  <si>
    <t>Interest
Accrued</t>
  </si>
  <si>
    <t>Interest
Balance</t>
  </si>
  <si>
    <t>Principal
Balance</t>
  </si>
  <si>
    <t>Total
Owed</t>
  </si>
  <si>
    <t xml:space="preserve"> - </t>
  </si>
  <si>
    <t>Starting Balance</t>
  </si>
  <si>
    <t xml:space="preserve">Interest </t>
  </si>
  <si>
    <t>Principle Payment</t>
  </si>
  <si>
    <t>Principle Accrual</t>
  </si>
  <si>
    <t>Ending Balance</t>
  </si>
  <si>
    <t>Added Payment</t>
  </si>
  <si>
    <t>End of Formulas</t>
  </si>
  <si>
    <t>Equipment Loan Amortization Schedule</t>
  </si>
  <si>
    <t>Enter Values</t>
  </si>
  <si>
    <t>Loan Summary</t>
  </si>
  <si>
    <t>Loan amount</t>
  </si>
  <si>
    <t>Scheduled payment</t>
  </si>
  <si>
    <t>Annual interest rate</t>
  </si>
  <si>
    <t>Scheduled number of payments</t>
  </si>
  <si>
    <t>Loan period in years</t>
  </si>
  <si>
    <t>Actual number of payments</t>
  </si>
  <si>
    <t>Number of payments per year</t>
  </si>
  <si>
    <t>Total early payments</t>
  </si>
  <si>
    <t>Start date of loan</t>
  </si>
  <si>
    <t>Total interest</t>
  </si>
  <si>
    <t>Optional extra payments</t>
  </si>
  <si>
    <t>Lender name</t>
  </si>
  <si>
    <t>PNC Equipment Finance</t>
  </si>
  <si>
    <t>Payment Number</t>
  </si>
  <si>
    <t>Payment
Date</t>
  </si>
  <si>
    <t>Beginning
Balance</t>
  </si>
  <si>
    <t>Scheduled Payment</t>
  </si>
  <si>
    <t>Extra
Payment</t>
  </si>
  <si>
    <t>Total
Payment</t>
  </si>
  <si>
    <t>Principal</t>
  </si>
  <si>
    <t>Interest</t>
  </si>
  <si>
    <t>Ending
Balance</t>
  </si>
  <si>
    <t>Cumulative
Interest</t>
  </si>
  <si>
    <t>Year</t>
  </si>
  <si>
    <t>Month</t>
  </si>
  <si>
    <t>Column Labels</t>
  </si>
  <si>
    <t>Sum of Interest</t>
  </si>
  <si>
    <t>Sum of Principal</t>
  </si>
  <si>
    <t>Values</t>
  </si>
  <si>
    <t>Jeremy</t>
  </si>
  <si>
    <t>Mark</t>
  </si>
  <si>
    <t>Revenue Target</t>
  </si>
  <si>
    <t>Q1 % of total</t>
  </si>
  <si>
    <t>Q3 % of total</t>
  </si>
  <si>
    <t>Q4 % of total</t>
  </si>
  <si>
    <t>Ratio Service Packs</t>
  </si>
  <si>
    <t>Revenue Case 1</t>
  </si>
  <si>
    <t>Revenue Case 2</t>
  </si>
  <si>
    <t>Revenue Case 3</t>
  </si>
  <si>
    <t>Revenue Case 4</t>
  </si>
  <si>
    <t>Warranty</t>
  </si>
  <si>
    <t>Net Income Margin</t>
  </si>
  <si>
    <t>Total Admin</t>
  </si>
  <si>
    <t>Operating Profit</t>
  </si>
  <si>
    <t>Executive Commissions</t>
  </si>
  <si>
    <t>Current Revenue</t>
  </si>
  <si>
    <t>Amazon Web Service</t>
  </si>
  <si>
    <t>Deferred Revenue</t>
  </si>
  <si>
    <t>2021 Plan</t>
  </si>
  <si>
    <t>2021 Actual</t>
  </si>
  <si>
    <t>Year End</t>
  </si>
  <si>
    <t>Income Statement Summary</t>
  </si>
  <si>
    <t>GM - %</t>
  </si>
  <si>
    <t>Operating Cash Flow</t>
  </si>
  <si>
    <t>NI - %</t>
  </si>
  <si>
    <t>EBITDA - %</t>
  </si>
  <si>
    <t>Free Cash Flow</t>
  </si>
  <si>
    <t>Balance Sheet (select items)</t>
  </si>
  <si>
    <t>Cash</t>
  </si>
  <si>
    <t>Short Term Debt</t>
  </si>
  <si>
    <t>Long Term Debt</t>
  </si>
  <si>
    <t>Total Debt</t>
  </si>
  <si>
    <t>Net Debt</t>
  </si>
  <si>
    <t>Liquidity: Current Ratio (1.5-2.0)</t>
  </si>
  <si>
    <t>Safety: Debt to Equity  (1.0 - 1.5)</t>
  </si>
  <si>
    <t>Net Working Capital</t>
  </si>
  <si>
    <t xml:space="preserve">Non-Cash Working Capital: </t>
  </si>
  <si>
    <t xml:space="preserve">Change in NC Wrkg Captl: </t>
  </si>
  <si>
    <t>Total Inventory</t>
  </si>
  <si>
    <t>AR</t>
  </si>
  <si>
    <t>Receivable turnover in Period</t>
  </si>
  <si>
    <t>Receivable Days to Turnover</t>
  </si>
  <si>
    <t>Inventory Turnover in Period</t>
  </si>
  <si>
    <t>Inventory Days to Turnover</t>
  </si>
  <si>
    <t>Payable Turnover in Period</t>
  </si>
  <si>
    <t>Payble Days to Turnover</t>
  </si>
  <si>
    <t>Cash Flow Summary</t>
  </si>
  <si>
    <t>Investing Cash Flow</t>
  </si>
  <si>
    <t>Financing Cash Flow</t>
  </si>
  <si>
    <t>Net Cash Flow</t>
  </si>
  <si>
    <t>Revenue - Cum</t>
  </si>
  <si>
    <t>EBITDA - Cum</t>
  </si>
  <si>
    <t>Free Cash Flow - Cum</t>
  </si>
  <si>
    <t>Non-Cash Working Capital</t>
  </si>
  <si>
    <t>Revenue Growth</t>
  </si>
  <si>
    <t>Gross Profit Margin</t>
  </si>
  <si>
    <t>Operating Profit Margin</t>
  </si>
  <si>
    <t>Net Profit Margin</t>
  </si>
  <si>
    <t xml:space="preserve">Return on Equity </t>
  </si>
  <si>
    <t xml:space="preserve">Receivable turnover </t>
  </si>
  <si>
    <t xml:space="preserve">Receivable Days </t>
  </si>
  <si>
    <t>Inventory Turnover</t>
  </si>
  <si>
    <t xml:space="preserve">Inventory Days </t>
  </si>
  <si>
    <t xml:space="preserve">Payable turnover </t>
  </si>
  <si>
    <t>Interest on cash</t>
  </si>
  <si>
    <t>Warrenty</t>
  </si>
  <si>
    <t>Administrative Expenses (less interest, depriciation, amortization)</t>
  </si>
  <si>
    <t>R&amp;D Expenses / Engineering OH</t>
  </si>
  <si>
    <t>PPP Loan Forgiveness Income</t>
  </si>
  <si>
    <t>Inventory - Raw Material</t>
  </si>
  <si>
    <t>Non Cash Fixed Asset Adjustment</t>
  </si>
  <si>
    <t>Gross Profit</t>
  </si>
  <si>
    <t>Debt to TTM EBITDA</t>
  </si>
  <si>
    <t>AP</t>
  </si>
  <si>
    <t>Headcount</t>
  </si>
  <si>
    <t>Rev / Employee</t>
  </si>
  <si>
    <t>CR Hi Limit</t>
  </si>
  <si>
    <t>CR Low Limit</t>
  </si>
  <si>
    <t>D/E Low Limit</t>
  </si>
  <si>
    <t>2021 Total</t>
  </si>
  <si>
    <t>2022 Total</t>
  </si>
  <si>
    <t>Q2 % $Of t$Otal</t>
  </si>
  <si>
    <t>Net Debt to TTQ EBITDA:</t>
  </si>
  <si>
    <t>Property Tax Allocation</t>
  </si>
  <si>
    <t>Average Production Capacity</t>
  </si>
  <si>
    <t>2021 Plan vs Actual 
%-Diff</t>
  </si>
  <si>
    <t>Actual Wages</t>
  </si>
  <si>
    <t>Operations Wages</t>
  </si>
  <si>
    <t>Biz Dev Wages</t>
  </si>
  <si>
    <t>Admin Wages</t>
  </si>
  <si>
    <t>Q1 Weekly Revenue</t>
  </si>
  <si>
    <t>Q2 Weekly Revenue</t>
  </si>
  <si>
    <t>Q3 Weekly Revenue</t>
  </si>
  <si>
    <t>Q4 Weekly Revenue</t>
  </si>
  <si>
    <t>Zoro Seller Fees</t>
  </si>
  <si>
    <t>Owners Equity (Book Value)</t>
  </si>
  <si>
    <t>Sept</t>
  </si>
  <si>
    <t>2021 Year End</t>
  </si>
  <si>
    <t>Cum Net Income Threshold</t>
  </si>
  <si>
    <t>Tony/Danny Difference</t>
  </si>
  <si>
    <t>Cum Op Profit</t>
  </si>
  <si>
    <t>Mark Bonus</t>
  </si>
  <si>
    <t>Mixers</t>
  </si>
  <si>
    <t>Absorption</t>
  </si>
  <si>
    <t>Misc COGS and Adjustments</t>
  </si>
  <si>
    <t>Change in AR</t>
  </si>
  <si>
    <t>-</t>
  </si>
  <si>
    <t>COGS</t>
  </si>
  <si>
    <t>GM - $</t>
  </si>
  <si>
    <t>% Labor Expense Absorbed</t>
  </si>
  <si>
    <t>% Overhead Expense Absorbed</t>
  </si>
  <si>
    <t>2022 Year End</t>
  </si>
  <si>
    <t>Debt</t>
  </si>
  <si>
    <t>Multiple</t>
  </si>
  <si>
    <t>EV</t>
  </si>
  <si>
    <t>Earnings</t>
  </si>
  <si>
    <t>Pre-transaction</t>
  </si>
  <si>
    <t>Post Transaction</t>
  </si>
  <si>
    <t>Equity Value</t>
  </si>
  <si>
    <t>Charlie</t>
  </si>
  <si>
    <t>Earnings / Share</t>
  </si>
  <si>
    <t>Share Holder Earnings</t>
  </si>
  <si>
    <t>% sold</t>
  </si>
  <si>
    <t>Shares Sold</t>
  </si>
  <si>
    <t>Equity Value of Shares Sold</t>
  </si>
  <si>
    <t>Year 1 Principle</t>
  </si>
  <si>
    <t>Year 1 Interest</t>
  </si>
  <si>
    <t>Shareholder Equity Value</t>
  </si>
  <si>
    <t>Equity Value / Share</t>
  </si>
  <si>
    <t>Additional Cash</t>
  </si>
  <si>
    <t>vs optoin 1</t>
  </si>
  <si>
    <t>vs option 0</t>
  </si>
  <si>
    <t>Total Individual Equity Value</t>
  </si>
  <si>
    <t>Total Individual Value (Equity + Cash)</t>
  </si>
  <si>
    <t>Debt / EBITDA</t>
  </si>
  <si>
    <t>Equity Ownership</t>
  </si>
  <si>
    <t>2022 Actual</t>
  </si>
  <si>
    <t>%s from 2021</t>
  </si>
  <si>
    <t>2021 totals</t>
  </si>
  <si>
    <t>PNC Equipment Loan #1</t>
  </si>
  <si>
    <t>PNC Equipment Loan #2</t>
  </si>
  <si>
    <t>Baloon Payment</t>
  </si>
  <si>
    <t>Interest Only? (1-yes, 0-No)</t>
  </si>
  <si>
    <t>Principle</t>
  </si>
  <si>
    <t xml:space="preserve">NOTE: Rather than specifically model exactly when these new principal amounts will hit and </t>
  </si>
  <si>
    <t xml:space="preserve">when we term it out and what that term loan will look like, I am approximating this with a 5 year term </t>
  </si>
  <si>
    <t xml:space="preserve">note up front.  That should be pretty close for the 2022 debt service and we can refine it once we have the final term not payment. </t>
  </si>
  <si>
    <t xml:space="preserve">2019 Actual </t>
  </si>
  <si>
    <t>2021 YTD Plan</t>
  </si>
  <si>
    <t xml:space="preserve">2021 YTD Actual </t>
  </si>
  <si>
    <t>2022 Plan vs 2021 Actual 
$-Diff</t>
  </si>
  <si>
    <t>2022 Totals</t>
  </si>
  <si>
    <t>PPC Management Fee</t>
  </si>
  <si>
    <t>Content Production</t>
  </si>
  <si>
    <t>Social Media</t>
  </si>
  <si>
    <t>Sales - Bonus</t>
  </si>
  <si>
    <t>Training and Development</t>
  </si>
  <si>
    <t>Dec 2022 TTM</t>
  </si>
  <si>
    <t>2021 Data</t>
  </si>
  <si>
    <t>Everything else except Absorption</t>
  </si>
  <si>
    <t>Adjusted 
Apr-22</t>
  </si>
  <si>
    <t>Direct Material Cost Other-COGS</t>
  </si>
  <si>
    <t>Total COGS</t>
  </si>
  <si>
    <t>Non-material Expense (Eng, Direct, Indirect, Factory)</t>
  </si>
  <si>
    <t>Est. Mat. Cost as % of revenue</t>
  </si>
  <si>
    <t>Est. Mat. Cost</t>
  </si>
  <si>
    <t>Direct as % of Rev</t>
  </si>
  <si>
    <t>Indirect as % of Rev</t>
  </si>
  <si>
    <t>Engineering as % of Rev</t>
  </si>
  <si>
    <t>Factory as % of Rev</t>
  </si>
  <si>
    <t>Est. Mat. Cost as % of COGS</t>
  </si>
  <si>
    <t>Opex</t>
  </si>
  <si>
    <t>GP - $</t>
  </si>
  <si>
    <t>GP - %</t>
  </si>
  <si>
    <t>Net Income - %</t>
  </si>
  <si>
    <t>% increase</t>
  </si>
  <si>
    <t>55000 Wages - Engineering</t>
  </si>
  <si>
    <t>55001 Payroll Taxes - Engineering</t>
  </si>
  <si>
    <t>55002 Benefits - Engineering</t>
  </si>
  <si>
    <t>55003 Bonuses - Engineering</t>
  </si>
  <si>
    <t>55004 Workers Comp - Engineering</t>
  </si>
  <si>
    <t>55005 Travel - Engineering</t>
  </si>
  <si>
    <t>55006 Meals &amp; Entertainment - Engineering</t>
  </si>
  <si>
    <t>55008 Engineering Software - Engineering</t>
  </si>
  <si>
    <t>55009 Subcontract Service/Eng Cost - Engineering</t>
  </si>
  <si>
    <t>55010 Engineering - Rent</t>
  </si>
  <si>
    <t>55012 Engineering - Property Tax</t>
  </si>
  <si>
    <t>54000 Indirect Labor - Salaries &amp; Wages</t>
  </si>
  <si>
    <t>54001 Indirect Labor - Payroll Taxes</t>
  </si>
  <si>
    <t>54002 Indirect Labor - Employee Benefits</t>
  </si>
  <si>
    <t>54003 Indirect Labor - Bonuses</t>
  </si>
  <si>
    <t>54004 Indirect Labor - Worker Compensation Insurance</t>
  </si>
  <si>
    <t>54007 Indirect - Meals &amp; Entertainment</t>
  </si>
  <si>
    <t>54009 Indirect - Phone</t>
  </si>
  <si>
    <t>54010 Indirect - Rent</t>
  </si>
  <si>
    <t>54012 Indirect - Property Tax</t>
  </si>
  <si>
    <t>56005 Contract Labor</t>
  </si>
  <si>
    <t>56006 Training &amp; Development</t>
  </si>
  <si>
    <t>56008 Travel - Meals</t>
  </si>
  <si>
    <t>56011 Travel - Mileage</t>
  </si>
  <si>
    <t>56013 Tools &amp; Equipment</t>
  </si>
  <si>
    <t>56014 Factory Supplies</t>
  </si>
  <si>
    <t>56015 Factory Supplies - Polish</t>
  </si>
  <si>
    <t>53200 Rent - Factory</t>
  </si>
  <si>
    <t>53201 Equipment Depreciation - Factory</t>
  </si>
  <si>
    <t>53202 Leasehold Imporvement Depreciation - Factory</t>
  </si>
  <si>
    <t>53204 Auto Insurance - Factory</t>
  </si>
  <si>
    <t>53205 Maintenance - Factory</t>
  </si>
  <si>
    <t>53206 Property Taxes - Factory</t>
  </si>
  <si>
    <t>53207 Supplies &amp; Expenses - Factory</t>
  </si>
  <si>
    <t>53208 Tools &amp; Equipment - Factory</t>
  </si>
  <si>
    <t>53209 Pre-Expend Bin - Factory</t>
  </si>
  <si>
    <t>53210 Vehicle Fuel &amp; Maintenance - Factory</t>
  </si>
  <si>
    <t>53212 Utilities - Factory</t>
  </si>
  <si>
    <t>53214 Welding - Supplies &amp; Equipment - Factory</t>
  </si>
  <si>
    <t>52001 Direct Labor - Salaries &amp; Wages</t>
  </si>
  <si>
    <t>52002 Direct Labor - Payroll Taxes</t>
  </si>
  <si>
    <t>52003 Direct Labor - Employee Benefits</t>
  </si>
  <si>
    <t>52005 Direct Labor - Worker Compensation Insurance</t>
  </si>
  <si>
    <t>52007 Direct Labor - Contract/Outside</t>
  </si>
  <si>
    <t>51001 Scrap Expense - Inventory</t>
  </si>
  <si>
    <t>51004 Merchant Account Fees</t>
  </si>
  <si>
    <t>51005 Codes, STDS, ASME, NFPA, Tests</t>
  </si>
  <si>
    <t>51006 PO Shipping Costs</t>
  </si>
  <si>
    <t>51008 Quality Expense</t>
  </si>
  <si>
    <t>51101 Inventory Adjustments - Mixers &amp; Accessories</t>
  </si>
  <si>
    <t>51102 Inventory Adjustments - Tanks</t>
  </si>
  <si>
    <t>51103 Inventory Adjustments - Systems</t>
  </si>
  <si>
    <t>50300 Direct Materials Price Variance - Mixers &amp; Accessories</t>
  </si>
  <si>
    <t>50301 Direct Materials Price Variance - Tanks</t>
  </si>
  <si>
    <t>50302 Direct Materials Price Variance - Systems</t>
  </si>
  <si>
    <t>40000 Sales</t>
  </si>
  <si>
    <t>40001 Sales - Mixers &amp; Accessories</t>
  </si>
  <si>
    <t>40002 Sales - Tanks</t>
  </si>
  <si>
    <t xml:space="preserve">40003 Sales - Systems </t>
  </si>
  <si>
    <t>40006 Sales - Service Engineering</t>
  </si>
  <si>
    <t>40007 Sales - Other</t>
  </si>
  <si>
    <t>40008 Unbilled Project Revenue</t>
  </si>
  <si>
    <t>42000 Shipping Income</t>
  </si>
  <si>
    <t>43001 Sales Returns &amp; Allowances - Mixers &amp; Accessories</t>
  </si>
  <si>
    <t>43002 Sales Returns &amp; Allowances - Tanks</t>
  </si>
  <si>
    <t xml:space="preserve">43003 Sales Returns &amp; Allowances - Systems </t>
  </si>
  <si>
    <t>45001 Restocking Fee - Mixers &amp; Accessories</t>
  </si>
  <si>
    <t>45007 Interest Income</t>
  </si>
  <si>
    <t>45009 Misc Income</t>
  </si>
  <si>
    <t>As of 01/31/2022</t>
  </si>
  <si>
    <t>As of 02/28/2022</t>
  </si>
  <si>
    <t>As of 03/31/2022</t>
  </si>
  <si>
    <t>As of 04/30/2022</t>
  </si>
  <si>
    <t>As of 05/31/2022</t>
  </si>
  <si>
    <t>As of 06/30/2022</t>
  </si>
  <si>
    <t>ASSETS</t>
  </si>
  <si>
    <t>Bank and Cash Accounts</t>
  </si>
  <si>
    <t>Receivables</t>
  </si>
  <si>
    <t>11100 Account Receivable</t>
  </si>
  <si>
    <t>Total Receivables</t>
  </si>
  <si>
    <t>10141 Outstanding Receipts - Wire</t>
  </si>
  <si>
    <t>10430 Outstanding Receipts - Main</t>
  </si>
  <si>
    <t>10450 Outstanding Receipts - No activity</t>
  </si>
  <si>
    <t>11050 Credit Card Receivable</t>
  </si>
  <si>
    <t>11130 Unbilled Revenue</t>
  </si>
  <si>
    <t>11400 EE Receivable - Health Insurance</t>
  </si>
  <si>
    <t>11401 EE Receivable - Vision Insurance</t>
  </si>
  <si>
    <t>11402 EE Receivable - Dental Insurance</t>
  </si>
  <si>
    <t>11403 EE Receivable - Phones</t>
  </si>
  <si>
    <t>11404 EE Receivable - Life Insurance</t>
  </si>
  <si>
    <t>11405 EE Receivable - LTD Insurance</t>
  </si>
  <si>
    <t>11500 Prepaid Expenses</t>
  </si>
  <si>
    <t>11600 Employee Receivable</t>
  </si>
  <si>
    <t>12000 Inventory - Direct Materials</t>
  </si>
  <si>
    <t>12100 Inventory - Work-in-Process</t>
  </si>
  <si>
    <t>12120 COGS Unbilled Revenue - Contra Inv.</t>
  </si>
  <si>
    <t>12200 Inventory - Finished Goods</t>
  </si>
  <si>
    <t>12500 Inventory In Transit</t>
  </si>
  <si>
    <t>20102 Outstanding Checks GSS</t>
  </si>
  <si>
    <t>21111 Opening Balance</t>
  </si>
  <si>
    <t>Prepayments</t>
  </si>
  <si>
    <t>Plus Fixed Assets</t>
  </si>
  <si>
    <t>13999 Construction In Progress</t>
  </si>
  <si>
    <t>14000 Fixed Asset Factory Equipment</t>
  </si>
  <si>
    <t>14100 Fixed Assets - Office Equipment</t>
  </si>
  <si>
    <t>14200 Fixed Assets - IT Equipment</t>
  </si>
  <si>
    <t>14300 Fixed Assets - Plant Furnishings</t>
  </si>
  <si>
    <t>14400 Fixed Assets - Leasehold Improvements</t>
  </si>
  <si>
    <t xml:space="preserve">14450 Fixed Assets - Vehicles </t>
  </si>
  <si>
    <t>15000 Accum Depreciation - Factory Equipment</t>
  </si>
  <si>
    <t>15100 Accum Depreciation - Office Equipment</t>
  </si>
  <si>
    <t>15200 Accum Depreciation - IT Equipment &amp; Software</t>
  </si>
  <si>
    <t>15300 Accum Depreciation - Plant Furnishing</t>
  </si>
  <si>
    <t>15400 Accum Depreciation - Leasehold Improvement</t>
  </si>
  <si>
    <t xml:space="preserve">15450 Accum Depreciation - Vehicles </t>
  </si>
  <si>
    <t>16000 Intangible Assets - ShearPro</t>
  </si>
  <si>
    <t>16100 Intangible Assets - Website</t>
  </si>
  <si>
    <t>16200 Fixed Assets - Business Startup Costs</t>
  </si>
  <si>
    <t>16300 Intangible Assets - Ratio Development</t>
  </si>
  <si>
    <t>17000 Accum Amortization - ShearPro</t>
  </si>
  <si>
    <t>17100 Accum Amortization - Website</t>
  </si>
  <si>
    <t>17200 Accum Amortization - Business Startup Costs</t>
  </si>
  <si>
    <t>17300 Accum Amortization - Ratio Development</t>
  </si>
  <si>
    <t>Total Plus Fixed Assets</t>
  </si>
  <si>
    <t>Plus Non-current Assets</t>
  </si>
  <si>
    <t>Total ASSETS</t>
  </si>
  <si>
    <t>LIABILITIES</t>
  </si>
  <si>
    <t>20100 Goods Received - Not Invoiced</t>
  </si>
  <si>
    <t>20101 GSS Goods Rec - Not Invoiced</t>
  </si>
  <si>
    <t>20200 Deferred Revenue</t>
  </si>
  <si>
    <t xml:space="preserve">20400 Accrued Payroll </t>
  </si>
  <si>
    <t>20410 Accrued Bonus</t>
  </si>
  <si>
    <t>20420 Accrued Commissions</t>
  </si>
  <si>
    <t>20430 Payroll Deductions Payable</t>
  </si>
  <si>
    <t>20440 Wages Payable</t>
  </si>
  <si>
    <t>20450 Payroll Taxes Payable</t>
  </si>
  <si>
    <t>20600 Accrued Property Taxes</t>
  </si>
  <si>
    <t>20800 Customer Deposits</t>
  </si>
  <si>
    <t>20801 Shopify Payments</t>
  </si>
  <si>
    <t>20900 Sales Tax Payable</t>
  </si>
  <si>
    <t>21000 PNC Line of Credit</t>
  </si>
  <si>
    <t>Total Current Liabilities</t>
  </si>
  <si>
    <t>Payables</t>
  </si>
  <si>
    <t>20000 Account Payable</t>
  </si>
  <si>
    <t>20300 Accrued Expenses</t>
  </si>
  <si>
    <t>Total Payables</t>
  </si>
  <si>
    <t>Plus Non-current Liabilities</t>
  </si>
  <si>
    <t>20700 Accrued Warranty Expense</t>
  </si>
  <si>
    <t>21101 Note Payable - Stock Redemption</t>
  </si>
  <si>
    <t>22000 Loan Payable - Equipment/PNC</t>
  </si>
  <si>
    <t>Total Plus Non-current Liabilities</t>
  </si>
  <si>
    <t>Total LIABILITIES</t>
  </si>
  <si>
    <t>EQUITY</t>
  </si>
  <si>
    <t>Unallocated Earnings</t>
  </si>
  <si>
    <t>Current Year Unallocated Earnings</t>
  </si>
  <si>
    <t>Current Year Earnings</t>
  </si>
  <si>
    <t>Current Year Allocated Earnings</t>
  </si>
  <si>
    <t>Total Current Year Unallocated Earnings</t>
  </si>
  <si>
    <t>Previous Years Unallocated Earnings</t>
  </si>
  <si>
    <t>Total Unallocated Earnings</t>
  </si>
  <si>
    <t>Retained Earnings</t>
  </si>
  <si>
    <t>Total EQUITY</t>
  </si>
  <si>
    <t>LIABILITIES + EQUITY</t>
  </si>
  <si>
    <t>Inventory - Raw Materials</t>
  </si>
  <si>
    <t>Inventory - In Transit</t>
  </si>
  <si>
    <t>Inventory - Other</t>
  </si>
  <si>
    <t>Oustanding Checks</t>
  </si>
  <si>
    <t>Opening Balance Adjustment</t>
  </si>
  <si>
    <t>Good Received - Not Invoiced</t>
  </si>
  <si>
    <t>Sales Taxes Payable</t>
  </si>
  <si>
    <t xml:space="preserve">30000 Common Stock                  </t>
  </si>
  <si>
    <t>30050 Redeemed Stock -190 Shares</t>
  </si>
  <si>
    <t>30100 Paid-In Capital</t>
  </si>
  <si>
    <t>30300 Retained Earnings</t>
  </si>
  <si>
    <t>30400 Distribution Paid</t>
  </si>
  <si>
    <t>Total Retained Earnings</t>
  </si>
  <si>
    <t>As of 12/31/2021</t>
  </si>
  <si>
    <t>45002 Restocking Fee - Tanks</t>
  </si>
  <si>
    <t>50000 Direct Material Cost</t>
  </si>
  <si>
    <t>50001 Direct Material Cost - Mixers &amp; Accessories</t>
  </si>
  <si>
    <t>50002 Direct Material Cost - Tanks</t>
  </si>
  <si>
    <t>50003 Direct Material Cost - Systems</t>
  </si>
  <si>
    <t>50006 Direct Material Cost - Service</t>
  </si>
  <si>
    <t>50007 Direct Material Cost - Other</t>
  </si>
  <si>
    <t>50008 Unbilled Project Cost</t>
  </si>
  <si>
    <t>60210 Amortization - Ratio</t>
  </si>
  <si>
    <t>51203 Freight Expense</t>
  </si>
  <si>
    <t>51204 Packaging &amp; Shipping Supplies</t>
  </si>
  <si>
    <t>60000 Phones - BD</t>
  </si>
  <si>
    <t>60001 Rent - BD</t>
  </si>
  <si>
    <t>60002 Property Tax - BD</t>
  </si>
  <si>
    <t>60003 Wages - Marketing</t>
  </si>
  <si>
    <t>60004 Payroll Taxes - Marketing</t>
  </si>
  <si>
    <t>60005 Benefits - Marketing</t>
  </si>
  <si>
    <t>60006 Workers Comp - Marketing</t>
  </si>
  <si>
    <t>60007 Commissions - Marketing</t>
  </si>
  <si>
    <t>60008 Pay Per Click</t>
  </si>
  <si>
    <t>60009 Shopify</t>
  </si>
  <si>
    <t>60010 Amortization-Website</t>
  </si>
  <si>
    <t>60011 Website Development</t>
  </si>
  <si>
    <t>60014 Call Tracking</t>
  </si>
  <si>
    <t>60015 SEO</t>
  </si>
  <si>
    <t>60016 Hubspot</t>
  </si>
  <si>
    <t>60018 Adobe Creative Cloud Software</t>
  </si>
  <si>
    <t>60019 Trade Shows - Including Travel</t>
  </si>
  <si>
    <t>60020 Conferences - Marketing</t>
  </si>
  <si>
    <t>60022 Meals &amp; Entertainment - Marketing</t>
  </si>
  <si>
    <t>60024 Marketing Materials</t>
  </si>
  <si>
    <t>60102 Wages - BD Engineering</t>
  </si>
  <si>
    <t>60103 Commissions - BD Engineering</t>
  </si>
  <si>
    <t>60104 Payroll Taxes - BD Engineering</t>
  </si>
  <si>
    <t>60106 Benefits - BD Engineering</t>
  </si>
  <si>
    <t>60107 R&amp;D Lab - BD Engineering</t>
  </si>
  <si>
    <t>60205 Wages - BD Software</t>
  </si>
  <si>
    <t>60206 Payroll Taxes - BD Software</t>
  </si>
  <si>
    <t>60208 Benefits - BD Software</t>
  </si>
  <si>
    <t>60209 Commissions - BD Software</t>
  </si>
  <si>
    <t>60300 Wages - BD Sales</t>
  </si>
  <si>
    <t>60301 Payroll Taxes - BD Sales</t>
  </si>
  <si>
    <t>60303 Benefits - BD Sales</t>
  </si>
  <si>
    <t>60304 Auto - BD</t>
  </si>
  <si>
    <t>60305 Insurance - Vehicles</t>
  </si>
  <si>
    <t>60306 Commissions - BD Sales</t>
  </si>
  <si>
    <t>60307 Travel - BD Sales</t>
  </si>
  <si>
    <t>60308 Meals &amp; Entertainment - BD Sales</t>
  </si>
  <si>
    <t>60309 Outside Sales - BD</t>
  </si>
  <si>
    <t>60310 BD Sales - Bonus</t>
  </si>
  <si>
    <t>61000 Meals &amp; Entertainment - Sales</t>
  </si>
  <si>
    <t>61001 Phone - Sales</t>
  </si>
  <si>
    <t>61004 Wages - Sales</t>
  </si>
  <si>
    <t>61005 Payroll Taxes - Sales</t>
  </si>
  <si>
    <t>61006 Workers Comp - Sales</t>
  </si>
  <si>
    <t>61007 Benefits - Sales</t>
  </si>
  <si>
    <t>61008 Commissions - Sales</t>
  </si>
  <si>
    <t>61010 Rent - Sales</t>
  </si>
  <si>
    <t>61012 Sales - Property Tax</t>
  </si>
  <si>
    <t>61013 Sales - Bonus</t>
  </si>
  <si>
    <t>62000 Wages - Admin</t>
  </si>
  <si>
    <t>62001 Payroll Taxes - Admin</t>
  </si>
  <si>
    <t>62002 Benefits - Admin</t>
  </si>
  <si>
    <t>62003 Workers Comp - Admin</t>
  </si>
  <si>
    <t>62006 Bad Debt</t>
  </si>
  <si>
    <t>62007 Interest Expense</t>
  </si>
  <si>
    <t>62008 Bank Charges</t>
  </si>
  <si>
    <t>62009 Auto</t>
  </si>
  <si>
    <t>62010 Phone &amp; Data Communications</t>
  </si>
  <si>
    <t>62011 Credit Card Fees</t>
  </si>
  <si>
    <t>62012 Depreciation - Office Equipment</t>
  </si>
  <si>
    <t>62013 Depreciation - Vehicles</t>
  </si>
  <si>
    <t>62014 Depreciation - IT Eqpt &amp; Software</t>
  </si>
  <si>
    <t>62015 Depreciation - Plant Furnishing</t>
  </si>
  <si>
    <t>62017 Amortization - Intangible Asset</t>
  </si>
  <si>
    <t>62018 Dues &amp; Subscriptions</t>
  </si>
  <si>
    <t>62019 Education &amp; Seminars</t>
  </si>
  <si>
    <t>62020 Donations - Gifts</t>
  </si>
  <si>
    <t>62021 Insurance - Gen &amp; Product Liability</t>
  </si>
  <si>
    <t>62023 Legal &amp; Professional</t>
  </si>
  <si>
    <t>62024 Licenses &amp; Fees</t>
  </si>
  <si>
    <t>62025 Life Insurance</t>
  </si>
  <si>
    <t>62026 Meals &amp; Entertainment - Admin</t>
  </si>
  <si>
    <t>62028 Misc Expense</t>
  </si>
  <si>
    <t>62029 Office/Kitchen Supplies</t>
  </si>
  <si>
    <t>62030 Office - Janitorial</t>
  </si>
  <si>
    <t>62031 Payroll Service Fees</t>
  </si>
  <si>
    <t>62032 Penalties &amp; Fines</t>
  </si>
  <si>
    <t>62033 Postage</t>
  </si>
  <si>
    <t>62034 Property Taxes - Office</t>
  </si>
  <si>
    <t>62035 Purchase Tax</t>
  </si>
  <si>
    <t>62036 Rent - Admin</t>
  </si>
  <si>
    <t>62037 Utilities - Office</t>
  </si>
  <si>
    <t>62038 Admin - Travel</t>
  </si>
  <si>
    <t>62039 Human Resources</t>
  </si>
  <si>
    <t>62040 IT Support &amp; Development</t>
  </si>
  <si>
    <t>62041 IT Materials &amp; Software</t>
  </si>
  <si>
    <t>62100 Contract Labor - Admin</t>
  </si>
  <si>
    <t>62103 Admin Bonus</t>
  </si>
  <si>
    <t>64000 Income Tax - State/Local</t>
  </si>
  <si>
    <t>Jan 2022</t>
  </si>
  <si>
    <t>Feb 2022</t>
  </si>
  <si>
    <t>Mar 2022</t>
  </si>
  <si>
    <t>Apr 2022</t>
  </si>
  <si>
    <t>May 2022</t>
  </si>
  <si>
    <t>Jun 2022</t>
  </si>
  <si>
    <t>Jul 2022</t>
  </si>
  <si>
    <t>Income</t>
  </si>
  <si>
    <t>Operating Income</t>
  </si>
  <si>
    <t>Total Operating Income</t>
  </si>
  <si>
    <t>Cost of Revenue</t>
  </si>
  <si>
    <t>52000 Absorbed Labor</t>
  </si>
  <si>
    <t>53000 Absorbed Overhead</t>
  </si>
  <si>
    <t>Total Cost of Revenue</t>
  </si>
  <si>
    <t>Total Gross Profit</t>
  </si>
  <si>
    <t>Total Other Income</t>
  </si>
  <si>
    <t>Total Income</t>
  </si>
  <si>
    <t>Expenses</t>
  </si>
  <si>
    <t>Total Expenses</t>
  </si>
  <si>
    <t>Net Profit</t>
  </si>
  <si>
    <t>10143 Outstanding Receipts - MM&gt;Main</t>
  </si>
  <si>
    <t>10440 Outstanding Payments - Main</t>
  </si>
  <si>
    <t>As of 07/31/2022</t>
  </si>
  <si>
    <t xml:space="preserve">error check: CFS cash vs Balance Sheet Cash </t>
  </si>
  <si>
    <t>Payable Days</t>
  </si>
  <si>
    <t>Aug 2022</t>
  </si>
  <si>
    <t>As of 08/31/2022</t>
  </si>
  <si>
    <t>Sep 2022</t>
  </si>
  <si>
    <t>As of 09/30/2022</t>
  </si>
  <si>
    <t>Oct 2022</t>
  </si>
  <si>
    <t>As of 10/31/2022</t>
  </si>
  <si>
    <t>Current Ratio</t>
  </si>
  <si>
    <t>Nov 2022</t>
  </si>
  <si>
    <t>As of 11/30/2022</t>
  </si>
  <si>
    <t>Dec 2022</t>
  </si>
  <si>
    <t>As of 12/31/2022</t>
  </si>
  <si>
    <t>FYE 2022</t>
  </si>
  <si>
    <t>Oct 2023</t>
  </si>
  <si>
    <t>Jan 2023</t>
  </si>
  <si>
    <t>Feb 2023</t>
  </si>
  <si>
    <t>Mar 2023</t>
  </si>
  <si>
    <t>Apr 2023</t>
  </si>
  <si>
    <t>May 2023</t>
  </si>
  <si>
    <t>Jun 2023</t>
  </si>
  <si>
    <t>Jul 2023</t>
  </si>
  <si>
    <t>Aug 2023</t>
  </si>
  <si>
    <t>Sep 2023</t>
  </si>
  <si>
    <t>Nov 2023</t>
  </si>
  <si>
    <t>Dec 2023</t>
  </si>
  <si>
    <t>As of 01/31/2023</t>
  </si>
  <si>
    <t>2023 Actual</t>
  </si>
  <si>
    <t>2023 Totals</t>
  </si>
  <si>
    <t>2021r</t>
  </si>
  <si>
    <t>2023 Year End</t>
  </si>
  <si>
    <t>Prior Year Wages</t>
  </si>
  <si>
    <t>2023 YTD</t>
  </si>
  <si>
    <t>2023 Data</t>
  </si>
  <si>
    <t>Jan Actual</t>
  </si>
  <si>
    <t>Nov Budget</t>
  </si>
  <si>
    <t>Dec Budget</t>
  </si>
  <si>
    <t>Innovation Engineering</t>
  </si>
  <si>
    <t>IT</t>
  </si>
  <si>
    <t>Sales - BusDel (to 2022)</t>
  </si>
  <si>
    <t>Total Innovation</t>
  </si>
  <si>
    <t>Total IT</t>
  </si>
  <si>
    <t>Total Innovation Department</t>
  </si>
  <si>
    <t>Sales &amp; Marketing</t>
  </si>
  <si>
    <t>Innovation</t>
  </si>
  <si>
    <t>Innovation Engineering Expense</t>
  </si>
  <si>
    <t>IT Software Expense</t>
  </si>
  <si>
    <t>As of 02/28/2023</t>
  </si>
  <si>
    <t>Mao</t>
  </si>
  <si>
    <t>61005 Paoroll Taxes - Sales</t>
  </si>
  <si>
    <t>Displao ads</t>
  </si>
  <si>
    <t>60301 Paoroll Taxes - BD Sales</t>
  </si>
  <si>
    <t>Commissions - Non Paoroll</t>
  </si>
  <si>
    <t>60104 Paoroll Taxes - BD Engineering</t>
  </si>
  <si>
    <t>60206 Paoroll Taxes - BD Software</t>
  </si>
  <si>
    <t>62001 Paoroll Taxes - Admin</t>
  </si>
  <si>
    <t>62031 Paoroll Service Fees</t>
  </si>
  <si>
    <t>Feb Actual</t>
  </si>
  <si>
    <t>Plan Operations Wages</t>
  </si>
  <si>
    <t>Plan Biz Dev Wages</t>
  </si>
  <si>
    <t>Plan Admin Wages</t>
  </si>
  <si>
    <t>Meals &amp; Entertainment</t>
  </si>
  <si>
    <t>Depreciation IT Equipment</t>
  </si>
  <si>
    <t>As of 03/31/2023</t>
  </si>
  <si>
    <t>Mar Actual</t>
  </si>
  <si>
    <t>As of 04/30/2023</t>
  </si>
  <si>
    <t>Direct Labpr</t>
  </si>
  <si>
    <t>Indirect Labpr</t>
  </si>
  <si>
    <t>Apri 2023 Gross Margin Contribution</t>
  </si>
  <si>
    <t>Apr Actual</t>
  </si>
  <si>
    <t>Jan 20</t>
  </si>
  <si>
    <t>Feb 20</t>
  </si>
  <si>
    <t>Mar 20</t>
  </si>
  <si>
    <t>Apr 20</t>
  </si>
  <si>
    <t>May 20</t>
  </si>
  <si>
    <t>Jun 20</t>
  </si>
  <si>
    <t>Jul 20</t>
  </si>
  <si>
    <t>Aug 20</t>
  </si>
  <si>
    <t>Sep 20</t>
  </si>
  <si>
    <t>Oct 20</t>
  </si>
  <si>
    <t>Nov 20</t>
  </si>
  <si>
    <t>Dec 20</t>
  </si>
  <si>
    <t>Jan 21</t>
  </si>
  <si>
    <t>Feb 21</t>
  </si>
  <si>
    <t>Mar 21</t>
  </si>
  <si>
    <t>Apr 21</t>
  </si>
  <si>
    <t>May 21</t>
  </si>
  <si>
    <t>Jun 21</t>
  </si>
  <si>
    <t>Jul 21</t>
  </si>
  <si>
    <t>Aug 21</t>
  </si>
  <si>
    <t>Sep 21</t>
  </si>
  <si>
    <t>Oct 21</t>
  </si>
  <si>
    <t>Nov 21</t>
  </si>
  <si>
    <t>Dec 21</t>
  </si>
  <si>
    <t>Jan 22</t>
  </si>
  <si>
    <t>Feb 22</t>
  </si>
  <si>
    <t>Mar 22</t>
  </si>
  <si>
    <t>Apr 22</t>
  </si>
  <si>
    <t>May 22</t>
  </si>
  <si>
    <t>Jun 22</t>
  </si>
  <si>
    <t>Jul 22</t>
  </si>
  <si>
    <t>Aug 22</t>
  </si>
  <si>
    <t>Sep 22</t>
  </si>
  <si>
    <t>Oct 22</t>
  </si>
  <si>
    <t>Nov 22</t>
  </si>
  <si>
    <t>Dec 22</t>
  </si>
  <si>
    <t>Jan 23</t>
  </si>
  <si>
    <t>Feb 23</t>
  </si>
  <si>
    <t>Mar 23</t>
  </si>
  <si>
    <t>Ordinary Income/Expense</t>
  </si>
  <si>
    <t>4100 · Sales</t>
  </si>
  <si>
    <t>4150 · Sales Discount</t>
  </si>
  <si>
    <t>4200 · Freight Income - UPS</t>
  </si>
  <si>
    <t>5000 · Cost of Goods Sold</t>
  </si>
  <si>
    <t>6100-1 · Cost of Sales - Labor</t>
  </si>
  <si>
    <t>6100 · Cost of Sales</t>
  </si>
  <si>
    <t>Expense</t>
  </si>
  <si>
    <t>Operating Expense</t>
  </si>
  <si>
    <t>Insurance</t>
  </si>
  <si>
    <t>8400 · General Liability</t>
  </si>
  <si>
    <t>8420 · Group Insurance</t>
  </si>
  <si>
    <t>8425 · Officer Life/Disability Ins</t>
  </si>
  <si>
    <t>8430 · Workers Comp Ins</t>
  </si>
  <si>
    <t>Total Insurance</t>
  </si>
  <si>
    <t>Payroll Expense</t>
  </si>
  <si>
    <t>8000 · Salaries &amp; Wages</t>
  </si>
  <si>
    <t>8001 · Bonus</t>
  </si>
  <si>
    <t>8002 · FUTA</t>
  </si>
  <si>
    <t>8003 · Medicare</t>
  </si>
  <si>
    <t>8004 · Payroll Taxes</t>
  </si>
  <si>
    <t>8005 · Social Security</t>
  </si>
  <si>
    <t>8006 · SUTA</t>
  </si>
  <si>
    <t>Total Payroll Expense</t>
  </si>
  <si>
    <t>8100 · Accounting</t>
  </si>
  <si>
    <t>8130 · Advertising &amp; Marketing</t>
  </si>
  <si>
    <t>8150 · Bank Service Chg</t>
  </si>
  <si>
    <t>8151 · Credit Card Fees</t>
  </si>
  <si>
    <t>8200 · Casual Labor</t>
  </si>
  <si>
    <t>8250 · Contributions</t>
  </si>
  <si>
    <t>8265 · Trucking Expense</t>
  </si>
  <si>
    <t>8270 · Outside Services</t>
  </si>
  <si>
    <t>8280 · Crating &amp; Shipping Material</t>
  </si>
  <si>
    <t>8300 · Dues &amp; Subscriptions</t>
  </si>
  <si>
    <t>8320 · Employee Benefits</t>
  </si>
  <si>
    <t>8330 · Meals &amp; Entertainment</t>
  </si>
  <si>
    <t>8340 · Freight In</t>
  </si>
  <si>
    <t>8350 · Freight Out</t>
  </si>
  <si>
    <t>8370 · Fuel, Oil &amp; Grease</t>
  </si>
  <si>
    <t>8470 · Legal &amp; Professional FeeExpense</t>
  </si>
  <si>
    <t>8480 · Licenses &amp; Permits</t>
  </si>
  <si>
    <t>8550 · Postage</t>
  </si>
  <si>
    <t>8560 · Profit Sharing</t>
  </si>
  <si>
    <t>8650 · Repairs &amp; Maintenance</t>
  </si>
  <si>
    <t>8651 · Grounds Repairs and Maintenance</t>
  </si>
  <si>
    <t>8652 · Building Maintenance</t>
  </si>
  <si>
    <t>8653 · Computer/Internet Expense</t>
  </si>
  <si>
    <t>8660 · Office Expense</t>
  </si>
  <si>
    <t>8670 · Safety</t>
  </si>
  <si>
    <t>8680 · Shop Repair Part/Tools</t>
  </si>
  <si>
    <t>8690 · Supplies</t>
  </si>
  <si>
    <t>8691 · Bulk purchase argon</t>
  </si>
  <si>
    <t>8700 · Taxes</t>
  </si>
  <si>
    <t>8737 · Real Estate Tax</t>
  </si>
  <si>
    <t>8740 · CAT Tax</t>
  </si>
  <si>
    <t>Total 8700 · Taxes</t>
  </si>
  <si>
    <t>8750 · Telephone</t>
  </si>
  <si>
    <t>8800 · Travel</t>
  </si>
  <si>
    <t>8820 · Uniforms</t>
  </si>
  <si>
    <t>8850 · Utilities</t>
  </si>
  <si>
    <t>8870 · Miscellaneous Expense</t>
  </si>
  <si>
    <t>8900 · Depreciation</t>
  </si>
  <si>
    <t>8905 · Amortization</t>
  </si>
  <si>
    <t>9999 · Suspense Account</t>
  </si>
  <si>
    <t>Total Operating Expense</t>
  </si>
  <si>
    <t>8692 · Forklift Lease</t>
  </si>
  <si>
    <t>8888 · Trucking Expense</t>
  </si>
  <si>
    <t>Total Expense</t>
  </si>
  <si>
    <t>Net Ordinary Income</t>
  </si>
  <si>
    <t>Other Income/Expense</t>
  </si>
  <si>
    <t>9100 · Other Income</t>
  </si>
  <si>
    <t>9105 · Management Fee Income</t>
  </si>
  <si>
    <t>9150 · Debt Forgiveness Income</t>
  </si>
  <si>
    <t>Other Expense</t>
  </si>
  <si>
    <t>8880 · Bad Debts</t>
  </si>
  <si>
    <t>9400 · Interest Expense</t>
  </si>
  <si>
    <t>9750 · State Income Tax</t>
  </si>
  <si>
    <t>Total Other Expense</t>
  </si>
  <si>
    <t>Net Other Income</t>
  </si>
  <si>
    <t>Jan 31, 20</t>
  </si>
  <si>
    <t>Feb 29, 20</t>
  </si>
  <si>
    <t>Mar 31, 20</t>
  </si>
  <si>
    <t>Apr 30, 20</t>
  </si>
  <si>
    <t>May 31, 20</t>
  </si>
  <si>
    <t>Jun 30, 20</t>
  </si>
  <si>
    <t>Jul 31, 20</t>
  </si>
  <si>
    <t>Aug 31, 20</t>
  </si>
  <si>
    <t>Sep 30, 20</t>
  </si>
  <si>
    <t>Oct 31, 20</t>
  </si>
  <si>
    <t>Nov 30, 20</t>
  </si>
  <si>
    <t>Dec 31, 20</t>
  </si>
  <si>
    <t>Jan 31, 21</t>
  </si>
  <si>
    <t>Feb 28, 21</t>
  </si>
  <si>
    <t>Mar 31, 21</t>
  </si>
  <si>
    <t>Apr 30, 21</t>
  </si>
  <si>
    <t>May 31, 21</t>
  </si>
  <si>
    <t>Jun 30, 21</t>
  </si>
  <si>
    <t>Jul 31, 21</t>
  </si>
  <si>
    <t>Aug 31, 21</t>
  </si>
  <si>
    <t>Sep 30, 21</t>
  </si>
  <si>
    <t>Oct 31, 21</t>
  </si>
  <si>
    <t>Nov 30, 21</t>
  </si>
  <si>
    <t>Dec 31, 21</t>
  </si>
  <si>
    <t>Jan 31, 22</t>
  </si>
  <si>
    <t>Feb 28, 22</t>
  </si>
  <si>
    <t>Mar 31, 22</t>
  </si>
  <si>
    <t>Apr 30, 22</t>
  </si>
  <si>
    <t>May 31, 22</t>
  </si>
  <si>
    <t>Jun 30, 22</t>
  </si>
  <si>
    <t>Jul 31, 22</t>
  </si>
  <si>
    <t>Aug 31, 22</t>
  </si>
  <si>
    <t>Sep 30, 22</t>
  </si>
  <si>
    <t>Oct 31, 22</t>
  </si>
  <si>
    <t>Nov 30, 22</t>
  </si>
  <si>
    <t>Dec 31, 22</t>
  </si>
  <si>
    <t>Jan 31, 23</t>
  </si>
  <si>
    <t>Feb 28, 23</t>
  </si>
  <si>
    <t>Mar 31, 23</t>
  </si>
  <si>
    <t>Checking/Savings</t>
  </si>
  <si>
    <t>100 - BCast Wesbanco</t>
  </si>
  <si>
    <t>Petty Cash</t>
  </si>
  <si>
    <t>80 · WesBanco Operating Account</t>
  </si>
  <si>
    <t>Total Checking/Savings</t>
  </si>
  <si>
    <t>Accounts Receivable</t>
  </si>
  <si>
    <t>250 · Accounts Receivable - Trade</t>
  </si>
  <si>
    <t>Total Accounts Receivable</t>
  </si>
  <si>
    <t>Other Current Assets</t>
  </si>
  <si>
    <t>Inventory</t>
  </si>
  <si>
    <t>1220 · Prepaid Inventory</t>
  </si>
  <si>
    <t>450 · New Equipment - HER</t>
  </si>
  <si>
    <t>451 · New Equipment - BCast China</t>
  </si>
  <si>
    <t>452 · New Equipment - BCast USA</t>
  </si>
  <si>
    <t>460 · Used Equipment - HER</t>
  </si>
  <si>
    <t>470 · New Parts - HER</t>
  </si>
  <si>
    <t>471 · New Parts - BCast</t>
  </si>
  <si>
    <t>480 · Used Parts - HER</t>
  </si>
  <si>
    <t>490 · Shop Supplies</t>
  </si>
  <si>
    <t>500 · Inventory Adjustment</t>
  </si>
  <si>
    <t>1120 · Inventory Asset</t>
  </si>
  <si>
    <t>1210 · Prepaid Insurance</t>
  </si>
  <si>
    <t>1250 · Prepaid Insurance-Keyman</t>
  </si>
  <si>
    <t>1276 · Due from True Choice</t>
  </si>
  <si>
    <t>1480 · Employee Advance</t>
  </si>
  <si>
    <t>1499 · Undeposited Funds</t>
  </si>
  <si>
    <t>Total Other Current Assets</t>
  </si>
  <si>
    <t>1400 · Building</t>
  </si>
  <si>
    <t>1401 · Land</t>
  </si>
  <si>
    <t>1402 · Less - Accum. Depr. Building</t>
  </si>
  <si>
    <t>1405 · Building/Land Improvements</t>
  </si>
  <si>
    <t>1410 · Computer Hardware &amp; Software</t>
  </si>
  <si>
    <t>1420 · RV</t>
  </si>
  <si>
    <t>1430 · Autos</t>
  </si>
  <si>
    <t>1510 · Machinery &amp; Equipment</t>
  </si>
  <si>
    <t>1600 · Furniture &amp; Fixtures</t>
  </si>
  <si>
    <t>1800 · Transportation Equipment</t>
  </si>
  <si>
    <t>1850 · Less - Accumulated Depreciation</t>
  </si>
  <si>
    <t>Total Fixed Assets</t>
  </si>
  <si>
    <t>Other Assets</t>
  </si>
  <si>
    <t>Loan Fees</t>
  </si>
  <si>
    <t>1094.1 · Less - Accumulated Amortization</t>
  </si>
  <si>
    <t>1095 · Deposits</t>
  </si>
  <si>
    <t>Total Other Assets</t>
  </si>
  <si>
    <t>TOTAL ASSETS</t>
  </si>
  <si>
    <t>LIABILITIES &amp; EQUITY</t>
  </si>
  <si>
    <t>Accounts Payable</t>
  </si>
  <si>
    <t>2100 · Accounts Payable - Trade</t>
  </si>
  <si>
    <t>Total Accounts Payable</t>
  </si>
  <si>
    <t>Other Current Liabilities</t>
  </si>
  <si>
    <t>2205 · Accrued Interest</t>
  </si>
  <si>
    <t>2215 · Accrued Bonus</t>
  </si>
  <si>
    <t>2220 · Accrued Payroll</t>
  </si>
  <si>
    <t>2232 · Accrued Shareholder Distributio</t>
  </si>
  <si>
    <t>2250 · Accrued Current Expenses</t>
  </si>
  <si>
    <t>2280 · Accrued Accounting &amp; Legal</t>
  </si>
  <si>
    <t>2350 · Accrued Real Estate Taxes</t>
  </si>
  <si>
    <t>2410 · State Income Tax</t>
  </si>
  <si>
    <t>2450 · City Worthington Withholding</t>
  </si>
  <si>
    <t>2460 · 401K Withheld</t>
  </si>
  <si>
    <t>Total Accrued Expenses</t>
  </si>
  <si>
    <t>2025 · Line of Credit - Wesbanco</t>
  </si>
  <si>
    <t>2200 · Sales Tax Payable</t>
  </si>
  <si>
    <t>2650 · Sales Deposits</t>
  </si>
  <si>
    <t>2655 · Unapplied Customer Pymt</t>
  </si>
  <si>
    <t>2760 · Due To Officer</t>
  </si>
  <si>
    <t>Total Other Current Liabilities</t>
  </si>
  <si>
    <t>1275 · Due from HEC Transport</t>
  </si>
  <si>
    <t>2640 · Vendor Liability</t>
  </si>
  <si>
    <t>2802-1 · N/P Wesbanco - Real Estate</t>
  </si>
  <si>
    <t>2802-3 · N/P Wesbanco - SBA PPP Note 2</t>
  </si>
  <si>
    <t>2802 · N/P Wesbanco - SBA PPP Note</t>
  </si>
  <si>
    <t>2807 · Ally - Auto Loan</t>
  </si>
  <si>
    <t>2808 · Thor Credit - RV</t>
  </si>
  <si>
    <t>Equity</t>
  </si>
  <si>
    <t>3500 · Common Stock</t>
  </si>
  <si>
    <t>3590 · Additional Paid in Capital</t>
  </si>
  <si>
    <t>3600 · Less - Treasury Stock</t>
  </si>
  <si>
    <t>3700 · Less/Additional Treasury Stock</t>
  </si>
  <si>
    <t>3900 · *Retained Earnings</t>
  </si>
  <si>
    <t>3902 · Shareholder Distribution</t>
  </si>
  <si>
    <t>Total Equity</t>
  </si>
  <si>
    <t>TOTAL LIABILITIES &amp; EQUITY</t>
  </si>
  <si>
    <t>HEC Revenue</t>
  </si>
  <si>
    <t>HEC COGS</t>
  </si>
  <si>
    <t>Sources and Uses of Capital ($x1000)</t>
  </si>
  <si>
    <t>Sources ($x1000)</t>
  </si>
  <si>
    <t>close</t>
  </si>
  <si>
    <t>Uses ($x1000)</t>
  </si>
  <si>
    <t>For Operating Assets</t>
  </si>
  <si>
    <t xml:space="preserve">Senior Debt - 1L TL </t>
  </si>
  <si>
    <t xml:space="preserve">Purchase of Heritage Equip. Co. </t>
  </si>
  <si>
    <t>Seller Debt</t>
  </si>
  <si>
    <t>Seller Debt - Heritage</t>
  </si>
  <si>
    <t>Soterra Equity</t>
  </si>
  <si>
    <t>Indemnity Hold Back</t>
  </si>
  <si>
    <t>LP Equity</t>
  </si>
  <si>
    <t>Operating Cash</t>
  </si>
  <si>
    <t>Transaction Expenses</t>
  </si>
  <si>
    <t>Payoff Ex. Equip. Line</t>
  </si>
  <si>
    <t>For Real Estate</t>
  </si>
  <si>
    <t>Real Estate Debt</t>
  </si>
  <si>
    <t xml:space="preserve">Purchase 9000 Heritage Dr. </t>
  </si>
  <si>
    <t>Real Estate Equity</t>
  </si>
  <si>
    <t>Cash to BS</t>
  </si>
  <si>
    <t>Cash from MXD BS</t>
  </si>
  <si>
    <t>Principal Payment</t>
  </si>
  <si>
    <t>1L Debt Interest</t>
  </si>
  <si>
    <t>2L Debt Interest</t>
  </si>
  <si>
    <t>1L Debt Principal</t>
  </si>
  <si>
    <t>2L Debt Principal</t>
  </si>
  <si>
    <t>HEC Receivables</t>
  </si>
  <si>
    <t>HEC Inventory</t>
  </si>
  <si>
    <t>HEC Fixed Assets</t>
  </si>
  <si>
    <t>HEC Payable</t>
  </si>
  <si>
    <t>HEC Customer Deposits</t>
  </si>
  <si>
    <t>Goodwill</t>
  </si>
  <si>
    <t>HEC Goodwill</t>
  </si>
  <si>
    <t>Fixed Asset Depreciation and Amortization (Cumulative)</t>
  </si>
  <si>
    <t>MXD Turnover</t>
  </si>
  <si>
    <t>HEC Turnover</t>
  </si>
  <si>
    <t>HEC Rev Growth / Year</t>
  </si>
  <si>
    <t>MXD Rev Growth / year</t>
  </si>
  <si>
    <t>Distribution</t>
  </si>
  <si>
    <t>EBITDA net of Distributions</t>
  </si>
  <si>
    <t>Total Principal Payments</t>
  </si>
  <si>
    <t>Total Interest Payment</t>
  </si>
  <si>
    <t>Total Debt Service</t>
  </si>
  <si>
    <t>Total AR</t>
  </si>
  <si>
    <t>Eligible AR</t>
  </si>
  <si>
    <t>80% of Eligible AR</t>
  </si>
  <si>
    <t>50% of Fixed Assets</t>
  </si>
  <si>
    <t>Total Eligible Inventory</t>
  </si>
  <si>
    <t>50% of Eligible Inventory</t>
  </si>
  <si>
    <t>Total Available LOC</t>
  </si>
  <si>
    <t>Heritage Growth</t>
  </si>
  <si>
    <t>MXD Growth</t>
  </si>
  <si>
    <t>Covenant Calculation</t>
  </si>
  <si>
    <t>Fixed Charge Coverage Ratio (FCCR = EBITDA less Dist. Divided by Debt Service)</t>
  </si>
  <si>
    <t>Line of Credit Availability</t>
  </si>
  <si>
    <t>8830 · Rent Expense</t>
  </si>
  <si>
    <t>9505 · Acquisition Closing Costs</t>
  </si>
  <si>
    <t>May Actual</t>
  </si>
  <si>
    <t>June Actual</t>
  </si>
  <si>
    <t>Jul Actual</t>
  </si>
  <si>
    <t>HEC Admin Expenses</t>
  </si>
  <si>
    <t>40004 Sales - Intracompany PC</t>
  </si>
  <si>
    <t>50004 Direct Material Cost - Intracompany PO</t>
  </si>
  <si>
    <t>51007 AP Discounts Taken</t>
  </si>
  <si>
    <t>51200 Obsolete Inventory Expense</t>
  </si>
  <si>
    <t>51202 Warranty Expense</t>
  </si>
  <si>
    <t>52004 Direct Labor - Bonuses</t>
  </si>
  <si>
    <t>52008 Direct Labor - Training and Development</t>
  </si>
  <si>
    <t>53211 Polishing Supplies &amp; Equipment - Factory</t>
  </si>
  <si>
    <t>53213 Janitorial - Factory</t>
  </si>
  <si>
    <t>54008 Indirect - Travel</t>
  </si>
  <si>
    <t>56002 Factory Building Maintenance &amp; Repairs</t>
  </si>
  <si>
    <t>45008 Scrap Recycling</t>
  </si>
  <si>
    <t>60021 Travel - Marketing</t>
  </si>
  <si>
    <t>60023 Equipment - Marketing</t>
  </si>
  <si>
    <t>61002 Travel - Sales</t>
  </si>
  <si>
    <t>61003 Commissions - Outside Sales</t>
  </si>
  <si>
    <t>61009 Warranty Expenses - Sales</t>
  </si>
  <si>
    <t>62004 Executive Commissions - Admin</t>
  </si>
  <si>
    <t>62027 Misc Purchases</t>
  </si>
  <si>
    <t>63000 Gain/Loss on Sale of Assets</t>
  </si>
  <si>
    <t>63100 Non Operating Expense - Add to Net Profit</t>
  </si>
  <si>
    <t>Total Depreciation</t>
  </si>
  <si>
    <t>Taxes</t>
  </si>
  <si>
    <t>principal</t>
  </si>
  <si>
    <t>interest</t>
  </si>
  <si>
    <t>seller</t>
  </si>
  <si>
    <t>first depreciation</t>
  </si>
  <si>
    <t>56007 Travel - Airfare</t>
  </si>
  <si>
    <t>56019 Cell Phone Expense</t>
  </si>
  <si>
    <t>60209 Bonus - BD Software</t>
  </si>
  <si>
    <t>10100 Bank - Checking - 2712</t>
  </si>
  <si>
    <t>10200 Wire - Bank - 1174</t>
  </si>
  <si>
    <t>10300 Savings - Bank - 1713</t>
  </si>
  <si>
    <t>10301 Bank - Republic Bank</t>
  </si>
  <si>
    <t>Total Bank and Cash Accounts</t>
  </si>
  <si>
    <t>11300 Allowance for Doubtful Accounts</t>
  </si>
  <si>
    <t>10142 Outstanding Payments</t>
  </si>
  <si>
    <t>11060 Bank Suspense Account</t>
  </si>
  <si>
    <t>11505 Intra Company Receivable -&gt; Plain City</t>
  </si>
  <si>
    <t>12700 Reserve for Excess &amp; Obsolete</t>
  </si>
  <si>
    <t>13100 Other Current Assets</t>
  </si>
  <si>
    <t>14250 Capital Asset- Website</t>
  </si>
  <si>
    <t>14460 Fixed Asset - Leases</t>
  </si>
  <si>
    <t>15250 Accum Depreciation- Website</t>
  </si>
  <si>
    <t>19100 Investment in Heritage Assets</t>
  </si>
  <si>
    <t>Total Plus Non-current Assets</t>
  </si>
  <si>
    <t>20301 Inter-Company Payables-MXD Holdings</t>
  </si>
  <si>
    <t>22100 Lease Liability</t>
  </si>
  <si>
    <t>As of 05/31/2023</t>
  </si>
  <si>
    <t>As of 06/30/2023</t>
  </si>
  <si>
    <t>As of 07/31/2023</t>
  </si>
  <si>
    <t>As of 08/31/2023</t>
  </si>
  <si>
    <t>As of 09/30/2023</t>
  </si>
  <si>
    <t>Jeffersonville Revenue</t>
  </si>
  <si>
    <t>Jeffersonville COGS</t>
  </si>
  <si>
    <t>Jeffersonville Opex</t>
  </si>
  <si>
    <t>Jeffersonville Administrative Expenses</t>
  </si>
  <si>
    <t>Investment In Heritage Assets</t>
  </si>
  <si>
    <t>Lease Liability</t>
  </si>
  <si>
    <t>90 · Republic Bank - Plain City Oper</t>
  </si>
  <si>
    <t>1200 · Prepaid Expense Pack Expo LV23</t>
  </si>
  <si>
    <t>1225 · MXD/Old Heritage InterCo</t>
  </si>
  <si>
    <t>1226 · MXD/New Heritage Co InterCO</t>
  </si>
  <si>
    <t>1900 · Goodwill</t>
  </si>
  <si>
    <t>1950 · Non Compete</t>
  </si>
  <si>
    <t>2420 · Marysville City Tax</t>
  </si>
  <si>
    <t>2809 · Note Payable - Republic Bank</t>
  </si>
  <si>
    <t>2811 · Seller Note Payable</t>
  </si>
  <si>
    <t>HEC Other Current Assets</t>
  </si>
  <si>
    <t>HEC Cash</t>
  </si>
  <si>
    <t>HEC Additional Paid-in Capital</t>
  </si>
  <si>
    <t>(GM Check)</t>
  </si>
  <si>
    <t>(OP Profit Check)</t>
  </si>
  <si>
    <t>(Revenue check)</t>
  </si>
  <si>
    <t>(Net Income Check)</t>
  </si>
  <si>
    <t>(Current Assets Check)</t>
  </si>
  <si>
    <t>HEC Other Current Liabilities</t>
  </si>
  <si>
    <t>(Current Liabilities Check)</t>
  </si>
  <si>
    <t>(Total Liabilities Check)</t>
  </si>
  <si>
    <t>Aug Actual</t>
  </si>
  <si>
    <t>=</t>
  </si>
  <si>
    <t>Heritage Sources and Uses of Capital ($x1000)</t>
  </si>
  <si>
    <t>Senior Debt - 1L TL</t>
  </si>
  <si>
    <t>Cash to Seller</t>
  </si>
  <si>
    <t>Trxn Exp</t>
  </si>
  <si>
    <t>Soterra Trxn Fee</t>
  </si>
  <si>
    <t>Real Estate</t>
  </si>
  <si>
    <t>HEC 1L Debt Principal Payment</t>
  </si>
  <si>
    <t>HEC 2L Debt Principal Payment</t>
  </si>
  <si>
    <t>Branch 1L Debt Principal Payment</t>
  </si>
  <si>
    <t>HEC 1L Debt Principal</t>
  </si>
  <si>
    <t>HEC 2L Debt Principal</t>
  </si>
  <si>
    <t>Branch 1L Debt Principal</t>
  </si>
  <si>
    <t>Branch 2L Debt Principal</t>
  </si>
  <si>
    <t>Branch Goodwill</t>
  </si>
  <si>
    <t>Branch Additional Paid-in Capital</t>
  </si>
  <si>
    <t>Sum of Margined Eligible Collateral</t>
  </si>
  <si>
    <t>Less Current Senior Debt</t>
  </si>
  <si>
    <t>Total Available Collateral (Borrowing Base)</t>
  </si>
  <si>
    <t>Intercompany eliminatins</t>
  </si>
  <si>
    <t>Sept Actual</t>
  </si>
  <si>
    <t>1L / EBITDa</t>
  </si>
  <si>
    <t>total / EBITDA</t>
  </si>
  <si>
    <t>FCCR (MXD HEC only vs all debt)</t>
  </si>
  <si>
    <t>Borrowing Base</t>
  </si>
  <si>
    <t>Option 1</t>
  </si>
  <si>
    <t>Option 2</t>
  </si>
  <si>
    <t>Liquidity</t>
  </si>
  <si>
    <t>MXD EBITDA</t>
  </si>
  <si>
    <t>HEC EBITDA</t>
  </si>
  <si>
    <t>Net Intercompany Eliminations (rev - COGs)</t>
  </si>
  <si>
    <t>EBITDA on All Statements Tab</t>
  </si>
  <si>
    <t>(check)</t>
  </si>
  <si>
    <t>Combined EBITDA (just add the two together less elims)</t>
  </si>
  <si>
    <t>Branch 2L Sub-debt</t>
  </si>
  <si>
    <t>Sub-Debt</t>
  </si>
  <si>
    <t>Branch 2L Seller Debt Principal Payment</t>
  </si>
  <si>
    <t>Branch 2L Sub-Debt Principal Payment</t>
  </si>
  <si>
    <t xml:space="preserve">Option 0 </t>
  </si>
  <si>
    <t xml:space="preserve">Annual Interest </t>
  </si>
  <si>
    <t>As of 10/31/2023</t>
  </si>
  <si>
    <t>2023 10+2</t>
  </si>
  <si>
    <t>Oct Actual</t>
  </si>
  <si>
    <t>2023 YTD 
(thru Oct)</t>
  </si>
  <si>
    <t>TTM 
(thru Oct)</t>
  </si>
  <si>
    <t>October 2023</t>
  </si>
  <si>
    <t>2023 TTM (Oct)</t>
  </si>
  <si>
    <t>Consolidated</t>
  </si>
  <si>
    <t>FYE 2024</t>
  </si>
  <si>
    <t>Backlog</t>
  </si>
  <si>
    <t>Bookings</t>
  </si>
  <si>
    <t>Wkly x 1000</t>
  </si>
  <si>
    <t>Min Thrshld (4 mnths)</t>
  </si>
  <si>
    <t>Rev Growth</t>
  </si>
  <si>
    <t>Zero Growth Rev</t>
  </si>
  <si>
    <t>% change</t>
  </si>
  <si>
    <t>Q121</t>
  </si>
  <si>
    <t>Q221</t>
  </si>
  <si>
    <t>Q321</t>
  </si>
  <si>
    <t>Q421</t>
  </si>
  <si>
    <t>Q122</t>
  </si>
  <si>
    <t>Q222</t>
  </si>
  <si>
    <t>Q322</t>
  </si>
  <si>
    <t>Q422</t>
  </si>
  <si>
    <t>Q123</t>
  </si>
  <si>
    <t>Q223</t>
  </si>
  <si>
    <t>Q323</t>
  </si>
  <si>
    <t>Q423</t>
  </si>
  <si>
    <t>Q124</t>
  </si>
  <si>
    <t>Q224</t>
  </si>
  <si>
    <t>Q324</t>
  </si>
  <si>
    <t>Q424</t>
  </si>
  <si>
    <t>Annual Run Rate Rev</t>
  </si>
  <si>
    <t>Qrtly Rev</t>
  </si>
  <si>
    <t>YE Backlog Months</t>
  </si>
  <si>
    <t>FY21</t>
  </si>
  <si>
    <t>FY22</t>
  </si>
  <si>
    <t>TTM23</t>
  </si>
  <si>
    <t>YTD23</t>
  </si>
  <si>
    <t>2024 Forecast</t>
  </si>
  <si>
    <t>Apr 23</t>
  </si>
  <si>
    <t>May 23</t>
  </si>
  <si>
    <t>Jun 23</t>
  </si>
  <si>
    <t>Jul 23</t>
  </si>
  <si>
    <t>Aug 23</t>
  </si>
  <si>
    <t>TTM Totals</t>
  </si>
  <si>
    <t>US$ in thousands</t>
  </si>
  <si>
    <t>Forecast 24</t>
  </si>
  <si>
    <t>Consulting Income</t>
  </si>
  <si>
    <t>Total project amount</t>
  </si>
  <si>
    <t>$ recognized by branch before close</t>
  </si>
  <si>
    <t>% recognized by branch before close</t>
  </si>
  <si>
    <t>BE2533-Aquatech</t>
  </si>
  <si>
    <t>Cost of sales</t>
  </si>
  <si>
    <t>These assumption on these two accounts is that 20% of the total project amount will be recognized by Branch prior to the close.  That is likely a conservative estimate</t>
  </si>
  <si>
    <t>BE2534-Aquatech</t>
  </si>
  <si>
    <t>Gross profit</t>
  </si>
  <si>
    <t>This assumes 30% of the total project is recognized by branch prior to the close</t>
  </si>
  <si>
    <t>Other</t>
  </si>
  <si>
    <t>Operating expense</t>
  </si>
  <si>
    <t>Operating income</t>
  </si>
  <si>
    <t>Purchases - Project costs</t>
  </si>
  <si>
    <t xml:space="preserve">Other expense, net </t>
  </si>
  <si>
    <t>Net income</t>
  </si>
  <si>
    <t>Income tax</t>
  </si>
  <si>
    <t>QOE Adjustments:</t>
  </si>
  <si>
    <t>a) Officer compensation</t>
  </si>
  <si>
    <t>Advertising</t>
  </si>
  <si>
    <t>b) Replacement CEO compensation</t>
  </si>
  <si>
    <t>Automobile Expense</t>
  </si>
  <si>
    <t>c) Employee reimbursable expenses</t>
  </si>
  <si>
    <t>Bank Service Charges</t>
  </si>
  <si>
    <t>d) outside services</t>
  </si>
  <si>
    <t>Business Licenses and Permits</t>
  </si>
  <si>
    <t>x) Increase in rent expense?</t>
  </si>
  <si>
    <t>Commission Expense</t>
  </si>
  <si>
    <t>x) Replacement for VP Finance?</t>
  </si>
  <si>
    <t>Dues and Subscriptions</t>
  </si>
  <si>
    <t xml:space="preserve">x) </t>
  </si>
  <si>
    <t>NQ</t>
  </si>
  <si>
    <t>Insurance Expense</t>
  </si>
  <si>
    <t>Total Adjustments</t>
  </si>
  <si>
    <t>Health</t>
  </si>
  <si>
    <t>Life Insurance</t>
  </si>
  <si>
    <t>Insurance Expense - Other</t>
  </si>
  <si>
    <t>Total Insurance Expense</t>
  </si>
  <si>
    <t>Source - Schedules provided by management and SL analysis</t>
  </si>
  <si>
    <t>Meals and Entertainment</t>
  </si>
  <si>
    <t>Medical Reimbursement</t>
  </si>
  <si>
    <t>Office Supplies</t>
  </si>
  <si>
    <t>Outside Services</t>
  </si>
  <si>
    <t>Pension Expense</t>
  </si>
  <si>
    <t>Postage</t>
  </si>
  <si>
    <t>Professional Fees</t>
  </si>
  <si>
    <t>Rent Expense</t>
  </si>
  <si>
    <t>Repairs and Maintenance</t>
  </si>
  <si>
    <t>Salaries - Employees</t>
  </si>
  <si>
    <t>Salaries - Officers</t>
  </si>
  <si>
    <t>Small Tools</t>
  </si>
  <si>
    <t>Section 139 Expense</t>
  </si>
  <si>
    <t>Taxes - Other</t>
  </si>
  <si>
    <t>Taxes - Payroll</t>
  </si>
  <si>
    <t>Taxes Payroll - Federal</t>
  </si>
  <si>
    <t>Taxes Payroll State</t>
  </si>
  <si>
    <t>Telephone Expense</t>
  </si>
  <si>
    <t>Travel Expense</t>
  </si>
  <si>
    <t>Utilities</t>
  </si>
  <si>
    <t>Interst Income</t>
  </si>
  <si>
    <t>Federal Income Taxes</t>
  </si>
  <si>
    <t>State Income Taxes</t>
  </si>
  <si>
    <t>Net Other Income (Exp)</t>
  </si>
  <si>
    <t>Check</t>
  </si>
  <si>
    <t>Annual pre Close</t>
  </si>
  <si>
    <t>Annual Post Close</t>
  </si>
  <si>
    <t>Monthly Post Close</t>
  </si>
  <si>
    <t>William</t>
  </si>
  <si>
    <t>Gilbert</t>
  </si>
  <si>
    <t>President</t>
  </si>
  <si>
    <t>Catherine</t>
  </si>
  <si>
    <t>VP Finance</t>
  </si>
  <si>
    <t xml:space="preserve">Abdul </t>
  </si>
  <si>
    <t>Razzaq</t>
  </si>
  <si>
    <t>Project Manager</t>
  </si>
  <si>
    <t>Hector</t>
  </si>
  <si>
    <t>Romero</t>
  </si>
  <si>
    <t xml:space="preserve">Alex </t>
  </si>
  <si>
    <t>Razenkov</t>
  </si>
  <si>
    <t>Design Engineer</t>
  </si>
  <si>
    <t>Total Salaries</t>
  </si>
  <si>
    <t>Payment Milestones (figures below are remaining payments due to Branch)</t>
  </si>
  <si>
    <t>With PO</t>
  </si>
  <si>
    <t>On drawing approval</t>
  </si>
  <si>
    <t>On major purchases issued</t>
  </si>
  <si>
    <t>at 25% of mfg complete</t>
  </si>
  <si>
    <t>At 100% of mfg complete</t>
  </si>
  <si>
    <t>Final Documentation</t>
  </si>
  <si>
    <t>Quote Backlog (as of 9/31/23)</t>
  </si>
  <si>
    <t>Project</t>
  </si>
  <si>
    <t>Approximate Value</t>
  </si>
  <si>
    <t>Likelihood of Closing</t>
  </si>
  <si>
    <t>Likely value</t>
  </si>
  <si>
    <t>Fuel Cell</t>
  </si>
  <si>
    <t>BE2527</t>
  </si>
  <si>
    <t>Global Water Farms</t>
  </si>
  <si>
    <t>BE2529</t>
  </si>
  <si>
    <t>NCS</t>
  </si>
  <si>
    <t>Zachry</t>
  </si>
  <si>
    <t>Metalor</t>
  </si>
  <si>
    <t>Evergreen</t>
  </si>
  <si>
    <t>Entek</t>
  </si>
  <si>
    <t>Kronos</t>
  </si>
  <si>
    <t>Brown &amp; Caldwell</t>
  </si>
  <si>
    <t>Hatch</t>
  </si>
  <si>
    <t>Beltran</t>
  </si>
  <si>
    <t>Branch Environmental</t>
  </si>
  <si>
    <t>BEC COGs</t>
  </si>
  <si>
    <t>BEC Admin Expenses</t>
  </si>
  <si>
    <t>Branch 1L Interest</t>
  </si>
  <si>
    <t>Branch 2L Interest</t>
  </si>
  <si>
    <t>Holdback</t>
  </si>
  <si>
    <t>New Revenue Scaling</t>
  </si>
  <si>
    <t>TTM Debt / EBITDA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</si>
</sst>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8">
    <numFmt numFmtId="6" formatCode="&quot;$&quot;#,##0_);[Red]\(&quot;$&quot;#,##0\)"/>
    <numFmt numFmtId="8" formatCode="&quot;$&quot;#,##0.00_);[Red]\(&quot;$&quot;#,##0.00\)"/>
    <numFmt numFmtId="44" formatCode="_(&quot;$&quot;* #,##0.00_);_(&quot;$&quot;* \(#,##0.00\);_(&quot;$&quot;* &quot;-&quot;??_);_(@_)"/>
    <numFmt numFmtId="43" formatCode="_(* #,##0.00_);_(* \(#,##0.00\);_(* &quot;-&quot;??_);_(@_)"/>
    <numFmt numFmtId="164" formatCode="0.000%"/>
    <numFmt numFmtId="165" formatCode="0.0%"/>
    <numFmt numFmtId="166" formatCode="_(* #,##0.000_);_(* \(#,##0.000\);_(* &quot;-&quot;??_);_(@_)"/>
    <numFmt numFmtId="167" formatCode="_(* #,##0.0_);_(* \(#,##0.0\);_(* &quot;-&quot;??_);_(@_)"/>
    <numFmt numFmtId="168" formatCode="_(* #,##0_);_(* \(#,##0\);_(* &quot;-&quot;??_);_(@_)"/>
    <numFmt numFmtId="169" formatCode="_(&quot;$&quot;* #,##0_);_(&quot;$&quot;* \(#,##0\);_(&quot;$&quot;* &quot;-&quot;??_);_(@_)"/>
    <numFmt numFmtId="170" formatCode="#,##0.0_);\(#,##0.0\)"/>
    <numFmt numFmtId="171" formatCode="0.0%_);\(0.0%\)"/>
    <numFmt numFmtId="172" formatCode="_(&quot;$&quot;* #,##0.0_);_(&quot;$&quot;* \(#,##0.0\);_(&quot;$&quot;* &quot;-&quot;??_);_(@_)"/>
    <numFmt numFmtId="173" formatCode="0.0000000%"/>
    <numFmt numFmtId="174" formatCode="&quot;$&quot;#,##0.0_);[Red]\(&quot;$&quot;#,##0.0\)"/>
    <numFmt numFmtId="175" formatCode="m/d/yy;@"/>
    <numFmt numFmtId="176" formatCode="&quot;$&quot;#,##0.00"/>
    <numFmt numFmtId="177" formatCode="0.0"/>
    <numFmt numFmtId="178" formatCode="&quot;$&quot;#,##0.0000_);[Red]\(&quot;$&quot;#,##0.0000\)"/>
    <numFmt numFmtId="179" formatCode="#,##0.00;\-#,##0.00"/>
    <numFmt numFmtId="180" formatCode="#,##0;\-#,##0"/>
    <numFmt numFmtId="181" formatCode="[$-409]d\-mmm;@"/>
    <numFmt numFmtId="182" formatCode="_(&quot;$&quot;* #,##0.0_);_(&quot;$&quot;* \(#,##0.0\);_(&quot;$&quot;* &quot;-&quot;?_);_(@_)"/>
    <numFmt numFmtId="183" formatCode="_(* #,##0.00000_);_(* \(#,##0.00000\);_(* &quot;-&quot;??_);_(@_)"/>
    <numFmt numFmtId="184" formatCode="#,##0.0000;\-#,##0.0000"/>
    <numFmt numFmtId="185" formatCode="&quot;$&quot;#,##0"/>
    <numFmt numFmtId="186" formatCode="[$-409]mmm\-yy;@"/>
    <numFmt numFmtId="187" formatCode="#,##0.00000000_);\(#,##0.00000000\)"/>
  </numFmts>
  <fonts count="103" x14ac:knownFonts="1">
    <font>
      <sz val="11"/>
      <color theme="1"/>
      <name val="Calibri"/>
      <family val="2"/>
      <scheme val="minor"/>
    </font>
    <font>
      <sz val="12"/>
      <color theme="1"/>
      <name val="Calibri"/>
      <family val="2"/>
      <scheme val="minor"/>
    </font>
    <font>
      <sz val="11"/>
      <color theme="1"/>
      <name val="Calibri"/>
      <family val="2"/>
      <scheme val="minor"/>
    </font>
    <font>
      <b/>
      <sz val="11"/>
      <color rgb="FFFFFF00"/>
      <name val="Calibri"/>
      <family val="2"/>
      <scheme val="minor"/>
    </font>
    <font>
      <sz val="11"/>
      <name val="Calibri"/>
      <family val="2"/>
      <scheme val="minor"/>
    </font>
    <font>
      <b/>
      <sz val="11"/>
      <name val="Calibri"/>
      <family val="2"/>
      <scheme val="minor"/>
    </font>
    <font>
      <sz val="10"/>
      <color theme="1"/>
      <name val="Calibri"/>
      <family val="2"/>
      <scheme val="minor"/>
    </font>
    <font>
      <b/>
      <sz val="10"/>
      <color theme="1"/>
      <name val="Calibri"/>
      <family val="2"/>
      <scheme val="minor"/>
    </font>
    <font>
      <b/>
      <sz val="11"/>
      <color theme="1"/>
      <name val="Calibri"/>
      <family val="2"/>
      <scheme val="minor"/>
    </font>
    <font>
      <sz val="12"/>
      <color theme="0"/>
      <name val="Calibri"/>
      <family val="2"/>
      <scheme val="minor"/>
    </font>
    <font>
      <sz val="12"/>
      <color rgb="FF000000"/>
      <name val="Calibri"/>
      <family val="2"/>
      <scheme val="minor"/>
    </font>
    <font>
      <sz val="12"/>
      <color rgb="FF006411"/>
      <name val="Calibri"/>
      <family val="2"/>
      <scheme val="minor"/>
    </font>
    <font>
      <sz val="12"/>
      <name val="Calibri"/>
      <family val="2"/>
      <scheme val="minor"/>
    </font>
    <font>
      <b/>
      <sz val="16"/>
      <color rgb="FFFFFFFF"/>
      <name val="Calibri"/>
      <family val="2"/>
      <scheme val="minor"/>
    </font>
    <font>
      <b/>
      <sz val="12"/>
      <color rgb="FFFFFFFF"/>
      <name val="Calibri"/>
      <family val="2"/>
      <scheme val="minor"/>
    </font>
    <font>
      <sz val="10"/>
      <name val="Arial"/>
      <family val="2"/>
    </font>
    <font>
      <sz val="8"/>
      <name val="Arial"/>
      <family val="2"/>
    </font>
    <font>
      <i/>
      <sz val="12"/>
      <name val="Calibri"/>
      <family val="2"/>
      <scheme val="minor"/>
    </font>
    <font>
      <b/>
      <u/>
      <sz val="12"/>
      <color theme="1"/>
      <name val="Calibri"/>
      <family val="2"/>
      <scheme val="minor"/>
    </font>
    <font>
      <b/>
      <i/>
      <sz val="12"/>
      <name val="Calibri"/>
      <family val="2"/>
      <scheme val="minor"/>
    </font>
    <font>
      <b/>
      <i/>
      <sz val="12"/>
      <color theme="1"/>
      <name val="Calibri"/>
      <family val="2"/>
      <scheme val="minor"/>
    </font>
    <font>
      <i/>
      <sz val="11"/>
      <name val="Calibri"/>
      <family val="2"/>
      <scheme val="minor"/>
    </font>
    <font>
      <i/>
      <sz val="12"/>
      <color rgb="FF000000"/>
      <name val="Calibri"/>
      <family val="2"/>
      <scheme val="minor"/>
    </font>
    <font>
      <b/>
      <sz val="12"/>
      <color rgb="FF000000"/>
      <name val="Calibri"/>
      <family val="2"/>
      <scheme val="minor"/>
    </font>
    <font>
      <b/>
      <sz val="12"/>
      <name val="Calibri"/>
      <family val="2"/>
      <scheme val="minor"/>
    </font>
    <font>
      <b/>
      <sz val="12"/>
      <color theme="1"/>
      <name val="Calibri"/>
      <family val="2"/>
      <scheme val="minor"/>
    </font>
    <font>
      <b/>
      <i/>
      <sz val="12"/>
      <color rgb="FF000000"/>
      <name val="Calibri"/>
      <family val="2"/>
      <scheme val="minor"/>
    </font>
    <font>
      <b/>
      <i/>
      <u/>
      <sz val="12"/>
      <name val="Calibri"/>
      <family val="2"/>
      <scheme val="minor"/>
    </font>
    <font>
      <i/>
      <u/>
      <sz val="12"/>
      <color rgb="FF000000"/>
      <name val="Calibri"/>
      <family val="2"/>
      <scheme val="minor"/>
    </font>
    <font>
      <i/>
      <sz val="12"/>
      <color rgb="FF0000D4"/>
      <name val="Calibri"/>
      <family val="2"/>
      <scheme val="minor"/>
    </font>
    <font>
      <i/>
      <sz val="12"/>
      <color theme="1"/>
      <name val="Calibri"/>
      <family val="2"/>
      <scheme val="minor"/>
    </font>
    <font>
      <b/>
      <u/>
      <sz val="12"/>
      <name val="Calibri"/>
      <family val="2"/>
      <scheme val="minor"/>
    </font>
    <font>
      <b/>
      <i/>
      <u/>
      <sz val="12"/>
      <color theme="1"/>
      <name val="Calibri"/>
      <family val="2"/>
      <scheme val="minor"/>
    </font>
    <font>
      <b/>
      <sz val="11"/>
      <color theme="3"/>
      <name val="Calibri"/>
      <family val="2"/>
      <scheme val="minor"/>
    </font>
    <font>
      <b/>
      <sz val="18"/>
      <color theme="4" tint="-0.499984740745262"/>
      <name val="Arial"/>
      <family val="2"/>
    </font>
    <font>
      <sz val="18"/>
      <name val="Arial"/>
      <family val="2"/>
    </font>
    <font>
      <sz val="10"/>
      <color indexed="9"/>
      <name val="Arial"/>
      <family val="2"/>
    </font>
    <font>
      <b/>
      <sz val="10"/>
      <color theme="4" tint="-0.249977111117893"/>
      <name val="Tahoma"/>
      <family val="2"/>
    </font>
    <font>
      <u/>
      <sz val="10"/>
      <color indexed="12"/>
      <name val="Tahoma"/>
      <family val="2"/>
    </font>
    <font>
      <u/>
      <sz val="8"/>
      <color indexed="12"/>
      <name val="Tahoma"/>
      <family val="2"/>
    </font>
    <font>
      <sz val="9"/>
      <name val="Arial"/>
      <family val="2"/>
    </font>
    <font>
      <b/>
      <sz val="9"/>
      <name val="Arial"/>
      <family val="2"/>
    </font>
    <font>
      <sz val="12"/>
      <name val="Arial"/>
      <family val="2"/>
    </font>
    <font>
      <b/>
      <sz val="12"/>
      <name val="Arial"/>
      <family val="2"/>
    </font>
    <font>
      <b/>
      <sz val="11"/>
      <name val="Arial"/>
      <family val="2"/>
    </font>
    <font>
      <b/>
      <sz val="10"/>
      <name val="Arial"/>
      <family val="2"/>
    </font>
    <font>
      <sz val="11"/>
      <name val="Arial"/>
      <family val="2"/>
    </font>
    <font>
      <b/>
      <sz val="12"/>
      <color theme="4" tint="-0.499984740745262"/>
      <name val="Arial"/>
      <family val="2"/>
    </font>
    <font>
      <sz val="8"/>
      <color rgb="FF000000"/>
      <name val="Arial"/>
      <family val="2"/>
    </font>
    <font>
      <i/>
      <sz val="10"/>
      <name val="Arial"/>
      <family val="2"/>
    </font>
    <font>
      <sz val="11"/>
      <name val="Calibri"/>
      <family val="2"/>
    </font>
    <font>
      <b/>
      <sz val="16"/>
      <color rgb="FF0070C0"/>
      <name val="Calibri"/>
      <family val="2"/>
    </font>
    <font>
      <b/>
      <sz val="40"/>
      <color rgb="FF376B36"/>
      <name val="Calibri"/>
      <family val="2"/>
    </font>
    <font>
      <b/>
      <sz val="40"/>
      <color rgb="FF376B36"/>
      <name val="Calibri Light"/>
      <family val="2"/>
      <scheme val="major"/>
    </font>
    <font>
      <b/>
      <sz val="14"/>
      <color theme="1" tint="0.24994659260841701"/>
      <name val="Calibri"/>
      <family val="2"/>
    </font>
    <font>
      <b/>
      <sz val="20"/>
      <color theme="4" tint="-0.499984740745262"/>
      <name val="Calibri Light"/>
      <family val="2"/>
      <scheme val="major"/>
    </font>
    <font>
      <b/>
      <sz val="20"/>
      <color theme="4" tint="-0.499984740745262"/>
      <name val="Calibri"/>
      <family val="2"/>
    </font>
    <font>
      <i/>
      <sz val="11"/>
      <color theme="1" tint="0.34998626667073579"/>
      <name val="Calibri"/>
      <family val="2"/>
      <scheme val="minor"/>
    </font>
    <font>
      <sz val="11"/>
      <color theme="1" tint="0.24994659260841701"/>
      <name val="Calibri"/>
      <family val="2"/>
      <scheme val="minor"/>
    </font>
    <font>
      <sz val="12"/>
      <color theme="1" tint="0.24994659260841701"/>
      <name val="Calibri"/>
      <family val="2"/>
      <scheme val="minor"/>
    </font>
    <font>
      <i/>
      <sz val="11"/>
      <color theme="1"/>
      <name val="Calibri"/>
      <family val="2"/>
    </font>
    <font>
      <sz val="11"/>
      <color theme="1" tint="0.24994659260841701"/>
      <name val="Calibri"/>
      <family val="2"/>
    </font>
    <font>
      <i/>
      <sz val="11"/>
      <color theme="1"/>
      <name val="Calibri"/>
      <family val="2"/>
      <scheme val="minor"/>
    </font>
    <font>
      <b/>
      <sz val="14"/>
      <color rgb="FF376B36"/>
      <name val="Calibri"/>
      <family val="2"/>
      <scheme val="minor"/>
    </font>
    <font>
      <b/>
      <sz val="12"/>
      <color theme="1" tint="0.249977111117893"/>
      <name val="Calibri"/>
      <family val="2"/>
    </font>
    <font>
      <b/>
      <sz val="14"/>
      <color theme="1" tint="0.34998626667073579"/>
      <name val="Calibri"/>
      <family val="2"/>
      <scheme val="minor"/>
    </font>
    <font>
      <sz val="11"/>
      <color theme="0"/>
      <name val="Calibri"/>
      <family val="2"/>
      <scheme val="minor"/>
    </font>
    <font>
      <sz val="11"/>
      <color rgb="FF9C6500"/>
      <name val="Calibri"/>
      <family val="2"/>
      <scheme val="minor"/>
    </font>
    <font>
      <sz val="8"/>
      <name val="Calibri"/>
      <family val="2"/>
      <scheme val="minor"/>
    </font>
    <font>
      <b/>
      <sz val="11"/>
      <color theme="0"/>
      <name val="Calibri"/>
      <family val="2"/>
      <scheme val="minor"/>
    </font>
    <font>
      <b/>
      <sz val="12"/>
      <color rgb="FF7030A0"/>
      <name val="Calibri"/>
      <family val="2"/>
      <scheme val="minor"/>
    </font>
    <font>
      <i/>
      <sz val="11"/>
      <color theme="0"/>
      <name val="Calibri"/>
      <family val="2"/>
      <scheme val="minor"/>
    </font>
    <font>
      <sz val="10"/>
      <color rgb="FFFF0000"/>
      <name val="Arial"/>
      <family val="2"/>
    </font>
    <font>
      <i/>
      <sz val="9"/>
      <color theme="1"/>
      <name val="Calibri"/>
      <family val="2"/>
      <scheme val="minor"/>
    </font>
    <font>
      <sz val="9"/>
      <color theme="1"/>
      <name val="Calibri"/>
      <family val="2"/>
      <scheme val="minor"/>
    </font>
    <font>
      <sz val="12"/>
      <color rgb="FF666666"/>
      <name val="Arial"/>
      <family val="2"/>
    </font>
    <font>
      <b/>
      <sz val="11"/>
      <color theme="1"/>
      <name val="Arial"/>
      <family val="2"/>
    </font>
    <font>
      <b/>
      <sz val="13"/>
      <color rgb="FF666666"/>
      <name val="Arial"/>
      <family val="2"/>
    </font>
    <font>
      <b/>
      <sz val="12"/>
      <color rgb="FF666666"/>
      <name val="Arial"/>
      <family val="2"/>
    </font>
    <font>
      <sz val="11"/>
      <color rgb="FF000000"/>
      <name val="Calibri"/>
      <family val="2"/>
      <scheme val="minor"/>
    </font>
    <font>
      <b/>
      <i/>
      <sz val="14"/>
      <color theme="1"/>
      <name val="Calibri"/>
      <family val="2"/>
      <scheme val="minor"/>
    </font>
    <font>
      <b/>
      <sz val="8"/>
      <color rgb="FF000000"/>
      <name val="Arial"/>
      <family val="2"/>
    </font>
    <font>
      <b/>
      <sz val="10"/>
      <color theme="0"/>
      <name val="Arial"/>
      <family val="2"/>
    </font>
    <font>
      <b/>
      <u/>
      <sz val="14"/>
      <color theme="0"/>
      <name val="Calibri"/>
      <family val="2"/>
      <scheme val="minor"/>
    </font>
    <font>
      <sz val="14"/>
      <color theme="0"/>
      <name val="Calibri"/>
      <family val="2"/>
      <scheme val="minor"/>
    </font>
    <font>
      <sz val="11"/>
      <color rgb="FF666666"/>
      <name val="Calibri"/>
      <family val="2"/>
      <scheme val="minor"/>
    </font>
    <font>
      <i/>
      <sz val="9"/>
      <name val="Calibri"/>
      <family val="2"/>
      <scheme val="minor"/>
    </font>
    <font>
      <sz val="9"/>
      <name val="Calibri"/>
      <family val="2"/>
      <scheme val="minor"/>
    </font>
    <font>
      <b/>
      <u/>
      <sz val="8"/>
      <name val="Arial"/>
      <family val="2"/>
    </font>
    <font>
      <b/>
      <sz val="16"/>
      <color theme="1"/>
      <name val="Calibri"/>
      <family val="2"/>
      <scheme val="minor"/>
    </font>
    <font>
      <b/>
      <sz val="8"/>
      <color rgb="FF323232"/>
      <name val="Arial"/>
      <family val="2"/>
    </font>
    <font>
      <sz val="8"/>
      <color rgb="FF323232"/>
      <name val="Arial"/>
      <family val="2"/>
    </font>
    <font>
      <b/>
      <sz val="10"/>
      <color rgb="FF0070C0"/>
      <name val="Arial"/>
      <family val="2"/>
    </font>
    <font>
      <sz val="10"/>
      <color theme="1"/>
      <name val="Arial"/>
      <family val="2"/>
    </font>
    <font>
      <sz val="10"/>
      <color rgb="FF0070C0"/>
      <name val="Arial"/>
      <family val="2"/>
    </font>
    <font>
      <sz val="10"/>
      <color theme="1" tint="0.499984740745262"/>
      <name val="Arial"/>
      <family val="2"/>
    </font>
    <font>
      <sz val="8"/>
      <color rgb="FF0070C0"/>
      <name val="Arial"/>
      <family val="2"/>
    </font>
    <font>
      <sz val="8"/>
      <color theme="1" tint="0.499984740745262"/>
      <name val="Arial"/>
      <family val="2"/>
    </font>
    <font>
      <sz val="8"/>
      <color theme="1"/>
      <name val="Arial"/>
      <family val="2"/>
    </font>
    <font>
      <b/>
      <sz val="10"/>
      <color theme="1" tint="0.499984740745262"/>
      <name val="Arial"/>
      <family val="2"/>
    </font>
    <font>
      <sz val="8"/>
      <color rgb="FF0000FF"/>
      <name val="Arial"/>
      <family val="2"/>
    </font>
    <font>
      <sz val="9"/>
      <color theme="1" tint="0.499984740745262"/>
      <name val="Arial"/>
      <family val="2"/>
    </font>
    <font>
      <b/>
      <u/>
      <sz val="11"/>
      <color theme="1"/>
      <name val="Calibri"/>
      <family val="2"/>
      <scheme val="minor"/>
    </font>
  </fonts>
  <fills count="42">
    <fill>
      <patternFill patternType="none"/>
    </fill>
    <fill>
      <patternFill patternType="gray125"/>
    </fill>
    <fill>
      <patternFill patternType="solid">
        <fgColor theme="1"/>
        <bgColor indexed="64"/>
      </patternFill>
    </fill>
    <fill>
      <patternFill patternType="solid">
        <fgColor theme="2" tint="-0.249977111117893"/>
        <bgColor indexed="64"/>
      </patternFill>
    </fill>
    <fill>
      <patternFill patternType="solid">
        <fgColor theme="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4" tint="0.79998168889431442"/>
        <bgColor indexed="65"/>
      </patternFill>
    </fill>
    <fill>
      <patternFill patternType="solid">
        <fgColor theme="6"/>
      </patternFill>
    </fill>
    <fill>
      <patternFill patternType="solid">
        <fgColor theme="6" tint="0.59999389629810485"/>
        <bgColor indexed="65"/>
      </patternFill>
    </fill>
    <fill>
      <patternFill patternType="solid">
        <fgColor rgb="FFD9E1F2"/>
        <bgColor rgb="FF000000"/>
      </patternFill>
    </fill>
    <fill>
      <patternFill patternType="solid">
        <fgColor theme="0"/>
        <bgColor indexed="64"/>
      </patternFill>
    </fill>
    <fill>
      <patternFill patternType="solid">
        <fgColor rgb="FF1F497D"/>
        <bgColor rgb="FF1F497D"/>
      </patternFill>
    </fill>
    <fill>
      <patternFill patternType="solid">
        <fgColor theme="9"/>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59999389629810485"/>
        <bgColor indexed="64"/>
      </patternFill>
    </fill>
    <fill>
      <patternFill patternType="solid">
        <fgColor indexed="47"/>
        <bgColor indexed="64"/>
      </patternFill>
    </fill>
    <fill>
      <patternFill patternType="solid">
        <fgColor indexed="43"/>
        <bgColor indexed="64"/>
      </patternFill>
    </fill>
    <fill>
      <patternFill patternType="solid">
        <fgColor indexed="22"/>
        <bgColor indexed="64"/>
      </patternFill>
    </fill>
    <fill>
      <patternFill patternType="solid">
        <fgColor rgb="FF0070C0"/>
        <bgColor indexed="64"/>
      </patternFill>
    </fill>
    <fill>
      <patternFill patternType="solid">
        <fgColor theme="0" tint="-0.14996795556505021"/>
        <bgColor indexed="64"/>
      </patternFill>
    </fill>
    <fill>
      <patternFill patternType="solid">
        <fgColor rgb="FFFFEB9C"/>
      </patternFill>
    </fill>
    <fill>
      <patternFill patternType="solid">
        <fgColor theme="3"/>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bgColor rgb="FF1F497D"/>
      </patternFill>
    </fill>
    <fill>
      <patternFill patternType="solid">
        <fgColor theme="9" tint="0.79998168889431442"/>
        <bgColor indexed="64"/>
      </patternFill>
    </fill>
    <fill>
      <patternFill patternType="solid">
        <fgColor theme="2"/>
        <bgColor rgb="FF000000"/>
      </patternFill>
    </fill>
    <fill>
      <patternFill patternType="solid">
        <fgColor theme="2"/>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FFCC"/>
        <bgColor indexed="64"/>
      </patternFill>
    </fill>
    <fill>
      <patternFill patternType="solid">
        <fgColor theme="3"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4" tint="-0.499984740745262"/>
        <bgColor indexed="64"/>
      </patternFill>
    </fill>
    <fill>
      <patternFill patternType="solid">
        <fgColor theme="9" tint="0.59999389629810485"/>
        <bgColor indexed="64"/>
      </patternFill>
    </fill>
  </fills>
  <borders count="92">
    <border>
      <left/>
      <right/>
      <top/>
      <bottom/>
      <diagonal/>
    </border>
    <border>
      <left/>
      <right/>
      <top/>
      <bottom style="thin">
        <color indexed="64"/>
      </bottom>
      <diagonal/>
    </border>
    <border>
      <left style="dotted">
        <color auto="1"/>
      </left>
      <right/>
      <top/>
      <bottom/>
      <diagonal/>
    </border>
    <border>
      <left/>
      <right style="dashDot">
        <color auto="1"/>
      </right>
      <top/>
      <bottom/>
      <diagonal/>
    </border>
    <border>
      <left style="thin">
        <color indexed="64"/>
      </left>
      <right/>
      <top/>
      <bottom/>
      <diagonal/>
    </border>
    <border>
      <left style="dotted">
        <color auto="1"/>
      </left>
      <right/>
      <top/>
      <bottom style="thin">
        <color indexed="64"/>
      </bottom>
      <diagonal/>
    </border>
    <border>
      <left/>
      <right style="dashDot">
        <color auto="1"/>
      </right>
      <top/>
      <bottom style="thin">
        <color indexed="64"/>
      </bottom>
      <diagonal/>
    </border>
    <border>
      <left/>
      <right/>
      <top style="thin">
        <color indexed="64"/>
      </top>
      <bottom style="thin">
        <color indexed="64"/>
      </bottom>
      <diagonal/>
    </border>
    <border>
      <left/>
      <right style="dashDot">
        <color auto="1"/>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top/>
      <bottom style="thin">
        <color rgb="FF000000"/>
      </bottom>
      <diagonal/>
    </border>
    <border>
      <left/>
      <right style="mediumDashed">
        <color auto="1"/>
      </right>
      <top/>
      <bottom/>
      <diagonal/>
    </border>
    <border>
      <left/>
      <right style="dashDot">
        <color auto="1"/>
      </right>
      <top style="thin">
        <color indexed="64"/>
      </top>
      <bottom/>
      <diagonal/>
    </border>
    <border>
      <left/>
      <right style="mediumDashed">
        <color auto="1"/>
      </right>
      <top/>
      <bottom style="thin">
        <color indexed="64"/>
      </bottom>
      <diagonal/>
    </border>
    <border>
      <left/>
      <right style="thin">
        <color indexed="64"/>
      </right>
      <top/>
      <bottom/>
      <diagonal/>
    </border>
    <border>
      <left/>
      <right/>
      <top/>
      <bottom style="thin">
        <color theme="4"/>
      </bottom>
      <diagonal/>
    </border>
    <border>
      <left/>
      <right/>
      <top style="thin">
        <color theme="4"/>
      </top>
      <bottom/>
      <diagonal/>
    </border>
    <border>
      <left/>
      <right/>
      <top/>
      <bottom style="thin">
        <color indexed="55"/>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style="thin">
        <color indexed="55"/>
      </bottom>
      <diagonal/>
    </border>
    <border>
      <left/>
      <right/>
      <top/>
      <bottom style="medium">
        <color theme="4"/>
      </bottom>
      <diagonal/>
    </border>
    <border>
      <left/>
      <right/>
      <top/>
      <bottom style="thin">
        <color auto="1"/>
      </bottom>
      <diagonal/>
    </border>
    <border>
      <left/>
      <right/>
      <top/>
      <bottom style="medium">
        <color theme="4" tint="-0.499984740745262"/>
      </bottom>
      <diagonal/>
    </border>
    <border>
      <left/>
      <right/>
      <top/>
      <bottom style="thin">
        <color theme="4" tint="-0.499984740745262"/>
      </bottom>
      <diagonal/>
    </border>
    <border>
      <left/>
      <right/>
      <top style="thin">
        <color theme="1" tint="0.499984740745262"/>
      </top>
      <bottom style="thin">
        <color theme="1" tint="0.499984740745262"/>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rgb="FF376B36"/>
      </top>
      <bottom style="thin">
        <color theme="2" tint="-9.9978637043366805E-2"/>
      </bottom>
      <diagonal/>
    </border>
    <border>
      <left/>
      <right style="thin">
        <color theme="0" tint="-0.14999847407452621"/>
      </right>
      <top style="thin">
        <color rgb="FF376B36"/>
      </top>
      <bottom style="thin">
        <color theme="2" tint="-9.9978637043366805E-2"/>
      </bottom>
      <diagonal/>
    </border>
    <border>
      <left/>
      <right/>
      <top style="thin">
        <color theme="4" tint="-0.499984740745262"/>
      </top>
      <bottom style="thin">
        <color theme="2" tint="-9.9978637043366805E-2"/>
      </bottom>
      <diagonal/>
    </border>
    <border>
      <left/>
      <right/>
      <top style="thin">
        <color theme="2" tint="-9.9978637043366805E-2"/>
      </top>
      <bottom style="thin">
        <color theme="2" tint="-9.9978637043366805E-2"/>
      </bottom>
      <diagonal/>
    </border>
    <border>
      <left/>
      <right style="thin">
        <color theme="0" tint="-0.14999847407452621"/>
      </right>
      <top style="thin">
        <color theme="2" tint="-9.9978637043366805E-2"/>
      </top>
      <bottom style="thin">
        <color theme="2" tint="-9.9978637043366805E-2"/>
      </bottom>
      <diagonal/>
    </border>
    <border>
      <left/>
      <right/>
      <top style="thin">
        <color theme="2" tint="-9.9978637043366805E-2"/>
      </top>
      <bottom style="thin">
        <color theme="0" tint="-0.14999847407452621"/>
      </bottom>
      <diagonal/>
    </border>
    <border>
      <left/>
      <right style="thin">
        <color theme="0" tint="-0.14999847407452621"/>
      </right>
      <top style="thin">
        <color theme="2" tint="-9.9978637043366805E-2"/>
      </top>
      <bottom style="thin">
        <color theme="0" tint="-0.14999847407452621"/>
      </bottom>
      <diagonal/>
    </border>
    <border>
      <left/>
      <right/>
      <top style="thin">
        <color theme="4" tint="-0.499984740745262"/>
      </top>
      <bottom style="thin">
        <color theme="4" tint="-0.499984740745262"/>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dotted">
        <color auto="1"/>
      </left>
      <right/>
      <top style="thin">
        <color indexed="64"/>
      </top>
      <bottom/>
      <diagonal/>
    </border>
    <border>
      <left style="dotted">
        <color auto="1"/>
      </left>
      <right/>
      <top style="thin">
        <color indexed="64"/>
      </top>
      <bottom style="thin">
        <color indexed="64"/>
      </bottom>
      <diagonal/>
    </border>
    <border>
      <left/>
      <right style="mediumDashed">
        <color auto="1"/>
      </right>
      <top style="thin">
        <color indexed="64"/>
      </top>
      <bottom/>
      <diagonal/>
    </border>
    <border>
      <left/>
      <right style="mediumDashed">
        <color auto="1"/>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right style="thin">
        <color indexed="64"/>
      </right>
      <top/>
      <bottom style="thin">
        <color auto="1"/>
      </bottom>
      <diagonal/>
    </border>
    <border>
      <left/>
      <right/>
      <top/>
      <bottom style="thin">
        <color indexed="55"/>
      </bottom>
      <diagonal/>
    </border>
    <border>
      <left style="thin">
        <color indexed="55"/>
      </left>
      <right style="thin">
        <color indexed="55"/>
      </right>
      <top/>
      <bottom style="thin">
        <color indexed="55"/>
      </bottom>
      <diagonal/>
    </border>
    <border>
      <left/>
      <right/>
      <top/>
      <bottom style="double">
        <color auto="1"/>
      </bottom>
      <diagonal/>
    </border>
    <border>
      <left style="thin">
        <color indexed="64"/>
      </left>
      <right style="thin">
        <color auto="1"/>
      </right>
      <top style="thin">
        <color indexed="64"/>
      </top>
      <bottom/>
      <diagonal/>
    </border>
    <border>
      <left style="thin">
        <color auto="1"/>
      </left>
      <right/>
      <top/>
      <bottom style="thin">
        <color auto="1"/>
      </bottom>
      <diagonal/>
    </border>
    <border>
      <left/>
      <right/>
      <top style="double">
        <color auto="1"/>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right/>
      <top/>
      <bottom style="thick">
        <color indexed="64"/>
      </bottom>
      <diagonal/>
    </border>
    <border>
      <left/>
      <right/>
      <top style="medium">
        <color indexed="64"/>
      </top>
      <bottom style="medium">
        <color indexed="64"/>
      </bottom>
      <diagonal/>
    </border>
    <border>
      <left/>
      <right/>
      <top style="medium">
        <color indexed="64"/>
      </top>
      <bottom style="double">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diagonal/>
    </border>
    <border>
      <left/>
      <right/>
      <top/>
      <bottom style="dotted">
        <color auto="1"/>
      </bottom>
      <diagonal/>
    </border>
    <border>
      <left/>
      <right/>
      <top style="dotted">
        <color auto="1"/>
      </top>
      <bottom style="thin">
        <color indexed="64"/>
      </bottom>
      <diagonal/>
    </border>
    <border>
      <left/>
      <right/>
      <top style="dotted">
        <color auto="1"/>
      </top>
      <bottom style="dotted">
        <color auto="1"/>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thin">
        <color indexed="64"/>
      </right>
      <top/>
      <bottom style="dotted">
        <color indexed="64"/>
      </bottom>
      <diagonal/>
    </border>
    <border>
      <left style="dotted">
        <color auto="1"/>
      </left>
      <right/>
      <top/>
      <bottom style="dotted">
        <color indexed="64"/>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top/>
      <bottom style="medium">
        <color theme="3" tint="-0.499984740745262"/>
      </bottom>
      <diagonal/>
    </border>
    <border>
      <left/>
      <right style="medium">
        <color rgb="FF0070C0"/>
      </right>
      <top/>
      <bottom/>
      <diagonal/>
    </border>
    <border>
      <left/>
      <right/>
      <top style="thin">
        <color auto="1"/>
      </top>
      <bottom/>
      <diagonal/>
    </border>
    <border>
      <left/>
      <right/>
      <top style="medium">
        <color theme="3" tint="-0.499984740745262"/>
      </top>
      <bottom/>
      <diagonal/>
    </border>
    <border>
      <left/>
      <right/>
      <top style="thin">
        <color auto="1"/>
      </top>
      <bottom style="thin">
        <color indexed="64"/>
      </bottom>
      <diagonal/>
    </border>
    <border>
      <left/>
      <right/>
      <top style="thin">
        <color indexed="64"/>
      </top>
      <bottom style="medium">
        <color indexed="64"/>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s>
  <cellStyleXfs count="34">
    <xf numFmtId="0" fontId="0" fillId="0" borderId="0"/>
    <xf numFmtId="43" fontId="2" fillId="0" borderId="0" applyFont="0" applyFill="0" applyBorder="0" applyAlignment="0" applyProtection="0"/>
    <xf numFmtId="9" fontId="2" fillId="0" borderId="0" applyFont="0" applyFill="0" applyBorder="0" applyAlignment="0" applyProtection="0"/>
    <xf numFmtId="0" fontId="1" fillId="8" borderId="0" applyNumberFormat="0" applyBorder="0" applyAlignment="0" applyProtection="0"/>
    <xf numFmtId="0" fontId="9" fillId="9" borderId="0" applyNumberFormat="0" applyBorder="0" applyAlignment="0" applyProtection="0"/>
    <xf numFmtId="0" fontId="1" fillId="10" borderId="0" applyNumberFormat="0" applyBorder="0" applyAlignment="0" applyProtection="0"/>
    <xf numFmtId="44" fontId="2" fillId="0" borderId="0" applyFont="0" applyFill="0" applyBorder="0" applyAlignment="0" applyProtection="0"/>
    <xf numFmtId="0" fontId="1" fillId="0" borderId="0"/>
    <xf numFmtId="9" fontId="15" fillId="0" borderId="0" applyFont="0" applyFill="0" applyBorder="0" applyAlignment="0" applyProtection="0"/>
    <xf numFmtId="0" fontId="16" fillId="0" borderId="0"/>
    <xf numFmtId="43" fontId="15" fillId="0" borderId="0" applyFont="0" applyFill="0" applyBorder="0" applyAlignment="0" applyProtection="0"/>
    <xf numFmtId="44" fontId="15" fillId="0" borderId="0" applyFont="0" applyFill="0" applyBorder="0" applyAlignment="0" applyProtection="0"/>
    <xf numFmtId="0" fontId="15" fillId="0" borderId="0"/>
    <xf numFmtId="0" fontId="38" fillId="0" borderId="0" applyNumberFormat="0" applyFill="0" applyBorder="0" applyAlignment="0" applyProtection="0">
      <alignment vertical="top"/>
      <protection locked="0"/>
    </xf>
    <xf numFmtId="0" fontId="4" fillId="0" borderId="0"/>
    <xf numFmtId="0" fontId="51" fillId="21" borderId="0" applyFill="0" applyBorder="0" applyProtection="0">
      <alignment horizontal="left" vertical="center" wrapText="1" indent="1"/>
    </xf>
    <xf numFmtId="0" fontId="54" fillId="0" borderId="24" applyNumberFormat="0" applyFill="0" applyProtection="0">
      <alignment vertical="center"/>
    </xf>
    <xf numFmtId="0" fontId="57" fillId="0" borderId="26" applyNumberFormat="0" applyProtection="0">
      <alignment vertical="center"/>
    </xf>
    <xf numFmtId="176" fontId="58" fillId="22" borderId="0" applyFont="0" applyFill="0" applyBorder="0" applyAlignment="0" applyProtection="0"/>
    <xf numFmtId="0" fontId="58" fillId="8" borderId="0" applyNumberFormat="0" applyFont="0" applyAlignment="0">
      <alignment horizontal="center" vertical="center" wrapText="1"/>
    </xf>
    <xf numFmtId="10" fontId="4" fillId="0" borderId="0" applyFont="0" applyFill="0" applyBorder="0" applyAlignment="0" applyProtection="0"/>
    <xf numFmtId="1" fontId="58" fillId="8" borderId="0" applyFont="0" applyFill="0" applyBorder="0" applyAlignment="0"/>
    <xf numFmtId="14" fontId="58" fillId="0" borderId="0" applyFont="0" applyFill="0" applyBorder="0" applyAlignment="0"/>
    <xf numFmtId="0" fontId="33" fillId="0" borderId="36" applyNumberFormat="0" applyFill="0" applyProtection="0">
      <alignment vertical="center"/>
    </xf>
    <xf numFmtId="0" fontId="64" fillId="12" borderId="0" applyFill="0" applyProtection="0">
      <alignment horizontal="center" vertical="center" wrapText="1"/>
    </xf>
    <xf numFmtId="176" fontId="58" fillId="22" borderId="0" applyFont="0" applyFill="0" applyBorder="0" applyProtection="0">
      <alignment horizontal="right" indent="2"/>
    </xf>
    <xf numFmtId="0" fontId="67" fillId="23" borderId="0" applyNumberFormat="0" applyBorder="0" applyAlignment="0" applyProtection="0"/>
    <xf numFmtId="0" fontId="48" fillId="0" borderId="0"/>
    <xf numFmtId="44" fontId="48" fillId="0" borderId="0" applyFont="0" applyFill="0" applyBorder="0" applyAlignment="0" applyProtection="0"/>
    <xf numFmtId="9" fontId="48" fillId="0" borderId="0" applyFont="0" applyFill="0" applyBorder="0" applyAlignment="0" applyProtection="0"/>
    <xf numFmtId="43" fontId="48"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cellStyleXfs>
  <cellXfs count="1813">
    <xf numFmtId="0" fontId="0" fillId="0" borderId="0" xfId="0"/>
    <xf numFmtId="0" fontId="0" fillId="3" borderId="0" xfId="0" applyFill="1"/>
    <xf numFmtId="0" fontId="5" fillId="3" borderId="0" xfId="0" applyFont="1" applyFill="1"/>
    <xf numFmtId="0" fontId="0" fillId="0" borderId="0" xfId="0" applyAlignment="1">
      <alignment horizontal="center"/>
    </xf>
    <xf numFmtId="0" fontId="0" fillId="2" borderId="0" xfId="0" applyFill="1" applyAlignment="1">
      <alignment horizontal="center"/>
    </xf>
    <xf numFmtId="0" fontId="3" fillId="2" borderId="0" xfId="0" applyFont="1" applyFill="1" applyAlignment="1">
      <alignment horizontal="center"/>
    </xf>
    <xf numFmtId="0" fontId="3" fillId="2" borderId="0" xfId="0" applyFont="1" applyFill="1" applyAlignment="1">
      <alignment horizontal="center" vertical="center"/>
    </xf>
    <xf numFmtId="0" fontId="5" fillId="3" borderId="0" xfId="0" applyFont="1" applyFill="1" applyAlignment="1">
      <alignment horizontal="left" vertical="center"/>
    </xf>
    <xf numFmtId="43" fontId="0" fillId="0" borderId="0" xfId="1" applyFont="1" applyBorder="1"/>
    <xf numFmtId="43" fontId="8" fillId="3" borderId="0" xfId="1" applyFont="1" applyFill="1"/>
    <xf numFmtId="43" fontId="0" fillId="0" borderId="0" xfId="1" applyFont="1"/>
    <xf numFmtId="0" fontId="4" fillId="0" borderId="0" xfId="0" applyFont="1"/>
    <xf numFmtId="43" fontId="0" fillId="0" borderId="0" xfId="1" applyFont="1" applyFill="1" applyBorder="1"/>
    <xf numFmtId="0" fontId="0" fillId="4" borderId="0" xfId="0" applyFill="1"/>
    <xf numFmtId="43" fontId="0" fillId="4" borderId="0" xfId="1" applyFont="1" applyFill="1" applyBorder="1"/>
    <xf numFmtId="0" fontId="8" fillId="4" borderId="0" xfId="0" applyFont="1" applyFill="1"/>
    <xf numFmtId="0" fontId="0" fillId="6" borderId="0" xfId="0" applyFill="1"/>
    <xf numFmtId="43" fontId="0" fillId="7" borderId="0" xfId="1" applyFont="1" applyFill="1" applyBorder="1"/>
    <xf numFmtId="43" fontId="0" fillId="6" borderId="0" xfId="1" applyFont="1" applyFill="1" applyBorder="1"/>
    <xf numFmtId="0" fontId="9" fillId="9" borderId="0" xfId="4"/>
    <xf numFmtId="0" fontId="1" fillId="9" borderId="0" xfId="4" applyFont="1"/>
    <xf numFmtId="3" fontId="1" fillId="9" borderId="0" xfId="4" applyNumberFormat="1" applyFont="1"/>
    <xf numFmtId="3" fontId="1" fillId="8" borderId="0" xfId="3" applyNumberFormat="1"/>
    <xf numFmtId="0" fontId="1" fillId="8" borderId="0" xfId="3"/>
    <xf numFmtId="0" fontId="1" fillId="10" borderId="0" xfId="5"/>
    <xf numFmtId="3" fontId="1" fillId="10" borderId="0" xfId="5" applyNumberFormat="1"/>
    <xf numFmtId="3" fontId="10" fillId="11" borderId="0" xfId="0" applyNumberFormat="1" applyFont="1" applyFill="1"/>
    <xf numFmtId="43" fontId="0" fillId="0" borderId="0" xfId="0" applyNumberFormat="1"/>
    <xf numFmtId="43" fontId="0" fillId="0" borderId="0" xfId="1" applyFont="1" applyFill="1"/>
    <xf numFmtId="9" fontId="0" fillId="0" borderId="0" xfId="0" applyNumberFormat="1"/>
    <xf numFmtId="0" fontId="5" fillId="12" borderId="0" xfId="0" applyFont="1" applyFill="1" applyAlignment="1">
      <alignment horizontal="left"/>
    </xf>
    <xf numFmtId="0" fontId="1" fillId="0" borderId="0" xfId="7"/>
    <xf numFmtId="0" fontId="1" fillId="0" borderId="0" xfId="7" applyAlignment="1">
      <alignment horizontal="right"/>
    </xf>
    <xf numFmtId="0" fontId="1" fillId="0" borderId="0" xfId="7" applyAlignment="1">
      <alignment horizontal="center"/>
    </xf>
    <xf numFmtId="0" fontId="1" fillId="0" borderId="4" xfId="7" applyBorder="1"/>
    <xf numFmtId="2" fontId="1" fillId="0" borderId="0" xfId="7" applyNumberFormat="1"/>
    <xf numFmtId="2" fontId="1" fillId="0" borderId="4" xfId="7" applyNumberFormat="1" applyBorder="1"/>
    <xf numFmtId="43" fontId="1" fillId="0" borderId="0" xfId="7" applyNumberFormat="1" applyAlignment="1">
      <alignment horizontal="right"/>
    </xf>
    <xf numFmtId="43" fontId="1" fillId="0" borderId="0" xfId="1" applyFont="1"/>
    <xf numFmtId="165" fontId="1" fillId="0" borderId="0" xfId="2" applyNumberFormat="1" applyFont="1"/>
    <xf numFmtId="167" fontId="1" fillId="0" borderId="0" xfId="1" applyNumberFormat="1" applyFont="1"/>
    <xf numFmtId="168" fontId="1" fillId="0" borderId="0" xfId="1" applyNumberFormat="1" applyFont="1"/>
    <xf numFmtId="0" fontId="1" fillId="0" borderId="1" xfId="7" applyBorder="1"/>
    <xf numFmtId="9" fontId="1" fillId="0" borderId="1" xfId="7" applyNumberFormat="1" applyBorder="1"/>
    <xf numFmtId="14" fontId="11" fillId="0" borderId="1" xfId="7" applyNumberFormat="1" applyFont="1" applyBorder="1"/>
    <xf numFmtId="14" fontId="1" fillId="0" borderId="4" xfId="7" applyNumberFormat="1" applyBorder="1"/>
    <xf numFmtId="9" fontId="1" fillId="0" borderId="0" xfId="7" applyNumberFormat="1" applyAlignment="1">
      <alignment horizontal="right"/>
    </xf>
    <xf numFmtId="14" fontId="11" fillId="0" borderId="0" xfId="7" applyNumberFormat="1" applyFont="1"/>
    <xf numFmtId="0" fontId="13" fillId="13" borderId="0" xfId="7" applyFont="1" applyFill="1"/>
    <xf numFmtId="0" fontId="14" fillId="13" borderId="0" xfId="7" applyFont="1" applyFill="1"/>
    <xf numFmtId="0" fontId="17" fillId="0" borderId="7" xfId="9" applyFont="1" applyBorder="1" applyAlignment="1">
      <alignment horizontal="left" indent="2"/>
    </xf>
    <xf numFmtId="0" fontId="1" fillId="0" borderId="7" xfId="7" applyBorder="1"/>
    <xf numFmtId="9" fontId="1" fillId="0" borderId="7" xfId="7" applyNumberFormat="1" applyBorder="1"/>
    <xf numFmtId="0" fontId="12" fillId="0" borderId="7" xfId="9" applyFont="1" applyBorder="1"/>
    <xf numFmtId="168" fontId="1" fillId="0" borderId="4" xfId="10" applyNumberFormat="1" applyFont="1" applyBorder="1"/>
    <xf numFmtId="0" fontId="18" fillId="0" borderId="0" xfId="7" applyFont="1"/>
    <xf numFmtId="9" fontId="1" fillId="0" borderId="0" xfId="7" applyNumberFormat="1"/>
    <xf numFmtId="0" fontId="12" fillId="0" borderId="0" xfId="9" applyFont="1" applyAlignment="1">
      <alignment horizontal="left" indent="2"/>
    </xf>
    <xf numFmtId="9" fontId="12" fillId="0" borderId="0" xfId="8" applyFont="1"/>
    <xf numFmtId="0" fontId="12" fillId="0" borderId="0" xfId="9" applyFont="1" applyAlignment="1">
      <alignment horizontal="right"/>
    </xf>
    <xf numFmtId="9" fontId="1" fillId="14" borderId="0" xfId="7" applyNumberFormat="1" applyFill="1"/>
    <xf numFmtId="168" fontId="12" fillId="15" borderId="0" xfId="10" applyNumberFormat="1" applyFont="1" applyFill="1"/>
    <xf numFmtId="168" fontId="12" fillId="15" borderId="0" xfId="10" applyNumberFormat="1" applyFont="1" applyFill="1" applyBorder="1"/>
    <xf numFmtId="0" fontId="12" fillId="0" borderId="0" xfId="9" applyFont="1"/>
    <xf numFmtId="0" fontId="12" fillId="0" borderId="1" xfId="9" applyFont="1" applyBorder="1" applyAlignment="1">
      <alignment horizontal="left" indent="2"/>
    </xf>
    <xf numFmtId="0" fontId="12" fillId="0" borderId="1" xfId="9" applyFont="1" applyBorder="1"/>
    <xf numFmtId="168" fontId="12" fillId="15" borderId="1" xfId="10" applyNumberFormat="1" applyFont="1" applyFill="1" applyBorder="1"/>
    <xf numFmtId="168" fontId="1" fillId="0" borderId="9" xfId="10" applyNumberFormat="1" applyFont="1" applyBorder="1"/>
    <xf numFmtId="0" fontId="19" fillId="0" borderId="0" xfId="9" applyFont="1"/>
    <xf numFmtId="168" fontId="1" fillId="0" borderId="0" xfId="7" applyNumberFormat="1"/>
    <xf numFmtId="168" fontId="19" fillId="15" borderId="0" xfId="10" applyNumberFormat="1" applyFont="1" applyFill="1"/>
    <xf numFmtId="168" fontId="19" fillId="0" borderId="0" xfId="10" applyNumberFormat="1" applyFont="1" applyFill="1"/>
    <xf numFmtId="168" fontId="20" fillId="0" borderId="4" xfId="10" applyNumberFormat="1" applyFont="1" applyFill="1" applyBorder="1"/>
    <xf numFmtId="0" fontId="21" fillId="0" borderId="0" xfId="9" applyFont="1" applyAlignment="1">
      <alignment horizontal="left" indent="2"/>
    </xf>
    <xf numFmtId="0" fontId="2" fillId="0" borderId="0" xfId="7" applyFont="1"/>
    <xf numFmtId="168" fontId="4" fillId="15" borderId="0" xfId="10" applyNumberFormat="1" applyFont="1" applyFill="1"/>
    <xf numFmtId="0" fontId="22" fillId="0" borderId="0" xfId="7" applyFont="1"/>
    <xf numFmtId="9" fontId="1" fillId="14" borderId="0" xfId="8" applyFont="1" applyFill="1"/>
    <xf numFmtId="43" fontId="12" fillId="15" borderId="0" xfId="10" applyFont="1" applyFill="1"/>
    <xf numFmtId="4" fontId="1" fillId="0" borderId="0" xfId="7" applyNumberFormat="1"/>
    <xf numFmtId="9" fontId="12" fillId="12" borderId="0" xfId="8" applyFont="1" applyFill="1" applyAlignment="1">
      <alignment horizontal="right"/>
    </xf>
    <xf numFmtId="168" fontId="12" fillId="0" borderId="0" xfId="10" applyNumberFormat="1" applyFont="1" applyFill="1"/>
    <xf numFmtId="0" fontId="12" fillId="0" borderId="1" xfId="9" applyFont="1" applyBorder="1" applyAlignment="1">
      <alignment horizontal="right"/>
    </xf>
    <xf numFmtId="0" fontId="23" fillId="0" borderId="0" xfId="7" applyFont="1"/>
    <xf numFmtId="0" fontId="24" fillId="0" borderId="0" xfId="9" applyFont="1"/>
    <xf numFmtId="168" fontId="24" fillId="15" borderId="0" xfId="10" applyNumberFormat="1" applyFont="1" applyFill="1"/>
    <xf numFmtId="168" fontId="24" fillId="0" borderId="0" xfId="10" applyNumberFormat="1" applyFont="1" applyFill="1"/>
    <xf numFmtId="168" fontId="25" fillId="0" borderId="4" xfId="10" applyNumberFormat="1" applyFont="1" applyFill="1" applyBorder="1"/>
    <xf numFmtId="0" fontId="25" fillId="0" borderId="0" xfId="7" applyFont="1"/>
    <xf numFmtId="0" fontId="22" fillId="0" borderId="0" xfId="7" applyFont="1" applyAlignment="1">
      <alignment horizontal="right"/>
    </xf>
    <xf numFmtId="9" fontId="12" fillId="0" borderId="0" xfId="2" applyFont="1" applyFill="1"/>
    <xf numFmtId="168" fontId="1" fillId="0" borderId="4" xfId="10" applyNumberFormat="1" applyFont="1" applyFill="1" applyBorder="1"/>
    <xf numFmtId="165" fontId="12" fillId="15" borderId="0" xfId="2" applyNumberFormat="1" applyFont="1" applyFill="1"/>
    <xf numFmtId="0" fontId="26" fillId="0" borderId="0" xfId="7" applyFont="1"/>
    <xf numFmtId="9" fontId="26" fillId="0" borderId="0" xfId="2" applyFont="1"/>
    <xf numFmtId="168" fontId="26" fillId="0" borderId="0" xfId="7" applyNumberFormat="1" applyFont="1"/>
    <xf numFmtId="9" fontId="1" fillId="0" borderId="4" xfId="2" applyFont="1" applyBorder="1"/>
    <xf numFmtId="0" fontId="12" fillId="15" borderId="0" xfId="9" applyFont="1" applyFill="1"/>
    <xf numFmtId="0" fontId="22" fillId="0" borderId="1" xfId="7" applyFont="1" applyBorder="1"/>
    <xf numFmtId="0" fontId="27" fillId="0" borderId="0" xfId="9" applyFont="1"/>
    <xf numFmtId="0" fontId="28" fillId="0" borderId="0" xfId="7" applyFont="1"/>
    <xf numFmtId="43" fontId="12" fillId="15" borderId="0" xfId="9" applyNumberFormat="1" applyFont="1" applyFill="1"/>
    <xf numFmtId="8" fontId="22" fillId="15" borderId="0" xfId="7" applyNumberFormat="1" applyFont="1" applyFill="1"/>
    <xf numFmtId="0" fontId="12" fillId="0" borderId="0" xfId="9" applyFont="1" applyAlignment="1">
      <alignment horizontal="left" indent="1"/>
    </xf>
    <xf numFmtId="43" fontId="17" fillId="15" borderId="0" xfId="10" applyFont="1" applyFill="1" applyBorder="1" applyAlignment="1">
      <alignment horizontal="right"/>
    </xf>
    <xf numFmtId="43" fontId="17" fillId="0" borderId="0" xfId="10" applyFont="1" applyFill="1" applyBorder="1" applyAlignment="1">
      <alignment horizontal="right"/>
    </xf>
    <xf numFmtId="0" fontId="12" fillId="0" borderId="1" xfId="9" applyFont="1" applyBorder="1" applyAlignment="1">
      <alignment horizontal="left" indent="1"/>
    </xf>
    <xf numFmtId="43" fontId="1" fillId="15" borderId="1" xfId="10" applyFont="1" applyFill="1" applyBorder="1"/>
    <xf numFmtId="0" fontId="1" fillId="0" borderId="9" xfId="7" applyBorder="1"/>
    <xf numFmtId="43" fontId="22" fillId="0" borderId="0" xfId="7" applyNumberFormat="1" applyFont="1"/>
    <xf numFmtId="168" fontId="22" fillId="0" borderId="0" xfId="7" applyNumberFormat="1" applyFont="1"/>
    <xf numFmtId="43" fontId="12" fillId="0" borderId="0" xfId="10" applyFont="1" applyFill="1"/>
    <xf numFmtId="43" fontId="1" fillId="0" borderId="4" xfId="10" applyFont="1" applyFill="1" applyBorder="1"/>
    <xf numFmtId="10" fontId="12" fillId="0" borderId="0" xfId="8" applyNumberFormat="1" applyFont="1" applyFill="1"/>
    <xf numFmtId="10" fontId="12" fillId="15" borderId="0" xfId="8" applyNumberFormat="1" applyFont="1" applyFill="1"/>
    <xf numFmtId="0" fontId="26" fillId="0" borderId="0" xfId="7" applyFont="1" applyAlignment="1">
      <alignment horizontal="left"/>
    </xf>
    <xf numFmtId="43" fontId="29" fillId="15" borderId="0" xfId="10" applyFont="1" applyFill="1" applyBorder="1" applyAlignment="1">
      <alignment horizontal="right"/>
    </xf>
    <xf numFmtId="0" fontId="1" fillId="0" borderId="0" xfId="7" applyAlignment="1">
      <alignment horizontal="left" indent="2"/>
    </xf>
    <xf numFmtId="170" fontId="1" fillId="0" borderId="0" xfId="7" applyNumberFormat="1" applyAlignment="1">
      <alignment horizontal="right"/>
    </xf>
    <xf numFmtId="37" fontId="12" fillId="15" borderId="0" xfId="7" applyNumberFormat="1" applyFont="1" applyFill="1" applyAlignment="1">
      <alignment horizontal="right"/>
    </xf>
    <xf numFmtId="0" fontId="22" fillId="0" borderId="0" xfId="7" applyFont="1" applyAlignment="1">
      <alignment horizontal="left" indent="2"/>
    </xf>
    <xf numFmtId="171" fontId="17" fillId="15" borderId="0" xfId="7" applyNumberFormat="1" applyFont="1" applyFill="1" applyAlignment="1">
      <alignment horizontal="right"/>
    </xf>
    <xf numFmtId="0" fontId="10" fillId="0" borderId="0" xfId="7" applyFont="1" applyAlignment="1">
      <alignment horizontal="left" indent="2"/>
    </xf>
    <xf numFmtId="170" fontId="12" fillId="15" borderId="0" xfId="7" applyNumberFormat="1" applyFont="1" applyFill="1" applyAlignment="1">
      <alignment horizontal="right"/>
    </xf>
    <xf numFmtId="170" fontId="11" fillId="15" borderId="0" xfId="7" applyNumberFormat="1" applyFont="1" applyFill="1" applyAlignment="1">
      <alignment horizontal="right"/>
    </xf>
    <xf numFmtId="0" fontId="30" fillId="0" borderId="0" xfId="7" applyFont="1"/>
    <xf numFmtId="9" fontId="22" fillId="0" borderId="0" xfId="8" applyFont="1" applyFill="1"/>
    <xf numFmtId="171" fontId="22" fillId="15" borderId="1" xfId="7" applyNumberFormat="1" applyFont="1" applyFill="1" applyBorder="1" applyAlignment="1">
      <alignment horizontal="right"/>
    </xf>
    <xf numFmtId="0" fontId="25" fillId="0" borderId="10" xfId="7" applyFont="1" applyBorder="1"/>
    <xf numFmtId="170" fontId="25" fillId="0" borderId="10" xfId="7" applyNumberFormat="1" applyFont="1" applyBorder="1"/>
    <xf numFmtId="0" fontId="26" fillId="0" borderId="1" xfId="7" applyFont="1" applyBorder="1" applyAlignment="1">
      <alignment horizontal="left"/>
    </xf>
    <xf numFmtId="0" fontId="26" fillId="0" borderId="1" xfId="7" applyFont="1" applyBorder="1"/>
    <xf numFmtId="171" fontId="26" fillId="15" borderId="1" xfId="7" applyNumberFormat="1" applyFont="1" applyFill="1" applyBorder="1" applyAlignment="1">
      <alignment horizontal="right"/>
    </xf>
    <xf numFmtId="0" fontId="22" fillId="0" borderId="12" xfId="7" applyFont="1" applyBorder="1" applyAlignment="1">
      <alignment horizontal="left" indent="2"/>
    </xf>
    <xf numFmtId="0" fontId="22" fillId="0" borderId="12" xfId="7" applyFont="1" applyBorder="1"/>
    <xf numFmtId="167" fontId="12" fillId="15" borderId="0" xfId="10" applyNumberFormat="1" applyFont="1" applyFill="1" applyBorder="1" applyAlignment="1">
      <alignment horizontal="right"/>
    </xf>
    <xf numFmtId="167" fontId="12" fillId="0" borderId="0" xfId="10" applyNumberFormat="1" applyFont="1" applyFill="1" applyBorder="1" applyAlignment="1">
      <alignment horizontal="right"/>
    </xf>
    <xf numFmtId="0" fontId="22" fillId="0" borderId="0" xfId="7" applyFont="1" applyAlignment="1">
      <alignment horizontal="left"/>
    </xf>
    <xf numFmtId="171" fontId="22" fillId="0" borderId="0" xfId="7" applyNumberFormat="1" applyFont="1" applyAlignment="1">
      <alignment horizontal="right"/>
    </xf>
    <xf numFmtId="0" fontId="24" fillId="0" borderId="1" xfId="9" applyFont="1" applyBorder="1" applyAlignment="1">
      <alignment horizontal="right"/>
    </xf>
    <xf numFmtId="43" fontId="29" fillId="0" borderId="0" xfId="10" applyFont="1" applyAlignment="1">
      <alignment horizontal="right"/>
    </xf>
    <xf numFmtId="9" fontId="12" fillId="0" borderId="0" xfId="9" applyNumberFormat="1" applyFont="1"/>
    <xf numFmtId="9" fontId="12" fillId="0" borderId="0" xfId="2" applyFont="1"/>
    <xf numFmtId="169" fontId="12" fillId="0" borderId="0" xfId="11" applyNumberFormat="1" applyFont="1"/>
    <xf numFmtId="169" fontId="12" fillId="15" borderId="0" xfId="10" applyNumberFormat="1" applyFont="1" applyFill="1"/>
    <xf numFmtId="168" fontId="12" fillId="0" borderId="0" xfId="10" applyNumberFormat="1" applyFont="1" applyFill="1" applyBorder="1"/>
    <xf numFmtId="44" fontId="1" fillId="0" borderId="4" xfId="7" applyNumberFormat="1" applyBorder="1"/>
    <xf numFmtId="10" fontId="12" fillId="14" borderId="0" xfId="8" applyNumberFormat="1" applyFont="1" applyFill="1"/>
    <xf numFmtId="10" fontId="12" fillId="14" borderId="0" xfId="9" applyNumberFormat="1" applyFont="1" applyFill="1"/>
    <xf numFmtId="169" fontId="12" fillId="15" borderId="0" xfId="10" applyNumberFormat="1" applyFont="1" applyFill="1" applyBorder="1"/>
    <xf numFmtId="9" fontId="12" fillId="14" borderId="1" xfId="8" applyFont="1" applyFill="1" applyBorder="1"/>
    <xf numFmtId="169" fontId="12" fillId="15" borderId="1" xfId="10" applyNumberFormat="1" applyFont="1" applyFill="1" applyBorder="1"/>
    <xf numFmtId="0" fontId="19" fillId="0" borderId="0" xfId="9" applyFont="1" applyAlignment="1">
      <alignment horizontal="left" indent="1"/>
    </xf>
    <xf numFmtId="169" fontId="19" fillId="0" borderId="0" xfId="11" applyNumberFormat="1" applyFont="1" applyFill="1"/>
    <xf numFmtId="169" fontId="19" fillId="15" borderId="0" xfId="10" applyNumberFormat="1" applyFont="1" applyFill="1"/>
    <xf numFmtId="168" fontId="19" fillId="0" borderId="10" xfId="10" applyNumberFormat="1" applyFont="1" applyFill="1" applyBorder="1"/>
    <xf numFmtId="169" fontId="12" fillId="0" borderId="0" xfId="11" applyNumberFormat="1" applyFont="1" applyAlignment="1">
      <alignment horizontal="right"/>
    </xf>
    <xf numFmtId="43" fontId="12" fillId="15" borderId="0" xfId="1" applyFont="1" applyFill="1"/>
    <xf numFmtId="169" fontId="19" fillId="0" borderId="0" xfId="11" applyNumberFormat="1" applyFont="1"/>
    <xf numFmtId="169" fontId="19" fillId="15" borderId="0" xfId="10" applyNumberFormat="1" applyFont="1" applyFill="1" applyBorder="1"/>
    <xf numFmtId="168" fontId="19" fillId="0" borderId="0" xfId="10" applyNumberFormat="1" applyFont="1" applyFill="1" applyBorder="1"/>
    <xf numFmtId="169" fontId="12" fillId="15" borderId="0" xfId="11" applyNumberFormat="1" applyFont="1" applyFill="1" applyBorder="1"/>
    <xf numFmtId="168" fontId="12" fillId="0" borderId="0" xfId="11" applyNumberFormat="1" applyFont="1" applyFill="1" applyBorder="1"/>
    <xf numFmtId="169" fontId="19" fillId="15" borderId="0" xfId="9" applyNumberFormat="1" applyFont="1" applyFill="1"/>
    <xf numFmtId="9" fontId="24" fillId="0" borderId="0" xfId="8" applyFont="1"/>
    <xf numFmtId="169" fontId="24" fillId="15" borderId="0" xfId="11" applyNumberFormat="1" applyFont="1" applyFill="1"/>
    <xf numFmtId="168" fontId="24" fillId="0" borderId="0" xfId="11" applyNumberFormat="1" applyFont="1" applyFill="1"/>
    <xf numFmtId="169" fontId="12" fillId="15" borderId="0" xfId="11" applyNumberFormat="1" applyFont="1" applyFill="1"/>
    <xf numFmtId="168" fontId="12" fillId="0" borderId="0" xfId="11" applyNumberFormat="1" applyFont="1" applyFill="1"/>
    <xf numFmtId="169" fontId="12" fillId="0" borderId="0" xfId="9" applyNumberFormat="1" applyFont="1"/>
    <xf numFmtId="169" fontId="12" fillId="15" borderId="1" xfId="11" applyNumberFormat="1" applyFont="1" applyFill="1" applyBorder="1"/>
    <xf numFmtId="0" fontId="19" fillId="0" borderId="7" xfId="9" applyFont="1" applyBorder="1" applyAlignment="1">
      <alignment horizontal="left" indent="1"/>
    </xf>
    <xf numFmtId="0" fontId="19" fillId="0" borderId="7" xfId="9" applyFont="1" applyBorder="1"/>
    <xf numFmtId="169" fontId="19" fillId="0" borderId="7" xfId="11" applyNumberFormat="1" applyFont="1" applyBorder="1"/>
    <xf numFmtId="169" fontId="19" fillId="15" borderId="7" xfId="11" applyNumberFormat="1" applyFont="1" applyFill="1" applyBorder="1"/>
    <xf numFmtId="168" fontId="19" fillId="0" borderId="7" xfId="11" applyNumberFormat="1" applyFont="1" applyFill="1" applyBorder="1"/>
    <xf numFmtId="169" fontId="19" fillId="15" borderId="0" xfId="11" applyNumberFormat="1" applyFont="1" applyFill="1"/>
    <xf numFmtId="168" fontId="19" fillId="0" borderId="0" xfId="11" applyNumberFormat="1" applyFont="1" applyFill="1"/>
    <xf numFmtId="0" fontId="17" fillId="0" borderId="0" xfId="9" applyFont="1"/>
    <xf numFmtId="169" fontId="17" fillId="0" borderId="0" xfId="11" applyNumberFormat="1" applyFont="1"/>
    <xf numFmtId="44" fontId="17" fillId="15" borderId="0" xfId="11" applyFont="1" applyFill="1"/>
    <xf numFmtId="169" fontId="17" fillId="0" borderId="0" xfId="11" applyNumberFormat="1" applyFont="1" applyFill="1"/>
    <xf numFmtId="166" fontId="12" fillId="0" borderId="0" xfId="1" applyNumberFormat="1" applyFont="1" applyFill="1"/>
    <xf numFmtId="166" fontId="12" fillId="0" borderId="2" xfId="1" applyNumberFormat="1" applyFont="1" applyFill="1" applyBorder="1"/>
    <xf numFmtId="169" fontId="12" fillId="0" borderId="0" xfId="11" applyNumberFormat="1" applyFont="1" applyFill="1"/>
    <xf numFmtId="169" fontId="12" fillId="0" borderId="3" xfId="11" applyNumberFormat="1" applyFont="1" applyFill="1" applyBorder="1"/>
    <xf numFmtId="9" fontId="12" fillId="0" borderId="0" xfId="9" applyNumberFormat="1" applyFont="1" applyAlignment="1">
      <alignment horizontal="right"/>
    </xf>
    <xf numFmtId="43" fontId="12" fillId="0" borderId="0" xfId="1" applyFont="1" applyFill="1"/>
    <xf numFmtId="0" fontId="31" fillId="0" borderId="0" xfId="9" applyFont="1"/>
    <xf numFmtId="169" fontId="12" fillId="15" borderId="2" xfId="11" applyNumberFormat="1" applyFont="1" applyFill="1" applyBorder="1"/>
    <xf numFmtId="0" fontId="1" fillId="0" borderId="1" xfId="7" applyBorder="1" applyAlignment="1">
      <alignment horizontal="left" indent="2"/>
    </xf>
    <xf numFmtId="169" fontId="12" fillId="15" borderId="5" xfId="11" applyNumberFormat="1" applyFont="1" applyFill="1" applyBorder="1"/>
    <xf numFmtId="0" fontId="12" fillId="12" borderId="1" xfId="9" applyFont="1" applyFill="1" applyBorder="1"/>
    <xf numFmtId="9" fontId="1" fillId="14" borderId="1" xfId="7" applyNumberFormat="1" applyFill="1" applyBorder="1"/>
    <xf numFmtId="168" fontId="12" fillId="0" borderId="16" xfId="10" applyNumberFormat="1" applyFont="1" applyFill="1" applyBorder="1"/>
    <xf numFmtId="168" fontId="12" fillId="0" borderId="11" xfId="10" applyNumberFormat="1" applyFont="1" applyFill="1" applyBorder="1"/>
    <xf numFmtId="172" fontId="22" fillId="15" borderId="13" xfId="6" applyNumberFormat="1" applyFont="1" applyFill="1" applyBorder="1" applyAlignment="1">
      <alignment horizontal="right"/>
    </xf>
    <xf numFmtId="0" fontId="10" fillId="0" borderId="0" xfId="7" applyFont="1"/>
    <xf numFmtId="169" fontId="22" fillId="0" borderId="0" xfId="7" applyNumberFormat="1" applyFont="1"/>
    <xf numFmtId="0" fontId="1" fillId="0" borderId="2" xfId="7" applyBorder="1" applyAlignment="1">
      <alignment horizontal="center"/>
    </xf>
    <xf numFmtId="2" fontId="1" fillId="0" borderId="2" xfId="7" applyNumberFormat="1" applyBorder="1"/>
    <xf numFmtId="43" fontId="1" fillId="0" borderId="2" xfId="7" applyNumberFormat="1" applyBorder="1"/>
    <xf numFmtId="165" fontId="1" fillId="0" borderId="2" xfId="2" applyNumberFormat="1" applyFont="1" applyFill="1" applyBorder="1"/>
    <xf numFmtId="165" fontId="1" fillId="0" borderId="0" xfId="2" applyNumberFormat="1" applyFont="1" applyFill="1" applyBorder="1"/>
    <xf numFmtId="0" fontId="1" fillId="0" borderId="2" xfId="7" applyBorder="1"/>
    <xf numFmtId="167" fontId="1" fillId="0" borderId="2" xfId="1" applyNumberFormat="1" applyFont="1" applyFill="1" applyBorder="1"/>
    <xf numFmtId="167" fontId="1" fillId="0" borderId="0" xfId="1" applyNumberFormat="1" applyFont="1" applyFill="1" applyBorder="1"/>
    <xf numFmtId="168" fontId="1" fillId="0" borderId="2" xfId="1" applyNumberFormat="1" applyFont="1" applyFill="1" applyBorder="1"/>
    <xf numFmtId="168" fontId="1" fillId="0" borderId="0" xfId="1" applyNumberFormat="1" applyFont="1" applyFill="1" applyBorder="1"/>
    <xf numFmtId="14" fontId="12" fillId="0" borderId="5" xfId="7" applyNumberFormat="1" applyFont="1" applyBorder="1" applyAlignment="1">
      <alignment horizontal="right"/>
    </xf>
    <xf numFmtId="14" fontId="12" fillId="0" borderId="2" xfId="7" applyNumberFormat="1" applyFont="1" applyBorder="1" applyAlignment="1">
      <alignment horizontal="right"/>
    </xf>
    <xf numFmtId="168" fontId="24" fillId="0" borderId="0" xfId="10" applyNumberFormat="1" applyFont="1" applyFill="1" applyBorder="1"/>
    <xf numFmtId="169" fontId="12" fillId="0" borderId="0" xfId="11" applyNumberFormat="1" applyFont="1" applyFill="1" applyBorder="1"/>
    <xf numFmtId="169" fontId="24" fillId="0" borderId="0" xfId="11" applyNumberFormat="1" applyFont="1" applyFill="1"/>
    <xf numFmtId="169" fontId="22" fillId="0" borderId="2" xfId="7" applyNumberFormat="1" applyFont="1" applyBorder="1"/>
    <xf numFmtId="0" fontId="32" fillId="0" borderId="0" xfId="7" applyFont="1"/>
    <xf numFmtId="0" fontId="0" fillId="16" borderId="0" xfId="0" applyFill="1"/>
    <xf numFmtId="0" fontId="34" fillId="17" borderId="0" xfId="12" applyFont="1" applyFill="1" applyAlignment="1">
      <alignment vertical="center"/>
    </xf>
    <xf numFmtId="0" fontId="35" fillId="17" borderId="0" xfId="12" applyFont="1" applyFill="1"/>
    <xf numFmtId="0" fontId="36" fillId="17" borderId="0" xfId="12" applyFont="1" applyFill="1"/>
    <xf numFmtId="0" fontId="15" fillId="0" borderId="0" xfId="12"/>
    <xf numFmtId="0" fontId="37" fillId="0" borderId="17" xfId="12" applyFont="1" applyBorder="1"/>
    <xf numFmtId="0" fontId="39" fillId="0" borderId="0" xfId="13" applyFont="1" applyAlignment="1" applyProtection="1">
      <alignment horizontal="left"/>
    </xf>
    <xf numFmtId="0" fontId="16" fillId="0" borderId="0" xfId="12" applyFont="1" applyAlignment="1">
      <alignment horizontal="right"/>
    </xf>
    <xf numFmtId="0" fontId="42" fillId="0" borderId="0" xfId="12" applyFont="1" applyAlignment="1">
      <alignment horizontal="right"/>
    </xf>
    <xf numFmtId="0" fontId="43" fillId="0" borderId="0" xfId="12" applyFont="1" applyAlignment="1">
      <alignment horizontal="right"/>
    </xf>
    <xf numFmtId="0" fontId="15" fillId="0" borderId="0" xfId="12" applyAlignment="1">
      <alignment horizontal="right"/>
    </xf>
    <xf numFmtId="0" fontId="15" fillId="0" borderId="0" xfId="12" applyAlignment="1">
      <alignment horizontal="left"/>
    </xf>
    <xf numFmtId="0" fontId="44" fillId="17" borderId="17" xfId="12" applyFont="1" applyFill="1" applyBorder="1" applyAlignment="1">
      <alignment horizontal="left" vertical="center" indent="1"/>
    </xf>
    <xf numFmtId="0" fontId="45" fillId="17" borderId="17" xfId="12" applyFont="1" applyFill="1" applyBorder="1" applyAlignment="1">
      <alignment horizontal="left" vertical="center" indent="1"/>
    </xf>
    <xf numFmtId="0" fontId="36" fillId="0" borderId="0" xfId="12" applyFont="1"/>
    <xf numFmtId="0" fontId="45" fillId="17" borderId="17" xfId="12" applyFont="1" applyFill="1" applyBorder="1" applyAlignment="1">
      <alignment horizontal="center" wrapText="1"/>
    </xf>
    <xf numFmtId="0" fontId="15" fillId="6" borderId="0" xfId="12" applyFill="1"/>
    <xf numFmtId="0" fontId="46" fillId="6" borderId="0" xfId="12" applyFont="1" applyFill="1" applyAlignment="1">
      <alignment horizontal="right" indent="1"/>
    </xf>
    <xf numFmtId="44" fontId="46" fillId="0" borderId="20" xfId="11" applyFont="1" applyFill="1" applyBorder="1" applyProtection="1">
      <protection locked="0"/>
    </xf>
    <xf numFmtId="173" fontId="46" fillId="6" borderId="0" xfId="8" applyNumberFormat="1" applyFont="1" applyFill="1" applyProtection="1"/>
    <xf numFmtId="10" fontId="46" fillId="0" borderId="21" xfId="8" applyNumberFormat="1" applyFont="1" applyFill="1" applyBorder="1" applyProtection="1">
      <protection locked="0"/>
    </xf>
    <xf numFmtId="3" fontId="15" fillId="0" borderId="0" xfId="12" applyNumberFormat="1" applyAlignment="1">
      <alignment horizontal="center"/>
    </xf>
    <xf numFmtId="14" fontId="46" fillId="0" borderId="21" xfId="12" applyNumberFormat="1" applyFont="1" applyBorder="1" applyAlignment="1" applyProtection="1">
      <alignment horizontal="right"/>
      <protection locked="0"/>
    </xf>
    <xf numFmtId="0" fontId="46" fillId="0" borderId="21" xfId="12" applyFont="1" applyBorder="1" applyProtection="1">
      <protection locked="0"/>
    </xf>
    <xf numFmtId="0" fontId="46" fillId="0" borderId="0" xfId="12" applyFont="1" applyAlignment="1">
      <alignment horizontal="right" indent="1"/>
    </xf>
    <xf numFmtId="174" fontId="42" fillId="0" borderId="21" xfId="12" applyNumberFormat="1" applyFont="1" applyBorder="1"/>
    <xf numFmtId="0" fontId="42" fillId="0" borderId="0" xfId="12" applyFont="1"/>
    <xf numFmtId="0" fontId="16" fillId="5" borderId="0" xfId="12" applyFont="1" applyFill="1" applyAlignment="1">
      <alignment vertical="center"/>
    </xf>
    <xf numFmtId="0" fontId="44" fillId="17" borderId="22" xfId="12" applyFont="1" applyFill="1" applyBorder="1" applyAlignment="1">
      <alignment horizontal="center" wrapText="1"/>
    </xf>
    <xf numFmtId="0" fontId="44" fillId="17" borderId="22" xfId="12" applyFont="1" applyFill="1" applyBorder="1" applyAlignment="1">
      <alignment horizontal="right" wrapText="1"/>
    </xf>
    <xf numFmtId="0" fontId="48" fillId="0" borderId="0" xfId="12" applyFont="1" applyAlignment="1">
      <alignment horizontal="left" vertical="top" wrapText="1" readingOrder="1"/>
    </xf>
    <xf numFmtId="44" fontId="15" fillId="0" borderId="0" xfId="12" applyNumberFormat="1"/>
    <xf numFmtId="0" fontId="16" fillId="18" borderId="23" xfId="12" applyFont="1" applyFill="1" applyBorder="1" applyAlignment="1">
      <alignment horizontal="right"/>
    </xf>
    <xf numFmtId="14" fontId="16" fillId="18" borderId="23" xfId="12" applyNumberFormat="1" applyFont="1" applyFill="1" applyBorder="1" applyAlignment="1">
      <alignment horizontal="right"/>
    </xf>
    <xf numFmtId="2" fontId="16" fillId="18" borderId="23" xfId="12" applyNumberFormat="1" applyFont="1" applyFill="1" applyBorder="1" applyAlignment="1">
      <alignment horizontal="right"/>
    </xf>
    <xf numFmtId="2" fontId="16" fillId="19" borderId="23" xfId="12" applyNumberFormat="1" applyFont="1" applyFill="1" applyBorder="1" applyAlignment="1">
      <alignment horizontal="right"/>
    </xf>
    <xf numFmtId="4" fontId="16" fillId="18" borderId="23" xfId="12" applyNumberFormat="1" applyFont="1" applyFill="1" applyBorder="1"/>
    <xf numFmtId="4" fontId="15" fillId="0" borderId="0" xfId="12" applyNumberFormat="1"/>
    <xf numFmtId="0" fontId="16" fillId="0" borderId="0" xfId="12" applyFont="1" applyAlignment="1">
      <alignment horizontal="center"/>
    </xf>
    <xf numFmtId="175" fontId="16" fillId="19" borderId="0" xfId="12" applyNumberFormat="1" applyFont="1" applyFill="1" applyAlignment="1">
      <alignment horizontal="right"/>
    </xf>
    <xf numFmtId="4" fontId="16" fillId="19" borderId="0" xfId="12" applyNumberFormat="1" applyFont="1" applyFill="1" applyAlignment="1">
      <alignment horizontal="right"/>
    </xf>
    <xf numFmtId="4" fontId="16" fillId="0" borderId="0" xfId="12" applyNumberFormat="1" applyFont="1" applyAlignment="1">
      <alignment horizontal="right"/>
    </xf>
    <xf numFmtId="169" fontId="15" fillId="0" borderId="0" xfId="12" applyNumberFormat="1"/>
    <xf numFmtId="169" fontId="15" fillId="0" borderId="0" xfId="11" applyNumberFormat="1" applyAlignment="1">
      <alignment horizontal="right"/>
    </xf>
    <xf numFmtId="169" fontId="15" fillId="0" borderId="0" xfId="11" applyNumberFormat="1"/>
    <xf numFmtId="0" fontId="15" fillId="0" borderId="0" xfId="8" applyNumberFormat="1" applyFont="1" applyAlignment="1" applyProtection="1">
      <alignment horizontal="right"/>
    </xf>
    <xf numFmtId="3" fontId="15" fillId="0" borderId="0" xfId="12" applyNumberFormat="1"/>
    <xf numFmtId="164" fontId="15" fillId="0" borderId="0" xfId="8" applyNumberFormat="1" applyFont="1" applyProtection="1"/>
    <xf numFmtId="0" fontId="49" fillId="20" borderId="0" xfId="12" applyFont="1" applyFill="1"/>
    <xf numFmtId="0" fontId="15" fillId="20" borderId="0" xfId="12" applyFill="1"/>
    <xf numFmtId="169" fontId="46" fillId="6" borderId="0" xfId="12" applyNumberFormat="1" applyFont="1" applyFill="1"/>
    <xf numFmtId="0" fontId="50" fillId="0" borderId="0" xfId="14" applyFont="1"/>
    <xf numFmtId="0" fontId="52" fillId="0" borderId="0" xfId="15" applyFont="1" applyFill="1" applyBorder="1" applyAlignment="1">
      <alignment vertical="center" wrapText="1"/>
    </xf>
    <xf numFmtId="0" fontId="4" fillId="0" borderId="0" xfId="14"/>
    <xf numFmtId="0" fontId="55" fillId="0" borderId="25" xfId="16" applyFont="1" applyBorder="1" applyAlignment="1">
      <alignment horizontal="left" vertical="center" indent="1"/>
    </xf>
    <xf numFmtId="0" fontId="56" fillId="0" borderId="25" xfId="16" applyFont="1" applyBorder="1" applyAlignment="1">
      <alignment horizontal="left" vertical="center" indent="1"/>
    </xf>
    <xf numFmtId="0" fontId="54" fillId="0" borderId="25" xfId="16" applyBorder="1" applyAlignment="1">
      <alignment horizontal="left" vertical="center" indent="1"/>
    </xf>
    <xf numFmtId="0" fontId="54" fillId="0" borderId="0" xfId="16" applyBorder="1">
      <alignment vertical="center"/>
    </xf>
    <xf numFmtId="0" fontId="55" fillId="0" borderId="0" xfId="16" applyFont="1" applyFill="1" applyBorder="1">
      <alignment vertical="center"/>
    </xf>
    <xf numFmtId="0" fontId="54" fillId="0" borderId="0" xfId="16" applyFill="1" applyBorder="1">
      <alignment vertical="center"/>
    </xf>
    <xf numFmtId="176" fontId="59" fillId="0" borderId="29" xfId="18" applyFont="1" applyFill="1" applyBorder="1" applyAlignment="1">
      <alignment horizontal="right" vertical="center" indent="1"/>
    </xf>
    <xf numFmtId="10" fontId="59" fillId="0" borderId="32" xfId="20" applyFont="1" applyFill="1" applyBorder="1" applyAlignment="1">
      <alignment horizontal="right" vertical="center" indent="1"/>
    </xf>
    <xf numFmtId="1" fontId="59" fillId="0" borderId="32" xfId="21" applyFont="1" applyFill="1" applyBorder="1" applyAlignment="1">
      <alignment horizontal="right" vertical="center" indent="1"/>
    </xf>
    <xf numFmtId="0" fontId="1" fillId="0" borderId="28" xfId="17" applyFont="1" applyBorder="1">
      <alignment vertical="center"/>
    </xf>
    <xf numFmtId="14" fontId="59" fillId="0" borderId="34" xfId="22" applyFont="1" applyFill="1" applyBorder="1" applyAlignment="1">
      <alignment horizontal="right" vertical="center" indent="1"/>
    </xf>
    <xf numFmtId="0" fontId="60" fillId="0" borderId="0" xfId="17" applyFont="1" applyBorder="1">
      <alignment vertical="center"/>
    </xf>
    <xf numFmtId="14" fontId="61" fillId="0" borderId="0" xfId="22" applyFont="1" applyFill="1" applyBorder="1" applyAlignment="1">
      <alignment horizontal="right" indent="1"/>
    </xf>
    <xf numFmtId="0" fontId="62" fillId="0" borderId="0" xfId="17" applyFont="1" applyBorder="1">
      <alignment vertical="center"/>
    </xf>
    <xf numFmtId="176" fontId="1" fillId="0" borderId="0" xfId="18" applyFont="1" applyFill="1" applyBorder="1" applyAlignment="1">
      <alignment horizontal="right" vertical="center" indent="1"/>
    </xf>
    <xf numFmtId="0" fontId="12" fillId="0" borderId="0" xfId="14" applyFont="1"/>
    <xf numFmtId="0" fontId="4" fillId="0" borderId="37" xfId="14" applyBorder="1"/>
    <xf numFmtId="0" fontId="4" fillId="0" borderId="25" xfId="14" applyBorder="1" applyAlignment="1">
      <alignment vertical="center"/>
    </xf>
    <xf numFmtId="0" fontId="65" fillId="0" borderId="0" xfId="24" applyFont="1" applyFill="1">
      <alignment horizontal="center" vertical="center" wrapText="1"/>
    </xf>
    <xf numFmtId="1" fontId="12" fillId="0" borderId="0" xfId="21" applyFont="1" applyFill="1" applyBorder="1" applyAlignment="1">
      <alignment horizontal="center" vertical="center"/>
    </xf>
    <xf numFmtId="14" fontId="12" fillId="0" borderId="0" xfId="22" applyFont="1" applyFill="1" applyBorder="1" applyAlignment="1">
      <alignment horizontal="center" vertical="center"/>
    </xf>
    <xf numFmtId="176" fontId="12" fillId="0" borderId="0" xfId="25" applyFont="1" applyFill="1" applyBorder="1" applyAlignment="1">
      <alignment horizontal="right" vertical="center" indent="2"/>
    </xf>
    <xf numFmtId="176" fontId="12" fillId="0" borderId="0" xfId="25" applyFont="1" applyFill="1" applyBorder="1" applyAlignment="1">
      <alignment horizontal="center" vertical="center"/>
    </xf>
    <xf numFmtId="176" fontId="12" fillId="0" borderId="0" xfId="25" applyFont="1" applyFill="1" applyBorder="1" applyAlignment="1">
      <alignment horizontal="right" vertical="center" indent="3"/>
    </xf>
    <xf numFmtId="0" fontId="53" fillId="0" borderId="0" xfId="15" applyFont="1" applyFill="1" applyBorder="1" applyAlignment="1">
      <alignment horizontal="left" vertical="center" wrapText="1"/>
    </xf>
    <xf numFmtId="176" fontId="59" fillId="0" borderId="0" xfId="19" applyNumberFormat="1" applyFont="1" applyFill="1" applyAlignment="1">
      <alignment horizontal="right" vertical="center" indent="1"/>
    </xf>
    <xf numFmtId="1" fontId="59" fillId="0" borderId="0" xfId="21" applyFont="1" applyFill="1" applyBorder="1" applyAlignment="1">
      <alignment horizontal="right" vertical="center" indent="1"/>
    </xf>
    <xf numFmtId="176" fontId="58" fillId="0" borderId="0" xfId="19" applyNumberFormat="1" applyFont="1" applyFill="1" applyAlignment="1">
      <alignment horizontal="right" indent="1"/>
    </xf>
    <xf numFmtId="0" fontId="1" fillId="0" borderId="0" xfId="23" applyFont="1" applyFill="1" applyBorder="1" applyAlignment="1">
      <alignment horizontal="right" vertical="center" indent="1"/>
    </xf>
    <xf numFmtId="0" fontId="12" fillId="0" borderId="0" xfId="1" applyNumberFormat="1" applyFont="1" applyFill="1" applyBorder="1" applyAlignment="1">
      <alignment horizontal="right" indent="2"/>
    </xf>
    <xf numFmtId="0" fontId="12" fillId="0" borderId="0" xfId="25" applyNumberFormat="1" applyFont="1" applyFill="1" applyBorder="1">
      <alignment horizontal="right" indent="2"/>
    </xf>
    <xf numFmtId="0" fontId="0" fillId="0" borderId="0" xfId="0" pivotButton="1"/>
    <xf numFmtId="0" fontId="0" fillId="0" borderId="0" xfId="0" applyAlignment="1">
      <alignment horizontal="left"/>
    </xf>
    <xf numFmtId="177" fontId="0" fillId="0" borderId="0" xfId="0" applyNumberFormat="1"/>
    <xf numFmtId="14" fontId="12" fillId="0" borderId="0" xfId="7" applyNumberFormat="1" applyFont="1" applyAlignment="1">
      <alignment horizontal="right"/>
    </xf>
    <xf numFmtId="37" fontId="12" fillId="0" borderId="0" xfId="7" applyNumberFormat="1" applyFont="1" applyAlignment="1">
      <alignment horizontal="right"/>
    </xf>
    <xf numFmtId="171" fontId="17" fillId="0" borderId="0" xfId="7" applyNumberFormat="1" applyFont="1" applyAlignment="1">
      <alignment horizontal="right"/>
    </xf>
    <xf numFmtId="170" fontId="12" fillId="0" borderId="0" xfId="7" applyNumberFormat="1" applyFont="1" applyAlignment="1">
      <alignment horizontal="right"/>
    </xf>
    <xf numFmtId="170" fontId="11" fillId="0" borderId="0" xfId="7" applyNumberFormat="1" applyFont="1" applyAlignment="1">
      <alignment horizontal="right"/>
    </xf>
    <xf numFmtId="0" fontId="0" fillId="17" borderId="0" xfId="0" applyFill="1"/>
    <xf numFmtId="169" fontId="0" fillId="0" borderId="0" xfId="6" applyNumberFormat="1" applyFont="1"/>
    <xf numFmtId="9" fontId="0" fillId="0" borderId="0" xfId="2" applyFont="1"/>
    <xf numFmtId="9" fontId="12" fillId="14" borderId="2" xfId="2" applyFont="1" applyFill="1" applyBorder="1"/>
    <xf numFmtId="10" fontId="12" fillId="6" borderId="0" xfId="9" applyNumberFormat="1" applyFont="1" applyFill="1"/>
    <xf numFmtId="168" fontId="0" fillId="0" borderId="0" xfId="0" applyNumberFormat="1"/>
    <xf numFmtId="165" fontId="0" fillId="0" borderId="0" xfId="2" applyNumberFormat="1" applyFont="1"/>
    <xf numFmtId="2" fontId="0" fillId="0" borderId="0" xfId="0" applyNumberFormat="1"/>
    <xf numFmtId="43" fontId="12" fillId="0" borderId="10" xfId="1" applyFont="1" applyFill="1" applyBorder="1" applyAlignment="1">
      <alignment horizontal="right"/>
    </xf>
    <xf numFmtId="168" fontId="12" fillId="0" borderId="23" xfId="10" applyNumberFormat="1" applyFont="1" applyFill="1" applyBorder="1"/>
    <xf numFmtId="0" fontId="12" fillId="0" borderId="43" xfId="9" applyFont="1" applyBorder="1"/>
    <xf numFmtId="168" fontId="12" fillId="0" borderId="42" xfId="1" applyNumberFormat="1" applyFont="1" applyFill="1" applyBorder="1" applyAlignment="1">
      <alignment horizontal="right"/>
    </xf>
    <xf numFmtId="165" fontId="1" fillId="0" borderId="0" xfId="2" applyNumberFormat="1" applyFont="1" applyBorder="1"/>
    <xf numFmtId="0" fontId="12" fillId="0" borderId="23" xfId="9" applyFont="1" applyBorder="1" applyAlignment="1">
      <alignment horizontal="left" indent="2"/>
    </xf>
    <xf numFmtId="0" fontId="22" fillId="0" borderId="23" xfId="7" applyFont="1" applyBorder="1"/>
    <xf numFmtId="0" fontId="12" fillId="0" borderId="23" xfId="9" applyFont="1" applyBorder="1" applyAlignment="1">
      <alignment horizontal="right"/>
    </xf>
    <xf numFmtId="168" fontId="12" fillId="15" borderId="23" xfId="10" applyNumberFormat="1" applyFont="1" applyFill="1" applyBorder="1"/>
    <xf numFmtId="169" fontId="0" fillId="6" borderId="0" xfId="6" applyNumberFormat="1" applyFont="1" applyFill="1"/>
    <xf numFmtId="0" fontId="3" fillId="2" borderId="0" xfId="0" applyFont="1" applyFill="1" applyAlignment="1">
      <alignment vertical="center"/>
    </xf>
    <xf numFmtId="9" fontId="4" fillId="15" borderId="0" xfId="2" applyFont="1" applyFill="1"/>
    <xf numFmtId="0" fontId="1" fillId="0" borderId="23" xfId="7" applyBorder="1"/>
    <xf numFmtId="0" fontId="24" fillId="0" borderId="23" xfId="9" applyFont="1" applyBorder="1" applyAlignment="1">
      <alignment horizontal="right"/>
    </xf>
    <xf numFmtId="0" fontId="9" fillId="0" borderId="0" xfId="4" applyFill="1"/>
    <xf numFmtId="0" fontId="1" fillId="0" borderId="0" xfId="5" applyFill="1"/>
    <xf numFmtId="0" fontId="12" fillId="0" borderId="0" xfId="4" applyFont="1" applyFill="1"/>
    <xf numFmtId="3" fontId="0" fillId="6" borderId="0" xfId="0" applyNumberFormat="1" applyFill="1"/>
    <xf numFmtId="43" fontId="0" fillId="8" borderId="0" xfId="3" applyNumberFormat="1" applyFont="1" applyBorder="1"/>
    <xf numFmtId="3" fontId="0" fillId="8" borderId="0" xfId="3" applyNumberFormat="1" applyFont="1"/>
    <xf numFmtId="43" fontId="0" fillId="5" borderId="0" xfId="3" applyNumberFormat="1" applyFont="1" applyFill="1" applyBorder="1"/>
    <xf numFmtId="0" fontId="0" fillId="8" borderId="0" xfId="3" applyFont="1"/>
    <xf numFmtId="165" fontId="6" fillId="0" borderId="0" xfId="2" applyNumberFormat="1" applyFont="1"/>
    <xf numFmtId="0" fontId="1" fillId="0" borderId="3" xfId="7" applyBorder="1" applyAlignment="1">
      <alignment horizontal="center"/>
    </xf>
    <xf numFmtId="169" fontId="1" fillId="0" borderId="0" xfId="6" applyNumberFormat="1" applyFont="1" applyBorder="1" applyAlignment="1">
      <alignment horizontal="center"/>
    </xf>
    <xf numFmtId="169" fontId="1" fillId="0" borderId="0" xfId="6" applyNumberFormat="1" applyFont="1" applyAlignment="1">
      <alignment horizontal="center"/>
    </xf>
    <xf numFmtId="169" fontId="1" fillId="0" borderId="0" xfId="6" applyNumberFormat="1" applyFont="1" applyFill="1" applyAlignment="1">
      <alignment horizontal="center"/>
    </xf>
    <xf numFmtId="169" fontId="1" fillId="0" borderId="0" xfId="6" applyNumberFormat="1" applyFont="1" applyFill="1" applyBorder="1" applyAlignment="1">
      <alignment horizontal="center"/>
    </xf>
    <xf numFmtId="9" fontId="1" fillId="0" borderId="0" xfId="2" applyFont="1" applyBorder="1" applyAlignment="1">
      <alignment horizontal="center"/>
    </xf>
    <xf numFmtId="168" fontId="1" fillId="0" borderId="0" xfId="1" applyNumberFormat="1" applyFont="1" applyBorder="1"/>
    <xf numFmtId="0" fontId="12" fillId="0" borderId="23" xfId="9" applyFont="1" applyBorder="1"/>
    <xf numFmtId="0" fontId="0" fillId="0" borderId="16" xfId="0" applyBorder="1"/>
    <xf numFmtId="0" fontId="0" fillId="0" borderId="4" xfId="0" applyBorder="1"/>
    <xf numFmtId="0" fontId="3" fillId="2" borderId="4" xfId="0" applyFont="1" applyFill="1" applyBorder="1" applyAlignment="1">
      <alignment horizontal="center"/>
    </xf>
    <xf numFmtId="0" fontId="0" fillId="3" borderId="4" xfId="0" applyFill="1" applyBorder="1"/>
    <xf numFmtId="0" fontId="3" fillId="2" borderId="16" xfId="0" applyFont="1" applyFill="1" applyBorder="1" applyAlignment="1">
      <alignment horizontal="center"/>
    </xf>
    <xf numFmtId="0" fontId="0" fillId="3" borderId="16" xfId="0" applyFill="1" applyBorder="1"/>
    <xf numFmtId="43" fontId="6" fillId="0" borderId="0" xfId="1" applyFont="1" applyBorder="1"/>
    <xf numFmtId="43" fontId="7" fillId="3" borderId="0" xfId="0" applyNumberFormat="1" applyFont="1" applyFill="1"/>
    <xf numFmtId="43" fontId="7" fillId="3" borderId="16" xfId="0" applyNumberFormat="1" applyFont="1" applyFill="1" applyBorder="1"/>
    <xf numFmtId="43" fontId="0" fillId="0" borderId="16" xfId="0" applyNumberFormat="1" applyBorder="1"/>
    <xf numFmtId="43" fontId="7" fillId="3" borderId="0" xfId="1" applyFont="1" applyFill="1" applyBorder="1"/>
    <xf numFmtId="43" fontId="7" fillId="3" borderId="16" xfId="1" applyFont="1" applyFill="1" applyBorder="1"/>
    <xf numFmtId="9" fontId="0" fillId="0" borderId="0" xfId="2" applyFont="1" applyBorder="1"/>
    <xf numFmtId="9" fontId="0" fillId="0" borderId="16" xfId="2" applyFont="1" applyBorder="1"/>
    <xf numFmtId="165" fontId="6" fillId="0" borderId="0" xfId="2" applyNumberFormat="1" applyFont="1" applyBorder="1"/>
    <xf numFmtId="165" fontId="6" fillId="0" borderId="16" xfId="2" applyNumberFormat="1" applyFont="1" applyBorder="1"/>
    <xf numFmtId="43" fontId="6" fillId="0" borderId="4" xfId="1" applyFont="1" applyBorder="1"/>
    <xf numFmtId="43" fontId="7" fillId="3" borderId="4" xfId="0" applyNumberFormat="1" applyFont="1" applyFill="1" applyBorder="1"/>
    <xf numFmtId="43" fontId="7" fillId="3" borderId="4" xfId="1" applyFont="1" applyFill="1" applyBorder="1"/>
    <xf numFmtId="9" fontId="0" fillId="0" borderId="4" xfId="2" applyFont="1" applyBorder="1"/>
    <xf numFmtId="165" fontId="6" fillId="0" borderId="4" xfId="2" applyNumberFormat="1" applyFont="1" applyBorder="1"/>
    <xf numFmtId="0" fontId="69" fillId="24" borderId="0" xfId="0" applyFont="1" applyFill="1" applyAlignment="1">
      <alignment horizontal="right"/>
    </xf>
    <xf numFmtId="9" fontId="62" fillId="24" borderId="0" xfId="2" applyFont="1" applyFill="1"/>
    <xf numFmtId="0" fontId="0" fillId="0" borderId="0" xfId="0" applyAlignment="1">
      <alignment horizontal="right"/>
    </xf>
    <xf numFmtId="169" fontId="0" fillId="25" borderId="0" xfId="6" applyNumberFormat="1" applyFont="1" applyFill="1"/>
    <xf numFmtId="169" fontId="0" fillId="0" borderId="0" xfId="6" applyNumberFormat="1" applyFont="1" applyFill="1"/>
    <xf numFmtId="9" fontId="62" fillId="25" borderId="0" xfId="2" applyFont="1" applyFill="1"/>
    <xf numFmtId="9" fontId="62" fillId="0" borderId="0" xfId="2" applyFont="1" applyFill="1"/>
    <xf numFmtId="169" fontId="0" fillId="0" borderId="0" xfId="0" applyNumberFormat="1"/>
    <xf numFmtId="0" fontId="0" fillId="0" borderId="23" xfId="0" applyBorder="1" applyAlignment="1">
      <alignment horizontal="right"/>
    </xf>
    <xf numFmtId="169" fontId="0" fillId="25" borderId="23" xfId="6" applyNumberFormat="1" applyFont="1" applyFill="1" applyBorder="1"/>
    <xf numFmtId="169" fontId="0" fillId="0" borderId="23" xfId="6" applyNumberFormat="1" applyFont="1" applyFill="1" applyBorder="1"/>
    <xf numFmtId="0" fontId="0" fillId="0" borderId="7" xfId="0" applyBorder="1" applyAlignment="1">
      <alignment horizontal="right"/>
    </xf>
    <xf numFmtId="169" fontId="0" fillId="25" borderId="7" xfId="6" applyNumberFormat="1" applyFont="1" applyFill="1" applyBorder="1"/>
    <xf numFmtId="169" fontId="0" fillId="0" borderId="7" xfId="6" applyNumberFormat="1" applyFont="1" applyFill="1" applyBorder="1"/>
    <xf numFmtId="0" fontId="0" fillId="0" borderId="0" xfId="7" applyFont="1" applyAlignment="1">
      <alignment horizontal="right"/>
    </xf>
    <xf numFmtId="2" fontId="0" fillId="25" borderId="0" xfId="0" applyNumberFormat="1" applyFill="1"/>
    <xf numFmtId="167" fontId="0" fillId="25" borderId="0" xfId="0" applyNumberFormat="1" applyFill="1"/>
    <xf numFmtId="167" fontId="0" fillId="0" borderId="0" xfId="0" applyNumberFormat="1"/>
    <xf numFmtId="0" fontId="0" fillId="25" borderId="0" xfId="0" applyFill="1"/>
    <xf numFmtId="169" fontId="0" fillId="25" borderId="0" xfId="0" applyNumberFormat="1" applyFill="1"/>
    <xf numFmtId="0" fontId="4" fillId="0" borderId="0" xfId="9" applyFont="1" applyAlignment="1">
      <alignment horizontal="right"/>
    </xf>
    <xf numFmtId="177" fontId="0" fillId="25" borderId="0" xfId="0" applyNumberFormat="1" applyFill="1"/>
    <xf numFmtId="177" fontId="0" fillId="0" borderId="4" xfId="0" applyNumberFormat="1" applyBorder="1"/>
    <xf numFmtId="0" fontId="69" fillId="24" borderId="0" xfId="7" applyFont="1" applyFill="1" applyAlignment="1">
      <alignment horizontal="right"/>
    </xf>
    <xf numFmtId="0" fontId="0" fillId="24" borderId="0" xfId="0" applyFill="1"/>
    <xf numFmtId="0" fontId="0" fillId="24" borderId="4" xfId="0" applyFill="1" applyBorder="1"/>
    <xf numFmtId="169" fontId="0" fillId="0" borderId="4" xfId="0" applyNumberFormat="1" applyBorder="1"/>
    <xf numFmtId="0" fontId="0" fillId="0" borderId="23" xfId="7" applyFont="1" applyBorder="1" applyAlignment="1">
      <alignment horizontal="right"/>
    </xf>
    <xf numFmtId="43" fontId="0" fillId="25" borderId="0" xfId="0" applyNumberFormat="1" applyFill="1"/>
    <xf numFmtId="0" fontId="6" fillId="0" borderId="0" xfId="0" applyFont="1" applyAlignment="1">
      <alignment horizontal="center"/>
    </xf>
    <xf numFmtId="0" fontId="6" fillId="0" borderId="0" xfId="0" applyFont="1"/>
    <xf numFmtId="2" fontId="6" fillId="0" borderId="0" xfId="0" applyNumberFormat="1" applyFont="1" applyAlignment="1">
      <alignment horizontal="center"/>
    </xf>
    <xf numFmtId="6" fontId="6" fillId="0" borderId="0" xfId="0" applyNumberFormat="1" applyFont="1" applyAlignment="1">
      <alignment horizontal="center"/>
    </xf>
    <xf numFmtId="169" fontId="6" fillId="0" borderId="0" xfId="6" applyNumberFormat="1" applyFont="1"/>
    <xf numFmtId="9" fontId="6" fillId="0" borderId="0" xfId="2" applyFont="1" applyAlignment="1">
      <alignment horizontal="center"/>
    </xf>
    <xf numFmtId="167" fontId="6" fillId="0" borderId="0" xfId="1" applyNumberFormat="1" applyFont="1" applyAlignment="1">
      <alignment horizontal="center"/>
    </xf>
    <xf numFmtId="167" fontId="0" fillId="0" borderId="0" xfId="1" applyNumberFormat="1" applyFont="1"/>
    <xf numFmtId="1" fontId="6" fillId="0" borderId="0" xfId="1" applyNumberFormat="1" applyFont="1" applyAlignment="1">
      <alignment horizontal="center"/>
    </xf>
    <xf numFmtId="2" fontId="1" fillId="0" borderId="3" xfId="7" applyNumberFormat="1" applyBorder="1"/>
    <xf numFmtId="43" fontId="1" fillId="0" borderId="0" xfId="7" applyNumberFormat="1"/>
    <xf numFmtId="43" fontId="1" fillId="0" borderId="3" xfId="7" applyNumberFormat="1" applyBorder="1"/>
    <xf numFmtId="165" fontId="1" fillId="0" borderId="2" xfId="2" applyNumberFormat="1" applyFont="1" applyBorder="1"/>
    <xf numFmtId="165" fontId="1" fillId="0" borderId="3" xfId="2" applyNumberFormat="1" applyFont="1" applyBorder="1"/>
    <xf numFmtId="0" fontId="1" fillId="0" borderId="3" xfId="7" applyBorder="1"/>
    <xf numFmtId="167" fontId="1" fillId="0" borderId="2" xfId="1" applyNumberFormat="1" applyFont="1" applyBorder="1"/>
    <xf numFmtId="167" fontId="1" fillId="0" borderId="0" xfId="1" applyNumberFormat="1" applyFont="1" applyBorder="1"/>
    <xf numFmtId="167" fontId="1" fillId="0" borderId="3" xfId="1" applyNumberFormat="1" applyFont="1" applyBorder="1"/>
    <xf numFmtId="168" fontId="1" fillId="0" borderId="2" xfId="1" applyNumberFormat="1" applyFont="1" applyBorder="1"/>
    <xf numFmtId="168" fontId="1" fillId="0" borderId="3" xfId="1" applyNumberFormat="1" applyFont="1" applyBorder="1"/>
    <xf numFmtId="9" fontId="1" fillId="0" borderId="23" xfId="7" applyNumberFormat="1" applyBorder="1"/>
    <xf numFmtId="14" fontId="11" fillId="0" borderId="23" xfId="7" applyNumberFormat="1" applyFont="1" applyBorder="1"/>
    <xf numFmtId="14" fontId="12" fillId="0" borderId="23" xfId="7" applyNumberFormat="1" applyFont="1" applyBorder="1" applyAlignment="1">
      <alignment horizontal="right"/>
    </xf>
    <xf numFmtId="14" fontId="12" fillId="0" borderId="6" xfId="7" applyNumberFormat="1" applyFont="1" applyBorder="1" applyAlignment="1">
      <alignment horizontal="right"/>
    </xf>
    <xf numFmtId="14" fontId="12" fillId="0" borderId="3" xfId="7" applyNumberFormat="1" applyFont="1" applyBorder="1" applyAlignment="1">
      <alignment horizontal="right"/>
    </xf>
    <xf numFmtId="10" fontId="14" fillId="13" borderId="0" xfId="8" applyNumberFormat="1" applyFont="1" applyFill="1" applyBorder="1"/>
    <xf numFmtId="10" fontId="14" fillId="13" borderId="3" xfId="8" applyNumberFormat="1" applyFont="1" applyFill="1" applyBorder="1"/>
    <xf numFmtId="0" fontId="12" fillId="0" borderId="44" xfId="9" applyFont="1" applyBorder="1"/>
    <xf numFmtId="165" fontId="12" fillId="0" borderId="7" xfId="8" applyNumberFormat="1" applyFont="1" applyFill="1" applyBorder="1"/>
    <xf numFmtId="165" fontId="12" fillId="0" borderId="7" xfId="9" applyNumberFormat="1" applyFont="1" applyBorder="1"/>
    <xf numFmtId="44" fontId="12" fillId="0" borderId="7" xfId="6" applyFont="1" applyFill="1" applyBorder="1"/>
    <xf numFmtId="165" fontId="12" fillId="0" borderId="8" xfId="9" applyNumberFormat="1" applyFont="1" applyBorder="1"/>
    <xf numFmtId="168" fontId="12" fillId="0" borderId="2" xfId="1" applyNumberFormat="1" applyFont="1" applyBorder="1" applyAlignment="1">
      <alignment horizontal="right"/>
    </xf>
    <xf numFmtId="43" fontId="12" fillId="0" borderId="0" xfId="1" applyFont="1" applyAlignment="1">
      <alignment horizontal="right"/>
    </xf>
    <xf numFmtId="43" fontId="12" fillId="0" borderId="0" xfId="1" applyFont="1" applyBorder="1" applyAlignment="1">
      <alignment horizontal="right"/>
    </xf>
    <xf numFmtId="168" fontId="12" fillId="15" borderId="2" xfId="10" applyNumberFormat="1" applyFont="1" applyFill="1" applyBorder="1"/>
    <xf numFmtId="168" fontId="12" fillId="0" borderId="0" xfId="10" applyNumberFormat="1" applyFont="1"/>
    <xf numFmtId="168" fontId="12" fillId="15" borderId="3" xfId="10" applyNumberFormat="1" applyFont="1" applyFill="1" applyBorder="1"/>
    <xf numFmtId="164" fontId="1" fillId="0" borderId="23" xfId="8" applyNumberFormat="1" applyFont="1" applyBorder="1"/>
    <xf numFmtId="168" fontId="12" fillId="15" borderId="5" xfId="10" applyNumberFormat="1" applyFont="1" applyFill="1" applyBorder="1"/>
    <xf numFmtId="168" fontId="12" fillId="0" borderId="23" xfId="10" applyNumberFormat="1" applyFont="1" applyBorder="1"/>
    <xf numFmtId="168" fontId="12" fillId="15" borderId="6" xfId="10" applyNumberFormat="1" applyFont="1" applyFill="1" applyBorder="1"/>
    <xf numFmtId="168" fontId="19" fillId="15" borderId="2" xfId="10" applyNumberFormat="1" applyFont="1" applyFill="1" applyBorder="1"/>
    <xf numFmtId="168" fontId="19" fillId="15" borderId="0" xfId="10" applyNumberFormat="1" applyFont="1" applyFill="1" applyBorder="1"/>
    <xf numFmtId="168" fontId="19" fillId="15" borderId="3" xfId="10" applyNumberFormat="1" applyFont="1" applyFill="1" applyBorder="1"/>
    <xf numFmtId="9" fontId="21" fillId="15" borderId="2" xfId="2" applyFont="1" applyFill="1" applyBorder="1"/>
    <xf numFmtId="9" fontId="21" fillId="15" borderId="0" xfId="2" applyFont="1" applyFill="1"/>
    <xf numFmtId="9" fontId="21" fillId="15" borderId="0" xfId="2" applyFont="1" applyFill="1" applyBorder="1"/>
    <xf numFmtId="9" fontId="21" fillId="0" borderId="0" xfId="2" applyFont="1"/>
    <xf numFmtId="9" fontId="21" fillId="15" borderId="3" xfId="2" applyFont="1" applyFill="1" applyBorder="1"/>
    <xf numFmtId="168" fontId="21" fillId="15" borderId="2" xfId="2" applyNumberFormat="1" applyFont="1" applyFill="1" applyBorder="1"/>
    <xf numFmtId="169" fontId="21" fillId="15" borderId="0" xfId="6" applyNumberFormat="1" applyFont="1" applyFill="1"/>
    <xf numFmtId="169" fontId="21" fillId="15" borderId="0" xfId="6" applyNumberFormat="1" applyFont="1" applyFill="1" applyBorder="1"/>
    <xf numFmtId="169" fontId="21" fillId="0" borderId="0" xfId="6" applyNumberFormat="1" applyFont="1"/>
    <xf numFmtId="169" fontId="21" fillId="15" borderId="3" xfId="6" applyNumberFormat="1" applyFont="1" applyFill="1" applyBorder="1"/>
    <xf numFmtId="43" fontId="12" fillId="0" borderId="0" xfId="10" applyFont="1"/>
    <xf numFmtId="9" fontId="1" fillId="0" borderId="0" xfId="2" applyFont="1"/>
    <xf numFmtId="10" fontId="1" fillId="14" borderId="0" xfId="7" applyNumberFormat="1" applyFill="1"/>
    <xf numFmtId="43" fontId="12" fillId="15" borderId="23" xfId="10" applyFont="1" applyFill="1" applyBorder="1"/>
    <xf numFmtId="168" fontId="24" fillId="15" borderId="2" xfId="10" applyNumberFormat="1" applyFont="1" applyFill="1" applyBorder="1"/>
    <xf numFmtId="168" fontId="24" fillId="15" borderId="0" xfId="10" applyNumberFormat="1" applyFont="1" applyFill="1" applyBorder="1"/>
    <xf numFmtId="168" fontId="24" fillId="15" borderId="3" xfId="10" applyNumberFormat="1" applyFont="1" applyFill="1" applyBorder="1"/>
    <xf numFmtId="168" fontId="25" fillId="0" borderId="0" xfId="7" applyNumberFormat="1" applyFont="1"/>
    <xf numFmtId="9" fontId="12" fillId="15" borderId="0" xfId="2" applyFont="1" applyFill="1"/>
    <xf numFmtId="9" fontId="12" fillId="15" borderId="2" xfId="2" applyFont="1" applyFill="1" applyBorder="1"/>
    <xf numFmtId="9" fontId="12" fillId="15" borderId="0" xfId="2" applyFont="1" applyFill="1" applyBorder="1"/>
    <xf numFmtId="9" fontId="12" fillId="15" borderId="3" xfId="2" applyFont="1" applyFill="1" applyBorder="1"/>
    <xf numFmtId="0" fontId="12" fillId="15" borderId="2" xfId="9" applyFont="1" applyFill="1" applyBorder="1"/>
    <xf numFmtId="0" fontId="12" fillId="15" borderId="3" xfId="9" applyFont="1" applyFill="1" applyBorder="1"/>
    <xf numFmtId="168" fontId="12" fillId="15" borderId="0" xfId="9" applyNumberFormat="1" applyFont="1" applyFill="1"/>
    <xf numFmtId="9" fontId="22" fillId="0" borderId="23" xfId="7" applyNumberFormat="1" applyFont="1" applyBorder="1"/>
    <xf numFmtId="3" fontId="12" fillId="15" borderId="23" xfId="9" applyNumberFormat="1" applyFont="1" applyFill="1" applyBorder="1"/>
    <xf numFmtId="3" fontId="12" fillId="15" borderId="5" xfId="9" applyNumberFormat="1" applyFont="1" applyFill="1" applyBorder="1"/>
    <xf numFmtId="3" fontId="12" fillId="0" borderId="23" xfId="9" applyNumberFormat="1" applyFont="1" applyBorder="1"/>
    <xf numFmtId="3" fontId="12" fillId="15" borderId="6" xfId="9" applyNumberFormat="1" applyFont="1" applyFill="1" applyBorder="1"/>
    <xf numFmtId="3" fontId="1" fillId="0" borderId="9" xfId="10" applyNumberFormat="1" applyFont="1" applyFill="1" applyBorder="1"/>
    <xf numFmtId="3" fontId="1" fillId="0" borderId="0" xfId="7" applyNumberFormat="1"/>
    <xf numFmtId="9" fontId="22" fillId="0" borderId="0" xfId="7" applyNumberFormat="1" applyFont="1"/>
    <xf numFmtId="3" fontId="12" fillId="15" borderId="0" xfId="9" applyNumberFormat="1" applyFont="1" applyFill="1"/>
    <xf numFmtId="3" fontId="12" fillId="15" borderId="2" xfId="9" applyNumberFormat="1" applyFont="1" applyFill="1" applyBorder="1"/>
    <xf numFmtId="3" fontId="12" fillId="0" borderId="0" xfId="9" applyNumberFormat="1" applyFont="1"/>
    <xf numFmtId="3" fontId="12" fillId="15" borderId="3" xfId="9" applyNumberFormat="1" applyFont="1" applyFill="1" applyBorder="1"/>
    <xf numFmtId="3" fontId="1" fillId="0" borderId="4" xfId="10" applyNumberFormat="1" applyFont="1" applyFill="1" applyBorder="1"/>
    <xf numFmtId="8" fontId="12" fillId="15" borderId="2" xfId="9" applyNumberFormat="1" applyFont="1" applyFill="1" applyBorder="1"/>
    <xf numFmtId="8" fontId="12" fillId="15" borderId="0" xfId="9" applyNumberFormat="1" applyFont="1" applyFill="1"/>
    <xf numFmtId="0" fontId="22" fillId="15" borderId="3" xfId="7" applyFont="1" applyFill="1" applyBorder="1"/>
    <xf numFmtId="168" fontId="22" fillId="15" borderId="3" xfId="7" applyNumberFormat="1" applyFont="1" applyFill="1" applyBorder="1"/>
    <xf numFmtId="43" fontId="17" fillId="15" borderId="3" xfId="10" applyFont="1" applyFill="1" applyBorder="1" applyAlignment="1">
      <alignment horizontal="right"/>
    </xf>
    <xf numFmtId="0" fontId="12" fillId="0" borderId="23" xfId="9" applyFont="1" applyBorder="1" applyAlignment="1">
      <alignment horizontal="left" indent="1"/>
    </xf>
    <xf numFmtId="43" fontId="1" fillId="15" borderId="23" xfId="10" applyFont="1" applyFill="1" applyBorder="1"/>
    <xf numFmtId="43" fontId="1" fillId="0" borderId="23" xfId="10" applyFont="1" applyFill="1" applyBorder="1"/>
    <xf numFmtId="168" fontId="1" fillId="15" borderId="6" xfId="10" applyNumberFormat="1" applyFont="1" applyFill="1" applyBorder="1"/>
    <xf numFmtId="43" fontId="12" fillId="15" borderId="2" xfId="10" applyFont="1" applyFill="1" applyBorder="1"/>
    <xf numFmtId="43" fontId="12" fillId="15" borderId="0" xfId="10" applyFont="1" applyFill="1" applyBorder="1"/>
    <xf numFmtId="43" fontId="12" fillId="15" borderId="3" xfId="10" applyFont="1" applyFill="1" applyBorder="1"/>
    <xf numFmtId="10" fontId="12" fillId="0" borderId="0" xfId="9" applyNumberFormat="1" applyFont="1"/>
    <xf numFmtId="166" fontId="29" fillId="15" borderId="2" xfId="10" applyNumberFormat="1" applyFont="1" applyFill="1" applyBorder="1" applyAlignment="1">
      <alignment horizontal="right"/>
    </xf>
    <xf numFmtId="43" fontId="29" fillId="0" borderId="0" xfId="10" applyFont="1" applyBorder="1" applyAlignment="1">
      <alignment horizontal="right"/>
    </xf>
    <xf numFmtId="43" fontId="29" fillId="15" borderId="3" xfId="10" applyFont="1" applyFill="1" applyBorder="1" applyAlignment="1">
      <alignment horizontal="right"/>
    </xf>
    <xf numFmtId="37" fontId="12" fillId="15" borderId="2" xfId="7" applyNumberFormat="1" applyFont="1" applyFill="1" applyBorder="1" applyAlignment="1">
      <alignment horizontal="right"/>
    </xf>
    <xf numFmtId="37" fontId="12" fillId="15" borderId="3" xfId="7" applyNumberFormat="1" applyFont="1" applyFill="1" applyBorder="1" applyAlignment="1">
      <alignment horizontal="right"/>
    </xf>
    <xf numFmtId="171" fontId="17" fillId="15" borderId="2" xfId="7" applyNumberFormat="1" applyFont="1" applyFill="1" applyBorder="1" applyAlignment="1">
      <alignment horizontal="right"/>
    </xf>
    <xf numFmtId="171" fontId="17" fillId="15" borderId="3" xfId="7" applyNumberFormat="1" applyFont="1" applyFill="1" applyBorder="1" applyAlignment="1">
      <alignment horizontal="right"/>
    </xf>
    <xf numFmtId="170" fontId="12" fillId="15" borderId="2" xfId="7" applyNumberFormat="1" applyFont="1" applyFill="1" applyBorder="1" applyAlignment="1">
      <alignment horizontal="right"/>
    </xf>
    <xf numFmtId="170" fontId="12" fillId="15" borderId="3" xfId="7" applyNumberFormat="1" applyFont="1" applyFill="1" applyBorder="1" applyAlignment="1">
      <alignment horizontal="right"/>
    </xf>
    <xf numFmtId="170" fontId="11" fillId="15" borderId="2" xfId="7" applyNumberFormat="1" applyFont="1" applyFill="1" applyBorder="1" applyAlignment="1">
      <alignment horizontal="right"/>
    </xf>
    <xf numFmtId="170" fontId="11" fillId="15" borderId="3" xfId="7" applyNumberFormat="1" applyFont="1" applyFill="1" applyBorder="1" applyAlignment="1">
      <alignment horizontal="right"/>
    </xf>
    <xf numFmtId="171" fontId="22" fillId="15" borderId="23" xfId="7" applyNumberFormat="1" applyFont="1" applyFill="1" applyBorder="1" applyAlignment="1">
      <alignment horizontal="right"/>
    </xf>
    <xf numFmtId="171" fontId="22" fillId="15" borderId="5" xfId="7" applyNumberFormat="1" applyFont="1" applyFill="1" applyBorder="1" applyAlignment="1">
      <alignment horizontal="right"/>
    </xf>
    <xf numFmtId="171" fontId="22" fillId="0" borderId="23" xfId="7" applyNumberFormat="1" applyFont="1" applyBorder="1" applyAlignment="1">
      <alignment horizontal="right"/>
    </xf>
    <xf numFmtId="171" fontId="22" fillId="15" borderId="6" xfId="7" applyNumberFormat="1" applyFont="1" applyFill="1" applyBorder="1" applyAlignment="1">
      <alignment horizontal="right"/>
    </xf>
    <xf numFmtId="171" fontId="22" fillId="0" borderId="11" xfId="7" applyNumberFormat="1" applyFont="1" applyBorder="1" applyAlignment="1">
      <alignment horizontal="right"/>
    </xf>
    <xf numFmtId="0" fontId="26" fillId="0" borderId="23" xfId="7" applyFont="1" applyBorder="1" applyAlignment="1">
      <alignment horizontal="left"/>
    </xf>
    <xf numFmtId="0" fontId="26" fillId="0" borderId="23" xfId="7" applyFont="1" applyBorder="1"/>
    <xf numFmtId="171" fontId="26" fillId="15" borderId="23" xfId="7" applyNumberFormat="1" applyFont="1" applyFill="1" applyBorder="1" applyAlignment="1">
      <alignment horizontal="right"/>
    </xf>
    <xf numFmtId="171" fontId="26" fillId="15" borderId="5" xfId="7" applyNumberFormat="1" applyFont="1" applyFill="1" applyBorder="1" applyAlignment="1">
      <alignment horizontal="right"/>
    </xf>
    <xf numFmtId="171" fontId="26" fillId="0" borderId="23" xfId="7" applyNumberFormat="1" applyFont="1" applyBorder="1" applyAlignment="1">
      <alignment horizontal="right"/>
    </xf>
    <xf numFmtId="171" fontId="26" fillId="15" borderId="6" xfId="7" applyNumberFormat="1" applyFont="1" applyFill="1" applyBorder="1" applyAlignment="1">
      <alignment horizontal="right"/>
    </xf>
    <xf numFmtId="167" fontId="12" fillId="15" borderId="2" xfId="10" applyNumberFormat="1" applyFont="1" applyFill="1" applyBorder="1" applyAlignment="1">
      <alignment horizontal="right"/>
    </xf>
    <xf numFmtId="167" fontId="12" fillId="15" borderId="3" xfId="10" applyNumberFormat="1" applyFont="1" applyFill="1" applyBorder="1" applyAlignment="1">
      <alignment horizontal="right"/>
    </xf>
    <xf numFmtId="171" fontId="22" fillId="0" borderId="2" xfId="7" applyNumberFormat="1" applyFont="1" applyBorder="1" applyAlignment="1">
      <alignment horizontal="right"/>
    </xf>
    <xf numFmtId="171" fontId="22" fillId="0" borderId="3" xfId="7" applyNumberFormat="1" applyFont="1" applyBorder="1" applyAlignment="1">
      <alignment horizontal="right"/>
    </xf>
    <xf numFmtId="43" fontId="29" fillId="0" borderId="2" xfId="10" applyFont="1" applyBorder="1" applyAlignment="1">
      <alignment horizontal="right"/>
    </xf>
    <xf numFmtId="43" fontId="29" fillId="0" borderId="3" xfId="10" applyFont="1" applyBorder="1" applyAlignment="1">
      <alignment horizontal="right"/>
    </xf>
    <xf numFmtId="9" fontId="12" fillId="0" borderId="2" xfId="2" applyFont="1" applyBorder="1"/>
    <xf numFmtId="9" fontId="12" fillId="0" borderId="0" xfId="2" applyFont="1" applyBorder="1"/>
    <xf numFmtId="0" fontId="12" fillId="0" borderId="3" xfId="9" applyFont="1" applyBorder="1"/>
    <xf numFmtId="168" fontId="12" fillId="15" borderId="13" xfId="10" applyNumberFormat="1" applyFont="1" applyFill="1" applyBorder="1"/>
    <xf numFmtId="9" fontId="12" fillId="14" borderId="23" xfId="8" applyFont="1" applyFill="1" applyBorder="1"/>
    <xf numFmtId="169" fontId="12" fillId="15" borderId="23" xfId="10" applyNumberFormat="1" applyFont="1" applyFill="1" applyBorder="1"/>
    <xf numFmtId="168" fontId="19" fillId="15" borderId="45" xfId="10" applyNumberFormat="1" applyFont="1" applyFill="1" applyBorder="1"/>
    <xf numFmtId="168" fontId="19" fillId="15" borderId="10" xfId="10" applyNumberFormat="1" applyFont="1" applyFill="1" applyBorder="1"/>
    <xf numFmtId="168" fontId="19" fillId="15" borderId="14" xfId="10" applyNumberFormat="1" applyFont="1" applyFill="1" applyBorder="1"/>
    <xf numFmtId="168" fontId="12" fillId="15" borderId="13" xfId="10" quotePrefix="1" applyNumberFormat="1" applyFont="1" applyFill="1" applyBorder="1"/>
    <xf numFmtId="168" fontId="12" fillId="15" borderId="15" xfId="10" applyNumberFormat="1" applyFont="1" applyFill="1" applyBorder="1"/>
    <xf numFmtId="168" fontId="19" fillId="15" borderId="13" xfId="10" applyNumberFormat="1" applyFont="1" applyFill="1" applyBorder="1"/>
    <xf numFmtId="168" fontId="12" fillId="15" borderId="0" xfId="8" applyNumberFormat="1" applyFont="1" applyFill="1"/>
    <xf numFmtId="168" fontId="12" fillId="15" borderId="3" xfId="8" applyNumberFormat="1" applyFont="1" applyFill="1" applyBorder="1"/>
    <xf numFmtId="10" fontId="12" fillId="14" borderId="23" xfId="8" applyNumberFormat="1" applyFont="1" applyFill="1" applyBorder="1"/>
    <xf numFmtId="168" fontId="12" fillId="15" borderId="0" xfId="11" applyNumberFormat="1" applyFont="1" applyFill="1" applyBorder="1"/>
    <xf numFmtId="168" fontId="12" fillId="15" borderId="13" xfId="11" applyNumberFormat="1" applyFont="1" applyFill="1" applyBorder="1"/>
    <xf numFmtId="168" fontId="12" fillId="15" borderId="3" xfId="11" applyNumberFormat="1" applyFont="1" applyFill="1" applyBorder="1"/>
    <xf numFmtId="168" fontId="12" fillId="15" borderId="15" xfId="11" applyNumberFormat="1" applyFont="1" applyFill="1" applyBorder="1"/>
    <xf numFmtId="168" fontId="12" fillId="15" borderId="23" xfId="11" applyNumberFormat="1" applyFont="1" applyFill="1" applyBorder="1"/>
    <xf numFmtId="168" fontId="12" fillId="0" borderId="23" xfId="11" applyNumberFormat="1" applyFont="1" applyFill="1" applyBorder="1"/>
    <xf numFmtId="168" fontId="12" fillId="15" borderId="6" xfId="11" applyNumberFormat="1" applyFont="1" applyFill="1" applyBorder="1"/>
    <xf numFmtId="168" fontId="19" fillId="15" borderId="0" xfId="9" applyNumberFormat="1" applyFont="1" applyFill="1"/>
    <xf numFmtId="168" fontId="19" fillId="15" borderId="13" xfId="9" applyNumberFormat="1" applyFont="1" applyFill="1" applyBorder="1"/>
    <xf numFmtId="168" fontId="19" fillId="0" borderId="0" xfId="9" applyNumberFormat="1" applyFont="1"/>
    <xf numFmtId="168" fontId="19" fillId="15" borderId="3" xfId="9" applyNumberFormat="1" applyFont="1" applyFill="1" applyBorder="1"/>
    <xf numFmtId="168" fontId="24" fillId="15" borderId="0" xfId="11" applyNumberFormat="1" applyFont="1" applyFill="1"/>
    <xf numFmtId="168" fontId="24" fillId="15" borderId="13" xfId="11" applyNumberFormat="1" applyFont="1" applyFill="1" applyBorder="1"/>
    <xf numFmtId="168" fontId="24" fillId="15" borderId="3" xfId="11" applyNumberFormat="1" applyFont="1" applyFill="1" applyBorder="1"/>
    <xf numFmtId="168" fontId="12" fillId="15" borderId="0" xfId="11" applyNumberFormat="1" applyFont="1" applyFill="1"/>
    <xf numFmtId="169" fontId="12" fillId="15" borderId="23" xfId="11" applyNumberFormat="1" applyFont="1" applyFill="1" applyBorder="1"/>
    <xf numFmtId="168" fontId="19" fillId="15" borderId="7" xfId="11" applyNumberFormat="1" applyFont="1" applyFill="1" applyBorder="1"/>
    <xf numFmtId="168" fontId="19" fillId="15" borderId="46" xfId="11" applyNumberFormat="1" applyFont="1" applyFill="1" applyBorder="1"/>
    <xf numFmtId="168" fontId="19" fillId="15" borderId="8" xfId="11" applyNumberFormat="1" applyFont="1" applyFill="1" applyBorder="1"/>
    <xf numFmtId="168" fontId="19" fillId="15" borderId="0" xfId="11" applyNumberFormat="1" applyFont="1" applyFill="1"/>
    <xf numFmtId="168" fontId="19" fillId="15" borderId="13" xfId="11" applyNumberFormat="1" applyFont="1" applyFill="1" applyBorder="1"/>
    <xf numFmtId="168" fontId="19" fillId="15" borderId="3" xfId="11" applyNumberFormat="1" applyFont="1" applyFill="1" applyBorder="1"/>
    <xf numFmtId="169" fontId="17" fillId="15" borderId="2" xfId="11" applyNumberFormat="1" applyFont="1" applyFill="1" applyBorder="1"/>
    <xf numFmtId="44" fontId="17" fillId="15" borderId="2" xfId="11" applyFont="1" applyFill="1" applyBorder="1"/>
    <xf numFmtId="44" fontId="17" fillId="15" borderId="13" xfId="11" applyFont="1" applyFill="1" applyBorder="1"/>
    <xf numFmtId="169" fontId="17" fillId="15" borderId="0" xfId="11" applyNumberFormat="1" applyFont="1" applyFill="1"/>
    <xf numFmtId="169" fontId="17" fillId="15" borderId="3" xfId="11" applyNumberFormat="1" applyFont="1" applyFill="1" applyBorder="1"/>
    <xf numFmtId="166" fontId="12" fillId="0" borderId="13" xfId="1" applyNumberFormat="1" applyFont="1" applyFill="1" applyBorder="1"/>
    <xf numFmtId="43" fontId="12" fillId="0" borderId="13" xfId="1" applyFont="1" applyFill="1" applyBorder="1"/>
    <xf numFmtId="10" fontId="14" fillId="13" borderId="13" xfId="8" applyNumberFormat="1" applyFont="1" applyFill="1" applyBorder="1"/>
    <xf numFmtId="0" fontId="12" fillId="0" borderId="2" xfId="9" applyFont="1" applyBorder="1"/>
    <xf numFmtId="0" fontId="12" fillId="0" borderId="13" xfId="9" applyFont="1" applyBorder="1"/>
    <xf numFmtId="6" fontId="12" fillId="15" borderId="2" xfId="11" applyNumberFormat="1" applyFont="1" applyFill="1" applyBorder="1"/>
    <xf numFmtId="169" fontId="12" fillId="15" borderId="13" xfId="11" applyNumberFormat="1" applyFont="1" applyFill="1" applyBorder="1"/>
    <xf numFmtId="169" fontId="12" fillId="15" borderId="3" xfId="11" applyNumberFormat="1" applyFont="1" applyFill="1" applyBorder="1"/>
    <xf numFmtId="0" fontId="1" fillId="0" borderId="23" xfId="7" applyBorder="1" applyAlignment="1">
      <alignment horizontal="left" indent="2"/>
    </xf>
    <xf numFmtId="169" fontId="12" fillId="15" borderId="15" xfId="11" applyNumberFormat="1" applyFont="1" applyFill="1" applyBorder="1"/>
    <xf numFmtId="169" fontId="12" fillId="0" borderId="23" xfId="11" applyNumberFormat="1" applyFont="1" applyFill="1" applyBorder="1"/>
    <xf numFmtId="169" fontId="12" fillId="15" borderId="6" xfId="11" applyNumberFormat="1" applyFont="1" applyFill="1" applyBorder="1"/>
    <xf numFmtId="169" fontId="19" fillId="15" borderId="2" xfId="11" applyNumberFormat="1" applyFont="1" applyFill="1" applyBorder="1"/>
    <xf numFmtId="169" fontId="19" fillId="15" borderId="13" xfId="11" applyNumberFormat="1" applyFont="1" applyFill="1" applyBorder="1"/>
    <xf numFmtId="169" fontId="19" fillId="15" borderId="3" xfId="11" applyNumberFormat="1" applyFont="1" applyFill="1" applyBorder="1"/>
    <xf numFmtId="0" fontId="12" fillId="15" borderId="13" xfId="9" applyFont="1" applyFill="1" applyBorder="1"/>
    <xf numFmtId="169" fontId="12" fillId="15" borderId="2" xfId="9" applyNumberFormat="1" applyFont="1" applyFill="1" applyBorder="1"/>
    <xf numFmtId="0" fontId="12" fillId="12" borderId="23" xfId="9" applyFont="1" applyFill="1" applyBorder="1"/>
    <xf numFmtId="9" fontId="1" fillId="14" borderId="23" xfId="7" applyNumberFormat="1" applyFill="1" applyBorder="1"/>
    <xf numFmtId="0" fontId="12" fillId="15" borderId="5" xfId="9" applyFont="1" applyFill="1" applyBorder="1"/>
    <xf numFmtId="0" fontId="12" fillId="15" borderId="23" xfId="9" applyFont="1" applyFill="1" applyBorder="1"/>
    <xf numFmtId="0" fontId="12" fillId="15" borderId="15" xfId="9" applyFont="1" applyFill="1" applyBorder="1"/>
    <xf numFmtId="0" fontId="12" fillId="15" borderId="6" xfId="9" applyFont="1" applyFill="1" applyBorder="1"/>
    <xf numFmtId="0" fontId="1" fillId="0" borderId="11" xfId="7" applyBorder="1"/>
    <xf numFmtId="172" fontId="22" fillId="15" borderId="2" xfId="6" applyNumberFormat="1" applyFont="1" applyFill="1" applyBorder="1"/>
    <xf numFmtId="172" fontId="17" fillId="15" borderId="0" xfId="6" applyNumberFormat="1" applyFont="1" applyFill="1" applyAlignment="1">
      <alignment horizontal="right"/>
    </xf>
    <xf numFmtId="172" fontId="22" fillId="15" borderId="0" xfId="6" applyNumberFormat="1" applyFont="1" applyFill="1" applyAlignment="1">
      <alignment horizontal="right"/>
    </xf>
    <xf numFmtId="169" fontId="22" fillId="0" borderId="0" xfId="6" applyNumberFormat="1" applyFont="1" applyAlignment="1">
      <alignment horizontal="right"/>
    </xf>
    <xf numFmtId="169" fontId="22" fillId="15" borderId="0" xfId="6" applyNumberFormat="1" applyFont="1" applyFill="1" applyAlignment="1">
      <alignment horizontal="right"/>
    </xf>
    <xf numFmtId="169" fontId="1" fillId="0" borderId="0" xfId="6" applyNumberFormat="1" applyFont="1"/>
    <xf numFmtId="169" fontId="22" fillId="0" borderId="13" xfId="7" applyNumberFormat="1" applyFont="1" applyBorder="1"/>
    <xf numFmtId="169" fontId="22" fillId="0" borderId="3" xfId="7" applyNumberFormat="1" applyFont="1" applyBorder="1"/>
    <xf numFmtId="0" fontId="1" fillId="0" borderId="13" xfId="7" applyBorder="1"/>
    <xf numFmtId="1" fontId="62" fillId="24" borderId="0" xfId="2" applyNumberFormat="1" applyFont="1" applyFill="1"/>
    <xf numFmtId="44" fontId="6" fillId="0" borderId="0" xfId="0" applyNumberFormat="1" applyFont="1" applyAlignment="1">
      <alignment horizontal="center"/>
    </xf>
    <xf numFmtId="165" fontId="12" fillId="0" borderId="10" xfId="9" applyNumberFormat="1" applyFont="1" applyBorder="1"/>
    <xf numFmtId="43" fontId="6" fillId="6" borderId="0" xfId="1" applyFont="1" applyFill="1" applyBorder="1"/>
    <xf numFmtId="2" fontId="0" fillId="6" borderId="0" xfId="0" applyNumberFormat="1" applyFill="1"/>
    <xf numFmtId="0" fontId="0" fillId="15" borderId="0" xfId="0" applyFill="1"/>
    <xf numFmtId="3" fontId="0" fillId="15" borderId="0" xfId="0" applyNumberFormat="1" applyFill="1"/>
    <xf numFmtId="43" fontId="0" fillId="15" borderId="0" xfId="3" applyNumberFormat="1" applyFont="1" applyFill="1" applyBorder="1"/>
    <xf numFmtId="3" fontId="0" fillId="15" borderId="0" xfId="3" applyNumberFormat="1" applyFont="1" applyFill="1" applyBorder="1"/>
    <xf numFmtId="0" fontId="0" fillId="15" borderId="0" xfId="3" applyFont="1" applyFill="1" applyBorder="1"/>
    <xf numFmtId="43" fontId="0" fillId="15" borderId="0" xfId="1" applyFont="1" applyFill="1" applyBorder="1"/>
    <xf numFmtId="43" fontId="8" fillId="3" borderId="0" xfId="1" applyFont="1" applyFill="1" applyBorder="1"/>
    <xf numFmtId="0" fontId="9" fillId="9" borderId="0" xfId="4" applyBorder="1"/>
    <xf numFmtId="3" fontId="1" fillId="15" borderId="0" xfId="3" applyNumberFormat="1" applyFill="1" applyBorder="1"/>
    <xf numFmtId="0" fontId="1" fillId="15" borderId="0" xfId="3" applyFill="1" applyBorder="1"/>
    <xf numFmtId="3" fontId="1" fillId="9" borderId="0" xfId="4" applyNumberFormat="1" applyFont="1" applyBorder="1"/>
    <xf numFmtId="3" fontId="1" fillId="10" borderId="0" xfId="5" applyNumberFormat="1" applyBorder="1"/>
    <xf numFmtId="165" fontId="1" fillId="0" borderId="4" xfId="2" applyNumberFormat="1" applyFont="1" applyFill="1" applyBorder="1"/>
    <xf numFmtId="168" fontId="1" fillId="0" borderId="4" xfId="1" applyNumberFormat="1" applyFont="1" applyFill="1" applyBorder="1"/>
    <xf numFmtId="43" fontId="6" fillId="4" borderId="16" xfId="1" applyFont="1" applyFill="1" applyBorder="1"/>
    <xf numFmtId="43" fontId="0" fillId="12" borderId="0" xfId="1" applyFont="1" applyFill="1" applyBorder="1"/>
    <xf numFmtId="168" fontId="12" fillId="4" borderId="4" xfId="10" applyNumberFormat="1" applyFont="1" applyFill="1" applyBorder="1"/>
    <xf numFmtId="168" fontId="12" fillId="4" borderId="9" xfId="10" applyNumberFormat="1" applyFont="1" applyFill="1" applyBorder="1"/>
    <xf numFmtId="9" fontId="21" fillId="4" borderId="2" xfId="2" applyFont="1" applyFill="1" applyBorder="1"/>
    <xf numFmtId="168" fontId="21" fillId="4" borderId="2" xfId="2" applyNumberFormat="1" applyFont="1" applyFill="1" applyBorder="1"/>
    <xf numFmtId="168" fontId="12" fillId="4" borderId="2" xfId="10" applyNumberFormat="1" applyFont="1" applyFill="1" applyBorder="1"/>
    <xf numFmtId="168" fontId="12" fillId="4" borderId="42" xfId="10" applyNumberFormat="1" applyFont="1" applyFill="1" applyBorder="1"/>
    <xf numFmtId="168" fontId="24" fillId="4" borderId="2" xfId="10" applyNumberFormat="1" applyFont="1" applyFill="1" applyBorder="1"/>
    <xf numFmtId="9" fontId="12" fillId="4" borderId="0" xfId="2" applyFont="1" applyFill="1"/>
    <xf numFmtId="9" fontId="12" fillId="4" borderId="2" xfId="2" applyFont="1" applyFill="1" applyBorder="1"/>
    <xf numFmtId="0" fontId="12" fillId="4" borderId="2" xfId="9" applyFont="1" applyFill="1" applyBorder="1"/>
    <xf numFmtId="0" fontId="12" fillId="4" borderId="0" xfId="9" applyFont="1" applyFill="1"/>
    <xf numFmtId="168" fontId="12" fillId="4" borderId="0" xfId="10" applyNumberFormat="1" applyFont="1" applyFill="1" applyBorder="1"/>
    <xf numFmtId="168" fontId="24" fillId="4" borderId="42" xfId="10" applyNumberFormat="1" applyFont="1" applyFill="1" applyBorder="1"/>
    <xf numFmtId="168" fontId="24" fillId="4" borderId="4" xfId="1" applyNumberFormat="1" applyFont="1" applyFill="1" applyBorder="1"/>
    <xf numFmtId="165" fontId="12" fillId="4" borderId="2" xfId="2" applyNumberFormat="1" applyFont="1" applyFill="1" applyBorder="1"/>
    <xf numFmtId="8" fontId="22" fillId="4" borderId="0" xfId="7" applyNumberFormat="1" applyFont="1" applyFill="1"/>
    <xf numFmtId="43" fontId="17" fillId="4" borderId="0" xfId="10" applyFont="1" applyFill="1" applyBorder="1" applyAlignment="1">
      <alignment horizontal="right"/>
    </xf>
    <xf numFmtId="43" fontId="1" fillId="4" borderId="1" xfId="10" applyFont="1" applyFill="1" applyBorder="1"/>
    <xf numFmtId="43" fontId="12" fillId="4" borderId="2" xfId="10" applyFont="1" applyFill="1" applyBorder="1"/>
    <xf numFmtId="166" fontId="29" fillId="4" borderId="2" xfId="10" applyNumberFormat="1" applyFont="1" applyFill="1" applyBorder="1" applyAlignment="1">
      <alignment horizontal="right"/>
    </xf>
    <xf numFmtId="37" fontId="12" fillId="4" borderId="2" xfId="7" applyNumberFormat="1" applyFont="1" applyFill="1" applyBorder="1" applyAlignment="1">
      <alignment horizontal="right"/>
    </xf>
    <xf numFmtId="171" fontId="17" fillId="4" borderId="2" xfId="7" applyNumberFormat="1" applyFont="1" applyFill="1" applyBorder="1" applyAlignment="1">
      <alignment horizontal="right"/>
    </xf>
    <xf numFmtId="170" fontId="12" fillId="4" borderId="2" xfId="7" applyNumberFormat="1" applyFont="1" applyFill="1" applyBorder="1" applyAlignment="1">
      <alignment horizontal="right"/>
    </xf>
    <xf numFmtId="170" fontId="11" fillId="4" borderId="2" xfId="7" applyNumberFormat="1" applyFont="1" applyFill="1" applyBorder="1" applyAlignment="1">
      <alignment horizontal="right"/>
    </xf>
    <xf numFmtId="171" fontId="22" fillId="4" borderId="5" xfId="7" applyNumberFormat="1" applyFont="1" applyFill="1" applyBorder="1" applyAlignment="1">
      <alignment horizontal="right"/>
    </xf>
    <xf numFmtId="171" fontId="26" fillId="4" borderId="5" xfId="7" applyNumberFormat="1" applyFont="1" applyFill="1" applyBorder="1" applyAlignment="1">
      <alignment horizontal="right"/>
    </xf>
    <xf numFmtId="167" fontId="12" fillId="4" borderId="2" xfId="10" applyNumberFormat="1" applyFont="1" applyFill="1" applyBorder="1" applyAlignment="1">
      <alignment horizontal="right"/>
    </xf>
    <xf numFmtId="171" fontId="22" fillId="4" borderId="2" xfId="7" applyNumberFormat="1" applyFont="1" applyFill="1" applyBorder="1" applyAlignment="1">
      <alignment horizontal="right"/>
    </xf>
    <xf numFmtId="43" fontId="29" fillId="4" borderId="2" xfId="10" applyFont="1" applyFill="1" applyBorder="1" applyAlignment="1">
      <alignment horizontal="right"/>
    </xf>
    <xf numFmtId="169" fontId="12" fillId="4" borderId="0" xfId="10" applyNumberFormat="1" applyFont="1" applyFill="1"/>
    <xf numFmtId="168" fontId="12" fillId="4" borderId="23" xfId="10" applyNumberFormat="1" applyFont="1" applyFill="1" applyBorder="1"/>
    <xf numFmtId="168" fontId="12" fillId="4" borderId="0" xfId="10" applyNumberFormat="1" applyFont="1" applyFill="1"/>
    <xf numFmtId="169" fontId="12" fillId="4" borderId="1" xfId="10" applyNumberFormat="1" applyFont="1" applyFill="1" applyBorder="1"/>
    <xf numFmtId="169" fontId="12" fillId="4" borderId="0" xfId="11" applyNumberFormat="1" applyFont="1" applyFill="1" applyBorder="1"/>
    <xf numFmtId="169" fontId="24" fillId="4" borderId="0" xfId="11" applyNumberFormat="1" applyFont="1" applyFill="1"/>
    <xf numFmtId="169" fontId="12" fillId="4" borderId="0" xfId="11" applyNumberFormat="1" applyFont="1" applyFill="1"/>
    <xf numFmtId="169" fontId="12" fillId="4" borderId="1" xfId="11" applyNumberFormat="1" applyFont="1" applyFill="1" applyBorder="1"/>
    <xf numFmtId="166" fontId="12" fillId="4" borderId="2" xfId="1" applyNumberFormat="1" applyFont="1" applyFill="1" applyBorder="1"/>
    <xf numFmtId="43" fontId="12" fillId="4" borderId="0" xfId="1" applyFont="1" applyFill="1"/>
    <xf numFmtId="6" fontId="12" fillId="4" borderId="2" xfId="11" applyNumberFormat="1" applyFont="1" applyFill="1" applyBorder="1"/>
    <xf numFmtId="169" fontId="12" fillId="4" borderId="2" xfId="11" applyNumberFormat="1" applyFont="1" applyFill="1" applyBorder="1"/>
    <xf numFmtId="169" fontId="12" fillId="4" borderId="5" xfId="11" applyNumberFormat="1" applyFont="1" applyFill="1" applyBorder="1"/>
    <xf numFmtId="169" fontId="12" fillId="4" borderId="2" xfId="9" applyNumberFormat="1" applyFont="1" applyFill="1" applyBorder="1"/>
    <xf numFmtId="0" fontId="12" fillId="4" borderId="5" xfId="9" applyFont="1" applyFill="1" applyBorder="1"/>
    <xf numFmtId="168" fontId="12" fillId="4" borderId="5" xfId="10" applyNumberFormat="1" applyFont="1" applyFill="1" applyBorder="1"/>
    <xf numFmtId="9" fontId="21" fillId="4" borderId="0" xfId="2" applyFont="1" applyFill="1" applyBorder="1"/>
    <xf numFmtId="169" fontId="21" fillId="4" borderId="0" xfId="6" applyNumberFormat="1" applyFont="1" applyFill="1" applyBorder="1"/>
    <xf numFmtId="168" fontId="12" fillId="4" borderId="10" xfId="10" applyNumberFormat="1" applyFont="1" applyFill="1" applyBorder="1"/>
    <xf numFmtId="168" fontId="24" fillId="4" borderId="10" xfId="10" applyNumberFormat="1" applyFont="1" applyFill="1" applyBorder="1"/>
    <xf numFmtId="168" fontId="24" fillId="4" borderId="0" xfId="10" applyNumberFormat="1" applyFont="1" applyFill="1" applyBorder="1"/>
    <xf numFmtId="165" fontId="12" fillId="4" borderId="0" xfId="2" applyNumberFormat="1" applyFont="1" applyFill="1"/>
    <xf numFmtId="43" fontId="1" fillId="4" borderId="23" xfId="10" applyFont="1" applyFill="1" applyBorder="1"/>
    <xf numFmtId="43" fontId="12" fillId="4" borderId="0" xfId="10" applyFont="1" applyFill="1" applyBorder="1"/>
    <xf numFmtId="43" fontId="29" fillId="4" borderId="0" xfId="10" applyFont="1" applyFill="1" applyBorder="1" applyAlignment="1">
      <alignment horizontal="right"/>
    </xf>
    <xf numFmtId="37" fontId="12" fillId="4" borderId="0" xfId="7" applyNumberFormat="1" applyFont="1" applyFill="1" applyAlignment="1">
      <alignment horizontal="right"/>
    </xf>
    <xf numFmtId="171" fontId="17" fillId="4" borderId="0" xfId="7" applyNumberFormat="1" applyFont="1" applyFill="1" applyAlignment="1">
      <alignment horizontal="right"/>
    </xf>
    <xf numFmtId="170" fontId="12" fillId="4" borderId="0" xfId="7" applyNumberFormat="1" applyFont="1" applyFill="1" applyAlignment="1">
      <alignment horizontal="right"/>
    </xf>
    <xf numFmtId="170" fontId="11" fillId="4" borderId="0" xfId="7" applyNumberFormat="1" applyFont="1" applyFill="1" applyAlignment="1">
      <alignment horizontal="right"/>
    </xf>
    <xf numFmtId="171" fontId="22" fillId="4" borderId="23" xfId="7" applyNumberFormat="1" applyFont="1" applyFill="1" applyBorder="1" applyAlignment="1">
      <alignment horizontal="right"/>
    </xf>
    <xf numFmtId="167" fontId="12" fillId="4" borderId="0" xfId="10" applyNumberFormat="1" applyFont="1" applyFill="1" applyBorder="1" applyAlignment="1">
      <alignment horizontal="right"/>
    </xf>
    <xf numFmtId="171" fontId="22" fillId="4" borderId="0" xfId="7" applyNumberFormat="1" applyFont="1" applyFill="1" applyAlignment="1">
      <alignment horizontal="right"/>
    </xf>
    <xf numFmtId="9" fontId="12" fillId="4" borderId="0" xfId="2" applyFont="1" applyFill="1" applyBorder="1"/>
    <xf numFmtId="172" fontId="12" fillId="4" borderId="0" xfId="6" applyNumberFormat="1" applyFont="1" applyFill="1"/>
    <xf numFmtId="168" fontId="12" fillId="4" borderId="0" xfId="11" applyNumberFormat="1" applyFont="1" applyFill="1" applyBorder="1"/>
    <xf numFmtId="168" fontId="12" fillId="4" borderId="23" xfId="11" applyNumberFormat="1" applyFont="1" applyFill="1" applyBorder="1"/>
    <xf numFmtId="168" fontId="24" fillId="4" borderId="0" xfId="11" applyNumberFormat="1" applyFont="1" applyFill="1"/>
    <xf numFmtId="168" fontId="12" fillId="4" borderId="0" xfId="11" applyNumberFormat="1" applyFont="1" applyFill="1"/>
    <xf numFmtId="169" fontId="12" fillId="4" borderId="23" xfId="11" applyNumberFormat="1" applyFont="1" applyFill="1" applyBorder="1"/>
    <xf numFmtId="0" fontId="12" fillId="4" borderId="23" xfId="9" applyFont="1" applyFill="1" applyBorder="1"/>
    <xf numFmtId="0" fontId="24" fillId="0" borderId="0" xfId="9" applyFont="1" applyAlignment="1">
      <alignment horizontal="left" indent="1"/>
    </xf>
    <xf numFmtId="169" fontId="24" fillId="15" borderId="0" xfId="10" applyNumberFormat="1" applyFont="1" applyFill="1"/>
    <xf numFmtId="169" fontId="24" fillId="4" borderId="0" xfId="10" applyNumberFormat="1" applyFont="1" applyFill="1"/>
    <xf numFmtId="169" fontId="24" fillId="0" borderId="0" xfId="11" applyNumberFormat="1" applyFont="1"/>
    <xf numFmtId="168" fontId="24" fillId="4" borderId="0" xfId="10" applyNumberFormat="1" applyFont="1" applyFill="1"/>
    <xf numFmtId="169" fontId="24" fillId="15" borderId="0" xfId="10" applyNumberFormat="1" applyFont="1" applyFill="1" applyBorder="1"/>
    <xf numFmtId="169" fontId="24" fillId="4" borderId="0" xfId="10" applyNumberFormat="1" applyFont="1" applyFill="1" applyBorder="1"/>
    <xf numFmtId="169" fontId="24" fillId="15" borderId="0" xfId="9" applyNumberFormat="1" applyFont="1" applyFill="1"/>
    <xf numFmtId="169" fontId="24" fillId="4" borderId="0" xfId="9" applyNumberFormat="1" applyFont="1" applyFill="1"/>
    <xf numFmtId="168" fontId="24" fillId="4" borderId="0" xfId="9" applyNumberFormat="1" applyFont="1" applyFill="1"/>
    <xf numFmtId="0" fontId="24" fillId="0" borderId="7" xfId="9" applyFont="1" applyBorder="1" applyAlignment="1">
      <alignment horizontal="left" indent="1"/>
    </xf>
    <xf numFmtId="0" fontId="24" fillId="0" borderId="7" xfId="9" applyFont="1" applyBorder="1"/>
    <xf numFmtId="169" fontId="24" fillId="0" borderId="7" xfId="11" applyNumberFormat="1" applyFont="1" applyBorder="1"/>
    <xf numFmtId="169" fontId="24" fillId="15" borderId="7" xfId="11" applyNumberFormat="1" applyFont="1" applyFill="1" applyBorder="1"/>
    <xf numFmtId="169" fontId="24" fillId="4" borderId="7" xfId="11" applyNumberFormat="1" applyFont="1" applyFill="1" applyBorder="1"/>
    <xf numFmtId="168" fontId="24" fillId="4" borderId="7" xfId="11" applyNumberFormat="1" applyFont="1" applyFill="1" applyBorder="1"/>
    <xf numFmtId="44" fontId="12" fillId="15" borderId="0" xfId="11" applyFont="1" applyFill="1"/>
    <xf numFmtId="169" fontId="24" fillId="4" borderId="2" xfId="11" applyNumberFormat="1" applyFont="1" applyFill="1" applyBorder="1"/>
    <xf numFmtId="0" fontId="10" fillId="0" borderId="0" xfId="7" applyFont="1" applyAlignment="1">
      <alignment horizontal="right"/>
    </xf>
    <xf numFmtId="172" fontId="10" fillId="15" borderId="13" xfId="6" applyNumberFormat="1" applyFont="1" applyFill="1" applyBorder="1" applyAlignment="1">
      <alignment horizontal="right"/>
    </xf>
    <xf numFmtId="169" fontId="10" fillId="4" borderId="2" xfId="6" applyNumberFormat="1" applyFont="1" applyFill="1" applyBorder="1"/>
    <xf numFmtId="169" fontId="10" fillId="4" borderId="0" xfId="6" applyNumberFormat="1" applyFont="1" applyFill="1" applyAlignment="1">
      <alignment horizontal="right"/>
    </xf>
    <xf numFmtId="9" fontId="23" fillId="0" borderId="0" xfId="2" applyFont="1"/>
    <xf numFmtId="168" fontId="23" fillId="0" borderId="0" xfId="7" applyNumberFormat="1" applyFont="1"/>
    <xf numFmtId="165" fontId="12" fillId="0" borderId="0" xfId="2" applyNumberFormat="1" applyFont="1" applyFill="1" applyBorder="1" applyAlignment="1">
      <alignment horizontal="center" wrapText="1"/>
    </xf>
    <xf numFmtId="0" fontId="3" fillId="2" borderId="0" xfId="0" applyFont="1" applyFill="1" applyAlignment="1">
      <alignment horizontal="center" wrapText="1"/>
    </xf>
    <xf numFmtId="9" fontId="0" fillId="0" borderId="0" xfId="2" applyFont="1" applyFill="1" applyBorder="1"/>
    <xf numFmtId="9" fontId="0" fillId="4" borderId="0" xfId="2" applyFont="1" applyFill="1"/>
    <xf numFmtId="9" fontId="8" fillId="3" borderId="0" xfId="2" applyFont="1" applyFill="1"/>
    <xf numFmtId="3" fontId="1" fillId="0" borderId="0" xfId="5" applyNumberFormat="1" applyFill="1"/>
    <xf numFmtId="43" fontId="6" fillId="0" borderId="0" xfId="0" applyNumberFormat="1" applyFont="1"/>
    <xf numFmtId="0" fontId="6" fillId="0" borderId="0" xfId="0" applyFont="1" applyAlignment="1">
      <alignment horizontal="right"/>
    </xf>
    <xf numFmtId="9" fontId="62" fillId="24" borderId="4" xfId="2" applyFont="1" applyFill="1" applyBorder="1"/>
    <xf numFmtId="169" fontId="0" fillId="0" borderId="4" xfId="6" applyNumberFormat="1" applyFont="1" applyFill="1" applyBorder="1"/>
    <xf numFmtId="9" fontId="62" fillId="0" borderId="4" xfId="2" applyFont="1" applyFill="1" applyBorder="1"/>
    <xf numFmtId="169" fontId="0" fillId="0" borderId="40" xfId="6" applyNumberFormat="1" applyFont="1" applyFill="1" applyBorder="1"/>
    <xf numFmtId="2" fontId="0" fillId="0" borderId="4" xfId="0" applyNumberFormat="1" applyBorder="1"/>
    <xf numFmtId="167" fontId="0" fillId="0" borderId="4" xfId="0" applyNumberFormat="1" applyBorder="1"/>
    <xf numFmtId="169" fontId="0" fillId="0" borderId="9" xfId="6" applyNumberFormat="1" applyFont="1" applyFill="1" applyBorder="1"/>
    <xf numFmtId="0" fontId="0" fillId="26" borderId="0" xfId="0" applyFill="1"/>
    <xf numFmtId="43" fontId="0" fillId="26" borderId="0" xfId="0" applyNumberFormat="1" applyFill="1"/>
    <xf numFmtId="2" fontId="12" fillId="4" borderId="2" xfId="9" applyNumberFormat="1" applyFont="1" applyFill="1" applyBorder="1"/>
    <xf numFmtId="168" fontId="12" fillId="4" borderId="0" xfId="2" applyNumberFormat="1" applyFont="1" applyFill="1" applyBorder="1"/>
    <xf numFmtId="43" fontId="0" fillId="4" borderId="0" xfId="0" applyNumberFormat="1" applyFill="1"/>
    <xf numFmtId="44" fontId="71" fillId="24" borderId="0" xfId="6" applyFont="1" applyFill="1"/>
    <xf numFmtId="0" fontId="0" fillId="27" borderId="0" xfId="0" applyFill="1"/>
    <xf numFmtId="0" fontId="6" fillId="12" borderId="23" xfId="0" applyFont="1" applyFill="1" applyBorder="1" applyAlignment="1">
      <alignment horizontal="right"/>
    </xf>
    <xf numFmtId="0" fontId="6" fillId="12" borderId="23" xfId="0" applyFont="1" applyFill="1" applyBorder="1" applyAlignment="1">
      <alignment horizontal="center"/>
    </xf>
    <xf numFmtId="0" fontId="6" fillId="12" borderId="0" xfId="7" applyFont="1" applyFill="1" applyAlignment="1">
      <alignment horizontal="right"/>
    </xf>
    <xf numFmtId="2" fontId="6" fillId="12" borderId="0" xfId="0" applyNumberFormat="1" applyFont="1" applyFill="1" applyAlignment="1">
      <alignment horizontal="center"/>
    </xf>
    <xf numFmtId="0" fontId="6" fillId="12" borderId="0" xfId="0" applyFont="1" applyFill="1" applyAlignment="1">
      <alignment horizontal="right"/>
    </xf>
    <xf numFmtId="6" fontId="6" fillId="12" borderId="0" xfId="0" applyNumberFormat="1" applyFont="1" applyFill="1" applyAlignment="1">
      <alignment horizontal="center"/>
    </xf>
    <xf numFmtId="169" fontId="6" fillId="12" borderId="0" xfId="0" applyNumberFormat="1" applyFont="1" applyFill="1" applyAlignment="1">
      <alignment horizontal="center"/>
    </xf>
    <xf numFmtId="0" fontId="6" fillId="12" borderId="0" xfId="0" applyFont="1" applyFill="1"/>
    <xf numFmtId="169" fontId="6" fillId="12" borderId="0" xfId="6" applyNumberFormat="1" applyFont="1" applyFill="1"/>
    <xf numFmtId="165" fontId="6" fillId="12" borderId="0" xfId="2" applyNumberFormat="1" applyFont="1" applyFill="1" applyAlignment="1">
      <alignment horizontal="center"/>
    </xf>
    <xf numFmtId="9" fontId="6" fillId="12" borderId="0" xfId="2" applyFont="1" applyFill="1" applyAlignment="1">
      <alignment horizontal="center"/>
    </xf>
    <xf numFmtId="0" fontId="6" fillId="12" borderId="0" xfId="0" applyFont="1" applyFill="1" applyAlignment="1">
      <alignment horizontal="center"/>
    </xf>
    <xf numFmtId="1" fontId="6" fillId="12" borderId="0" xfId="0" applyNumberFormat="1" applyFont="1" applyFill="1" applyAlignment="1">
      <alignment horizontal="center"/>
    </xf>
    <xf numFmtId="177" fontId="6" fillId="12" borderId="0" xfId="0" applyNumberFormat="1" applyFont="1" applyFill="1" applyAlignment="1">
      <alignment horizontal="center"/>
    </xf>
    <xf numFmtId="0" fontId="3" fillId="2" borderId="49" xfId="0" applyFont="1" applyFill="1" applyBorder="1" applyAlignment="1">
      <alignment horizontal="center" vertical="center"/>
    </xf>
    <xf numFmtId="0" fontId="3" fillId="2" borderId="50" xfId="0" applyFont="1" applyFill="1" applyBorder="1" applyAlignment="1">
      <alignment horizontal="center"/>
    </xf>
    <xf numFmtId="0" fontId="3" fillId="2" borderId="51" xfId="0" applyFont="1" applyFill="1" applyBorder="1" applyAlignment="1">
      <alignment horizontal="center"/>
    </xf>
    <xf numFmtId="0" fontId="3" fillId="2" borderId="52" xfId="0" applyFont="1" applyFill="1" applyBorder="1" applyAlignment="1">
      <alignment horizontal="center"/>
    </xf>
    <xf numFmtId="0" fontId="3" fillId="2" borderId="53" xfId="0" applyFont="1" applyFill="1" applyBorder="1" applyAlignment="1">
      <alignment horizontal="center"/>
    </xf>
    <xf numFmtId="0" fontId="0" fillId="3" borderId="52" xfId="0" applyFill="1" applyBorder="1"/>
    <xf numFmtId="0" fontId="0" fillId="3" borderId="53" xfId="0" applyFill="1" applyBorder="1"/>
    <xf numFmtId="43" fontId="0" fillId="0" borderId="52" xfId="1" applyFont="1" applyBorder="1"/>
    <xf numFmtId="43" fontId="0" fillId="4" borderId="53" xfId="1" applyFont="1" applyFill="1" applyBorder="1"/>
    <xf numFmtId="0" fontId="0" fillId="4" borderId="53" xfId="0" applyFill="1" applyBorder="1"/>
    <xf numFmtId="43" fontId="0" fillId="0" borderId="52" xfId="1" applyFont="1" applyFill="1" applyBorder="1"/>
    <xf numFmtId="169" fontId="0" fillId="4" borderId="53" xfId="0" applyNumberFormat="1" applyFill="1" applyBorder="1"/>
    <xf numFmtId="0" fontId="0" fillId="0" borderId="52" xfId="0" applyBorder="1"/>
    <xf numFmtId="43" fontId="8" fillId="3" borderId="52" xfId="1" applyFont="1" applyFill="1" applyBorder="1"/>
    <xf numFmtId="43" fontId="8" fillId="3" borderId="53" xfId="1" applyFont="1" applyFill="1" applyBorder="1"/>
    <xf numFmtId="43" fontId="0" fillId="0" borderId="53" xfId="0" applyNumberFormat="1" applyBorder="1"/>
    <xf numFmtId="1" fontId="0" fillId="4" borderId="53" xfId="0" applyNumberFormat="1" applyFill="1" applyBorder="1"/>
    <xf numFmtId="0" fontId="0" fillId="0" borderId="53" xfId="0" applyBorder="1"/>
    <xf numFmtId="43" fontId="0" fillId="12" borderId="52" xfId="1" applyFont="1" applyFill="1" applyBorder="1"/>
    <xf numFmtId="0" fontId="0" fillId="6" borderId="53" xfId="0" applyFill="1" applyBorder="1"/>
    <xf numFmtId="0" fontId="3" fillId="2" borderId="49" xfId="0" applyFont="1" applyFill="1" applyBorder="1" applyAlignment="1">
      <alignment horizontal="center"/>
    </xf>
    <xf numFmtId="1" fontId="0" fillId="6" borderId="0" xfId="0" applyNumberFormat="1" applyFill="1"/>
    <xf numFmtId="0" fontId="0" fillId="6" borderId="52" xfId="0" applyFill="1" applyBorder="1"/>
    <xf numFmtId="43" fontId="0" fillId="6" borderId="52" xfId="1" applyFont="1" applyFill="1" applyBorder="1"/>
    <xf numFmtId="0" fontId="0" fillId="0" borderId="50" xfId="0" applyBorder="1"/>
    <xf numFmtId="17" fontId="3" fillId="2" borderId="52" xfId="0" applyNumberFormat="1" applyFont="1" applyFill="1" applyBorder="1" applyAlignment="1">
      <alignment horizontal="center"/>
    </xf>
    <xf numFmtId="17" fontId="3" fillId="2" borderId="49" xfId="0" applyNumberFormat="1" applyFont="1" applyFill="1" applyBorder="1" applyAlignment="1">
      <alignment horizontal="center"/>
    </xf>
    <xf numFmtId="17" fontId="3" fillId="2" borderId="50" xfId="0" applyNumberFormat="1" applyFont="1" applyFill="1" applyBorder="1" applyAlignment="1">
      <alignment horizontal="center"/>
    </xf>
    <xf numFmtId="17" fontId="3" fillId="2" borderId="55" xfId="0" applyNumberFormat="1" applyFont="1" applyFill="1" applyBorder="1" applyAlignment="1">
      <alignment horizontal="center"/>
    </xf>
    <xf numFmtId="3" fontId="0" fillId="6" borderId="52" xfId="0" applyNumberFormat="1" applyFill="1" applyBorder="1"/>
    <xf numFmtId="43" fontId="0" fillId="8" borderId="52" xfId="3" applyNumberFormat="1" applyFont="1" applyBorder="1"/>
    <xf numFmtId="43" fontId="0" fillId="5" borderId="52" xfId="3" applyNumberFormat="1" applyFont="1" applyFill="1" applyBorder="1"/>
    <xf numFmtId="3" fontId="0" fillId="8" borderId="52" xfId="3" applyNumberFormat="1" applyFont="1" applyBorder="1"/>
    <xf numFmtId="0" fontId="0" fillId="8" borderId="52" xfId="3" applyFont="1" applyBorder="1"/>
    <xf numFmtId="0" fontId="9" fillId="9" borderId="52" xfId="4" applyBorder="1"/>
    <xf numFmtId="0" fontId="9" fillId="9" borderId="53" xfId="4" applyBorder="1"/>
    <xf numFmtId="3" fontId="1" fillId="8" borderId="52" xfId="3" applyNumberFormat="1" applyBorder="1"/>
    <xf numFmtId="0" fontId="1" fillId="8" borderId="52" xfId="3" applyBorder="1"/>
    <xf numFmtId="3" fontId="1" fillId="9" borderId="52" xfId="4" applyNumberFormat="1" applyFont="1" applyBorder="1"/>
    <xf numFmtId="3" fontId="1" fillId="9" borderId="53" xfId="4" applyNumberFormat="1" applyFont="1" applyBorder="1"/>
    <xf numFmtId="3" fontId="10" fillId="11" borderId="52" xfId="0" applyNumberFormat="1" applyFont="1" applyFill="1" applyBorder="1"/>
    <xf numFmtId="3" fontId="1" fillId="10" borderId="52" xfId="5" applyNumberFormat="1" applyBorder="1"/>
    <xf numFmtId="3" fontId="1" fillId="10" borderId="53" xfId="5" applyNumberFormat="1" applyBorder="1"/>
    <xf numFmtId="0" fontId="0" fillId="15" borderId="53" xfId="0" applyFill="1" applyBorder="1"/>
    <xf numFmtId="3" fontId="0" fillId="15" borderId="53" xfId="0" applyNumberFormat="1" applyFill="1" applyBorder="1"/>
    <xf numFmtId="43" fontId="0" fillId="15" borderId="53" xfId="3" applyNumberFormat="1" applyFont="1" applyFill="1" applyBorder="1"/>
    <xf numFmtId="3" fontId="0" fillId="15" borderId="53" xfId="3" applyNumberFormat="1" applyFont="1" applyFill="1" applyBorder="1"/>
    <xf numFmtId="0" fontId="0" fillId="15" borderId="53" xfId="3" applyFont="1" applyFill="1" applyBorder="1"/>
    <xf numFmtId="43" fontId="0" fillId="15" borderId="53" xfId="1" applyFont="1" applyFill="1" applyBorder="1"/>
    <xf numFmtId="43" fontId="8" fillId="3" borderId="56" xfId="1" applyFont="1" applyFill="1" applyBorder="1"/>
    <xf numFmtId="3" fontId="1" fillId="15" borderId="53" xfId="3" applyNumberFormat="1" applyFill="1" applyBorder="1"/>
    <xf numFmtId="0" fontId="1" fillId="15" borderId="53" xfId="3" applyFill="1" applyBorder="1"/>
    <xf numFmtId="17" fontId="3" fillId="2" borderId="0" xfId="0" applyNumberFormat="1" applyFont="1" applyFill="1" applyAlignment="1">
      <alignment horizontal="center"/>
    </xf>
    <xf numFmtId="169" fontId="0" fillId="0" borderId="0" xfId="6" applyNumberFormat="1" applyFont="1" applyFill="1" applyBorder="1"/>
    <xf numFmtId="0" fontId="14" fillId="28" borderId="0" xfId="7" applyFont="1" applyFill="1"/>
    <xf numFmtId="0" fontId="14" fillId="24" borderId="0" xfId="7" applyFont="1" applyFill="1"/>
    <xf numFmtId="10" fontId="14" fillId="24" borderId="0" xfId="8" applyNumberFormat="1" applyFont="1" applyFill="1" applyBorder="1"/>
    <xf numFmtId="2" fontId="70" fillId="24" borderId="0" xfId="8" applyNumberFormat="1" applyFont="1" applyFill="1" applyBorder="1"/>
    <xf numFmtId="0" fontId="14" fillId="24" borderId="4" xfId="7" applyFont="1" applyFill="1" applyBorder="1"/>
    <xf numFmtId="0" fontId="13" fillId="28" borderId="0" xfId="7" applyFont="1" applyFill="1"/>
    <xf numFmtId="10" fontId="16" fillId="18" borderId="23" xfId="12" applyNumberFormat="1" applyFont="1" applyFill="1" applyBorder="1" applyAlignment="1">
      <alignment horizontal="center"/>
    </xf>
    <xf numFmtId="164" fontId="15" fillId="0" borderId="0" xfId="2" applyNumberFormat="1" applyFont="1"/>
    <xf numFmtId="164" fontId="15" fillId="0" borderId="0" xfId="12" applyNumberFormat="1"/>
    <xf numFmtId="164" fontId="15" fillId="6" borderId="0" xfId="2" applyNumberFormat="1" applyFont="1" applyFill="1"/>
    <xf numFmtId="44" fontId="15" fillId="0" borderId="0" xfId="12" applyNumberFormat="1" applyAlignment="1">
      <alignment horizontal="right"/>
    </xf>
    <xf numFmtId="4" fontId="15" fillId="0" borderId="0" xfId="8" applyNumberFormat="1" applyFont="1" applyProtection="1"/>
    <xf numFmtId="9" fontId="62" fillId="24" borderId="41" xfId="2" applyFont="1" applyFill="1" applyBorder="1"/>
    <xf numFmtId="169" fontId="0" fillId="0" borderId="41" xfId="6" applyNumberFormat="1" applyFont="1" applyFill="1" applyBorder="1"/>
    <xf numFmtId="9" fontId="62" fillId="0" borderId="41" xfId="2" applyFont="1" applyFill="1" applyBorder="1"/>
    <xf numFmtId="169" fontId="0" fillId="0" borderId="39" xfId="6" applyNumberFormat="1" applyFont="1" applyFill="1" applyBorder="1"/>
    <xf numFmtId="2" fontId="0" fillId="0" borderId="41" xfId="0" applyNumberFormat="1" applyBorder="1"/>
    <xf numFmtId="167" fontId="0" fillId="0" borderId="41" xfId="0" applyNumberFormat="1" applyBorder="1"/>
    <xf numFmtId="0" fontId="0" fillId="0" borderId="41" xfId="0" applyBorder="1"/>
    <xf numFmtId="177" fontId="0" fillId="0" borderId="41" xfId="0" applyNumberFormat="1" applyBorder="1"/>
    <xf numFmtId="0" fontId="0" fillId="24" borderId="41" xfId="0" applyFill="1" applyBorder="1"/>
    <xf numFmtId="169" fontId="0" fillId="0" borderId="38" xfId="6" applyNumberFormat="1" applyFont="1" applyFill="1" applyBorder="1"/>
    <xf numFmtId="169" fontId="0" fillId="0" borderId="41" xfId="0" applyNumberFormat="1" applyBorder="1"/>
    <xf numFmtId="43" fontId="0" fillId="0" borderId="41" xfId="0" applyNumberFormat="1" applyBorder="1"/>
    <xf numFmtId="44" fontId="6" fillId="0" borderId="41" xfId="0" applyNumberFormat="1" applyFont="1" applyBorder="1" applyAlignment="1">
      <alignment horizontal="center"/>
    </xf>
    <xf numFmtId="2" fontId="6" fillId="0" borderId="41" xfId="0" applyNumberFormat="1" applyFont="1" applyBorder="1" applyAlignment="1">
      <alignment horizontal="center"/>
    </xf>
    <xf numFmtId="43" fontId="6" fillId="0" borderId="41" xfId="0" applyNumberFormat="1" applyFont="1" applyBorder="1"/>
    <xf numFmtId="2" fontId="6" fillId="0" borderId="38" xfId="0" applyNumberFormat="1" applyFont="1" applyBorder="1" applyAlignment="1">
      <alignment horizontal="center"/>
    </xf>
    <xf numFmtId="0" fontId="1" fillId="0" borderId="4" xfId="7" applyBorder="1" applyAlignment="1">
      <alignment horizontal="center"/>
    </xf>
    <xf numFmtId="43" fontId="1" fillId="0" borderId="4" xfId="7" applyNumberFormat="1" applyBorder="1"/>
    <xf numFmtId="14" fontId="12" fillId="0" borderId="9" xfId="7" applyNumberFormat="1" applyFont="1" applyBorder="1" applyAlignment="1">
      <alignment horizontal="right"/>
    </xf>
    <xf numFmtId="14" fontId="12" fillId="0" borderId="4" xfId="7" applyNumberFormat="1" applyFont="1" applyBorder="1" applyAlignment="1">
      <alignment horizontal="right"/>
    </xf>
    <xf numFmtId="6" fontId="6" fillId="0" borderId="4" xfId="0" applyNumberFormat="1" applyFont="1" applyBorder="1" applyAlignment="1">
      <alignment horizontal="center"/>
    </xf>
    <xf numFmtId="9" fontId="0" fillId="24" borderId="41" xfId="2" applyFont="1" applyFill="1" applyBorder="1"/>
    <xf numFmtId="169" fontId="0" fillId="0" borderId="41" xfId="6" applyNumberFormat="1" applyFont="1" applyBorder="1"/>
    <xf numFmtId="9" fontId="62" fillId="0" borderId="41" xfId="2" applyFont="1" applyBorder="1"/>
    <xf numFmtId="169" fontId="0" fillId="0" borderId="39" xfId="6" applyNumberFormat="1" applyFont="1" applyBorder="1"/>
    <xf numFmtId="43" fontId="0" fillId="0" borderId="41" xfId="1" applyFont="1" applyBorder="1" applyAlignment="1">
      <alignment horizontal="right"/>
    </xf>
    <xf numFmtId="169" fontId="0" fillId="0" borderId="38" xfId="0" applyNumberFormat="1" applyBorder="1"/>
    <xf numFmtId="0" fontId="0" fillId="0" borderId="11" xfId="0" applyBorder="1"/>
    <xf numFmtId="0" fontId="0" fillId="0" borderId="48" xfId="0" applyBorder="1"/>
    <xf numFmtId="9" fontId="0" fillId="24" borderId="16" xfId="2" applyFont="1" applyFill="1" applyBorder="1"/>
    <xf numFmtId="169" fontId="0" fillId="0" borderId="16" xfId="6" applyNumberFormat="1" applyFont="1" applyBorder="1"/>
    <xf numFmtId="9" fontId="62" fillId="0" borderId="16" xfId="2" applyFont="1" applyBorder="1"/>
    <xf numFmtId="169" fontId="0" fillId="0" borderId="11" xfId="6" applyNumberFormat="1" applyFont="1" applyBorder="1"/>
    <xf numFmtId="169" fontId="0" fillId="0" borderId="47" xfId="6" applyNumberFormat="1" applyFont="1" applyBorder="1"/>
    <xf numFmtId="43" fontId="0" fillId="0" borderId="16" xfId="1" applyFont="1" applyBorder="1" applyAlignment="1">
      <alignment horizontal="right"/>
    </xf>
    <xf numFmtId="169" fontId="0" fillId="0" borderId="16" xfId="6" applyNumberFormat="1" applyFont="1" applyBorder="1" applyAlignment="1">
      <alignment horizontal="right"/>
    </xf>
    <xf numFmtId="177" fontId="0" fillId="0" borderId="16" xfId="0" applyNumberFormat="1" applyBorder="1"/>
    <xf numFmtId="0" fontId="0" fillId="24" borderId="16" xfId="0" applyFill="1" applyBorder="1"/>
    <xf numFmtId="169" fontId="0" fillId="0" borderId="16" xfId="0" applyNumberFormat="1" applyBorder="1"/>
    <xf numFmtId="0" fontId="0" fillId="0" borderId="38" xfId="0" applyBorder="1"/>
    <xf numFmtId="39" fontId="1" fillId="0" borderId="0" xfId="7" applyNumberFormat="1"/>
    <xf numFmtId="44" fontId="66" fillId="24" borderId="16" xfId="6" applyFont="1" applyFill="1" applyBorder="1"/>
    <xf numFmtId="44" fontId="71" fillId="24" borderId="41" xfId="6" applyFont="1" applyFill="1" applyBorder="1"/>
    <xf numFmtId="44" fontId="0" fillId="0" borderId="0" xfId="6" applyFont="1"/>
    <xf numFmtId="44" fontId="0" fillId="0" borderId="0" xfId="0" applyNumberFormat="1"/>
    <xf numFmtId="169" fontId="0" fillId="4" borderId="0" xfId="0" applyNumberFormat="1" applyFill="1"/>
    <xf numFmtId="0" fontId="66" fillId="0" borderId="0" xfId="0" applyFont="1"/>
    <xf numFmtId="0" fontId="9" fillId="0" borderId="0" xfId="9" applyFont="1" applyAlignment="1">
      <alignment horizontal="right" indent="2"/>
    </xf>
    <xf numFmtId="0" fontId="0" fillId="0" borderId="23" xfId="0" applyBorder="1"/>
    <xf numFmtId="169" fontId="0" fillId="0" borderId="23" xfId="6" applyNumberFormat="1" applyFont="1" applyBorder="1"/>
    <xf numFmtId="9" fontId="0" fillId="0" borderId="23" xfId="2" applyFont="1" applyBorder="1"/>
    <xf numFmtId="0" fontId="0" fillId="0" borderId="10" xfId="0" applyBorder="1"/>
    <xf numFmtId="17" fontId="0" fillId="0" borderId="0" xfId="0" applyNumberFormat="1"/>
    <xf numFmtId="169" fontId="0" fillId="0" borderId="23" xfId="0" applyNumberFormat="1" applyBorder="1"/>
    <xf numFmtId="0" fontId="0" fillId="0" borderId="7" xfId="0" applyBorder="1"/>
    <xf numFmtId="168" fontId="6" fillId="12" borderId="0" xfId="0" applyNumberFormat="1" applyFont="1" applyFill="1" applyAlignment="1">
      <alignment horizontal="center"/>
    </xf>
    <xf numFmtId="168" fontId="0" fillId="0" borderId="0" xfId="1" applyNumberFormat="1" applyFont="1" applyFill="1" applyBorder="1"/>
    <xf numFmtId="0" fontId="0" fillId="0" borderId="0" xfId="0" applyAlignment="1">
      <alignment horizontal="left" indent="2"/>
    </xf>
    <xf numFmtId="0" fontId="0" fillId="0" borderId="23" xfId="0" applyBorder="1" applyAlignment="1">
      <alignment horizontal="left" indent="2"/>
    </xf>
    <xf numFmtId="169" fontId="0" fillId="29" borderId="0" xfId="0" applyNumberFormat="1" applyFill="1"/>
    <xf numFmtId="0" fontId="8" fillId="0" borderId="23" xfId="0" applyFont="1" applyBorder="1"/>
    <xf numFmtId="44" fontId="0" fillId="0" borderId="23" xfId="0" applyNumberFormat="1" applyBorder="1"/>
    <xf numFmtId="0" fontId="0" fillId="0" borderId="7" xfId="0" applyBorder="1" applyAlignment="1">
      <alignment wrapText="1"/>
    </xf>
    <xf numFmtId="0" fontId="0" fillId="0" borderId="0" xfId="0" applyAlignment="1">
      <alignment horizontal="center" wrapText="1"/>
    </xf>
    <xf numFmtId="169" fontId="0" fillId="0" borderId="10" xfId="0" applyNumberFormat="1" applyBorder="1"/>
    <xf numFmtId="0" fontId="0" fillId="2" borderId="0" xfId="0" applyFill="1"/>
    <xf numFmtId="165" fontId="12" fillId="0" borderId="10" xfId="9" applyNumberFormat="1" applyFont="1" applyBorder="1" applyAlignment="1">
      <alignment horizontal="center"/>
    </xf>
    <xf numFmtId="43" fontId="0" fillId="4" borderId="53" xfId="3" applyNumberFormat="1" applyFont="1" applyFill="1" applyBorder="1"/>
    <xf numFmtId="177" fontId="0" fillId="4" borderId="53" xfId="0" applyNumberFormat="1" applyFill="1" applyBorder="1"/>
    <xf numFmtId="165" fontId="6" fillId="6" borderId="16" xfId="2" applyNumberFormat="1" applyFont="1" applyFill="1" applyBorder="1" applyAlignment="1">
      <alignment horizontal="center"/>
    </xf>
    <xf numFmtId="165" fontId="7" fillId="3" borderId="16" xfId="0" applyNumberFormat="1" applyFont="1" applyFill="1" applyBorder="1"/>
    <xf numFmtId="9" fontId="6" fillId="6" borderId="0" xfId="1" applyNumberFormat="1" applyFont="1" applyFill="1" applyBorder="1"/>
    <xf numFmtId="165" fontId="6" fillId="6" borderId="0" xfId="2" applyNumberFormat="1" applyFont="1" applyFill="1" applyBorder="1"/>
    <xf numFmtId="177" fontId="0" fillId="6" borderId="0" xfId="0" applyNumberFormat="1" applyFill="1"/>
    <xf numFmtId="44" fontId="46" fillId="0" borderId="59" xfId="11" applyFont="1" applyFill="1" applyBorder="1" applyProtection="1">
      <protection locked="0"/>
    </xf>
    <xf numFmtId="44" fontId="46" fillId="6" borderId="0" xfId="12" applyNumberFormat="1" applyFont="1" applyFill="1"/>
    <xf numFmtId="178" fontId="42" fillId="0" borderId="21" xfId="12" applyNumberFormat="1" applyFont="1" applyBorder="1"/>
    <xf numFmtId="8" fontId="15" fillId="0" borderId="0" xfId="12" applyNumberFormat="1"/>
    <xf numFmtId="0" fontId="16" fillId="18" borderId="23" xfId="12" applyFont="1" applyFill="1" applyBorder="1" applyAlignment="1">
      <alignment horizontal="center"/>
    </xf>
    <xf numFmtId="0" fontId="15" fillId="0" borderId="0" xfId="8" applyNumberFormat="1" applyFont="1" applyProtection="1"/>
    <xf numFmtId="14" fontId="15" fillId="0" borderId="0" xfId="12" applyNumberFormat="1"/>
    <xf numFmtId="3" fontId="1" fillId="0" borderId="52" xfId="5" applyNumberFormat="1" applyFill="1" applyBorder="1"/>
    <xf numFmtId="3" fontId="1" fillId="0" borderId="53" xfId="5" applyNumberFormat="1" applyFill="1" applyBorder="1"/>
    <xf numFmtId="3" fontId="1" fillId="0" borderId="0" xfId="5" applyNumberFormat="1" applyFill="1" applyBorder="1"/>
    <xf numFmtId="0" fontId="72" fillId="0" borderId="0" xfId="12" applyFont="1"/>
    <xf numFmtId="6" fontId="15" fillId="0" borderId="0" xfId="12" applyNumberFormat="1"/>
    <xf numFmtId="168" fontId="8" fillId="3" borderId="0" xfId="1" applyNumberFormat="1" applyFont="1" applyFill="1"/>
    <xf numFmtId="168" fontId="8" fillId="3" borderId="23" xfId="1" applyNumberFormat="1" applyFont="1" applyFill="1" applyBorder="1"/>
    <xf numFmtId="168" fontId="8" fillId="3" borderId="0" xfId="1" applyNumberFormat="1" applyFont="1" applyFill="1" applyBorder="1"/>
    <xf numFmtId="168" fontId="0" fillId="0" borderId="0" xfId="1" applyNumberFormat="1" applyFont="1" applyBorder="1"/>
    <xf numFmtId="0" fontId="0" fillId="3" borderId="49" xfId="0" applyFill="1" applyBorder="1"/>
    <xf numFmtId="0" fontId="0" fillId="3" borderId="50" xfId="0" applyFill="1" applyBorder="1"/>
    <xf numFmtId="0" fontId="0" fillId="3" borderId="51" xfId="0" applyFill="1" applyBorder="1"/>
    <xf numFmtId="168" fontId="8" fillId="3" borderId="52" xfId="1" applyNumberFormat="1" applyFont="1" applyFill="1" applyBorder="1"/>
    <xf numFmtId="168" fontId="8" fillId="3" borderId="53" xfId="1" applyNumberFormat="1" applyFont="1" applyFill="1" applyBorder="1"/>
    <xf numFmtId="164" fontId="1" fillId="0" borderId="1" xfId="8" applyNumberFormat="1" applyFont="1" applyFill="1" applyBorder="1"/>
    <xf numFmtId="9" fontId="1" fillId="0" borderId="0" xfId="8" applyFont="1" applyFill="1"/>
    <xf numFmtId="10" fontId="1" fillId="0" borderId="23" xfId="7" applyNumberFormat="1" applyBorder="1"/>
    <xf numFmtId="9" fontId="12" fillId="0" borderId="0" xfId="8" applyFont="1" applyFill="1" applyAlignment="1">
      <alignment horizontal="right"/>
    </xf>
    <xf numFmtId="44" fontId="0" fillId="26" borderId="0" xfId="0" applyNumberFormat="1" applyFill="1"/>
    <xf numFmtId="169" fontId="0" fillId="26" borderId="0" xfId="6" applyNumberFormat="1" applyFont="1" applyFill="1"/>
    <xf numFmtId="0" fontId="1" fillId="26" borderId="4" xfId="7" applyFill="1" applyBorder="1" applyAlignment="1">
      <alignment horizontal="center"/>
    </xf>
    <xf numFmtId="2" fontId="1" fillId="26" borderId="4" xfId="7" applyNumberFormat="1" applyFill="1" applyBorder="1"/>
    <xf numFmtId="43" fontId="1" fillId="26" borderId="4" xfId="7" applyNumberFormat="1" applyFill="1" applyBorder="1"/>
    <xf numFmtId="165" fontId="1" fillId="26" borderId="4" xfId="2" applyNumberFormat="1" applyFont="1" applyFill="1" applyBorder="1"/>
    <xf numFmtId="0" fontId="1" fillId="26" borderId="4" xfId="7" applyFill="1" applyBorder="1"/>
    <xf numFmtId="167" fontId="1" fillId="26" borderId="4" xfId="1" applyNumberFormat="1" applyFont="1" applyFill="1" applyBorder="1"/>
    <xf numFmtId="168" fontId="1" fillId="26" borderId="4" xfId="1" applyNumberFormat="1" applyFont="1" applyFill="1" applyBorder="1"/>
    <xf numFmtId="14" fontId="12" fillId="26" borderId="10" xfId="7" applyNumberFormat="1" applyFont="1" applyFill="1" applyBorder="1" applyAlignment="1">
      <alignment horizontal="right"/>
    </xf>
    <xf numFmtId="165" fontId="12" fillId="26" borderId="0" xfId="9" applyNumberFormat="1" applyFont="1" applyFill="1"/>
    <xf numFmtId="14" fontId="12" fillId="26" borderId="42" xfId="7" applyNumberFormat="1" applyFont="1" applyFill="1" applyBorder="1" applyAlignment="1">
      <alignment horizontal="right"/>
    </xf>
    <xf numFmtId="168" fontId="12" fillId="26" borderId="4" xfId="10" applyNumberFormat="1" applyFont="1" applyFill="1" applyBorder="1"/>
    <xf numFmtId="168" fontId="12" fillId="26" borderId="9" xfId="10" applyNumberFormat="1" applyFont="1" applyFill="1" applyBorder="1"/>
    <xf numFmtId="168" fontId="24" fillId="26" borderId="4" xfId="10" applyNumberFormat="1" applyFont="1" applyFill="1" applyBorder="1"/>
    <xf numFmtId="9" fontId="21" fillId="26" borderId="4" xfId="2" applyFont="1" applyFill="1" applyBorder="1"/>
    <xf numFmtId="169" fontId="21" fillId="26" borderId="4" xfId="6" applyNumberFormat="1" applyFont="1" applyFill="1" applyBorder="1"/>
    <xf numFmtId="43" fontId="12" fillId="26" borderId="4" xfId="10" applyFont="1" applyFill="1" applyBorder="1"/>
    <xf numFmtId="165" fontId="12" fillId="26" borderId="4" xfId="2" applyNumberFormat="1" applyFont="1" applyFill="1" applyBorder="1"/>
    <xf numFmtId="0" fontId="12" fillId="26" borderId="4" xfId="9" applyFont="1" applyFill="1" applyBorder="1"/>
    <xf numFmtId="165" fontId="22" fillId="26" borderId="4" xfId="2" applyNumberFormat="1" applyFont="1" applyFill="1" applyBorder="1"/>
    <xf numFmtId="0" fontId="22" fillId="26" borderId="4" xfId="7" applyFont="1" applyFill="1" applyBorder="1"/>
    <xf numFmtId="43" fontId="17" fillId="26" borderId="4" xfId="10" applyFont="1" applyFill="1" applyBorder="1" applyAlignment="1">
      <alignment horizontal="right"/>
    </xf>
    <xf numFmtId="43" fontId="1" fillId="26" borderId="9" xfId="10" applyFont="1" applyFill="1" applyBorder="1"/>
    <xf numFmtId="43" fontId="29" fillId="26" borderId="4" xfId="10" applyFont="1" applyFill="1" applyBorder="1" applyAlignment="1">
      <alignment horizontal="right"/>
    </xf>
    <xf numFmtId="37" fontId="12" fillId="26" borderId="4" xfId="7" applyNumberFormat="1" applyFont="1" applyFill="1" applyBorder="1" applyAlignment="1">
      <alignment horizontal="right"/>
    </xf>
    <xf numFmtId="171" fontId="17" fillId="26" borderId="4" xfId="7" applyNumberFormat="1" applyFont="1" applyFill="1" applyBorder="1" applyAlignment="1">
      <alignment horizontal="right"/>
    </xf>
    <xf numFmtId="171" fontId="22" fillId="26" borderId="9" xfId="7" applyNumberFormat="1" applyFont="1" applyFill="1" applyBorder="1" applyAlignment="1">
      <alignment horizontal="right"/>
    </xf>
    <xf numFmtId="171" fontId="26" fillId="26" borderId="9" xfId="7" applyNumberFormat="1" applyFont="1" applyFill="1" applyBorder="1" applyAlignment="1">
      <alignment horizontal="right"/>
    </xf>
    <xf numFmtId="168" fontId="24" fillId="26" borderId="0" xfId="10" applyNumberFormat="1" applyFont="1" applyFill="1" applyBorder="1"/>
    <xf numFmtId="168" fontId="12" fillId="26" borderId="4" xfId="11" applyNumberFormat="1" applyFont="1" applyFill="1" applyBorder="1"/>
    <xf numFmtId="168" fontId="12" fillId="26" borderId="9" xfId="11" applyNumberFormat="1" applyFont="1" applyFill="1" applyBorder="1"/>
    <xf numFmtId="168" fontId="24" fillId="26" borderId="0" xfId="9" applyNumberFormat="1" applyFont="1" applyFill="1"/>
    <xf numFmtId="168" fontId="24" fillId="26" borderId="0" xfId="11" applyNumberFormat="1" applyFont="1" applyFill="1" applyBorder="1"/>
    <xf numFmtId="168" fontId="12" fillId="26" borderId="0" xfId="11" applyNumberFormat="1" applyFont="1" applyFill="1" applyBorder="1"/>
    <xf numFmtId="168" fontId="24" fillId="26" borderId="7" xfId="11" applyNumberFormat="1" applyFont="1" applyFill="1" applyBorder="1"/>
    <xf numFmtId="169" fontId="12" fillId="26" borderId="4" xfId="11" applyNumberFormat="1" applyFont="1" applyFill="1" applyBorder="1"/>
    <xf numFmtId="169" fontId="12" fillId="26" borderId="9" xfId="11" applyNumberFormat="1" applyFont="1" applyFill="1" applyBorder="1"/>
    <xf numFmtId="169" fontId="24" fillId="26" borderId="4" xfId="11" applyNumberFormat="1" applyFont="1" applyFill="1" applyBorder="1"/>
    <xf numFmtId="0" fontId="1" fillId="26" borderId="9" xfId="7" applyFill="1" applyBorder="1"/>
    <xf numFmtId="0" fontId="1" fillId="26" borderId="0" xfId="7" applyFill="1"/>
    <xf numFmtId="168" fontId="1" fillId="26" borderId="0" xfId="7" applyNumberFormat="1" applyFill="1"/>
    <xf numFmtId="168" fontId="12" fillId="26" borderId="4" xfId="9" applyNumberFormat="1" applyFont="1" applyFill="1" applyBorder="1"/>
    <xf numFmtId="0" fontId="8" fillId="0" borderId="23" xfId="0" applyFont="1" applyBorder="1" applyAlignment="1">
      <alignment horizontal="right"/>
    </xf>
    <xf numFmtId="17" fontId="0" fillId="0" borderId="0" xfId="0" applyNumberFormat="1" applyAlignment="1">
      <alignment horizontal="center"/>
    </xf>
    <xf numFmtId="165" fontId="62" fillId="0" borderId="0" xfId="2" applyNumberFormat="1" applyFont="1" applyFill="1"/>
    <xf numFmtId="165" fontId="62" fillId="0" borderId="41" xfId="2" applyNumberFormat="1" applyFont="1" applyBorder="1"/>
    <xf numFmtId="0" fontId="8" fillId="0" borderId="0" xfId="0" applyFont="1"/>
    <xf numFmtId="0" fontId="8" fillId="0" borderId="0" xfId="0" applyFont="1" applyAlignment="1">
      <alignment horizontal="right"/>
    </xf>
    <xf numFmtId="9" fontId="0" fillId="0" borderId="0" xfId="2" applyFont="1" applyBorder="1" applyAlignment="1">
      <alignment horizontal="center"/>
    </xf>
    <xf numFmtId="168" fontId="0" fillId="0" borderId="52" xfId="0" applyNumberFormat="1" applyBorder="1"/>
    <xf numFmtId="9" fontId="12" fillId="26" borderId="4" xfId="2" applyFont="1" applyFill="1" applyBorder="1"/>
    <xf numFmtId="43" fontId="12" fillId="26" borderId="4" xfId="9" applyNumberFormat="1" applyFont="1" applyFill="1" applyBorder="1"/>
    <xf numFmtId="169" fontId="0" fillId="0" borderId="38" xfId="6" applyNumberFormat="1" applyFont="1" applyBorder="1"/>
    <xf numFmtId="14" fontId="6" fillId="0" borderId="0" xfId="2" applyNumberFormat="1" applyFont="1" applyBorder="1"/>
    <xf numFmtId="43" fontId="6" fillId="0" borderId="0" xfId="2" applyNumberFormat="1" applyFont="1" applyBorder="1"/>
    <xf numFmtId="0" fontId="73" fillId="0" borderId="0" xfId="0" applyFont="1"/>
    <xf numFmtId="9" fontId="73" fillId="0" borderId="0" xfId="2" applyFont="1"/>
    <xf numFmtId="0" fontId="74" fillId="0" borderId="0" xfId="0" applyFont="1"/>
    <xf numFmtId="9" fontId="74" fillId="0" borderId="0" xfId="2" applyFont="1"/>
    <xf numFmtId="0" fontId="75" fillId="0" borderId="0" xfId="0" applyFont="1" applyAlignment="1">
      <alignment horizontal="left" indent="2"/>
    </xf>
    <xf numFmtId="168" fontId="0" fillId="4" borderId="52" xfId="1" applyNumberFormat="1" applyFont="1" applyFill="1" applyBorder="1"/>
    <xf numFmtId="168" fontId="0" fillId="4" borderId="53" xfId="1" applyNumberFormat="1" applyFont="1" applyFill="1" applyBorder="1"/>
    <xf numFmtId="168" fontId="0" fillId="4" borderId="0" xfId="1" applyNumberFormat="1" applyFont="1" applyFill="1" applyBorder="1"/>
    <xf numFmtId="0" fontId="75" fillId="0" borderId="23" xfId="0" applyFont="1" applyBorder="1" applyAlignment="1">
      <alignment horizontal="left" indent="2"/>
    </xf>
    <xf numFmtId="0" fontId="76" fillId="0" borderId="54" xfId="0" applyFont="1" applyBorder="1"/>
    <xf numFmtId="0" fontId="77" fillId="0" borderId="60" xfId="0" applyFont="1" applyBorder="1"/>
    <xf numFmtId="0" fontId="77" fillId="0" borderId="23" xfId="0" applyFont="1" applyBorder="1"/>
    <xf numFmtId="0" fontId="78" fillId="0" borderId="0" xfId="0" applyFont="1" applyAlignment="1">
      <alignment horizontal="left" indent="1"/>
    </xf>
    <xf numFmtId="0" fontId="78" fillId="0" borderId="0" xfId="0" applyFont="1"/>
    <xf numFmtId="0" fontId="75" fillId="0" borderId="0" xfId="0" applyFont="1"/>
    <xf numFmtId="4" fontId="1" fillId="26" borderId="0" xfId="7" applyNumberFormat="1" applyFill="1"/>
    <xf numFmtId="0" fontId="8" fillId="0" borderId="7" xfId="0" applyFont="1" applyBorder="1"/>
    <xf numFmtId="43" fontId="75" fillId="0" borderId="0" xfId="1" applyFont="1"/>
    <xf numFmtId="0" fontId="75" fillId="0" borderId="0" xfId="0" applyFont="1" applyAlignment="1">
      <alignment horizontal="left"/>
    </xf>
    <xf numFmtId="0" fontId="75" fillId="16" borderId="0" xfId="0" applyFont="1" applyFill="1"/>
    <xf numFmtId="0" fontId="75" fillId="17" borderId="0" xfId="0" applyFont="1" applyFill="1"/>
    <xf numFmtId="0" fontId="75" fillId="32" borderId="0" xfId="0" applyFont="1" applyFill="1"/>
    <xf numFmtId="0" fontId="75" fillId="6" borderId="0" xfId="0" applyFont="1" applyFill="1"/>
    <xf numFmtId="0" fontId="75" fillId="33" borderId="0" xfId="0" applyFont="1" applyFill="1"/>
    <xf numFmtId="0" fontId="75" fillId="25" borderId="0" xfId="0" applyFont="1" applyFill="1"/>
    <xf numFmtId="0" fontId="75" fillId="29" borderId="0" xfId="0" applyFont="1" applyFill="1"/>
    <xf numFmtId="43" fontId="1" fillId="26" borderId="0" xfId="7" applyNumberFormat="1" applyFill="1"/>
    <xf numFmtId="166" fontId="1" fillId="26" borderId="4" xfId="1" applyNumberFormat="1" applyFont="1" applyFill="1" applyBorder="1"/>
    <xf numFmtId="0" fontId="6" fillId="12" borderId="23" xfId="0" applyFont="1" applyFill="1" applyBorder="1" applyAlignment="1">
      <alignment horizontal="center" wrapText="1"/>
    </xf>
    <xf numFmtId="43" fontId="6" fillId="4" borderId="41" xfId="1" applyFont="1" applyFill="1" applyBorder="1"/>
    <xf numFmtId="3" fontId="8" fillId="3" borderId="52" xfId="1" applyNumberFormat="1" applyFont="1" applyFill="1" applyBorder="1"/>
    <xf numFmtId="3" fontId="8" fillId="3" borderId="0" xfId="1" applyNumberFormat="1" applyFont="1" applyFill="1" applyBorder="1"/>
    <xf numFmtId="3" fontId="2" fillId="4" borderId="52" xfId="3" applyNumberFormat="1" applyFont="1" applyFill="1" applyBorder="1"/>
    <xf numFmtId="3" fontId="2" fillId="4" borderId="0" xfId="3" applyNumberFormat="1" applyFont="1" applyFill="1" applyBorder="1"/>
    <xf numFmtId="3" fontId="2" fillId="8" borderId="0" xfId="3" applyNumberFormat="1" applyFont="1" applyBorder="1"/>
    <xf numFmtId="3" fontId="2" fillId="0" borderId="0" xfId="3" applyNumberFormat="1" applyFont="1" applyFill="1"/>
    <xf numFmtId="3" fontId="2" fillId="0" borderId="0" xfId="0" applyNumberFormat="1" applyFont="1"/>
    <xf numFmtId="3" fontId="2" fillId="4" borderId="52" xfId="1" applyNumberFormat="1" applyFont="1" applyFill="1" applyBorder="1"/>
    <xf numFmtId="3" fontId="2" fillId="4" borderId="0" xfId="1" applyNumberFormat="1" applyFont="1" applyFill="1" applyBorder="1"/>
    <xf numFmtId="3" fontId="2" fillId="4" borderId="52" xfId="0" applyNumberFormat="1" applyFont="1" applyFill="1" applyBorder="1"/>
    <xf numFmtId="3" fontId="2" fillId="4" borderId="0" xfId="0" applyNumberFormat="1" applyFont="1" applyFill="1"/>
    <xf numFmtId="3" fontId="2" fillId="0" borderId="52" xfId="0" applyNumberFormat="1" applyFont="1" applyBorder="1"/>
    <xf numFmtId="3" fontId="66" fillId="9" borderId="52" xfId="4" applyNumberFormat="1" applyFont="1" applyBorder="1"/>
    <xf numFmtId="3" fontId="66" fillId="9" borderId="0" xfId="4" applyNumberFormat="1" applyFont="1" applyBorder="1"/>
    <xf numFmtId="3" fontId="2" fillId="9" borderId="52" xfId="4" applyNumberFormat="1" applyFont="1" applyBorder="1"/>
    <xf numFmtId="3" fontId="2" fillId="9" borderId="0" xfId="4" applyNumberFormat="1" applyFont="1" applyBorder="1"/>
    <xf numFmtId="3" fontId="79" fillId="30" borderId="52" xfId="0" applyNumberFormat="1" applyFont="1" applyFill="1" applyBorder="1"/>
    <xf numFmtId="3" fontId="79" fillId="30" borderId="0" xfId="0" applyNumberFormat="1" applyFont="1" applyFill="1"/>
    <xf numFmtId="3" fontId="2" fillId="31" borderId="52" xfId="3" applyNumberFormat="1" applyFont="1" applyFill="1" applyBorder="1"/>
    <xf numFmtId="3" fontId="2" fillId="31" borderId="0" xfId="3" applyNumberFormat="1" applyFont="1" applyFill="1" applyBorder="1"/>
    <xf numFmtId="3" fontId="4" fillId="0" borderId="0" xfId="4" applyNumberFormat="1" applyFont="1" applyFill="1"/>
    <xf numFmtId="3" fontId="2" fillId="0" borderId="0" xfId="5" applyNumberFormat="1" applyFont="1" applyFill="1"/>
    <xf numFmtId="3" fontId="2" fillId="10" borderId="52" xfId="5" applyNumberFormat="1" applyFont="1" applyBorder="1"/>
    <xf numFmtId="3" fontId="2" fillId="10" borderId="0" xfId="5" applyNumberFormat="1" applyFont="1" applyBorder="1"/>
    <xf numFmtId="3" fontId="2" fillId="0" borderId="52" xfId="5" applyNumberFormat="1" applyFont="1" applyFill="1" applyBorder="1"/>
    <xf numFmtId="3" fontId="2" fillId="0" borderId="0" xfId="5" applyNumberFormat="1" applyFont="1" applyFill="1" applyBorder="1"/>
    <xf numFmtId="168" fontId="0" fillId="4" borderId="52" xfId="0" applyNumberFormat="1" applyFill="1" applyBorder="1"/>
    <xf numFmtId="168" fontId="0" fillId="4" borderId="53" xfId="0" applyNumberFormat="1" applyFill="1" applyBorder="1"/>
    <xf numFmtId="168" fontId="0" fillId="4" borderId="0" xfId="0" applyNumberFormat="1" applyFill="1"/>
    <xf numFmtId="168" fontId="0" fillId="3" borderId="52" xfId="0" applyNumberFormat="1" applyFill="1" applyBorder="1"/>
    <xf numFmtId="168" fontId="0" fillId="3" borderId="0" xfId="0" applyNumberFormat="1" applyFill="1"/>
    <xf numFmtId="168" fontId="6" fillId="4" borderId="0" xfId="1" applyNumberFormat="1" applyFont="1" applyFill="1" applyBorder="1"/>
    <xf numFmtId="168" fontId="6" fillId="0" borderId="4" xfId="1" applyNumberFormat="1" applyFont="1" applyBorder="1"/>
    <xf numFmtId="168" fontId="6" fillId="0" borderId="0" xfId="1" applyNumberFormat="1" applyFont="1" applyBorder="1"/>
    <xf numFmtId="168" fontId="6" fillId="6" borderId="16" xfId="1" applyNumberFormat="1" applyFont="1" applyFill="1" applyBorder="1"/>
    <xf numFmtId="168" fontId="6" fillId="4" borderId="4" xfId="1" applyNumberFormat="1" applyFont="1" applyFill="1" applyBorder="1"/>
    <xf numFmtId="168" fontId="7" fillId="3" borderId="0" xfId="0" applyNumberFormat="1" applyFont="1" applyFill="1"/>
    <xf numFmtId="168" fontId="7" fillId="3" borderId="4" xfId="0" applyNumberFormat="1" applyFont="1" applyFill="1" applyBorder="1"/>
    <xf numFmtId="168" fontId="7" fillId="3" borderId="16" xfId="0" applyNumberFormat="1" applyFont="1" applyFill="1" applyBorder="1"/>
    <xf numFmtId="168" fontId="0" fillId="0" borderId="4" xfId="0" applyNumberFormat="1" applyBorder="1"/>
    <xf numFmtId="168" fontId="0" fillId="0" borderId="16" xfId="0" applyNumberFormat="1" applyBorder="1"/>
    <xf numFmtId="168" fontId="0" fillId="3" borderId="4" xfId="0" applyNumberFormat="1" applyFill="1" applyBorder="1"/>
    <xf numFmtId="168" fontId="0" fillId="3" borderId="16" xfId="0" applyNumberFormat="1" applyFill="1" applyBorder="1"/>
    <xf numFmtId="168" fontId="7" fillId="3" borderId="0" xfId="1" applyNumberFormat="1" applyFont="1" applyFill="1" applyBorder="1"/>
    <xf numFmtId="168" fontId="7" fillId="3" borderId="4" xfId="1" applyNumberFormat="1" applyFont="1" applyFill="1" applyBorder="1"/>
    <xf numFmtId="168" fontId="7" fillId="3" borderId="16" xfId="1" applyNumberFormat="1" applyFont="1" applyFill="1" applyBorder="1"/>
    <xf numFmtId="168" fontId="0" fillId="0" borderId="0" xfId="2" applyNumberFormat="1" applyFont="1" applyBorder="1"/>
    <xf numFmtId="168" fontId="0" fillId="0" borderId="4" xfId="2" applyNumberFormat="1" applyFont="1" applyBorder="1"/>
    <xf numFmtId="168" fontId="0" fillId="0" borderId="16" xfId="2" applyNumberFormat="1" applyFont="1" applyBorder="1"/>
    <xf numFmtId="168" fontId="0" fillId="0" borderId="0" xfId="1" applyNumberFormat="1" applyFont="1"/>
    <xf numFmtId="168" fontId="0" fillId="4" borderId="4" xfId="1" applyNumberFormat="1" applyFont="1" applyFill="1" applyBorder="1"/>
    <xf numFmtId="168" fontId="0" fillId="4" borderId="4" xfId="0" applyNumberFormat="1" applyFill="1" applyBorder="1"/>
    <xf numFmtId="169" fontId="6" fillId="0" borderId="4" xfId="0" applyNumberFormat="1" applyFont="1" applyBorder="1" applyAlignment="1">
      <alignment horizontal="center"/>
    </xf>
    <xf numFmtId="169" fontId="6" fillId="0" borderId="0" xfId="0" applyNumberFormat="1" applyFont="1" applyAlignment="1">
      <alignment horizontal="center"/>
    </xf>
    <xf numFmtId="169" fontId="6" fillId="0" borderId="41" xfId="0" applyNumberFormat="1" applyFont="1" applyBorder="1" applyAlignment="1">
      <alignment horizontal="center"/>
    </xf>
    <xf numFmtId="169" fontId="6" fillId="0" borderId="16" xfId="0" applyNumberFormat="1" applyFont="1" applyBorder="1"/>
    <xf numFmtId="169" fontId="6" fillId="0" borderId="0" xfId="0" applyNumberFormat="1" applyFont="1"/>
    <xf numFmtId="169" fontId="6" fillId="0" borderId="41" xfId="0" applyNumberFormat="1" applyFont="1" applyBorder="1"/>
    <xf numFmtId="169" fontId="6" fillId="0" borderId="38" xfId="0" applyNumberFormat="1" applyFont="1" applyBorder="1" applyAlignment="1">
      <alignment horizontal="center"/>
    </xf>
    <xf numFmtId="169" fontId="0" fillId="0" borderId="11" xfId="0" applyNumberFormat="1" applyBorder="1"/>
    <xf numFmtId="9" fontId="12" fillId="26" borderId="16" xfId="2" applyFont="1" applyFill="1" applyBorder="1"/>
    <xf numFmtId="9" fontId="12" fillId="26" borderId="41" xfId="2" applyFont="1" applyFill="1" applyBorder="1"/>
    <xf numFmtId="168" fontId="0" fillId="0" borderId="41" xfId="1" applyNumberFormat="1" applyFont="1" applyBorder="1"/>
    <xf numFmtId="14" fontId="12" fillId="26" borderId="48" xfId="7" applyNumberFormat="1" applyFont="1" applyFill="1" applyBorder="1" applyAlignment="1">
      <alignment horizontal="right"/>
    </xf>
    <xf numFmtId="168" fontId="24" fillId="26" borderId="16" xfId="10" applyNumberFormat="1" applyFont="1" applyFill="1" applyBorder="1"/>
    <xf numFmtId="168" fontId="12" fillId="26" borderId="16" xfId="11" applyNumberFormat="1" applyFont="1" applyFill="1" applyBorder="1"/>
    <xf numFmtId="168" fontId="24" fillId="26" borderId="16" xfId="11" applyNumberFormat="1" applyFont="1" applyFill="1" applyBorder="1"/>
    <xf numFmtId="168" fontId="24" fillId="26" borderId="47" xfId="11" applyNumberFormat="1" applyFont="1" applyFill="1" applyBorder="1"/>
    <xf numFmtId="0" fontId="1" fillId="26" borderId="41" xfId="7" applyFill="1" applyBorder="1" applyAlignment="1">
      <alignment horizontal="center"/>
    </xf>
    <xf numFmtId="2" fontId="1" fillId="26" borderId="41" xfId="7" applyNumberFormat="1" applyFill="1" applyBorder="1"/>
    <xf numFmtId="43" fontId="1" fillId="26" borderId="41" xfId="7" applyNumberFormat="1" applyFill="1" applyBorder="1"/>
    <xf numFmtId="165" fontId="1" fillId="26" borderId="41" xfId="2" applyNumberFormat="1" applyFont="1" applyFill="1" applyBorder="1"/>
    <xf numFmtId="0" fontId="1" fillId="26" borderId="41" xfId="7" applyFill="1" applyBorder="1"/>
    <xf numFmtId="167" fontId="1" fillId="26" borderId="41" xfId="1" applyNumberFormat="1" applyFont="1" applyFill="1" applyBorder="1"/>
    <xf numFmtId="168" fontId="1" fillId="26" borderId="41" xfId="1" applyNumberFormat="1" applyFont="1" applyFill="1" applyBorder="1"/>
    <xf numFmtId="0" fontId="14" fillId="24" borderId="41" xfId="7" applyFont="1" applyFill="1" applyBorder="1"/>
    <xf numFmtId="165" fontId="12" fillId="26" borderId="16" xfId="9" applyNumberFormat="1" applyFont="1" applyFill="1" applyBorder="1"/>
    <xf numFmtId="14" fontId="12" fillId="26" borderId="61" xfId="7" applyNumberFormat="1" applyFont="1" applyFill="1" applyBorder="1" applyAlignment="1">
      <alignment horizontal="right"/>
    </xf>
    <xf numFmtId="168" fontId="12" fillId="26" borderId="41" xfId="10" applyNumberFormat="1" applyFont="1" applyFill="1" applyBorder="1"/>
    <xf numFmtId="43" fontId="12" fillId="26" borderId="41" xfId="10" applyFont="1" applyFill="1" applyBorder="1"/>
    <xf numFmtId="168" fontId="12" fillId="26" borderId="38" xfId="10" applyNumberFormat="1" applyFont="1" applyFill="1" applyBorder="1"/>
    <xf numFmtId="168" fontId="24" fillId="26" borderId="41" xfId="10" applyNumberFormat="1" applyFont="1" applyFill="1" applyBorder="1"/>
    <xf numFmtId="9" fontId="21" fillId="26" borderId="41" xfId="2" applyFont="1" applyFill="1" applyBorder="1"/>
    <xf numFmtId="169" fontId="21" fillId="26" borderId="41" xfId="6" applyNumberFormat="1" applyFont="1" applyFill="1" applyBorder="1"/>
    <xf numFmtId="165" fontId="12" fillId="26" borderId="41" xfId="2" applyNumberFormat="1" applyFont="1" applyFill="1" applyBorder="1"/>
    <xf numFmtId="0" fontId="12" fillId="26" borderId="41" xfId="9" applyFont="1" applyFill="1" applyBorder="1"/>
    <xf numFmtId="43" fontId="12" fillId="26" borderId="41" xfId="9" applyNumberFormat="1" applyFont="1" applyFill="1" applyBorder="1"/>
    <xf numFmtId="165" fontId="22" fillId="26" borderId="41" xfId="2" applyNumberFormat="1" applyFont="1" applyFill="1" applyBorder="1"/>
    <xf numFmtId="0" fontId="22" fillId="26" borderId="41" xfId="7" applyFont="1" applyFill="1" applyBorder="1"/>
    <xf numFmtId="43" fontId="17" fillId="26" borderId="41" xfId="10" applyFont="1" applyFill="1" applyBorder="1" applyAlignment="1">
      <alignment horizontal="right"/>
    </xf>
    <xf numFmtId="43" fontId="1" fillId="26" borderId="38" xfId="10" applyFont="1" applyFill="1" applyBorder="1"/>
    <xf numFmtId="43" fontId="29" fillId="26" borderId="41" xfId="10" applyFont="1" applyFill="1" applyBorder="1" applyAlignment="1">
      <alignment horizontal="right"/>
    </xf>
    <xf numFmtId="37" fontId="12" fillId="26" borderId="41" xfId="7" applyNumberFormat="1" applyFont="1" applyFill="1" applyBorder="1" applyAlignment="1">
      <alignment horizontal="right"/>
    </xf>
    <xf numFmtId="171" fontId="17" fillId="26" borderId="41" xfId="7" applyNumberFormat="1" applyFont="1" applyFill="1" applyBorder="1" applyAlignment="1">
      <alignment horizontal="right"/>
    </xf>
    <xf numFmtId="171" fontId="22" fillId="26" borderId="38" xfId="7" applyNumberFormat="1" applyFont="1" applyFill="1" applyBorder="1" applyAlignment="1">
      <alignment horizontal="right"/>
    </xf>
    <xf numFmtId="171" fontId="26" fillId="26" borderId="38" xfId="7" applyNumberFormat="1" applyFont="1" applyFill="1" applyBorder="1" applyAlignment="1">
      <alignment horizontal="right"/>
    </xf>
    <xf numFmtId="10" fontId="14" fillId="24" borderId="16" xfId="8" applyNumberFormat="1" applyFont="1" applyFill="1" applyBorder="1"/>
    <xf numFmtId="168" fontId="12" fillId="26" borderId="41" xfId="9" applyNumberFormat="1" applyFont="1" applyFill="1" applyBorder="1"/>
    <xf numFmtId="168" fontId="12" fillId="26" borderId="41" xfId="11" applyNumberFormat="1" applyFont="1" applyFill="1" applyBorder="1"/>
    <xf numFmtId="168" fontId="12" fillId="26" borderId="38" xfId="11" applyNumberFormat="1" applyFont="1" applyFill="1" applyBorder="1"/>
    <xf numFmtId="169" fontId="12" fillId="26" borderId="41" xfId="11" applyNumberFormat="1" applyFont="1" applyFill="1" applyBorder="1"/>
    <xf numFmtId="169" fontId="12" fillId="26" borderId="38" xfId="11" applyNumberFormat="1" applyFont="1" applyFill="1" applyBorder="1"/>
    <xf numFmtId="169" fontId="24" fillId="26" borderId="41" xfId="11" applyNumberFormat="1" applyFont="1" applyFill="1" applyBorder="1"/>
    <xf numFmtId="0" fontId="1" fillId="26" borderId="38" xfId="7" applyFill="1" applyBorder="1"/>
    <xf numFmtId="14" fontId="12" fillId="27" borderId="41" xfId="7" applyNumberFormat="1" applyFont="1" applyFill="1" applyBorder="1" applyAlignment="1">
      <alignment horizontal="right"/>
    </xf>
    <xf numFmtId="165" fontId="12" fillId="26" borderId="41" xfId="9" applyNumberFormat="1" applyFont="1" applyFill="1" applyBorder="1"/>
    <xf numFmtId="168" fontId="24" fillId="26" borderId="41" xfId="9" applyNumberFormat="1" applyFont="1" applyFill="1" applyBorder="1"/>
    <xf numFmtId="168" fontId="24" fillId="26" borderId="41" xfId="11" applyNumberFormat="1" applyFont="1" applyFill="1" applyBorder="1"/>
    <xf numFmtId="168" fontId="24" fillId="26" borderId="39" xfId="11" applyNumberFormat="1" applyFont="1" applyFill="1" applyBorder="1"/>
    <xf numFmtId="10" fontId="14" fillId="24" borderId="41" xfId="8" applyNumberFormat="1" applyFont="1" applyFill="1" applyBorder="1"/>
    <xf numFmtId="14" fontId="12" fillId="26" borderId="41" xfId="7" applyNumberFormat="1" applyFont="1" applyFill="1" applyBorder="1" applyAlignment="1">
      <alignment horizontal="right"/>
    </xf>
    <xf numFmtId="169" fontId="12" fillId="0" borderId="41" xfId="11" applyNumberFormat="1" applyFont="1" applyFill="1" applyBorder="1"/>
    <xf numFmtId="0" fontId="77" fillId="0" borderId="60" xfId="1" applyNumberFormat="1" applyFont="1" applyBorder="1"/>
    <xf numFmtId="0" fontId="78" fillId="0" borderId="0" xfId="1" applyNumberFormat="1" applyFont="1"/>
    <xf numFmtId="0" fontId="75" fillId="0" borderId="0" xfId="1" applyNumberFormat="1" applyFont="1"/>
    <xf numFmtId="0" fontId="76" fillId="0" borderId="54" xfId="1" quotePrefix="1" applyNumberFormat="1" applyFont="1" applyBorder="1"/>
    <xf numFmtId="0" fontId="0" fillId="0" borderId="0" xfId="1" applyNumberFormat="1" applyFont="1"/>
    <xf numFmtId="0" fontId="77" fillId="0" borderId="23" xfId="1" applyNumberFormat="1" applyFont="1" applyBorder="1"/>
    <xf numFmtId="168" fontId="1" fillId="26" borderId="38" xfId="10" applyNumberFormat="1" applyFont="1" applyFill="1" applyBorder="1"/>
    <xf numFmtId="37" fontId="11" fillId="26" borderId="4" xfId="7" applyNumberFormat="1" applyFont="1" applyFill="1" applyBorder="1" applyAlignment="1">
      <alignment horizontal="right"/>
    </xf>
    <xf numFmtId="37" fontId="11" fillId="26" borderId="41" xfId="7" applyNumberFormat="1" applyFont="1" applyFill="1" applyBorder="1" applyAlignment="1">
      <alignment horizontal="right"/>
    </xf>
    <xf numFmtId="168" fontId="12" fillId="34" borderId="4" xfId="10" applyNumberFormat="1" applyFont="1" applyFill="1" applyBorder="1"/>
    <xf numFmtId="168" fontId="12" fillId="35" borderId="4" xfId="10" applyNumberFormat="1" applyFont="1" applyFill="1" applyBorder="1"/>
    <xf numFmtId="168" fontId="12" fillId="26" borderId="4" xfId="10" applyNumberFormat="1" applyFont="1" applyFill="1" applyBorder="1" applyAlignment="1">
      <alignment horizontal="right"/>
    </xf>
    <xf numFmtId="168" fontId="12" fillId="26" borderId="41" xfId="10" applyNumberFormat="1" applyFont="1" applyFill="1" applyBorder="1" applyAlignment="1">
      <alignment horizontal="right"/>
    </xf>
    <xf numFmtId="169" fontId="0" fillId="0" borderId="62" xfId="6" applyNumberFormat="1" applyFont="1" applyFill="1" applyBorder="1"/>
    <xf numFmtId="2" fontId="6" fillId="0" borderId="62" xfId="0" applyNumberFormat="1" applyFont="1" applyBorder="1" applyAlignment="1">
      <alignment horizontal="center"/>
    </xf>
    <xf numFmtId="0" fontId="75" fillId="36" borderId="0" xfId="1" applyNumberFormat="1" applyFont="1" applyFill="1"/>
    <xf numFmtId="0" fontId="77" fillId="0" borderId="63" xfId="1" applyNumberFormat="1" applyFont="1" applyBorder="1"/>
    <xf numFmtId="168" fontId="78" fillId="0" borderId="0" xfId="1" applyNumberFormat="1" applyFont="1" applyFill="1"/>
    <xf numFmtId="168" fontId="24" fillId="26" borderId="48" xfId="11" applyNumberFormat="1" applyFont="1" applyFill="1" applyBorder="1"/>
    <xf numFmtId="168" fontId="24" fillId="26" borderId="61" xfId="11" applyNumberFormat="1" applyFont="1" applyFill="1" applyBorder="1"/>
    <xf numFmtId="168" fontId="24" fillId="26" borderId="48" xfId="9" applyNumberFormat="1" applyFont="1" applyFill="1" applyBorder="1"/>
    <xf numFmtId="168" fontId="24" fillId="26" borderId="61" xfId="9" applyNumberFormat="1" applyFont="1" applyFill="1" applyBorder="1"/>
    <xf numFmtId="168" fontId="24" fillId="26" borderId="48" xfId="10" applyNumberFormat="1" applyFont="1" applyFill="1" applyBorder="1"/>
    <xf numFmtId="168" fontId="24" fillId="26" borderId="61" xfId="10" applyNumberFormat="1" applyFont="1" applyFill="1" applyBorder="1"/>
    <xf numFmtId="168" fontId="12" fillId="26" borderId="64" xfId="10" applyNumberFormat="1" applyFont="1" applyFill="1" applyBorder="1"/>
    <xf numFmtId="168" fontId="12" fillId="26" borderId="61" xfId="10" applyNumberFormat="1" applyFont="1" applyFill="1" applyBorder="1"/>
    <xf numFmtId="43" fontId="1" fillId="26" borderId="64" xfId="10" applyFont="1" applyFill="1" applyBorder="1"/>
    <xf numFmtId="171" fontId="22" fillId="26" borderId="64" xfId="7" applyNumberFormat="1" applyFont="1" applyFill="1" applyBorder="1" applyAlignment="1">
      <alignment horizontal="right"/>
    </xf>
    <xf numFmtId="171" fontId="26" fillId="26" borderId="64" xfId="7" applyNumberFormat="1" applyFont="1" applyFill="1" applyBorder="1" applyAlignment="1">
      <alignment horizontal="right"/>
    </xf>
    <xf numFmtId="43" fontId="76" fillId="0" borderId="54" xfId="1" applyFont="1" applyFill="1" applyBorder="1"/>
    <xf numFmtId="166" fontId="0" fillId="0" borderId="0" xfId="1" applyNumberFormat="1" applyFont="1" applyFill="1"/>
    <xf numFmtId="43" fontId="77" fillId="0" borderId="60" xfId="1" applyFont="1" applyFill="1" applyBorder="1"/>
    <xf numFmtId="43" fontId="78" fillId="0" borderId="0" xfId="1" applyFont="1" applyFill="1"/>
    <xf numFmtId="43" fontId="75" fillId="0" borderId="0" xfId="1" applyFont="1" applyFill="1"/>
    <xf numFmtId="43" fontId="77" fillId="0" borderId="23" xfId="1" applyFont="1" applyFill="1" applyBorder="1"/>
    <xf numFmtId="0" fontId="12" fillId="26" borderId="0" xfId="9" applyFont="1" applyFill="1"/>
    <xf numFmtId="168" fontId="12" fillId="26" borderId="0" xfId="10" applyNumberFormat="1" applyFont="1" applyFill="1" applyBorder="1"/>
    <xf numFmtId="169" fontId="12" fillId="26" borderId="0" xfId="11" applyNumberFormat="1" applyFont="1" applyFill="1" applyBorder="1"/>
    <xf numFmtId="168" fontId="12" fillId="26" borderId="64" xfId="11" applyNumberFormat="1" applyFont="1" applyFill="1" applyBorder="1"/>
    <xf numFmtId="168" fontId="1" fillId="26" borderId="0" xfId="1" applyNumberFormat="1" applyFont="1" applyFill="1" applyBorder="1"/>
    <xf numFmtId="169" fontId="12" fillId="26" borderId="64" xfId="11" applyNumberFormat="1" applyFont="1" applyFill="1" applyBorder="1"/>
    <xf numFmtId="0" fontId="1" fillId="26" borderId="64" xfId="7" applyFill="1" applyBorder="1"/>
    <xf numFmtId="0" fontId="1" fillId="7" borderId="0" xfId="7" applyFill="1"/>
    <xf numFmtId="165" fontId="12" fillId="7" borderId="0" xfId="9" applyNumberFormat="1" applyFont="1" applyFill="1"/>
    <xf numFmtId="14" fontId="12" fillId="7" borderId="48" xfId="7" applyNumberFormat="1" applyFont="1" applyFill="1" applyBorder="1" applyAlignment="1">
      <alignment horizontal="right"/>
    </xf>
    <xf numFmtId="168" fontId="12" fillId="7" borderId="16" xfId="10" applyNumberFormat="1" applyFont="1" applyFill="1" applyBorder="1"/>
    <xf numFmtId="168" fontId="12" fillId="7" borderId="57" xfId="10" applyNumberFormat="1" applyFont="1" applyFill="1" applyBorder="1"/>
    <xf numFmtId="168" fontId="24" fillId="7" borderId="16" xfId="10" applyNumberFormat="1" applyFont="1" applyFill="1" applyBorder="1"/>
    <xf numFmtId="9" fontId="21" fillId="7" borderId="16" xfId="2" applyFont="1" applyFill="1" applyBorder="1"/>
    <xf numFmtId="169" fontId="21" fillId="7" borderId="16" xfId="6" applyNumberFormat="1" applyFont="1" applyFill="1" applyBorder="1"/>
    <xf numFmtId="43" fontId="12" fillId="7" borderId="16" xfId="10" applyFont="1" applyFill="1" applyBorder="1"/>
    <xf numFmtId="9" fontId="12" fillId="7" borderId="16" xfId="2" applyFont="1" applyFill="1" applyBorder="1"/>
    <xf numFmtId="165" fontId="12" fillId="7" borderId="16" xfId="2" applyNumberFormat="1" applyFont="1" applyFill="1" applyBorder="1"/>
    <xf numFmtId="0" fontId="12" fillId="7" borderId="16" xfId="9" applyFont="1" applyFill="1" applyBorder="1"/>
    <xf numFmtId="168" fontId="12" fillId="7" borderId="48" xfId="10" applyNumberFormat="1" applyFont="1" applyFill="1" applyBorder="1"/>
    <xf numFmtId="165" fontId="22" fillId="7" borderId="16" xfId="2" applyNumberFormat="1" applyFont="1" applyFill="1" applyBorder="1"/>
    <xf numFmtId="0" fontId="22" fillId="7" borderId="16" xfId="7" applyFont="1" applyFill="1" applyBorder="1"/>
    <xf numFmtId="43" fontId="17" fillId="7" borderId="16" xfId="10" applyFont="1" applyFill="1" applyBorder="1" applyAlignment="1">
      <alignment horizontal="right"/>
    </xf>
    <xf numFmtId="43" fontId="1" fillId="7" borderId="57" xfId="10" applyFont="1" applyFill="1" applyBorder="1"/>
    <xf numFmtId="168" fontId="12" fillId="7" borderId="0" xfId="10" applyNumberFormat="1" applyFont="1" applyFill="1" applyBorder="1"/>
    <xf numFmtId="43" fontId="12" fillId="7" borderId="0" xfId="10" applyFont="1" applyFill="1" applyBorder="1"/>
    <xf numFmtId="43" fontId="29" fillId="7" borderId="0" xfId="10" applyFont="1" applyFill="1" applyBorder="1" applyAlignment="1">
      <alignment horizontal="right"/>
    </xf>
    <xf numFmtId="37" fontId="12" fillId="7" borderId="0" xfId="7" applyNumberFormat="1" applyFont="1" applyFill="1" applyAlignment="1">
      <alignment horizontal="right"/>
    </xf>
    <xf numFmtId="171" fontId="17" fillId="7" borderId="0" xfId="7" applyNumberFormat="1" applyFont="1" applyFill="1" applyAlignment="1">
      <alignment horizontal="right"/>
    </xf>
    <xf numFmtId="37" fontId="11" fillId="7" borderId="0" xfId="7" applyNumberFormat="1" applyFont="1" applyFill="1" applyAlignment="1">
      <alignment horizontal="right"/>
    </xf>
    <xf numFmtId="168" fontId="12" fillId="7" borderId="0" xfId="10" applyNumberFormat="1" applyFont="1" applyFill="1" applyBorder="1" applyAlignment="1">
      <alignment horizontal="right"/>
    </xf>
    <xf numFmtId="169" fontId="12" fillId="26" borderId="4" xfId="6" applyNumberFormat="1" applyFont="1" applyFill="1" applyBorder="1"/>
    <xf numFmtId="169" fontId="12" fillId="26" borderId="41" xfId="6" applyNumberFormat="1" applyFont="1" applyFill="1" applyBorder="1"/>
    <xf numFmtId="14" fontId="12" fillId="26" borderId="62" xfId="7" applyNumberFormat="1" applyFont="1" applyFill="1" applyBorder="1" applyAlignment="1">
      <alignment horizontal="right"/>
    </xf>
    <xf numFmtId="14" fontId="12" fillId="26" borderId="4" xfId="7" applyNumberFormat="1" applyFont="1" applyFill="1" applyBorder="1" applyAlignment="1">
      <alignment horizontal="right"/>
    </xf>
    <xf numFmtId="14" fontId="1" fillId="37" borderId="41" xfId="7" applyNumberFormat="1" applyFill="1" applyBorder="1" applyAlignment="1">
      <alignment horizontal="center"/>
    </xf>
    <xf numFmtId="2" fontId="1" fillId="37" borderId="41" xfId="7" applyNumberFormat="1" applyFill="1" applyBorder="1"/>
    <xf numFmtId="0" fontId="1" fillId="37" borderId="41" xfId="7" applyFill="1" applyBorder="1"/>
    <xf numFmtId="14" fontId="1" fillId="37" borderId="64" xfId="7" applyNumberFormat="1" applyFill="1" applyBorder="1" applyAlignment="1">
      <alignment horizontal="center"/>
    </xf>
    <xf numFmtId="168" fontId="1" fillId="37" borderId="41" xfId="10" applyNumberFormat="1" applyFont="1" applyFill="1" applyBorder="1"/>
    <xf numFmtId="168" fontId="1" fillId="37" borderId="64" xfId="10" applyNumberFormat="1" applyFont="1" applyFill="1" applyBorder="1"/>
    <xf numFmtId="0" fontId="25" fillId="37" borderId="61" xfId="7" applyFont="1" applyFill="1" applyBorder="1"/>
    <xf numFmtId="168" fontId="25" fillId="37" borderId="61" xfId="10" applyNumberFormat="1" applyFont="1" applyFill="1" applyBorder="1"/>
    <xf numFmtId="168" fontId="1" fillId="37" borderId="48" xfId="10" applyNumberFormat="1" applyFont="1" applyFill="1" applyBorder="1"/>
    <xf numFmtId="168" fontId="1" fillId="37" borderId="16" xfId="10" applyNumberFormat="1" applyFont="1" applyFill="1" applyBorder="1"/>
    <xf numFmtId="168" fontId="1" fillId="37" borderId="57" xfId="10" applyNumberFormat="1" applyFont="1" applyFill="1" applyBorder="1"/>
    <xf numFmtId="168" fontId="24" fillId="37" borderId="16" xfId="10" applyNumberFormat="1" applyFont="1" applyFill="1" applyBorder="1"/>
    <xf numFmtId="165" fontId="1" fillId="37" borderId="16" xfId="2" applyNumberFormat="1" applyFont="1" applyFill="1" applyBorder="1"/>
    <xf numFmtId="0" fontId="1" fillId="37" borderId="16" xfId="7" applyFill="1" applyBorder="1"/>
    <xf numFmtId="168" fontId="25" fillId="37" borderId="41" xfId="10" applyNumberFormat="1" applyFont="1" applyFill="1" applyBorder="1"/>
    <xf numFmtId="168" fontId="1" fillId="37" borderId="41" xfId="7" applyNumberFormat="1" applyFill="1" applyBorder="1"/>
    <xf numFmtId="165" fontId="1" fillId="37" borderId="41" xfId="2" applyNumberFormat="1" applyFont="1" applyFill="1" applyBorder="1"/>
    <xf numFmtId="0" fontId="1" fillId="37" borderId="64" xfId="7" applyFill="1" applyBorder="1"/>
    <xf numFmtId="43" fontId="1" fillId="37" borderId="41" xfId="10" applyFont="1" applyFill="1" applyBorder="1"/>
    <xf numFmtId="37" fontId="12" fillId="37" borderId="41" xfId="7" applyNumberFormat="1" applyFont="1" applyFill="1" applyBorder="1" applyAlignment="1">
      <alignment horizontal="right"/>
    </xf>
    <xf numFmtId="171" fontId="17" fillId="37" borderId="41" xfId="7" applyNumberFormat="1" applyFont="1" applyFill="1" applyBorder="1" applyAlignment="1">
      <alignment horizontal="right"/>
    </xf>
    <xf numFmtId="37" fontId="11" fillId="37" borderId="41" xfId="7" applyNumberFormat="1" applyFont="1" applyFill="1" applyBorder="1" applyAlignment="1">
      <alignment horizontal="right"/>
    </xf>
    <xf numFmtId="171" fontId="22" fillId="37" borderId="57" xfId="7" applyNumberFormat="1" applyFont="1" applyFill="1" applyBorder="1" applyAlignment="1">
      <alignment horizontal="right"/>
    </xf>
    <xf numFmtId="168" fontId="12" fillId="37" borderId="61" xfId="10" applyNumberFormat="1" applyFont="1" applyFill="1" applyBorder="1"/>
    <xf numFmtId="171" fontId="26" fillId="37" borderId="57" xfId="7" applyNumberFormat="1" applyFont="1" applyFill="1" applyBorder="1" applyAlignment="1">
      <alignment horizontal="right"/>
    </xf>
    <xf numFmtId="37" fontId="12" fillId="37" borderId="61" xfId="7" applyNumberFormat="1" applyFont="1" applyFill="1" applyBorder="1" applyAlignment="1">
      <alignment horizontal="right"/>
    </xf>
    <xf numFmtId="168" fontId="12" fillId="37" borderId="61" xfId="10" applyNumberFormat="1" applyFont="1" applyFill="1" applyBorder="1" applyAlignment="1">
      <alignment horizontal="right"/>
    </xf>
    <xf numFmtId="168" fontId="1" fillId="37" borderId="64" xfId="7" applyNumberFormat="1" applyFill="1" applyBorder="1"/>
    <xf numFmtId="169" fontId="1" fillId="37" borderId="41" xfId="7" applyNumberFormat="1" applyFill="1" applyBorder="1"/>
    <xf numFmtId="165" fontId="12" fillId="7" borderId="0" xfId="2" applyNumberFormat="1" applyFont="1" applyFill="1" applyBorder="1"/>
    <xf numFmtId="0" fontId="20" fillId="0" borderId="0" xfId="7" applyFont="1" applyAlignment="1">
      <alignment horizontal="left"/>
    </xf>
    <xf numFmtId="169" fontId="1" fillId="37" borderId="64" xfId="7" applyNumberFormat="1" applyFill="1" applyBorder="1"/>
    <xf numFmtId="168" fontId="1" fillId="37" borderId="4" xfId="7" applyNumberFormat="1" applyFill="1" applyBorder="1"/>
    <xf numFmtId="43" fontId="1" fillId="37" borderId="41" xfId="7" applyNumberFormat="1" applyFill="1" applyBorder="1"/>
    <xf numFmtId="165" fontId="1" fillId="37" borderId="41" xfId="7" applyNumberFormat="1" applyFill="1" applyBorder="1"/>
    <xf numFmtId="167" fontId="1" fillId="37" borderId="41" xfId="7" applyNumberFormat="1" applyFill="1" applyBorder="1"/>
    <xf numFmtId="167" fontId="0" fillId="0" borderId="41" xfId="1" applyNumberFormat="1" applyFont="1" applyBorder="1" applyAlignment="1">
      <alignment horizontal="right"/>
    </xf>
    <xf numFmtId="167" fontId="0" fillId="0" borderId="16" xfId="1" applyNumberFormat="1" applyFont="1" applyBorder="1" applyAlignment="1">
      <alignment horizontal="right"/>
    </xf>
    <xf numFmtId="169" fontId="6" fillId="0" borderId="64" xfId="0" applyNumberFormat="1" applyFont="1" applyBorder="1" applyAlignment="1">
      <alignment horizontal="center"/>
    </xf>
    <xf numFmtId="9" fontId="1" fillId="37" borderId="16" xfId="2" applyFont="1" applyFill="1" applyBorder="1"/>
    <xf numFmtId="0" fontId="76" fillId="0" borderId="54" xfId="0" quotePrefix="1" applyFont="1" applyBorder="1"/>
    <xf numFmtId="43" fontId="76" fillId="0" borderId="54" xfId="1" quotePrefix="1" applyFont="1" applyFill="1" applyBorder="1"/>
    <xf numFmtId="168" fontId="76" fillId="0" borderId="54" xfId="1" applyNumberFormat="1" applyFont="1" applyBorder="1"/>
    <xf numFmtId="168" fontId="77" fillId="0" borderId="60" xfId="1" applyNumberFormat="1" applyFont="1" applyBorder="1"/>
    <xf numFmtId="168" fontId="78" fillId="0" borderId="0" xfId="1" applyNumberFormat="1" applyFont="1"/>
    <xf numFmtId="168" fontId="75" fillId="0" borderId="0" xfId="1" applyNumberFormat="1" applyFont="1"/>
    <xf numFmtId="168" fontId="77" fillId="0" borderId="23" xfId="1" applyNumberFormat="1" applyFont="1" applyBorder="1"/>
    <xf numFmtId="43" fontId="77" fillId="0" borderId="60" xfId="1" applyFont="1" applyBorder="1"/>
    <xf numFmtId="43" fontId="78" fillId="0" borderId="0" xfId="1" applyFont="1"/>
    <xf numFmtId="43" fontId="77" fillId="0" borderId="23" xfId="1" applyFont="1" applyBorder="1"/>
    <xf numFmtId="169" fontId="0" fillId="0" borderId="0" xfId="6" applyNumberFormat="1" applyFont="1" applyBorder="1"/>
    <xf numFmtId="168" fontId="6" fillId="6" borderId="16" xfId="0" applyNumberFormat="1" applyFont="1" applyFill="1" applyBorder="1"/>
    <xf numFmtId="171" fontId="22" fillId="26" borderId="62" xfId="7" applyNumberFormat="1" applyFont="1" applyFill="1" applyBorder="1" applyAlignment="1">
      <alignment horizontal="right"/>
    </xf>
    <xf numFmtId="171" fontId="22" fillId="7" borderId="23" xfId="7" applyNumberFormat="1" applyFont="1" applyFill="1" applyBorder="1" applyAlignment="1">
      <alignment horizontal="right"/>
    </xf>
    <xf numFmtId="171" fontId="22" fillId="7" borderId="62" xfId="7" applyNumberFormat="1" applyFont="1" applyFill="1" applyBorder="1" applyAlignment="1">
      <alignment horizontal="right"/>
    </xf>
    <xf numFmtId="171" fontId="26" fillId="7" borderId="23" xfId="7" applyNumberFormat="1" applyFont="1" applyFill="1" applyBorder="1" applyAlignment="1">
      <alignment horizontal="right"/>
    </xf>
    <xf numFmtId="168" fontId="12" fillId="26" borderId="62" xfId="10" applyNumberFormat="1" applyFont="1" applyFill="1" applyBorder="1"/>
    <xf numFmtId="168" fontId="12" fillId="7" borderId="61" xfId="10" applyNumberFormat="1" applyFont="1" applyFill="1" applyBorder="1"/>
    <xf numFmtId="43" fontId="12" fillId="7" borderId="41" xfId="10" applyFont="1" applyFill="1" applyBorder="1"/>
    <xf numFmtId="165" fontId="12" fillId="7" borderId="41" xfId="2" applyNumberFormat="1" applyFont="1" applyFill="1" applyBorder="1"/>
    <xf numFmtId="168" fontId="12" fillId="7" borderId="41" xfId="10" applyNumberFormat="1" applyFont="1" applyFill="1" applyBorder="1"/>
    <xf numFmtId="43" fontId="29" fillId="7" borderId="41" xfId="10" applyFont="1" applyFill="1" applyBorder="1" applyAlignment="1">
      <alignment horizontal="right"/>
    </xf>
    <xf numFmtId="37" fontId="12" fillId="7" borderId="41" xfId="7" applyNumberFormat="1" applyFont="1" applyFill="1" applyBorder="1" applyAlignment="1">
      <alignment horizontal="right"/>
    </xf>
    <xf numFmtId="171" fontId="17" fillId="7" borderId="41" xfId="7" applyNumberFormat="1" applyFont="1" applyFill="1" applyBorder="1" applyAlignment="1">
      <alignment horizontal="right"/>
    </xf>
    <xf numFmtId="37" fontId="11" fillId="7" borderId="41" xfId="7" applyNumberFormat="1" applyFont="1" applyFill="1" applyBorder="1" applyAlignment="1">
      <alignment horizontal="right"/>
    </xf>
    <xf numFmtId="171" fontId="22" fillId="7" borderId="64" xfId="7" applyNumberFormat="1" applyFont="1" applyFill="1" applyBorder="1" applyAlignment="1">
      <alignment horizontal="right"/>
    </xf>
    <xf numFmtId="168" fontId="12" fillId="7" borderId="41" xfId="10" applyNumberFormat="1" applyFont="1" applyFill="1" applyBorder="1" applyAlignment="1">
      <alignment horizontal="right"/>
    </xf>
    <xf numFmtId="0" fontId="1" fillId="7" borderId="41" xfId="7" applyFill="1" applyBorder="1"/>
    <xf numFmtId="9" fontId="0" fillId="0" borderId="0" xfId="2" applyFont="1" applyAlignment="1">
      <alignment horizontal="right"/>
    </xf>
    <xf numFmtId="9" fontId="0" fillId="0" borderId="23" xfId="2" applyFont="1" applyBorder="1" applyAlignment="1">
      <alignment horizontal="right"/>
    </xf>
    <xf numFmtId="1" fontId="0" fillId="0" borderId="0" xfId="0" applyNumberFormat="1"/>
    <xf numFmtId="171" fontId="26" fillId="7" borderId="62" xfId="7" applyNumberFormat="1" applyFont="1" applyFill="1" applyBorder="1" applyAlignment="1">
      <alignment horizontal="right"/>
    </xf>
    <xf numFmtId="43" fontId="1" fillId="26" borderId="4" xfId="1" applyFont="1" applyFill="1" applyBorder="1"/>
    <xf numFmtId="172" fontId="0" fillId="0" borderId="0" xfId="0" applyNumberFormat="1"/>
    <xf numFmtId="44" fontId="6" fillId="0" borderId="0" xfId="6" applyFont="1"/>
    <xf numFmtId="169" fontId="6" fillId="0" borderId="0" xfId="2" applyNumberFormat="1" applyFont="1" applyAlignment="1">
      <alignment horizontal="center"/>
    </xf>
    <xf numFmtId="165" fontId="6" fillId="0" borderId="0" xfId="2" applyNumberFormat="1" applyFont="1" applyAlignment="1">
      <alignment horizontal="center"/>
    </xf>
    <xf numFmtId="0" fontId="80" fillId="0" borderId="0" xfId="7" applyFont="1"/>
    <xf numFmtId="0" fontId="0" fillId="0" borderId="65" xfId="0" applyBorder="1"/>
    <xf numFmtId="0" fontId="0" fillId="6" borderId="65" xfId="0" applyFill="1" applyBorder="1"/>
    <xf numFmtId="1" fontId="0" fillId="4" borderId="0" xfId="0" applyNumberFormat="1" applyFill="1"/>
    <xf numFmtId="3" fontId="12" fillId="7" borderId="41" xfId="9" applyNumberFormat="1" applyFont="1" applyFill="1" applyBorder="1"/>
    <xf numFmtId="3" fontId="1" fillId="37" borderId="41" xfId="10" applyNumberFormat="1" applyFont="1" applyFill="1" applyBorder="1"/>
    <xf numFmtId="0" fontId="5" fillId="3" borderId="52" xfId="0" applyFont="1" applyFill="1" applyBorder="1" applyAlignment="1">
      <alignment horizontal="left" vertical="center"/>
    </xf>
    <xf numFmtId="168" fontId="8" fillId="34" borderId="0" xfId="1" applyNumberFormat="1" applyFont="1" applyFill="1" applyBorder="1"/>
    <xf numFmtId="165" fontId="22" fillId="0" borderId="0" xfId="7" applyNumberFormat="1" applyFont="1"/>
    <xf numFmtId="3" fontId="12" fillId="4" borderId="4" xfId="9" applyNumberFormat="1" applyFont="1" applyFill="1" applyBorder="1"/>
    <xf numFmtId="3" fontId="12" fillId="4" borderId="0" xfId="9" applyNumberFormat="1" applyFont="1" applyFill="1"/>
    <xf numFmtId="3" fontId="12" fillId="26" borderId="4" xfId="9" applyNumberFormat="1" applyFont="1" applyFill="1" applyBorder="1"/>
    <xf numFmtId="3" fontId="12" fillId="26" borderId="41" xfId="9" applyNumberFormat="1" applyFont="1" applyFill="1" applyBorder="1"/>
    <xf numFmtId="3" fontId="12" fillId="7" borderId="16" xfId="9" applyNumberFormat="1" applyFont="1" applyFill="1" applyBorder="1"/>
    <xf numFmtId="168" fontId="12" fillId="37" borderId="41" xfId="10" applyNumberFormat="1" applyFont="1" applyFill="1" applyBorder="1"/>
    <xf numFmtId="43" fontId="76" fillId="0" borderId="54" xfId="1" applyFont="1" applyBorder="1"/>
    <xf numFmtId="168" fontId="2" fillId="9" borderId="0" xfId="4" applyNumberFormat="1" applyFont="1" applyBorder="1"/>
    <xf numFmtId="168" fontId="8" fillId="3" borderId="62" xfId="1" applyNumberFormat="1" applyFont="1" applyFill="1" applyBorder="1"/>
    <xf numFmtId="9" fontId="0" fillId="0" borderId="23" xfId="2" applyFont="1" applyFill="1" applyBorder="1"/>
    <xf numFmtId="0" fontId="75" fillId="16" borderId="0" xfId="0" applyFont="1" applyFill="1" applyAlignment="1">
      <alignment horizontal="left" indent="2"/>
    </xf>
    <xf numFmtId="0" fontId="75" fillId="38" borderId="0" xfId="0" applyFont="1" applyFill="1" applyAlignment="1">
      <alignment horizontal="left" indent="2"/>
    </xf>
    <xf numFmtId="0" fontId="75" fillId="17" borderId="0" xfId="0" applyFont="1" applyFill="1" applyAlignment="1">
      <alignment horizontal="left" indent="2"/>
    </xf>
    <xf numFmtId="169" fontId="0" fillId="0" borderId="64" xfId="6" applyNumberFormat="1" applyFont="1" applyBorder="1"/>
    <xf numFmtId="43" fontId="6" fillId="0" borderId="0" xfId="2" applyNumberFormat="1" applyFont="1" applyFill="1" applyBorder="1"/>
    <xf numFmtId="3" fontId="2" fillId="25" borderId="0" xfId="3" applyNumberFormat="1" applyFont="1" applyFill="1" applyBorder="1"/>
    <xf numFmtId="3" fontId="2" fillId="25" borderId="0" xfId="1" applyNumberFormat="1" applyFont="1" applyFill="1" applyBorder="1"/>
    <xf numFmtId="171" fontId="26" fillId="7" borderId="64" xfId="7" applyNumberFormat="1" applyFont="1" applyFill="1" applyBorder="1" applyAlignment="1">
      <alignment horizontal="right"/>
    </xf>
    <xf numFmtId="168" fontId="24" fillId="26" borderId="64" xfId="11" applyNumberFormat="1" applyFont="1" applyFill="1" applyBorder="1"/>
    <xf numFmtId="169" fontId="1" fillId="7" borderId="41" xfId="7" applyNumberFormat="1" applyFill="1" applyBorder="1"/>
    <xf numFmtId="49" fontId="81" fillId="0" borderId="0" xfId="0" applyNumberFormat="1" applyFont="1" applyAlignment="1">
      <alignment horizontal="center"/>
    </xf>
    <xf numFmtId="49" fontId="81" fillId="0" borderId="66" xfId="0" applyNumberFormat="1" applyFont="1" applyBorder="1" applyAlignment="1">
      <alignment horizontal="center"/>
    </xf>
    <xf numFmtId="49" fontId="81" fillId="0" borderId="0" xfId="0" applyNumberFormat="1" applyFont="1"/>
    <xf numFmtId="179" fontId="48" fillId="0" borderId="0" xfId="0" applyNumberFormat="1" applyFont="1"/>
    <xf numFmtId="179" fontId="48" fillId="0" borderId="54" xfId="0" applyNumberFormat="1" applyFont="1" applyBorder="1"/>
    <xf numFmtId="179" fontId="48" fillId="0" borderId="67" xfId="0" applyNumberFormat="1" applyFont="1" applyBorder="1"/>
    <xf numFmtId="179" fontId="48" fillId="0" borderId="50" xfId="0" applyNumberFormat="1" applyFont="1" applyBorder="1"/>
    <xf numFmtId="179" fontId="81" fillId="0" borderId="68" xfId="0" applyNumberFormat="1" applyFont="1" applyBorder="1"/>
    <xf numFmtId="0" fontId="81" fillId="0" borderId="0" xfId="0" applyFont="1"/>
    <xf numFmtId="180" fontId="48" fillId="0" borderId="0" xfId="0" applyNumberFormat="1" applyFont="1"/>
    <xf numFmtId="180" fontId="48" fillId="0" borderId="54" xfId="0" applyNumberFormat="1" applyFont="1" applyBorder="1"/>
    <xf numFmtId="180" fontId="48" fillId="16" borderId="54" xfId="0" applyNumberFormat="1" applyFont="1" applyFill="1" applyBorder="1"/>
    <xf numFmtId="180" fontId="48" fillId="16" borderId="0" xfId="0" applyNumberFormat="1" applyFont="1" applyFill="1"/>
    <xf numFmtId="180" fontId="48" fillId="0" borderId="67" xfId="0" applyNumberFormat="1" applyFont="1" applyBorder="1"/>
    <xf numFmtId="180" fontId="48" fillId="0" borderId="50" xfId="0" applyNumberFormat="1" applyFont="1" applyBorder="1"/>
    <xf numFmtId="180" fontId="81" fillId="0" borderId="68" xfId="0" applyNumberFormat="1" applyFont="1" applyBorder="1"/>
    <xf numFmtId="0" fontId="16" fillId="18" borderId="69" xfId="12" applyFont="1" applyFill="1" applyBorder="1" applyAlignment="1">
      <alignment horizontal="right"/>
    </xf>
    <xf numFmtId="14" fontId="16" fillId="18" borderId="69" xfId="12" applyNumberFormat="1" applyFont="1" applyFill="1" applyBorder="1" applyAlignment="1">
      <alignment horizontal="right"/>
    </xf>
    <xf numFmtId="2" fontId="16" fillId="18" borderId="69" xfId="12" applyNumberFormat="1" applyFont="1" applyFill="1" applyBorder="1" applyAlignment="1">
      <alignment horizontal="right"/>
    </xf>
    <xf numFmtId="0" fontId="16" fillId="18" borderId="69" xfId="12" applyFont="1" applyFill="1" applyBorder="1" applyAlignment="1">
      <alignment horizontal="center"/>
    </xf>
    <xf numFmtId="2" fontId="16" fillId="19" borderId="69" xfId="12" applyNumberFormat="1" applyFont="1" applyFill="1" applyBorder="1" applyAlignment="1">
      <alignment horizontal="right"/>
    </xf>
    <xf numFmtId="4" fontId="16" fillId="18" borderId="69" xfId="12" applyNumberFormat="1" applyFont="1" applyFill="1" applyBorder="1"/>
    <xf numFmtId="9" fontId="0" fillId="6" borderId="0" xfId="0" applyNumberFormat="1" applyFill="1"/>
    <xf numFmtId="181" fontId="81" fillId="0" borderId="66" xfId="0" applyNumberFormat="1" applyFont="1" applyBorder="1" applyAlignment="1">
      <alignment horizontal="center"/>
    </xf>
    <xf numFmtId="180" fontId="0" fillId="0" borderId="0" xfId="0" applyNumberFormat="1"/>
    <xf numFmtId="180" fontId="81" fillId="0" borderId="66" xfId="0" applyNumberFormat="1" applyFont="1" applyBorder="1" applyAlignment="1">
      <alignment horizontal="center"/>
    </xf>
    <xf numFmtId="0" fontId="1" fillId="39" borderId="0" xfId="7" applyFill="1"/>
    <xf numFmtId="0" fontId="12" fillId="39" borderId="1" xfId="9" applyFont="1" applyFill="1" applyBorder="1" applyAlignment="1">
      <alignment horizontal="left" indent="2"/>
    </xf>
    <xf numFmtId="0" fontId="1" fillId="39" borderId="1" xfId="7" applyFill="1" applyBorder="1"/>
    <xf numFmtId="0" fontId="12" fillId="39" borderId="1" xfId="9" applyFont="1" applyFill="1" applyBorder="1"/>
    <xf numFmtId="164" fontId="1" fillId="39" borderId="1" xfId="8" applyNumberFormat="1" applyFont="1" applyFill="1" applyBorder="1"/>
    <xf numFmtId="168" fontId="12" fillId="39" borderId="1" xfId="10" applyNumberFormat="1" applyFont="1" applyFill="1" applyBorder="1"/>
    <xf numFmtId="168" fontId="12" fillId="39" borderId="9" xfId="10" applyNumberFormat="1" applyFont="1" applyFill="1" applyBorder="1"/>
    <xf numFmtId="168" fontId="12" fillId="39" borderId="23" xfId="10" applyNumberFormat="1" applyFont="1" applyFill="1" applyBorder="1"/>
    <xf numFmtId="168" fontId="12" fillId="39" borderId="38" xfId="10" applyNumberFormat="1" applyFont="1" applyFill="1" applyBorder="1"/>
    <xf numFmtId="168" fontId="12" fillId="39" borderId="64" xfId="10" applyNumberFormat="1" applyFont="1" applyFill="1" applyBorder="1"/>
    <xf numFmtId="168" fontId="12" fillId="39" borderId="57" xfId="10" applyNumberFormat="1" applyFont="1" applyFill="1" applyBorder="1"/>
    <xf numFmtId="168" fontId="1" fillId="39" borderId="64" xfId="10" applyNumberFormat="1" applyFont="1" applyFill="1" applyBorder="1"/>
    <xf numFmtId="0" fontId="22" fillId="39" borderId="0" xfId="7" applyFont="1" applyFill="1"/>
    <xf numFmtId="0" fontId="12" fillId="39" borderId="0" xfId="9" applyFont="1" applyFill="1" applyAlignment="1">
      <alignment horizontal="left" indent="2"/>
    </xf>
    <xf numFmtId="0" fontId="12" fillId="39" borderId="0" xfId="9" applyFont="1" applyFill="1" applyAlignment="1">
      <alignment horizontal="right"/>
    </xf>
    <xf numFmtId="168" fontId="12" fillId="39" borderId="0" xfId="10" applyNumberFormat="1" applyFont="1" applyFill="1" applyBorder="1"/>
    <xf numFmtId="168" fontId="12" fillId="39" borderId="4" xfId="10" applyNumberFormat="1" applyFont="1" applyFill="1" applyBorder="1"/>
    <xf numFmtId="168" fontId="12" fillId="39" borderId="41" xfId="10" applyNumberFormat="1" applyFont="1" applyFill="1" applyBorder="1"/>
    <xf numFmtId="168" fontId="12" fillId="39" borderId="16" xfId="10" applyNumberFormat="1" applyFont="1" applyFill="1" applyBorder="1"/>
    <xf numFmtId="168" fontId="1" fillId="39" borderId="16" xfId="10" applyNumberFormat="1" applyFont="1" applyFill="1" applyBorder="1"/>
    <xf numFmtId="4" fontId="1" fillId="39" borderId="0" xfId="7" applyNumberFormat="1" applyFill="1"/>
    <xf numFmtId="0" fontId="12" fillId="0" borderId="69" xfId="9" applyFont="1" applyBorder="1" applyAlignment="1">
      <alignment horizontal="left" indent="2"/>
    </xf>
    <xf numFmtId="0" fontId="22" fillId="0" borderId="69" xfId="7" applyFont="1" applyBorder="1"/>
    <xf numFmtId="0" fontId="12" fillId="0" borderId="69" xfId="9" applyFont="1" applyBorder="1"/>
    <xf numFmtId="168" fontId="12" fillId="15" borderId="69" xfId="10" applyNumberFormat="1" applyFont="1" applyFill="1" applyBorder="1"/>
    <xf numFmtId="168" fontId="12" fillId="4" borderId="69" xfId="10" applyNumberFormat="1" applyFont="1" applyFill="1" applyBorder="1"/>
    <xf numFmtId="168" fontId="12" fillId="7" borderId="70" xfId="10" applyNumberFormat="1" applyFont="1" applyFill="1" applyBorder="1"/>
    <xf numFmtId="168" fontId="1" fillId="37" borderId="70" xfId="10" applyNumberFormat="1" applyFont="1" applyFill="1" applyBorder="1"/>
    <xf numFmtId="0" fontId="1" fillId="0" borderId="69" xfId="0" applyFont="1" applyBorder="1"/>
    <xf numFmtId="0" fontId="31" fillId="0" borderId="69" xfId="0" applyFont="1" applyBorder="1"/>
    <xf numFmtId="0" fontId="12" fillId="0" borderId="69" xfId="0" applyFont="1" applyBorder="1" applyAlignment="1">
      <alignment horizontal="center"/>
    </xf>
    <xf numFmtId="0" fontId="12" fillId="0" borderId="71" xfId="0" applyFont="1" applyBorder="1"/>
    <xf numFmtId="169" fontId="12" fillId="16" borderId="71" xfId="11" applyNumberFormat="1" applyFont="1" applyFill="1" applyBorder="1"/>
    <xf numFmtId="0" fontId="12" fillId="0" borderId="0" xfId="0" applyFont="1"/>
    <xf numFmtId="169" fontId="12" fillId="0" borderId="0" xfId="0" applyNumberFormat="1" applyFont="1"/>
    <xf numFmtId="0" fontId="10" fillId="0" borderId="0" xfId="0" applyFont="1"/>
    <xf numFmtId="169" fontId="1" fillId="0" borderId="0" xfId="0" applyNumberFormat="1" applyFont="1"/>
    <xf numFmtId="169" fontId="12" fillId="16" borderId="0" xfId="11" applyNumberFormat="1" applyFont="1" applyFill="1" applyBorder="1"/>
    <xf numFmtId="0" fontId="1" fillId="0" borderId="0" xfId="0" applyFont="1"/>
    <xf numFmtId="182" fontId="0" fillId="0" borderId="0" xfId="0" applyNumberFormat="1"/>
    <xf numFmtId="0" fontId="0" fillId="0" borderId="72" xfId="0" applyBorder="1"/>
    <xf numFmtId="0" fontId="10" fillId="0" borderId="72" xfId="0" applyFont="1" applyBorder="1"/>
    <xf numFmtId="169" fontId="1" fillId="0" borderId="72" xfId="0" applyNumberFormat="1" applyFont="1" applyBorder="1"/>
    <xf numFmtId="0" fontId="12" fillId="0" borderId="72" xfId="0" applyFont="1" applyBorder="1"/>
    <xf numFmtId="169" fontId="12" fillId="0" borderId="72" xfId="11" applyNumberFormat="1" applyFont="1" applyFill="1" applyBorder="1"/>
    <xf numFmtId="0" fontId="1" fillId="0" borderId="73" xfId="0" applyFont="1" applyBorder="1"/>
    <xf numFmtId="0" fontId="10" fillId="0" borderId="73" xfId="0" applyFont="1" applyBorder="1"/>
    <xf numFmtId="44" fontId="1" fillId="0" borderId="73" xfId="6" applyFont="1" applyBorder="1"/>
    <xf numFmtId="0" fontId="12" fillId="0" borderId="0" xfId="0" applyFont="1" applyAlignment="1">
      <alignment horizontal="left"/>
    </xf>
    <xf numFmtId="169" fontId="12" fillId="0" borderId="0" xfId="0" applyNumberFormat="1" applyFont="1" applyAlignment="1">
      <alignment vertical="top"/>
    </xf>
    <xf numFmtId="0" fontId="12" fillId="0" borderId="0" xfId="0" applyFont="1" applyAlignment="1">
      <alignment vertical="top"/>
    </xf>
    <xf numFmtId="10" fontId="46" fillId="6" borderId="21" xfId="8" applyNumberFormat="1" applyFont="1" applyFill="1" applyBorder="1" applyProtection="1">
      <protection locked="0"/>
    </xf>
    <xf numFmtId="0" fontId="12" fillId="39" borderId="0" xfId="9" applyFont="1" applyFill="1"/>
    <xf numFmtId="169" fontId="12" fillId="39" borderId="0" xfId="11" applyNumberFormat="1" applyFont="1" applyFill="1"/>
    <xf numFmtId="169" fontId="12" fillId="39" borderId="2" xfId="11" applyNumberFormat="1" applyFont="1" applyFill="1" applyBorder="1"/>
    <xf numFmtId="169" fontId="12" fillId="39" borderId="4" xfId="11" applyNumberFormat="1" applyFont="1" applyFill="1" applyBorder="1"/>
    <xf numFmtId="169" fontId="12" fillId="39" borderId="41" xfId="11" applyNumberFormat="1" applyFont="1" applyFill="1" applyBorder="1"/>
    <xf numFmtId="169" fontId="1" fillId="39" borderId="41" xfId="7" applyNumberFormat="1" applyFill="1" applyBorder="1"/>
    <xf numFmtId="169" fontId="12" fillId="39" borderId="0" xfId="10" applyNumberFormat="1" applyFont="1" applyFill="1"/>
    <xf numFmtId="168" fontId="12" fillId="39" borderId="0" xfId="10" applyNumberFormat="1" applyFont="1" applyFill="1"/>
    <xf numFmtId="168" fontId="1" fillId="39" borderId="41" xfId="7" applyNumberFormat="1" applyFill="1" applyBorder="1"/>
    <xf numFmtId="10" fontId="12" fillId="39" borderId="0" xfId="8" applyNumberFormat="1" applyFont="1" applyFill="1"/>
    <xf numFmtId="10" fontId="12" fillId="39" borderId="0" xfId="9" applyNumberFormat="1" applyFont="1" applyFill="1"/>
    <xf numFmtId="169" fontId="12" fillId="39" borderId="0" xfId="10" applyNumberFormat="1" applyFont="1" applyFill="1" applyBorder="1"/>
    <xf numFmtId="0" fontId="1" fillId="39" borderId="4" xfId="7" applyFill="1" applyBorder="1"/>
    <xf numFmtId="0" fontId="12" fillId="39" borderId="1" xfId="9" applyFont="1" applyFill="1" applyBorder="1" applyAlignment="1">
      <alignment horizontal="left" wrapText="1"/>
    </xf>
    <xf numFmtId="169" fontId="12" fillId="39" borderId="1" xfId="10" applyNumberFormat="1" applyFont="1" applyFill="1" applyBorder="1"/>
    <xf numFmtId="168" fontId="1" fillId="39" borderId="64" xfId="7" applyNumberFormat="1" applyFill="1" applyBorder="1"/>
    <xf numFmtId="10" fontId="12" fillId="39" borderId="1" xfId="8" applyNumberFormat="1" applyFont="1" applyFill="1" applyBorder="1"/>
    <xf numFmtId="44" fontId="12" fillId="0" borderId="41" xfId="11" applyFont="1" applyFill="1" applyBorder="1"/>
    <xf numFmtId="169" fontId="1" fillId="26" borderId="41" xfId="7" applyNumberFormat="1" applyFill="1" applyBorder="1"/>
    <xf numFmtId="0" fontId="18" fillId="0" borderId="0" xfId="7" applyFont="1" applyAlignment="1">
      <alignment horizontal="right"/>
    </xf>
    <xf numFmtId="0" fontId="1" fillId="0" borderId="69" xfId="7" applyBorder="1"/>
    <xf numFmtId="168" fontId="1" fillId="0" borderId="5" xfId="7" applyNumberFormat="1" applyBorder="1"/>
    <xf numFmtId="0" fontId="1" fillId="0" borderId="69" xfId="7" applyBorder="1" applyAlignment="1">
      <alignment horizontal="right"/>
    </xf>
    <xf numFmtId="4" fontId="1" fillId="26" borderId="69" xfId="7" applyNumberFormat="1" applyFill="1" applyBorder="1"/>
    <xf numFmtId="0" fontId="1" fillId="26" borderId="69" xfId="7" applyFill="1" applyBorder="1"/>
    <xf numFmtId="169" fontId="1" fillId="0" borderId="69" xfId="7" applyNumberFormat="1" applyBorder="1"/>
    <xf numFmtId="0" fontId="1" fillId="0" borderId="5" xfId="7" applyBorder="1"/>
    <xf numFmtId="168" fontId="1" fillId="0" borderId="69" xfId="1" applyNumberFormat="1" applyFont="1" applyBorder="1"/>
    <xf numFmtId="177" fontId="15" fillId="0" borderId="0" xfId="12" applyNumberFormat="1"/>
    <xf numFmtId="9" fontId="1" fillId="0" borderId="69" xfId="7" applyNumberFormat="1" applyBorder="1"/>
    <xf numFmtId="0" fontId="83" fillId="24" borderId="0" xfId="7" applyFont="1" applyFill="1"/>
    <xf numFmtId="0" fontId="84" fillId="24" borderId="0" xfId="7" applyFont="1" applyFill="1"/>
    <xf numFmtId="0" fontId="84" fillId="24" borderId="2" xfId="7" applyFont="1" applyFill="1" applyBorder="1"/>
    <xf numFmtId="4" fontId="84" fillId="24" borderId="0" xfId="7" applyNumberFormat="1" applyFont="1" applyFill="1"/>
    <xf numFmtId="0" fontId="75" fillId="39" borderId="0" xfId="0" applyFont="1" applyFill="1" applyAlignment="1">
      <alignment horizontal="left" indent="2"/>
    </xf>
    <xf numFmtId="9" fontId="0" fillId="0" borderId="69" xfId="2" applyFont="1" applyFill="1" applyBorder="1"/>
    <xf numFmtId="167" fontId="6" fillId="0" borderId="0" xfId="1" applyNumberFormat="1" applyFont="1" applyBorder="1"/>
    <xf numFmtId="0" fontId="77" fillId="0" borderId="69" xfId="0" applyFont="1" applyBorder="1"/>
    <xf numFmtId="0" fontId="75" fillId="39" borderId="0" xfId="0" applyFont="1" applyFill="1"/>
    <xf numFmtId="0" fontId="75" fillId="39" borderId="0" xfId="0" applyFont="1" applyFill="1" applyAlignment="1">
      <alignment horizontal="left"/>
    </xf>
    <xf numFmtId="0" fontId="75" fillId="0" borderId="72" xfId="0" applyFont="1" applyBorder="1" applyAlignment="1">
      <alignment horizontal="left" indent="2"/>
    </xf>
    <xf numFmtId="0" fontId="75" fillId="0" borderId="72" xfId="0" applyFont="1" applyBorder="1"/>
    <xf numFmtId="0" fontId="75" fillId="36" borderId="72" xfId="1" applyNumberFormat="1" applyFont="1" applyFill="1" applyBorder="1"/>
    <xf numFmtId="43" fontId="75" fillId="0" borderId="72" xfId="1" applyFont="1" applyFill="1" applyBorder="1"/>
    <xf numFmtId="43" fontId="75" fillId="0" borderId="72" xfId="1" applyFont="1" applyBorder="1"/>
    <xf numFmtId="0" fontId="75" fillId="0" borderId="74" xfId="0" applyFont="1" applyBorder="1" applyAlignment="1">
      <alignment horizontal="left" indent="2"/>
    </xf>
    <xf numFmtId="0" fontId="75" fillId="0" borderId="74" xfId="0" applyFont="1" applyBorder="1"/>
    <xf numFmtId="0" fontId="75" fillId="16" borderId="74" xfId="1" applyNumberFormat="1" applyFont="1" applyFill="1" applyBorder="1"/>
    <xf numFmtId="43" fontId="75" fillId="0" borderId="74" xfId="1" applyFont="1" applyFill="1" applyBorder="1"/>
    <xf numFmtId="43" fontId="75" fillId="0" borderId="74" xfId="1" applyFont="1" applyBorder="1"/>
    <xf numFmtId="0" fontId="85" fillId="39" borderId="0" xfId="0" applyFont="1" applyFill="1"/>
    <xf numFmtId="164" fontId="1" fillId="0" borderId="69" xfId="8" applyNumberFormat="1" applyFont="1" applyFill="1" applyBorder="1"/>
    <xf numFmtId="168" fontId="12" fillId="4" borderId="62" xfId="10" applyNumberFormat="1" applyFont="1" applyFill="1" applyBorder="1"/>
    <xf numFmtId="0" fontId="78" fillId="39" borderId="0" xfId="0" applyFont="1" applyFill="1" applyAlignment="1">
      <alignment horizontal="left" indent="1"/>
    </xf>
    <xf numFmtId="168" fontId="77" fillId="0" borderId="69" xfId="1" applyNumberFormat="1" applyFont="1" applyBorder="1"/>
    <xf numFmtId="43" fontId="77" fillId="0" borderId="69" xfId="1" applyFont="1" applyBorder="1"/>
    <xf numFmtId="0" fontId="77" fillId="39" borderId="69" xfId="0" applyFont="1" applyFill="1" applyBorder="1"/>
    <xf numFmtId="43" fontId="78" fillId="38" borderId="0" xfId="1" applyFont="1" applyFill="1"/>
    <xf numFmtId="43" fontId="75" fillId="38" borderId="0" xfId="1" applyFont="1" applyFill="1"/>
    <xf numFmtId="168" fontId="78" fillId="38" borderId="0" xfId="1" applyNumberFormat="1" applyFont="1" applyFill="1"/>
    <xf numFmtId="168" fontId="75" fillId="38" borderId="0" xfId="1" applyNumberFormat="1" applyFont="1" applyFill="1"/>
    <xf numFmtId="183" fontId="12" fillId="26" borderId="41" xfId="10" applyNumberFormat="1" applyFont="1" applyFill="1" applyBorder="1"/>
    <xf numFmtId="180" fontId="48" fillId="29" borderId="54" xfId="0" applyNumberFormat="1" applyFont="1" applyFill="1" applyBorder="1"/>
    <xf numFmtId="179" fontId="48" fillId="29" borderId="0" xfId="0" applyNumberFormat="1" applyFont="1" applyFill="1"/>
    <xf numFmtId="179" fontId="48" fillId="29" borderId="54" xfId="0" applyNumberFormat="1" applyFont="1" applyFill="1" applyBorder="1"/>
    <xf numFmtId="0" fontId="12" fillId="0" borderId="0" xfId="9" applyFont="1" applyAlignment="1">
      <alignment horizontal="left"/>
    </xf>
    <xf numFmtId="168" fontId="12" fillId="4" borderId="0" xfId="9" applyNumberFormat="1" applyFont="1" applyFill="1"/>
    <xf numFmtId="0" fontId="12" fillId="0" borderId="72" xfId="9" applyFont="1" applyBorder="1" applyAlignment="1">
      <alignment horizontal="left" indent="2"/>
    </xf>
    <xf numFmtId="0" fontId="1" fillId="0" borderId="72" xfId="7" applyBorder="1"/>
    <xf numFmtId="0" fontId="12" fillId="0" borderId="72" xfId="9" applyFont="1" applyBorder="1"/>
    <xf numFmtId="9" fontId="1" fillId="0" borderId="72" xfId="7" applyNumberFormat="1" applyBorder="1"/>
    <xf numFmtId="168" fontId="12" fillId="15" borderId="72" xfId="10" applyNumberFormat="1" applyFont="1" applyFill="1" applyBorder="1"/>
    <xf numFmtId="168" fontId="12" fillId="4" borderId="76" xfId="10" applyNumberFormat="1" applyFont="1" applyFill="1" applyBorder="1"/>
    <xf numFmtId="168" fontId="12" fillId="4" borderId="72" xfId="10" applyNumberFormat="1" applyFont="1" applyFill="1" applyBorder="1"/>
    <xf numFmtId="168" fontId="12" fillId="26" borderId="76" xfId="10" applyNumberFormat="1" applyFont="1" applyFill="1" applyBorder="1"/>
    <xf numFmtId="168" fontId="12" fillId="26" borderId="77" xfId="10" applyNumberFormat="1" applyFont="1" applyFill="1" applyBorder="1"/>
    <xf numFmtId="168" fontId="12" fillId="7" borderId="75" xfId="10" applyNumberFormat="1" applyFont="1" applyFill="1" applyBorder="1"/>
    <xf numFmtId="168" fontId="1" fillId="37" borderId="77" xfId="10" applyNumberFormat="1" applyFont="1" applyFill="1" applyBorder="1"/>
    <xf numFmtId="0" fontId="22" fillId="0" borderId="72" xfId="7" applyFont="1" applyBorder="1"/>
    <xf numFmtId="0" fontId="12" fillId="15" borderId="72" xfId="9" applyFont="1" applyFill="1" applyBorder="1"/>
    <xf numFmtId="0" fontId="12" fillId="4" borderId="78" xfId="9" applyFont="1" applyFill="1" applyBorder="1"/>
    <xf numFmtId="0" fontId="12" fillId="4" borderId="72" xfId="9" applyFont="1" applyFill="1" applyBorder="1"/>
    <xf numFmtId="0" fontId="12" fillId="26" borderId="76" xfId="9" applyFont="1" applyFill="1" applyBorder="1"/>
    <xf numFmtId="43" fontId="12" fillId="26" borderId="76" xfId="9" applyNumberFormat="1" applyFont="1" applyFill="1" applyBorder="1"/>
    <xf numFmtId="43" fontId="12" fillId="26" borderId="77" xfId="9" applyNumberFormat="1" applyFont="1" applyFill="1" applyBorder="1"/>
    <xf numFmtId="0" fontId="12" fillId="26" borderId="77" xfId="9" applyFont="1" applyFill="1" applyBorder="1"/>
    <xf numFmtId="0" fontId="12" fillId="7" borderId="75" xfId="9" applyFont="1" applyFill="1" applyBorder="1"/>
    <xf numFmtId="168" fontId="1" fillId="37" borderId="77" xfId="7" applyNumberFormat="1" applyFill="1" applyBorder="1"/>
    <xf numFmtId="0" fontId="86" fillId="0" borderId="0" xfId="9" applyFont="1" applyAlignment="1">
      <alignment horizontal="left" indent="2"/>
    </xf>
    <xf numFmtId="165" fontId="12" fillId="4" borderId="0" xfId="2" applyNumberFormat="1" applyFont="1" applyFill="1" applyBorder="1"/>
    <xf numFmtId="0" fontId="86" fillId="0" borderId="0" xfId="9" applyFont="1"/>
    <xf numFmtId="9" fontId="48" fillId="0" borderId="0" xfId="2" applyFont="1"/>
    <xf numFmtId="0" fontId="87" fillId="0" borderId="0" xfId="9" applyFont="1"/>
    <xf numFmtId="169" fontId="87" fillId="15" borderId="0" xfId="11" applyNumberFormat="1" applyFont="1" applyFill="1" applyBorder="1"/>
    <xf numFmtId="169" fontId="87" fillId="4" borderId="0" xfId="11" applyNumberFormat="1" applyFont="1" applyFill="1" applyBorder="1"/>
    <xf numFmtId="168" fontId="87" fillId="4" borderId="0" xfId="11" applyNumberFormat="1" applyFont="1" applyFill="1" applyBorder="1"/>
    <xf numFmtId="168" fontId="87" fillId="26" borderId="4" xfId="11" applyNumberFormat="1" applyFont="1" applyFill="1" applyBorder="1"/>
    <xf numFmtId="168" fontId="87" fillId="26" borderId="41" xfId="11" applyNumberFormat="1" applyFont="1" applyFill="1" applyBorder="1"/>
    <xf numFmtId="168" fontId="87" fillId="26" borderId="0" xfId="11" applyNumberFormat="1" applyFont="1" applyFill="1" applyBorder="1"/>
    <xf numFmtId="183" fontId="87" fillId="26" borderId="41" xfId="10" applyNumberFormat="1" applyFont="1" applyFill="1" applyBorder="1"/>
    <xf numFmtId="168" fontId="75" fillId="41" borderId="0" xfId="1" applyNumberFormat="1" applyFont="1" applyFill="1"/>
    <xf numFmtId="168" fontId="12" fillId="16" borderId="64" xfId="11" applyNumberFormat="1" applyFont="1" applyFill="1" applyBorder="1"/>
    <xf numFmtId="168" fontId="1" fillId="26" borderId="41" xfId="7" applyNumberFormat="1" applyFill="1" applyBorder="1"/>
    <xf numFmtId="169" fontId="12" fillId="16" borderId="38" xfId="11" applyNumberFormat="1" applyFont="1" applyFill="1" applyBorder="1"/>
    <xf numFmtId="43" fontId="22" fillId="7" borderId="16" xfId="1" applyFont="1" applyFill="1" applyBorder="1"/>
    <xf numFmtId="43" fontId="12" fillId="7" borderId="16" xfId="1" applyFont="1" applyFill="1" applyBorder="1"/>
    <xf numFmtId="169" fontId="12" fillId="16" borderId="64" xfId="11" applyNumberFormat="1" applyFont="1" applyFill="1" applyBorder="1"/>
    <xf numFmtId="39" fontId="0" fillId="0" borderId="0" xfId="0" applyNumberFormat="1"/>
    <xf numFmtId="184" fontId="0" fillId="0" borderId="0" xfId="0" applyNumberFormat="1"/>
    <xf numFmtId="168" fontId="86" fillId="7" borderId="16" xfId="10" applyNumberFormat="1" applyFont="1" applyFill="1" applyBorder="1"/>
    <xf numFmtId="168" fontId="21" fillId="7" borderId="16" xfId="2" applyNumberFormat="1" applyFont="1" applyFill="1" applyBorder="1"/>
    <xf numFmtId="168" fontId="1" fillId="0" borderId="69" xfId="1" applyNumberFormat="1" applyFont="1" applyBorder="1" applyAlignment="1">
      <alignment horizontal="right"/>
    </xf>
    <xf numFmtId="0" fontId="88" fillId="0" borderId="69" xfId="0" applyFont="1" applyBorder="1"/>
    <xf numFmtId="0" fontId="16" fillId="0" borderId="69" xfId="0" applyFont="1" applyBorder="1" applyAlignment="1">
      <alignment horizontal="center"/>
    </xf>
    <xf numFmtId="0" fontId="16" fillId="0" borderId="62" xfId="0" applyFont="1" applyBorder="1" applyAlignment="1">
      <alignment horizontal="center"/>
    </xf>
    <xf numFmtId="0" fontId="16" fillId="0" borderId="0" xfId="0" applyFont="1"/>
    <xf numFmtId="169" fontId="16" fillId="0" borderId="0" xfId="0" applyNumberFormat="1" applyFont="1"/>
    <xf numFmtId="169" fontId="16" fillId="0" borderId="0" xfId="11" applyNumberFormat="1" applyFont="1"/>
    <xf numFmtId="169" fontId="16" fillId="0" borderId="4" xfId="0" applyNumberFormat="1" applyFont="1" applyBorder="1"/>
    <xf numFmtId="169" fontId="16" fillId="6" borderId="0" xfId="11" applyNumberFormat="1" applyFont="1" applyFill="1"/>
    <xf numFmtId="0" fontId="16" fillId="0" borderId="72" xfId="0" applyFont="1" applyBorder="1"/>
    <xf numFmtId="169" fontId="16" fillId="0" borderId="72" xfId="0" applyNumberFormat="1" applyFont="1" applyBorder="1"/>
    <xf numFmtId="169" fontId="0" fillId="0" borderId="4" xfId="11" applyNumberFormat="1" applyFont="1" applyBorder="1"/>
    <xf numFmtId="0" fontId="0" fillId="0" borderId="69" xfId="0" applyBorder="1"/>
    <xf numFmtId="182" fontId="0" fillId="0" borderId="69" xfId="0" applyNumberFormat="1" applyBorder="1"/>
    <xf numFmtId="169" fontId="16" fillId="0" borderId="62" xfId="0" applyNumberFormat="1" applyFont="1" applyBorder="1"/>
    <xf numFmtId="169" fontId="0" fillId="0" borderId="69" xfId="0" applyNumberFormat="1" applyBorder="1"/>
    <xf numFmtId="0" fontId="16" fillId="0" borderId="69" xfId="0" applyFont="1" applyBorder="1"/>
    <xf numFmtId="169" fontId="16" fillId="0" borderId="69" xfId="0" applyNumberFormat="1" applyFont="1" applyBorder="1"/>
    <xf numFmtId="169" fontId="0" fillId="0" borderId="62" xfId="0" applyNumberFormat="1" applyBorder="1"/>
    <xf numFmtId="169" fontId="16" fillId="0" borderId="0" xfId="11" applyNumberFormat="1" applyFont="1" applyAlignment="1">
      <alignment vertical="top"/>
    </xf>
    <xf numFmtId="169" fontId="16" fillId="0" borderId="4" xfId="0" applyNumberFormat="1" applyFont="1" applyBorder="1" applyAlignment="1">
      <alignment vertical="top"/>
    </xf>
    <xf numFmtId="0" fontId="16" fillId="0" borderId="0" xfId="0" applyFont="1" applyAlignment="1">
      <alignment vertical="top"/>
    </xf>
    <xf numFmtId="169" fontId="16" fillId="0" borderId="0" xfId="0" applyNumberFormat="1" applyFont="1" applyAlignment="1">
      <alignment vertical="top"/>
    </xf>
    <xf numFmtId="169" fontId="16" fillId="0" borderId="76" xfId="0" applyNumberFormat="1" applyFont="1" applyBorder="1"/>
    <xf numFmtId="0" fontId="22" fillId="41" borderId="0" xfId="7" applyFont="1" applyFill="1"/>
    <xf numFmtId="0" fontId="12" fillId="41" borderId="0" xfId="9" applyFont="1" applyFill="1" applyAlignment="1">
      <alignment horizontal="left" indent="2"/>
    </xf>
    <xf numFmtId="0" fontId="12" fillId="41" borderId="0" xfId="9" applyFont="1" applyFill="1"/>
    <xf numFmtId="169" fontId="12" fillId="41" borderId="0" xfId="10" applyNumberFormat="1" applyFont="1" applyFill="1"/>
    <xf numFmtId="168" fontId="12" fillId="41" borderId="0" xfId="10" applyNumberFormat="1" applyFont="1" applyFill="1"/>
    <xf numFmtId="168" fontId="12" fillId="41" borderId="4" xfId="10" applyNumberFormat="1" applyFont="1" applyFill="1" applyBorder="1"/>
    <xf numFmtId="168" fontId="12" fillId="41" borderId="41" xfId="10" applyNumberFormat="1" applyFont="1" applyFill="1" applyBorder="1"/>
    <xf numFmtId="168" fontId="12" fillId="41" borderId="0" xfId="10" applyNumberFormat="1" applyFont="1" applyFill="1" applyBorder="1"/>
    <xf numFmtId="168" fontId="1" fillId="41" borderId="41" xfId="7" applyNumberFormat="1" applyFill="1" applyBorder="1"/>
    <xf numFmtId="0" fontId="1" fillId="41" borderId="0" xfId="7" applyFill="1"/>
    <xf numFmtId="0" fontId="12" fillId="41" borderId="72" xfId="9" applyFont="1" applyFill="1" applyBorder="1"/>
    <xf numFmtId="172" fontId="16" fillId="0" borderId="0" xfId="11" applyNumberFormat="1" applyFont="1" applyAlignment="1">
      <alignment vertical="top"/>
    </xf>
    <xf numFmtId="0" fontId="12" fillId="41" borderId="0" xfId="9" applyFont="1" applyFill="1" applyAlignment="1">
      <alignment horizontal="left" wrapText="1"/>
    </xf>
    <xf numFmtId="169" fontId="12" fillId="41" borderId="0" xfId="10" applyNumberFormat="1" applyFont="1" applyFill="1" applyBorder="1"/>
    <xf numFmtId="0" fontId="1" fillId="41" borderId="4" xfId="7" applyFill="1" applyBorder="1"/>
    <xf numFmtId="0" fontId="12" fillId="41" borderId="1" xfId="9" applyFont="1" applyFill="1" applyBorder="1" applyAlignment="1">
      <alignment horizontal="left" indent="2"/>
    </xf>
    <xf numFmtId="10" fontId="12" fillId="41" borderId="0" xfId="8" applyNumberFormat="1" applyFont="1" applyFill="1" applyBorder="1"/>
    <xf numFmtId="169" fontId="12" fillId="41" borderId="0" xfId="11" applyNumberFormat="1" applyFont="1" applyFill="1"/>
    <xf numFmtId="169" fontId="12" fillId="41" borderId="2" xfId="11" applyNumberFormat="1" applyFont="1" applyFill="1" applyBorder="1"/>
    <xf numFmtId="169" fontId="12" fillId="41" borderId="4" xfId="11" applyNumberFormat="1" applyFont="1" applyFill="1" applyBorder="1"/>
    <xf numFmtId="169" fontId="12" fillId="41" borderId="41" xfId="11" applyNumberFormat="1" applyFont="1" applyFill="1" applyBorder="1"/>
    <xf numFmtId="169" fontId="1" fillId="41" borderId="41" xfId="7" applyNumberFormat="1" applyFill="1" applyBorder="1"/>
    <xf numFmtId="2" fontId="15" fillId="0" borderId="0" xfId="12" applyNumberFormat="1"/>
    <xf numFmtId="168" fontId="1" fillId="0" borderId="69" xfId="7" applyNumberFormat="1" applyBorder="1"/>
    <xf numFmtId="164" fontId="1" fillId="39" borderId="0" xfId="8" applyNumberFormat="1" applyFont="1" applyFill="1" applyBorder="1"/>
    <xf numFmtId="168" fontId="1" fillId="39" borderId="41" xfId="10" applyNumberFormat="1" applyFont="1" applyFill="1" applyBorder="1"/>
    <xf numFmtId="168" fontId="1" fillId="16" borderId="0" xfId="1" applyNumberFormat="1" applyFont="1" applyFill="1"/>
    <xf numFmtId="43" fontId="16" fillId="0" borderId="0" xfId="1" applyFont="1"/>
    <xf numFmtId="2" fontId="1" fillId="0" borderId="0" xfId="7" applyNumberFormat="1" applyAlignment="1">
      <alignment horizontal="center"/>
    </xf>
    <xf numFmtId="185" fontId="1" fillId="0" borderId="0" xfId="1" applyNumberFormat="1" applyFont="1" applyBorder="1" applyAlignment="1">
      <alignment horizontal="center"/>
    </xf>
    <xf numFmtId="185" fontId="1" fillId="0" borderId="0" xfId="7" applyNumberFormat="1" applyAlignment="1">
      <alignment horizontal="center"/>
    </xf>
    <xf numFmtId="37" fontId="0" fillId="0" borderId="0" xfId="0" applyNumberFormat="1"/>
    <xf numFmtId="4" fontId="1" fillId="0" borderId="0" xfId="7" applyNumberFormat="1" applyAlignment="1">
      <alignment horizontal="left"/>
    </xf>
    <xf numFmtId="0" fontId="1" fillId="0" borderId="0" xfId="7" applyAlignment="1">
      <alignment horizontal="left"/>
    </xf>
    <xf numFmtId="37" fontId="1" fillId="0" borderId="0" xfId="7" applyNumberFormat="1" applyAlignment="1">
      <alignment horizontal="left"/>
    </xf>
    <xf numFmtId="0" fontId="0" fillId="0" borderId="69" xfId="1" applyNumberFormat="1" applyFont="1" applyBorder="1"/>
    <xf numFmtId="43" fontId="0" fillId="0" borderId="69" xfId="1" applyFont="1" applyBorder="1"/>
    <xf numFmtId="43" fontId="42" fillId="0" borderId="0" xfId="1" applyFont="1" applyFill="1"/>
    <xf numFmtId="169" fontId="16" fillId="6" borderId="0" xfId="0" applyNumberFormat="1" applyFont="1" applyFill="1"/>
    <xf numFmtId="0" fontId="84" fillId="24" borderId="0" xfId="7" applyFont="1" applyFill="1" applyAlignment="1">
      <alignment wrapText="1"/>
    </xf>
    <xf numFmtId="0" fontId="1" fillId="0" borderId="0" xfId="7" applyAlignment="1">
      <alignment horizontal="center" wrapText="1"/>
    </xf>
    <xf numFmtId="168" fontId="12" fillId="16" borderId="41" xfId="10" applyNumberFormat="1" applyFont="1" applyFill="1" applyBorder="1"/>
    <xf numFmtId="168" fontId="12" fillId="4" borderId="0" xfId="1" applyNumberFormat="1" applyFont="1" applyFill="1"/>
    <xf numFmtId="168" fontId="86" fillId="36" borderId="0" xfId="10" applyNumberFormat="1" applyFont="1" applyFill="1" applyBorder="1"/>
    <xf numFmtId="166" fontId="1" fillId="39" borderId="0" xfId="7" applyNumberFormat="1" applyFill="1"/>
    <xf numFmtId="168" fontId="1" fillId="39" borderId="0" xfId="7" applyNumberFormat="1" applyFill="1"/>
    <xf numFmtId="0" fontId="1" fillId="0" borderId="41" xfId="7" applyBorder="1"/>
    <xf numFmtId="165" fontId="12" fillId="7" borderId="4" xfId="9" applyNumberFormat="1" applyFont="1" applyFill="1" applyBorder="1"/>
    <xf numFmtId="14" fontId="12" fillId="7" borderId="61" xfId="7" applyNumberFormat="1" applyFont="1" applyFill="1" applyBorder="1" applyAlignment="1">
      <alignment horizontal="right"/>
    </xf>
    <xf numFmtId="168" fontId="12" fillId="7" borderId="64" xfId="10" applyNumberFormat="1" applyFont="1" applyFill="1" applyBorder="1"/>
    <xf numFmtId="168" fontId="24" fillId="7" borderId="41" xfId="10" applyNumberFormat="1" applyFont="1" applyFill="1" applyBorder="1"/>
    <xf numFmtId="9" fontId="21" fillId="7" borderId="41" xfId="2" applyFont="1" applyFill="1" applyBorder="1"/>
    <xf numFmtId="169" fontId="21" fillId="7" borderId="41" xfId="6" applyNumberFormat="1" applyFont="1" applyFill="1" applyBorder="1"/>
    <xf numFmtId="9" fontId="12" fillId="7" borderId="41" xfId="2" applyFont="1" applyFill="1" applyBorder="1"/>
    <xf numFmtId="0" fontId="12" fillId="7" borderId="41" xfId="9" applyFont="1" applyFill="1" applyBorder="1"/>
    <xf numFmtId="168" fontId="87" fillId="7" borderId="41" xfId="10" applyNumberFormat="1" applyFont="1" applyFill="1" applyBorder="1"/>
    <xf numFmtId="168" fontId="12" fillId="7" borderId="77" xfId="10" applyNumberFormat="1" applyFont="1" applyFill="1" applyBorder="1"/>
    <xf numFmtId="0" fontId="12" fillId="7" borderId="77" xfId="9" applyFont="1" applyFill="1" applyBorder="1"/>
    <xf numFmtId="165" fontId="22" fillId="7" borderId="41" xfId="2" applyNumberFormat="1" applyFont="1" applyFill="1" applyBorder="1"/>
    <xf numFmtId="0" fontId="22" fillId="7" borderId="41" xfId="7" applyFont="1" applyFill="1" applyBorder="1"/>
    <xf numFmtId="43" fontId="17" fillId="7" borderId="41" xfId="10" applyFont="1" applyFill="1" applyBorder="1" applyAlignment="1">
      <alignment horizontal="right"/>
    </xf>
    <xf numFmtId="43" fontId="1" fillId="7" borderId="64" xfId="10" applyFont="1" applyFill="1" applyBorder="1"/>
    <xf numFmtId="168" fontId="12" fillId="7" borderId="4" xfId="10" applyNumberFormat="1" applyFont="1" applyFill="1" applyBorder="1"/>
    <xf numFmtId="165" fontId="12" fillId="7" borderId="4" xfId="2" applyNumberFormat="1" applyFont="1" applyFill="1" applyBorder="1"/>
    <xf numFmtId="43" fontId="29" fillId="7" borderId="4" xfId="10" applyFont="1" applyFill="1" applyBorder="1" applyAlignment="1">
      <alignment horizontal="right"/>
    </xf>
    <xf numFmtId="37" fontId="12" fillId="7" borderId="4" xfId="7" applyNumberFormat="1" applyFont="1" applyFill="1" applyBorder="1" applyAlignment="1">
      <alignment horizontal="right"/>
    </xf>
    <xf numFmtId="171" fontId="17" fillId="7" borderId="4" xfId="7" applyNumberFormat="1" applyFont="1" applyFill="1" applyBorder="1" applyAlignment="1">
      <alignment horizontal="right"/>
    </xf>
    <xf numFmtId="37" fontId="11" fillId="7" borderId="4" xfId="7" applyNumberFormat="1" applyFont="1" applyFill="1" applyBorder="1" applyAlignment="1">
      <alignment horizontal="right"/>
    </xf>
    <xf numFmtId="168" fontId="12" fillId="7" borderId="4" xfId="10" applyNumberFormat="1" applyFont="1" applyFill="1" applyBorder="1" applyAlignment="1">
      <alignment horizontal="right"/>
    </xf>
    <xf numFmtId="0" fontId="1" fillId="7" borderId="4" xfId="7" applyFill="1" applyBorder="1"/>
    <xf numFmtId="168" fontId="12" fillId="26" borderId="62" xfId="11" applyNumberFormat="1" applyFont="1" applyFill="1" applyBorder="1"/>
    <xf numFmtId="168" fontId="24" fillId="26" borderId="4" xfId="9" applyNumberFormat="1" applyFont="1" applyFill="1" applyBorder="1"/>
    <xf numFmtId="168" fontId="24" fillId="26" borderId="4" xfId="11" applyNumberFormat="1" applyFont="1" applyFill="1" applyBorder="1"/>
    <xf numFmtId="169" fontId="12" fillId="0" borderId="4" xfId="11" applyNumberFormat="1" applyFont="1" applyFill="1" applyBorder="1"/>
    <xf numFmtId="0" fontId="84" fillId="24" borderId="41" xfId="7" applyFont="1" applyFill="1" applyBorder="1" applyAlignment="1">
      <alignment wrapText="1"/>
    </xf>
    <xf numFmtId="168" fontId="12" fillId="39" borderId="75" xfId="1" applyNumberFormat="1" applyFont="1" applyFill="1" applyBorder="1"/>
    <xf numFmtId="168" fontId="1" fillId="7" borderId="57" xfId="1" applyNumberFormat="1" applyFont="1" applyFill="1" applyBorder="1"/>
    <xf numFmtId="168" fontId="12" fillId="36" borderId="0" xfId="10" applyNumberFormat="1" applyFont="1" applyFill="1"/>
    <xf numFmtId="168" fontId="12" fillId="36" borderId="4" xfId="10" applyNumberFormat="1" applyFont="1" applyFill="1" applyBorder="1"/>
    <xf numFmtId="168" fontId="1" fillId="36" borderId="41" xfId="7" applyNumberFormat="1" applyFill="1" applyBorder="1"/>
    <xf numFmtId="168" fontId="12" fillId="4" borderId="0" xfId="6" applyNumberFormat="1" applyFont="1" applyFill="1"/>
    <xf numFmtId="43" fontId="48" fillId="0" borderId="0" xfId="1" applyFont="1"/>
    <xf numFmtId="168" fontId="87" fillId="26" borderId="41" xfId="1" applyNumberFormat="1" applyFont="1" applyFill="1" applyBorder="1"/>
    <xf numFmtId="0" fontId="14" fillId="24" borderId="16" xfId="7" applyFont="1" applyFill="1" applyBorder="1"/>
    <xf numFmtId="165" fontId="12" fillId="7" borderId="70" xfId="9" applyNumberFormat="1" applyFont="1" applyFill="1" applyBorder="1"/>
    <xf numFmtId="169" fontId="10" fillId="4" borderId="41" xfId="6" applyNumberFormat="1" applyFont="1" applyFill="1" applyBorder="1" applyAlignment="1">
      <alignment horizontal="right"/>
    </xf>
    <xf numFmtId="0" fontId="8" fillId="0" borderId="69" xfId="0" applyFont="1" applyBorder="1"/>
    <xf numFmtId="9" fontId="0" fillId="0" borderId="69" xfId="2" applyFont="1" applyBorder="1"/>
    <xf numFmtId="0" fontId="0" fillId="0" borderId="71" xfId="0" applyBorder="1"/>
    <xf numFmtId="9" fontId="66" fillId="24" borderId="41" xfId="2" applyFont="1" applyFill="1" applyBorder="1" applyAlignment="1">
      <alignment horizontal="center" vertical="center"/>
    </xf>
    <xf numFmtId="9" fontId="66" fillId="24" borderId="16" xfId="2" applyFont="1" applyFill="1" applyBorder="1" applyAlignment="1">
      <alignment horizontal="center" vertical="center"/>
    </xf>
    <xf numFmtId="9" fontId="66" fillId="24" borderId="4" xfId="2" applyFont="1" applyFill="1" applyBorder="1" applyAlignment="1">
      <alignment horizontal="center" vertical="center"/>
    </xf>
    <xf numFmtId="9" fontId="66" fillId="24" borderId="0" xfId="2" applyFont="1" applyFill="1" applyAlignment="1">
      <alignment horizontal="center" vertical="center"/>
    </xf>
    <xf numFmtId="0" fontId="69" fillId="24" borderId="0" xfId="0" applyFont="1" applyFill="1" applyAlignment="1">
      <alignment horizontal="left" vertical="center"/>
    </xf>
    <xf numFmtId="0" fontId="1" fillId="26" borderId="16" xfId="7" applyFill="1" applyBorder="1" applyAlignment="1">
      <alignment horizontal="center"/>
    </xf>
    <xf numFmtId="0" fontId="1" fillId="26" borderId="69" xfId="7" applyFill="1" applyBorder="1" applyAlignment="1">
      <alignment horizontal="center"/>
    </xf>
    <xf numFmtId="14" fontId="12" fillId="26" borderId="0" xfId="7" applyNumberFormat="1" applyFont="1" applyFill="1" applyAlignment="1">
      <alignment horizontal="right"/>
    </xf>
    <xf numFmtId="14" fontId="12" fillId="26" borderId="16" xfId="7" applyNumberFormat="1" applyFont="1" applyFill="1" applyBorder="1" applyAlignment="1">
      <alignment horizontal="right"/>
    </xf>
    <xf numFmtId="186" fontId="12" fillId="26" borderId="9" xfId="7" applyNumberFormat="1" applyFont="1" applyFill="1" applyBorder="1" applyAlignment="1">
      <alignment horizontal="right"/>
    </xf>
    <xf numFmtId="186" fontId="12" fillId="26" borderId="38" xfId="7" applyNumberFormat="1" applyFont="1" applyFill="1" applyBorder="1" applyAlignment="1">
      <alignment horizontal="right"/>
    </xf>
    <xf numFmtId="186" fontId="12" fillId="26" borderId="62" xfId="7" applyNumberFormat="1" applyFont="1" applyFill="1" applyBorder="1" applyAlignment="1">
      <alignment horizontal="right"/>
    </xf>
    <xf numFmtId="186" fontId="12" fillId="26" borderId="64" xfId="7" applyNumberFormat="1" applyFont="1" applyFill="1" applyBorder="1" applyAlignment="1">
      <alignment horizontal="right"/>
    </xf>
    <xf numFmtId="186" fontId="12" fillId="0" borderId="23" xfId="7" applyNumberFormat="1" applyFont="1" applyBorder="1" applyAlignment="1">
      <alignment horizontal="right"/>
    </xf>
    <xf numFmtId="168" fontId="12" fillId="0" borderId="0" xfId="7" applyNumberFormat="1" applyFont="1" applyAlignment="1">
      <alignment horizontal="right"/>
    </xf>
    <xf numFmtId="168" fontId="12" fillId="6" borderId="0" xfId="1" applyNumberFormat="1" applyFont="1" applyFill="1" applyAlignment="1">
      <alignment horizontal="right"/>
    </xf>
    <xf numFmtId="168" fontId="1" fillId="37" borderId="41" xfId="7" applyNumberFormat="1" applyFill="1" applyBorder="1" applyAlignment="1">
      <alignment horizontal="center"/>
    </xf>
    <xf numFmtId="168" fontId="1" fillId="37" borderId="41" xfId="1" applyNumberFormat="1" applyFont="1" applyFill="1" applyBorder="1" applyAlignment="1">
      <alignment horizontal="center"/>
    </xf>
    <xf numFmtId="168" fontId="89" fillId="6" borderId="0" xfId="1" applyNumberFormat="1" applyFont="1" applyFill="1"/>
    <xf numFmtId="0" fontId="1" fillId="26" borderId="62" xfId="7" applyFill="1" applyBorder="1" applyAlignment="1">
      <alignment horizontal="center"/>
    </xf>
    <xf numFmtId="167" fontId="1" fillId="0" borderId="4" xfId="1" applyNumberFormat="1" applyFont="1" applyFill="1" applyBorder="1"/>
    <xf numFmtId="186" fontId="12" fillId="0" borderId="62" xfId="7" applyNumberFormat="1" applyFont="1" applyBorder="1" applyAlignment="1">
      <alignment horizontal="right"/>
    </xf>
    <xf numFmtId="168" fontId="12" fillId="0" borderId="4" xfId="7" applyNumberFormat="1" applyFont="1" applyBorder="1" applyAlignment="1">
      <alignment horizontal="right"/>
    </xf>
    <xf numFmtId="10" fontId="14" fillId="24" borderId="4" xfId="8" applyNumberFormat="1" applyFont="1" applyFill="1" applyBorder="1"/>
    <xf numFmtId="43" fontId="12" fillId="0" borderId="42" xfId="1" applyFont="1" applyFill="1" applyBorder="1" applyAlignment="1">
      <alignment horizontal="right"/>
    </xf>
    <xf numFmtId="168" fontId="12" fillId="39" borderId="62" xfId="10" applyNumberFormat="1" applyFont="1" applyFill="1" applyBorder="1"/>
    <xf numFmtId="168" fontId="24" fillId="4" borderId="4" xfId="10" applyNumberFormat="1" applyFont="1" applyFill="1" applyBorder="1"/>
    <xf numFmtId="168" fontId="86" fillId="36" borderId="4" xfId="10" applyNumberFormat="1" applyFont="1" applyFill="1" applyBorder="1"/>
    <xf numFmtId="169" fontId="21" fillId="4" borderId="4" xfId="6" applyNumberFormat="1" applyFont="1" applyFill="1" applyBorder="1"/>
    <xf numFmtId="9" fontId="12" fillId="4" borderId="4" xfId="2" applyFont="1" applyFill="1" applyBorder="1"/>
    <xf numFmtId="0" fontId="12" fillId="4" borderId="4" xfId="9" applyFont="1" applyFill="1" applyBorder="1"/>
    <xf numFmtId="0" fontId="12" fillId="41" borderId="76" xfId="9" applyFont="1" applyFill="1" applyBorder="1"/>
    <xf numFmtId="168" fontId="24" fillId="0" borderId="4" xfId="10" applyNumberFormat="1" applyFont="1" applyFill="1" applyBorder="1"/>
    <xf numFmtId="165" fontId="12" fillId="4" borderId="4" xfId="2" applyNumberFormat="1" applyFont="1" applyFill="1" applyBorder="1"/>
    <xf numFmtId="168" fontId="12" fillId="4" borderId="4" xfId="1" applyNumberFormat="1" applyFont="1" applyFill="1" applyBorder="1"/>
    <xf numFmtId="8" fontId="22" fillId="4" borderId="4" xfId="7" applyNumberFormat="1" applyFont="1" applyFill="1" applyBorder="1"/>
    <xf numFmtId="43" fontId="17" fillId="4" borderId="4" xfId="10" applyFont="1" applyFill="1" applyBorder="1" applyAlignment="1">
      <alignment horizontal="right"/>
    </xf>
    <xf numFmtId="43" fontId="1" fillId="4" borderId="62" xfId="10" applyFont="1" applyFill="1" applyBorder="1"/>
    <xf numFmtId="43" fontId="12" fillId="4" borderId="4" xfId="10" applyFont="1" applyFill="1" applyBorder="1"/>
    <xf numFmtId="43" fontId="29" fillId="4" borderId="4" xfId="10" applyFont="1" applyFill="1" applyBorder="1" applyAlignment="1">
      <alignment horizontal="right"/>
    </xf>
    <xf numFmtId="37" fontId="12" fillId="4" borderId="4" xfId="7" applyNumberFormat="1" applyFont="1" applyFill="1" applyBorder="1" applyAlignment="1">
      <alignment horizontal="right"/>
    </xf>
    <xf numFmtId="171" fontId="17" fillId="4" borderId="4" xfId="7" applyNumberFormat="1" applyFont="1" applyFill="1" applyBorder="1" applyAlignment="1">
      <alignment horizontal="right"/>
    </xf>
    <xf numFmtId="170" fontId="12" fillId="4" borderId="4" xfId="7" applyNumberFormat="1" applyFont="1" applyFill="1" applyBorder="1" applyAlignment="1">
      <alignment horizontal="right"/>
    </xf>
    <xf numFmtId="170" fontId="11" fillId="4" borderId="4" xfId="7" applyNumberFormat="1" applyFont="1" applyFill="1" applyBorder="1" applyAlignment="1">
      <alignment horizontal="right"/>
    </xf>
    <xf numFmtId="171" fontId="22" fillId="4" borderId="62" xfId="7" applyNumberFormat="1" applyFont="1" applyFill="1" applyBorder="1" applyAlignment="1">
      <alignment horizontal="right"/>
    </xf>
    <xf numFmtId="167" fontId="12" fillId="4" borderId="4" xfId="10" applyNumberFormat="1" applyFont="1" applyFill="1" applyBorder="1" applyAlignment="1">
      <alignment horizontal="right"/>
    </xf>
    <xf numFmtId="171" fontId="22" fillId="4" borderId="4" xfId="7" applyNumberFormat="1" applyFont="1" applyFill="1" applyBorder="1" applyAlignment="1">
      <alignment horizontal="right"/>
    </xf>
    <xf numFmtId="2" fontId="70" fillId="24" borderId="4" xfId="8" applyNumberFormat="1" applyFont="1" applyFill="1" applyBorder="1"/>
    <xf numFmtId="168" fontId="12" fillId="4" borderId="4" xfId="2" applyNumberFormat="1" applyFont="1" applyFill="1" applyBorder="1"/>
    <xf numFmtId="169" fontId="12" fillId="4" borderId="4" xfId="10" applyNumberFormat="1" applyFont="1" applyFill="1" applyBorder="1"/>
    <xf numFmtId="169" fontId="12" fillId="39" borderId="4" xfId="10" applyNumberFormat="1" applyFont="1" applyFill="1" applyBorder="1"/>
    <xf numFmtId="43" fontId="0" fillId="4" borderId="4" xfId="0" applyNumberFormat="1" applyFill="1" applyBorder="1"/>
    <xf numFmtId="168" fontId="12" fillId="4" borderId="4" xfId="6" applyNumberFormat="1" applyFont="1" applyFill="1" applyBorder="1"/>
    <xf numFmtId="168" fontId="87" fillId="4" borderId="4" xfId="11" applyNumberFormat="1" applyFont="1" applyFill="1" applyBorder="1"/>
    <xf numFmtId="168" fontId="12" fillId="4" borderId="4" xfId="11" applyNumberFormat="1" applyFont="1" applyFill="1" applyBorder="1"/>
    <xf numFmtId="168" fontId="12" fillId="4" borderId="62" xfId="11" applyNumberFormat="1" applyFont="1" applyFill="1" applyBorder="1"/>
    <xf numFmtId="168" fontId="24" fillId="4" borderId="4" xfId="9" applyNumberFormat="1" applyFont="1" applyFill="1" applyBorder="1"/>
    <xf numFmtId="168" fontId="24" fillId="4" borderId="4" xfId="11" applyNumberFormat="1" applyFont="1" applyFill="1" applyBorder="1"/>
    <xf numFmtId="168" fontId="24" fillId="4" borderId="40" xfId="11" applyNumberFormat="1" applyFont="1" applyFill="1" applyBorder="1"/>
    <xf numFmtId="169" fontId="12" fillId="4" borderId="4" xfId="11" applyNumberFormat="1" applyFont="1" applyFill="1" applyBorder="1"/>
    <xf numFmtId="169" fontId="12" fillId="4" borderId="62" xfId="11" applyNumberFormat="1" applyFont="1" applyFill="1" applyBorder="1"/>
    <xf numFmtId="169" fontId="24" fillId="4" borderId="4" xfId="11" applyNumberFormat="1" applyFont="1" applyFill="1" applyBorder="1"/>
    <xf numFmtId="0" fontId="12" fillId="4" borderId="62" xfId="9" applyFont="1" applyFill="1" applyBorder="1"/>
    <xf numFmtId="169" fontId="10" fillId="4" borderId="4" xfId="6" applyNumberFormat="1" applyFont="1" applyFill="1" applyBorder="1" applyAlignment="1">
      <alignment horizontal="right"/>
    </xf>
    <xf numFmtId="0" fontId="1" fillId="0" borderId="4" xfId="7" applyBorder="1" applyAlignment="1">
      <alignment horizontal="center" wrapText="1"/>
    </xf>
    <xf numFmtId="185" fontId="1" fillId="0" borderId="4" xfId="1" applyNumberFormat="1" applyFont="1" applyBorder="1" applyAlignment="1">
      <alignment horizontal="center"/>
    </xf>
    <xf numFmtId="165" fontId="21" fillId="4" borderId="4" xfId="2" applyNumberFormat="1" applyFont="1" applyFill="1" applyBorder="1"/>
    <xf numFmtId="165" fontId="12" fillId="6" borderId="0" xfId="9" applyNumberFormat="1" applyFont="1" applyFill="1" applyAlignment="1">
      <alignment horizontal="center"/>
    </xf>
    <xf numFmtId="9" fontId="24" fillId="7" borderId="41" xfId="2" applyFont="1" applyFill="1" applyBorder="1"/>
    <xf numFmtId="9" fontId="25" fillId="37" borderId="41" xfId="2" applyFont="1" applyFill="1" applyBorder="1"/>
    <xf numFmtId="9" fontId="12" fillId="7" borderId="4" xfId="2" applyFont="1" applyFill="1" applyBorder="1"/>
    <xf numFmtId="9" fontId="1" fillId="37" borderId="41" xfId="2" applyFont="1" applyFill="1" applyBorder="1"/>
    <xf numFmtId="9" fontId="12" fillId="39" borderId="0" xfId="2" applyFont="1" applyFill="1" applyBorder="1"/>
    <xf numFmtId="168" fontId="12" fillId="0" borderId="0" xfId="1" applyNumberFormat="1" applyFont="1" applyFill="1" applyAlignment="1">
      <alignment horizontal="right"/>
    </xf>
    <xf numFmtId="168" fontId="12" fillId="0" borderId="10" xfId="1" applyNumberFormat="1" applyFont="1" applyBorder="1" applyAlignment="1">
      <alignment horizontal="center"/>
    </xf>
    <xf numFmtId="168" fontId="12" fillId="7" borderId="0" xfId="1" applyNumberFormat="1" applyFont="1" applyFill="1"/>
    <xf numFmtId="0" fontId="48" fillId="0" borderId="0" xfId="27"/>
    <xf numFmtId="0" fontId="48" fillId="0" borderId="0" xfId="27" applyAlignment="1">
      <alignment horizontal="right"/>
    </xf>
    <xf numFmtId="49" fontId="90" fillId="0" borderId="66" xfId="27" applyNumberFormat="1" applyFont="1" applyBorder="1" applyAlignment="1">
      <alignment horizontal="center"/>
    </xf>
    <xf numFmtId="186" fontId="48" fillId="0" borderId="0" xfId="27" applyNumberFormat="1" applyAlignment="1">
      <alignment horizontal="center"/>
    </xf>
    <xf numFmtId="0" fontId="48" fillId="0" borderId="0" xfId="27" applyAlignment="1">
      <alignment horizontal="center"/>
    </xf>
    <xf numFmtId="49" fontId="90" fillId="0" borderId="0" xfId="27" applyNumberFormat="1" applyFont="1"/>
    <xf numFmtId="49" fontId="90" fillId="0" borderId="0" xfId="27" applyNumberFormat="1" applyFont="1" applyAlignment="1">
      <alignment horizontal="right"/>
    </xf>
    <xf numFmtId="179" fontId="91" fillId="0" borderId="0" xfId="27" applyNumberFormat="1" applyFont="1"/>
    <xf numFmtId="0" fontId="92" fillId="12" borderId="79" xfId="27" quotePrefix="1" applyFont="1" applyFill="1" applyBorder="1" applyAlignment="1">
      <alignment horizontal="center"/>
    </xf>
    <xf numFmtId="0" fontId="92" fillId="12" borderId="80" xfId="27" quotePrefix="1" applyFont="1" applyFill="1" applyBorder="1" applyAlignment="1">
      <alignment horizontal="center"/>
    </xf>
    <xf numFmtId="0" fontId="93" fillId="12" borderId="81" xfId="27" applyFont="1" applyFill="1" applyBorder="1"/>
    <xf numFmtId="0" fontId="93" fillId="12" borderId="82" xfId="27" applyFont="1" applyFill="1" applyBorder="1"/>
    <xf numFmtId="0" fontId="94" fillId="12" borderId="54" xfId="27" applyFont="1" applyFill="1" applyBorder="1"/>
    <xf numFmtId="0" fontId="93" fillId="12" borderId="84" xfId="27" applyFont="1" applyFill="1" applyBorder="1"/>
    <xf numFmtId="179" fontId="91" fillId="0" borderId="54" xfId="27" applyNumberFormat="1" applyFont="1" applyBorder="1"/>
    <xf numFmtId="0" fontId="95" fillId="12" borderId="85" xfId="27" applyFont="1" applyFill="1" applyBorder="1"/>
    <xf numFmtId="169" fontId="95" fillId="12" borderId="86" xfId="28" applyNumberFormat="1" applyFont="1" applyFill="1" applyBorder="1"/>
    <xf numFmtId="165" fontId="96" fillId="12" borderId="85" xfId="29" applyNumberFormat="1" applyFont="1" applyFill="1" applyBorder="1" applyAlignment="1">
      <alignment vertical="center"/>
    </xf>
    <xf numFmtId="165" fontId="96" fillId="12" borderId="0" xfId="29" applyNumberFormat="1" applyFont="1" applyFill="1" applyBorder="1" applyAlignment="1">
      <alignment vertical="center"/>
    </xf>
    <xf numFmtId="169" fontId="48" fillId="0" borderId="0" xfId="27" applyNumberFormat="1"/>
    <xf numFmtId="0" fontId="95" fillId="12" borderId="0" xfId="27" applyFont="1" applyFill="1"/>
    <xf numFmtId="168" fontId="95" fillId="12" borderId="69" xfId="30" applyNumberFormat="1" applyFont="1" applyFill="1" applyBorder="1"/>
    <xf numFmtId="165" fontId="96" fillId="12" borderId="69" xfId="29" applyNumberFormat="1" applyFont="1" applyFill="1" applyBorder="1" applyAlignment="1">
      <alignment vertical="center"/>
    </xf>
    <xf numFmtId="9" fontId="0" fillId="0" borderId="0" xfId="29" applyFont="1"/>
    <xf numFmtId="179" fontId="90" fillId="0" borderId="0" xfId="27" applyNumberFormat="1" applyFont="1"/>
    <xf numFmtId="39" fontId="48" fillId="0" borderId="0" xfId="27" applyNumberFormat="1"/>
    <xf numFmtId="9" fontId="0" fillId="0" borderId="0" xfId="31" applyFont="1"/>
    <xf numFmtId="168" fontId="95" fillId="12" borderId="0" xfId="30" applyNumberFormat="1" applyFont="1" applyFill="1" applyBorder="1"/>
    <xf numFmtId="168" fontId="97" fillId="12" borderId="0" xfId="30" applyNumberFormat="1" applyFont="1" applyFill="1" applyBorder="1" applyAlignment="1">
      <alignment vertical="center"/>
    </xf>
    <xf numFmtId="9" fontId="48" fillId="17" borderId="0" xfId="27" applyNumberFormat="1" applyFill="1"/>
    <xf numFmtId="0" fontId="95" fillId="12" borderId="69" xfId="27" applyFont="1" applyFill="1" applyBorder="1"/>
    <xf numFmtId="0" fontId="92" fillId="12" borderId="0" xfId="27" applyFont="1" applyFill="1"/>
    <xf numFmtId="168" fontId="95" fillId="12" borderId="85" xfId="30" applyNumberFormat="1" applyFont="1" applyFill="1" applyBorder="1"/>
    <xf numFmtId="0" fontId="92" fillId="12" borderId="85" xfId="27" applyFont="1" applyFill="1" applyBorder="1"/>
    <xf numFmtId="0" fontId="98" fillId="0" borderId="0" xfId="27" applyFont="1"/>
    <xf numFmtId="180" fontId="91" fillId="0" borderId="0" xfId="27" applyNumberFormat="1" applyFont="1"/>
    <xf numFmtId="179" fontId="91" fillId="0" borderId="67" xfId="27" applyNumberFormat="1" applyFont="1" applyBorder="1"/>
    <xf numFmtId="0" fontId="92" fillId="12" borderId="87" xfId="27" applyFont="1" applyFill="1" applyBorder="1"/>
    <xf numFmtId="169" fontId="99" fillId="12" borderId="87" xfId="28" applyNumberFormat="1" applyFont="1" applyFill="1" applyBorder="1"/>
    <xf numFmtId="180" fontId="91" fillId="0" borderId="67" xfId="27" applyNumberFormat="1" applyFont="1" applyBorder="1"/>
    <xf numFmtId="168" fontId="94" fillId="12" borderId="0" xfId="30" applyNumberFormat="1" applyFont="1" applyFill="1" applyBorder="1"/>
    <xf numFmtId="165" fontId="94" fillId="12" borderId="0" xfId="29" applyNumberFormat="1" applyFont="1" applyFill="1" applyBorder="1" applyAlignment="1">
      <alignment horizontal="right"/>
    </xf>
    <xf numFmtId="165" fontId="96" fillId="12" borderId="85" xfId="29" applyNumberFormat="1" applyFont="1" applyFill="1" applyBorder="1" applyAlignment="1">
      <alignment horizontal="right" vertical="center"/>
    </xf>
    <xf numFmtId="165" fontId="96" fillId="12" borderId="0" xfId="29" applyNumberFormat="1" applyFont="1" applyFill="1" applyBorder="1" applyAlignment="1">
      <alignment horizontal="right" vertical="center"/>
    </xf>
    <xf numFmtId="9" fontId="96" fillId="0" borderId="0" xfId="8" applyFont="1"/>
    <xf numFmtId="0" fontId="92" fillId="12" borderId="69" xfId="27" applyFont="1" applyFill="1" applyBorder="1"/>
    <xf numFmtId="168" fontId="97" fillId="12" borderId="69" xfId="30" applyNumberFormat="1" applyFont="1" applyFill="1" applyBorder="1" applyAlignment="1">
      <alignment vertical="center"/>
    </xf>
    <xf numFmtId="9" fontId="48" fillId="0" borderId="0" xfId="27" applyNumberFormat="1"/>
    <xf numFmtId="168" fontId="100" fillId="12" borderId="0" xfId="30" applyNumberFormat="1" applyFont="1" applyFill="1" applyBorder="1" applyAlignment="1">
      <alignment horizontal="right" vertical="center"/>
    </xf>
    <xf numFmtId="168" fontId="97" fillId="12" borderId="85" xfId="30" applyNumberFormat="1" applyFont="1" applyFill="1" applyBorder="1" applyAlignment="1">
      <alignment horizontal="right" vertical="center"/>
    </xf>
    <xf numFmtId="168" fontId="97" fillId="12" borderId="0" xfId="30" applyNumberFormat="1" applyFont="1" applyFill="1" applyBorder="1" applyAlignment="1">
      <alignment horizontal="right" vertical="center"/>
    </xf>
    <xf numFmtId="168" fontId="101" fillId="12" borderId="0" xfId="30" applyNumberFormat="1" applyFont="1" applyFill="1" applyBorder="1" applyAlignment="1">
      <alignment horizontal="right"/>
    </xf>
    <xf numFmtId="168" fontId="101" fillId="12" borderId="69" xfId="30" applyNumberFormat="1" applyFont="1" applyFill="1" applyBorder="1" applyAlignment="1">
      <alignment horizontal="right"/>
    </xf>
    <xf numFmtId="168" fontId="97" fillId="12" borderId="69" xfId="30" applyNumberFormat="1" applyFont="1" applyFill="1" applyBorder="1" applyAlignment="1">
      <alignment horizontal="right" vertical="center"/>
    </xf>
    <xf numFmtId="0" fontId="99" fillId="12" borderId="0" xfId="27" applyFont="1" applyFill="1"/>
    <xf numFmtId="0" fontId="92" fillId="12" borderId="88" xfId="27" applyFont="1" applyFill="1" applyBorder="1"/>
    <xf numFmtId="169" fontId="99" fillId="12" borderId="88" xfId="28" applyNumberFormat="1" applyFont="1" applyFill="1" applyBorder="1" applyAlignment="1">
      <alignment horizontal="right"/>
    </xf>
    <xf numFmtId="165" fontId="96" fillId="12" borderId="88" xfId="29" applyNumberFormat="1" applyFont="1" applyFill="1" applyBorder="1" applyAlignment="1">
      <alignment vertical="center"/>
    </xf>
    <xf numFmtId="44" fontId="48" fillId="0" borderId="0" xfId="27" applyNumberFormat="1"/>
    <xf numFmtId="0" fontId="97" fillId="12" borderId="0" xfId="27" applyFont="1" applyFill="1"/>
    <xf numFmtId="165" fontId="95" fillId="12" borderId="0" xfId="29" applyNumberFormat="1" applyFont="1" applyFill="1" applyBorder="1" applyAlignment="1">
      <alignment horizontal="right"/>
    </xf>
    <xf numFmtId="0" fontId="93" fillId="12" borderId="89" xfId="27" applyFont="1" applyFill="1" applyBorder="1"/>
    <xf numFmtId="168" fontId="95" fillId="12" borderId="90" xfId="30" applyNumberFormat="1" applyFont="1" applyFill="1" applyBorder="1"/>
    <xf numFmtId="165" fontId="95" fillId="12" borderId="90" xfId="29" applyNumberFormat="1" applyFont="1" applyFill="1" applyBorder="1" applyAlignment="1">
      <alignment horizontal="right"/>
    </xf>
    <xf numFmtId="0" fontId="93" fillId="12" borderId="91" xfId="27" applyFont="1" applyFill="1" applyBorder="1"/>
    <xf numFmtId="179" fontId="91" fillId="16" borderId="0" xfId="27" applyNumberFormat="1" applyFont="1" applyFill="1"/>
    <xf numFmtId="179" fontId="91" fillId="0" borderId="50" xfId="27" applyNumberFormat="1" applyFont="1" applyBorder="1"/>
    <xf numFmtId="179" fontId="90" fillId="0" borderId="68" xfId="27" applyNumberFormat="1" applyFont="1" applyBorder="1"/>
    <xf numFmtId="0" fontId="90" fillId="0" borderId="0" xfId="27" applyFont="1"/>
    <xf numFmtId="165" fontId="0" fillId="0" borderId="0" xfId="31" applyNumberFormat="1" applyFont="1"/>
    <xf numFmtId="187" fontId="48" fillId="0" borderId="0" xfId="27" applyNumberFormat="1"/>
    <xf numFmtId="0" fontId="98" fillId="0" borderId="0" xfId="27" applyFont="1" applyAlignment="1">
      <alignment wrapText="1"/>
    </xf>
    <xf numFmtId="3" fontId="98" fillId="0" borderId="0" xfId="27" applyNumberFormat="1" applyFont="1"/>
    <xf numFmtId="168" fontId="98" fillId="0" borderId="0" xfId="32" applyNumberFormat="1" applyFont="1"/>
    <xf numFmtId="0" fontId="98" fillId="0" borderId="69" xfId="27" applyFont="1" applyBorder="1"/>
    <xf numFmtId="3" fontId="98" fillId="0" borderId="69" xfId="27" applyNumberFormat="1" applyFont="1" applyBorder="1"/>
    <xf numFmtId="168" fontId="98" fillId="0" borderId="69" xfId="32" applyNumberFormat="1" applyFont="1" applyBorder="1"/>
    <xf numFmtId="0" fontId="102" fillId="0" borderId="0" xfId="14" applyFont="1"/>
    <xf numFmtId="0" fontId="8" fillId="0" borderId="69" xfId="14" applyFont="1" applyBorder="1" applyAlignment="1">
      <alignment wrapText="1"/>
    </xf>
    <xf numFmtId="168" fontId="0" fillId="0" borderId="0" xfId="32" applyNumberFormat="1" applyFont="1"/>
    <xf numFmtId="14" fontId="4" fillId="0" borderId="0" xfId="14" applyNumberFormat="1"/>
    <xf numFmtId="6" fontId="4" fillId="0" borderId="0" xfId="14" applyNumberFormat="1"/>
    <xf numFmtId="0" fontId="8" fillId="0" borderId="69" xfId="14" applyFont="1" applyBorder="1"/>
    <xf numFmtId="0" fontId="4" fillId="0" borderId="69" xfId="14" applyBorder="1"/>
    <xf numFmtId="0" fontId="8" fillId="0" borderId="87" xfId="14" applyFont="1" applyBorder="1"/>
    <xf numFmtId="0" fontId="8" fillId="0" borderId="87" xfId="14" applyFont="1" applyBorder="1" applyAlignment="1">
      <alignment horizontal="right" wrapText="1"/>
    </xf>
    <xf numFmtId="0" fontId="8" fillId="0" borderId="87" xfId="14" applyFont="1" applyBorder="1" applyAlignment="1">
      <alignment wrapText="1"/>
    </xf>
    <xf numFmtId="0" fontId="4" fillId="0" borderId="0" xfId="14" applyAlignment="1">
      <alignment horizontal="right"/>
    </xf>
    <xf numFmtId="169" fontId="0" fillId="0" borderId="0" xfId="33" applyNumberFormat="1" applyFont="1" applyBorder="1"/>
    <xf numFmtId="9" fontId="4" fillId="0" borderId="0" xfId="14" applyNumberFormat="1"/>
    <xf numFmtId="169" fontId="4" fillId="0" borderId="0" xfId="14" applyNumberFormat="1"/>
    <xf numFmtId="3" fontId="4" fillId="0" borderId="0" xfId="14" applyNumberFormat="1"/>
    <xf numFmtId="0" fontId="8" fillId="0" borderId="0" xfId="14" applyFont="1"/>
    <xf numFmtId="0" fontId="4" fillId="0" borderId="69" xfId="14" applyBorder="1" applyAlignment="1">
      <alignment horizontal="right"/>
    </xf>
    <xf numFmtId="169" fontId="0" fillId="0" borderId="69" xfId="33" applyNumberFormat="1" applyFont="1" applyBorder="1"/>
    <xf numFmtId="9" fontId="4" fillId="0" borderId="69" xfId="14" applyNumberFormat="1" applyBorder="1"/>
    <xf numFmtId="169" fontId="4" fillId="0" borderId="69" xfId="14" applyNumberFormat="1" applyBorder="1"/>
    <xf numFmtId="0" fontId="8" fillId="0" borderId="0" xfId="14" applyFont="1" applyAlignment="1">
      <alignment horizontal="right"/>
    </xf>
    <xf numFmtId="168" fontId="48" fillId="0" borderId="0" xfId="27" applyNumberFormat="1"/>
    <xf numFmtId="164" fontId="1" fillId="41" borderId="0" xfId="8" applyNumberFormat="1" applyFont="1" applyFill="1" applyBorder="1"/>
    <xf numFmtId="168" fontId="12" fillId="41" borderId="16" xfId="10" applyNumberFormat="1" applyFont="1" applyFill="1" applyBorder="1"/>
    <xf numFmtId="9" fontId="12" fillId="41" borderId="0" xfId="2" applyFont="1" applyFill="1" applyBorder="1"/>
    <xf numFmtId="0" fontId="0" fillId="41" borderId="0" xfId="0" applyFill="1"/>
    <xf numFmtId="168" fontId="1" fillId="41" borderId="41" xfId="10" applyNumberFormat="1" applyFont="1" applyFill="1" applyBorder="1"/>
    <xf numFmtId="0" fontId="12" fillId="41" borderId="0" xfId="9" applyFont="1" applyFill="1" applyAlignment="1">
      <alignment horizontal="right"/>
    </xf>
    <xf numFmtId="4" fontId="1" fillId="41" borderId="0" xfId="7" applyNumberFormat="1" applyFill="1"/>
    <xf numFmtId="168" fontId="1" fillId="41" borderId="16" xfId="10" applyNumberFormat="1" applyFont="1" applyFill="1" applyBorder="1"/>
    <xf numFmtId="168" fontId="12" fillId="4" borderId="4" xfId="9" applyNumberFormat="1" applyFont="1" applyFill="1" applyBorder="1"/>
    <xf numFmtId="0" fontId="84" fillId="0" borderId="0" xfId="7" applyFont="1" applyAlignment="1">
      <alignment wrapText="1"/>
    </xf>
    <xf numFmtId="0" fontId="92" fillId="12" borderId="83" xfId="27" quotePrefix="1" applyFont="1" applyFill="1" applyBorder="1" applyAlignment="1">
      <alignment horizontal="center"/>
    </xf>
    <xf numFmtId="0" fontId="92" fillId="12" borderId="83" xfId="27" applyFont="1" applyFill="1" applyBorder="1" applyAlignment="1">
      <alignment horizontal="center"/>
    </xf>
    <xf numFmtId="0" fontId="92" fillId="12" borderId="54" xfId="27" quotePrefix="1" applyFont="1" applyFill="1" applyBorder="1" applyAlignment="1">
      <alignment horizontal="center"/>
    </xf>
    <xf numFmtId="0" fontId="92" fillId="12" borderId="54" xfId="27" applyFont="1" applyFill="1" applyBorder="1" applyAlignment="1">
      <alignment horizontal="center"/>
    </xf>
    <xf numFmtId="0" fontId="25" fillId="0" borderId="0" xfId="7" applyFont="1" applyAlignment="1">
      <alignment horizontal="center"/>
    </xf>
    <xf numFmtId="0" fontId="82" fillId="24" borderId="69" xfId="0" applyFont="1" applyFill="1" applyBorder="1" applyAlignment="1">
      <alignment horizontal="center" vertical="center" wrapText="1"/>
    </xf>
    <xf numFmtId="0" fontId="82" fillId="40" borderId="69" xfId="0" applyFont="1" applyFill="1" applyBorder="1" applyAlignment="1">
      <alignment horizontal="center" vertical="center" wrapText="1"/>
    </xf>
    <xf numFmtId="0" fontId="10" fillId="0" borderId="71" xfId="0" applyFont="1" applyBorder="1" applyAlignment="1">
      <alignment horizontal="center" vertical="center" wrapText="1"/>
    </xf>
    <xf numFmtId="0" fontId="10" fillId="0" borderId="0" xfId="0" applyFont="1" applyAlignment="1">
      <alignment horizontal="center" vertical="center" wrapText="1"/>
    </xf>
    <xf numFmtId="0" fontId="10" fillId="0" borderId="72" xfId="0" applyFont="1" applyBorder="1" applyAlignment="1">
      <alignment horizontal="center" vertical="center" wrapText="1"/>
    </xf>
    <xf numFmtId="0" fontId="0" fillId="0" borderId="0" xfId="0" applyAlignment="1">
      <alignment horizontal="center" wrapText="1"/>
    </xf>
    <xf numFmtId="0" fontId="0" fillId="0" borderId="23" xfId="0" applyBorder="1" applyAlignment="1">
      <alignment horizontal="center" wrapText="1"/>
    </xf>
    <xf numFmtId="0" fontId="40" fillId="0" borderId="18" xfId="12" applyFont="1" applyBorder="1" applyAlignment="1">
      <alignment horizontal="left" vertical="top" wrapText="1"/>
    </xf>
    <xf numFmtId="0" fontId="40" fillId="0" borderId="0" xfId="12" applyFont="1" applyAlignment="1">
      <alignment horizontal="left" vertical="top" wrapText="1"/>
    </xf>
    <xf numFmtId="0" fontId="15" fillId="0" borderId="58" xfId="12" applyBorder="1" applyAlignment="1">
      <alignment horizontal="left"/>
    </xf>
    <xf numFmtId="0" fontId="47" fillId="0" borderId="0" xfId="12" applyFont="1" applyAlignment="1">
      <alignment horizontal="left"/>
    </xf>
    <xf numFmtId="0" fontId="3" fillId="2" borderId="4" xfId="0" applyFont="1" applyFill="1" applyBorder="1" applyAlignment="1">
      <alignment horizontal="center"/>
    </xf>
    <xf numFmtId="0" fontId="3" fillId="2" borderId="0" xfId="0" applyFont="1" applyFill="1" applyAlignment="1">
      <alignment horizontal="center"/>
    </xf>
    <xf numFmtId="0" fontId="3" fillId="2" borderId="16" xfId="0" applyFont="1" applyFill="1" applyBorder="1" applyAlignment="1">
      <alignment horizontal="center"/>
    </xf>
    <xf numFmtId="0" fontId="8" fillId="0" borderId="7" xfId="0" applyFont="1" applyBorder="1" applyAlignment="1">
      <alignment horizontal="center"/>
    </xf>
    <xf numFmtId="0" fontId="3" fillId="2" borderId="0" xfId="0" applyFont="1" applyFill="1" applyAlignment="1">
      <alignment horizontal="center" vertical="center"/>
    </xf>
    <xf numFmtId="0" fontId="12" fillId="0" borderId="23" xfId="9" applyFont="1" applyBorder="1" applyAlignment="1">
      <alignment horizontal="left" wrapText="1"/>
    </xf>
    <xf numFmtId="0" fontId="15" fillId="0" borderId="19" xfId="12" applyBorder="1" applyAlignment="1">
      <alignment horizontal="left"/>
    </xf>
    <xf numFmtId="0" fontId="1" fillId="0" borderId="27" xfId="17" applyFont="1" applyBorder="1" applyAlignment="1">
      <alignment horizontal="left" vertical="center" indent="1"/>
    </xf>
    <xf numFmtId="0" fontId="1" fillId="0" borderId="34" xfId="17" applyFont="1" applyBorder="1" applyAlignment="1">
      <alignment horizontal="left" vertical="center" indent="1"/>
    </xf>
    <xf numFmtId="0" fontId="1" fillId="0" borderId="35" xfId="17" applyFont="1" applyBorder="1" applyAlignment="1">
      <alignment horizontal="left" vertical="center" indent="1"/>
    </xf>
    <xf numFmtId="176" fontId="59" fillId="0" borderId="34" xfId="19" applyNumberFormat="1" applyFont="1" applyFill="1" applyBorder="1" applyAlignment="1">
      <alignment horizontal="right" vertical="center" indent="1"/>
    </xf>
    <xf numFmtId="176" fontId="58" fillId="0" borderId="0" xfId="19" applyNumberFormat="1" applyFont="1" applyFill="1" applyAlignment="1">
      <alignment horizontal="right" indent="1"/>
    </xf>
    <xf numFmtId="0" fontId="63" fillId="0" borderId="0" xfId="17" applyFont="1" applyBorder="1" applyAlignment="1">
      <alignment horizontal="left" vertical="center" indent="1"/>
    </xf>
    <xf numFmtId="0" fontId="63" fillId="0" borderId="0" xfId="23" applyFont="1" applyFill="1" applyBorder="1" applyAlignment="1">
      <alignment horizontal="left" vertical="top" indent="1"/>
    </xf>
    <xf numFmtId="0" fontId="1" fillId="0" borderId="0" xfId="23" applyFont="1" applyFill="1" applyBorder="1" applyAlignment="1">
      <alignment horizontal="right" vertical="center" indent="1"/>
    </xf>
    <xf numFmtId="0" fontId="1" fillId="0" borderId="28" xfId="17" applyFont="1" applyBorder="1" applyAlignment="1">
      <alignment horizontal="left" vertical="center" indent="1"/>
    </xf>
    <xf numFmtId="0" fontId="1" fillId="0" borderId="32" xfId="17" applyFont="1" applyBorder="1" applyAlignment="1">
      <alignment horizontal="left" vertical="center" indent="1"/>
    </xf>
    <xf numFmtId="0" fontId="1" fillId="0" borderId="33" xfId="17" applyFont="1" applyBorder="1" applyAlignment="1">
      <alignment horizontal="left" vertical="center" indent="1"/>
    </xf>
    <xf numFmtId="1" fontId="59" fillId="0" borderId="32" xfId="21" applyFont="1" applyFill="1" applyBorder="1" applyAlignment="1">
      <alignment horizontal="right" vertical="center" indent="1"/>
    </xf>
    <xf numFmtId="176" fontId="59" fillId="0" borderId="32" xfId="19" applyNumberFormat="1" applyFont="1" applyFill="1" applyBorder="1" applyAlignment="1">
      <alignment horizontal="right" vertical="center" indent="1"/>
    </xf>
    <xf numFmtId="0" fontId="53" fillId="0" borderId="0" xfId="15" applyFont="1" applyFill="1" applyBorder="1" applyAlignment="1">
      <alignment horizontal="left" vertical="center" wrapText="1"/>
    </xf>
    <xf numFmtId="0" fontId="1" fillId="12" borderId="29" xfId="17" applyFont="1" applyFill="1" applyBorder="1" applyAlignment="1">
      <alignment horizontal="left" vertical="center" indent="1"/>
    </xf>
    <xf numFmtId="0" fontId="1" fillId="12" borderId="30" xfId="17" applyFont="1" applyFill="1" applyBorder="1" applyAlignment="1">
      <alignment horizontal="left" vertical="center" indent="1"/>
    </xf>
    <xf numFmtId="176" fontId="59" fillId="0" borderId="31" xfId="19" applyNumberFormat="1" applyFont="1" applyFill="1" applyBorder="1" applyAlignment="1">
      <alignment horizontal="right" vertical="center" indent="1"/>
    </xf>
  </cellXfs>
  <cellStyles count="34">
    <cellStyle name="20% - Accent1" xfId="3" builtinId="30"/>
    <cellStyle name="40% - Accent3" xfId="5" builtinId="39"/>
    <cellStyle name="Accent3" xfId="4" builtinId="37"/>
    <cellStyle name="Amount" xfId="18" xr:uid="{EB650BB2-8ED4-482E-BCB6-DD8602795005}"/>
    <cellStyle name="Comma" xfId="1" builtinId="3"/>
    <cellStyle name="Comma 2" xfId="10" xr:uid="{2F929214-A63B-4C5F-835D-CC82F33962CE}"/>
    <cellStyle name="Comma 3" xfId="30" xr:uid="{C73660F2-6797-4190-97E1-02EE955002BE}"/>
    <cellStyle name="Comma 3 2" xfId="32" xr:uid="{424C95F5-F80B-44AD-8D50-37F96E90321F}"/>
    <cellStyle name="Currency" xfId="6" builtinId="4"/>
    <cellStyle name="Currency 2" xfId="11" xr:uid="{D44FFC5B-50E4-4EBC-91D5-7A73F5142E8C}"/>
    <cellStyle name="Currency 2 2" xfId="33" xr:uid="{D30D3EE9-CD8E-4594-8DE6-5904DF089B9A}"/>
    <cellStyle name="Currency 3" xfId="28" xr:uid="{70ED4CCF-1FFC-480A-8670-E54B2FBD0EE8}"/>
    <cellStyle name="Date" xfId="22" xr:uid="{63D1C2C9-ECD9-400A-8A26-CE89C249024D}"/>
    <cellStyle name="Explanatory Text 2" xfId="17" xr:uid="{E707458B-D0B1-4A7A-B2FF-861E8FA94F0F}"/>
    <cellStyle name="Heading 2 2" xfId="16" xr:uid="{ECCA18F6-BA7B-4F21-90D4-D6DBCC8910A7}"/>
    <cellStyle name="Heading 3 2" xfId="23" xr:uid="{B021E92F-21CD-4D6B-9EC2-8795CB5157C9}"/>
    <cellStyle name="Heading 4 Right aligned" xfId="15" xr:uid="{66F2F047-BEB9-441A-90A2-6E98F68DCB45}"/>
    <cellStyle name="Hyperlink 2" xfId="13" xr:uid="{8007E60E-F884-47BC-A9F7-8D7C9F43472A}"/>
    <cellStyle name="Loan Summary" xfId="19" xr:uid="{5704BE10-C5C3-4453-B084-E873C7184919}"/>
    <cellStyle name="Neutral 2" xfId="26" xr:uid="{77877F9A-E2A7-4E78-8740-E140A1948CAF}"/>
    <cellStyle name="Normal" xfId="0" builtinId="0"/>
    <cellStyle name="Normal 2" xfId="7" xr:uid="{DBAA1D6B-9C82-4072-B838-5359EB61EFF8}"/>
    <cellStyle name="Normal 3" xfId="9" xr:uid="{55B3BDD8-394A-4BEE-858C-17420F04D07C}"/>
    <cellStyle name="Normal 4" xfId="14" xr:uid="{C095F007-1026-4BC6-991E-1E70AE46D10B}"/>
    <cellStyle name="Normal 5" xfId="12" xr:uid="{5236631E-5EA4-43E2-9052-487B68F1D046}"/>
    <cellStyle name="Normal 6" xfId="27" xr:uid="{08D0115A-00A3-4045-A574-DFDB98A491C0}"/>
    <cellStyle name="Number" xfId="21" xr:uid="{C3AE8254-5B76-4DB0-84EC-5918BBDC55C6}"/>
    <cellStyle name="Percent" xfId="2" builtinId="5"/>
    <cellStyle name="Percent 2" xfId="8" xr:uid="{6060EAE6-B5BC-4F0E-B0B0-382BC8F587D6}"/>
    <cellStyle name="Percent 3" xfId="20" xr:uid="{E53A57C1-8077-4751-9B3C-9ED1CDC9EB24}"/>
    <cellStyle name="Percent 3 2" xfId="31" xr:uid="{9DE01DEA-A826-4892-81E1-6633A2E54F27}"/>
    <cellStyle name="Percent 4" xfId="29" xr:uid="{BD15F6DC-4C69-4CDD-9B36-42E2D0C9761E}"/>
    <cellStyle name="Style 6" xfId="24" xr:uid="{847DA5C3-6A5E-4470-83AA-EADABAA72548}"/>
    <cellStyle name="Table Amount" xfId="25" xr:uid="{1C76BCE2-4129-4155-922B-6081541C085E}"/>
  </cellStyles>
  <dxfs count="294">
    <dxf>
      <font>
        <strike val="0"/>
        <outline val="0"/>
        <shadow val="0"/>
        <u val="none"/>
        <vertAlign val="baseline"/>
        <name val="Calibri"/>
        <family val="2"/>
        <scheme val="minor"/>
      </font>
      <numFmt numFmtId="176" formatCode="&quot;$&quot;#,##0.00"/>
      <fill>
        <patternFill patternType="none">
          <fgColor indexed="64"/>
          <bgColor auto="1"/>
        </patternFill>
      </fill>
    </dxf>
    <dxf>
      <font>
        <strike val="0"/>
        <outline val="0"/>
        <shadow val="0"/>
        <u val="none"/>
        <vertAlign val="baseline"/>
        <name val="Calibri"/>
        <family val="2"/>
        <scheme val="minor"/>
      </font>
      <numFmt numFmtId="176" formatCode="&quot;$&quot;#,##0.00"/>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name val="Calibri"/>
        <family val="2"/>
        <scheme val="minor"/>
      </font>
      <fill>
        <patternFill patternType="none">
          <fgColor indexed="64"/>
          <bgColor auto="1"/>
        </patternFill>
      </fill>
    </dxf>
    <dxf>
      <font>
        <strike val="0"/>
        <outline val="0"/>
        <shadow val="0"/>
        <u val="none"/>
        <vertAlign val="baseline"/>
        <sz val="14"/>
        <color theme="1" tint="0.34998626667073579"/>
        <name val="Calibri"/>
        <family val="2"/>
        <scheme val="minor"/>
      </font>
      <fill>
        <patternFill patternType="none">
          <fgColor indexed="64"/>
          <bgColor auto="1"/>
        </patternFill>
      </fill>
      <alignment vertical="center" textRotation="0" indent="0" justifyLastLine="0" shrinkToFit="0" readingOrder="0"/>
    </dxf>
    <dxf>
      <numFmt numFmtId="177" formatCode="0.0"/>
    </dxf>
    <dxf>
      <font>
        <color theme="0"/>
      </font>
      <fill>
        <patternFill>
          <bgColor theme="0"/>
        </patternFill>
      </fill>
      <border>
        <left/>
        <right/>
        <top/>
        <bottom/>
        <vertical/>
        <horizontal/>
      </border>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006100"/>
      </font>
      <fill>
        <patternFill>
          <bgColor rgb="FFC6EFCE"/>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solid">
          <bgColor theme="0" tint="-4.9989318521683403E-2"/>
        </patternFill>
      </fill>
    </dxf>
    <dxf>
      <font>
        <color rgb="FF006100"/>
      </font>
      <fill>
        <patternFill>
          <bgColor rgb="FFC6EFCE"/>
        </patternFill>
      </fill>
    </dxf>
    <dxf>
      <font>
        <color theme="9"/>
      </font>
      <fill>
        <patternFill>
          <bgColor theme="9" tint="0.59996337778862885"/>
        </patternFill>
      </fill>
    </dxf>
    <dxf>
      <font>
        <color theme="1" tint="0.24994659260841701"/>
      </font>
      <border>
        <top style="double">
          <color theme="4"/>
        </top>
      </border>
    </dxf>
    <dxf>
      <font>
        <b/>
        <i val="0"/>
        <color theme="1" tint="0.34998626667073579"/>
      </font>
      <fill>
        <patternFill patternType="none">
          <fgColor indexed="64"/>
          <bgColor auto="1"/>
        </patternFill>
      </fill>
      <border>
        <left/>
        <right/>
        <top/>
        <bottom style="thin">
          <color auto="1"/>
        </bottom>
        <vertical style="thin">
          <color theme="2" tint="-9.9948118533890809E-2"/>
        </vertical>
        <horizontal style="thin">
          <color theme="2" tint="-9.9948118533890809E-2"/>
        </horizontal>
      </border>
    </dxf>
    <dxf>
      <font>
        <color theme="1" tint="0.24994659260841701"/>
      </font>
      <border>
        <left/>
        <right/>
        <top style="thin">
          <color theme="2" tint="-9.9948118533890809E-2"/>
        </top>
        <bottom style="thin">
          <color theme="2" tint="-9.9948118533890809E-2"/>
        </bottom>
        <vertical style="thin">
          <color theme="2" tint="-9.9948118533890809E-2"/>
        </vertical>
        <horizontal style="thin">
          <color theme="2" tint="-9.9948118533890809E-2"/>
        </horizontal>
      </border>
    </dxf>
  </dxfs>
  <tableStyles count="1" defaultTableStyle="TableStyleMedium2" defaultPivotStyle="PivotStyleLight16">
    <tableStyle name="Loan Amortization Schedule" pivot="0" count="3" xr9:uid="{6550C021-2218-4CA0-8987-279058B57454}">
      <tableStyleElement type="wholeTable" dxfId="293"/>
      <tableStyleElement type="headerRow" dxfId="292"/>
      <tableStyleElement type="totalRow" dxfId="291"/>
    </tableStyle>
  </tableStyles>
  <colors>
    <mruColors>
      <color rgb="FFCCFFCC"/>
      <color rgb="FFFF9999"/>
      <color rgb="FFFFCCCC"/>
      <color rgb="FF990033"/>
      <color rgb="FF9999FF"/>
      <color rgb="FFCCCC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xml"/><Relationship Id="rId21" Type="http://schemas.openxmlformats.org/officeDocument/2006/relationships/worksheet" Target="worksheets/sheet21.xml"/><Relationship Id="rId42" Type="http://schemas.openxmlformats.org/officeDocument/2006/relationships/externalLink" Target="externalLinks/externalLink17.xml"/><Relationship Id="rId47" Type="http://schemas.openxmlformats.org/officeDocument/2006/relationships/externalLink" Target="externalLinks/externalLink22.xml"/><Relationship Id="rId63" Type="http://schemas.openxmlformats.org/officeDocument/2006/relationships/externalLink" Target="externalLinks/externalLink38.xml"/><Relationship Id="rId68" Type="http://schemas.openxmlformats.org/officeDocument/2006/relationships/externalLink" Target="externalLinks/externalLink4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7.xml"/><Relationship Id="rId37" Type="http://schemas.openxmlformats.org/officeDocument/2006/relationships/externalLink" Target="externalLinks/externalLink12.xml"/><Relationship Id="rId53" Type="http://schemas.openxmlformats.org/officeDocument/2006/relationships/externalLink" Target="externalLinks/externalLink28.xml"/><Relationship Id="rId58" Type="http://schemas.openxmlformats.org/officeDocument/2006/relationships/externalLink" Target="externalLinks/externalLink33.xml"/><Relationship Id="rId74" Type="http://schemas.openxmlformats.org/officeDocument/2006/relationships/sharedStrings" Target="sharedStrings.xml"/><Relationship Id="rId79"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externalLink" Target="externalLinks/externalLink3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43" Type="http://schemas.openxmlformats.org/officeDocument/2006/relationships/externalLink" Target="externalLinks/externalLink18.xml"/><Relationship Id="rId48" Type="http://schemas.openxmlformats.org/officeDocument/2006/relationships/externalLink" Target="externalLinks/externalLink23.xml"/><Relationship Id="rId56" Type="http://schemas.openxmlformats.org/officeDocument/2006/relationships/externalLink" Target="externalLinks/externalLink31.xml"/><Relationship Id="rId64" Type="http://schemas.openxmlformats.org/officeDocument/2006/relationships/externalLink" Target="externalLinks/externalLink39.xml"/><Relationship Id="rId69" Type="http://schemas.openxmlformats.org/officeDocument/2006/relationships/externalLink" Target="externalLinks/externalLink44.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26.xml"/><Relationship Id="rId72" Type="http://schemas.openxmlformats.org/officeDocument/2006/relationships/theme" Target="theme/theme1.xml"/><Relationship Id="rId80"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externalLink" Target="externalLinks/externalLink13.xml"/><Relationship Id="rId46" Type="http://schemas.openxmlformats.org/officeDocument/2006/relationships/externalLink" Target="externalLinks/externalLink21.xml"/><Relationship Id="rId59" Type="http://schemas.openxmlformats.org/officeDocument/2006/relationships/externalLink" Target="externalLinks/externalLink34.xml"/><Relationship Id="rId67" Type="http://schemas.openxmlformats.org/officeDocument/2006/relationships/externalLink" Target="externalLinks/externalLink42.xml"/><Relationship Id="rId20" Type="http://schemas.openxmlformats.org/officeDocument/2006/relationships/worksheet" Target="worksheets/sheet20.xml"/><Relationship Id="rId41" Type="http://schemas.openxmlformats.org/officeDocument/2006/relationships/externalLink" Target="externalLinks/externalLink16.xml"/><Relationship Id="rId54" Type="http://schemas.openxmlformats.org/officeDocument/2006/relationships/externalLink" Target="externalLinks/externalLink29.xml"/><Relationship Id="rId62" Type="http://schemas.openxmlformats.org/officeDocument/2006/relationships/externalLink" Target="externalLinks/externalLink37.xml"/><Relationship Id="rId70" Type="http://schemas.openxmlformats.org/officeDocument/2006/relationships/externalLink" Target="externalLinks/externalLink45.xml"/><Relationship Id="rId75"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externalLink" Target="externalLinks/externalLink11.xml"/><Relationship Id="rId49" Type="http://schemas.openxmlformats.org/officeDocument/2006/relationships/externalLink" Target="externalLinks/externalLink24.xml"/><Relationship Id="rId57" Type="http://schemas.openxmlformats.org/officeDocument/2006/relationships/externalLink" Target="externalLinks/externalLink32.xml"/><Relationship Id="rId10" Type="http://schemas.openxmlformats.org/officeDocument/2006/relationships/worksheet" Target="worksheets/sheet10.xml"/><Relationship Id="rId31" Type="http://schemas.openxmlformats.org/officeDocument/2006/relationships/externalLink" Target="externalLinks/externalLink6.xml"/><Relationship Id="rId44" Type="http://schemas.openxmlformats.org/officeDocument/2006/relationships/externalLink" Target="externalLinks/externalLink19.xml"/><Relationship Id="rId52" Type="http://schemas.openxmlformats.org/officeDocument/2006/relationships/externalLink" Target="externalLinks/externalLink27.xml"/><Relationship Id="rId60" Type="http://schemas.openxmlformats.org/officeDocument/2006/relationships/externalLink" Target="externalLinks/externalLink35.xml"/><Relationship Id="rId65" Type="http://schemas.openxmlformats.org/officeDocument/2006/relationships/externalLink" Target="externalLinks/externalLink40.xml"/><Relationship Id="rId73" Type="http://schemas.openxmlformats.org/officeDocument/2006/relationships/styles" Target="styles.xml"/><Relationship Id="rId78" Type="http://schemas.openxmlformats.org/officeDocument/2006/relationships/customXml" Target="../customXml/item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4.xml"/><Relationship Id="rId34" Type="http://schemas.openxmlformats.org/officeDocument/2006/relationships/externalLink" Target="externalLinks/externalLink9.xml"/><Relationship Id="rId50" Type="http://schemas.openxmlformats.org/officeDocument/2006/relationships/externalLink" Target="externalLinks/externalLink25.xml"/><Relationship Id="rId55" Type="http://schemas.openxmlformats.org/officeDocument/2006/relationships/externalLink" Target="externalLinks/externalLink30.xml"/><Relationship Id="rId76" Type="http://schemas.microsoft.com/office/2017/10/relationships/person" Target="persons/person.xml"/><Relationship Id="rId7" Type="http://schemas.openxmlformats.org/officeDocument/2006/relationships/worksheet" Target="worksheets/sheet7.xml"/><Relationship Id="rId71" Type="http://schemas.openxmlformats.org/officeDocument/2006/relationships/pivotCacheDefinition" Target="pivotCache/pivotCacheDefinition1.xml"/><Relationship Id="rId2" Type="http://schemas.openxmlformats.org/officeDocument/2006/relationships/worksheet" Target="worksheets/sheet2.xml"/><Relationship Id="rId29" Type="http://schemas.openxmlformats.org/officeDocument/2006/relationships/externalLink" Target="externalLinks/externalLink4.xml"/><Relationship Id="rId24" Type="http://schemas.openxmlformats.org/officeDocument/2006/relationships/worksheet" Target="worksheets/sheet24.xml"/><Relationship Id="rId40" Type="http://schemas.openxmlformats.org/officeDocument/2006/relationships/externalLink" Target="externalLinks/externalLink15.xml"/><Relationship Id="rId45" Type="http://schemas.openxmlformats.org/officeDocument/2006/relationships/externalLink" Target="externalLinks/externalLink20.xml"/><Relationship Id="rId66" Type="http://schemas.openxmlformats.org/officeDocument/2006/relationships/externalLink" Target="externalLinks/externalLink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'All Statements'!$BK$47</c:f>
              <c:strCache>
                <c:ptCount val="1"/>
                <c:pt idx="0">
                  <c:v>Qrtly Rev</c:v>
                </c:pt>
              </c:strCache>
            </c:strRef>
          </c:tx>
          <c:spPr>
            <a:solidFill>
              <a:schemeClr val="accent1"/>
            </a:solidFill>
            <a:ln>
              <a:noFill/>
            </a:ln>
            <a:effectLst/>
          </c:spPr>
          <c:invertIfNegative val="0"/>
          <c:dPt>
            <c:idx val="12"/>
            <c:invertIfNegative val="0"/>
            <c:bubble3D val="0"/>
            <c:spPr>
              <a:solidFill>
                <a:schemeClr val="accent2"/>
              </a:solidFill>
              <a:ln>
                <a:noFill/>
              </a:ln>
              <a:effectLst/>
            </c:spPr>
            <c:extLst>
              <c:ext xmlns:c16="http://schemas.microsoft.com/office/drawing/2014/chart" uri="{C3380CC4-5D6E-409C-BE32-E72D297353CC}">
                <c16:uniqueId val="{00000002-9E2E-4DE2-856D-D0AE9E247935}"/>
              </c:ext>
            </c:extLst>
          </c:dPt>
          <c:dPt>
            <c:idx val="13"/>
            <c:invertIfNegative val="0"/>
            <c:bubble3D val="0"/>
            <c:spPr>
              <a:solidFill>
                <a:schemeClr val="accent2"/>
              </a:solidFill>
              <a:ln>
                <a:noFill/>
              </a:ln>
              <a:effectLst/>
            </c:spPr>
            <c:extLst>
              <c:ext xmlns:c16="http://schemas.microsoft.com/office/drawing/2014/chart" uri="{C3380CC4-5D6E-409C-BE32-E72D297353CC}">
                <c16:uniqueId val="{00000003-9E2E-4DE2-856D-D0AE9E247935}"/>
              </c:ext>
            </c:extLst>
          </c:dPt>
          <c:dPt>
            <c:idx val="14"/>
            <c:invertIfNegative val="0"/>
            <c:bubble3D val="0"/>
            <c:spPr>
              <a:solidFill>
                <a:schemeClr val="accent2"/>
              </a:solidFill>
              <a:ln>
                <a:noFill/>
              </a:ln>
              <a:effectLst/>
            </c:spPr>
            <c:extLst>
              <c:ext xmlns:c16="http://schemas.microsoft.com/office/drawing/2014/chart" uri="{C3380CC4-5D6E-409C-BE32-E72D297353CC}">
                <c16:uniqueId val="{00000004-9E2E-4DE2-856D-D0AE9E247935}"/>
              </c:ext>
            </c:extLst>
          </c:dPt>
          <c:dPt>
            <c:idx val="15"/>
            <c:invertIfNegative val="0"/>
            <c:bubble3D val="0"/>
            <c:spPr>
              <a:solidFill>
                <a:schemeClr val="accent2"/>
              </a:solidFill>
              <a:ln>
                <a:noFill/>
              </a:ln>
              <a:effectLst/>
            </c:spPr>
            <c:extLst>
              <c:ext xmlns:c16="http://schemas.microsoft.com/office/drawing/2014/chart" uri="{C3380CC4-5D6E-409C-BE32-E72D297353CC}">
                <c16:uniqueId val="{00000005-9E2E-4DE2-856D-D0AE9E247935}"/>
              </c:ext>
            </c:extLst>
          </c:dPt>
          <c:cat>
            <c:strRef>
              <c:f>'All Statements'!$BL$34:$CA$46</c:f>
              <c:strCache>
                <c:ptCount val="16"/>
                <c:pt idx="0">
                  <c:v>Q121</c:v>
                </c:pt>
                <c:pt idx="1">
                  <c:v>Q221</c:v>
                </c:pt>
                <c:pt idx="2">
                  <c:v>Q321</c:v>
                </c:pt>
                <c:pt idx="3">
                  <c:v>Q421</c:v>
                </c:pt>
                <c:pt idx="4">
                  <c:v>Q122</c:v>
                </c:pt>
                <c:pt idx="5">
                  <c:v>Q222</c:v>
                </c:pt>
                <c:pt idx="6">
                  <c:v>Q322</c:v>
                </c:pt>
                <c:pt idx="7">
                  <c:v>Q422</c:v>
                </c:pt>
                <c:pt idx="8">
                  <c:v>Q123</c:v>
                </c:pt>
                <c:pt idx="9">
                  <c:v>Q223</c:v>
                </c:pt>
                <c:pt idx="10">
                  <c:v>Q323</c:v>
                </c:pt>
                <c:pt idx="11">
                  <c:v>Q423</c:v>
                </c:pt>
                <c:pt idx="12">
                  <c:v>Q124</c:v>
                </c:pt>
                <c:pt idx="13">
                  <c:v>Q224</c:v>
                </c:pt>
                <c:pt idx="14">
                  <c:v>Q324</c:v>
                </c:pt>
                <c:pt idx="15">
                  <c:v>Q424</c:v>
                </c:pt>
              </c:strCache>
            </c:strRef>
          </c:cat>
          <c:val>
            <c:numRef>
              <c:f>'All Statements'!$BL$47:$CA$47</c:f>
              <c:numCache>
                <c:formatCode>_(* #,##0_);_(* \(#,##0\);_(* "-"??_);_(@_)</c:formatCode>
                <c:ptCount val="16"/>
                <c:pt idx="0">
                  <c:v>2515191.7791959997</c:v>
                </c:pt>
                <c:pt idx="1">
                  <c:v>3120708.1474999995</c:v>
                </c:pt>
                <c:pt idx="2">
                  <c:v>3809576.7449999996</c:v>
                </c:pt>
                <c:pt idx="3">
                  <c:v>5369648.4250000007</c:v>
                </c:pt>
                <c:pt idx="4">
                  <c:v>4822271.6025</c:v>
                </c:pt>
                <c:pt idx="5">
                  <c:v>4351643.5824999996</c:v>
                </c:pt>
                <c:pt idx="6">
                  <c:v>4747712.45</c:v>
                </c:pt>
                <c:pt idx="7">
                  <c:v>3946519.4425000004</c:v>
                </c:pt>
                <c:pt idx="8">
                  <c:v>4186304.4924999997</c:v>
                </c:pt>
                <c:pt idx="9">
                  <c:v>4935332.6574999997</c:v>
                </c:pt>
                <c:pt idx="10">
                  <c:v>4908932.6500000004</c:v>
                </c:pt>
                <c:pt idx="11">
                  <c:v>7368162.7369250003</c:v>
                </c:pt>
                <c:pt idx="12">
                  <c:v>7992452.9930660417</c:v>
                </c:pt>
                <c:pt idx="13">
                  <c:v>7992452.9930660417</c:v>
                </c:pt>
                <c:pt idx="14">
                  <c:v>7992452.9930660417</c:v>
                </c:pt>
                <c:pt idx="15">
                  <c:v>7992452.9930660417</c:v>
                </c:pt>
              </c:numCache>
            </c:numRef>
          </c:val>
          <c:extLst>
            <c:ext xmlns:c16="http://schemas.microsoft.com/office/drawing/2014/chart" uri="{C3380CC4-5D6E-409C-BE32-E72D297353CC}">
              <c16:uniqueId val="{00000000-9E2E-4DE2-856D-D0AE9E247935}"/>
            </c:ext>
          </c:extLst>
        </c:ser>
        <c:dLbls>
          <c:showLegendKey val="0"/>
          <c:showVal val="0"/>
          <c:showCatName val="0"/>
          <c:showSerName val="0"/>
          <c:showPercent val="0"/>
          <c:showBubbleSize val="0"/>
        </c:dLbls>
        <c:gapWidth val="219"/>
        <c:overlap val="-27"/>
        <c:axId val="679465648"/>
        <c:axId val="677888208"/>
      </c:barChart>
      <c:catAx>
        <c:axId val="67946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888208"/>
        <c:crosses val="autoZero"/>
        <c:auto val="1"/>
        <c:lblAlgn val="ctr"/>
        <c:lblOffset val="100"/>
        <c:noMultiLvlLbl val="0"/>
      </c:catAx>
      <c:valAx>
        <c:axId val="67788820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465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Safety and Liquidity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382583331429626E-2"/>
          <c:y val="0.18631954008985241"/>
          <c:w val="0.89362284965855443"/>
          <c:h val="0.43537161224074877"/>
        </c:manualLayout>
      </c:layout>
      <c:lineChart>
        <c:grouping val="standard"/>
        <c:varyColors val="0"/>
        <c:ser>
          <c:idx val="0"/>
          <c:order val="0"/>
          <c:tx>
            <c:strRef>
              <c:f>'Monthly Summary'!$AA$62</c:f>
              <c:strCache>
                <c:ptCount val="1"/>
                <c:pt idx="0">
                  <c:v>Liquidity: Current Ratio (1.5-2.0)</c:v>
                </c:pt>
              </c:strCache>
            </c:strRef>
          </c:tx>
          <c:spPr>
            <a:ln w="28575" cap="rnd">
              <a:solidFill>
                <a:schemeClr val="accent1"/>
              </a:solidFill>
              <a:round/>
            </a:ln>
            <a:effectLst/>
          </c:spPr>
          <c:marker>
            <c:symbol val="none"/>
          </c:marker>
          <c:cat>
            <c:strRef>
              <c:f>'Monthly Summary'!$AB$61:$AI$61</c:f>
            </c:strRef>
          </c:cat>
          <c:val>
            <c:numRef>
              <c:f>'Monthly Summary'!$AB$62:$AI$62</c:f>
            </c:numRef>
          </c:val>
          <c:smooth val="0"/>
          <c:extLst>
            <c:ext xmlns:c16="http://schemas.microsoft.com/office/drawing/2014/chart" uri="{C3380CC4-5D6E-409C-BE32-E72D297353CC}">
              <c16:uniqueId val="{00000000-72E6-44CF-83E9-0514F1B2246F}"/>
            </c:ext>
          </c:extLst>
        </c:ser>
        <c:ser>
          <c:idx val="1"/>
          <c:order val="1"/>
          <c:tx>
            <c:strRef>
              <c:f>'Monthly Summary'!$AA$63</c:f>
              <c:strCache>
                <c:ptCount val="1"/>
                <c:pt idx="0">
                  <c:v>Safety: Debt to Equity  (1.0 - 1.5)</c:v>
                </c:pt>
              </c:strCache>
            </c:strRef>
          </c:tx>
          <c:spPr>
            <a:ln w="28575" cap="rnd">
              <a:solidFill>
                <a:schemeClr val="accent2"/>
              </a:solidFill>
              <a:round/>
            </a:ln>
            <a:effectLst/>
          </c:spPr>
          <c:marker>
            <c:symbol val="none"/>
          </c:marker>
          <c:cat>
            <c:strRef>
              <c:f>'Monthly Summary'!$AB$61:$AI$61</c:f>
            </c:strRef>
          </c:cat>
          <c:val>
            <c:numRef>
              <c:f>'Monthly Summary'!$AB$63:$AI$63</c:f>
            </c:numRef>
          </c:val>
          <c:smooth val="0"/>
          <c:extLst>
            <c:ext xmlns:c16="http://schemas.microsoft.com/office/drawing/2014/chart" uri="{C3380CC4-5D6E-409C-BE32-E72D297353CC}">
              <c16:uniqueId val="{00000001-72E6-44CF-83E9-0514F1B2246F}"/>
            </c:ext>
          </c:extLst>
        </c:ser>
        <c:ser>
          <c:idx val="2"/>
          <c:order val="2"/>
          <c:tx>
            <c:strRef>
              <c:f>'Monthly Summary'!$B$91</c:f>
              <c:strCache>
                <c:ptCount val="1"/>
                <c:pt idx="0">
                  <c:v>CR Hi Limit</c:v>
                </c:pt>
              </c:strCache>
            </c:strRef>
          </c:tx>
          <c:spPr>
            <a:ln w="28575" cap="rnd">
              <a:solidFill>
                <a:schemeClr val="accent3"/>
              </a:solidFill>
              <a:round/>
            </a:ln>
            <a:effectLst/>
          </c:spPr>
          <c:marker>
            <c:symbol val="none"/>
          </c:marker>
          <c:cat>
            <c:strRef>
              <c:f>'Monthly Summary'!$AB$61:$AI$61</c:f>
            </c:strRef>
          </c:cat>
          <c:val>
            <c:numRef>
              <c:f>'Monthly Summary'!$P$91:$V$91</c:f>
            </c:numRef>
          </c:val>
          <c:smooth val="0"/>
          <c:extLst>
            <c:ext xmlns:c16="http://schemas.microsoft.com/office/drawing/2014/chart" uri="{C3380CC4-5D6E-409C-BE32-E72D297353CC}">
              <c16:uniqueId val="{00000001-09E2-4A2F-BD0F-68913BD0150A}"/>
            </c:ext>
          </c:extLst>
        </c:ser>
        <c:ser>
          <c:idx val="3"/>
          <c:order val="3"/>
          <c:tx>
            <c:strRef>
              <c:f>'Monthly Summary'!$B$92</c:f>
              <c:strCache>
                <c:ptCount val="1"/>
                <c:pt idx="0">
                  <c:v>CR Low Limit</c:v>
                </c:pt>
              </c:strCache>
            </c:strRef>
          </c:tx>
          <c:spPr>
            <a:ln w="28575" cap="rnd">
              <a:solidFill>
                <a:schemeClr val="accent4"/>
              </a:solidFill>
              <a:round/>
            </a:ln>
            <a:effectLst/>
          </c:spPr>
          <c:marker>
            <c:symbol val="none"/>
          </c:marker>
          <c:cat>
            <c:strRef>
              <c:f>'Monthly Summary'!$AB$61:$AI$61</c:f>
            </c:strRef>
          </c:cat>
          <c:val>
            <c:numRef>
              <c:f>'Monthly Summary'!$P$92:$V$92</c:f>
            </c:numRef>
          </c:val>
          <c:smooth val="0"/>
          <c:extLst>
            <c:ext xmlns:c16="http://schemas.microsoft.com/office/drawing/2014/chart" uri="{C3380CC4-5D6E-409C-BE32-E72D297353CC}">
              <c16:uniqueId val="{00000002-09E2-4A2F-BD0F-68913BD0150A}"/>
            </c:ext>
          </c:extLst>
        </c:ser>
        <c:ser>
          <c:idx val="4"/>
          <c:order val="4"/>
          <c:tx>
            <c:strRef>
              <c:f>'Monthly Summary'!$B$93</c:f>
              <c:strCache>
                <c:ptCount val="1"/>
                <c:pt idx="0">
                  <c:v>D/E Low Limit</c:v>
                </c:pt>
              </c:strCache>
            </c:strRef>
          </c:tx>
          <c:spPr>
            <a:ln w="28575" cap="rnd">
              <a:solidFill>
                <a:schemeClr val="accent5"/>
              </a:solidFill>
              <a:round/>
            </a:ln>
            <a:effectLst/>
          </c:spPr>
          <c:marker>
            <c:symbol val="none"/>
          </c:marker>
          <c:cat>
            <c:strRef>
              <c:f>'Monthly Summary'!$AB$61:$AI$61</c:f>
            </c:strRef>
          </c:cat>
          <c:val>
            <c:numRef>
              <c:f>'Monthly Summary'!$P$93:$V$93</c:f>
            </c:numRef>
          </c:val>
          <c:smooth val="0"/>
          <c:extLst>
            <c:ext xmlns:c16="http://schemas.microsoft.com/office/drawing/2014/chart" uri="{C3380CC4-5D6E-409C-BE32-E72D297353CC}">
              <c16:uniqueId val="{00000003-09E2-4A2F-BD0F-68913BD0150A}"/>
            </c:ext>
          </c:extLst>
        </c:ser>
        <c:dLbls>
          <c:showLegendKey val="0"/>
          <c:showVal val="0"/>
          <c:showCatName val="0"/>
          <c:showSerName val="0"/>
          <c:showPercent val="0"/>
          <c:showBubbleSize val="0"/>
        </c:dLbls>
        <c:marker val="1"/>
        <c:smooth val="0"/>
        <c:axId val="79902359"/>
        <c:axId val="79903999"/>
      </c:lineChart>
      <c:catAx>
        <c:axId val="79902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03999"/>
        <c:crosses val="autoZero"/>
        <c:auto val="1"/>
        <c:lblAlgn val="ctr"/>
        <c:lblOffset val="100"/>
        <c:noMultiLvlLbl val="0"/>
      </c:catAx>
      <c:valAx>
        <c:axId val="799039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02359"/>
        <c:crosses val="autoZero"/>
        <c:crossBetween val="between"/>
      </c:valAx>
      <c:spPr>
        <a:noFill/>
        <a:ln>
          <a:noFill/>
        </a:ln>
        <a:effectLst/>
      </c:spPr>
    </c:plotArea>
    <c:legend>
      <c:legendPos val="b"/>
      <c:layout>
        <c:manualLayout>
          <c:xMode val="edge"/>
          <c:yMode val="edge"/>
          <c:x val="1.4063212012855464E-2"/>
          <c:y val="0.76829186289082974"/>
          <c:w val="0.98205341852338579"/>
          <c:h val="0.20156747276462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and Profitability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614046228092456"/>
          <c:y val="0.1849917448587986"/>
          <c:w val="0.62360596054525441"/>
          <c:h val="0.46150598595919085"/>
        </c:manualLayout>
      </c:layout>
      <c:lineChart>
        <c:grouping val="standard"/>
        <c:varyColors val="0"/>
        <c:ser>
          <c:idx val="7"/>
          <c:order val="1"/>
          <c:tx>
            <c:strRef>
              <c:f>'Monthly Summary'!$AA$70</c:f>
              <c:strCache>
                <c:ptCount val="1"/>
                <c:pt idx="0">
                  <c:v>Gross Profit Margin</c:v>
                </c:pt>
              </c:strCache>
            </c:strRef>
          </c:tx>
          <c:spPr>
            <a:ln w="28575" cap="rnd">
              <a:solidFill>
                <a:schemeClr val="accent2">
                  <a:lumMod val="60000"/>
                </a:schemeClr>
              </a:solidFill>
              <a:round/>
            </a:ln>
            <a:effectLst/>
          </c:spPr>
          <c:marker>
            <c:symbol val="none"/>
          </c:marker>
          <c:cat>
            <c:strRef>
              <c:f>'Monthly Summary'!$AB$61:$AI$61</c:f>
            </c:strRef>
          </c:cat>
          <c:val>
            <c:numRef>
              <c:f>'Monthly Summary'!$AB$70:$AI$70</c:f>
            </c:numRef>
          </c:val>
          <c:smooth val="0"/>
          <c:extLst>
            <c:ext xmlns:c16="http://schemas.microsoft.com/office/drawing/2014/chart" uri="{C3380CC4-5D6E-409C-BE32-E72D297353CC}">
              <c16:uniqueId val="{00000001-59E3-4885-8597-C07964893F43}"/>
            </c:ext>
          </c:extLst>
        </c:ser>
        <c:ser>
          <c:idx val="9"/>
          <c:order val="2"/>
          <c:tx>
            <c:strRef>
              <c:f>'Monthly Summary'!$AA$72</c:f>
              <c:strCache>
                <c:ptCount val="1"/>
                <c:pt idx="0">
                  <c:v>Net Profit Margin</c:v>
                </c:pt>
              </c:strCache>
            </c:strRef>
          </c:tx>
          <c:spPr>
            <a:ln w="28575" cap="rnd">
              <a:solidFill>
                <a:schemeClr val="accent4">
                  <a:lumMod val="60000"/>
                </a:schemeClr>
              </a:solidFill>
              <a:round/>
            </a:ln>
            <a:effectLst/>
          </c:spPr>
          <c:marker>
            <c:symbol val="none"/>
          </c:marker>
          <c:cat>
            <c:strRef>
              <c:f>'Monthly Summary'!$AB$61:$AI$61</c:f>
            </c:strRef>
          </c:cat>
          <c:val>
            <c:numRef>
              <c:f>'Monthly Summary'!$AB$72:$AI$72</c:f>
            </c:numRef>
          </c:val>
          <c:smooth val="0"/>
          <c:extLst>
            <c:ext xmlns:c16="http://schemas.microsoft.com/office/drawing/2014/chart" uri="{C3380CC4-5D6E-409C-BE32-E72D297353CC}">
              <c16:uniqueId val="{00000003-59E3-4885-8597-C07964893F43}"/>
            </c:ext>
          </c:extLst>
        </c:ser>
        <c:dLbls>
          <c:showLegendKey val="0"/>
          <c:showVal val="0"/>
          <c:showCatName val="0"/>
          <c:showSerName val="0"/>
          <c:showPercent val="0"/>
          <c:showBubbleSize val="0"/>
        </c:dLbls>
        <c:marker val="1"/>
        <c:smooth val="0"/>
        <c:axId val="995343552"/>
        <c:axId val="995340600"/>
        <c:extLst/>
      </c:lineChart>
      <c:lineChart>
        <c:grouping val="standard"/>
        <c:varyColors val="0"/>
        <c:ser>
          <c:idx val="5"/>
          <c:order val="0"/>
          <c:tx>
            <c:strRef>
              <c:f>'Monthly Summary'!$AA$67</c:f>
              <c:strCache>
                <c:ptCount val="1"/>
                <c:pt idx="0">
                  <c:v>Revenue</c:v>
                </c:pt>
              </c:strCache>
            </c:strRef>
          </c:tx>
          <c:spPr>
            <a:ln w="28575" cap="rnd">
              <a:solidFill>
                <a:schemeClr val="accent6"/>
              </a:solidFill>
              <a:round/>
            </a:ln>
            <a:effectLst/>
          </c:spPr>
          <c:marker>
            <c:symbol val="none"/>
          </c:marker>
          <c:cat>
            <c:strRef>
              <c:f>'Monthly Summary'!$AB$61:$AI$61</c:f>
            </c:strRef>
          </c:cat>
          <c:val>
            <c:numRef>
              <c:f>'Monthly Summary'!$AB$67:$AI$67</c:f>
            </c:numRef>
          </c:val>
          <c:smooth val="0"/>
          <c:extLst>
            <c:ext xmlns:c16="http://schemas.microsoft.com/office/drawing/2014/chart" uri="{C3380CC4-5D6E-409C-BE32-E72D297353CC}">
              <c16:uniqueId val="{00000004-59E3-4885-8597-C07964893F43}"/>
            </c:ext>
          </c:extLst>
        </c:ser>
        <c:dLbls>
          <c:showLegendKey val="0"/>
          <c:showVal val="0"/>
          <c:showCatName val="0"/>
          <c:showSerName val="0"/>
          <c:showPercent val="0"/>
          <c:showBubbleSize val="0"/>
        </c:dLbls>
        <c:marker val="1"/>
        <c:smooth val="0"/>
        <c:axId val="278828119"/>
        <c:axId val="278822543"/>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0"/>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 Margins and Grwoth %</a:t>
                </a:r>
              </a:p>
            </c:rich>
          </c:tx>
          <c:layout>
            <c:manualLayout>
              <c:xMode val="edge"/>
              <c:yMode val="edge"/>
              <c:x val="3.6115020557974872E-2"/>
              <c:y val="4.147703494972216E-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valAx>
        <c:axId val="278822543"/>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828119"/>
        <c:crosses val="max"/>
        <c:crossBetween val="between"/>
      </c:valAx>
      <c:catAx>
        <c:axId val="278828119"/>
        <c:scaling>
          <c:orientation val="minMax"/>
        </c:scaling>
        <c:delete val="1"/>
        <c:axPos val="b"/>
        <c:numFmt formatCode="General" sourceLinked="1"/>
        <c:majorTickMark val="out"/>
        <c:minorTickMark val="none"/>
        <c:tickLblPos val="nextTo"/>
        <c:crossAx val="27882254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Operating Metrics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3"/>
          <c:order val="12"/>
          <c:tx>
            <c:strRef>
              <c:f>'Monthly Summary'!$AA$76</c:f>
              <c:strCache>
                <c:ptCount val="1"/>
                <c:pt idx="0">
                  <c:v>Receivable Days </c:v>
                </c:pt>
              </c:strCache>
            </c:strRef>
          </c:tx>
          <c:spPr>
            <a:ln w="28575" cap="rnd">
              <a:solidFill>
                <a:schemeClr val="accent2">
                  <a:lumMod val="80000"/>
                  <a:lumOff val="20000"/>
                </a:schemeClr>
              </a:solidFill>
              <a:round/>
            </a:ln>
            <a:effectLst/>
          </c:spPr>
          <c:marker>
            <c:symbol val="none"/>
          </c:marker>
          <c:cat>
            <c:strRef>
              <c:f>'Monthly Summary'!$AB$61:$AI$61</c:f>
            </c:strRef>
          </c:cat>
          <c:val>
            <c:numRef>
              <c:f>'Monthly Summary'!$AB$76:$AI$76</c:f>
            </c:numRef>
          </c:val>
          <c:smooth val="0"/>
          <c:extLst>
            <c:ext xmlns:c16="http://schemas.microsoft.com/office/drawing/2014/chart" uri="{C3380CC4-5D6E-409C-BE32-E72D297353CC}">
              <c16:uniqueId val="{00000000-45F4-4908-91B2-7AFEEEB4226F}"/>
            </c:ext>
          </c:extLst>
        </c:ser>
        <c:ser>
          <c:idx val="15"/>
          <c:order val="13"/>
          <c:tx>
            <c:strRef>
              <c:f>'Monthly Summary'!$AA$78</c:f>
              <c:strCache>
                <c:ptCount val="1"/>
                <c:pt idx="0">
                  <c:v>Inventory Days </c:v>
                </c:pt>
              </c:strCache>
            </c:strRef>
          </c:tx>
          <c:spPr>
            <a:ln w="28575" cap="rnd">
              <a:solidFill>
                <a:schemeClr val="accent4">
                  <a:lumMod val="80000"/>
                  <a:lumOff val="20000"/>
                </a:schemeClr>
              </a:solidFill>
              <a:round/>
            </a:ln>
            <a:effectLst/>
          </c:spPr>
          <c:marker>
            <c:symbol val="none"/>
          </c:marker>
          <c:cat>
            <c:strRef>
              <c:f>'Monthly Summary'!$AB$61:$AI$61</c:f>
            </c:strRef>
          </c:cat>
          <c:val>
            <c:numRef>
              <c:f>'Monthly Summary'!$AB$78:$AI$78</c:f>
            </c:numRef>
          </c:val>
          <c:smooth val="0"/>
          <c:extLst>
            <c:ext xmlns:c16="http://schemas.microsoft.com/office/drawing/2014/chart" uri="{C3380CC4-5D6E-409C-BE32-E72D297353CC}">
              <c16:uniqueId val="{00000001-45F4-4908-91B2-7AFEEEB4226F}"/>
            </c:ext>
          </c:extLst>
        </c:ser>
        <c:ser>
          <c:idx val="17"/>
          <c:order val="14"/>
          <c:tx>
            <c:strRef>
              <c:f>'Monthly Summary'!$AA$80</c:f>
              <c:strCache>
                <c:ptCount val="1"/>
                <c:pt idx="0">
                  <c:v>Payable Days</c:v>
                </c:pt>
              </c:strCache>
            </c:strRef>
          </c:tx>
          <c:spPr>
            <a:ln w="28575" cap="rnd">
              <a:solidFill>
                <a:schemeClr val="accent6">
                  <a:lumMod val="80000"/>
                  <a:lumOff val="20000"/>
                </a:schemeClr>
              </a:solidFill>
              <a:round/>
            </a:ln>
            <a:effectLst/>
          </c:spPr>
          <c:marker>
            <c:symbol val="none"/>
          </c:marker>
          <c:cat>
            <c:strRef>
              <c:f>'Monthly Summary'!$AB$61:$AI$61</c:f>
            </c:strRef>
          </c:cat>
          <c:val>
            <c:numRef>
              <c:f>'Monthly Summary'!$AB$80:$AI$80</c:f>
            </c:numRef>
          </c:val>
          <c:smooth val="0"/>
          <c:extLst>
            <c:ext xmlns:c16="http://schemas.microsoft.com/office/drawing/2014/chart" uri="{C3380CC4-5D6E-409C-BE32-E72D297353CC}">
              <c16:uniqueId val="{00000002-45F4-4908-91B2-7AFEEEB4226F}"/>
            </c:ext>
          </c:extLst>
        </c:ser>
        <c:ser>
          <c:idx val="23"/>
          <c:order val="20"/>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strRef>
              <c:f>'Monthly Summary'!$AB$61:$AI$61</c:f>
            </c:str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7-45F4-4908-91B2-7AFEEEB4226F}"/>
            </c:ext>
          </c:extLst>
        </c:ser>
        <c:ser>
          <c:idx val="24"/>
          <c:order val="21"/>
          <c:tx>
            <c:strRef>
              <c:f>'Monthly Summary'!$O$87</c:f>
              <c:strCache>
                <c:ptCount val="1"/>
                <c:pt idx="0">
                  <c:v>Free Cash Flow</c:v>
                </c:pt>
              </c:strCache>
              <c:extLst xmlns:c15="http://schemas.microsoft.com/office/drawing/2012/chart"/>
            </c:strRef>
          </c:tx>
          <c:spPr>
            <a:ln w="28575" cap="rnd">
              <a:solidFill>
                <a:schemeClr val="accent1">
                  <a:lumMod val="60000"/>
                  <a:lumOff val="40000"/>
                </a:schemeClr>
              </a:solidFill>
              <a:round/>
            </a:ln>
            <a:effectLst/>
          </c:spPr>
          <c:marker>
            <c:symbol val="none"/>
          </c:marker>
          <c:cat>
            <c:strRef>
              <c:f>'Monthly Summary'!$AB$61:$AI$61</c:f>
            </c:strRef>
          </c:cat>
          <c:val>
            <c:numRef>
              <c:f>'Monthly Summary'!$P$87:$T$87</c:f>
              <c:extLst xmlns:c15="http://schemas.microsoft.com/office/drawing/2012/chart"/>
            </c:numRef>
          </c:val>
          <c:smooth val="0"/>
          <c:extLst xmlns:c15="http://schemas.microsoft.com/office/drawing/2012/chart">
            <c:ext xmlns:c16="http://schemas.microsoft.com/office/drawing/2014/chart" uri="{C3380CC4-5D6E-409C-BE32-E72D297353CC}">
              <c16:uniqueId val="{00000018-45F4-4908-91B2-7AFEEEB4226F}"/>
            </c:ext>
          </c:extLst>
        </c:ser>
        <c:dLbls>
          <c:showLegendKey val="0"/>
          <c:showVal val="0"/>
          <c:showCatName val="0"/>
          <c:showSerName val="0"/>
          <c:showPercent val="0"/>
          <c:showBubbleSize val="0"/>
        </c:dLbls>
        <c:marker val="1"/>
        <c:smooth val="0"/>
        <c:axId val="995343552"/>
        <c:axId val="995340600"/>
        <c:extLst>
          <c:ext xmlns:c15="http://schemas.microsoft.com/office/drawing/2012/chart" uri="{02D57815-91ED-43cb-92C2-25804820EDAC}">
            <c15:filteredLineSeries>
              <c15:ser>
                <c:idx val="0"/>
                <c:order val="0"/>
                <c:tx>
                  <c:strRef>
                    <c:extLst>
                      <c:ext uri="{02D57815-91ED-43cb-92C2-25804820EDAC}">
                        <c15:formulaRef>
                          <c15:sqref>'Monthly Summary'!$AA$62</c15:sqref>
                        </c15:formulaRef>
                      </c:ext>
                    </c:extLst>
                    <c:strCache>
                      <c:ptCount val="1"/>
                      <c:pt idx="0">
                        <c:v>Liquidity: Current Ratio (1.5-2.0)</c:v>
                      </c:pt>
                    </c:strCache>
                  </c:strRef>
                </c:tx>
                <c:spPr>
                  <a:ln w="28575" cap="rnd">
                    <a:solidFill>
                      <a:schemeClr val="accent1"/>
                    </a:solidFill>
                    <a:round/>
                  </a:ln>
                  <a:effectLst/>
                </c:spPr>
                <c:marker>
                  <c:symbol val="none"/>
                </c:marker>
                <c:cat>
                  <c:strRef>
                    <c:extLst>
                      <c:ext uri="{02D57815-91ED-43cb-92C2-25804820EDAC}">
                        <c15:formulaRef>
                          <c15:sqref>'Monthly Summary'!$AB$61:$AI$61</c15:sqref>
                        </c15:formulaRef>
                      </c:ext>
                    </c:extLst>
                  </c:strRef>
                </c:cat>
                <c:val>
                  <c:numRef>
                    <c:extLst>
                      <c:ext uri="{02D57815-91ED-43cb-92C2-25804820EDAC}">
                        <c15:formulaRef>
                          <c15:sqref>'Monthly Summary'!$AB$62:$AF$62</c15:sqref>
                        </c15:formulaRef>
                      </c:ext>
                    </c:extLst>
                  </c:numRef>
                </c:val>
                <c:smooth val="0"/>
                <c:extLst>
                  <c:ext xmlns:c16="http://schemas.microsoft.com/office/drawing/2014/chart" uri="{C3380CC4-5D6E-409C-BE32-E72D297353CC}">
                    <c16:uniqueId val="{00000003-45F4-4908-91B2-7AFEEEB4226F}"/>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'Monthly Summary'!$AA$63</c15:sqref>
                        </c15:formulaRef>
                      </c:ext>
                    </c:extLst>
                    <c:strCache>
                      <c:ptCount val="1"/>
                      <c:pt idx="0">
                        <c:v>Safety: Debt to Equity  (1.0 - 1.5)</c:v>
                      </c:pt>
                    </c:strCache>
                  </c:strRef>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Summary'!$AB$63:$AF$63</c15:sqref>
                        </c15:formulaRef>
                      </c:ext>
                    </c:extLst>
                  </c:numRef>
                </c:val>
                <c:smooth val="0"/>
                <c:extLst xmlns:c15="http://schemas.microsoft.com/office/drawing/2012/chart">
                  <c:ext xmlns:c16="http://schemas.microsoft.com/office/drawing/2014/chart" uri="{C3380CC4-5D6E-409C-BE32-E72D297353CC}">
                    <c16:uniqueId val="{00000004-45F4-4908-91B2-7AFEEEB4226F}"/>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'Monthly Summary'!$AA$64</c15:sqref>
                        </c15:formulaRef>
                      </c:ext>
                    </c:extLst>
                    <c:strCache>
                      <c:ptCount val="1"/>
                      <c:pt idx="0">
                        <c:v>Net Working Capital</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Summary'!$AB$64:$AF$64</c15:sqref>
                        </c15:formulaRef>
                      </c:ext>
                    </c:extLst>
                  </c:numRef>
                </c:val>
                <c:smooth val="0"/>
                <c:extLst xmlns:c15="http://schemas.microsoft.com/office/drawing/2012/chart">
                  <c:ext xmlns:c16="http://schemas.microsoft.com/office/drawing/2014/chart" uri="{C3380CC4-5D6E-409C-BE32-E72D297353CC}">
                    <c16:uniqueId val="{00000005-45F4-4908-91B2-7AFEEEB4226F}"/>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'Monthly Summary'!$AA$65</c15:sqref>
                        </c15:formulaRef>
                      </c:ext>
                    </c:extLst>
                    <c:strCache>
                      <c:ptCount val="1"/>
                      <c:pt idx="0">
                        <c:v>Non-Cash Working Capital</c:v>
                      </c:pt>
                    </c:strCache>
                  </c:strRef>
                </c:tx>
                <c:spPr>
                  <a:ln w="28575" cap="rnd">
                    <a:solidFill>
                      <a:schemeClr val="accent4"/>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Summary'!$AB$65:$AF$65</c15:sqref>
                        </c15:formulaRef>
                      </c:ext>
                    </c:extLst>
                  </c:numRef>
                </c:val>
                <c:smooth val="0"/>
                <c:extLst xmlns:c15="http://schemas.microsoft.com/office/drawing/2012/chart">
                  <c:ext xmlns:c16="http://schemas.microsoft.com/office/drawing/2014/chart" uri="{C3380CC4-5D6E-409C-BE32-E72D297353CC}">
                    <c16:uniqueId val="{00000006-45F4-4908-91B2-7AFEEEB4226F}"/>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'Monthly Summary'!$AA$66</c15:sqref>
                        </c15:formulaRef>
                      </c:ext>
                    </c:extLst>
                    <c:strCache>
                      <c:ptCount val="1"/>
                    </c:strCache>
                  </c:strRef>
                </c:tx>
                <c:spPr>
                  <a:ln w="28575" cap="rnd">
                    <a:solidFill>
                      <a:schemeClr val="accent5"/>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Summary'!$AB$66:$AF$66</c15:sqref>
                        </c15:formulaRef>
                      </c:ext>
                    </c:extLst>
                  </c:numRef>
                </c:val>
                <c:smooth val="0"/>
                <c:extLst xmlns:c15="http://schemas.microsoft.com/office/drawing/2012/chart">
                  <c:ext xmlns:c16="http://schemas.microsoft.com/office/drawing/2014/chart" uri="{C3380CC4-5D6E-409C-BE32-E72D297353CC}">
                    <c16:uniqueId val="{00000007-45F4-4908-91B2-7AFEEEB4226F}"/>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'Monthly Summary'!$AA$69</c15:sqref>
                        </c15:formulaRef>
                      </c:ext>
                    </c:extLst>
                    <c:strCache>
                      <c:ptCount val="1"/>
                      <c:pt idx="0">
                        <c:v>Revenue Growth</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Summary'!$AB$69:$AF$69</c15:sqref>
                        </c15:formulaRef>
                      </c:ext>
                    </c:extLst>
                  </c:numRef>
                </c:val>
                <c:smooth val="0"/>
                <c:extLst xmlns:c15="http://schemas.microsoft.com/office/drawing/2012/chart">
                  <c:ext xmlns:c16="http://schemas.microsoft.com/office/drawing/2014/chart" uri="{C3380CC4-5D6E-409C-BE32-E72D297353CC}">
                    <c16:uniqueId val="{00000009-45F4-4908-91B2-7AFEEEB4226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'Monthly Summary'!$AA$70</c15:sqref>
                        </c15:formulaRef>
                      </c:ext>
                    </c:extLst>
                    <c:strCache>
                      <c:ptCount val="1"/>
                      <c:pt idx="0">
                        <c:v>Gross Profit Margin</c:v>
                      </c:pt>
                    </c:strCache>
                  </c:strRef>
                </c:tx>
                <c:spPr>
                  <a:ln w="28575" cap="rnd">
                    <a:solidFill>
                      <a:schemeClr val="accent2">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Summary'!$AB$70:$AF$70</c15:sqref>
                        </c15:formulaRef>
                      </c:ext>
                    </c:extLst>
                  </c:numRef>
                </c:val>
                <c:smooth val="0"/>
                <c:extLst xmlns:c15="http://schemas.microsoft.com/office/drawing/2012/chart">
                  <c:ext xmlns:c16="http://schemas.microsoft.com/office/drawing/2014/chart" uri="{C3380CC4-5D6E-409C-BE32-E72D297353CC}">
                    <c16:uniqueId val="{0000000A-45F4-4908-91B2-7AFEEEB4226F}"/>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'Monthly Summary'!$AA$71</c15:sqref>
                        </c15:formulaRef>
                      </c:ext>
                    </c:extLst>
                    <c:strCache>
                      <c:ptCount val="1"/>
                      <c:pt idx="0">
                        <c:v>Operating Profit Margin</c:v>
                      </c:pt>
                    </c:strCache>
                  </c:strRef>
                </c:tx>
                <c:spPr>
                  <a:ln w="28575" cap="rnd">
                    <a:solidFill>
                      <a:schemeClr val="accent3">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Summary'!$AB$71:$AF$71</c15:sqref>
                        </c15:formulaRef>
                      </c:ext>
                    </c:extLst>
                  </c:numRef>
                </c:val>
                <c:smooth val="0"/>
                <c:extLst xmlns:c15="http://schemas.microsoft.com/office/drawing/2012/chart">
                  <c:ext xmlns:c16="http://schemas.microsoft.com/office/drawing/2014/chart" uri="{C3380CC4-5D6E-409C-BE32-E72D297353CC}">
                    <c16:uniqueId val="{0000000B-45F4-4908-91B2-7AFEEEB4226F}"/>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'Monthly Summary'!$AA$72</c15:sqref>
                        </c15:formulaRef>
                      </c:ext>
                    </c:extLst>
                    <c:strCache>
                      <c:ptCount val="1"/>
                      <c:pt idx="0">
                        <c:v>Net Profit Margin</c:v>
                      </c:pt>
                    </c:strCache>
                  </c:strRef>
                </c:tx>
                <c:spPr>
                  <a:ln w="28575" cap="rnd">
                    <a:solidFill>
                      <a:schemeClr val="accent4">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Summary'!$AB$72:$AF$72</c15:sqref>
                        </c15:formulaRef>
                      </c:ext>
                    </c:extLst>
                  </c:numRef>
                </c:val>
                <c:smooth val="0"/>
                <c:extLst xmlns:c15="http://schemas.microsoft.com/office/drawing/2012/chart">
                  <c:ext xmlns:c16="http://schemas.microsoft.com/office/drawing/2014/chart" uri="{C3380CC4-5D6E-409C-BE32-E72D297353CC}">
                    <c16:uniqueId val="{0000000C-45F4-4908-91B2-7AFEEEB4226F}"/>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'Monthly Summary'!$AA$73</c15:sqref>
                        </c15:formulaRef>
                      </c:ext>
                    </c:extLst>
                    <c:strCache>
                      <c:ptCount val="1"/>
                    </c:strCache>
                  </c:strRef>
                </c:tx>
                <c:spPr>
                  <a:ln w="28575" cap="rnd">
                    <a:solidFill>
                      <a:schemeClr val="accent5">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Summary'!$AB$73:$AF$73</c15:sqref>
                        </c15:formulaRef>
                      </c:ext>
                    </c:extLst>
                  </c:numRef>
                </c:val>
                <c:smooth val="0"/>
                <c:extLst xmlns:c15="http://schemas.microsoft.com/office/drawing/2012/chart">
                  <c:ext xmlns:c16="http://schemas.microsoft.com/office/drawing/2014/chart" uri="{C3380CC4-5D6E-409C-BE32-E72D297353CC}">
                    <c16:uniqueId val="{0000000D-45F4-4908-91B2-7AFEEEB4226F}"/>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'Monthly Summary'!$AA$74</c15:sqref>
                        </c15:formulaRef>
                      </c:ext>
                    </c:extLst>
                    <c:strCache>
                      <c:ptCount val="1"/>
                      <c:pt idx="0">
                        <c:v>Return on Equity </c:v>
                      </c:pt>
                    </c:strCache>
                  </c:strRef>
                </c:tx>
                <c:spPr>
                  <a:ln w="28575" cap="rnd">
                    <a:solidFill>
                      <a:schemeClr val="accent6">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Summary'!$AB$74:$AF$74</c15:sqref>
                        </c15:formulaRef>
                      </c:ext>
                    </c:extLst>
                  </c:numRef>
                </c:val>
                <c:smooth val="0"/>
                <c:extLst xmlns:c15="http://schemas.microsoft.com/office/drawing/2012/chart">
                  <c:ext xmlns:c16="http://schemas.microsoft.com/office/drawing/2014/chart" uri="{C3380CC4-5D6E-409C-BE32-E72D297353CC}">
                    <c16:uniqueId val="{0000000E-45F4-4908-91B2-7AFEEEB4226F}"/>
                  </c:ext>
                </c:extLst>
              </c15:ser>
            </c15:filteredLineSeries>
            <c15:filteredLineSeries>
              <c15:ser>
                <c:idx val="18"/>
                <c:order val="15"/>
                <c:tx>
                  <c:strRef>
                    <c:extLst xmlns:c15="http://schemas.microsoft.com/office/drawing/2012/chart">
                      <c:ext xmlns:c15="http://schemas.microsoft.com/office/drawing/2012/chart" uri="{02D57815-91ED-43cb-92C2-25804820EDAC}">
                        <c15:formulaRef>
                          <c15:sqref>'Monthly Summary'!$AA$81</c15:sqref>
                        </c15:formulaRef>
                      </c:ext>
                    </c:extLst>
                    <c:strCache>
                      <c:ptCount val="1"/>
                    </c:strCache>
                  </c:strRef>
                </c:tx>
                <c:spPr>
                  <a:ln w="28575" cap="rnd">
                    <a:solidFill>
                      <a:schemeClr val="accent1">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Summary'!$AB$81:$AF$81</c15:sqref>
                        </c15:formulaRef>
                      </c:ext>
                    </c:extLst>
                  </c:numRef>
                </c:val>
                <c:smooth val="0"/>
                <c:extLst xmlns:c15="http://schemas.microsoft.com/office/drawing/2012/chart">
                  <c:ext xmlns:c16="http://schemas.microsoft.com/office/drawing/2014/chart" uri="{C3380CC4-5D6E-409C-BE32-E72D297353CC}">
                    <c16:uniqueId val="{00000012-45F4-4908-91B2-7AFEEEB4226F}"/>
                  </c:ext>
                </c:extLst>
              </c15:ser>
            </c15:filteredLineSeries>
            <c15:filteredLineSeries>
              <c15:ser>
                <c:idx val="19"/>
                <c:order val="16"/>
                <c:tx>
                  <c:strRef>
                    <c:extLst xmlns:c15="http://schemas.microsoft.com/office/drawing/2012/chart">
                      <c:ext xmlns:c15="http://schemas.microsoft.com/office/drawing/2012/chart" uri="{02D57815-91ED-43cb-92C2-25804820EDAC}">
                        <c15:formulaRef>
                          <c15:sqref>'Monthly Summary'!$AA$82</c15:sqref>
                        </c15:formulaRef>
                      </c:ext>
                    </c:extLst>
                    <c:strCache>
                      <c:ptCount val="1"/>
                      <c:pt idx="0">
                        <c:v>Operating Cash Flow</c:v>
                      </c:pt>
                    </c:strCache>
                  </c:strRef>
                </c:tx>
                <c:spPr>
                  <a:ln w="28575" cap="rnd">
                    <a:solidFill>
                      <a:schemeClr val="accent2">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Summary'!$AB$82:$AF$82</c15:sqref>
                        </c15:formulaRef>
                      </c:ext>
                    </c:extLst>
                  </c:numRef>
                </c:val>
                <c:smooth val="0"/>
                <c:extLst xmlns:c15="http://schemas.microsoft.com/office/drawing/2012/chart">
                  <c:ext xmlns:c16="http://schemas.microsoft.com/office/drawing/2014/chart" uri="{C3380CC4-5D6E-409C-BE32-E72D297353CC}">
                    <c16:uniqueId val="{00000013-45F4-4908-91B2-7AFEEEB4226F}"/>
                  </c:ext>
                </c:extLst>
              </c15:ser>
            </c15:filteredLineSeries>
            <c15:filteredLineSeries>
              <c15:ser>
                <c:idx val="20"/>
                <c:order val="17"/>
                <c:tx>
                  <c:strRef>
                    <c:extLst xmlns:c15="http://schemas.microsoft.com/office/drawing/2012/chart">
                      <c:ext xmlns:c15="http://schemas.microsoft.com/office/drawing/2012/chart" uri="{02D57815-91ED-43cb-92C2-25804820EDAC}">
                        <c15:formulaRef>
                          <c15:sqref>'Monthly Summary'!$AA$83</c15:sqref>
                        </c15:formulaRef>
                      </c:ext>
                    </c:extLst>
                    <c:strCache>
                      <c:ptCount val="1"/>
                      <c:pt idx="0">
                        <c:v>Investing Cash Flow</c:v>
                      </c:pt>
                    </c:strCache>
                  </c:strRef>
                </c:tx>
                <c:spPr>
                  <a:ln w="28575" cap="rnd">
                    <a:solidFill>
                      <a:schemeClr val="accent3">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Summary'!$AB$83:$AF$83</c15:sqref>
                        </c15:formulaRef>
                      </c:ext>
                    </c:extLst>
                  </c:numRef>
                </c:val>
                <c:smooth val="0"/>
                <c:extLst xmlns:c15="http://schemas.microsoft.com/office/drawing/2012/chart">
                  <c:ext xmlns:c16="http://schemas.microsoft.com/office/drawing/2014/chart" uri="{C3380CC4-5D6E-409C-BE32-E72D297353CC}">
                    <c16:uniqueId val="{00000014-45F4-4908-91B2-7AFEEEB4226F}"/>
                  </c:ext>
                </c:extLst>
              </c15:ser>
            </c15:filteredLineSeries>
            <c15:filteredLineSeries>
              <c15:ser>
                <c:idx val="21"/>
                <c:order val="18"/>
                <c:tx>
                  <c:strRef>
                    <c:extLst xmlns:c15="http://schemas.microsoft.com/office/drawing/2012/chart">
                      <c:ext xmlns:c15="http://schemas.microsoft.com/office/drawing/2012/chart" uri="{02D57815-91ED-43cb-92C2-25804820EDAC}">
                        <c15:formulaRef>
                          <c15:sqref>'Monthly Summary'!$AA$84</c15:sqref>
                        </c15:formulaRef>
                      </c:ext>
                    </c:extLst>
                    <c:strCache>
                      <c:ptCount val="1"/>
                      <c:pt idx="0">
                        <c:v>Financing Cash Flow</c:v>
                      </c:pt>
                    </c:strCache>
                  </c:strRef>
                </c:tx>
                <c:spPr>
                  <a:ln w="28575" cap="rnd">
                    <a:solidFill>
                      <a:schemeClr val="accent4">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Summary'!$AB$84:$AF$84</c15:sqref>
                        </c15:formulaRef>
                      </c:ext>
                    </c:extLst>
                  </c:numRef>
                </c:val>
                <c:smooth val="0"/>
                <c:extLst xmlns:c15="http://schemas.microsoft.com/office/drawing/2012/chart">
                  <c:ext xmlns:c16="http://schemas.microsoft.com/office/drawing/2014/chart" uri="{C3380CC4-5D6E-409C-BE32-E72D297353CC}">
                    <c16:uniqueId val="{00000015-45F4-4908-91B2-7AFEEEB4226F}"/>
                  </c:ext>
                </c:extLst>
              </c15:ser>
            </c15:filteredLineSeries>
            <c15:filteredLineSeries>
              <c15:ser>
                <c:idx val="22"/>
                <c:order val="19"/>
                <c:tx>
                  <c:strRef>
                    <c:extLst xmlns:c15="http://schemas.microsoft.com/office/drawing/2012/chart">
                      <c:ext xmlns:c15="http://schemas.microsoft.com/office/drawing/2012/chart" uri="{02D57815-91ED-43cb-92C2-25804820EDAC}">
                        <c15:formulaRef>
                          <c15:sqref>'Monthly Summary'!$AA$85</c15:sqref>
                        </c15:formulaRef>
                      </c:ext>
                    </c:extLst>
                    <c:strCache>
                      <c:ptCount val="1"/>
                      <c:pt idx="0">
                        <c:v>Net Cash Flow</c:v>
                      </c:pt>
                    </c:strCache>
                  </c:strRef>
                </c:tx>
                <c:spPr>
                  <a:ln w="28575" cap="rnd">
                    <a:solidFill>
                      <a:schemeClr val="accent5">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Summary'!$AB$61:$AI$61</c15:sqref>
                        </c15:formulaRef>
                      </c:ext>
                    </c:extLst>
                  </c:strRef>
                </c:cat>
                <c:val>
                  <c:numRef>
                    <c:extLst xmlns:c15="http://schemas.microsoft.com/office/drawing/2012/chart">
                      <c:ext xmlns:c15="http://schemas.microsoft.com/office/drawing/2012/chart" uri="{02D57815-91ED-43cb-92C2-25804820EDAC}">
                        <c15:formulaRef>
                          <c15:sqref>'Monthly Summary'!$AB$85:$AF$85</c15:sqref>
                        </c15:formulaRef>
                      </c:ext>
                    </c:extLst>
                  </c:numRef>
                </c:val>
                <c:smooth val="0"/>
                <c:extLst xmlns:c15="http://schemas.microsoft.com/office/drawing/2012/chart">
                  <c:ext xmlns:c16="http://schemas.microsoft.com/office/drawing/2014/chart" uri="{C3380CC4-5D6E-409C-BE32-E72D297353CC}">
                    <c16:uniqueId val="{00000016-45F4-4908-91B2-7AFEEEB4226F}"/>
                  </c:ext>
                </c:extLst>
              </c15:ser>
            </c15:filteredLineSeries>
          </c:ext>
        </c:extLst>
      </c:lineChart>
      <c:lineChart>
        <c:grouping val="standard"/>
        <c:varyColors val="0"/>
        <c:dLbls>
          <c:showLegendKey val="0"/>
          <c:showVal val="0"/>
          <c:showCatName val="0"/>
          <c:showSerName val="0"/>
          <c:showPercent val="0"/>
          <c:showBubbleSize val="0"/>
        </c:dLbls>
        <c:marker val="1"/>
        <c:smooth val="0"/>
        <c:axId val="278828119"/>
        <c:axId val="278822543"/>
        <c:extLst>
          <c:ext xmlns:c15="http://schemas.microsoft.com/office/drawing/2012/chart" uri="{02D57815-91ED-43cb-92C2-25804820EDAC}">
            <c15:filteredLineSeries>
              <c15:ser>
                <c:idx val="5"/>
                <c:order val="5"/>
                <c:tx>
                  <c:strRef>
                    <c:extLst>
                      <c:ext uri="{02D57815-91ED-43cb-92C2-25804820EDAC}">
                        <c15:formulaRef>
                          <c15:sqref>'Monthly Summary'!$AA$67</c15:sqref>
                        </c15:formulaRef>
                      </c:ext>
                    </c:extLst>
                    <c:strCache>
                      <c:ptCount val="1"/>
                      <c:pt idx="0">
                        <c:v>Revenue</c:v>
                      </c:pt>
                    </c:strCache>
                  </c:strRef>
                </c:tx>
                <c:spPr>
                  <a:ln w="28575" cap="rnd">
                    <a:solidFill>
                      <a:schemeClr val="accent6"/>
                    </a:solidFill>
                    <a:round/>
                  </a:ln>
                  <a:effectLst/>
                </c:spPr>
                <c:marker>
                  <c:symbol val="none"/>
                </c:marker>
                <c:cat>
                  <c:numRef>
                    <c:extLst>
                      <c:ext uri="{02D57815-91ED-43cb-92C2-25804820EDAC}">
                        <c15:formulaRef>
                          <c15:sqref>'Monthly Summary'!$AB$61:$AF$61</c15:sqref>
                        </c15:formulaRef>
                      </c:ext>
                    </c:extLst>
                  </c:numRef>
                </c:cat>
                <c:val>
                  <c:numRef>
                    <c:extLst>
                      <c:ext uri="{02D57815-91ED-43cb-92C2-25804820EDAC}">
                        <c15:formulaRef>
                          <c15:sqref>'Monthly Summary'!$AB$67:$AF$67</c15:sqref>
                        </c15:formulaRef>
                      </c:ext>
                    </c:extLst>
                  </c:numRef>
                </c:val>
                <c:smooth val="0"/>
                <c:extLst>
                  <c:ext xmlns:c16="http://schemas.microsoft.com/office/drawing/2014/chart" uri="{C3380CC4-5D6E-409C-BE32-E72D297353CC}">
                    <c16:uniqueId val="{00000008-45F4-4908-91B2-7AFEEEB4226F}"/>
                  </c:ext>
                </c:extLst>
              </c15:ser>
            </c15:filteredLineSeries>
          </c:ext>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0"/>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valAx>
        <c:axId val="278822543"/>
        <c:scaling>
          <c:orientation val="minMax"/>
        </c:scaling>
        <c:delete val="1"/>
        <c:axPos val="r"/>
        <c:numFmt formatCode="_(&quot;$&quot;* #,##0_);_(&quot;$&quot;* \(#,##0\);_(&quot;$&quot;* &quot;-&quot;??_);_(@_)" sourceLinked="1"/>
        <c:majorTickMark val="out"/>
        <c:minorTickMark val="none"/>
        <c:tickLblPos val="nextTo"/>
        <c:crossAx val="278828119"/>
        <c:crosses val="max"/>
        <c:crossBetween val="between"/>
      </c:valAx>
      <c:catAx>
        <c:axId val="278828119"/>
        <c:scaling>
          <c:orientation val="minMax"/>
        </c:scaling>
        <c:delete val="1"/>
        <c:axPos val="b"/>
        <c:numFmt formatCode="General" sourceLinked="1"/>
        <c:majorTickMark val="out"/>
        <c:minorTickMark val="none"/>
        <c:tickLblPos val="nextTo"/>
        <c:crossAx val="27882254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Return on Equity and  Profitability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7"/>
          <c:order val="0"/>
          <c:tx>
            <c:strRef>
              <c:f>'Monthly Summary'!$AA$70</c:f>
              <c:strCache>
                <c:ptCount val="1"/>
                <c:pt idx="0">
                  <c:v>Gross Profit Margin</c:v>
                </c:pt>
              </c:strCache>
            </c:strRef>
          </c:tx>
          <c:spPr>
            <a:ln w="28575" cap="rnd">
              <a:solidFill>
                <a:schemeClr val="accent2">
                  <a:lumMod val="60000"/>
                </a:schemeClr>
              </a:solidFill>
              <a:round/>
            </a:ln>
            <a:effectLst/>
          </c:spPr>
          <c:marker>
            <c:symbol val="none"/>
          </c:marker>
          <c:cat>
            <c:strRef>
              <c:f>'Monthly Summary'!$AB$61:$AI$61</c:f>
            </c:strRef>
          </c:cat>
          <c:val>
            <c:numRef>
              <c:f>'Monthly Summary'!$AB$70:$AI$70</c:f>
            </c:numRef>
          </c:val>
          <c:smooth val="0"/>
          <c:extLst>
            <c:ext xmlns:c16="http://schemas.microsoft.com/office/drawing/2014/chart" uri="{C3380CC4-5D6E-409C-BE32-E72D297353CC}">
              <c16:uniqueId val="{00000000-0BE2-4E65-A6A2-37FAF03FECB9}"/>
            </c:ext>
          </c:extLst>
        </c:ser>
        <c:ser>
          <c:idx val="9"/>
          <c:order val="1"/>
          <c:tx>
            <c:strRef>
              <c:f>'Monthly Summary'!$AA$72</c:f>
              <c:strCache>
                <c:ptCount val="1"/>
                <c:pt idx="0">
                  <c:v>Net Profit Margin</c:v>
                </c:pt>
              </c:strCache>
            </c:strRef>
          </c:tx>
          <c:spPr>
            <a:ln w="28575" cap="rnd">
              <a:solidFill>
                <a:schemeClr val="accent4">
                  <a:lumMod val="60000"/>
                </a:schemeClr>
              </a:solidFill>
              <a:round/>
            </a:ln>
            <a:effectLst/>
          </c:spPr>
          <c:marker>
            <c:symbol val="none"/>
          </c:marker>
          <c:cat>
            <c:strRef>
              <c:f>'Monthly Summary'!$AB$61:$AI$61</c:f>
            </c:strRef>
          </c:cat>
          <c:val>
            <c:numRef>
              <c:f>'Monthly Summary'!$AB$72:$AI$72</c:f>
            </c:numRef>
          </c:val>
          <c:smooth val="0"/>
          <c:extLst>
            <c:ext xmlns:c16="http://schemas.microsoft.com/office/drawing/2014/chart" uri="{C3380CC4-5D6E-409C-BE32-E72D297353CC}">
              <c16:uniqueId val="{00000002-0BE2-4E65-A6A2-37FAF03FECB9}"/>
            </c:ext>
          </c:extLst>
        </c:ser>
        <c:ser>
          <c:idx val="11"/>
          <c:order val="2"/>
          <c:tx>
            <c:strRef>
              <c:f>'Monthly Summary'!$AA$74</c:f>
              <c:strCache>
                <c:ptCount val="1"/>
                <c:pt idx="0">
                  <c:v>Return on Equity </c:v>
                </c:pt>
              </c:strCache>
            </c:strRef>
          </c:tx>
          <c:spPr>
            <a:ln w="28575" cap="rnd">
              <a:solidFill>
                <a:schemeClr val="accent6">
                  <a:lumMod val="60000"/>
                </a:schemeClr>
              </a:solidFill>
              <a:round/>
            </a:ln>
            <a:effectLst/>
          </c:spPr>
          <c:marker>
            <c:symbol val="none"/>
          </c:marker>
          <c:cat>
            <c:strRef>
              <c:f>'Monthly Summary'!$AB$61:$AI$61</c:f>
            </c:strRef>
          </c:cat>
          <c:val>
            <c:numRef>
              <c:f>'Monthly Summary'!$AB$74:$AI$74</c:f>
            </c:numRef>
          </c:val>
          <c:smooth val="0"/>
          <c:extLst>
            <c:ext xmlns:c16="http://schemas.microsoft.com/office/drawing/2014/chart" uri="{C3380CC4-5D6E-409C-BE32-E72D297353CC}">
              <c16:uniqueId val="{00000003-0BE2-4E65-A6A2-37FAF03FECB9}"/>
            </c:ext>
          </c:extLst>
        </c:ser>
        <c:dLbls>
          <c:showLegendKey val="0"/>
          <c:showVal val="0"/>
          <c:showCatName val="0"/>
          <c:showSerName val="0"/>
          <c:showPercent val="0"/>
          <c:showBubbleSize val="0"/>
        </c:dLbls>
        <c:marker val="1"/>
        <c:smooth val="0"/>
        <c:axId val="995343552"/>
        <c:axId val="995340600"/>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0"/>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Working Capital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Summary'!$AA$64</c:f>
              <c:strCache>
                <c:ptCount val="1"/>
                <c:pt idx="0">
                  <c:v>Net Working Capital</c:v>
                </c:pt>
              </c:strCache>
            </c:strRef>
          </c:tx>
          <c:spPr>
            <a:ln w="28575" cap="rnd">
              <a:solidFill>
                <a:schemeClr val="accent1"/>
              </a:solidFill>
              <a:round/>
            </a:ln>
            <a:effectLst/>
          </c:spPr>
          <c:marker>
            <c:symbol val="none"/>
          </c:marker>
          <c:cat>
            <c:strRef>
              <c:f>'Monthly Summary'!$AB$61:$AI$61</c:f>
            </c:strRef>
          </c:cat>
          <c:val>
            <c:numRef>
              <c:f>'Monthly Summary'!$AB$64:$AI$64</c:f>
            </c:numRef>
          </c:val>
          <c:smooth val="0"/>
          <c:extLst>
            <c:ext xmlns:c16="http://schemas.microsoft.com/office/drawing/2014/chart" uri="{C3380CC4-5D6E-409C-BE32-E72D297353CC}">
              <c16:uniqueId val="{00000001-2704-4A4B-9F14-313337496ED2}"/>
            </c:ext>
          </c:extLst>
        </c:ser>
        <c:ser>
          <c:idx val="1"/>
          <c:order val="1"/>
          <c:tx>
            <c:strRef>
              <c:f>'Monthly Summary'!$AA$65</c:f>
              <c:strCache>
                <c:ptCount val="1"/>
                <c:pt idx="0">
                  <c:v>Non-Cash Working Capital</c:v>
                </c:pt>
              </c:strCache>
            </c:strRef>
          </c:tx>
          <c:spPr>
            <a:ln w="28575" cap="rnd">
              <a:solidFill>
                <a:schemeClr val="accent2"/>
              </a:solidFill>
              <a:round/>
            </a:ln>
            <a:effectLst/>
          </c:spPr>
          <c:marker>
            <c:symbol val="none"/>
          </c:marker>
          <c:cat>
            <c:strRef>
              <c:f>'Monthly Summary'!$AB$61:$AI$61</c:f>
            </c:strRef>
          </c:cat>
          <c:val>
            <c:numRef>
              <c:f>'Monthly Summary'!$AB$65:$AI$65</c:f>
            </c:numRef>
          </c:val>
          <c:smooth val="0"/>
          <c:extLst>
            <c:ext xmlns:c16="http://schemas.microsoft.com/office/drawing/2014/chart" uri="{C3380CC4-5D6E-409C-BE32-E72D297353CC}">
              <c16:uniqueId val="{00000002-2704-4A4B-9F14-313337496ED2}"/>
            </c:ext>
          </c:extLst>
        </c:ser>
        <c:dLbls>
          <c:showLegendKey val="0"/>
          <c:showVal val="0"/>
          <c:showCatName val="0"/>
          <c:showSerName val="0"/>
          <c:showPercent val="0"/>
          <c:showBubbleSize val="0"/>
        </c:dLbls>
        <c:marker val="1"/>
        <c:smooth val="0"/>
        <c:axId val="995343552"/>
        <c:axId val="995340600"/>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0"/>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Safety and Liquidity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171978785828465E-2"/>
          <c:y val="0.16140764298416196"/>
          <c:w val="0.88712290772447777"/>
          <c:h val="0.45300899430875313"/>
        </c:manualLayout>
      </c:layout>
      <c:lineChart>
        <c:grouping val="standard"/>
        <c:varyColors val="0"/>
        <c:ser>
          <c:idx val="0"/>
          <c:order val="0"/>
          <c:tx>
            <c:strRef>
              <c:f>'Monthly Summary'!$B$21</c:f>
              <c:strCache>
                <c:ptCount val="1"/>
                <c:pt idx="0">
                  <c:v>Liquidity: Current Ratio (1.5-2.0)</c:v>
                </c:pt>
              </c:strCache>
            </c:strRef>
          </c:tx>
          <c:spPr>
            <a:ln w="28575" cap="rnd">
              <a:solidFill>
                <a:schemeClr val="accent1"/>
              </a:solidFill>
              <a:round/>
            </a:ln>
            <a:effectLst/>
          </c:spPr>
          <c:marker>
            <c:symbol val="none"/>
          </c:marker>
          <c:cat>
            <c:strRef>
              <c:f>'Monthly Summary'!$C$2:$Z$2</c:f>
            </c:strRef>
          </c:cat>
          <c:val>
            <c:numRef>
              <c:f>'Monthly Summary'!$C$21:$Z$21</c:f>
            </c:numRef>
          </c:val>
          <c:smooth val="0"/>
          <c:extLst>
            <c:ext xmlns:c16="http://schemas.microsoft.com/office/drawing/2014/chart" uri="{C3380CC4-5D6E-409C-BE32-E72D297353CC}">
              <c16:uniqueId val="{00000000-F808-4401-ABD3-30DD4CD8BAC6}"/>
            </c:ext>
          </c:extLst>
        </c:ser>
        <c:ser>
          <c:idx val="1"/>
          <c:order val="1"/>
          <c:tx>
            <c:strRef>
              <c:f>'Monthly Summary'!$B$22</c:f>
              <c:strCache>
                <c:ptCount val="1"/>
                <c:pt idx="0">
                  <c:v>Safety: Debt to Equity  (1.0 - 1.5)</c:v>
                </c:pt>
              </c:strCache>
            </c:strRef>
          </c:tx>
          <c:spPr>
            <a:ln w="28575" cap="rnd">
              <a:solidFill>
                <a:schemeClr val="accent2"/>
              </a:solidFill>
              <a:round/>
            </a:ln>
            <a:effectLst/>
          </c:spPr>
          <c:marker>
            <c:symbol val="none"/>
          </c:marker>
          <c:cat>
            <c:strRef>
              <c:f>'Monthly Summary'!$C$2:$Z$2</c:f>
            </c:strRef>
          </c:cat>
          <c:val>
            <c:numRef>
              <c:f>'Monthly Summary'!$C$22:$Z$22</c:f>
            </c:numRef>
          </c:val>
          <c:smooth val="0"/>
          <c:extLst>
            <c:ext xmlns:c16="http://schemas.microsoft.com/office/drawing/2014/chart" uri="{C3380CC4-5D6E-409C-BE32-E72D297353CC}">
              <c16:uniqueId val="{00000001-F808-4401-ABD3-30DD4CD8BAC6}"/>
            </c:ext>
          </c:extLst>
        </c:ser>
        <c:ser>
          <c:idx val="2"/>
          <c:order val="2"/>
          <c:tx>
            <c:strRef>
              <c:f>'Monthly Summary'!$B$91</c:f>
              <c:strCache>
                <c:ptCount val="1"/>
                <c:pt idx="0">
                  <c:v>CR Hi Limit</c:v>
                </c:pt>
              </c:strCache>
            </c:strRef>
          </c:tx>
          <c:spPr>
            <a:ln w="28575" cap="rnd">
              <a:solidFill>
                <a:schemeClr val="accent3"/>
              </a:solidFill>
              <a:round/>
            </a:ln>
            <a:effectLst/>
          </c:spPr>
          <c:marker>
            <c:symbol val="none"/>
          </c:marker>
          <c:cat>
            <c:strRef>
              <c:f>'Monthly Summary'!$C$2:$Z$2</c:f>
            </c:strRef>
          </c:cat>
          <c:val>
            <c:numRef>
              <c:f>'Monthly Summary'!$E$91:$Z$91</c:f>
            </c:numRef>
          </c:val>
          <c:smooth val="0"/>
          <c:extLst>
            <c:ext xmlns:c16="http://schemas.microsoft.com/office/drawing/2014/chart" uri="{C3380CC4-5D6E-409C-BE32-E72D297353CC}">
              <c16:uniqueId val="{00000003-F808-4401-ABD3-30DD4CD8BAC6}"/>
            </c:ext>
          </c:extLst>
        </c:ser>
        <c:ser>
          <c:idx val="3"/>
          <c:order val="3"/>
          <c:tx>
            <c:strRef>
              <c:f>'Monthly Summary'!$B$92</c:f>
              <c:strCache>
                <c:ptCount val="1"/>
                <c:pt idx="0">
                  <c:v>CR Low Limit</c:v>
                </c:pt>
              </c:strCache>
            </c:strRef>
          </c:tx>
          <c:spPr>
            <a:ln w="28575" cap="rnd">
              <a:solidFill>
                <a:schemeClr val="accent4"/>
              </a:solidFill>
              <a:round/>
            </a:ln>
            <a:effectLst/>
          </c:spPr>
          <c:marker>
            <c:symbol val="none"/>
          </c:marker>
          <c:cat>
            <c:strRef>
              <c:f>'Monthly Summary'!$C$2:$Z$2</c:f>
            </c:strRef>
          </c:cat>
          <c:val>
            <c:numRef>
              <c:f>'Monthly Summary'!$C$92:$Z$92</c:f>
            </c:numRef>
          </c:val>
          <c:smooth val="0"/>
          <c:extLst>
            <c:ext xmlns:c16="http://schemas.microsoft.com/office/drawing/2014/chart" uri="{C3380CC4-5D6E-409C-BE32-E72D297353CC}">
              <c16:uniqueId val="{00000004-F808-4401-ABD3-30DD4CD8BAC6}"/>
            </c:ext>
          </c:extLst>
        </c:ser>
        <c:ser>
          <c:idx val="4"/>
          <c:order val="4"/>
          <c:tx>
            <c:strRef>
              <c:f>'Monthly Summary'!$B$93</c:f>
              <c:strCache>
                <c:ptCount val="1"/>
                <c:pt idx="0">
                  <c:v>D/E Low Limit</c:v>
                </c:pt>
              </c:strCache>
            </c:strRef>
          </c:tx>
          <c:spPr>
            <a:ln w="28575" cap="rnd">
              <a:solidFill>
                <a:schemeClr val="accent5"/>
              </a:solidFill>
              <a:round/>
            </a:ln>
            <a:effectLst/>
          </c:spPr>
          <c:marker>
            <c:symbol val="none"/>
          </c:marker>
          <c:cat>
            <c:strRef>
              <c:f>'Monthly Summary'!$C$2:$Z$2</c:f>
            </c:strRef>
          </c:cat>
          <c:val>
            <c:numRef>
              <c:f>'Monthly Summary'!$C$93:$Z$93</c:f>
            </c:numRef>
          </c:val>
          <c:smooth val="0"/>
          <c:extLst>
            <c:ext xmlns:c16="http://schemas.microsoft.com/office/drawing/2014/chart" uri="{C3380CC4-5D6E-409C-BE32-E72D297353CC}">
              <c16:uniqueId val="{00000005-F808-4401-ABD3-30DD4CD8BAC6}"/>
            </c:ext>
          </c:extLst>
        </c:ser>
        <c:dLbls>
          <c:showLegendKey val="0"/>
          <c:showVal val="0"/>
          <c:showCatName val="0"/>
          <c:showSerName val="0"/>
          <c:showPercent val="0"/>
          <c:showBubbleSize val="0"/>
        </c:dLbls>
        <c:marker val="1"/>
        <c:smooth val="0"/>
        <c:axId val="79902359"/>
        <c:axId val="79903999"/>
      </c:lineChart>
      <c:catAx>
        <c:axId val="79902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03999"/>
        <c:crosses val="autoZero"/>
        <c:auto val="1"/>
        <c:lblAlgn val="ctr"/>
        <c:lblOffset val="100"/>
        <c:noMultiLvlLbl val="1"/>
      </c:catAx>
      <c:valAx>
        <c:axId val="79903999"/>
        <c:scaling>
          <c:orientation val="minMax"/>
          <c:max val="3"/>
          <c:min val="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02359"/>
        <c:crosses val="autoZero"/>
        <c:crossBetween val="between"/>
      </c:valAx>
      <c:spPr>
        <a:noFill/>
        <a:ln>
          <a:noFill/>
        </a:ln>
        <a:effectLst/>
      </c:spPr>
    </c:plotArea>
    <c:legend>
      <c:legendPos val="b"/>
      <c:layout>
        <c:manualLayout>
          <c:xMode val="edge"/>
          <c:yMode val="edge"/>
          <c:x val="3.0279015431774556E-2"/>
          <c:y val="0.79817579101202807"/>
          <c:w val="0.96104568803804635"/>
          <c:h val="0.171645154519135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a:t>
            </a:r>
            <a:r>
              <a:rPr lang="en-US"/>
              <a:t>and Profitability</a:t>
            </a:r>
          </a:p>
        </c:rich>
      </c:tx>
      <c:layout>
        <c:manualLayout>
          <c:xMode val="edge"/>
          <c:yMode val="edge"/>
          <c:x val="0.28991467794642728"/>
          <c:y val="3.3879702285450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Summary'!$AA$62</c:f>
              <c:strCache>
                <c:ptCount val="1"/>
                <c:pt idx="0">
                  <c:v>Liquidity: Current Ratio (1.5-2.0)</c:v>
                </c:pt>
              </c:strCache>
              <c:extLst xmlns:c15="http://schemas.microsoft.com/office/drawing/2012/chart"/>
            </c:strRef>
          </c:tx>
          <c:spPr>
            <a:ln w="28575" cap="rnd">
              <a:solidFill>
                <a:schemeClr val="accent1"/>
              </a:solidFill>
              <a:round/>
            </a:ln>
            <a:effectLst/>
          </c:spPr>
          <c:marker>
            <c:symbol val="none"/>
          </c:marker>
          <c:cat>
            <c:strRef>
              <c:f>'Monthly Summary'!$C$2:$Z$2</c:f>
            </c:strRef>
          </c:cat>
          <c:val>
            <c:numRef>
              <c:f>'Monthly Summary'!$AB$62:$AF$62</c:f>
              <c:extLst xmlns:c15="http://schemas.microsoft.com/office/drawing/2012/chart"/>
            </c:numRef>
          </c:val>
          <c:smooth val="0"/>
          <c:extLst xmlns:c15="http://schemas.microsoft.com/office/drawing/2012/chart">
            <c:ext xmlns:c16="http://schemas.microsoft.com/office/drawing/2014/chart" uri="{C3380CC4-5D6E-409C-BE32-E72D297353CC}">
              <c16:uniqueId val="{00000003-D2FD-48AD-B5BF-EAA72BE529E6}"/>
            </c:ext>
          </c:extLst>
        </c:ser>
        <c:ser>
          <c:idx val="1"/>
          <c:order val="1"/>
          <c:tx>
            <c:strRef>
              <c:f>'Monthly Summary'!$AA$63</c:f>
              <c:strCache>
                <c:ptCount val="1"/>
                <c:pt idx="0">
                  <c:v>Safety: Debt to Equity  (1.0 - 1.5)</c:v>
                </c:pt>
              </c:strCache>
              <c:extLst xmlns:c15="http://schemas.microsoft.com/office/drawing/2012/chart"/>
            </c:strRef>
          </c:tx>
          <c:spPr>
            <a:ln w="28575" cap="rnd">
              <a:solidFill>
                <a:schemeClr val="accent2"/>
              </a:solidFill>
              <a:round/>
            </a:ln>
            <a:effectLst/>
          </c:spPr>
          <c:marker>
            <c:symbol val="none"/>
          </c:marker>
          <c:cat>
            <c:strRef>
              <c:f>'Monthly Summary'!$C$2:$Z$2</c:f>
            </c:strRef>
          </c:cat>
          <c:val>
            <c:numRef>
              <c:f>'Monthly Summary'!$AB$63:$AF$63</c:f>
              <c:extLst xmlns:c15="http://schemas.microsoft.com/office/drawing/2012/chart"/>
            </c:numRef>
          </c:val>
          <c:smooth val="0"/>
          <c:extLst xmlns:c15="http://schemas.microsoft.com/office/drawing/2012/chart">
            <c:ext xmlns:c16="http://schemas.microsoft.com/office/drawing/2014/chart" uri="{C3380CC4-5D6E-409C-BE32-E72D297353CC}">
              <c16:uniqueId val="{00000004-D2FD-48AD-B5BF-EAA72BE529E6}"/>
            </c:ext>
          </c:extLst>
        </c:ser>
        <c:ser>
          <c:idx val="2"/>
          <c:order val="2"/>
          <c:tx>
            <c:strRef>
              <c:f>'Monthly Summary'!$AA$64</c:f>
              <c:strCache>
                <c:ptCount val="1"/>
                <c:pt idx="0">
                  <c:v>Net Working Capital</c:v>
                </c:pt>
              </c:strCache>
              <c:extLst xmlns:c15="http://schemas.microsoft.com/office/drawing/2012/chart"/>
            </c:strRef>
          </c:tx>
          <c:spPr>
            <a:ln w="28575" cap="rnd">
              <a:solidFill>
                <a:schemeClr val="accent3"/>
              </a:solidFill>
              <a:round/>
            </a:ln>
            <a:effectLst/>
          </c:spPr>
          <c:marker>
            <c:symbol val="none"/>
          </c:marker>
          <c:cat>
            <c:strRef>
              <c:f>'Monthly Summary'!$C$2:$Z$2</c:f>
            </c:strRef>
          </c:cat>
          <c:val>
            <c:numRef>
              <c:f>'Monthly Summary'!$AB$64:$AF$64</c:f>
              <c:extLst xmlns:c15="http://schemas.microsoft.com/office/drawing/2012/chart"/>
            </c:numRef>
          </c:val>
          <c:smooth val="0"/>
          <c:extLst xmlns:c15="http://schemas.microsoft.com/office/drawing/2012/chart">
            <c:ext xmlns:c16="http://schemas.microsoft.com/office/drawing/2014/chart" uri="{C3380CC4-5D6E-409C-BE32-E72D297353CC}">
              <c16:uniqueId val="{00000005-D2FD-48AD-B5BF-EAA72BE529E6}"/>
            </c:ext>
          </c:extLst>
        </c:ser>
        <c:ser>
          <c:idx val="3"/>
          <c:order val="3"/>
          <c:tx>
            <c:strRef>
              <c:f>'Monthly Summary'!$AA$65</c:f>
              <c:strCache>
                <c:ptCount val="1"/>
                <c:pt idx="0">
                  <c:v>Non-Cash Working Capital</c:v>
                </c:pt>
              </c:strCache>
              <c:extLst xmlns:c15="http://schemas.microsoft.com/office/drawing/2012/chart"/>
            </c:strRef>
          </c:tx>
          <c:spPr>
            <a:ln w="28575" cap="rnd">
              <a:solidFill>
                <a:schemeClr val="accent4"/>
              </a:solidFill>
              <a:round/>
            </a:ln>
            <a:effectLst/>
          </c:spPr>
          <c:marker>
            <c:symbol val="none"/>
          </c:marker>
          <c:cat>
            <c:strRef>
              <c:f>'Monthly Summary'!$C$2:$Z$2</c:f>
            </c:strRef>
          </c:cat>
          <c:val>
            <c:numRef>
              <c:f>'Monthly Summary'!$AB$65:$AF$65</c:f>
              <c:extLst xmlns:c15="http://schemas.microsoft.com/office/drawing/2012/chart"/>
            </c:numRef>
          </c:val>
          <c:smooth val="0"/>
          <c:extLst xmlns:c15="http://schemas.microsoft.com/office/drawing/2012/chart">
            <c:ext xmlns:c16="http://schemas.microsoft.com/office/drawing/2014/chart" uri="{C3380CC4-5D6E-409C-BE32-E72D297353CC}">
              <c16:uniqueId val="{00000006-D2FD-48AD-B5BF-EAA72BE529E6}"/>
            </c:ext>
          </c:extLst>
        </c:ser>
        <c:ser>
          <c:idx val="4"/>
          <c:order val="4"/>
          <c:tx>
            <c:strRef>
              <c:f>'Monthly Summary'!$AA$66</c:f>
              <c:strCache>
                <c:ptCount val="1"/>
              </c:strCache>
              <c:extLst xmlns:c15="http://schemas.microsoft.com/office/drawing/2012/chart"/>
            </c:strRef>
          </c:tx>
          <c:spPr>
            <a:ln w="28575" cap="rnd">
              <a:solidFill>
                <a:schemeClr val="accent5"/>
              </a:solidFill>
              <a:round/>
            </a:ln>
            <a:effectLst/>
          </c:spPr>
          <c:marker>
            <c:symbol val="none"/>
          </c:marker>
          <c:cat>
            <c:strRef>
              <c:f>'Monthly Summary'!$C$2:$Z$2</c:f>
            </c:strRef>
          </c:cat>
          <c:val>
            <c:numRef>
              <c:f>'Monthly Summary'!$AB$66:$AF$66</c:f>
              <c:extLst xmlns:c15="http://schemas.microsoft.com/office/drawing/2012/chart"/>
            </c:numRef>
          </c:val>
          <c:smooth val="0"/>
          <c:extLst xmlns:c15="http://schemas.microsoft.com/office/drawing/2012/chart">
            <c:ext xmlns:c16="http://schemas.microsoft.com/office/drawing/2014/chart" uri="{C3380CC4-5D6E-409C-BE32-E72D297353CC}">
              <c16:uniqueId val="{00000007-D2FD-48AD-B5BF-EAA72BE529E6}"/>
            </c:ext>
          </c:extLst>
        </c:ser>
        <c:ser>
          <c:idx val="5"/>
          <c:order val="5"/>
          <c:tx>
            <c:strRef>
              <c:f>'Monthly Summary'!$B$4</c:f>
              <c:strCache>
                <c:ptCount val="1"/>
                <c:pt idx="0">
                  <c:v>Revenue</c:v>
                </c:pt>
              </c:strCache>
            </c:strRef>
          </c:tx>
          <c:spPr>
            <a:ln w="28575" cap="rnd">
              <a:solidFill>
                <a:schemeClr val="accent6"/>
              </a:solidFill>
              <a:round/>
            </a:ln>
            <a:effectLst/>
          </c:spPr>
          <c:marker>
            <c:symbol val="none"/>
          </c:marker>
          <c:cat>
            <c:strRef>
              <c:f>'Monthly Summary'!$C$2:$Z$2</c:f>
            </c:strRef>
          </c:cat>
          <c:val>
            <c:numRef>
              <c:f>'Monthly Summary'!$C$4:$Z$4</c:f>
            </c:numRef>
          </c:val>
          <c:smooth val="0"/>
          <c:extLst>
            <c:ext xmlns:c16="http://schemas.microsoft.com/office/drawing/2014/chart" uri="{C3380CC4-5D6E-409C-BE32-E72D297353CC}">
              <c16:uniqueId val="{00000000-D2FD-48AD-B5BF-EAA72BE529E6}"/>
            </c:ext>
          </c:extLst>
        </c:ser>
        <c:ser>
          <c:idx val="7"/>
          <c:order val="6"/>
          <c:tx>
            <c:strRef>
              <c:f>'Monthly Summary'!$B$10</c:f>
              <c:strCache>
                <c:ptCount val="1"/>
                <c:pt idx="0">
                  <c:v>EBITDA</c:v>
                </c:pt>
              </c:strCache>
            </c:strRef>
          </c:tx>
          <c:spPr>
            <a:ln w="28575" cap="rnd">
              <a:solidFill>
                <a:schemeClr val="accent2">
                  <a:lumMod val="60000"/>
                </a:schemeClr>
              </a:solidFill>
              <a:round/>
            </a:ln>
            <a:effectLst/>
          </c:spPr>
          <c:marker>
            <c:symbol val="none"/>
          </c:marker>
          <c:cat>
            <c:strRef>
              <c:f>'Monthly Summary'!$C$2:$Z$2</c:f>
            </c:strRef>
          </c:cat>
          <c:val>
            <c:numRef>
              <c:f>'Monthly Summary'!$C$10:$Z$10</c:f>
            </c:numRef>
          </c:val>
          <c:smooth val="0"/>
          <c:extLst>
            <c:ext xmlns:c16="http://schemas.microsoft.com/office/drawing/2014/chart" uri="{C3380CC4-5D6E-409C-BE32-E72D297353CC}">
              <c16:uniqueId val="{00000001-D2FD-48AD-B5BF-EAA72BE529E6}"/>
            </c:ext>
          </c:extLst>
        </c:ser>
        <c:ser>
          <c:idx val="9"/>
          <c:order val="7"/>
          <c:tx>
            <c:strRef>
              <c:f>'Monthly Summary'!$B$12</c:f>
              <c:strCache>
                <c:ptCount val="1"/>
                <c:pt idx="0">
                  <c:v>Free Cash Flow</c:v>
                </c:pt>
              </c:strCache>
            </c:strRef>
          </c:tx>
          <c:spPr>
            <a:ln w="28575" cap="rnd">
              <a:solidFill>
                <a:schemeClr val="accent4">
                  <a:lumMod val="60000"/>
                </a:schemeClr>
              </a:solidFill>
              <a:round/>
            </a:ln>
            <a:effectLst/>
          </c:spPr>
          <c:marker>
            <c:symbol val="none"/>
          </c:marker>
          <c:cat>
            <c:strRef>
              <c:f>'Monthly Summary'!$C$2:$Z$2</c:f>
            </c:strRef>
          </c:cat>
          <c:val>
            <c:numRef>
              <c:f>'Monthly Summary'!$C$12:$Z$12</c:f>
            </c:numRef>
          </c:val>
          <c:smooth val="0"/>
          <c:extLst>
            <c:ext xmlns:c16="http://schemas.microsoft.com/office/drawing/2014/chart" uri="{C3380CC4-5D6E-409C-BE32-E72D297353CC}">
              <c16:uniqueId val="{00000002-D2FD-48AD-B5BF-EAA72BE529E6}"/>
            </c:ext>
          </c:extLst>
        </c:ser>
        <c:ser>
          <c:idx val="10"/>
          <c:order val="8"/>
          <c:tx>
            <c:strRef>
              <c:f>'Monthly Summary'!$AA$73</c:f>
              <c:strCache>
                <c:ptCount val="1"/>
              </c:strCache>
              <c:extLst xmlns:c15="http://schemas.microsoft.com/office/drawing/2012/chart"/>
            </c:strRef>
          </c:tx>
          <c:spPr>
            <a:ln w="28575" cap="rnd">
              <a:solidFill>
                <a:schemeClr val="accent5">
                  <a:lumMod val="60000"/>
                </a:schemeClr>
              </a:solidFill>
              <a:round/>
            </a:ln>
            <a:effectLst/>
          </c:spPr>
          <c:marker>
            <c:symbol val="none"/>
          </c:marker>
          <c:cat>
            <c:strRef>
              <c:f>'Monthly Summary'!$C$2:$Z$2</c:f>
            </c:strRef>
          </c:cat>
          <c:val>
            <c:numRef>
              <c:f>'Monthly Summary'!$AB$73:$AF$73</c:f>
              <c:extLst xmlns:c15="http://schemas.microsoft.com/office/drawing/2012/chart"/>
            </c:numRef>
          </c:val>
          <c:smooth val="0"/>
          <c:extLst xmlns:c15="http://schemas.microsoft.com/office/drawing/2012/chart">
            <c:ext xmlns:c16="http://schemas.microsoft.com/office/drawing/2014/chart" uri="{C3380CC4-5D6E-409C-BE32-E72D297353CC}">
              <c16:uniqueId val="{00000008-D2FD-48AD-B5BF-EAA72BE529E6}"/>
            </c:ext>
          </c:extLst>
        </c:ser>
        <c:ser>
          <c:idx val="11"/>
          <c:order val="9"/>
          <c:tx>
            <c:strRef>
              <c:f>'Monthly Summary'!$AA$74</c:f>
              <c:strCache>
                <c:ptCount val="1"/>
                <c:pt idx="0">
                  <c:v>Return on Equity </c:v>
                </c:pt>
              </c:strCache>
              <c:extLst xmlns:c15="http://schemas.microsoft.com/office/drawing/2012/chart"/>
            </c:strRef>
          </c:tx>
          <c:spPr>
            <a:ln w="28575" cap="rnd">
              <a:solidFill>
                <a:schemeClr val="accent6">
                  <a:lumMod val="60000"/>
                </a:schemeClr>
              </a:solidFill>
              <a:round/>
            </a:ln>
            <a:effectLst/>
          </c:spPr>
          <c:marker>
            <c:symbol val="none"/>
          </c:marker>
          <c:cat>
            <c:strRef>
              <c:f>'Monthly Summary'!$C$2:$Z$2</c:f>
            </c:strRef>
          </c:cat>
          <c:val>
            <c:numRef>
              <c:f>'Monthly Summary'!$AB$74:$AF$74</c:f>
              <c:extLst xmlns:c15="http://schemas.microsoft.com/office/drawing/2012/chart"/>
            </c:numRef>
          </c:val>
          <c:smooth val="0"/>
          <c:extLst xmlns:c15="http://schemas.microsoft.com/office/drawing/2012/chart">
            <c:ext xmlns:c16="http://schemas.microsoft.com/office/drawing/2014/chart" uri="{C3380CC4-5D6E-409C-BE32-E72D297353CC}">
              <c16:uniqueId val="{00000009-D2FD-48AD-B5BF-EAA72BE529E6}"/>
            </c:ext>
          </c:extLst>
        </c:ser>
        <c:ser>
          <c:idx val="12"/>
          <c:order val="10"/>
          <c:tx>
            <c:strRef>
              <c:f>'Monthly Summary'!$AA$75</c:f>
              <c:strCache>
                <c:ptCount val="1"/>
                <c:pt idx="0">
                  <c:v>Receivable turnover </c:v>
                </c:pt>
              </c:strCache>
              <c:extLst xmlns:c15="http://schemas.microsoft.com/office/drawing/2012/chart"/>
            </c:strRef>
          </c:tx>
          <c:spPr>
            <a:ln w="28575" cap="rnd">
              <a:solidFill>
                <a:schemeClr val="accent1">
                  <a:lumMod val="80000"/>
                  <a:lumOff val="20000"/>
                </a:schemeClr>
              </a:solidFill>
              <a:round/>
            </a:ln>
            <a:effectLst/>
          </c:spPr>
          <c:marker>
            <c:symbol val="none"/>
          </c:marker>
          <c:cat>
            <c:strRef>
              <c:f>'Monthly Summary'!$C$2:$Z$2</c:f>
            </c:strRef>
          </c:cat>
          <c:val>
            <c:numRef>
              <c:f>'Monthly Summary'!$AB$75:$AF$75</c:f>
              <c:extLst xmlns:c15="http://schemas.microsoft.com/office/drawing/2012/chart"/>
            </c:numRef>
          </c:val>
          <c:smooth val="0"/>
          <c:extLst xmlns:c15="http://schemas.microsoft.com/office/drawing/2012/chart">
            <c:ext xmlns:c16="http://schemas.microsoft.com/office/drawing/2014/chart" uri="{C3380CC4-5D6E-409C-BE32-E72D297353CC}">
              <c16:uniqueId val="{0000000A-D2FD-48AD-B5BF-EAA72BE529E6}"/>
            </c:ext>
          </c:extLst>
        </c:ser>
        <c:ser>
          <c:idx val="13"/>
          <c:order val="11"/>
          <c:tx>
            <c:strRef>
              <c:f>'Monthly Summary'!$AA$76</c:f>
              <c:strCache>
                <c:ptCount val="1"/>
                <c:pt idx="0">
                  <c:v>Receivable Days </c:v>
                </c:pt>
              </c:strCache>
              <c:extLst xmlns:c15="http://schemas.microsoft.com/office/drawing/2012/chart"/>
            </c:strRef>
          </c:tx>
          <c:spPr>
            <a:ln w="28575" cap="rnd">
              <a:solidFill>
                <a:schemeClr val="accent2">
                  <a:lumMod val="80000"/>
                  <a:lumOff val="20000"/>
                </a:schemeClr>
              </a:solidFill>
              <a:round/>
            </a:ln>
            <a:effectLst/>
          </c:spPr>
          <c:marker>
            <c:symbol val="none"/>
          </c:marker>
          <c:cat>
            <c:strRef>
              <c:f>'Monthly Summary'!$C$2:$Z$2</c:f>
            </c:strRef>
          </c:cat>
          <c:val>
            <c:numRef>
              <c:f>'Monthly Summary'!$AB$76:$AF$76</c:f>
              <c:extLst xmlns:c15="http://schemas.microsoft.com/office/drawing/2012/chart"/>
            </c:numRef>
          </c:val>
          <c:smooth val="0"/>
          <c:extLst xmlns:c15="http://schemas.microsoft.com/office/drawing/2012/chart">
            <c:ext xmlns:c16="http://schemas.microsoft.com/office/drawing/2014/chart" uri="{C3380CC4-5D6E-409C-BE32-E72D297353CC}">
              <c16:uniqueId val="{0000000B-D2FD-48AD-B5BF-EAA72BE529E6}"/>
            </c:ext>
          </c:extLst>
        </c:ser>
        <c:ser>
          <c:idx val="14"/>
          <c:order val="12"/>
          <c:tx>
            <c:strRef>
              <c:f>'Monthly Summary'!$AA$77</c:f>
              <c:strCache>
                <c:ptCount val="1"/>
                <c:pt idx="0">
                  <c:v>Inventory Turnover</c:v>
                </c:pt>
              </c:strCache>
              <c:extLst xmlns:c15="http://schemas.microsoft.com/office/drawing/2012/chart"/>
            </c:strRef>
          </c:tx>
          <c:spPr>
            <a:ln w="28575" cap="rnd">
              <a:solidFill>
                <a:schemeClr val="accent3">
                  <a:lumMod val="80000"/>
                  <a:lumOff val="20000"/>
                </a:schemeClr>
              </a:solidFill>
              <a:round/>
            </a:ln>
            <a:effectLst/>
          </c:spPr>
          <c:marker>
            <c:symbol val="none"/>
          </c:marker>
          <c:cat>
            <c:strRef>
              <c:f>'Monthly Summary'!$C$2:$Z$2</c:f>
            </c:strRef>
          </c:cat>
          <c:val>
            <c:numRef>
              <c:f>'Monthly Summary'!$AB$77:$AF$77</c:f>
              <c:extLst xmlns:c15="http://schemas.microsoft.com/office/drawing/2012/chart"/>
            </c:numRef>
          </c:val>
          <c:smooth val="0"/>
          <c:extLst xmlns:c15="http://schemas.microsoft.com/office/drawing/2012/chart">
            <c:ext xmlns:c16="http://schemas.microsoft.com/office/drawing/2014/chart" uri="{C3380CC4-5D6E-409C-BE32-E72D297353CC}">
              <c16:uniqueId val="{0000000C-D2FD-48AD-B5BF-EAA72BE529E6}"/>
            </c:ext>
          </c:extLst>
        </c:ser>
        <c:ser>
          <c:idx val="15"/>
          <c:order val="13"/>
          <c:tx>
            <c:strRef>
              <c:f>'Monthly Summary'!$AA$78</c:f>
              <c:strCache>
                <c:ptCount val="1"/>
                <c:pt idx="0">
                  <c:v>Inventory Days </c:v>
                </c:pt>
              </c:strCache>
              <c:extLst xmlns:c15="http://schemas.microsoft.com/office/drawing/2012/chart"/>
            </c:strRef>
          </c:tx>
          <c:spPr>
            <a:ln w="28575" cap="rnd">
              <a:solidFill>
                <a:schemeClr val="accent4">
                  <a:lumMod val="80000"/>
                  <a:lumOff val="20000"/>
                </a:schemeClr>
              </a:solidFill>
              <a:round/>
            </a:ln>
            <a:effectLst/>
          </c:spPr>
          <c:marker>
            <c:symbol val="none"/>
          </c:marker>
          <c:cat>
            <c:strRef>
              <c:f>'Monthly Summary'!$C$2:$Z$2</c:f>
            </c:strRef>
          </c:cat>
          <c:val>
            <c:numRef>
              <c:f>'Monthly Summary'!$AB$78:$AF$78</c:f>
              <c:extLst xmlns:c15="http://schemas.microsoft.com/office/drawing/2012/chart"/>
            </c:numRef>
          </c:val>
          <c:smooth val="0"/>
          <c:extLst xmlns:c15="http://schemas.microsoft.com/office/drawing/2012/chart">
            <c:ext xmlns:c16="http://schemas.microsoft.com/office/drawing/2014/chart" uri="{C3380CC4-5D6E-409C-BE32-E72D297353CC}">
              <c16:uniqueId val="{0000000D-D2FD-48AD-B5BF-EAA72BE529E6}"/>
            </c:ext>
          </c:extLst>
        </c:ser>
        <c:ser>
          <c:idx val="16"/>
          <c:order val="14"/>
          <c:tx>
            <c:strRef>
              <c:f>'Monthly Summary'!$AA$79</c:f>
              <c:strCache>
                <c:ptCount val="1"/>
                <c:pt idx="0">
                  <c:v>Payable turnover </c:v>
                </c:pt>
              </c:strCache>
              <c:extLst xmlns:c15="http://schemas.microsoft.com/office/drawing/2012/chart"/>
            </c:strRef>
          </c:tx>
          <c:spPr>
            <a:ln w="28575" cap="rnd">
              <a:solidFill>
                <a:schemeClr val="accent5">
                  <a:lumMod val="80000"/>
                  <a:lumOff val="20000"/>
                </a:schemeClr>
              </a:solidFill>
              <a:round/>
            </a:ln>
            <a:effectLst/>
          </c:spPr>
          <c:marker>
            <c:symbol val="none"/>
          </c:marker>
          <c:cat>
            <c:strRef>
              <c:f>'Monthly Summary'!$C$2:$Z$2</c:f>
            </c:strRef>
          </c:cat>
          <c:val>
            <c:numRef>
              <c:f>'Monthly Summary'!$AB$79:$AF$79</c:f>
              <c:extLst xmlns:c15="http://schemas.microsoft.com/office/drawing/2012/chart"/>
            </c:numRef>
          </c:val>
          <c:smooth val="0"/>
          <c:extLst xmlns:c15="http://schemas.microsoft.com/office/drawing/2012/chart">
            <c:ext xmlns:c16="http://schemas.microsoft.com/office/drawing/2014/chart" uri="{C3380CC4-5D6E-409C-BE32-E72D297353CC}">
              <c16:uniqueId val="{0000000E-D2FD-48AD-B5BF-EAA72BE529E6}"/>
            </c:ext>
          </c:extLst>
        </c:ser>
        <c:ser>
          <c:idx val="17"/>
          <c:order val="15"/>
          <c:tx>
            <c:strRef>
              <c:f>'Monthly Summary'!$AA$80</c:f>
              <c:strCache>
                <c:ptCount val="1"/>
                <c:pt idx="0">
                  <c:v>Payable Days</c:v>
                </c:pt>
              </c:strCache>
              <c:extLst xmlns:c15="http://schemas.microsoft.com/office/drawing/2012/chart"/>
            </c:strRef>
          </c:tx>
          <c:spPr>
            <a:ln w="28575" cap="rnd">
              <a:solidFill>
                <a:schemeClr val="accent6">
                  <a:lumMod val="80000"/>
                  <a:lumOff val="20000"/>
                </a:schemeClr>
              </a:solidFill>
              <a:round/>
            </a:ln>
            <a:effectLst/>
          </c:spPr>
          <c:marker>
            <c:symbol val="none"/>
          </c:marker>
          <c:cat>
            <c:strRef>
              <c:f>'Monthly Summary'!$C$2:$Z$2</c:f>
            </c:strRef>
          </c:cat>
          <c:val>
            <c:numRef>
              <c:f>'Monthly Summary'!$AB$80:$AF$80</c:f>
              <c:extLst xmlns:c15="http://schemas.microsoft.com/office/drawing/2012/chart"/>
            </c:numRef>
          </c:val>
          <c:smooth val="0"/>
          <c:extLst xmlns:c15="http://schemas.microsoft.com/office/drawing/2012/chart">
            <c:ext xmlns:c16="http://schemas.microsoft.com/office/drawing/2014/chart" uri="{C3380CC4-5D6E-409C-BE32-E72D297353CC}">
              <c16:uniqueId val="{0000000F-D2FD-48AD-B5BF-EAA72BE529E6}"/>
            </c:ext>
          </c:extLst>
        </c:ser>
        <c:ser>
          <c:idx val="18"/>
          <c:order val="16"/>
          <c:tx>
            <c:strRef>
              <c:f>'Monthly Summary'!$AA$81</c:f>
              <c:strCache>
                <c:ptCount val="1"/>
              </c:strCache>
              <c:extLst xmlns:c15="http://schemas.microsoft.com/office/drawing/2012/chart"/>
            </c:strRef>
          </c:tx>
          <c:spPr>
            <a:ln w="28575" cap="rnd">
              <a:solidFill>
                <a:schemeClr val="accent1">
                  <a:lumMod val="80000"/>
                </a:schemeClr>
              </a:solidFill>
              <a:round/>
            </a:ln>
            <a:effectLst/>
          </c:spPr>
          <c:marker>
            <c:symbol val="none"/>
          </c:marker>
          <c:cat>
            <c:strRef>
              <c:f>'Monthly Summary'!$C$2:$Z$2</c:f>
            </c:strRef>
          </c:cat>
          <c:val>
            <c:numRef>
              <c:f>'Monthly Summary'!$AB$81:$AF$81</c:f>
              <c:extLst xmlns:c15="http://schemas.microsoft.com/office/drawing/2012/chart"/>
            </c:numRef>
          </c:val>
          <c:smooth val="0"/>
          <c:extLst xmlns:c15="http://schemas.microsoft.com/office/drawing/2012/chart">
            <c:ext xmlns:c16="http://schemas.microsoft.com/office/drawing/2014/chart" uri="{C3380CC4-5D6E-409C-BE32-E72D297353CC}">
              <c16:uniqueId val="{00000010-D2FD-48AD-B5BF-EAA72BE529E6}"/>
            </c:ext>
          </c:extLst>
        </c:ser>
        <c:ser>
          <c:idx val="19"/>
          <c:order val="17"/>
          <c:tx>
            <c:strRef>
              <c:f>'Monthly Summary'!$AA$82</c:f>
              <c:strCache>
                <c:ptCount val="1"/>
                <c:pt idx="0">
                  <c:v>Operating Cash Flow</c:v>
                </c:pt>
              </c:strCache>
              <c:extLst xmlns:c15="http://schemas.microsoft.com/office/drawing/2012/chart"/>
            </c:strRef>
          </c:tx>
          <c:spPr>
            <a:ln w="28575" cap="rnd">
              <a:solidFill>
                <a:schemeClr val="accent2">
                  <a:lumMod val="80000"/>
                </a:schemeClr>
              </a:solidFill>
              <a:round/>
            </a:ln>
            <a:effectLst/>
          </c:spPr>
          <c:marker>
            <c:symbol val="none"/>
          </c:marker>
          <c:cat>
            <c:strRef>
              <c:f>'Monthly Summary'!$C$2:$Z$2</c:f>
            </c:strRef>
          </c:cat>
          <c:val>
            <c:numRef>
              <c:f>'Monthly Summary'!$AB$82:$AF$82</c:f>
              <c:extLst xmlns:c15="http://schemas.microsoft.com/office/drawing/2012/chart"/>
            </c:numRef>
          </c:val>
          <c:smooth val="0"/>
          <c:extLst xmlns:c15="http://schemas.microsoft.com/office/drawing/2012/chart">
            <c:ext xmlns:c16="http://schemas.microsoft.com/office/drawing/2014/chart" uri="{C3380CC4-5D6E-409C-BE32-E72D297353CC}">
              <c16:uniqueId val="{00000011-D2FD-48AD-B5BF-EAA72BE529E6}"/>
            </c:ext>
          </c:extLst>
        </c:ser>
        <c:ser>
          <c:idx val="20"/>
          <c:order val="18"/>
          <c:tx>
            <c:strRef>
              <c:f>'Monthly Summary'!$AA$83</c:f>
              <c:strCache>
                <c:ptCount val="1"/>
                <c:pt idx="0">
                  <c:v>Investing Cash Flow</c:v>
                </c:pt>
              </c:strCache>
              <c:extLst xmlns:c15="http://schemas.microsoft.com/office/drawing/2012/chart"/>
            </c:strRef>
          </c:tx>
          <c:spPr>
            <a:ln w="28575" cap="rnd">
              <a:solidFill>
                <a:schemeClr val="accent3">
                  <a:lumMod val="80000"/>
                </a:schemeClr>
              </a:solidFill>
              <a:round/>
            </a:ln>
            <a:effectLst/>
          </c:spPr>
          <c:marker>
            <c:symbol val="none"/>
          </c:marker>
          <c:cat>
            <c:strRef>
              <c:f>'Monthly Summary'!$C$2:$Z$2</c:f>
            </c:strRef>
          </c:cat>
          <c:val>
            <c:numRef>
              <c:f>'Monthly Summary'!$AB$83:$AF$83</c:f>
              <c:extLst xmlns:c15="http://schemas.microsoft.com/office/drawing/2012/chart"/>
            </c:numRef>
          </c:val>
          <c:smooth val="0"/>
          <c:extLst xmlns:c15="http://schemas.microsoft.com/office/drawing/2012/chart">
            <c:ext xmlns:c16="http://schemas.microsoft.com/office/drawing/2014/chart" uri="{C3380CC4-5D6E-409C-BE32-E72D297353CC}">
              <c16:uniqueId val="{00000012-D2FD-48AD-B5BF-EAA72BE529E6}"/>
            </c:ext>
          </c:extLst>
        </c:ser>
        <c:ser>
          <c:idx val="21"/>
          <c:order val="19"/>
          <c:tx>
            <c:strRef>
              <c:f>'Monthly Summary'!$AA$84</c:f>
              <c:strCache>
                <c:ptCount val="1"/>
                <c:pt idx="0">
                  <c:v>Financing Cash Flow</c:v>
                </c:pt>
              </c:strCache>
              <c:extLst xmlns:c15="http://schemas.microsoft.com/office/drawing/2012/chart"/>
            </c:strRef>
          </c:tx>
          <c:spPr>
            <a:ln w="28575" cap="rnd">
              <a:solidFill>
                <a:schemeClr val="accent4">
                  <a:lumMod val="80000"/>
                </a:schemeClr>
              </a:solidFill>
              <a:round/>
            </a:ln>
            <a:effectLst/>
          </c:spPr>
          <c:marker>
            <c:symbol val="none"/>
          </c:marker>
          <c:cat>
            <c:strRef>
              <c:f>'Monthly Summary'!$C$2:$Z$2</c:f>
            </c:strRef>
          </c:cat>
          <c:val>
            <c:numRef>
              <c:f>'Monthly Summary'!$AB$84:$AF$84</c:f>
              <c:extLst xmlns:c15="http://schemas.microsoft.com/office/drawing/2012/chart"/>
            </c:numRef>
          </c:val>
          <c:smooth val="0"/>
          <c:extLst xmlns:c15="http://schemas.microsoft.com/office/drawing/2012/chart">
            <c:ext xmlns:c16="http://schemas.microsoft.com/office/drawing/2014/chart" uri="{C3380CC4-5D6E-409C-BE32-E72D297353CC}">
              <c16:uniqueId val="{00000013-D2FD-48AD-B5BF-EAA72BE529E6}"/>
            </c:ext>
          </c:extLst>
        </c:ser>
        <c:ser>
          <c:idx val="22"/>
          <c:order val="20"/>
          <c:tx>
            <c:strRef>
              <c:f>'Monthly Summary'!$AA$85</c:f>
              <c:strCache>
                <c:ptCount val="1"/>
                <c:pt idx="0">
                  <c:v>Net Cash Flow</c:v>
                </c:pt>
              </c:strCache>
              <c:extLst xmlns:c15="http://schemas.microsoft.com/office/drawing/2012/chart"/>
            </c:strRef>
          </c:tx>
          <c:spPr>
            <a:ln w="28575" cap="rnd">
              <a:solidFill>
                <a:schemeClr val="accent5">
                  <a:lumMod val="80000"/>
                </a:schemeClr>
              </a:solidFill>
              <a:round/>
            </a:ln>
            <a:effectLst/>
          </c:spPr>
          <c:marker>
            <c:symbol val="none"/>
          </c:marker>
          <c:cat>
            <c:strRef>
              <c:f>'Monthly Summary'!$C$2:$Z$2</c:f>
            </c:strRef>
          </c:cat>
          <c:val>
            <c:numRef>
              <c:f>'Monthly Summary'!$AB$85:$AF$85</c:f>
              <c:extLst xmlns:c15="http://schemas.microsoft.com/office/drawing/2012/chart"/>
            </c:numRef>
          </c:val>
          <c:smooth val="0"/>
          <c:extLst xmlns:c15="http://schemas.microsoft.com/office/drawing/2012/chart">
            <c:ext xmlns:c16="http://schemas.microsoft.com/office/drawing/2014/chart" uri="{C3380CC4-5D6E-409C-BE32-E72D297353CC}">
              <c16:uniqueId val="{00000014-D2FD-48AD-B5BF-EAA72BE529E6}"/>
            </c:ext>
          </c:extLst>
        </c:ser>
        <c:ser>
          <c:idx val="23"/>
          <c:order val="21"/>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strRef>
              <c:f>'Monthly Summary'!$C$2:$Z$2</c:f>
            </c:str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5-D2FD-48AD-B5BF-EAA72BE529E6}"/>
            </c:ext>
          </c:extLst>
        </c:ser>
        <c:dLbls>
          <c:showLegendKey val="0"/>
          <c:showVal val="0"/>
          <c:showCatName val="0"/>
          <c:showSerName val="0"/>
          <c:showPercent val="0"/>
          <c:showBubbleSize val="0"/>
        </c:dLbls>
        <c:marker val="1"/>
        <c:smooth val="0"/>
        <c:axId val="995343552"/>
        <c:axId val="995340600"/>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1"/>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Operating Metrics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3"/>
          <c:order val="0"/>
          <c:tx>
            <c:strRef>
              <c:f>'Monthly Summary'!$B$36</c:f>
              <c:strCache>
                <c:ptCount val="1"/>
                <c:pt idx="0">
                  <c:v>Receivable Days to Turnover</c:v>
                </c:pt>
              </c:strCache>
            </c:strRef>
          </c:tx>
          <c:spPr>
            <a:ln w="28575" cap="rnd">
              <a:solidFill>
                <a:schemeClr val="accent2">
                  <a:lumMod val="80000"/>
                  <a:lumOff val="20000"/>
                </a:schemeClr>
              </a:solidFill>
              <a:round/>
            </a:ln>
            <a:effectLst/>
          </c:spPr>
          <c:marker>
            <c:symbol val="square"/>
            <c:size val="5"/>
            <c:spPr>
              <a:solidFill>
                <a:schemeClr val="accent2">
                  <a:lumMod val="80000"/>
                  <a:lumOff val="20000"/>
                </a:schemeClr>
              </a:solidFill>
              <a:ln w="9525">
                <a:solidFill>
                  <a:schemeClr val="accent2">
                    <a:lumMod val="80000"/>
                    <a:lumOff val="20000"/>
                  </a:schemeClr>
                </a:solidFill>
              </a:ln>
              <a:effectLst/>
            </c:spPr>
          </c:marker>
          <c:cat>
            <c:strRef>
              <c:f>'Monthly Summary'!$C$2:$Z$2</c:f>
            </c:strRef>
          </c:cat>
          <c:val>
            <c:numRef>
              <c:f>'Monthly Summary'!$C$36:$Z$36</c:f>
            </c:numRef>
          </c:val>
          <c:smooth val="0"/>
          <c:extLst>
            <c:ext xmlns:c16="http://schemas.microsoft.com/office/drawing/2014/chart" uri="{C3380CC4-5D6E-409C-BE32-E72D297353CC}">
              <c16:uniqueId val="{00000000-7D27-40A8-9C42-E2522322F4C9}"/>
            </c:ext>
          </c:extLst>
        </c:ser>
        <c:ser>
          <c:idx val="15"/>
          <c:order val="1"/>
          <c:tx>
            <c:strRef>
              <c:f>'Monthly Summary'!$B$38</c:f>
              <c:strCache>
                <c:ptCount val="1"/>
                <c:pt idx="0">
                  <c:v>Inventory Days to Turnover</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'Monthly Summary'!$C$2:$Z$2</c:f>
            </c:strRef>
          </c:cat>
          <c:val>
            <c:numRef>
              <c:f>'Monthly Summary'!$C$38:$Z$38</c:f>
            </c:numRef>
          </c:val>
          <c:smooth val="0"/>
          <c:extLst>
            <c:ext xmlns:c16="http://schemas.microsoft.com/office/drawing/2014/chart" uri="{C3380CC4-5D6E-409C-BE32-E72D297353CC}">
              <c16:uniqueId val="{00000001-7D27-40A8-9C42-E2522322F4C9}"/>
            </c:ext>
          </c:extLst>
        </c:ser>
        <c:ser>
          <c:idx val="17"/>
          <c:order val="2"/>
          <c:tx>
            <c:strRef>
              <c:f>'Monthly Summary'!$B$40</c:f>
              <c:strCache>
                <c:ptCount val="1"/>
                <c:pt idx="0">
                  <c:v>Payble Days to Turnover</c:v>
                </c:pt>
              </c:strCache>
            </c:strRef>
          </c:tx>
          <c:spPr>
            <a:ln w="28575" cap="rnd">
              <a:solidFill>
                <a:schemeClr val="accent6">
                  <a:lumMod val="80000"/>
                  <a:lumOff val="20000"/>
                </a:schemeClr>
              </a:solidFill>
              <a:round/>
            </a:ln>
            <a:effectLst/>
          </c:spPr>
          <c:marker>
            <c:symbol val="triangle"/>
            <c:size val="5"/>
            <c:spPr>
              <a:solidFill>
                <a:schemeClr val="accent6">
                  <a:lumMod val="80000"/>
                  <a:lumOff val="20000"/>
                </a:schemeClr>
              </a:solidFill>
              <a:ln w="9525">
                <a:solidFill>
                  <a:schemeClr val="accent6">
                    <a:lumMod val="80000"/>
                    <a:lumOff val="20000"/>
                  </a:schemeClr>
                </a:solidFill>
              </a:ln>
              <a:effectLst/>
            </c:spPr>
          </c:marker>
          <c:cat>
            <c:strRef>
              <c:f>'Monthly Summary'!$C$2:$Z$2</c:f>
            </c:strRef>
          </c:cat>
          <c:val>
            <c:numRef>
              <c:f>'Monthly Summary'!$C$40:$Z$40</c:f>
            </c:numRef>
          </c:val>
          <c:smooth val="0"/>
          <c:extLst>
            <c:ext xmlns:c16="http://schemas.microsoft.com/office/drawing/2014/chart" uri="{C3380CC4-5D6E-409C-BE32-E72D297353CC}">
              <c16:uniqueId val="{00000002-7D27-40A8-9C42-E2522322F4C9}"/>
            </c:ext>
          </c:extLst>
        </c:ser>
        <c:dLbls>
          <c:showLegendKey val="0"/>
          <c:showVal val="0"/>
          <c:showCatName val="0"/>
          <c:showSerName val="0"/>
          <c:showPercent val="0"/>
          <c:showBubbleSize val="0"/>
        </c:dLbls>
        <c:marker val="1"/>
        <c:smooth val="0"/>
        <c:axId val="995343552"/>
        <c:axId val="995340600"/>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1"/>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Working Capital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138235217129545"/>
          <c:y val="0.20213490792928729"/>
          <c:w val="0.78814447381968256"/>
          <c:h val="0.53406242579862473"/>
        </c:manualLayout>
      </c:layout>
      <c:lineChart>
        <c:grouping val="standard"/>
        <c:varyColors val="0"/>
        <c:ser>
          <c:idx val="0"/>
          <c:order val="0"/>
          <c:tx>
            <c:strRef>
              <c:f>'Monthly Summary'!$AA$62</c:f>
              <c:strCache>
                <c:ptCount val="1"/>
                <c:pt idx="0">
                  <c:v>Liquidity: Current Ratio (1.5-2.0)</c:v>
                </c:pt>
              </c:strCache>
              <c:extLst xmlns:c15="http://schemas.microsoft.com/office/drawing/2012/chart"/>
            </c:strRef>
          </c:tx>
          <c:spPr>
            <a:ln w="28575" cap="rnd">
              <a:solidFill>
                <a:schemeClr val="accent1"/>
              </a:solidFill>
              <a:round/>
            </a:ln>
            <a:effectLst/>
          </c:spPr>
          <c:marker>
            <c:symbol val="none"/>
          </c:marker>
          <c:cat>
            <c:strRef>
              <c:f>'Monthly Summary'!$C$2:$Z$2</c:f>
            </c:strRef>
          </c:cat>
          <c:val>
            <c:numRef>
              <c:f>'Monthly Summary'!$AB$62:$AF$62</c:f>
              <c:extLst xmlns:c15="http://schemas.microsoft.com/office/drawing/2012/chart"/>
            </c:numRef>
          </c:val>
          <c:smooth val="0"/>
          <c:extLst xmlns:c15="http://schemas.microsoft.com/office/drawing/2012/chart">
            <c:ext xmlns:c16="http://schemas.microsoft.com/office/drawing/2014/chart" uri="{C3380CC4-5D6E-409C-BE32-E72D297353CC}">
              <c16:uniqueId val="{00000003-EDAD-4AC3-B553-66D8B66E3155}"/>
            </c:ext>
          </c:extLst>
        </c:ser>
        <c:ser>
          <c:idx val="1"/>
          <c:order val="1"/>
          <c:tx>
            <c:strRef>
              <c:f>'Monthly Summary'!$AA$63</c:f>
              <c:strCache>
                <c:ptCount val="1"/>
                <c:pt idx="0">
                  <c:v>Safety: Debt to Equity  (1.0 - 1.5)</c:v>
                </c:pt>
              </c:strCache>
              <c:extLst xmlns:c15="http://schemas.microsoft.com/office/drawing/2012/chart"/>
            </c:strRef>
          </c:tx>
          <c:spPr>
            <a:ln w="28575" cap="rnd">
              <a:solidFill>
                <a:schemeClr val="accent2"/>
              </a:solidFill>
              <a:round/>
            </a:ln>
            <a:effectLst/>
          </c:spPr>
          <c:marker>
            <c:symbol val="none"/>
          </c:marker>
          <c:cat>
            <c:strRef>
              <c:f>'Monthly Summary'!$C$2:$Z$2</c:f>
            </c:strRef>
          </c:cat>
          <c:val>
            <c:numRef>
              <c:f>'Monthly Summary'!$AB$63:$AF$63</c:f>
              <c:extLst xmlns:c15="http://schemas.microsoft.com/office/drawing/2012/chart"/>
            </c:numRef>
          </c:val>
          <c:smooth val="0"/>
          <c:extLst xmlns:c15="http://schemas.microsoft.com/office/drawing/2012/chart">
            <c:ext xmlns:c16="http://schemas.microsoft.com/office/drawing/2014/chart" uri="{C3380CC4-5D6E-409C-BE32-E72D297353CC}">
              <c16:uniqueId val="{00000004-EDAD-4AC3-B553-66D8B66E3155}"/>
            </c:ext>
          </c:extLst>
        </c:ser>
        <c:ser>
          <c:idx val="2"/>
          <c:order val="2"/>
          <c:tx>
            <c:strRef>
              <c:f>'Monthly Summary'!$B$25</c:f>
              <c:strCache>
                <c:ptCount val="1"/>
                <c:pt idx="0">
                  <c:v>Net Working Capital</c:v>
                </c:pt>
              </c:strCache>
            </c:strRef>
          </c:tx>
          <c:spPr>
            <a:ln w="28575" cap="rnd">
              <a:solidFill>
                <a:schemeClr val="accent3"/>
              </a:solidFill>
              <a:round/>
            </a:ln>
            <a:effectLst/>
          </c:spPr>
          <c:marker>
            <c:symbol val="none"/>
          </c:marker>
          <c:cat>
            <c:strRef>
              <c:f>'Monthly Summary'!$C$2:$Z$2</c:f>
            </c:strRef>
          </c:cat>
          <c:val>
            <c:numRef>
              <c:f>'Monthly Summary'!$C$25:$Z$25</c:f>
            </c:numRef>
          </c:val>
          <c:smooth val="0"/>
          <c:extLst>
            <c:ext xmlns:c16="http://schemas.microsoft.com/office/drawing/2014/chart" uri="{C3380CC4-5D6E-409C-BE32-E72D297353CC}">
              <c16:uniqueId val="{00000000-EDAD-4AC3-B553-66D8B66E3155}"/>
            </c:ext>
          </c:extLst>
        </c:ser>
        <c:ser>
          <c:idx val="3"/>
          <c:order val="3"/>
          <c:tx>
            <c:strRef>
              <c:f>'Monthly Summary'!$B$26</c:f>
              <c:strCache>
                <c:ptCount val="1"/>
                <c:pt idx="0">
                  <c:v>Non-Cash Working Capital: </c:v>
                </c:pt>
              </c:strCache>
            </c:strRef>
          </c:tx>
          <c:spPr>
            <a:ln w="28575" cap="rnd">
              <a:solidFill>
                <a:schemeClr val="accent4"/>
              </a:solidFill>
              <a:round/>
            </a:ln>
            <a:effectLst/>
          </c:spPr>
          <c:marker>
            <c:symbol val="none"/>
          </c:marker>
          <c:cat>
            <c:strRef>
              <c:f>'Monthly Summary'!$C$2:$Z$2</c:f>
            </c:strRef>
          </c:cat>
          <c:val>
            <c:numRef>
              <c:f>'Monthly Summary'!$C$26:$Z$26</c:f>
            </c:numRef>
          </c:val>
          <c:smooth val="0"/>
          <c:extLst>
            <c:ext xmlns:c16="http://schemas.microsoft.com/office/drawing/2014/chart" uri="{C3380CC4-5D6E-409C-BE32-E72D297353CC}">
              <c16:uniqueId val="{00000001-EDAD-4AC3-B553-66D8B66E3155}"/>
            </c:ext>
          </c:extLst>
        </c:ser>
        <c:ser>
          <c:idx val="4"/>
          <c:order val="4"/>
          <c:tx>
            <c:strRef>
              <c:f>'Monthly Summary'!$AA$66</c:f>
              <c:strCache>
                <c:ptCount val="1"/>
              </c:strCache>
              <c:extLst xmlns:c15="http://schemas.microsoft.com/office/drawing/2012/chart"/>
            </c:strRef>
          </c:tx>
          <c:spPr>
            <a:ln w="28575" cap="rnd">
              <a:solidFill>
                <a:schemeClr val="accent5"/>
              </a:solidFill>
              <a:round/>
            </a:ln>
            <a:effectLst/>
          </c:spPr>
          <c:marker>
            <c:symbol val="none"/>
          </c:marker>
          <c:cat>
            <c:strRef>
              <c:f>'Monthly Summary'!$C$2:$Z$2</c:f>
            </c:strRef>
          </c:cat>
          <c:val>
            <c:numRef>
              <c:f>'Monthly Summary'!$AB$66:$AF$66</c:f>
              <c:extLst xmlns:c15="http://schemas.microsoft.com/office/drawing/2012/chart"/>
            </c:numRef>
          </c:val>
          <c:smooth val="0"/>
          <c:extLst xmlns:c15="http://schemas.microsoft.com/office/drawing/2012/chart">
            <c:ext xmlns:c16="http://schemas.microsoft.com/office/drawing/2014/chart" uri="{C3380CC4-5D6E-409C-BE32-E72D297353CC}">
              <c16:uniqueId val="{00000005-EDAD-4AC3-B553-66D8B66E3155}"/>
            </c:ext>
          </c:extLst>
        </c:ser>
        <c:ser>
          <c:idx val="6"/>
          <c:order val="6"/>
          <c:tx>
            <c:strRef>
              <c:f>'Monthly Summary'!$AA$69</c:f>
              <c:strCache>
                <c:ptCount val="1"/>
                <c:pt idx="0">
                  <c:v>Revenue Growth</c:v>
                </c:pt>
              </c:strCache>
              <c:extLst xmlns:c15="http://schemas.microsoft.com/office/drawing/2012/chart"/>
            </c:strRef>
          </c:tx>
          <c:spPr>
            <a:ln w="28575" cap="rnd">
              <a:solidFill>
                <a:schemeClr val="accent1">
                  <a:lumMod val="60000"/>
                </a:schemeClr>
              </a:solidFill>
              <a:round/>
            </a:ln>
            <a:effectLst/>
          </c:spPr>
          <c:marker>
            <c:symbol val="none"/>
          </c:marker>
          <c:cat>
            <c:strRef>
              <c:f>'Monthly Summary'!$C$2:$Z$2</c:f>
            </c:strRef>
          </c:cat>
          <c:val>
            <c:numRef>
              <c:f>'Monthly Summary'!$AB$69:$AF$69</c:f>
              <c:extLst xmlns:c15="http://schemas.microsoft.com/office/drawing/2012/chart"/>
            </c:numRef>
          </c:val>
          <c:smooth val="0"/>
          <c:extLst xmlns:c15="http://schemas.microsoft.com/office/drawing/2012/chart">
            <c:ext xmlns:c16="http://schemas.microsoft.com/office/drawing/2014/chart" uri="{C3380CC4-5D6E-409C-BE32-E72D297353CC}">
              <c16:uniqueId val="{00000007-EDAD-4AC3-B553-66D8B66E3155}"/>
            </c:ext>
          </c:extLst>
        </c:ser>
        <c:ser>
          <c:idx val="7"/>
          <c:order val="7"/>
          <c:tx>
            <c:strRef>
              <c:f>'Monthly Summary'!$AA$70</c:f>
              <c:strCache>
                <c:ptCount val="1"/>
                <c:pt idx="0">
                  <c:v>Gross Profit Margin</c:v>
                </c:pt>
              </c:strCache>
              <c:extLst xmlns:c15="http://schemas.microsoft.com/office/drawing/2012/chart"/>
            </c:strRef>
          </c:tx>
          <c:spPr>
            <a:ln w="28575" cap="rnd">
              <a:solidFill>
                <a:schemeClr val="accent2">
                  <a:lumMod val="60000"/>
                </a:schemeClr>
              </a:solidFill>
              <a:round/>
            </a:ln>
            <a:effectLst/>
          </c:spPr>
          <c:marker>
            <c:symbol val="none"/>
          </c:marker>
          <c:cat>
            <c:strRef>
              <c:f>'Monthly Summary'!$C$2:$Z$2</c:f>
            </c:strRef>
          </c:cat>
          <c:val>
            <c:numRef>
              <c:f>'Monthly Summary'!$AB$70:$AF$70</c:f>
              <c:extLst xmlns:c15="http://schemas.microsoft.com/office/drawing/2012/chart"/>
            </c:numRef>
          </c:val>
          <c:smooth val="0"/>
          <c:extLst xmlns:c15="http://schemas.microsoft.com/office/drawing/2012/chart">
            <c:ext xmlns:c16="http://schemas.microsoft.com/office/drawing/2014/chart" uri="{C3380CC4-5D6E-409C-BE32-E72D297353CC}">
              <c16:uniqueId val="{00000008-EDAD-4AC3-B553-66D8B66E3155}"/>
            </c:ext>
          </c:extLst>
        </c:ser>
        <c:ser>
          <c:idx val="8"/>
          <c:order val="8"/>
          <c:tx>
            <c:strRef>
              <c:f>'Monthly Summary'!$AA$71</c:f>
              <c:strCache>
                <c:ptCount val="1"/>
                <c:pt idx="0">
                  <c:v>Operating Profit Margin</c:v>
                </c:pt>
              </c:strCache>
              <c:extLst xmlns:c15="http://schemas.microsoft.com/office/drawing/2012/chart"/>
            </c:strRef>
          </c:tx>
          <c:spPr>
            <a:ln w="28575" cap="rnd">
              <a:solidFill>
                <a:schemeClr val="accent3">
                  <a:lumMod val="60000"/>
                </a:schemeClr>
              </a:solidFill>
              <a:round/>
            </a:ln>
            <a:effectLst/>
          </c:spPr>
          <c:marker>
            <c:symbol val="none"/>
          </c:marker>
          <c:cat>
            <c:strRef>
              <c:f>'Monthly Summary'!$C$2:$Z$2</c:f>
            </c:strRef>
          </c:cat>
          <c:val>
            <c:numRef>
              <c:f>'Monthly Summary'!$AB$71:$AF$71</c:f>
              <c:extLst xmlns:c15="http://schemas.microsoft.com/office/drawing/2012/chart"/>
            </c:numRef>
          </c:val>
          <c:smooth val="0"/>
          <c:extLst xmlns:c15="http://schemas.microsoft.com/office/drawing/2012/chart">
            <c:ext xmlns:c16="http://schemas.microsoft.com/office/drawing/2014/chart" uri="{C3380CC4-5D6E-409C-BE32-E72D297353CC}">
              <c16:uniqueId val="{00000009-EDAD-4AC3-B553-66D8B66E3155}"/>
            </c:ext>
          </c:extLst>
        </c:ser>
        <c:ser>
          <c:idx val="9"/>
          <c:order val="9"/>
          <c:tx>
            <c:strRef>
              <c:f>'Monthly Summary'!$AA$72</c:f>
              <c:strCache>
                <c:ptCount val="1"/>
                <c:pt idx="0">
                  <c:v>Net Profit Margin</c:v>
                </c:pt>
              </c:strCache>
              <c:extLst xmlns:c15="http://schemas.microsoft.com/office/drawing/2012/chart"/>
            </c:strRef>
          </c:tx>
          <c:spPr>
            <a:ln w="28575" cap="rnd">
              <a:solidFill>
                <a:schemeClr val="accent4">
                  <a:lumMod val="60000"/>
                </a:schemeClr>
              </a:solidFill>
              <a:round/>
            </a:ln>
            <a:effectLst/>
          </c:spPr>
          <c:marker>
            <c:symbol val="none"/>
          </c:marker>
          <c:cat>
            <c:strRef>
              <c:f>'Monthly Summary'!$C$2:$Z$2</c:f>
            </c:strRef>
          </c:cat>
          <c:val>
            <c:numRef>
              <c:f>'Monthly Summary'!$AB$72:$AF$72</c:f>
              <c:extLst xmlns:c15="http://schemas.microsoft.com/office/drawing/2012/chart"/>
            </c:numRef>
          </c:val>
          <c:smooth val="0"/>
          <c:extLst xmlns:c15="http://schemas.microsoft.com/office/drawing/2012/chart">
            <c:ext xmlns:c16="http://schemas.microsoft.com/office/drawing/2014/chart" uri="{C3380CC4-5D6E-409C-BE32-E72D297353CC}">
              <c16:uniqueId val="{0000000A-EDAD-4AC3-B553-66D8B66E3155}"/>
            </c:ext>
          </c:extLst>
        </c:ser>
        <c:ser>
          <c:idx val="10"/>
          <c:order val="10"/>
          <c:tx>
            <c:strRef>
              <c:f>'Monthly Summary'!$AA$73</c:f>
              <c:strCache>
                <c:ptCount val="1"/>
              </c:strCache>
              <c:extLst xmlns:c15="http://schemas.microsoft.com/office/drawing/2012/chart"/>
            </c:strRef>
          </c:tx>
          <c:spPr>
            <a:ln w="28575" cap="rnd">
              <a:solidFill>
                <a:schemeClr val="accent5">
                  <a:lumMod val="60000"/>
                </a:schemeClr>
              </a:solidFill>
              <a:round/>
            </a:ln>
            <a:effectLst/>
          </c:spPr>
          <c:marker>
            <c:symbol val="none"/>
          </c:marker>
          <c:cat>
            <c:strRef>
              <c:f>'Monthly Summary'!$C$2:$Z$2</c:f>
            </c:strRef>
          </c:cat>
          <c:val>
            <c:numRef>
              <c:f>'Monthly Summary'!$AB$73:$AF$73</c:f>
              <c:extLst xmlns:c15="http://schemas.microsoft.com/office/drawing/2012/chart"/>
            </c:numRef>
          </c:val>
          <c:smooth val="0"/>
          <c:extLst xmlns:c15="http://schemas.microsoft.com/office/drawing/2012/chart">
            <c:ext xmlns:c16="http://schemas.microsoft.com/office/drawing/2014/chart" uri="{C3380CC4-5D6E-409C-BE32-E72D297353CC}">
              <c16:uniqueId val="{0000000B-EDAD-4AC3-B553-66D8B66E3155}"/>
            </c:ext>
          </c:extLst>
        </c:ser>
        <c:ser>
          <c:idx val="11"/>
          <c:order val="11"/>
          <c:tx>
            <c:strRef>
              <c:f>'Monthly Summary'!$AA$74</c:f>
              <c:strCache>
                <c:ptCount val="1"/>
                <c:pt idx="0">
                  <c:v>Return on Equity </c:v>
                </c:pt>
              </c:strCache>
              <c:extLst xmlns:c15="http://schemas.microsoft.com/office/drawing/2012/chart"/>
            </c:strRef>
          </c:tx>
          <c:spPr>
            <a:ln w="28575" cap="rnd">
              <a:solidFill>
                <a:schemeClr val="accent6">
                  <a:lumMod val="60000"/>
                </a:schemeClr>
              </a:solidFill>
              <a:round/>
            </a:ln>
            <a:effectLst/>
          </c:spPr>
          <c:marker>
            <c:symbol val="none"/>
          </c:marker>
          <c:cat>
            <c:strRef>
              <c:f>'Monthly Summary'!$C$2:$Z$2</c:f>
            </c:strRef>
          </c:cat>
          <c:val>
            <c:numRef>
              <c:f>'Monthly Summary'!$AB$74:$AF$74</c:f>
              <c:extLst xmlns:c15="http://schemas.microsoft.com/office/drawing/2012/chart"/>
            </c:numRef>
          </c:val>
          <c:smooth val="0"/>
          <c:extLst xmlns:c15="http://schemas.microsoft.com/office/drawing/2012/chart">
            <c:ext xmlns:c16="http://schemas.microsoft.com/office/drawing/2014/chart" uri="{C3380CC4-5D6E-409C-BE32-E72D297353CC}">
              <c16:uniqueId val="{0000000C-EDAD-4AC3-B553-66D8B66E3155}"/>
            </c:ext>
          </c:extLst>
        </c:ser>
        <c:ser>
          <c:idx val="12"/>
          <c:order val="12"/>
          <c:tx>
            <c:strRef>
              <c:f>'Monthly Summary'!$AA$75</c:f>
              <c:strCache>
                <c:ptCount val="1"/>
                <c:pt idx="0">
                  <c:v>Receivable turnover </c:v>
                </c:pt>
              </c:strCache>
              <c:extLst xmlns:c15="http://schemas.microsoft.com/office/drawing/2012/chart"/>
            </c:strRef>
          </c:tx>
          <c:spPr>
            <a:ln w="28575" cap="rnd">
              <a:solidFill>
                <a:schemeClr val="accent1">
                  <a:lumMod val="80000"/>
                  <a:lumOff val="20000"/>
                </a:schemeClr>
              </a:solidFill>
              <a:round/>
            </a:ln>
            <a:effectLst/>
          </c:spPr>
          <c:marker>
            <c:symbol val="none"/>
          </c:marker>
          <c:cat>
            <c:strRef>
              <c:f>'Monthly Summary'!$C$2:$Z$2</c:f>
            </c:strRef>
          </c:cat>
          <c:val>
            <c:numRef>
              <c:f>'Monthly Summary'!$AB$75:$AF$75</c:f>
              <c:extLst xmlns:c15="http://schemas.microsoft.com/office/drawing/2012/chart"/>
            </c:numRef>
          </c:val>
          <c:smooth val="0"/>
          <c:extLst xmlns:c15="http://schemas.microsoft.com/office/drawing/2012/chart">
            <c:ext xmlns:c16="http://schemas.microsoft.com/office/drawing/2014/chart" uri="{C3380CC4-5D6E-409C-BE32-E72D297353CC}">
              <c16:uniqueId val="{0000000D-EDAD-4AC3-B553-66D8B66E3155}"/>
            </c:ext>
          </c:extLst>
        </c:ser>
        <c:ser>
          <c:idx val="13"/>
          <c:order val="13"/>
          <c:tx>
            <c:strRef>
              <c:f>'Monthly Summary'!$AA$76</c:f>
              <c:strCache>
                <c:ptCount val="1"/>
                <c:pt idx="0">
                  <c:v>Receivable Days </c:v>
                </c:pt>
              </c:strCache>
              <c:extLst xmlns:c15="http://schemas.microsoft.com/office/drawing/2012/chart"/>
            </c:strRef>
          </c:tx>
          <c:spPr>
            <a:ln w="28575" cap="rnd">
              <a:solidFill>
                <a:schemeClr val="accent2">
                  <a:lumMod val="80000"/>
                  <a:lumOff val="20000"/>
                </a:schemeClr>
              </a:solidFill>
              <a:round/>
            </a:ln>
            <a:effectLst/>
          </c:spPr>
          <c:marker>
            <c:symbol val="none"/>
          </c:marker>
          <c:cat>
            <c:strRef>
              <c:f>'Monthly Summary'!$C$2:$Z$2</c:f>
            </c:strRef>
          </c:cat>
          <c:val>
            <c:numRef>
              <c:f>'Monthly Summary'!$AB$76:$AF$76</c:f>
              <c:extLst xmlns:c15="http://schemas.microsoft.com/office/drawing/2012/chart"/>
            </c:numRef>
          </c:val>
          <c:smooth val="0"/>
          <c:extLst xmlns:c15="http://schemas.microsoft.com/office/drawing/2012/chart">
            <c:ext xmlns:c16="http://schemas.microsoft.com/office/drawing/2014/chart" uri="{C3380CC4-5D6E-409C-BE32-E72D297353CC}">
              <c16:uniqueId val="{0000000E-EDAD-4AC3-B553-66D8B66E3155}"/>
            </c:ext>
          </c:extLst>
        </c:ser>
        <c:ser>
          <c:idx val="14"/>
          <c:order val="14"/>
          <c:tx>
            <c:strRef>
              <c:f>'Monthly Summary'!$AA$77</c:f>
              <c:strCache>
                <c:ptCount val="1"/>
                <c:pt idx="0">
                  <c:v>Inventory Turnover</c:v>
                </c:pt>
              </c:strCache>
              <c:extLst xmlns:c15="http://schemas.microsoft.com/office/drawing/2012/chart"/>
            </c:strRef>
          </c:tx>
          <c:spPr>
            <a:ln w="28575" cap="rnd">
              <a:solidFill>
                <a:schemeClr val="accent3">
                  <a:lumMod val="80000"/>
                  <a:lumOff val="20000"/>
                </a:schemeClr>
              </a:solidFill>
              <a:round/>
            </a:ln>
            <a:effectLst/>
          </c:spPr>
          <c:marker>
            <c:symbol val="none"/>
          </c:marker>
          <c:cat>
            <c:strRef>
              <c:f>'Monthly Summary'!$C$2:$Z$2</c:f>
            </c:strRef>
          </c:cat>
          <c:val>
            <c:numRef>
              <c:f>'Monthly Summary'!$AB$77:$AF$77</c:f>
              <c:extLst xmlns:c15="http://schemas.microsoft.com/office/drawing/2012/chart"/>
            </c:numRef>
          </c:val>
          <c:smooth val="0"/>
          <c:extLst xmlns:c15="http://schemas.microsoft.com/office/drawing/2012/chart">
            <c:ext xmlns:c16="http://schemas.microsoft.com/office/drawing/2014/chart" uri="{C3380CC4-5D6E-409C-BE32-E72D297353CC}">
              <c16:uniqueId val="{0000000F-EDAD-4AC3-B553-66D8B66E3155}"/>
            </c:ext>
          </c:extLst>
        </c:ser>
        <c:ser>
          <c:idx val="15"/>
          <c:order val="15"/>
          <c:tx>
            <c:strRef>
              <c:f>'Monthly Summary'!$AA$78</c:f>
              <c:strCache>
                <c:ptCount val="1"/>
                <c:pt idx="0">
                  <c:v>Inventory Days </c:v>
                </c:pt>
              </c:strCache>
              <c:extLst xmlns:c15="http://schemas.microsoft.com/office/drawing/2012/chart"/>
            </c:strRef>
          </c:tx>
          <c:spPr>
            <a:ln w="28575" cap="rnd">
              <a:solidFill>
                <a:schemeClr val="accent4">
                  <a:lumMod val="80000"/>
                  <a:lumOff val="20000"/>
                </a:schemeClr>
              </a:solidFill>
              <a:round/>
            </a:ln>
            <a:effectLst/>
          </c:spPr>
          <c:marker>
            <c:symbol val="none"/>
          </c:marker>
          <c:cat>
            <c:strRef>
              <c:f>'Monthly Summary'!$C$2:$Z$2</c:f>
            </c:strRef>
          </c:cat>
          <c:val>
            <c:numRef>
              <c:f>'Monthly Summary'!$AB$78:$AF$78</c:f>
              <c:extLst xmlns:c15="http://schemas.microsoft.com/office/drawing/2012/chart"/>
            </c:numRef>
          </c:val>
          <c:smooth val="0"/>
          <c:extLst xmlns:c15="http://schemas.microsoft.com/office/drawing/2012/chart">
            <c:ext xmlns:c16="http://schemas.microsoft.com/office/drawing/2014/chart" uri="{C3380CC4-5D6E-409C-BE32-E72D297353CC}">
              <c16:uniqueId val="{00000010-EDAD-4AC3-B553-66D8B66E3155}"/>
            </c:ext>
          </c:extLst>
        </c:ser>
        <c:ser>
          <c:idx val="16"/>
          <c:order val="16"/>
          <c:tx>
            <c:strRef>
              <c:f>'Monthly Summary'!$AA$79</c:f>
              <c:strCache>
                <c:ptCount val="1"/>
                <c:pt idx="0">
                  <c:v>Payable turnover </c:v>
                </c:pt>
              </c:strCache>
              <c:extLst xmlns:c15="http://schemas.microsoft.com/office/drawing/2012/chart"/>
            </c:strRef>
          </c:tx>
          <c:spPr>
            <a:ln w="28575" cap="rnd">
              <a:solidFill>
                <a:schemeClr val="accent5">
                  <a:lumMod val="80000"/>
                  <a:lumOff val="20000"/>
                </a:schemeClr>
              </a:solidFill>
              <a:round/>
            </a:ln>
            <a:effectLst/>
          </c:spPr>
          <c:marker>
            <c:symbol val="none"/>
          </c:marker>
          <c:cat>
            <c:strRef>
              <c:f>'Monthly Summary'!$C$2:$Z$2</c:f>
            </c:strRef>
          </c:cat>
          <c:val>
            <c:numRef>
              <c:f>'Monthly Summary'!$AB$79:$AF$79</c:f>
              <c:extLst xmlns:c15="http://schemas.microsoft.com/office/drawing/2012/chart"/>
            </c:numRef>
          </c:val>
          <c:smooth val="0"/>
          <c:extLst xmlns:c15="http://schemas.microsoft.com/office/drawing/2012/chart">
            <c:ext xmlns:c16="http://schemas.microsoft.com/office/drawing/2014/chart" uri="{C3380CC4-5D6E-409C-BE32-E72D297353CC}">
              <c16:uniqueId val="{00000011-EDAD-4AC3-B553-66D8B66E3155}"/>
            </c:ext>
          </c:extLst>
        </c:ser>
        <c:ser>
          <c:idx val="17"/>
          <c:order val="17"/>
          <c:tx>
            <c:strRef>
              <c:f>'Monthly Summary'!$AA$80</c:f>
              <c:strCache>
                <c:ptCount val="1"/>
                <c:pt idx="0">
                  <c:v>Payable Days</c:v>
                </c:pt>
              </c:strCache>
              <c:extLst xmlns:c15="http://schemas.microsoft.com/office/drawing/2012/chart"/>
            </c:strRef>
          </c:tx>
          <c:spPr>
            <a:ln w="28575" cap="rnd">
              <a:solidFill>
                <a:schemeClr val="accent6">
                  <a:lumMod val="80000"/>
                  <a:lumOff val="20000"/>
                </a:schemeClr>
              </a:solidFill>
              <a:round/>
            </a:ln>
            <a:effectLst/>
          </c:spPr>
          <c:marker>
            <c:symbol val="none"/>
          </c:marker>
          <c:cat>
            <c:strRef>
              <c:f>'Monthly Summary'!$C$2:$Z$2</c:f>
            </c:strRef>
          </c:cat>
          <c:val>
            <c:numRef>
              <c:f>'Monthly Summary'!$AB$80:$AF$80</c:f>
              <c:extLst xmlns:c15="http://schemas.microsoft.com/office/drawing/2012/chart"/>
            </c:numRef>
          </c:val>
          <c:smooth val="0"/>
          <c:extLst xmlns:c15="http://schemas.microsoft.com/office/drawing/2012/chart">
            <c:ext xmlns:c16="http://schemas.microsoft.com/office/drawing/2014/chart" uri="{C3380CC4-5D6E-409C-BE32-E72D297353CC}">
              <c16:uniqueId val="{00000012-EDAD-4AC3-B553-66D8B66E3155}"/>
            </c:ext>
          </c:extLst>
        </c:ser>
        <c:ser>
          <c:idx val="18"/>
          <c:order val="18"/>
          <c:tx>
            <c:strRef>
              <c:f>'Monthly Summary'!$AA$81</c:f>
              <c:strCache>
                <c:ptCount val="1"/>
              </c:strCache>
              <c:extLst xmlns:c15="http://schemas.microsoft.com/office/drawing/2012/chart"/>
            </c:strRef>
          </c:tx>
          <c:spPr>
            <a:ln w="28575" cap="rnd">
              <a:solidFill>
                <a:schemeClr val="accent1">
                  <a:lumMod val="80000"/>
                </a:schemeClr>
              </a:solidFill>
              <a:round/>
            </a:ln>
            <a:effectLst/>
          </c:spPr>
          <c:marker>
            <c:symbol val="none"/>
          </c:marker>
          <c:cat>
            <c:strRef>
              <c:f>'Monthly Summary'!$C$2:$Z$2</c:f>
            </c:strRef>
          </c:cat>
          <c:val>
            <c:numRef>
              <c:f>'Monthly Summary'!$AB$81:$AF$81</c:f>
              <c:extLst xmlns:c15="http://schemas.microsoft.com/office/drawing/2012/chart"/>
            </c:numRef>
          </c:val>
          <c:smooth val="0"/>
          <c:extLst xmlns:c15="http://schemas.microsoft.com/office/drawing/2012/chart">
            <c:ext xmlns:c16="http://schemas.microsoft.com/office/drawing/2014/chart" uri="{C3380CC4-5D6E-409C-BE32-E72D297353CC}">
              <c16:uniqueId val="{00000013-EDAD-4AC3-B553-66D8B66E3155}"/>
            </c:ext>
          </c:extLst>
        </c:ser>
        <c:ser>
          <c:idx val="19"/>
          <c:order val="19"/>
          <c:tx>
            <c:strRef>
              <c:f>'Monthly Summary'!$AA$82</c:f>
              <c:strCache>
                <c:ptCount val="1"/>
                <c:pt idx="0">
                  <c:v>Operating Cash Flow</c:v>
                </c:pt>
              </c:strCache>
              <c:extLst xmlns:c15="http://schemas.microsoft.com/office/drawing/2012/chart"/>
            </c:strRef>
          </c:tx>
          <c:spPr>
            <a:ln w="28575" cap="rnd">
              <a:solidFill>
                <a:schemeClr val="accent2">
                  <a:lumMod val="80000"/>
                </a:schemeClr>
              </a:solidFill>
              <a:round/>
            </a:ln>
            <a:effectLst/>
          </c:spPr>
          <c:marker>
            <c:symbol val="none"/>
          </c:marker>
          <c:cat>
            <c:strRef>
              <c:f>'Monthly Summary'!$C$2:$Z$2</c:f>
            </c:strRef>
          </c:cat>
          <c:val>
            <c:numRef>
              <c:f>'Monthly Summary'!$AB$82:$AF$82</c:f>
              <c:extLst xmlns:c15="http://schemas.microsoft.com/office/drawing/2012/chart"/>
            </c:numRef>
          </c:val>
          <c:smooth val="0"/>
          <c:extLst xmlns:c15="http://schemas.microsoft.com/office/drawing/2012/chart">
            <c:ext xmlns:c16="http://schemas.microsoft.com/office/drawing/2014/chart" uri="{C3380CC4-5D6E-409C-BE32-E72D297353CC}">
              <c16:uniqueId val="{00000014-EDAD-4AC3-B553-66D8B66E3155}"/>
            </c:ext>
          </c:extLst>
        </c:ser>
        <c:ser>
          <c:idx val="20"/>
          <c:order val="20"/>
          <c:tx>
            <c:strRef>
              <c:f>'Monthly Summary'!$AA$83</c:f>
              <c:strCache>
                <c:ptCount val="1"/>
                <c:pt idx="0">
                  <c:v>Investing Cash Flow</c:v>
                </c:pt>
              </c:strCache>
              <c:extLst xmlns:c15="http://schemas.microsoft.com/office/drawing/2012/chart"/>
            </c:strRef>
          </c:tx>
          <c:spPr>
            <a:ln w="28575" cap="rnd">
              <a:solidFill>
                <a:schemeClr val="accent3">
                  <a:lumMod val="80000"/>
                </a:schemeClr>
              </a:solidFill>
              <a:round/>
            </a:ln>
            <a:effectLst/>
          </c:spPr>
          <c:marker>
            <c:symbol val="none"/>
          </c:marker>
          <c:cat>
            <c:strRef>
              <c:f>'Monthly Summary'!$C$2:$Z$2</c:f>
            </c:strRef>
          </c:cat>
          <c:val>
            <c:numRef>
              <c:f>'Monthly Summary'!$AB$83:$AF$83</c:f>
              <c:extLst xmlns:c15="http://schemas.microsoft.com/office/drawing/2012/chart"/>
            </c:numRef>
          </c:val>
          <c:smooth val="0"/>
          <c:extLst xmlns:c15="http://schemas.microsoft.com/office/drawing/2012/chart">
            <c:ext xmlns:c16="http://schemas.microsoft.com/office/drawing/2014/chart" uri="{C3380CC4-5D6E-409C-BE32-E72D297353CC}">
              <c16:uniqueId val="{00000015-EDAD-4AC3-B553-66D8B66E3155}"/>
            </c:ext>
          </c:extLst>
        </c:ser>
        <c:ser>
          <c:idx val="21"/>
          <c:order val="21"/>
          <c:tx>
            <c:strRef>
              <c:f>'Monthly Summary'!$AA$84</c:f>
              <c:strCache>
                <c:ptCount val="1"/>
                <c:pt idx="0">
                  <c:v>Financing Cash Flow</c:v>
                </c:pt>
              </c:strCache>
              <c:extLst xmlns:c15="http://schemas.microsoft.com/office/drawing/2012/chart"/>
            </c:strRef>
          </c:tx>
          <c:spPr>
            <a:ln w="28575" cap="rnd">
              <a:solidFill>
                <a:schemeClr val="accent4">
                  <a:lumMod val="80000"/>
                </a:schemeClr>
              </a:solidFill>
              <a:round/>
            </a:ln>
            <a:effectLst/>
          </c:spPr>
          <c:marker>
            <c:symbol val="none"/>
          </c:marker>
          <c:cat>
            <c:strRef>
              <c:f>'Monthly Summary'!$C$2:$Z$2</c:f>
            </c:strRef>
          </c:cat>
          <c:val>
            <c:numRef>
              <c:f>'Monthly Summary'!$AB$84:$AF$84</c:f>
              <c:extLst xmlns:c15="http://schemas.microsoft.com/office/drawing/2012/chart"/>
            </c:numRef>
          </c:val>
          <c:smooth val="0"/>
          <c:extLst xmlns:c15="http://schemas.microsoft.com/office/drawing/2012/chart">
            <c:ext xmlns:c16="http://schemas.microsoft.com/office/drawing/2014/chart" uri="{C3380CC4-5D6E-409C-BE32-E72D297353CC}">
              <c16:uniqueId val="{00000016-EDAD-4AC3-B553-66D8B66E3155}"/>
            </c:ext>
          </c:extLst>
        </c:ser>
        <c:ser>
          <c:idx val="22"/>
          <c:order val="22"/>
          <c:tx>
            <c:strRef>
              <c:f>'Monthly Summary'!$AA$85</c:f>
              <c:strCache>
                <c:ptCount val="1"/>
                <c:pt idx="0">
                  <c:v>Net Cash Flow</c:v>
                </c:pt>
              </c:strCache>
              <c:extLst xmlns:c15="http://schemas.microsoft.com/office/drawing/2012/chart"/>
            </c:strRef>
          </c:tx>
          <c:spPr>
            <a:ln w="28575" cap="rnd">
              <a:solidFill>
                <a:schemeClr val="accent5">
                  <a:lumMod val="80000"/>
                </a:schemeClr>
              </a:solidFill>
              <a:round/>
            </a:ln>
            <a:effectLst/>
          </c:spPr>
          <c:marker>
            <c:symbol val="none"/>
          </c:marker>
          <c:cat>
            <c:strRef>
              <c:f>'Monthly Summary'!$C$2:$Z$2</c:f>
            </c:strRef>
          </c:cat>
          <c:val>
            <c:numRef>
              <c:f>'Monthly Summary'!$AB$85:$AF$85</c:f>
              <c:extLst xmlns:c15="http://schemas.microsoft.com/office/drawing/2012/chart"/>
            </c:numRef>
          </c:val>
          <c:smooth val="0"/>
          <c:extLst xmlns:c15="http://schemas.microsoft.com/office/drawing/2012/chart">
            <c:ext xmlns:c16="http://schemas.microsoft.com/office/drawing/2014/chart" uri="{C3380CC4-5D6E-409C-BE32-E72D297353CC}">
              <c16:uniqueId val="{00000017-EDAD-4AC3-B553-66D8B66E3155}"/>
            </c:ext>
          </c:extLst>
        </c:ser>
        <c:ser>
          <c:idx val="23"/>
          <c:order val="23"/>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strRef>
              <c:f>'Monthly Summary'!$C$2:$Z$2</c:f>
            </c:str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8-EDAD-4AC3-B553-66D8B66E3155}"/>
            </c:ext>
          </c:extLst>
        </c:ser>
        <c:ser>
          <c:idx val="24"/>
          <c:order val="24"/>
          <c:tx>
            <c:strRef>
              <c:f>'Monthly Summary'!$O$87</c:f>
              <c:strCache>
                <c:ptCount val="1"/>
                <c:pt idx="0">
                  <c:v>Free Cash Flow</c:v>
                </c:pt>
              </c:strCache>
              <c:extLst xmlns:c15="http://schemas.microsoft.com/office/drawing/2012/chart"/>
            </c:strRef>
          </c:tx>
          <c:spPr>
            <a:ln w="28575" cap="rnd">
              <a:solidFill>
                <a:schemeClr val="accent1">
                  <a:lumMod val="60000"/>
                  <a:lumOff val="40000"/>
                </a:schemeClr>
              </a:solidFill>
              <a:round/>
            </a:ln>
            <a:effectLst/>
          </c:spPr>
          <c:marker>
            <c:symbol val="none"/>
          </c:marker>
          <c:cat>
            <c:strRef>
              <c:f>'Monthly Summary'!$C$2:$Z$2</c:f>
            </c:strRef>
          </c:cat>
          <c:val>
            <c:numRef>
              <c:f>'Monthly Summary'!$P$87:$T$87</c:f>
              <c:extLst xmlns:c15="http://schemas.microsoft.com/office/drawing/2012/chart"/>
            </c:numRef>
          </c:val>
          <c:smooth val="0"/>
          <c:extLst xmlns:c15="http://schemas.microsoft.com/office/drawing/2012/chart">
            <c:ext xmlns:c16="http://schemas.microsoft.com/office/drawing/2014/chart" uri="{C3380CC4-5D6E-409C-BE32-E72D297353CC}">
              <c16:uniqueId val="{00000019-EDAD-4AC3-B553-66D8B66E3155}"/>
            </c:ext>
          </c:extLst>
        </c:ser>
        <c:dLbls>
          <c:showLegendKey val="0"/>
          <c:showVal val="0"/>
          <c:showCatName val="0"/>
          <c:showSerName val="0"/>
          <c:showPercent val="0"/>
          <c:showBubbleSize val="0"/>
        </c:dLbls>
        <c:marker val="1"/>
        <c:smooth val="0"/>
        <c:axId val="995343552"/>
        <c:axId val="995340600"/>
        <c:extLst/>
      </c:lineChart>
      <c:lineChart>
        <c:grouping val="standard"/>
        <c:varyColors val="0"/>
        <c:ser>
          <c:idx val="5"/>
          <c:order val="5"/>
          <c:tx>
            <c:strRef>
              <c:f>'Monthly Summary'!$AA$67</c:f>
              <c:strCache>
                <c:ptCount val="1"/>
                <c:pt idx="0">
                  <c:v>Revenue</c:v>
                </c:pt>
              </c:strCache>
              <c:extLst xmlns:c15="http://schemas.microsoft.com/office/drawing/2012/chart"/>
            </c:strRef>
          </c:tx>
          <c:spPr>
            <a:ln w="28575" cap="rnd">
              <a:solidFill>
                <a:schemeClr val="accent6"/>
              </a:solidFill>
              <a:round/>
            </a:ln>
            <a:effectLst/>
          </c:spPr>
          <c:marker>
            <c:symbol val="none"/>
          </c:marker>
          <c:cat>
            <c:strRef>
              <c:f>'Monthly Summary'!$C$2:$Z$2</c:f>
            </c:strRef>
          </c:cat>
          <c:val>
            <c:numRef>
              <c:f>'Monthly Summary'!$C$67:$Z$67</c:f>
              <c:extLst xmlns:c15="http://schemas.microsoft.com/office/drawing/2012/chart"/>
            </c:numRef>
          </c:val>
          <c:smooth val="0"/>
          <c:extLst xmlns:c15="http://schemas.microsoft.com/office/drawing/2012/chart">
            <c:ext xmlns:c16="http://schemas.microsoft.com/office/drawing/2014/chart" uri="{C3380CC4-5D6E-409C-BE32-E72D297353CC}">
              <c16:uniqueId val="{00000006-EDAD-4AC3-B553-66D8B66E3155}"/>
            </c:ext>
          </c:extLst>
        </c:ser>
        <c:ser>
          <c:idx val="25"/>
          <c:order val="25"/>
          <c:tx>
            <c:strRef>
              <c:f>'Monthly Summary'!$B$14</c:f>
              <c:strCache>
                <c:ptCount val="1"/>
                <c:pt idx="0">
                  <c:v>Cash</c:v>
                </c:pt>
              </c:strCache>
              <c:extLst xmlns:c15="http://schemas.microsoft.com/office/drawing/2012/chart"/>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'Monthly Summary'!$C$2:$Z$2</c:f>
            </c:strRef>
          </c:cat>
          <c:val>
            <c:numRef>
              <c:f>'Monthly Summary'!$H$14:$S$14</c:f>
              <c:extLst xmlns:c15="http://schemas.microsoft.com/office/drawing/2012/chart"/>
            </c:numRef>
          </c:val>
          <c:smooth val="0"/>
          <c:extLst xmlns:c15="http://schemas.microsoft.com/office/drawing/2012/chart">
            <c:ext xmlns:c16="http://schemas.microsoft.com/office/drawing/2014/chart" uri="{C3380CC4-5D6E-409C-BE32-E72D297353CC}">
              <c16:uniqueId val="{00000002-EDAD-4AC3-B553-66D8B66E3155}"/>
            </c:ext>
          </c:extLst>
        </c:ser>
        <c:ser>
          <c:idx val="26"/>
          <c:order val="26"/>
          <c:tx>
            <c:strRef>
              <c:f>'Monthly Summary'!$B$29</c:f>
              <c:strCache>
                <c:ptCount val="1"/>
                <c:pt idx="0">
                  <c:v>Total Inventory</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'Monthly Summary'!$O$29:$Z$29</c:f>
            </c:numRef>
          </c:val>
          <c:smooth val="0"/>
          <c:extLst>
            <c:ext xmlns:c16="http://schemas.microsoft.com/office/drawing/2014/chart" uri="{C3380CC4-5D6E-409C-BE32-E72D297353CC}">
              <c16:uniqueId val="{00000001-FC55-42AD-A38F-966D0B36E132}"/>
            </c:ext>
          </c:extLst>
        </c:ser>
        <c:dLbls>
          <c:showLegendKey val="0"/>
          <c:showVal val="0"/>
          <c:showCatName val="0"/>
          <c:showSerName val="0"/>
          <c:showPercent val="0"/>
          <c:showBubbleSize val="0"/>
        </c:dLbls>
        <c:marker val="1"/>
        <c:smooth val="0"/>
        <c:axId val="278828119"/>
        <c:axId val="278822543"/>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1"/>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valAx>
        <c:axId val="278822543"/>
        <c:scaling>
          <c:orientation val="minMax"/>
        </c:scaling>
        <c:delete val="1"/>
        <c:axPos val="r"/>
        <c:numFmt formatCode="General" sourceLinked="1"/>
        <c:majorTickMark val="out"/>
        <c:minorTickMark val="none"/>
        <c:tickLblPos val="nextTo"/>
        <c:crossAx val="278828119"/>
        <c:crosses val="max"/>
        <c:crossBetween val="between"/>
      </c:valAx>
      <c:catAx>
        <c:axId val="278828119"/>
        <c:scaling>
          <c:orientation val="minMax"/>
        </c:scaling>
        <c:delete val="1"/>
        <c:axPos val="b"/>
        <c:numFmt formatCode="General" sourceLinked="1"/>
        <c:majorTickMark val="out"/>
        <c:minorTickMark val="none"/>
        <c:tickLblPos val="nextTo"/>
        <c:crossAx val="27882254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Employee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Summary'!$B$51</c:f>
              <c:strCache>
                <c:ptCount val="1"/>
                <c:pt idx="0">
                  <c:v>Rev / Employee</c:v>
                </c:pt>
              </c:strCache>
            </c:strRef>
          </c:tx>
          <c:spPr>
            <a:ln w="28575" cap="rnd">
              <a:solidFill>
                <a:schemeClr val="accent1"/>
              </a:solidFill>
              <a:round/>
            </a:ln>
            <a:effectLst/>
          </c:spPr>
          <c:marker>
            <c:symbol val="none"/>
          </c:marker>
          <c:val>
            <c:numRef>
              <c:f>'Monthly Summary'!$O$51:$Z$51</c:f>
            </c:numRef>
          </c:val>
          <c:smooth val="0"/>
          <c:extLst>
            <c:ext xmlns:c16="http://schemas.microsoft.com/office/drawing/2014/chart" uri="{C3380CC4-5D6E-409C-BE32-E72D297353CC}">
              <c16:uniqueId val="{00000001-DEA1-492F-BB3E-EF0A174A939A}"/>
            </c:ext>
          </c:extLst>
        </c:ser>
        <c:dLbls>
          <c:showLegendKey val="0"/>
          <c:showVal val="0"/>
          <c:showCatName val="0"/>
          <c:showSerName val="0"/>
          <c:showPercent val="0"/>
          <c:showBubbleSize val="0"/>
        </c:dLbls>
        <c:marker val="1"/>
        <c:smooth val="0"/>
        <c:axId val="995343552"/>
        <c:axId val="995340600"/>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0"/>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Cumulative Revenue, EBITDA and FCF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Summary'!$AA$62</c:f>
              <c:strCache>
                <c:ptCount val="1"/>
                <c:pt idx="0">
                  <c:v>Liquidity: Current Ratio (1.5-2.0)</c:v>
                </c:pt>
              </c:strCache>
              <c:extLst xmlns:c15="http://schemas.microsoft.com/office/drawing/2012/chart"/>
            </c:strRef>
          </c:tx>
          <c:spPr>
            <a:ln w="28575" cap="rnd">
              <a:solidFill>
                <a:schemeClr val="accent1"/>
              </a:solidFill>
              <a:round/>
            </a:ln>
            <a:effectLst/>
          </c:spPr>
          <c:marker>
            <c:symbol val="none"/>
          </c:marker>
          <c:cat>
            <c:numRef>
              <c:f>'Monthly Summary'!$O$2:$Z$2</c:f>
            </c:numRef>
          </c:cat>
          <c:val>
            <c:numRef>
              <c:f>'Monthly Summary'!$AB$62:$AF$62</c:f>
              <c:extLst xmlns:c15="http://schemas.microsoft.com/office/drawing/2012/chart"/>
            </c:numRef>
          </c:val>
          <c:smooth val="0"/>
          <c:extLst xmlns:c15="http://schemas.microsoft.com/office/drawing/2012/chart">
            <c:ext xmlns:c16="http://schemas.microsoft.com/office/drawing/2014/chart" uri="{C3380CC4-5D6E-409C-BE32-E72D297353CC}">
              <c16:uniqueId val="{00000003-5E8A-4EB4-AA71-4C0C9D829D5F}"/>
            </c:ext>
          </c:extLst>
        </c:ser>
        <c:ser>
          <c:idx val="1"/>
          <c:order val="1"/>
          <c:tx>
            <c:strRef>
              <c:f>'Monthly Summary'!$AA$63</c:f>
              <c:strCache>
                <c:ptCount val="1"/>
                <c:pt idx="0">
                  <c:v>Safety: Debt to Equity  (1.0 - 1.5)</c:v>
                </c:pt>
              </c:strCache>
              <c:extLst xmlns:c15="http://schemas.microsoft.com/office/drawing/2012/chart"/>
            </c:strRef>
          </c:tx>
          <c:spPr>
            <a:ln w="28575" cap="rnd">
              <a:solidFill>
                <a:schemeClr val="accent2"/>
              </a:solidFill>
              <a:round/>
            </a:ln>
            <a:effectLst/>
          </c:spPr>
          <c:marker>
            <c:symbol val="none"/>
          </c:marker>
          <c:cat>
            <c:numRef>
              <c:f>'Monthly Summary'!$O$2:$Z$2</c:f>
            </c:numRef>
          </c:cat>
          <c:val>
            <c:numRef>
              <c:f>'Monthly Summary'!$AB$63:$AF$63</c:f>
              <c:extLst xmlns:c15="http://schemas.microsoft.com/office/drawing/2012/chart"/>
            </c:numRef>
          </c:val>
          <c:smooth val="0"/>
          <c:extLst xmlns:c15="http://schemas.microsoft.com/office/drawing/2012/chart">
            <c:ext xmlns:c16="http://schemas.microsoft.com/office/drawing/2014/chart" uri="{C3380CC4-5D6E-409C-BE32-E72D297353CC}">
              <c16:uniqueId val="{00000004-5E8A-4EB4-AA71-4C0C9D829D5F}"/>
            </c:ext>
          </c:extLst>
        </c:ser>
        <c:ser>
          <c:idx val="2"/>
          <c:order val="2"/>
          <c:tx>
            <c:strRef>
              <c:f>'Monthly Summary'!$AA$64</c:f>
              <c:strCache>
                <c:ptCount val="1"/>
                <c:pt idx="0">
                  <c:v>Net Working Capital</c:v>
                </c:pt>
              </c:strCache>
              <c:extLst xmlns:c15="http://schemas.microsoft.com/office/drawing/2012/chart"/>
            </c:strRef>
          </c:tx>
          <c:spPr>
            <a:ln w="28575" cap="rnd">
              <a:solidFill>
                <a:schemeClr val="accent3"/>
              </a:solidFill>
              <a:round/>
            </a:ln>
            <a:effectLst/>
          </c:spPr>
          <c:marker>
            <c:symbol val="none"/>
          </c:marker>
          <c:cat>
            <c:numRef>
              <c:f>'Monthly Summary'!$O$2:$Z$2</c:f>
            </c:numRef>
          </c:cat>
          <c:val>
            <c:numRef>
              <c:f>'Monthly Summary'!$AB$64:$AF$64</c:f>
              <c:extLst xmlns:c15="http://schemas.microsoft.com/office/drawing/2012/chart"/>
            </c:numRef>
          </c:val>
          <c:smooth val="0"/>
          <c:extLst xmlns:c15="http://schemas.microsoft.com/office/drawing/2012/chart">
            <c:ext xmlns:c16="http://schemas.microsoft.com/office/drawing/2014/chart" uri="{C3380CC4-5D6E-409C-BE32-E72D297353CC}">
              <c16:uniqueId val="{00000005-5E8A-4EB4-AA71-4C0C9D829D5F}"/>
            </c:ext>
          </c:extLst>
        </c:ser>
        <c:ser>
          <c:idx val="3"/>
          <c:order val="3"/>
          <c:tx>
            <c:strRef>
              <c:f>'Monthly Summary'!$AA$65</c:f>
              <c:strCache>
                <c:ptCount val="1"/>
                <c:pt idx="0">
                  <c:v>Non-Cash Working Capital</c:v>
                </c:pt>
              </c:strCache>
              <c:extLst xmlns:c15="http://schemas.microsoft.com/office/drawing/2012/chart"/>
            </c:strRef>
          </c:tx>
          <c:spPr>
            <a:ln w="28575" cap="rnd">
              <a:solidFill>
                <a:schemeClr val="accent4"/>
              </a:solidFill>
              <a:round/>
            </a:ln>
            <a:effectLst/>
          </c:spPr>
          <c:marker>
            <c:symbol val="none"/>
          </c:marker>
          <c:cat>
            <c:numRef>
              <c:f>'Monthly Summary'!$O$2:$Z$2</c:f>
            </c:numRef>
          </c:cat>
          <c:val>
            <c:numRef>
              <c:f>'Monthly Summary'!$AB$65:$AF$65</c:f>
              <c:extLst xmlns:c15="http://schemas.microsoft.com/office/drawing/2012/chart"/>
            </c:numRef>
          </c:val>
          <c:smooth val="0"/>
          <c:extLst xmlns:c15="http://schemas.microsoft.com/office/drawing/2012/chart">
            <c:ext xmlns:c16="http://schemas.microsoft.com/office/drawing/2014/chart" uri="{C3380CC4-5D6E-409C-BE32-E72D297353CC}">
              <c16:uniqueId val="{00000006-5E8A-4EB4-AA71-4C0C9D829D5F}"/>
            </c:ext>
          </c:extLst>
        </c:ser>
        <c:ser>
          <c:idx val="4"/>
          <c:order val="4"/>
          <c:tx>
            <c:strRef>
              <c:f>'Monthly Summary'!$AA$66</c:f>
              <c:strCache>
                <c:ptCount val="1"/>
              </c:strCache>
              <c:extLst xmlns:c15="http://schemas.microsoft.com/office/drawing/2012/chart"/>
            </c:strRef>
          </c:tx>
          <c:spPr>
            <a:ln w="28575" cap="rnd">
              <a:solidFill>
                <a:schemeClr val="accent5"/>
              </a:solidFill>
              <a:round/>
            </a:ln>
            <a:effectLst/>
          </c:spPr>
          <c:marker>
            <c:symbol val="none"/>
          </c:marker>
          <c:cat>
            <c:numRef>
              <c:f>'Monthly Summary'!$O$2:$Z$2</c:f>
            </c:numRef>
          </c:cat>
          <c:val>
            <c:numRef>
              <c:f>'Monthly Summary'!$AB$66:$AF$66</c:f>
              <c:extLst xmlns:c15="http://schemas.microsoft.com/office/drawing/2012/chart"/>
            </c:numRef>
          </c:val>
          <c:smooth val="0"/>
          <c:extLst xmlns:c15="http://schemas.microsoft.com/office/drawing/2012/chart">
            <c:ext xmlns:c16="http://schemas.microsoft.com/office/drawing/2014/chart" uri="{C3380CC4-5D6E-409C-BE32-E72D297353CC}">
              <c16:uniqueId val="{00000007-5E8A-4EB4-AA71-4C0C9D829D5F}"/>
            </c:ext>
          </c:extLst>
        </c:ser>
        <c:ser>
          <c:idx val="10"/>
          <c:order val="5"/>
          <c:tx>
            <c:strRef>
              <c:f>'Monthly Summary'!$AA$73</c:f>
              <c:strCache>
                <c:ptCount val="1"/>
              </c:strCache>
              <c:extLst xmlns:c15="http://schemas.microsoft.com/office/drawing/2012/chart"/>
            </c:strRef>
          </c:tx>
          <c:spPr>
            <a:ln w="28575" cap="rnd">
              <a:solidFill>
                <a:schemeClr val="accent5">
                  <a:lumMod val="60000"/>
                </a:schemeClr>
              </a:solidFill>
              <a:round/>
            </a:ln>
            <a:effectLst/>
          </c:spPr>
          <c:marker>
            <c:symbol val="none"/>
          </c:marker>
          <c:cat>
            <c:numRef>
              <c:f>'Monthly Summary'!$O$2:$Z$2</c:f>
            </c:numRef>
          </c:cat>
          <c:val>
            <c:numRef>
              <c:f>'Monthly Summary'!$AB$73:$AF$73</c:f>
              <c:extLst xmlns:c15="http://schemas.microsoft.com/office/drawing/2012/chart"/>
            </c:numRef>
          </c:val>
          <c:smooth val="0"/>
          <c:extLst xmlns:c15="http://schemas.microsoft.com/office/drawing/2012/chart">
            <c:ext xmlns:c16="http://schemas.microsoft.com/office/drawing/2014/chart" uri="{C3380CC4-5D6E-409C-BE32-E72D297353CC}">
              <c16:uniqueId val="{00000008-5E8A-4EB4-AA71-4C0C9D829D5F}"/>
            </c:ext>
          </c:extLst>
        </c:ser>
        <c:ser>
          <c:idx val="11"/>
          <c:order val="6"/>
          <c:tx>
            <c:strRef>
              <c:f>'Monthly Summary'!$AA$74</c:f>
              <c:strCache>
                <c:ptCount val="1"/>
                <c:pt idx="0">
                  <c:v>Return on Equity </c:v>
                </c:pt>
              </c:strCache>
              <c:extLst xmlns:c15="http://schemas.microsoft.com/office/drawing/2012/chart"/>
            </c:strRef>
          </c:tx>
          <c:spPr>
            <a:ln w="28575" cap="rnd">
              <a:solidFill>
                <a:schemeClr val="accent6">
                  <a:lumMod val="60000"/>
                </a:schemeClr>
              </a:solidFill>
              <a:round/>
            </a:ln>
            <a:effectLst/>
          </c:spPr>
          <c:marker>
            <c:symbol val="none"/>
          </c:marker>
          <c:cat>
            <c:numRef>
              <c:f>'Monthly Summary'!$O$2:$Z$2</c:f>
            </c:numRef>
          </c:cat>
          <c:val>
            <c:numRef>
              <c:f>'Monthly Summary'!$AB$74:$AF$74</c:f>
              <c:extLst xmlns:c15="http://schemas.microsoft.com/office/drawing/2012/chart"/>
            </c:numRef>
          </c:val>
          <c:smooth val="0"/>
          <c:extLst xmlns:c15="http://schemas.microsoft.com/office/drawing/2012/chart">
            <c:ext xmlns:c16="http://schemas.microsoft.com/office/drawing/2014/chart" uri="{C3380CC4-5D6E-409C-BE32-E72D297353CC}">
              <c16:uniqueId val="{00000009-5E8A-4EB4-AA71-4C0C9D829D5F}"/>
            </c:ext>
          </c:extLst>
        </c:ser>
        <c:ser>
          <c:idx val="12"/>
          <c:order val="7"/>
          <c:tx>
            <c:strRef>
              <c:f>'Monthly Summary'!$AA$75</c:f>
              <c:strCache>
                <c:ptCount val="1"/>
                <c:pt idx="0">
                  <c:v>Receivable turnover </c:v>
                </c:pt>
              </c:strCache>
              <c:extLst xmlns:c15="http://schemas.microsoft.com/office/drawing/2012/chart"/>
            </c:strRef>
          </c:tx>
          <c:spPr>
            <a:ln w="28575" cap="rnd">
              <a:solidFill>
                <a:schemeClr val="accent1">
                  <a:lumMod val="80000"/>
                  <a:lumOff val="20000"/>
                </a:schemeClr>
              </a:solidFill>
              <a:round/>
            </a:ln>
            <a:effectLst/>
          </c:spPr>
          <c:marker>
            <c:symbol val="none"/>
          </c:marker>
          <c:cat>
            <c:numRef>
              <c:f>'Monthly Summary'!$O$2:$Z$2</c:f>
            </c:numRef>
          </c:cat>
          <c:val>
            <c:numRef>
              <c:f>'Monthly Summary'!$AB$75:$AF$75</c:f>
              <c:extLst xmlns:c15="http://schemas.microsoft.com/office/drawing/2012/chart"/>
            </c:numRef>
          </c:val>
          <c:smooth val="0"/>
          <c:extLst xmlns:c15="http://schemas.microsoft.com/office/drawing/2012/chart">
            <c:ext xmlns:c16="http://schemas.microsoft.com/office/drawing/2014/chart" uri="{C3380CC4-5D6E-409C-BE32-E72D297353CC}">
              <c16:uniqueId val="{0000000A-5E8A-4EB4-AA71-4C0C9D829D5F}"/>
            </c:ext>
          </c:extLst>
        </c:ser>
        <c:ser>
          <c:idx val="13"/>
          <c:order val="8"/>
          <c:tx>
            <c:strRef>
              <c:f>'Monthly Summary'!$AA$76</c:f>
              <c:strCache>
                <c:ptCount val="1"/>
                <c:pt idx="0">
                  <c:v>Receivable Days </c:v>
                </c:pt>
              </c:strCache>
              <c:extLst xmlns:c15="http://schemas.microsoft.com/office/drawing/2012/chart"/>
            </c:strRef>
          </c:tx>
          <c:spPr>
            <a:ln w="28575" cap="rnd">
              <a:solidFill>
                <a:schemeClr val="accent2">
                  <a:lumMod val="80000"/>
                  <a:lumOff val="20000"/>
                </a:schemeClr>
              </a:solidFill>
              <a:round/>
            </a:ln>
            <a:effectLst/>
          </c:spPr>
          <c:marker>
            <c:symbol val="none"/>
          </c:marker>
          <c:cat>
            <c:numRef>
              <c:f>'Monthly Summary'!$O$2:$Z$2</c:f>
            </c:numRef>
          </c:cat>
          <c:val>
            <c:numRef>
              <c:f>'Monthly Summary'!$AB$76:$AF$76</c:f>
              <c:extLst xmlns:c15="http://schemas.microsoft.com/office/drawing/2012/chart"/>
            </c:numRef>
          </c:val>
          <c:smooth val="0"/>
          <c:extLst xmlns:c15="http://schemas.microsoft.com/office/drawing/2012/chart">
            <c:ext xmlns:c16="http://schemas.microsoft.com/office/drawing/2014/chart" uri="{C3380CC4-5D6E-409C-BE32-E72D297353CC}">
              <c16:uniqueId val="{0000000B-5E8A-4EB4-AA71-4C0C9D829D5F}"/>
            </c:ext>
          </c:extLst>
        </c:ser>
        <c:ser>
          <c:idx val="14"/>
          <c:order val="9"/>
          <c:tx>
            <c:strRef>
              <c:f>'Monthly Summary'!$AA$77</c:f>
              <c:strCache>
                <c:ptCount val="1"/>
                <c:pt idx="0">
                  <c:v>Inventory Turnover</c:v>
                </c:pt>
              </c:strCache>
              <c:extLst xmlns:c15="http://schemas.microsoft.com/office/drawing/2012/chart"/>
            </c:strRef>
          </c:tx>
          <c:spPr>
            <a:ln w="28575" cap="rnd">
              <a:solidFill>
                <a:schemeClr val="accent3">
                  <a:lumMod val="80000"/>
                  <a:lumOff val="20000"/>
                </a:schemeClr>
              </a:solidFill>
              <a:round/>
            </a:ln>
            <a:effectLst/>
          </c:spPr>
          <c:marker>
            <c:symbol val="none"/>
          </c:marker>
          <c:cat>
            <c:numRef>
              <c:f>'Monthly Summary'!$O$2:$Z$2</c:f>
            </c:numRef>
          </c:cat>
          <c:val>
            <c:numRef>
              <c:f>'Monthly Summary'!$AB$77:$AF$77</c:f>
              <c:extLst xmlns:c15="http://schemas.microsoft.com/office/drawing/2012/chart"/>
            </c:numRef>
          </c:val>
          <c:smooth val="0"/>
          <c:extLst xmlns:c15="http://schemas.microsoft.com/office/drawing/2012/chart">
            <c:ext xmlns:c16="http://schemas.microsoft.com/office/drawing/2014/chart" uri="{C3380CC4-5D6E-409C-BE32-E72D297353CC}">
              <c16:uniqueId val="{0000000C-5E8A-4EB4-AA71-4C0C9D829D5F}"/>
            </c:ext>
          </c:extLst>
        </c:ser>
        <c:ser>
          <c:idx val="15"/>
          <c:order val="10"/>
          <c:tx>
            <c:strRef>
              <c:f>'Monthly Summary'!$AA$78</c:f>
              <c:strCache>
                <c:ptCount val="1"/>
                <c:pt idx="0">
                  <c:v>Inventory Days </c:v>
                </c:pt>
              </c:strCache>
              <c:extLst xmlns:c15="http://schemas.microsoft.com/office/drawing/2012/chart"/>
            </c:strRef>
          </c:tx>
          <c:spPr>
            <a:ln w="28575" cap="rnd">
              <a:solidFill>
                <a:schemeClr val="accent4">
                  <a:lumMod val="80000"/>
                  <a:lumOff val="20000"/>
                </a:schemeClr>
              </a:solidFill>
              <a:round/>
            </a:ln>
            <a:effectLst/>
          </c:spPr>
          <c:marker>
            <c:symbol val="none"/>
          </c:marker>
          <c:cat>
            <c:numRef>
              <c:f>'Monthly Summary'!$O$2:$Z$2</c:f>
            </c:numRef>
          </c:cat>
          <c:val>
            <c:numRef>
              <c:f>'Monthly Summary'!$AB$78:$AF$78</c:f>
              <c:extLst xmlns:c15="http://schemas.microsoft.com/office/drawing/2012/chart"/>
            </c:numRef>
          </c:val>
          <c:smooth val="0"/>
          <c:extLst xmlns:c15="http://schemas.microsoft.com/office/drawing/2012/chart">
            <c:ext xmlns:c16="http://schemas.microsoft.com/office/drawing/2014/chart" uri="{C3380CC4-5D6E-409C-BE32-E72D297353CC}">
              <c16:uniqueId val="{0000000D-5E8A-4EB4-AA71-4C0C9D829D5F}"/>
            </c:ext>
          </c:extLst>
        </c:ser>
        <c:ser>
          <c:idx val="16"/>
          <c:order val="11"/>
          <c:tx>
            <c:strRef>
              <c:f>'Monthly Summary'!$AA$79</c:f>
              <c:strCache>
                <c:ptCount val="1"/>
                <c:pt idx="0">
                  <c:v>Payable turnover </c:v>
                </c:pt>
              </c:strCache>
              <c:extLst xmlns:c15="http://schemas.microsoft.com/office/drawing/2012/chart"/>
            </c:strRef>
          </c:tx>
          <c:spPr>
            <a:ln w="28575" cap="rnd">
              <a:solidFill>
                <a:schemeClr val="accent5">
                  <a:lumMod val="80000"/>
                  <a:lumOff val="20000"/>
                </a:schemeClr>
              </a:solidFill>
              <a:round/>
            </a:ln>
            <a:effectLst/>
          </c:spPr>
          <c:marker>
            <c:symbol val="none"/>
          </c:marker>
          <c:cat>
            <c:numRef>
              <c:f>'Monthly Summary'!$O$2:$Z$2</c:f>
            </c:numRef>
          </c:cat>
          <c:val>
            <c:numRef>
              <c:f>'Monthly Summary'!$AB$79:$AF$79</c:f>
              <c:extLst xmlns:c15="http://schemas.microsoft.com/office/drawing/2012/chart"/>
            </c:numRef>
          </c:val>
          <c:smooth val="0"/>
          <c:extLst xmlns:c15="http://schemas.microsoft.com/office/drawing/2012/chart">
            <c:ext xmlns:c16="http://schemas.microsoft.com/office/drawing/2014/chart" uri="{C3380CC4-5D6E-409C-BE32-E72D297353CC}">
              <c16:uniqueId val="{0000000E-5E8A-4EB4-AA71-4C0C9D829D5F}"/>
            </c:ext>
          </c:extLst>
        </c:ser>
        <c:ser>
          <c:idx val="17"/>
          <c:order val="12"/>
          <c:tx>
            <c:strRef>
              <c:f>'Monthly Summary'!$AA$80</c:f>
              <c:strCache>
                <c:ptCount val="1"/>
                <c:pt idx="0">
                  <c:v>Payable Days</c:v>
                </c:pt>
              </c:strCache>
              <c:extLst xmlns:c15="http://schemas.microsoft.com/office/drawing/2012/chart"/>
            </c:strRef>
          </c:tx>
          <c:spPr>
            <a:ln w="28575" cap="rnd">
              <a:solidFill>
                <a:schemeClr val="accent6">
                  <a:lumMod val="80000"/>
                  <a:lumOff val="20000"/>
                </a:schemeClr>
              </a:solidFill>
              <a:round/>
            </a:ln>
            <a:effectLst/>
          </c:spPr>
          <c:marker>
            <c:symbol val="none"/>
          </c:marker>
          <c:cat>
            <c:numRef>
              <c:f>'Monthly Summary'!$O$2:$Z$2</c:f>
            </c:numRef>
          </c:cat>
          <c:val>
            <c:numRef>
              <c:f>'Monthly Summary'!$AB$80:$AF$80</c:f>
              <c:extLst xmlns:c15="http://schemas.microsoft.com/office/drawing/2012/chart"/>
            </c:numRef>
          </c:val>
          <c:smooth val="0"/>
          <c:extLst xmlns:c15="http://schemas.microsoft.com/office/drawing/2012/chart">
            <c:ext xmlns:c16="http://schemas.microsoft.com/office/drawing/2014/chart" uri="{C3380CC4-5D6E-409C-BE32-E72D297353CC}">
              <c16:uniqueId val="{0000000F-5E8A-4EB4-AA71-4C0C9D829D5F}"/>
            </c:ext>
          </c:extLst>
        </c:ser>
        <c:ser>
          <c:idx val="18"/>
          <c:order val="13"/>
          <c:tx>
            <c:strRef>
              <c:f>'Monthly Summary'!$AA$81</c:f>
              <c:strCache>
                <c:ptCount val="1"/>
              </c:strCache>
              <c:extLst xmlns:c15="http://schemas.microsoft.com/office/drawing/2012/chart"/>
            </c:strRef>
          </c:tx>
          <c:spPr>
            <a:ln w="28575" cap="rnd">
              <a:solidFill>
                <a:schemeClr val="accent1">
                  <a:lumMod val="80000"/>
                </a:schemeClr>
              </a:solidFill>
              <a:round/>
            </a:ln>
            <a:effectLst/>
          </c:spPr>
          <c:marker>
            <c:symbol val="none"/>
          </c:marker>
          <c:cat>
            <c:numRef>
              <c:f>'Monthly Summary'!$O$2:$Z$2</c:f>
            </c:numRef>
          </c:cat>
          <c:val>
            <c:numRef>
              <c:f>'Monthly Summary'!$AB$81:$AF$81</c:f>
              <c:extLst xmlns:c15="http://schemas.microsoft.com/office/drawing/2012/chart"/>
            </c:numRef>
          </c:val>
          <c:smooth val="0"/>
          <c:extLst xmlns:c15="http://schemas.microsoft.com/office/drawing/2012/chart">
            <c:ext xmlns:c16="http://schemas.microsoft.com/office/drawing/2014/chart" uri="{C3380CC4-5D6E-409C-BE32-E72D297353CC}">
              <c16:uniqueId val="{00000010-5E8A-4EB4-AA71-4C0C9D829D5F}"/>
            </c:ext>
          </c:extLst>
        </c:ser>
        <c:ser>
          <c:idx val="19"/>
          <c:order val="14"/>
          <c:tx>
            <c:strRef>
              <c:f>'Monthly Summary'!$AA$82</c:f>
              <c:strCache>
                <c:ptCount val="1"/>
                <c:pt idx="0">
                  <c:v>Operating Cash Flow</c:v>
                </c:pt>
              </c:strCache>
              <c:extLst xmlns:c15="http://schemas.microsoft.com/office/drawing/2012/chart"/>
            </c:strRef>
          </c:tx>
          <c:spPr>
            <a:ln w="28575" cap="rnd">
              <a:solidFill>
                <a:schemeClr val="accent2">
                  <a:lumMod val="80000"/>
                </a:schemeClr>
              </a:solidFill>
              <a:round/>
            </a:ln>
            <a:effectLst/>
          </c:spPr>
          <c:marker>
            <c:symbol val="none"/>
          </c:marker>
          <c:cat>
            <c:numRef>
              <c:f>'Monthly Summary'!$O$2:$Z$2</c:f>
            </c:numRef>
          </c:cat>
          <c:val>
            <c:numRef>
              <c:f>'Monthly Summary'!$AB$82:$AF$82</c:f>
              <c:extLst xmlns:c15="http://schemas.microsoft.com/office/drawing/2012/chart"/>
            </c:numRef>
          </c:val>
          <c:smooth val="0"/>
          <c:extLst xmlns:c15="http://schemas.microsoft.com/office/drawing/2012/chart">
            <c:ext xmlns:c16="http://schemas.microsoft.com/office/drawing/2014/chart" uri="{C3380CC4-5D6E-409C-BE32-E72D297353CC}">
              <c16:uniqueId val="{00000011-5E8A-4EB4-AA71-4C0C9D829D5F}"/>
            </c:ext>
          </c:extLst>
        </c:ser>
        <c:ser>
          <c:idx val="20"/>
          <c:order val="15"/>
          <c:tx>
            <c:strRef>
              <c:f>'Monthly Summary'!$AA$83</c:f>
              <c:strCache>
                <c:ptCount val="1"/>
                <c:pt idx="0">
                  <c:v>Investing Cash Flow</c:v>
                </c:pt>
              </c:strCache>
              <c:extLst xmlns:c15="http://schemas.microsoft.com/office/drawing/2012/chart"/>
            </c:strRef>
          </c:tx>
          <c:spPr>
            <a:ln w="28575" cap="rnd">
              <a:solidFill>
                <a:schemeClr val="accent3">
                  <a:lumMod val="80000"/>
                </a:schemeClr>
              </a:solidFill>
              <a:round/>
            </a:ln>
            <a:effectLst/>
          </c:spPr>
          <c:marker>
            <c:symbol val="none"/>
          </c:marker>
          <c:cat>
            <c:numRef>
              <c:f>'Monthly Summary'!$O$2:$Z$2</c:f>
            </c:numRef>
          </c:cat>
          <c:val>
            <c:numRef>
              <c:f>'Monthly Summary'!$AB$83:$AF$83</c:f>
              <c:extLst xmlns:c15="http://schemas.microsoft.com/office/drawing/2012/chart"/>
            </c:numRef>
          </c:val>
          <c:smooth val="0"/>
          <c:extLst xmlns:c15="http://schemas.microsoft.com/office/drawing/2012/chart">
            <c:ext xmlns:c16="http://schemas.microsoft.com/office/drawing/2014/chart" uri="{C3380CC4-5D6E-409C-BE32-E72D297353CC}">
              <c16:uniqueId val="{00000012-5E8A-4EB4-AA71-4C0C9D829D5F}"/>
            </c:ext>
          </c:extLst>
        </c:ser>
        <c:ser>
          <c:idx val="21"/>
          <c:order val="16"/>
          <c:tx>
            <c:strRef>
              <c:f>'Monthly Summary'!$AA$84</c:f>
              <c:strCache>
                <c:ptCount val="1"/>
                <c:pt idx="0">
                  <c:v>Financing Cash Flow</c:v>
                </c:pt>
              </c:strCache>
              <c:extLst xmlns:c15="http://schemas.microsoft.com/office/drawing/2012/chart"/>
            </c:strRef>
          </c:tx>
          <c:spPr>
            <a:ln w="28575" cap="rnd">
              <a:solidFill>
                <a:schemeClr val="accent4">
                  <a:lumMod val="80000"/>
                </a:schemeClr>
              </a:solidFill>
              <a:round/>
            </a:ln>
            <a:effectLst/>
          </c:spPr>
          <c:marker>
            <c:symbol val="none"/>
          </c:marker>
          <c:cat>
            <c:numRef>
              <c:f>'Monthly Summary'!$O$2:$Z$2</c:f>
            </c:numRef>
          </c:cat>
          <c:val>
            <c:numRef>
              <c:f>'Monthly Summary'!$AB$84:$AF$84</c:f>
              <c:extLst xmlns:c15="http://schemas.microsoft.com/office/drawing/2012/chart"/>
            </c:numRef>
          </c:val>
          <c:smooth val="0"/>
          <c:extLst xmlns:c15="http://schemas.microsoft.com/office/drawing/2012/chart">
            <c:ext xmlns:c16="http://schemas.microsoft.com/office/drawing/2014/chart" uri="{C3380CC4-5D6E-409C-BE32-E72D297353CC}">
              <c16:uniqueId val="{00000013-5E8A-4EB4-AA71-4C0C9D829D5F}"/>
            </c:ext>
          </c:extLst>
        </c:ser>
        <c:ser>
          <c:idx val="22"/>
          <c:order val="17"/>
          <c:tx>
            <c:strRef>
              <c:f>'Monthly Summary'!$AA$85</c:f>
              <c:strCache>
                <c:ptCount val="1"/>
                <c:pt idx="0">
                  <c:v>Net Cash Flow</c:v>
                </c:pt>
              </c:strCache>
              <c:extLst xmlns:c15="http://schemas.microsoft.com/office/drawing/2012/chart"/>
            </c:strRef>
          </c:tx>
          <c:spPr>
            <a:ln w="28575" cap="rnd">
              <a:solidFill>
                <a:schemeClr val="accent5">
                  <a:lumMod val="80000"/>
                </a:schemeClr>
              </a:solidFill>
              <a:round/>
            </a:ln>
            <a:effectLst/>
          </c:spPr>
          <c:marker>
            <c:symbol val="none"/>
          </c:marker>
          <c:cat>
            <c:numRef>
              <c:f>'Monthly Summary'!$O$2:$Z$2</c:f>
            </c:numRef>
          </c:cat>
          <c:val>
            <c:numRef>
              <c:f>'Monthly Summary'!$AB$85:$AF$85</c:f>
              <c:extLst xmlns:c15="http://schemas.microsoft.com/office/drawing/2012/chart"/>
            </c:numRef>
          </c:val>
          <c:smooth val="0"/>
          <c:extLst xmlns:c15="http://schemas.microsoft.com/office/drawing/2012/chart">
            <c:ext xmlns:c16="http://schemas.microsoft.com/office/drawing/2014/chart" uri="{C3380CC4-5D6E-409C-BE32-E72D297353CC}">
              <c16:uniqueId val="{00000014-5E8A-4EB4-AA71-4C0C9D829D5F}"/>
            </c:ext>
          </c:extLst>
        </c:ser>
        <c:ser>
          <c:idx val="23"/>
          <c:order val="18"/>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numRef>
              <c:f>'Monthly Summary'!$O$2:$Z$2</c:f>
            </c:num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5-5E8A-4EB4-AA71-4C0C9D829D5F}"/>
            </c:ext>
          </c:extLst>
        </c:ser>
        <c:ser>
          <c:idx val="24"/>
          <c:order val="19"/>
          <c:tx>
            <c:strRef>
              <c:f>'Monthly Summary'!$O$87</c:f>
              <c:strCache>
                <c:ptCount val="1"/>
                <c:pt idx="0">
                  <c:v>Free Cash Flow</c:v>
                </c:pt>
              </c:strCache>
              <c:extLst xmlns:c15="http://schemas.microsoft.com/office/drawing/2012/chart"/>
            </c:strRef>
          </c:tx>
          <c:spPr>
            <a:ln w="28575" cap="rnd">
              <a:solidFill>
                <a:schemeClr val="accent1">
                  <a:lumMod val="60000"/>
                  <a:lumOff val="40000"/>
                </a:schemeClr>
              </a:solidFill>
              <a:round/>
            </a:ln>
            <a:effectLst/>
          </c:spPr>
          <c:marker>
            <c:symbol val="none"/>
          </c:marker>
          <c:cat>
            <c:numRef>
              <c:f>'Monthly Summary'!$O$2:$Z$2</c:f>
            </c:numRef>
          </c:cat>
          <c:val>
            <c:numRef>
              <c:f>'Monthly Summary'!$P$87:$T$87</c:f>
              <c:extLst xmlns:c15="http://schemas.microsoft.com/office/drawing/2012/chart"/>
            </c:numRef>
          </c:val>
          <c:smooth val="0"/>
          <c:extLst xmlns:c15="http://schemas.microsoft.com/office/drawing/2012/chart">
            <c:ext xmlns:c16="http://schemas.microsoft.com/office/drawing/2014/chart" uri="{C3380CC4-5D6E-409C-BE32-E72D297353CC}">
              <c16:uniqueId val="{00000016-5E8A-4EB4-AA71-4C0C9D829D5F}"/>
            </c:ext>
          </c:extLst>
        </c:ser>
        <c:ser>
          <c:idx val="5"/>
          <c:order val="20"/>
          <c:tx>
            <c:strRef>
              <c:f>'Monthly Summary'!$B$47</c:f>
              <c:strCache>
                <c:ptCount val="1"/>
                <c:pt idx="0">
                  <c:v>Revenue - Cum</c:v>
                </c:pt>
              </c:strCache>
            </c:strRef>
          </c:tx>
          <c:spPr>
            <a:ln w="28575" cap="rnd">
              <a:solidFill>
                <a:schemeClr val="accent6"/>
              </a:solidFill>
              <a:round/>
            </a:ln>
            <a:effectLst/>
          </c:spPr>
          <c:marker>
            <c:symbol val="none"/>
          </c:marker>
          <c:cat>
            <c:numRef>
              <c:f>'Monthly Summary'!$O$2:$Z$2</c:f>
            </c:numRef>
          </c:cat>
          <c:val>
            <c:numRef>
              <c:f>'Monthly Summary'!$O$47:$Z$47</c:f>
            </c:numRef>
          </c:val>
          <c:smooth val="0"/>
          <c:extLst>
            <c:ext xmlns:c16="http://schemas.microsoft.com/office/drawing/2014/chart" uri="{C3380CC4-5D6E-409C-BE32-E72D297353CC}">
              <c16:uniqueId val="{00000000-5E8A-4EB4-AA71-4C0C9D829D5F}"/>
            </c:ext>
          </c:extLst>
        </c:ser>
        <c:dLbls>
          <c:showLegendKey val="0"/>
          <c:showVal val="0"/>
          <c:showCatName val="0"/>
          <c:showSerName val="0"/>
          <c:showPercent val="0"/>
          <c:showBubbleSize val="0"/>
        </c:dLbls>
        <c:marker val="1"/>
        <c:smooth val="0"/>
        <c:axId val="995343552"/>
        <c:axId val="995340600"/>
        <c:extLst/>
      </c:lineChart>
      <c:lineChart>
        <c:grouping val="standard"/>
        <c:varyColors val="0"/>
        <c:ser>
          <c:idx val="6"/>
          <c:order val="21"/>
          <c:tx>
            <c:strRef>
              <c:f>'Monthly Summary'!$B$48</c:f>
              <c:strCache>
                <c:ptCount val="1"/>
                <c:pt idx="0">
                  <c:v>EBITDA - Cum</c:v>
                </c:pt>
              </c:strCache>
            </c:strRef>
          </c:tx>
          <c:spPr>
            <a:ln w="28575" cap="rnd">
              <a:solidFill>
                <a:schemeClr val="accent1">
                  <a:lumMod val="60000"/>
                </a:schemeClr>
              </a:solidFill>
              <a:round/>
            </a:ln>
            <a:effectLst/>
          </c:spPr>
          <c:marker>
            <c:symbol val="square"/>
            <c:size val="5"/>
            <c:spPr>
              <a:solidFill>
                <a:schemeClr val="accent1">
                  <a:lumMod val="60000"/>
                </a:schemeClr>
              </a:solidFill>
              <a:ln w="9525">
                <a:solidFill>
                  <a:schemeClr val="accent1">
                    <a:lumMod val="60000"/>
                  </a:schemeClr>
                </a:solidFill>
              </a:ln>
              <a:effectLst/>
            </c:spPr>
          </c:marker>
          <c:cat>
            <c:numRef>
              <c:f>'Monthly Summary'!$O$2:$Z$2</c:f>
            </c:numRef>
          </c:cat>
          <c:val>
            <c:numRef>
              <c:f>'Monthly Summary'!$O$48:$Z$48</c:f>
            </c:numRef>
          </c:val>
          <c:smooth val="0"/>
          <c:extLst>
            <c:ext xmlns:c16="http://schemas.microsoft.com/office/drawing/2014/chart" uri="{C3380CC4-5D6E-409C-BE32-E72D297353CC}">
              <c16:uniqueId val="{00000001-5E8A-4EB4-AA71-4C0C9D829D5F}"/>
            </c:ext>
          </c:extLst>
        </c:ser>
        <c:ser>
          <c:idx val="7"/>
          <c:order val="22"/>
          <c:tx>
            <c:strRef>
              <c:f>'Monthly Summary'!$B$49</c:f>
              <c:strCache>
                <c:ptCount val="1"/>
                <c:pt idx="0">
                  <c:v>Free Cash Flow - Cum</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'Monthly Summary'!$O$2:$Z$2</c:f>
            </c:numRef>
          </c:cat>
          <c:val>
            <c:numRef>
              <c:f>'Monthly Summary'!$O$49:$Z$49</c:f>
            </c:numRef>
          </c:val>
          <c:smooth val="0"/>
          <c:extLst>
            <c:ext xmlns:c16="http://schemas.microsoft.com/office/drawing/2014/chart" uri="{C3380CC4-5D6E-409C-BE32-E72D297353CC}">
              <c16:uniqueId val="{00000002-5E8A-4EB4-AA71-4C0C9D829D5F}"/>
            </c:ext>
          </c:extLst>
        </c:ser>
        <c:dLbls>
          <c:showLegendKey val="0"/>
          <c:showVal val="0"/>
          <c:showCatName val="0"/>
          <c:showSerName val="0"/>
          <c:showPercent val="0"/>
          <c:showBubbleSize val="0"/>
        </c:dLbls>
        <c:marker val="1"/>
        <c:smooth val="0"/>
        <c:axId val="357220479"/>
        <c:axId val="354225263"/>
      </c:lineChart>
      <c:catAx>
        <c:axId val="9953435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1"/>
      </c:catAx>
      <c:valAx>
        <c:axId val="995340600"/>
        <c:scaling>
          <c:orientation val="minMax"/>
          <c:max val="1800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majorUnit val="2000000"/>
      </c:valAx>
      <c:valAx>
        <c:axId val="354225263"/>
        <c:scaling>
          <c:orientation val="minMax"/>
          <c:max val="5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EBITDA , FCF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220479"/>
        <c:crosses val="max"/>
        <c:crossBetween val="between"/>
      </c:valAx>
      <c:catAx>
        <c:axId val="357220479"/>
        <c:scaling>
          <c:orientation val="minMax"/>
        </c:scaling>
        <c:delete val="1"/>
        <c:axPos val="b"/>
        <c:numFmt formatCode="mmm\-yy" sourceLinked="1"/>
        <c:majorTickMark val="out"/>
        <c:minorTickMark val="none"/>
        <c:tickLblPos val="nextTo"/>
        <c:crossAx val="354225263"/>
        <c:crosses val="autoZero"/>
        <c:auto val="1"/>
        <c:lblAlgn val="ctr"/>
        <c:lblOffset val="100"/>
        <c:noMultiLvlLbl val="1"/>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Company Wide Wages (actual vs plan)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Summary'!$B$52</c:f>
              <c:strCache>
                <c:ptCount val="1"/>
                <c:pt idx="0">
                  <c:v>Actual Wages</c:v>
                </c:pt>
              </c:strCache>
            </c:strRef>
          </c:tx>
          <c:spPr>
            <a:solidFill>
              <a:schemeClr val="accent1"/>
            </a:solidFill>
            <a:ln>
              <a:noFill/>
            </a:ln>
            <a:effectLst/>
          </c:spPr>
          <c:invertIfNegative val="0"/>
          <c:cat>
            <c:strRef>
              <c:f>'Monthly Summary'!$C$2:$Z$2</c:f>
            </c:strRef>
          </c:cat>
          <c:val>
            <c:numRef>
              <c:f>'Monthly Summary'!$C$52:$S$52</c:f>
            </c:numRef>
          </c:val>
          <c:extLst>
            <c:ext xmlns:c16="http://schemas.microsoft.com/office/drawing/2014/chart" uri="{C3380CC4-5D6E-409C-BE32-E72D297353CC}">
              <c16:uniqueId val="{00000000-90C0-4D73-B431-F545BB75FCE5}"/>
            </c:ext>
          </c:extLst>
        </c:ser>
        <c:ser>
          <c:idx val="1"/>
          <c:order val="1"/>
          <c:tx>
            <c:strRef>
              <c:f>'Monthly Summary'!$AA$61</c:f>
              <c:strCache>
                <c:ptCount val="1"/>
              </c:strCache>
            </c:strRef>
          </c:tx>
          <c:spPr>
            <a:solidFill>
              <a:schemeClr val="accent2"/>
            </a:solidFill>
            <a:ln>
              <a:noFill/>
            </a:ln>
            <a:effectLst/>
          </c:spPr>
          <c:invertIfNegative val="0"/>
          <c:cat>
            <c:strRef>
              <c:f>'Monthly Summary'!$C$2:$Z$2</c:f>
            </c:strRef>
          </c:cat>
          <c:val>
            <c:numRef>
              <c:f>'Monthly Summary'!$C$53:$Z$53</c:f>
            </c:numRef>
          </c:val>
          <c:extLst>
            <c:ext xmlns:c16="http://schemas.microsoft.com/office/drawing/2014/chart" uri="{C3380CC4-5D6E-409C-BE32-E72D297353CC}">
              <c16:uniqueId val="{00000002-90C0-4D73-B431-F545BB75FCE5}"/>
            </c:ext>
          </c:extLst>
        </c:ser>
        <c:dLbls>
          <c:showLegendKey val="0"/>
          <c:showVal val="0"/>
          <c:showCatName val="0"/>
          <c:showSerName val="0"/>
          <c:showPercent val="0"/>
          <c:showBubbleSize val="0"/>
        </c:dLbls>
        <c:gapWidth val="219"/>
        <c:overlap val="-27"/>
        <c:axId val="1974706880"/>
        <c:axId val="1974721024"/>
      </c:barChart>
      <c:catAx>
        <c:axId val="197470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21024"/>
        <c:crosses val="autoZero"/>
        <c:auto val="1"/>
        <c:lblAlgn val="ctr"/>
        <c:lblOffset val="100"/>
        <c:noMultiLvlLbl val="1"/>
      </c:catAx>
      <c:valAx>
        <c:axId val="197472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0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Operations Wages (actual vs plan)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Summary'!$B$54</c:f>
              <c:strCache>
                <c:ptCount val="1"/>
                <c:pt idx="0">
                  <c:v>Operations Wages</c:v>
                </c:pt>
              </c:strCache>
            </c:strRef>
          </c:tx>
          <c:spPr>
            <a:solidFill>
              <a:schemeClr val="accent1"/>
            </a:solidFill>
            <a:ln>
              <a:noFill/>
            </a:ln>
            <a:effectLst/>
          </c:spPr>
          <c:invertIfNegative val="0"/>
          <c:cat>
            <c:strRef>
              <c:f>'Monthly Summary'!$C$2:$Z$2</c:f>
            </c:strRef>
          </c:cat>
          <c:val>
            <c:numRef>
              <c:f>'Monthly Summary'!$C$54:$S$54</c:f>
            </c:numRef>
          </c:val>
          <c:extLst>
            <c:ext xmlns:c16="http://schemas.microsoft.com/office/drawing/2014/chart" uri="{C3380CC4-5D6E-409C-BE32-E72D297353CC}">
              <c16:uniqueId val="{00000000-0A62-4371-B8AF-BE91B5C7C2D0}"/>
            </c:ext>
          </c:extLst>
        </c:ser>
        <c:ser>
          <c:idx val="1"/>
          <c:order val="1"/>
          <c:tx>
            <c:strRef>
              <c:f>'Monthly Summary'!$B$57</c:f>
              <c:strCache>
                <c:ptCount val="1"/>
                <c:pt idx="0">
                  <c:v>Plan Operations Wages</c:v>
                </c:pt>
              </c:strCache>
            </c:strRef>
          </c:tx>
          <c:spPr>
            <a:solidFill>
              <a:schemeClr val="accent2"/>
            </a:solidFill>
            <a:ln>
              <a:noFill/>
            </a:ln>
            <a:effectLst/>
          </c:spPr>
          <c:invertIfNegative val="0"/>
          <c:cat>
            <c:strRef>
              <c:f>'Monthly Summary'!$C$2:$Z$2</c:f>
            </c:strRef>
          </c:cat>
          <c:val>
            <c:numRef>
              <c:f>'Monthly Summary'!$C$57:$Z$57</c:f>
            </c:numRef>
          </c:val>
          <c:extLst>
            <c:ext xmlns:c16="http://schemas.microsoft.com/office/drawing/2014/chart" uri="{C3380CC4-5D6E-409C-BE32-E72D297353CC}">
              <c16:uniqueId val="{00000001-0A62-4371-B8AF-BE91B5C7C2D0}"/>
            </c:ext>
          </c:extLst>
        </c:ser>
        <c:dLbls>
          <c:showLegendKey val="0"/>
          <c:showVal val="0"/>
          <c:showCatName val="0"/>
          <c:showSerName val="0"/>
          <c:showPercent val="0"/>
          <c:showBubbleSize val="0"/>
        </c:dLbls>
        <c:gapWidth val="219"/>
        <c:overlap val="-27"/>
        <c:axId val="1974706880"/>
        <c:axId val="1974721024"/>
      </c:barChart>
      <c:catAx>
        <c:axId val="197470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21024"/>
        <c:crosses val="autoZero"/>
        <c:auto val="1"/>
        <c:lblAlgn val="ctr"/>
        <c:lblOffset val="100"/>
        <c:noMultiLvlLbl val="1"/>
      </c:catAx>
      <c:valAx>
        <c:axId val="197472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0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Business Development Wages (actual vs plan)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Summary'!$B$55</c:f>
              <c:strCache>
                <c:ptCount val="1"/>
                <c:pt idx="0">
                  <c:v>Biz Dev Wages</c:v>
                </c:pt>
              </c:strCache>
            </c:strRef>
          </c:tx>
          <c:spPr>
            <a:solidFill>
              <a:schemeClr val="accent1"/>
            </a:solidFill>
            <a:ln>
              <a:noFill/>
            </a:ln>
            <a:effectLst/>
          </c:spPr>
          <c:invertIfNegative val="0"/>
          <c:cat>
            <c:strRef>
              <c:f>'Monthly Summary'!$C$2:$Z$2</c:f>
            </c:strRef>
          </c:cat>
          <c:val>
            <c:numRef>
              <c:f>'Monthly Summary'!$C$55:$S$55</c:f>
            </c:numRef>
          </c:val>
          <c:extLst>
            <c:ext xmlns:c16="http://schemas.microsoft.com/office/drawing/2014/chart" uri="{C3380CC4-5D6E-409C-BE32-E72D297353CC}">
              <c16:uniqueId val="{00000000-BC26-4C94-AE7E-C8163FECD85B}"/>
            </c:ext>
          </c:extLst>
        </c:ser>
        <c:ser>
          <c:idx val="1"/>
          <c:order val="1"/>
          <c:tx>
            <c:strRef>
              <c:f>'Monthly Summary'!$B$58</c:f>
              <c:strCache>
                <c:ptCount val="1"/>
                <c:pt idx="0">
                  <c:v>Plan Biz Dev Wages</c:v>
                </c:pt>
              </c:strCache>
            </c:strRef>
          </c:tx>
          <c:spPr>
            <a:solidFill>
              <a:schemeClr val="accent2"/>
            </a:solidFill>
            <a:ln>
              <a:noFill/>
            </a:ln>
            <a:effectLst/>
          </c:spPr>
          <c:invertIfNegative val="0"/>
          <c:cat>
            <c:strRef>
              <c:f>'Monthly Summary'!$C$2:$Z$2</c:f>
            </c:strRef>
          </c:cat>
          <c:val>
            <c:numRef>
              <c:f>'Monthly Summary'!$C$58:$Z$58</c:f>
            </c:numRef>
          </c:val>
          <c:extLst>
            <c:ext xmlns:c16="http://schemas.microsoft.com/office/drawing/2014/chart" uri="{C3380CC4-5D6E-409C-BE32-E72D297353CC}">
              <c16:uniqueId val="{00000001-BC26-4C94-AE7E-C8163FECD85B}"/>
            </c:ext>
          </c:extLst>
        </c:ser>
        <c:dLbls>
          <c:showLegendKey val="0"/>
          <c:showVal val="0"/>
          <c:showCatName val="0"/>
          <c:showSerName val="0"/>
          <c:showPercent val="0"/>
          <c:showBubbleSize val="0"/>
        </c:dLbls>
        <c:gapWidth val="219"/>
        <c:overlap val="-27"/>
        <c:axId val="1974706880"/>
        <c:axId val="1974721024"/>
      </c:barChart>
      <c:catAx>
        <c:axId val="197470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21024"/>
        <c:crosses val="autoZero"/>
        <c:auto val="1"/>
        <c:lblAlgn val="ctr"/>
        <c:lblOffset val="100"/>
        <c:noMultiLvlLbl val="1"/>
      </c:catAx>
      <c:valAx>
        <c:axId val="197472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0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Admin Wages (actual vs plan)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Summary'!$B$56</c:f>
              <c:strCache>
                <c:ptCount val="1"/>
                <c:pt idx="0">
                  <c:v>Admin Wages</c:v>
                </c:pt>
              </c:strCache>
            </c:strRef>
          </c:tx>
          <c:spPr>
            <a:solidFill>
              <a:schemeClr val="accent1"/>
            </a:solidFill>
            <a:ln>
              <a:noFill/>
            </a:ln>
            <a:effectLst/>
          </c:spPr>
          <c:invertIfNegative val="0"/>
          <c:cat>
            <c:strRef>
              <c:f>'Monthly Summary'!$C$2:$Z$2</c:f>
            </c:strRef>
          </c:cat>
          <c:val>
            <c:numRef>
              <c:f>'Monthly Summary'!$C$56:$S$56</c:f>
            </c:numRef>
          </c:val>
          <c:extLst>
            <c:ext xmlns:c16="http://schemas.microsoft.com/office/drawing/2014/chart" uri="{C3380CC4-5D6E-409C-BE32-E72D297353CC}">
              <c16:uniqueId val="{00000000-F9C2-40D7-92DB-D765650E29F0}"/>
            </c:ext>
          </c:extLst>
        </c:ser>
        <c:ser>
          <c:idx val="1"/>
          <c:order val="1"/>
          <c:tx>
            <c:strRef>
              <c:f>'Monthly Summary'!$B$59</c:f>
              <c:strCache>
                <c:ptCount val="1"/>
                <c:pt idx="0">
                  <c:v>Plan Admin Wages</c:v>
                </c:pt>
              </c:strCache>
            </c:strRef>
          </c:tx>
          <c:spPr>
            <a:solidFill>
              <a:schemeClr val="accent2"/>
            </a:solidFill>
            <a:ln>
              <a:noFill/>
            </a:ln>
            <a:effectLst/>
          </c:spPr>
          <c:invertIfNegative val="0"/>
          <c:cat>
            <c:strRef>
              <c:f>'Monthly Summary'!$C$2:$Z$2</c:f>
            </c:strRef>
          </c:cat>
          <c:val>
            <c:numRef>
              <c:f>'Monthly Summary'!$C$59:$Z$59</c:f>
            </c:numRef>
          </c:val>
          <c:extLst>
            <c:ext xmlns:c16="http://schemas.microsoft.com/office/drawing/2014/chart" uri="{C3380CC4-5D6E-409C-BE32-E72D297353CC}">
              <c16:uniqueId val="{00000001-F9C2-40D7-92DB-D765650E29F0}"/>
            </c:ext>
          </c:extLst>
        </c:ser>
        <c:dLbls>
          <c:showLegendKey val="0"/>
          <c:showVal val="0"/>
          <c:showCatName val="0"/>
          <c:showSerName val="0"/>
          <c:showPercent val="0"/>
          <c:showBubbleSize val="0"/>
        </c:dLbls>
        <c:gapWidth val="219"/>
        <c:overlap val="-27"/>
        <c:axId val="1974706880"/>
        <c:axId val="1974721024"/>
      </c:barChart>
      <c:catAx>
        <c:axId val="197470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21024"/>
        <c:crosses val="autoZero"/>
        <c:auto val="1"/>
        <c:lblAlgn val="ctr"/>
        <c:lblOffset val="100"/>
        <c:noMultiLvlLbl val="1"/>
      </c:catAx>
      <c:valAx>
        <c:axId val="197472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70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and Net Income Margin - %</a:t>
            </a:r>
          </a:p>
          <a:p>
            <a:pPr>
              <a:defRPr/>
            </a:pPr>
            <a:endParaRPr lang="en-US"/>
          </a:p>
        </c:rich>
      </c:tx>
      <c:layout>
        <c:manualLayout>
          <c:xMode val="edge"/>
          <c:yMode val="edge"/>
          <c:x val="0.28991467794642728"/>
          <c:y val="3.3879702285450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0"/>
          <c:tx>
            <c:strRef>
              <c:f>'Monthly Summary'!$B$6</c:f>
              <c:strCache>
                <c:ptCount val="1"/>
                <c:pt idx="0">
                  <c:v>GM - %</c:v>
                </c:pt>
              </c:strCache>
            </c:strRef>
          </c:tx>
          <c:spPr>
            <a:ln w="28575" cap="rnd">
              <a:solidFill>
                <a:schemeClr val="accent6"/>
              </a:solidFill>
              <a:round/>
            </a:ln>
            <a:effectLst/>
          </c:spPr>
          <c:marker>
            <c:symbol val="square"/>
            <c:size val="5"/>
            <c:spPr>
              <a:solidFill>
                <a:schemeClr val="accent6"/>
              </a:solidFill>
              <a:ln w="9525">
                <a:solidFill>
                  <a:schemeClr val="accent6"/>
                </a:solidFill>
              </a:ln>
              <a:effectLst/>
            </c:spPr>
          </c:marker>
          <c:trendline>
            <c:spPr>
              <a:ln w="31750" cap="rnd">
                <a:solidFill>
                  <a:schemeClr val="accent6"/>
                </a:solidFill>
                <a:prstDash val="sysDot"/>
              </a:ln>
              <a:effectLst/>
            </c:spPr>
            <c:trendlineType val="movingAvg"/>
            <c:period val="4"/>
            <c:dispRSqr val="0"/>
            <c:dispEq val="0"/>
          </c:trendline>
          <c:cat>
            <c:strRef>
              <c:f>'Monthly Summary'!$C$2:$Z$2</c:f>
            </c:strRef>
          </c:cat>
          <c:val>
            <c:numRef>
              <c:f>'Monthly Summary'!$C$6:$Z$6</c:f>
            </c:numRef>
          </c:val>
          <c:smooth val="0"/>
          <c:extLst>
            <c:ext xmlns:c16="http://schemas.microsoft.com/office/drawing/2014/chart" uri="{C3380CC4-5D6E-409C-BE32-E72D297353CC}">
              <c16:uniqueId val="{00000000-A1BB-4737-A44C-FED5E17238DB}"/>
            </c:ext>
          </c:extLst>
        </c:ser>
        <c:ser>
          <c:idx val="6"/>
          <c:order val="1"/>
          <c:tx>
            <c:strRef>
              <c:f>'Monthly Summary'!$B$9</c:f>
              <c:strCache>
                <c:ptCount val="1"/>
                <c:pt idx="0">
                  <c:v>NI - %</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'Monthly Summary'!$C$2:$Z$2</c:f>
            </c:strRef>
          </c:cat>
          <c:val>
            <c:numRef>
              <c:f>'Monthly Summary'!$C$9:$Z$9</c:f>
            </c:numRef>
          </c:val>
          <c:smooth val="0"/>
          <c:extLst>
            <c:ext xmlns:c16="http://schemas.microsoft.com/office/drawing/2014/chart" uri="{C3380CC4-5D6E-409C-BE32-E72D297353CC}">
              <c16:uniqueId val="{00000018-A1BB-4737-A44C-FED5E17238DB}"/>
            </c:ext>
          </c:extLst>
        </c:ser>
        <c:dLbls>
          <c:showLegendKey val="0"/>
          <c:showVal val="0"/>
          <c:showCatName val="0"/>
          <c:showSerName val="0"/>
          <c:showPercent val="0"/>
          <c:showBubbleSize val="0"/>
        </c:dLbls>
        <c:marker val="1"/>
        <c:smooth val="0"/>
        <c:axId val="995343552"/>
        <c:axId val="995340600"/>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1"/>
      </c:cat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Owners Equity</a:t>
            </a:r>
          </a:p>
        </c:rich>
      </c:tx>
      <c:layout>
        <c:manualLayout>
          <c:xMode val="edge"/>
          <c:yMode val="edge"/>
          <c:x val="0.39097185496402503"/>
          <c:y val="3.38797018631530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6"/>
          <c:order val="19"/>
          <c:tx>
            <c:strRef>
              <c:f>'Monthly Summary'!$B$19</c:f>
              <c:strCache>
                <c:ptCount val="1"/>
                <c:pt idx="0">
                  <c:v>Owners Equity (Book Value)</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'Monthly Summary'!$C$2:$Z$2</c:f>
            </c:strRef>
          </c:cat>
          <c:val>
            <c:numRef>
              <c:f>'Monthly Summary'!$C$19:$Z$19</c:f>
            </c:numRef>
          </c:val>
          <c:smooth val="0"/>
          <c:extLst>
            <c:ext xmlns:c16="http://schemas.microsoft.com/office/drawing/2014/chart" uri="{C3380CC4-5D6E-409C-BE32-E72D297353CC}">
              <c16:uniqueId val="{00000002-AFB4-4D9C-986E-22E94932B29A}"/>
            </c:ext>
          </c:extLst>
        </c:ser>
        <c:dLbls>
          <c:showLegendKey val="0"/>
          <c:showVal val="0"/>
          <c:showCatName val="0"/>
          <c:showSerName val="0"/>
          <c:showPercent val="0"/>
          <c:showBubbleSize val="0"/>
        </c:dLbls>
        <c:marker val="1"/>
        <c:smooth val="0"/>
        <c:axId val="995343552"/>
        <c:axId val="995340600"/>
        <c:extLst>
          <c:ext xmlns:c15="http://schemas.microsoft.com/office/drawing/2012/chart" uri="{02D57815-91ED-43cb-92C2-25804820EDAC}">
            <c15:filteredLineSeries>
              <c15:ser>
                <c:idx val="0"/>
                <c:order val="0"/>
                <c:tx>
                  <c:v>Liquidity: Current Ratio (1.5-2.0)</c:v>
                </c:tx>
                <c:spPr>
                  <a:ln w="28575" cap="rnd">
                    <a:solidFill>
                      <a:schemeClr val="accent1"/>
                    </a:solidFill>
                    <a:round/>
                  </a:ln>
                  <a:effectLst/>
                </c:spPr>
                <c:marker>
                  <c:symbol val="none"/>
                </c:marker>
                <c:cat>
                  <c:strRef>
                    <c:extLst>
                      <c:ext uri="{02D57815-91ED-43cb-92C2-25804820EDAC}">
                        <c15:formulaRef>
                          <c15:sqref>'Monthly Summary'!$C$2:$Z$2</c15:sqref>
                        </c15:formulaRef>
                      </c:ext>
                    </c:extLst>
                  </c:strRef>
                </c:cat>
                <c:val>
                  <c:numLit>
                    <c:formatCode>General</c:formatCode>
                    <c:ptCount val="5"/>
                    <c:pt idx="0">
                      <c:v>1.7175541549014883</c:v>
                    </c:pt>
                    <c:pt idx="1">
                      <c:v>1.8808320222022097</c:v>
                    </c:pt>
                    <c:pt idx="2">
                      <c:v>1.5499207568509525</c:v>
                    </c:pt>
                    <c:pt idx="3">
                      <c:v>1.9435781557883265</c:v>
                    </c:pt>
                    <c:pt idx="4">
                      <c:v>1.5205293373601991</c:v>
                    </c:pt>
                  </c:numLit>
                </c:val>
                <c:smooth val="0"/>
                <c:extLst>
                  <c:ext xmlns:c16="http://schemas.microsoft.com/office/drawing/2014/chart" uri="{C3380CC4-5D6E-409C-BE32-E72D297353CC}">
                    <c16:uniqueId val="{00000003-AFB4-4D9C-986E-22E94932B29A}"/>
                  </c:ext>
                </c:extLst>
              </c15:ser>
            </c15:filteredLineSeries>
            <c15:filteredLineSeries>
              <c15:ser>
                <c:idx val="1"/>
                <c:order val="1"/>
                <c:tx>
                  <c:v>Safety: Debt to Equity  (1.0 - 1.5)</c:v>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0.91871979409343241</c:v>
                    </c:pt>
                    <c:pt idx="1">
                      <c:v>0.6329443243562145</c:v>
                    </c:pt>
                    <c:pt idx="2">
                      <c:v>2.310467938464579</c:v>
                    </c:pt>
                    <c:pt idx="3">
                      <c:v>1.3738212830553447</c:v>
                    </c:pt>
                    <c:pt idx="4">
                      <c:v>1.8042365124956932</c:v>
                    </c:pt>
                  </c:numLit>
                </c:val>
                <c:smooth val="0"/>
                <c:extLst xmlns:c15="http://schemas.microsoft.com/office/drawing/2012/chart">
                  <c:ext xmlns:c16="http://schemas.microsoft.com/office/drawing/2014/chart" uri="{C3380CC4-5D6E-409C-BE32-E72D297353CC}">
                    <c16:uniqueId val="{00000004-AFB4-4D9C-986E-22E94932B29A}"/>
                  </c:ext>
                </c:extLst>
              </c15:ser>
            </c15:filteredLineSeries>
            <c15:filteredLineSeries>
              <c15:ser>
                <c:idx val="2"/>
                <c:order val="2"/>
                <c:tx>
                  <c:v>Net Working Capital</c:v>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1363627</c:v>
                    </c:pt>
                    <c:pt idx="1">
                      <c:v>1256846</c:v>
                    </c:pt>
                    <c:pt idx="2">
                      <c:v>1586060</c:v>
                    </c:pt>
                    <c:pt idx="3">
                      <c:v>2121249</c:v>
                    </c:pt>
                    <c:pt idx="4">
                      <c:v>1697943.0300000003</c:v>
                    </c:pt>
                  </c:numLit>
                </c:val>
                <c:smooth val="0"/>
                <c:extLst xmlns:c15="http://schemas.microsoft.com/office/drawing/2012/chart">
                  <c:ext xmlns:c16="http://schemas.microsoft.com/office/drawing/2014/chart" uri="{C3380CC4-5D6E-409C-BE32-E72D297353CC}">
                    <c16:uniqueId val="{00000005-AFB4-4D9C-986E-22E94932B29A}"/>
                  </c:ext>
                </c:extLst>
              </c15:ser>
            </c15:filteredLineSeries>
            <c15:filteredLineSeries>
              <c15:ser>
                <c:idx val="3"/>
                <c:order val="3"/>
                <c:tx>
                  <c:v>Non-Cash Working Capital</c:v>
                </c:tx>
                <c:spPr>
                  <a:ln w="28575" cap="rnd">
                    <a:solidFill>
                      <a:schemeClr val="accent4"/>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-95187</c:v>
                    </c:pt>
                    <c:pt idx="1">
                      <c:v>480229</c:v>
                    </c:pt>
                    <c:pt idx="2">
                      <c:v>-77604</c:v>
                    </c:pt>
                    <c:pt idx="3">
                      <c:v>320470</c:v>
                    </c:pt>
                    <c:pt idx="4">
                      <c:v>506118.31000000006</c:v>
                    </c:pt>
                  </c:numLit>
                </c:val>
                <c:smooth val="0"/>
                <c:extLst xmlns:c15="http://schemas.microsoft.com/office/drawing/2012/chart">
                  <c:ext xmlns:c16="http://schemas.microsoft.com/office/drawing/2014/chart" uri="{C3380CC4-5D6E-409C-BE32-E72D297353CC}">
                    <c16:uniqueId val="{00000006-AFB4-4D9C-986E-22E94932B29A}"/>
                  </c:ext>
                </c:extLst>
              </c15:ser>
            </c15:filteredLineSeries>
            <c15:filteredLineSeries>
              <c15:ser>
                <c:idx val="4"/>
                <c:order val="4"/>
                <c:tx>
                  <c:v>#REF!</c:v>
                </c:tx>
                <c:spPr>
                  <a:ln w="28575" cap="rnd">
                    <a:solidFill>
                      <a:schemeClr val="accent5"/>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numLit>
                </c:val>
                <c:smooth val="0"/>
                <c:extLst xmlns:c15="http://schemas.microsoft.com/office/drawing/2012/chart">
                  <c:ext xmlns:c16="http://schemas.microsoft.com/office/drawing/2014/chart" uri="{C3380CC4-5D6E-409C-BE32-E72D297353CC}">
                    <c16:uniqueId val="{00000007-AFB4-4D9C-986E-22E94932B29A}"/>
                  </c:ext>
                </c:extLst>
              </c15:ser>
            </c15:filteredLineSeries>
            <c15:filteredLineSeries>
              <c15:ser>
                <c:idx val="10"/>
                <c:order val="5"/>
                <c:tx>
                  <c:v>#REF!</c:v>
                </c:tx>
                <c:spPr>
                  <a:ln w="28575" cap="rnd">
                    <a:solidFill>
                      <a:schemeClr val="accent5">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numLit>
                </c:val>
                <c:smooth val="0"/>
                <c:extLst xmlns:c15="http://schemas.microsoft.com/office/drawing/2012/chart">
                  <c:ext xmlns:c16="http://schemas.microsoft.com/office/drawing/2014/chart" uri="{C3380CC4-5D6E-409C-BE32-E72D297353CC}">
                    <c16:uniqueId val="{00000008-AFB4-4D9C-986E-22E94932B29A}"/>
                  </c:ext>
                </c:extLst>
              </c15:ser>
            </c15:filteredLineSeries>
            <c15:filteredLineSeries>
              <c15:ser>
                <c:idx val="11"/>
                <c:order val="6"/>
                <c:tx>
                  <c:v>Return on Equity </c:v>
                </c:tx>
                <c:spPr>
                  <a:ln w="28575" cap="rnd">
                    <a:solidFill>
                      <a:schemeClr val="accent6">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0.31545493352464649</c:v>
                    </c:pt>
                    <c:pt idx="1">
                      <c:v>0.32060526242247805</c:v>
                    </c:pt>
                    <c:pt idx="2">
                      <c:v>0.35662444495223039</c:v>
                    </c:pt>
                    <c:pt idx="3">
                      <c:v>0.46314976081345088</c:v>
                    </c:pt>
                    <c:pt idx="4">
                      <c:v>0.36188623703472506</c:v>
                    </c:pt>
                  </c:numLit>
                </c:val>
                <c:smooth val="0"/>
                <c:extLst xmlns:c15="http://schemas.microsoft.com/office/drawing/2012/chart">
                  <c:ext xmlns:c16="http://schemas.microsoft.com/office/drawing/2014/chart" uri="{C3380CC4-5D6E-409C-BE32-E72D297353CC}">
                    <c16:uniqueId val="{00000009-AFB4-4D9C-986E-22E94932B29A}"/>
                  </c:ext>
                </c:extLst>
              </c15:ser>
            </c15:filteredLineSeries>
            <c15:filteredLineSeries>
              <c15:ser>
                <c:idx val="12"/>
                <c:order val="7"/>
                <c:tx>
                  <c:v>Receivable turnover </c:v>
                </c:tx>
                <c:spPr>
                  <a:ln w="28575" cap="rnd">
                    <a:solidFill>
                      <a:schemeClr val="accent1">
                        <a:lumMod val="80000"/>
                        <a:lumOff val="2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6.1287229056663648</c:v>
                    </c:pt>
                    <c:pt idx="1">
                      <c:v>14.837447439602942</c:v>
                    </c:pt>
                    <c:pt idx="2">
                      <c:v>8.4661269245009017</c:v>
                    </c:pt>
                    <c:pt idx="3">
                      <c:v>11.31611221727629</c:v>
                    </c:pt>
                    <c:pt idx="4">
                      <c:v>9.588886390455853</c:v>
                    </c:pt>
                  </c:numLit>
                </c:val>
                <c:smooth val="0"/>
                <c:extLst xmlns:c15="http://schemas.microsoft.com/office/drawing/2012/chart">
                  <c:ext xmlns:c16="http://schemas.microsoft.com/office/drawing/2014/chart" uri="{C3380CC4-5D6E-409C-BE32-E72D297353CC}">
                    <c16:uniqueId val="{0000000A-AFB4-4D9C-986E-22E94932B29A}"/>
                  </c:ext>
                </c:extLst>
              </c15:ser>
            </c15:filteredLineSeries>
            <c15:filteredLineSeries>
              <c15:ser>
                <c:idx val="13"/>
                <c:order val="8"/>
                <c:tx>
                  <c:v>Receivable Days </c:v>
                </c:tx>
                <c:spPr>
                  <a:ln w="28575" cap="rnd">
                    <a:solidFill>
                      <a:schemeClr val="accent2">
                        <a:lumMod val="80000"/>
                        <a:lumOff val="2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59.555637547675069</c:v>
                    </c:pt>
                    <c:pt idx="1">
                      <c:v>24.59991865081664</c:v>
                    </c:pt>
                    <c:pt idx="2">
                      <c:v>43.11298463335023</c:v>
                    </c:pt>
                    <c:pt idx="3">
                      <c:v>32.254893994666745</c:v>
                    </c:pt>
                    <c:pt idx="4">
                      <c:v>38.169187233701336</c:v>
                    </c:pt>
                  </c:numLit>
                </c:val>
                <c:smooth val="0"/>
                <c:extLst xmlns:c15="http://schemas.microsoft.com/office/drawing/2012/chart">
                  <c:ext xmlns:c16="http://schemas.microsoft.com/office/drawing/2014/chart" uri="{C3380CC4-5D6E-409C-BE32-E72D297353CC}">
                    <c16:uniqueId val="{0000000B-AFB4-4D9C-986E-22E94932B29A}"/>
                  </c:ext>
                </c:extLst>
              </c15:ser>
            </c15:filteredLineSeries>
            <c15:filteredLineSeries>
              <c15:ser>
                <c:idx val="14"/>
                <c:order val="9"/>
                <c:tx>
                  <c:v>Inventory Turnover</c:v>
                </c:tx>
                <c:spPr>
                  <a:ln w="28575" cap="rnd">
                    <a:solidFill>
                      <a:schemeClr val="accent3">
                        <a:lumMod val="80000"/>
                        <a:lumOff val="2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6.147590787372156</c:v>
                    </c:pt>
                    <c:pt idx="1">
                      <c:v>4.4867109425410368</c:v>
                    </c:pt>
                    <c:pt idx="2">
                      <c:v>6.6033361184333295</c:v>
                    </c:pt>
                    <c:pt idx="3">
                      <c:v>5.977956263440702</c:v>
                    </c:pt>
                    <c:pt idx="4">
                      <c:v>5.5830823586244103</c:v>
                    </c:pt>
                  </c:numLit>
                </c:val>
                <c:smooth val="0"/>
                <c:extLst xmlns:c15="http://schemas.microsoft.com/office/drawing/2012/chart">
                  <c:ext xmlns:c16="http://schemas.microsoft.com/office/drawing/2014/chart" uri="{C3380CC4-5D6E-409C-BE32-E72D297353CC}">
                    <c16:uniqueId val="{0000000C-AFB4-4D9C-986E-22E94932B29A}"/>
                  </c:ext>
                </c:extLst>
              </c15:ser>
            </c15:filteredLineSeries>
            <c15:filteredLineSeries>
              <c15:ser>
                <c:idx val="15"/>
                <c:order val="10"/>
                <c:tx>
                  <c:v>Inventory Days </c:v>
                </c:tx>
                <c:spPr>
                  <a:ln w="28575" cap="rnd">
                    <a:solidFill>
                      <a:schemeClr val="accent4">
                        <a:lumMod val="80000"/>
                        <a:lumOff val="2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59.372852329363091</c:v>
                    </c:pt>
                    <c:pt idx="1">
                      <c:v>81.351351730558164</c:v>
                    </c:pt>
                    <c:pt idx="2">
                      <c:v>55.275090265524426</c:v>
                    </c:pt>
                    <c:pt idx="3">
                      <c:v>61.057656482404376</c:v>
                    </c:pt>
                    <c:pt idx="4">
                      <c:v>65.555185557065116</c:v>
                    </c:pt>
                  </c:numLit>
                </c:val>
                <c:smooth val="0"/>
                <c:extLst xmlns:c15="http://schemas.microsoft.com/office/drawing/2012/chart">
                  <c:ext xmlns:c16="http://schemas.microsoft.com/office/drawing/2014/chart" uri="{C3380CC4-5D6E-409C-BE32-E72D297353CC}">
                    <c16:uniqueId val="{0000000D-AFB4-4D9C-986E-22E94932B29A}"/>
                  </c:ext>
                </c:extLst>
              </c15:ser>
            </c15:filteredLineSeries>
            <c15:filteredLineSeries>
              <c15:ser>
                <c:idx val="16"/>
                <c:order val="11"/>
                <c:tx>
                  <c:v>Payable turnover </c:v>
                </c:tx>
                <c:spPr>
                  <a:ln w="28575" cap="rnd">
                    <a:solidFill>
                      <a:schemeClr val="accent5">
                        <a:lumMod val="80000"/>
                        <a:lumOff val="2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12.351458528970207</c:v>
                    </c:pt>
                    <c:pt idx="1">
                      <c:v>21.508929042966539</c:v>
                    </c:pt>
                    <c:pt idx="2">
                      <c:v>16.760983609679002</c:v>
                    </c:pt>
                    <c:pt idx="3">
                      <c:v>11.01206116228937</c:v>
                    </c:pt>
                    <c:pt idx="4">
                      <c:v>13.597415981915656</c:v>
                    </c:pt>
                  </c:numLit>
                </c:val>
                <c:smooth val="0"/>
                <c:extLst xmlns:c15="http://schemas.microsoft.com/office/drawing/2012/chart">
                  <c:ext xmlns:c16="http://schemas.microsoft.com/office/drawing/2014/chart" uri="{C3380CC4-5D6E-409C-BE32-E72D297353CC}">
                    <c16:uniqueId val="{0000000E-AFB4-4D9C-986E-22E94932B29A}"/>
                  </c:ext>
                </c:extLst>
              </c15:ser>
            </c15:filteredLineSeries>
            <c15:filteredLineSeries>
              <c15:ser>
                <c:idx val="17"/>
                <c:order val="12"/>
                <c:tx>
                  <c:v>Payble Days</c:v>
                </c:tx>
                <c:spPr>
                  <a:ln w="28575" cap="rnd">
                    <a:solidFill>
                      <a:schemeClr val="accent6">
                        <a:lumMod val="80000"/>
                        <a:lumOff val="2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0">
                      <c:v>29.551165892181608</c:v>
                    </c:pt>
                    <c:pt idx="1">
                      <c:v>16.969696597672105</c:v>
                    </c:pt>
                    <c:pt idx="2">
                      <c:v>21.776764926207711</c:v>
                    </c:pt>
                    <c:pt idx="3">
                      <c:v>33.145475185874986</c:v>
                    </c:pt>
                    <c:pt idx="4">
                      <c:v>26.916878948674814</c:v>
                    </c:pt>
                  </c:numLit>
                </c:val>
                <c:smooth val="0"/>
                <c:extLst xmlns:c15="http://schemas.microsoft.com/office/drawing/2012/chart">
                  <c:ext xmlns:c16="http://schemas.microsoft.com/office/drawing/2014/chart" uri="{C3380CC4-5D6E-409C-BE32-E72D297353CC}">
                    <c16:uniqueId val="{0000000F-AFB4-4D9C-986E-22E94932B29A}"/>
                  </c:ext>
                </c:extLst>
              </c15:ser>
            </c15:filteredLineSeries>
            <c15:filteredLineSeries>
              <c15:ser>
                <c:idx val="18"/>
                <c:order val="13"/>
                <c:tx>
                  <c:v>#REF!</c:v>
                </c:tx>
                <c:spPr>
                  <a:ln w="28575" cap="rnd">
                    <a:solidFill>
                      <a:schemeClr val="accent1">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numLit>
                </c:val>
                <c:smooth val="0"/>
                <c:extLst xmlns:c15="http://schemas.microsoft.com/office/drawing/2012/chart">
                  <c:ext xmlns:c16="http://schemas.microsoft.com/office/drawing/2014/chart" uri="{C3380CC4-5D6E-409C-BE32-E72D297353CC}">
                    <c16:uniqueId val="{00000010-AFB4-4D9C-986E-22E94932B29A}"/>
                  </c:ext>
                </c:extLst>
              </c15:ser>
            </c15:filteredLineSeries>
            <c15:filteredLineSeries>
              <c15:ser>
                <c:idx val="19"/>
                <c:order val="14"/>
                <c:tx>
                  <c:v>Operating Cash Flow</c:v>
                </c:tx>
                <c:spPr>
                  <a:ln w="28575" cap="rnd">
                    <a:solidFill>
                      <a:schemeClr val="accent2">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3">
                      <c:v>0.14371985113557825</c:v>
                    </c:pt>
                    <c:pt idx="4">
                      <c:v>3.8269834247491648E-2</c:v>
                    </c:pt>
                  </c:numLit>
                </c:val>
                <c:smooth val="0"/>
                <c:extLst xmlns:c15="http://schemas.microsoft.com/office/drawing/2012/chart">
                  <c:ext xmlns:c16="http://schemas.microsoft.com/office/drawing/2014/chart" uri="{C3380CC4-5D6E-409C-BE32-E72D297353CC}">
                    <c16:uniqueId val="{00000011-AFB4-4D9C-986E-22E94932B29A}"/>
                  </c:ext>
                </c:extLst>
              </c15:ser>
            </c15:filteredLineSeries>
            <c15:filteredLineSeries>
              <c15:ser>
                <c:idx val="20"/>
                <c:order val="15"/>
                <c:tx>
                  <c:v>Investing Cash Flow</c:v>
                </c:tx>
                <c:spPr>
                  <a:ln w="28575" cap="rnd">
                    <a:solidFill>
                      <a:schemeClr val="accent3">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3">
                      <c:v>-2.2294445849583268E-2</c:v>
                    </c:pt>
                    <c:pt idx="4">
                      <c:v>-7.0531079282440456E-2</c:v>
                    </c:pt>
                  </c:numLit>
                </c:val>
                <c:smooth val="0"/>
                <c:extLst xmlns:c15="http://schemas.microsoft.com/office/drawing/2012/chart">
                  <c:ext xmlns:c16="http://schemas.microsoft.com/office/drawing/2014/chart" uri="{C3380CC4-5D6E-409C-BE32-E72D297353CC}">
                    <c16:uniqueId val="{00000012-AFB4-4D9C-986E-22E94932B29A}"/>
                  </c:ext>
                </c:extLst>
              </c15:ser>
            </c15:filteredLineSeries>
            <c15:filteredLineSeries>
              <c15:ser>
                <c:idx val="21"/>
                <c:order val="16"/>
                <c:tx>
                  <c:v>Financing Cash Flow</c:v>
                </c:tx>
                <c:spPr>
                  <a:ln w="28575" cap="rnd">
                    <a:solidFill>
                      <a:schemeClr val="accent4">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3">
                      <c:v>-5.1365855973989932E-2</c:v>
                    </c:pt>
                    <c:pt idx="4">
                      <c:v>-2.7524578111997815E-2</c:v>
                    </c:pt>
                  </c:numLit>
                </c:val>
                <c:smooth val="0"/>
                <c:extLst xmlns:c15="http://schemas.microsoft.com/office/drawing/2012/chart">
                  <c:ext xmlns:c16="http://schemas.microsoft.com/office/drawing/2014/chart" uri="{C3380CC4-5D6E-409C-BE32-E72D297353CC}">
                    <c16:uniqueId val="{00000013-AFB4-4D9C-986E-22E94932B29A}"/>
                  </c:ext>
                </c:extLst>
              </c15:ser>
            </c15:filteredLineSeries>
            <c15:filteredLineSeries>
              <c15:ser>
                <c:idx val="22"/>
                <c:order val="17"/>
                <c:tx>
                  <c:v>Net Cash Flow</c:v>
                </c:tx>
                <c:spPr>
                  <a:ln w="28575" cap="rnd">
                    <a:solidFill>
                      <a:schemeClr val="accent5">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pt idx="1">
                      <c:v>-7.7486971295619211E-2</c:v>
                    </c:pt>
                    <c:pt idx="2">
                      <c:v>8.8565510443786549E-2</c:v>
                    </c:pt>
                    <c:pt idx="3">
                      <c:v>7.0059549312005059E-2</c:v>
                    </c:pt>
                    <c:pt idx="4">
                      <c:v>-5.9785823146946568E-2</c:v>
                    </c:pt>
                  </c:numLit>
                </c:val>
                <c:smooth val="0"/>
                <c:extLst xmlns:c15="http://schemas.microsoft.com/office/drawing/2012/chart">
                  <c:ext xmlns:c16="http://schemas.microsoft.com/office/drawing/2014/chart" uri="{C3380CC4-5D6E-409C-BE32-E72D297353CC}">
                    <c16:uniqueId val="{00000014-AFB4-4D9C-986E-22E94932B29A}"/>
                  </c:ext>
                </c:extLst>
              </c15:ser>
            </c15:filteredLineSeries>
            <c15:filteredLineSeries>
              <c15:ser>
                <c:idx val="23"/>
                <c:order val="18"/>
                <c:tx>
                  <c:v>#REF!</c:v>
                </c:tx>
                <c:spPr>
                  <a:ln w="28575" cap="rnd">
                    <a:solidFill>
                      <a:schemeClr val="accent6">
                        <a:lumMod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'Monthly Summary'!$C$2:$Z$2</c15:sqref>
                        </c15:formulaRef>
                      </c:ext>
                    </c:extLst>
                  </c:strRef>
                </c:cat>
                <c:val>
                  <c:numLit>
                    <c:formatCode>General</c:formatCode>
                    <c:ptCount val="5"/>
                  </c:numLit>
                </c:val>
                <c:smooth val="0"/>
                <c:extLst xmlns:c15="http://schemas.microsoft.com/office/drawing/2012/chart">
                  <c:ext xmlns:c16="http://schemas.microsoft.com/office/drawing/2014/chart" uri="{C3380CC4-5D6E-409C-BE32-E72D297353CC}">
                    <c16:uniqueId val="{00000015-AFB4-4D9C-986E-22E94932B29A}"/>
                  </c:ext>
                </c:extLst>
              </c15:ser>
            </c15:filteredLineSeries>
          </c:ext>
        </c:extLst>
      </c:lineChart>
      <c:catAx>
        <c:axId val="99534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Algn val="ctr"/>
        <c:lblOffset val="100"/>
        <c:noMultiLvlLbl val="1"/>
      </c:catAx>
      <c:valAx>
        <c:axId val="995340600"/>
        <c:scaling>
          <c:orientation val="minMax"/>
          <c:min val="150000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minorUnit val="2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Safety and Liquidity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171978785828465E-2"/>
          <c:y val="0.16140764298416196"/>
          <c:w val="0.88712290772447777"/>
          <c:h val="0.45300899430875313"/>
        </c:manualLayout>
      </c:layout>
      <c:lineChart>
        <c:grouping val="standard"/>
        <c:varyColors val="0"/>
        <c:ser>
          <c:idx val="0"/>
          <c:order val="0"/>
          <c:tx>
            <c:strRef>
              <c:f>'Monthly Summary'!$B$21</c:f>
              <c:strCache>
                <c:ptCount val="1"/>
                <c:pt idx="0">
                  <c:v>Liquidity: Current Ratio (1.5-2.0)</c:v>
                </c:pt>
              </c:strCache>
            </c:strRef>
          </c:tx>
          <c:spPr>
            <a:ln w="28575" cap="rnd">
              <a:solidFill>
                <a:schemeClr val="accent1"/>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Summary'!$W$21:$AV$21</c:f>
              <c:numCache>
                <c:formatCode>0.00</c:formatCode>
                <c:ptCount val="10"/>
                <c:pt idx="0">
                  <c:v>1.2851026908404461</c:v>
                </c:pt>
                <c:pt idx="1">
                  <c:v>1.2554832465852668</c:v>
                </c:pt>
                <c:pt idx="2">
                  <c:v>1.2518377013528548</c:v>
                </c:pt>
                <c:pt idx="3">
                  <c:v>1.2237115608540772</c:v>
                </c:pt>
                <c:pt idx="4">
                  <c:v>1.3002745611538009</c:v>
                </c:pt>
                <c:pt idx="5">
                  <c:v>1.4518299667347616</c:v>
                </c:pt>
                <c:pt idx="6">
                  <c:v>1.4768275635026786</c:v>
                </c:pt>
                <c:pt idx="7">
                  <c:v>1.5159599247782238</c:v>
                </c:pt>
                <c:pt idx="8">
                  <c:v>1.5398620957612841</c:v>
                </c:pt>
                <c:pt idx="9">
                  <c:v>1.5563747839584265</c:v>
                </c:pt>
              </c:numCache>
            </c:numRef>
          </c:val>
          <c:smooth val="0"/>
          <c:extLst>
            <c:ext xmlns:c16="http://schemas.microsoft.com/office/drawing/2014/chart" uri="{C3380CC4-5D6E-409C-BE32-E72D297353CC}">
              <c16:uniqueId val="{00000000-C92E-4698-A914-2B944C75163A}"/>
            </c:ext>
          </c:extLst>
        </c:ser>
        <c:ser>
          <c:idx val="1"/>
          <c:order val="1"/>
          <c:tx>
            <c:strRef>
              <c:f>'Monthly Summary'!$B$22</c:f>
              <c:strCache>
                <c:ptCount val="1"/>
                <c:pt idx="0">
                  <c:v>Safety: Debt to Equity  (1.0 - 1.5)</c:v>
                </c:pt>
              </c:strCache>
            </c:strRef>
          </c:tx>
          <c:spPr>
            <a:ln w="28575" cap="rnd">
              <a:solidFill>
                <a:schemeClr val="accent2"/>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Summary'!$W$22:$AV$22</c:f>
              <c:numCache>
                <c:formatCode>0.00</c:formatCode>
                <c:ptCount val="10"/>
                <c:pt idx="0">
                  <c:v>2.3094299941492631</c:v>
                </c:pt>
                <c:pt idx="1">
                  <c:v>2.4917514473264792</c:v>
                </c:pt>
                <c:pt idx="2">
                  <c:v>2.5421139832288073</c:v>
                </c:pt>
                <c:pt idx="3">
                  <c:v>2.7613095558753016</c:v>
                </c:pt>
                <c:pt idx="4">
                  <c:v>2.2269692568126644</c:v>
                </c:pt>
                <c:pt idx="5">
                  <c:v>3.1073477108410779</c:v>
                </c:pt>
                <c:pt idx="6">
                  <c:v>2.9411340188766193</c:v>
                </c:pt>
                <c:pt idx="7">
                  <c:v>2.7541387366134993</c:v>
                </c:pt>
                <c:pt idx="8">
                  <c:v>2.5973393590461873</c:v>
                </c:pt>
                <c:pt idx="9">
                  <c:v>2.527417464432002</c:v>
                </c:pt>
              </c:numCache>
            </c:numRef>
          </c:val>
          <c:smooth val="0"/>
          <c:extLst>
            <c:ext xmlns:c16="http://schemas.microsoft.com/office/drawing/2014/chart" uri="{C3380CC4-5D6E-409C-BE32-E72D297353CC}">
              <c16:uniqueId val="{00000001-C92E-4698-A914-2B944C75163A}"/>
            </c:ext>
          </c:extLst>
        </c:ser>
        <c:ser>
          <c:idx val="2"/>
          <c:order val="2"/>
          <c:tx>
            <c:strRef>
              <c:f>'Monthly Summary'!$B$91</c:f>
              <c:strCache>
                <c:ptCount val="1"/>
                <c:pt idx="0">
                  <c:v>CR Hi Limit</c:v>
                </c:pt>
              </c:strCache>
            </c:strRef>
          </c:tx>
          <c:spPr>
            <a:ln w="28575" cap="rnd">
              <a:solidFill>
                <a:schemeClr val="accent3"/>
              </a:solidFill>
              <a:prstDash val="sysDot"/>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Summary'!$W$91:$AV$91</c:f>
              <c:numCache>
                <c:formatCode>General</c:formatCode>
                <c:ptCount val="10"/>
                <c:pt idx="0">
                  <c:v>2</c:v>
                </c:pt>
                <c:pt idx="1">
                  <c:v>2</c:v>
                </c:pt>
                <c:pt idx="2">
                  <c:v>2</c:v>
                </c:pt>
                <c:pt idx="3">
                  <c:v>2</c:v>
                </c:pt>
                <c:pt idx="4">
                  <c:v>2</c:v>
                </c:pt>
                <c:pt idx="5">
                  <c:v>2</c:v>
                </c:pt>
                <c:pt idx="6">
                  <c:v>2</c:v>
                </c:pt>
                <c:pt idx="7">
                  <c:v>2</c:v>
                </c:pt>
                <c:pt idx="8">
                  <c:v>2</c:v>
                </c:pt>
                <c:pt idx="9">
                  <c:v>2</c:v>
                </c:pt>
              </c:numCache>
            </c:numRef>
          </c:val>
          <c:smooth val="0"/>
          <c:extLst>
            <c:ext xmlns:c16="http://schemas.microsoft.com/office/drawing/2014/chart" uri="{C3380CC4-5D6E-409C-BE32-E72D297353CC}">
              <c16:uniqueId val="{00000002-C92E-4698-A914-2B944C75163A}"/>
            </c:ext>
          </c:extLst>
        </c:ser>
        <c:ser>
          <c:idx val="3"/>
          <c:order val="3"/>
          <c:tx>
            <c:strRef>
              <c:f>'Monthly Summary'!$B$92</c:f>
              <c:strCache>
                <c:ptCount val="1"/>
                <c:pt idx="0">
                  <c:v>CR Low Limit</c:v>
                </c:pt>
              </c:strCache>
            </c:strRef>
          </c:tx>
          <c:spPr>
            <a:ln w="28575" cap="rnd">
              <a:solidFill>
                <a:schemeClr val="accent4"/>
              </a:solidFill>
              <a:prstDash val="sysDot"/>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Summary'!$W$92:$AV$92</c:f>
              <c:numCache>
                <c:formatCode>General</c:formatCode>
                <c:ptCount val="10"/>
                <c:pt idx="0">
                  <c:v>1.5</c:v>
                </c:pt>
                <c:pt idx="1">
                  <c:v>1.5</c:v>
                </c:pt>
                <c:pt idx="2">
                  <c:v>1.5</c:v>
                </c:pt>
                <c:pt idx="3">
                  <c:v>1.5</c:v>
                </c:pt>
                <c:pt idx="4">
                  <c:v>1.5</c:v>
                </c:pt>
                <c:pt idx="5">
                  <c:v>1.5</c:v>
                </c:pt>
                <c:pt idx="6">
                  <c:v>1.5</c:v>
                </c:pt>
                <c:pt idx="7">
                  <c:v>1.5</c:v>
                </c:pt>
                <c:pt idx="8">
                  <c:v>1.5</c:v>
                </c:pt>
                <c:pt idx="9">
                  <c:v>1.5</c:v>
                </c:pt>
              </c:numCache>
            </c:numRef>
          </c:val>
          <c:smooth val="0"/>
          <c:extLst>
            <c:ext xmlns:c16="http://schemas.microsoft.com/office/drawing/2014/chart" uri="{C3380CC4-5D6E-409C-BE32-E72D297353CC}">
              <c16:uniqueId val="{00000003-C92E-4698-A914-2B944C75163A}"/>
            </c:ext>
          </c:extLst>
        </c:ser>
        <c:ser>
          <c:idx val="4"/>
          <c:order val="4"/>
          <c:tx>
            <c:strRef>
              <c:f>'Monthly Summary'!$B$93</c:f>
              <c:strCache>
                <c:ptCount val="1"/>
                <c:pt idx="0">
                  <c:v>D/E Low Limit</c:v>
                </c:pt>
              </c:strCache>
            </c:strRef>
          </c:tx>
          <c:spPr>
            <a:ln w="28575" cap="rnd">
              <a:solidFill>
                <a:schemeClr val="accent5"/>
              </a:solidFill>
              <a:prstDash val="sysDot"/>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Summary'!$W$93:$AV$93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4-C92E-4698-A914-2B944C75163A}"/>
            </c:ext>
          </c:extLst>
        </c:ser>
        <c:dLbls>
          <c:showLegendKey val="0"/>
          <c:showVal val="0"/>
          <c:showCatName val="0"/>
          <c:showSerName val="0"/>
          <c:showPercent val="0"/>
          <c:showBubbleSize val="0"/>
        </c:dLbls>
        <c:smooth val="0"/>
        <c:axId val="79902359"/>
        <c:axId val="79903999"/>
      </c:lineChart>
      <c:dateAx>
        <c:axId val="79902359"/>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03999"/>
        <c:crosses val="autoZero"/>
        <c:auto val="1"/>
        <c:lblOffset val="100"/>
        <c:baseTimeUnit val="months"/>
      </c:dateAx>
      <c:valAx>
        <c:axId val="79903999"/>
        <c:scaling>
          <c:orientation val="minMax"/>
          <c:max val="5.5"/>
          <c:min val="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02359"/>
        <c:crosses val="autoZero"/>
        <c:crossBetween val="between"/>
      </c:valAx>
      <c:spPr>
        <a:noFill/>
        <a:ln>
          <a:noFill/>
        </a:ln>
        <a:effectLst/>
      </c:spPr>
    </c:plotArea>
    <c:legend>
      <c:legendPos val="b"/>
      <c:layout>
        <c:manualLayout>
          <c:xMode val="edge"/>
          <c:yMode val="edge"/>
          <c:x val="3.0279015431774556E-2"/>
          <c:y val="0.79817579101202807"/>
          <c:w val="0.96104568803804635"/>
          <c:h val="0.171645154519135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a:t>
            </a:r>
            <a:r>
              <a:rPr lang="en-US"/>
              <a:t>and Profitability</a:t>
            </a:r>
          </a:p>
        </c:rich>
      </c:tx>
      <c:layout>
        <c:manualLayout>
          <c:xMode val="edge"/>
          <c:yMode val="edge"/>
          <c:x val="0.28991467794642728"/>
          <c:y val="3.3879702285450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387573113652896"/>
          <c:y val="0.18199214916584888"/>
          <c:w val="0.80419165892838118"/>
          <c:h val="0.51073037484642192"/>
        </c:manualLayout>
      </c:layout>
      <c:lineChart>
        <c:grouping val="standard"/>
        <c:varyColors val="0"/>
        <c:ser>
          <c:idx val="0"/>
          <c:order val="0"/>
          <c:tx>
            <c:strRef>
              <c:f>'Monthly Summary'!$AA$62</c:f>
              <c:strCache>
                <c:ptCount val="1"/>
                <c:pt idx="0">
                  <c:v>Liquidity: Current Ratio (1.5-2.0)</c:v>
                </c:pt>
              </c:strCache>
              <c:extLst xmlns:c15="http://schemas.microsoft.com/office/drawing/2012/chart"/>
            </c:strRef>
          </c:tx>
          <c:spPr>
            <a:ln w="28575" cap="rnd">
              <a:solidFill>
                <a:schemeClr val="accent1"/>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Summary'!$AB$62:$AF$62</c:f>
              <c:extLst xmlns:c15="http://schemas.microsoft.com/office/drawing/2012/chart"/>
            </c:numRef>
          </c:val>
          <c:smooth val="0"/>
          <c:extLst xmlns:c15="http://schemas.microsoft.com/office/drawing/2012/chart">
            <c:ext xmlns:c16="http://schemas.microsoft.com/office/drawing/2014/chart" uri="{C3380CC4-5D6E-409C-BE32-E72D297353CC}">
              <c16:uniqueId val="{00000003-3BF8-460F-8D60-0FD723E0E3C6}"/>
            </c:ext>
          </c:extLst>
        </c:ser>
        <c:ser>
          <c:idx val="1"/>
          <c:order val="1"/>
          <c:tx>
            <c:strRef>
              <c:f>'Monthly Summary'!$AA$63</c:f>
              <c:strCache>
                <c:ptCount val="1"/>
                <c:pt idx="0">
                  <c:v>Safety: Debt to Equity  (1.0 - 1.5)</c:v>
                </c:pt>
              </c:strCache>
              <c:extLst xmlns:c15="http://schemas.microsoft.com/office/drawing/2012/chart"/>
            </c:strRef>
          </c:tx>
          <c:spPr>
            <a:ln w="28575" cap="rnd">
              <a:solidFill>
                <a:schemeClr val="accent2"/>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Summary'!$AB$63:$AF$63</c:f>
              <c:extLst xmlns:c15="http://schemas.microsoft.com/office/drawing/2012/chart"/>
            </c:numRef>
          </c:val>
          <c:smooth val="0"/>
          <c:extLst xmlns:c15="http://schemas.microsoft.com/office/drawing/2012/chart">
            <c:ext xmlns:c16="http://schemas.microsoft.com/office/drawing/2014/chart" uri="{C3380CC4-5D6E-409C-BE32-E72D297353CC}">
              <c16:uniqueId val="{00000004-3BF8-460F-8D60-0FD723E0E3C6}"/>
            </c:ext>
          </c:extLst>
        </c:ser>
        <c:ser>
          <c:idx val="2"/>
          <c:order val="2"/>
          <c:tx>
            <c:strRef>
              <c:f>'Monthly Summary'!$AA$64</c:f>
              <c:strCache>
                <c:ptCount val="1"/>
                <c:pt idx="0">
                  <c:v>Net Working Capital</c:v>
                </c:pt>
              </c:strCache>
              <c:extLst xmlns:c15="http://schemas.microsoft.com/office/drawing/2012/chart"/>
            </c:strRef>
          </c:tx>
          <c:spPr>
            <a:ln w="28575" cap="rnd">
              <a:solidFill>
                <a:schemeClr val="accent3"/>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Summary'!$AB$64:$AF$64</c:f>
              <c:extLst xmlns:c15="http://schemas.microsoft.com/office/drawing/2012/chart"/>
            </c:numRef>
          </c:val>
          <c:smooth val="0"/>
          <c:extLst xmlns:c15="http://schemas.microsoft.com/office/drawing/2012/chart">
            <c:ext xmlns:c16="http://schemas.microsoft.com/office/drawing/2014/chart" uri="{C3380CC4-5D6E-409C-BE32-E72D297353CC}">
              <c16:uniqueId val="{00000005-3BF8-460F-8D60-0FD723E0E3C6}"/>
            </c:ext>
          </c:extLst>
        </c:ser>
        <c:ser>
          <c:idx val="3"/>
          <c:order val="3"/>
          <c:tx>
            <c:strRef>
              <c:f>'Monthly Summary'!$AA$65</c:f>
              <c:strCache>
                <c:ptCount val="1"/>
                <c:pt idx="0">
                  <c:v>Non-Cash Working Capital</c:v>
                </c:pt>
              </c:strCache>
              <c:extLst xmlns:c15="http://schemas.microsoft.com/office/drawing/2012/chart"/>
            </c:strRef>
          </c:tx>
          <c:spPr>
            <a:ln w="28575" cap="rnd">
              <a:solidFill>
                <a:schemeClr val="accent4"/>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Summary'!$AB$65:$AF$65</c:f>
              <c:extLst xmlns:c15="http://schemas.microsoft.com/office/drawing/2012/chart"/>
            </c:numRef>
          </c:val>
          <c:smooth val="0"/>
          <c:extLst xmlns:c15="http://schemas.microsoft.com/office/drawing/2012/chart">
            <c:ext xmlns:c16="http://schemas.microsoft.com/office/drawing/2014/chart" uri="{C3380CC4-5D6E-409C-BE32-E72D297353CC}">
              <c16:uniqueId val="{00000006-3BF8-460F-8D60-0FD723E0E3C6}"/>
            </c:ext>
          </c:extLst>
        </c:ser>
        <c:ser>
          <c:idx val="4"/>
          <c:order val="4"/>
          <c:tx>
            <c:strRef>
              <c:f>'Monthly Summary'!$AA$66</c:f>
              <c:strCache>
                <c:ptCount val="1"/>
              </c:strCache>
              <c:extLst xmlns:c15="http://schemas.microsoft.com/office/drawing/2012/chart"/>
            </c:strRef>
          </c:tx>
          <c:spPr>
            <a:ln w="28575" cap="rnd">
              <a:solidFill>
                <a:schemeClr val="accent5"/>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Summary'!$AB$66:$AF$66</c:f>
              <c:extLst xmlns:c15="http://schemas.microsoft.com/office/drawing/2012/chart"/>
            </c:numRef>
          </c:val>
          <c:smooth val="0"/>
          <c:extLst xmlns:c15="http://schemas.microsoft.com/office/drawing/2012/chart">
            <c:ext xmlns:c16="http://schemas.microsoft.com/office/drawing/2014/chart" uri="{C3380CC4-5D6E-409C-BE32-E72D297353CC}">
              <c16:uniqueId val="{00000007-3BF8-460F-8D60-0FD723E0E3C6}"/>
            </c:ext>
          </c:extLst>
        </c:ser>
        <c:ser>
          <c:idx val="5"/>
          <c:order val="5"/>
          <c:tx>
            <c:strRef>
              <c:f>'Monthly Summary'!$B$4</c:f>
              <c:strCache>
                <c:ptCount val="1"/>
                <c:pt idx="0">
                  <c:v>Revenue</c:v>
                </c:pt>
              </c:strCache>
            </c:strRef>
          </c:tx>
          <c:spPr>
            <a:ln w="28575" cap="rnd">
              <a:solidFill>
                <a:schemeClr val="accent6"/>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Summary'!$W$4:$AV$4</c:f>
              <c:numCache>
                <c:formatCode>_("$"* #,##0_);_("$"* \(#,##0\);_("$"* "-"??_);_(@_)</c:formatCode>
                <c:ptCount val="10"/>
                <c:pt idx="0">
                  <c:v>715167.97</c:v>
                </c:pt>
                <c:pt idx="1">
                  <c:v>989735.55</c:v>
                </c:pt>
                <c:pt idx="2">
                  <c:v>1815627.69</c:v>
                </c:pt>
                <c:pt idx="3">
                  <c:v>1337742.4099999999</c:v>
                </c:pt>
                <c:pt idx="4">
                  <c:v>1312588.05</c:v>
                </c:pt>
                <c:pt idx="5">
                  <c:v>1880545.01</c:v>
                </c:pt>
                <c:pt idx="6">
                  <c:v>1552244.85</c:v>
                </c:pt>
                <c:pt idx="7">
                  <c:v>1504348.87</c:v>
                </c:pt>
                <c:pt idx="8">
                  <c:v>1852338.93</c:v>
                </c:pt>
                <c:pt idx="9">
                  <c:v>2355231.2400000002</c:v>
                </c:pt>
              </c:numCache>
            </c:numRef>
          </c:val>
          <c:smooth val="0"/>
          <c:extLst>
            <c:ext xmlns:c16="http://schemas.microsoft.com/office/drawing/2014/chart" uri="{C3380CC4-5D6E-409C-BE32-E72D297353CC}">
              <c16:uniqueId val="{00000000-3BF8-460F-8D60-0FD723E0E3C6}"/>
            </c:ext>
          </c:extLst>
        </c:ser>
        <c:ser>
          <c:idx val="7"/>
          <c:order val="6"/>
          <c:tx>
            <c:strRef>
              <c:f>'Monthly Summary'!$B$10</c:f>
              <c:strCache>
                <c:ptCount val="1"/>
                <c:pt idx="0">
                  <c:v>EBITDA</c:v>
                </c:pt>
              </c:strCache>
            </c:strRef>
          </c:tx>
          <c:spPr>
            <a:ln w="28575" cap="rnd">
              <a:solidFill>
                <a:schemeClr val="accent2">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Summary'!$W$10:$AV$10</c:f>
              <c:numCache>
                <c:formatCode>_("$"* #,##0_);_("$"* \(#,##0\);_("$"* "-"??_);_(@_)</c:formatCode>
                <c:ptCount val="10"/>
                <c:pt idx="0">
                  <c:v>-244135.47000000006</c:v>
                </c:pt>
                <c:pt idx="1">
                  <c:v>100443.73000000004</c:v>
                </c:pt>
                <c:pt idx="2">
                  <c:v>377738.49</c:v>
                </c:pt>
                <c:pt idx="3">
                  <c:v>258580.80999999997</c:v>
                </c:pt>
                <c:pt idx="4">
                  <c:v>461895.02</c:v>
                </c:pt>
                <c:pt idx="5">
                  <c:v>-120280.97000000004</c:v>
                </c:pt>
                <c:pt idx="6">
                  <c:v>158335.81000000008</c:v>
                </c:pt>
                <c:pt idx="7">
                  <c:v>257360.04000000007</c:v>
                </c:pt>
                <c:pt idx="8">
                  <c:v>283959.75999999983</c:v>
                </c:pt>
                <c:pt idx="9">
                  <c:v>313999.60000000038</c:v>
                </c:pt>
              </c:numCache>
            </c:numRef>
          </c:val>
          <c:smooth val="0"/>
          <c:extLst>
            <c:ext xmlns:c16="http://schemas.microsoft.com/office/drawing/2014/chart" uri="{C3380CC4-5D6E-409C-BE32-E72D297353CC}">
              <c16:uniqueId val="{00000001-3BF8-460F-8D60-0FD723E0E3C6}"/>
            </c:ext>
          </c:extLst>
        </c:ser>
        <c:ser>
          <c:idx val="10"/>
          <c:order val="8"/>
          <c:tx>
            <c:strRef>
              <c:f>'Monthly Summary'!$AA$73</c:f>
              <c:strCache>
                <c:ptCount val="1"/>
              </c:strCache>
              <c:extLst xmlns:c15="http://schemas.microsoft.com/office/drawing/2012/chart"/>
            </c:strRef>
          </c:tx>
          <c:spPr>
            <a:ln w="28575" cap="rnd">
              <a:solidFill>
                <a:schemeClr val="accent5">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Summary'!$AB$73:$AF$73</c:f>
              <c:extLst xmlns:c15="http://schemas.microsoft.com/office/drawing/2012/chart"/>
            </c:numRef>
          </c:val>
          <c:smooth val="0"/>
          <c:extLst xmlns:c15="http://schemas.microsoft.com/office/drawing/2012/chart">
            <c:ext xmlns:c16="http://schemas.microsoft.com/office/drawing/2014/chart" uri="{C3380CC4-5D6E-409C-BE32-E72D297353CC}">
              <c16:uniqueId val="{00000008-3BF8-460F-8D60-0FD723E0E3C6}"/>
            </c:ext>
          </c:extLst>
        </c:ser>
        <c:ser>
          <c:idx val="11"/>
          <c:order val="9"/>
          <c:tx>
            <c:strRef>
              <c:f>'Monthly Summary'!$AA$74</c:f>
              <c:strCache>
                <c:ptCount val="1"/>
                <c:pt idx="0">
                  <c:v>Return on Equity </c:v>
                </c:pt>
              </c:strCache>
              <c:extLst xmlns:c15="http://schemas.microsoft.com/office/drawing/2012/chart"/>
            </c:strRef>
          </c:tx>
          <c:spPr>
            <a:ln w="28575" cap="rnd">
              <a:solidFill>
                <a:schemeClr val="accent6">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Summary'!$AB$74:$AF$74</c:f>
              <c:extLst xmlns:c15="http://schemas.microsoft.com/office/drawing/2012/chart"/>
            </c:numRef>
          </c:val>
          <c:smooth val="0"/>
          <c:extLst xmlns:c15="http://schemas.microsoft.com/office/drawing/2012/chart">
            <c:ext xmlns:c16="http://schemas.microsoft.com/office/drawing/2014/chart" uri="{C3380CC4-5D6E-409C-BE32-E72D297353CC}">
              <c16:uniqueId val="{00000009-3BF8-460F-8D60-0FD723E0E3C6}"/>
            </c:ext>
          </c:extLst>
        </c:ser>
        <c:ser>
          <c:idx val="12"/>
          <c:order val="10"/>
          <c:tx>
            <c:strRef>
              <c:f>'Monthly Summary'!$AA$75</c:f>
              <c:strCache>
                <c:ptCount val="1"/>
                <c:pt idx="0">
                  <c:v>Receivable turnover </c:v>
                </c:pt>
              </c:strCache>
              <c:extLst xmlns:c15="http://schemas.microsoft.com/office/drawing/2012/chart"/>
            </c:strRef>
          </c:tx>
          <c:spPr>
            <a:ln w="28575" cap="rnd">
              <a:solidFill>
                <a:schemeClr val="accent1">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Summary'!$AB$75:$AF$75</c:f>
              <c:extLst xmlns:c15="http://schemas.microsoft.com/office/drawing/2012/chart"/>
            </c:numRef>
          </c:val>
          <c:smooth val="0"/>
          <c:extLst xmlns:c15="http://schemas.microsoft.com/office/drawing/2012/chart">
            <c:ext xmlns:c16="http://schemas.microsoft.com/office/drawing/2014/chart" uri="{C3380CC4-5D6E-409C-BE32-E72D297353CC}">
              <c16:uniqueId val="{0000000A-3BF8-460F-8D60-0FD723E0E3C6}"/>
            </c:ext>
          </c:extLst>
        </c:ser>
        <c:ser>
          <c:idx val="13"/>
          <c:order val="11"/>
          <c:tx>
            <c:strRef>
              <c:f>'Monthly Summary'!$AA$76</c:f>
              <c:strCache>
                <c:ptCount val="1"/>
                <c:pt idx="0">
                  <c:v>Receivable Days </c:v>
                </c:pt>
              </c:strCache>
              <c:extLst xmlns:c15="http://schemas.microsoft.com/office/drawing/2012/chart"/>
            </c:strRef>
          </c:tx>
          <c:spPr>
            <a:ln w="28575" cap="rnd">
              <a:solidFill>
                <a:schemeClr val="accent2">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Summary'!$AB$76:$AF$76</c:f>
              <c:extLst xmlns:c15="http://schemas.microsoft.com/office/drawing/2012/chart"/>
            </c:numRef>
          </c:val>
          <c:smooth val="0"/>
          <c:extLst xmlns:c15="http://schemas.microsoft.com/office/drawing/2012/chart">
            <c:ext xmlns:c16="http://schemas.microsoft.com/office/drawing/2014/chart" uri="{C3380CC4-5D6E-409C-BE32-E72D297353CC}">
              <c16:uniqueId val="{0000000B-3BF8-460F-8D60-0FD723E0E3C6}"/>
            </c:ext>
          </c:extLst>
        </c:ser>
        <c:ser>
          <c:idx val="14"/>
          <c:order val="12"/>
          <c:tx>
            <c:strRef>
              <c:f>'Monthly Summary'!$AA$77</c:f>
              <c:strCache>
                <c:ptCount val="1"/>
                <c:pt idx="0">
                  <c:v>Inventory Turnover</c:v>
                </c:pt>
              </c:strCache>
              <c:extLst xmlns:c15="http://schemas.microsoft.com/office/drawing/2012/chart"/>
            </c:strRef>
          </c:tx>
          <c:spPr>
            <a:ln w="28575" cap="rnd">
              <a:solidFill>
                <a:schemeClr val="accent3">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Summary'!$AB$77:$AF$77</c:f>
              <c:extLst xmlns:c15="http://schemas.microsoft.com/office/drawing/2012/chart"/>
            </c:numRef>
          </c:val>
          <c:smooth val="0"/>
          <c:extLst xmlns:c15="http://schemas.microsoft.com/office/drawing/2012/chart">
            <c:ext xmlns:c16="http://schemas.microsoft.com/office/drawing/2014/chart" uri="{C3380CC4-5D6E-409C-BE32-E72D297353CC}">
              <c16:uniqueId val="{0000000C-3BF8-460F-8D60-0FD723E0E3C6}"/>
            </c:ext>
          </c:extLst>
        </c:ser>
        <c:ser>
          <c:idx val="15"/>
          <c:order val="13"/>
          <c:tx>
            <c:strRef>
              <c:f>'Monthly Summary'!$AA$78</c:f>
              <c:strCache>
                <c:ptCount val="1"/>
                <c:pt idx="0">
                  <c:v>Inventory Days </c:v>
                </c:pt>
              </c:strCache>
              <c:extLst xmlns:c15="http://schemas.microsoft.com/office/drawing/2012/chart"/>
            </c:strRef>
          </c:tx>
          <c:spPr>
            <a:ln w="28575" cap="rnd">
              <a:solidFill>
                <a:schemeClr val="accent4">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Summary'!$AB$78:$AF$78</c:f>
              <c:extLst xmlns:c15="http://schemas.microsoft.com/office/drawing/2012/chart"/>
            </c:numRef>
          </c:val>
          <c:smooth val="0"/>
          <c:extLst xmlns:c15="http://schemas.microsoft.com/office/drawing/2012/chart">
            <c:ext xmlns:c16="http://schemas.microsoft.com/office/drawing/2014/chart" uri="{C3380CC4-5D6E-409C-BE32-E72D297353CC}">
              <c16:uniqueId val="{0000000D-3BF8-460F-8D60-0FD723E0E3C6}"/>
            </c:ext>
          </c:extLst>
        </c:ser>
        <c:ser>
          <c:idx val="16"/>
          <c:order val="14"/>
          <c:tx>
            <c:strRef>
              <c:f>'Monthly Summary'!$AA$79</c:f>
              <c:strCache>
                <c:ptCount val="1"/>
                <c:pt idx="0">
                  <c:v>Payable turnover </c:v>
                </c:pt>
              </c:strCache>
              <c:extLst xmlns:c15="http://schemas.microsoft.com/office/drawing/2012/chart"/>
            </c:strRef>
          </c:tx>
          <c:spPr>
            <a:ln w="28575" cap="rnd">
              <a:solidFill>
                <a:schemeClr val="accent5">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Summary'!$AB$79:$AF$79</c:f>
              <c:extLst xmlns:c15="http://schemas.microsoft.com/office/drawing/2012/chart"/>
            </c:numRef>
          </c:val>
          <c:smooth val="0"/>
          <c:extLst xmlns:c15="http://schemas.microsoft.com/office/drawing/2012/chart">
            <c:ext xmlns:c16="http://schemas.microsoft.com/office/drawing/2014/chart" uri="{C3380CC4-5D6E-409C-BE32-E72D297353CC}">
              <c16:uniqueId val="{0000000E-3BF8-460F-8D60-0FD723E0E3C6}"/>
            </c:ext>
          </c:extLst>
        </c:ser>
        <c:ser>
          <c:idx val="17"/>
          <c:order val="15"/>
          <c:tx>
            <c:strRef>
              <c:f>'Monthly Summary'!$AA$80</c:f>
              <c:strCache>
                <c:ptCount val="1"/>
                <c:pt idx="0">
                  <c:v>Payable Days</c:v>
                </c:pt>
              </c:strCache>
              <c:extLst xmlns:c15="http://schemas.microsoft.com/office/drawing/2012/chart"/>
            </c:strRef>
          </c:tx>
          <c:spPr>
            <a:ln w="28575" cap="rnd">
              <a:solidFill>
                <a:schemeClr val="accent6">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Summary'!$AB$80:$AF$80</c:f>
              <c:extLst xmlns:c15="http://schemas.microsoft.com/office/drawing/2012/chart"/>
            </c:numRef>
          </c:val>
          <c:smooth val="0"/>
          <c:extLst xmlns:c15="http://schemas.microsoft.com/office/drawing/2012/chart">
            <c:ext xmlns:c16="http://schemas.microsoft.com/office/drawing/2014/chart" uri="{C3380CC4-5D6E-409C-BE32-E72D297353CC}">
              <c16:uniqueId val="{0000000F-3BF8-460F-8D60-0FD723E0E3C6}"/>
            </c:ext>
          </c:extLst>
        </c:ser>
        <c:ser>
          <c:idx val="18"/>
          <c:order val="16"/>
          <c:tx>
            <c:strRef>
              <c:f>'Monthly Summary'!$AA$81</c:f>
              <c:strCache>
                <c:ptCount val="1"/>
              </c:strCache>
              <c:extLst xmlns:c15="http://schemas.microsoft.com/office/drawing/2012/chart"/>
            </c:strRef>
          </c:tx>
          <c:spPr>
            <a:ln w="28575" cap="rnd">
              <a:solidFill>
                <a:schemeClr val="accent1">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Summary'!$AB$81:$AF$81</c:f>
              <c:extLst xmlns:c15="http://schemas.microsoft.com/office/drawing/2012/chart"/>
            </c:numRef>
          </c:val>
          <c:smooth val="0"/>
          <c:extLst xmlns:c15="http://schemas.microsoft.com/office/drawing/2012/chart">
            <c:ext xmlns:c16="http://schemas.microsoft.com/office/drawing/2014/chart" uri="{C3380CC4-5D6E-409C-BE32-E72D297353CC}">
              <c16:uniqueId val="{00000010-3BF8-460F-8D60-0FD723E0E3C6}"/>
            </c:ext>
          </c:extLst>
        </c:ser>
        <c:ser>
          <c:idx val="19"/>
          <c:order val="17"/>
          <c:tx>
            <c:strRef>
              <c:f>'Monthly Summary'!$AA$82</c:f>
              <c:strCache>
                <c:ptCount val="1"/>
                <c:pt idx="0">
                  <c:v>Operating Cash Flow</c:v>
                </c:pt>
              </c:strCache>
              <c:extLst xmlns:c15="http://schemas.microsoft.com/office/drawing/2012/chart"/>
            </c:strRef>
          </c:tx>
          <c:spPr>
            <a:ln w="28575" cap="rnd">
              <a:solidFill>
                <a:schemeClr val="accent2">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Summary'!$AB$82:$AF$82</c:f>
              <c:extLst xmlns:c15="http://schemas.microsoft.com/office/drawing/2012/chart"/>
            </c:numRef>
          </c:val>
          <c:smooth val="0"/>
          <c:extLst xmlns:c15="http://schemas.microsoft.com/office/drawing/2012/chart">
            <c:ext xmlns:c16="http://schemas.microsoft.com/office/drawing/2014/chart" uri="{C3380CC4-5D6E-409C-BE32-E72D297353CC}">
              <c16:uniqueId val="{00000011-3BF8-460F-8D60-0FD723E0E3C6}"/>
            </c:ext>
          </c:extLst>
        </c:ser>
        <c:ser>
          <c:idx val="20"/>
          <c:order val="18"/>
          <c:tx>
            <c:strRef>
              <c:f>'Monthly Summary'!$AA$83</c:f>
              <c:strCache>
                <c:ptCount val="1"/>
                <c:pt idx="0">
                  <c:v>Investing Cash Flow</c:v>
                </c:pt>
              </c:strCache>
              <c:extLst xmlns:c15="http://schemas.microsoft.com/office/drawing/2012/chart"/>
            </c:strRef>
          </c:tx>
          <c:spPr>
            <a:ln w="28575" cap="rnd">
              <a:solidFill>
                <a:schemeClr val="accent3">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Summary'!$AB$83:$AF$83</c:f>
              <c:extLst xmlns:c15="http://schemas.microsoft.com/office/drawing/2012/chart"/>
            </c:numRef>
          </c:val>
          <c:smooth val="0"/>
          <c:extLst xmlns:c15="http://schemas.microsoft.com/office/drawing/2012/chart">
            <c:ext xmlns:c16="http://schemas.microsoft.com/office/drawing/2014/chart" uri="{C3380CC4-5D6E-409C-BE32-E72D297353CC}">
              <c16:uniqueId val="{00000012-3BF8-460F-8D60-0FD723E0E3C6}"/>
            </c:ext>
          </c:extLst>
        </c:ser>
        <c:ser>
          <c:idx val="21"/>
          <c:order val="19"/>
          <c:tx>
            <c:strRef>
              <c:f>'Monthly Summary'!$AA$84</c:f>
              <c:strCache>
                <c:ptCount val="1"/>
                <c:pt idx="0">
                  <c:v>Financing Cash Flow</c:v>
                </c:pt>
              </c:strCache>
              <c:extLst xmlns:c15="http://schemas.microsoft.com/office/drawing/2012/chart"/>
            </c:strRef>
          </c:tx>
          <c:spPr>
            <a:ln w="28575" cap="rnd">
              <a:solidFill>
                <a:schemeClr val="accent4">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Summary'!$AB$84:$AF$84</c:f>
              <c:extLst xmlns:c15="http://schemas.microsoft.com/office/drawing/2012/chart"/>
            </c:numRef>
          </c:val>
          <c:smooth val="0"/>
          <c:extLst xmlns:c15="http://schemas.microsoft.com/office/drawing/2012/chart">
            <c:ext xmlns:c16="http://schemas.microsoft.com/office/drawing/2014/chart" uri="{C3380CC4-5D6E-409C-BE32-E72D297353CC}">
              <c16:uniqueId val="{00000013-3BF8-460F-8D60-0FD723E0E3C6}"/>
            </c:ext>
          </c:extLst>
        </c:ser>
        <c:ser>
          <c:idx val="22"/>
          <c:order val="20"/>
          <c:tx>
            <c:strRef>
              <c:f>'Monthly Summary'!$AA$85</c:f>
              <c:strCache>
                <c:ptCount val="1"/>
                <c:pt idx="0">
                  <c:v>Net Cash Flow</c:v>
                </c:pt>
              </c:strCache>
              <c:extLst xmlns:c15="http://schemas.microsoft.com/office/drawing/2012/chart"/>
            </c:strRef>
          </c:tx>
          <c:spPr>
            <a:ln w="28575" cap="rnd">
              <a:solidFill>
                <a:schemeClr val="accent5">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Summary'!$AB$85:$AF$85</c:f>
              <c:extLst xmlns:c15="http://schemas.microsoft.com/office/drawing/2012/chart"/>
            </c:numRef>
          </c:val>
          <c:smooth val="0"/>
          <c:extLst xmlns:c15="http://schemas.microsoft.com/office/drawing/2012/chart">
            <c:ext xmlns:c16="http://schemas.microsoft.com/office/drawing/2014/chart" uri="{C3380CC4-5D6E-409C-BE32-E72D297353CC}">
              <c16:uniqueId val="{00000014-3BF8-460F-8D60-0FD723E0E3C6}"/>
            </c:ext>
          </c:extLst>
        </c:ser>
        <c:ser>
          <c:idx val="23"/>
          <c:order val="21"/>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5-3BF8-460F-8D60-0FD723E0E3C6}"/>
            </c:ext>
          </c:extLst>
        </c:ser>
        <c:dLbls>
          <c:showLegendKey val="0"/>
          <c:showVal val="0"/>
          <c:showCatName val="0"/>
          <c:showSerName val="0"/>
          <c:showPercent val="0"/>
          <c:showBubbleSize val="0"/>
        </c:dLbls>
        <c:smooth val="0"/>
        <c:axId val="995343552"/>
        <c:axId val="995340600"/>
        <c:extLst>
          <c:ext xmlns:c15="http://schemas.microsoft.com/office/drawing/2012/chart" uri="{02D57815-91ED-43cb-92C2-25804820EDAC}">
            <c15:filteredLineSeries>
              <c15:ser>
                <c:idx val="9"/>
                <c:order val="7"/>
                <c:tx>
                  <c:strRef>
                    <c:extLst>
                      <c:ext uri="{02D57815-91ED-43cb-92C2-25804820EDAC}">
                        <c15:formulaRef>
                          <c15:sqref>'Monthly Summary'!$B$12</c15:sqref>
                        </c15:formulaRef>
                      </c:ext>
                    </c:extLst>
                    <c:strCache>
                      <c:ptCount val="1"/>
                      <c:pt idx="0">
                        <c:v>Free Cash Flow</c:v>
                      </c:pt>
                    </c:strCache>
                  </c:strRef>
                </c:tx>
                <c:spPr>
                  <a:ln w="28575" cap="rnd">
                    <a:solidFill>
                      <a:schemeClr val="accent4">
                        <a:lumMod val="60000"/>
                      </a:schemeClr>
                    </a:solidFill>
                    <a:round/>
                  </a:ln>
                  <a:effectLst/>
                </c:spPr>
                <c:marker>
                  <c:symbol val="none"/>
                </c:marker>
                <c:cat>
                  <c:numRef>
                    <c:extLst>
                      <c:ex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c:ext uri="{02D57815-91ED-43cb-92C2-25804820EDAC}">
                        <c15:formulaRef>
                          <c15:sqref>'Monthly Summary'!$W$12:$AU$12</c15:sqref>
                        </c15:formulaRef>
                      </c:ext>
                    </c:extLst>
                    <c:numCache>
                      <c:formatCode>_("$"* #,##0_);_("$"* \(#,##0\);_("$"* "-"??_);_(@_)</c:formatCode>
                      <c:ptCount val="9"/>
                      <c:pt idx="0">
                        <c:v>-62367.640000000421</c:v>
                      </c:pt>
                      <c:pt idx="1">
                        <c:v>360745.03999999969</c:v>
                      </c:pt>
                      <c:pt idx="2">
                        <c:v>349422.16000000108</c:v>
                      </c:pt>
                      <c:pt idx="3">
                        <c:v>-23681.999999998778</c:v>
                      </c:pt>
                      <c:pt idx="4">
                        <c:v>230569.51999999624</c:v>
                      </c:pt>
                      <c:pt idx="5">
                        <c:v>-183598.07999999961</c:v>
                      </c:pt>
                      <c:pt idx="6">
                        <c:v>453319.31999999937</c:v>
                      </c:pt>
                      <c:pt idx="7">
                        <c:v>17942.440000002855</c:v>
                      </c:pt>
                      <c:pt idx="8">
                        <c:v>-336794.38000000163</c:v>
                      </c:pt>
                    </c:numCache>
                  </c:numRef>
                </c:val>
                <c:smooth val="0"/>
                <c:extLst>
                  <c:ext xmlns:c16="http://schemas.microsoft.com/office/drawing/2014/chart" uri="{C3380CC4-5D6E-409C-BE32-E72D297353CC}">
                    <c16:uniqueId val="{00000002-3BF8-460F-8D60-0FD723E0E3C6}"/>
                  </c:ext>
                </c:extLst>
              </c15:ser>
            </c15:filteredLineSeries>
          </c:ext>
        </c:extLst>
      </c:lineChart>
      <c:dateAx>
        <c:axId val="995343552"/>
        <c:scaling>
          <c:orientation val="minMax"/>
        </c:scaling>
        <c:delete val="0"/>
        <c:axPos val="b"/>
        <c:numFmt formatCode="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Operating Metrics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3"/>
          <c:order val="0"/>
          <c:tx>
            <c:strRef>
              <c:f>'Monthly Summary'!$B$36</c:f>
              <c:strCache>
                <c:ptCount val="1"/>
                <c:pt idx="0">
                  <c:v>Receivable Days to Turnover</c:v>
                </c:pt>
              </c:strCache>
            </c:strRef>
          </c:tx>
          <c:spPr>
            <a:ln w="28575" cap="rnd">
              <a:solidFill>
                <a:schemeClr val="accent2">
                  <a:lumMod val="80000"/>
                  <a:lumOff val="20000"/>
                </a:schemeClr>
              </a:solidFill>
              <a:round/>
            </a:ln>
            <a:effectLst/>
          </c:spPr>
          <c:marker>
            <c:symbol val="square"/>
            <c:size val="5"/>
            <c:spPr>
              <a:solidFill>
                <a:schemeClr val="accent2">
                  <a:lumMod val="80000"/>
                  <a:lumOff val="20000"/>
                </a:schemeClr>
              </a:solidFill>
              <a:ln w="9525">
                <a:solidFill>
                  <a:schemeClr val="accent2">
                    <a:lumMod val="80000"/>
                    <a:lumOff val="20000"/>
                  </a:schemeClr>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Summary'!$W$36:$AV$36</c:f>
              <c:numCache>
                <c:formatCode>0.0</c:formatCode>
                <c:ptCount val="10"/>
                <c:pt idx="0">
                  <c:v>49.474244463157383</c:v>
                </c:pt>
                <c:pt idx="1">
                  <c:v>26.021973606990272</c:v>
                </c:pt>
                <c:pt idx="2">
                  <c:v>17.531005241498605</c:v>
                </c:pt>
                <c:pt idx="3">
                  <c:v>20.25464738013352</c:v>
                </c:pt>
                <c:pt idx="4">
                  <c:v>22.693859105299641</c:v>
                </c:pt>
                <c:pt idx="5">
                  <c:v>18.905429921084419</c:v>
                </c:pt>
                <c:pt idx="6">
                  <c:v>13.658522294340353</c:v>
                </c:pt>
                <c:pt idx="7">
                  <c:v>18.365602401788621</c:v>
                </c:pt>
                <c:pt idx="8">
                  <c:v>15.446941937348367</c:v>
                </c:pt>
                <c:pt idx="9">
                  <c:v>15.785464462504326</c:v>
                </c:pt>
              </c:numCache>
            </c:numRef>
          </c:val>
          <c:smooth val="0"/>
          <c:extLst>
            <c:ext xmlns:c16="http://schemas.microsoft.com/office/drawing/2014/chart" uri="{C3380CC4-5D6E-409C-BE32-E72D297353CC}">
              <c16:uniqueId val="{00000000-358E-4EF2-B853-235153F84C76}"/>
            </c:ext>
          </c:extLst>
        </c:ser>
        <c:ser>
          <c:idx val="15"/>
          <c:order val="1"/>
          <c:tx>
            <c:strRef>
              <c:f>'Monthly Summary'!$B$38</c:f>
              <c:strCache>
                <c:ptCount val="1"/>
                <c:pt idx="0">
                  <c:v>Inventory Days to Turnover</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Summary'!$W$38:$AV$38</c:f>
              <c:numCache>
                <c:formatCode>0.0</c:formatCode>
                <c:ptCount val="10"/>
                <c:pt idx="0">
                  <c:v>129.60418082547821</c:v>
                </c:pt>
                <c:pt idx="1">
                  <c:v>134.87286124483796</c:v>
                </c:pt>
                <c:pt idx="2">
                  <c:v>104.03310789430199</c:v>
                </c:pt>
                <c:pt idx="3">
                  <c:v>145.27647065426055</c:v>
                </c:pt>
                <c:pt idx="4">
                  <c:v>324.69226812057747</c:v>
                </c:pt>
                <c:pt idx="5">
                  <c:v>128.18988071438974</c:v>
                </c:pt>
                <c:pt idx="6">
                  <c:v>174.43256613813398</c:v>
                </c:pt>
                <c:pt idx="7">
                  <c:v>273.71957021076327</c:v>
                </c:pt>
                <c:pt idx="8">
                  <c:v>201.529433596567</c:v>
                </c:pt>
                <c:pt idx="9">
                  <c:v>125.83071791363272</c:v>
                </c:pt>
              </c:numCache>
            </c:numRef>
          </c:val>
          <c:smooth val="0"/>
          <c:extLst>
            <c:ext xmlns:c16="http://schemas.microsoft.com/office/drawing/2014/chart" uri="{C3380CC4-5D6E-409C-BE32-E72D297353CC}">
              <c16:uniqueId val="{00000001-358E-4EF2-B853-235153F84C76}"/>
            </c:ext>
          </c:extLst>
        </c:ser>
        <c:ser>
          <c:idx val="17"/>
          <c:order val="2"/>
          <c:tx>
            <c:strRef>
              <c:f>'Monthly Summary'!$B$40</c:f>
              <c:strCache>
                <c:ptCount val="1"/>
                <c:pt idx="0">
                  <c:v>Payble Days to Turnover</c:v>
                </c:pt>
              </c:strCache>
            </c:strRef>
          </c:tx>
          <c:spPr>
            <a:ln w="28575" cap="rnd">
              <a:solidFill>
                <a:schemeClr val="accent6">
                  <a:lumMod val="80000"/>
                  <a:lumOff val="20000"/>
                </a:schemeClr>
              </a:solidFill>
              <a:round/>
            </a:ln>
            <a:effectLst/>
          </c:spPr>
          <c:marker>
            <c:symbol val="triangle"/>
            <c:size val="5"/>
            <c:spPr>
              <a:solidFill>
                <a:schemeClr val="accent6">
                  <a:lumMod val="80000"/>
                  <a:lumOff val="20000"/>
                </a:schemeClr>
              </a:solidFill>
              <a:ln w="9525">
                <a:solidFill>
                  <a:schemeClr val="accent6">
                    <a:lumMod val="80000"/>
                    <a:lumOff val="20000"/>
                  </a:schemeClr>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Summary'!$W$40:$AV$40</c:f>
              <c:numCache>
                <c:formatCode>0.0</c:formatCode>
                <c:ptCount val="10"/>
                <c:pt idx="0">
                  <c:v>20.731562787433422</c:v>
                </c:pt>
                <c:pt idx="1">
                  <c:v>25.254568653658882</c:v>
                </c:pt>
                <c:pt idx="2">
                  <c:v>19.685662976673303</c:v>
                </c:pt>
                <c:pt idx="3">
                  <c:v>20.200917554501487</c:v>
                </c:pt>
                <c:pt idx="4">
                  <c:v>35.967739786494271</c:v>
                </c:pt>
                <c:pt idx="5">
                  <c:v>12.923258935897319</c:v>
                </c:pt>
                <c:pt idx="6">
                  <c:v>15.762681992394183</c:v>
                </c:pt>
                <c:pt idx="7">
                  <c:v>20.446196503888121</c:v>
                </c:pt>
                <c:pt idx="8">
                  <c:v>20.295268132013693</c:v>
                </c:pt>
                <c:pt idx="9">
                  <c:v>14.593236265711436</c:v>
                </c:pt>
              </c:numCache>
            </c:numRef>
          </c:val>
          <c:smooth val="0"/>
          <c:extLst>
            <c:ext xmlns:c16="http://schemas.microsoft.com/office/drawing/2014/chart" uri="{C3380CC4-5D6E-409C-BE32-E72D297353CC}">
              <c16:uniqueId val="{00000002-358E-4EF2-B853-235153F84C76}"/>
            </c:ext>
          </c:extLst>
        </c:ser>
        <c:dLbls>
          <c:showLegendKey val="0"/>
          <c:showVal val="0"/>
          <c:showCatName val="0"/>
          <c:showSerName val="0"/>
          <c:showPercent val="0"/>
          <c:showBubbleSize val="0"/>
        </c:dLbls>
        <c:marker val="1"/>
        <c:smooth val="0"/>
        <c:axId val="995343552"/>
        <c:axId val="995340600"/>
        <c:extLst/>
      </c:lineChart>
      <c:dateAx>
        <c:axId val="9953435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Working Capital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138225452366113"/>
          <c:y val="0.19229945654383562"/>
          <c:w val="0.78814447381968256"/>
          <c:h val="0.53406242579862473"/>
        </c:manualLayout>
      </c:layout>
      <c:lineChart>
        <c:grouping val="standard"/>
        <c:varyColors val="0"/>
        <c:ser>
          <c:idx val="2"/>
          <c:order val="2"/>
          <c:tx>
            <c:strRef>
              <c:f>'Monthly Summary'!$B$25</c:f>
              <c:strCache>
                <c:ptCount val="1"/>
                <c:pt idx="0">
                  <c:v>Net Working Capital</c:v>
                </c:pt>
              </c:strCache>
              <c:extLst xmlns:c15="http://schemas.microsoft.com/office/drawing/2012/chart"/>
            </c:strRef>
          </c:tx>
          <c:spPr>
            <a:ln w="28575" cap="rnd">
              <a:solidFill>
                <a:schemeClr val="accent3"/>
              </a:solidFill>
              <a:round/>
            </a:ln>
            <a:effectLst/>
          </c:spPr>
          <c:marker>
            <c:symbol val="square"/>
            <c:size val="5"/>
            <c:spPr>
              <a:solidFill>
                <a:schemeClr val="accent3"/>
              </a:solidFill>
              <a:ln w="9525">
                <a:solidFill>
                  <a:schemeClr val="accent3"/>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Summary'!$W$25:$AV$25</c:f>
              <c:numCache>
                <c:formatCode>_("$"* #,##0_);_("$"* \(#,##0\);_("$"* "-"??_);_(@_)</c:formatCode>
                <c:ptCount val="10"/>
                <c:pt idx="0">
                  <c:v>1502149.8899999997</c:v>
                </c:pt>
                <c:pt idx="1">
                  <c:v>1526295.3499999996</c:v>
                </c:pt>
                <c:pt idx="2">
                  <c:v>1761989.669999999</c:v>
                </c:pt>
                <c:pt idx="3">
                  <c:v>1544366.1699999981</c:v>
                </c:pt>
                <c:pt idx="4">
                  <c:v>1888256.0000000009</c:v>
                </c:pt>
                <c:pt idx="5">
                  <c:v>3075340.6500000004</c:v>
                </c:pt>
                <c:pt idx="6">
                  <c:v>3155008.2600000016</c:v>
                </c:pt>
                <c:pt idx="7">
                  <c:v>3427536.4799999986</c:v>
                </c:pt>
                <c:pt idx="8">
                  <c:v>3575046.3900000006</c:v>
                </c:pt>
                <c:pt idx="9">
                  <c:v>3850042.1999999993</c:v>
                </c:pt>
              </c:numCache>
            </c:numRef>
          </c:val>
          <c:smooth val="0"/>
          <c:extLst xmlns:c15="http://schemas.microsoft.com/office/drawing/2012/chart">
            <c:ext xmlns:c16="http://schemas.microsoft.com/office/drawing/2014/chart" uri="{C3380CC4-5D6E-409C-BE32-E72D297353CC}">
              <c16:uniqueId val="{00000000-AA8B-4426-8BD5-266E0CBE4573}"/>
            </c:ext>
          </c:extLst>
        </c:ser>
        <c:ser>
          <c:idx val="3"/>
          <c:order val="3"/>
          <c:tx>
            <c:strRef>
              <c:f>'Monthly Summary'!$B$26</c:f>
              <c:strCache>
                <c:ptCount val="1"/>
                <c:pt idx="0">
                  <c:v>Non-Cash Working Capital: </c:v>
                </c:pt>
              </c:strCache>
              <c:extLst xmlns:c15="http://schemas.microsoft.com/office/drawing/2012/chart"/>
            </c:strRef>
          </c:tx>
          <c:spPr>
            <a:ln w="28575" cap="rnd">
              <a:solidFill>
                <a:schemeClr val="accent4"/>
              </a:solidFill>
              <a:round/>
            </a:ln>
            <a:effectLst/>
          </c:spPr>
          <c:marker>
            <c:symbol val="triangle"/>
            <c:size val="5"/>
            <c:spPr>
              <a:solidFill>
                <a:schemeClr val="accent4"/>
              </a:solidFill>
              <a:ln w="9525">
                <a:solidFill>
                  <a:schemeClr val="accent4"/>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Summary'!$W$26:$AV$26</c:f>
              <c:numCache>
                <c:formatCode>_("$"* #,##0_);_("$"* \(#,##0\);_("$"* "-"??_);_(@_)</c:formatCode>
                <c:ptCount val="10"/>
                <c:pt idx="0">
                  <c:v>264166.98999999976</c:v>
                </c:pt>
                <c:pt idx="1">
                  <c:v>-70580.54000000027</c:v>
                </c:pt>
                <c:pt idx="2">
                  <c:v>-191005.79000000097</c:v>
                </c:pt>
                <c:pt idx="3">
                  <c:v>119066.29999999795</c:v>
                </c:pt>
                <c:pt idx="4">
                  <c:v>230658.37000000104</c:v>
                </c:pt>
                <c:pt idx="5">
                  <c:v>2171684.7300000004</c:v>
                </c:pt>
                <c:pt idx="6">
                  <c:v>1813045.5100000016</c:v>
                </c:pt>
                <c:pt idx="7">
                  <c:v>2482371.5099999984</c:v>
                </c:pt>
                <c:pt idx="8">
                  <c:v>2982688.5900000003</c:v>
                </c:pt>
                <c:pt idx="9">
                  <c:v>2823961.7699999991</c:v>
                </c:pt>
              </c:numCache>
            </c:numRef>
          </c:val>
          <c:smooth val="0"/>
          <c:extLst xmlns:c15="http://schemas.microsoft.com/office/drawing/2012/chart">
            <c:ext xmlns:c16="http://schemas.microsoft.com/office/drawing/2014/chart" uri="{C3380CC4-5D6E-409C-BE32-E72D297353CC}">
              <c16:uniqueId val="{00000001-AA8B-4426-8BD5-266E0CBE4573}"/>
            </c:ext>
          </c:extLst>
        </c:ser>
        <c:ser>
          <c:idx val="4"/>
          <c:order val="4"/>
          <c:tx>
            <c:strRef>
              <c:f>'Monthly Summary'!$AA$66</c:f>
              <c:strCache>
                <c:ptCount val="1"/>
              </c:strCache>
              <c:extLst xmlns:c15="http://schemas.microsoft.com/office/drawing/2012/chart"/>
            </c:strRef>
          </c:tx>
          <c:spPr>
            <a:ln w="28575" cap="rnd">
              <a:solidFill>
                <a:schemeClr val="accent5"/>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Summary'!$AB$66:$AF$66</c:f>
              <c:extLst xmlns:c15="http://schemas.microsoft.com/office/drawing/2012/chart"/>
            </c:numRef>
          </c:val>
          <c:smooth val="0"/>
          <c:extLst xmlns:c15="http://schemas.microsoft.com/office/drawing/2012/chart">
            <c:ext xmlns:c16="http://schemas.microsoft.com/office/drawing/2014/chart" uri="{C3380CC4-5D6E-409C-BE32-E72D297353CC}">
              <c16:uniqueId val="{00000005-AA8B-4426-8BD5-266E0CBE4573}"/>
            </c:ext>
          </c:extLst>
        </c:ser>
        <c:ser>
          <c:idx val="6"/>
          <c:order val="6"/>
          <c:tx>
            <c:strRef>
              <c:f>'Monthly Summary'!$AA$69</c:f>
              <c:strCache>
                <c:ptCount val="1"/>
                <c:pt idx="0">
                  <c:v>Revenue Growth</c:v>
                </c:pt>
              </c:strCache>
              <c:extLst xmlns:c15="http://schemas.microsoft.com/office/drawing/2012/chart"/>
            </c:strRef>
          </c:tx>
          <c:spPr>
            <a:ln w="28575" cap="rnd">
              <a:solidFill>
                <a:schemeClr val="accent1">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Summary'!$AB$69:$AF$69</c:f>
              <c:extLst xmlns:c15="http://schemas.microsoft.com/office/drawing/2012/chart"/>
            </c:numRef>
          </c:val>
          <c:smooth val="0"/>
          <c:extLst xmlns:c15="http://schemas.microsoft.com/office/drawing/2012/chart">
            <c:ext xmlns:c16="http://schemas.microsoft.com/office/drawing/2014/chart" uri="{C3380CC4-5D6E-409C-BE32-E72D297353CC}">
              <c16:uniqueId val="{00000007-AA8B-4426-8BD5-266E0CBE4573}"/>
            </c:ext>
          </c:extLst>
        </c:ser>
        <c:ser>
          <c:idx val="7"/>
          <c:order val="7"/>
          <c:tx>
            <c:strRef>
              <c:f>'Monthly Summary'!$AA$70</c:f>
              <c:strCache>
                <c:ptCount val="1"/>
                <c:pt idx="0">
                  <c:v>Gross Profit Margin</c:v>
                </c:pt>
              </c:strCache>
              <c:extLst xmlns:c15="http://schemas.microsoft.com/office/drawing/2012/chart"/>
            </c:strRef>
          </c:tx>
          <c:spPr>
            <a:ln w="28575" cap="rnd">
              <a:solidFill>
                <a:schemeClr val="accent2">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Summary'!$AB$70:$AF$70</c:f>
              <c:extLst xmlns:c15="http://schemas.microsoft.com/office/drawing/2012/chart"/>
            </c:numRef>
          </c:val>
          <c:smooth val="0"/>
          <c:extLst xmlns:c15="http://schemas.microsoft.com/office/drawing/2012/chart">
            <c:ext xmlns:c16="http://schemas.microsoft.com/office/drawing/2014/chart" uri="{C3380CC4-5D6E-409C-BE32-E72D297353CC}">
              <c16:uniqueId val="{00000008-AA8B-4426-8BD5-266E0CBE4573}"/>
            </c:ext>
          </c:extLst>
        </c:ser>
        <c:ser>
          <c:idx val="8"/>
          <c:order val="8"/>
          <c:tx>
            <c:strRef>
              <c:f>'Monthly Summary'!$AA$71</c:f>
              <c:strCache>
                <c:ptCount val="1"/>
                <c:pt idx="0">
                  <c:v>Operating Profit Margin</c:v>
                </c:pt>
              </c:strCache>
              <c:extLst xmlns:c15="http://schemas.microsoft.com/office/drawing/2012/chart"/>
            </c:strRef>
          </c:tx>
          <c:spPr>
            <a:ln w="28575" cap="rnd">
              <a:solidFill>
                <a:schemeClr val="accent3">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Summary'!$AB$71:$AF$71</c:f>
              <c:extLst xmlns:c15="http://schemas.microsoft.com/office/drawing/2012/chart"/>
            </c:numRef>
          </c:val>
          <c:smooth val="0"/>
          <c:extLst xmlns:c15="http://schemas.microsoft.com/office/drawing/2012/chart">
            <c:ext xmlns:c16="http://schemas.microsoft.com/office/drawing/2014/chart" uri="{C3380CC4-5D6E-409C-BE32-E72D297353CC}">
              <c16:uniqueId val="{00000009-AA8B-4426-8BD5-266E0CBE4573}"/>
            </c:ext>
          </c:extLst>
        </c:ser>
        <c:ser>
          <c:idx val="9"/>
          <c:order val="9"/>
          <c:tx>
            <c:strRef>
              <c:f>'Monthly Summary'!$AA$72</c:f>
              <c:strCache>
                <c:ptCount val="1"/>
                <c:pt idx="0">
                  <c:v>Net Profit Margin</c:v>
                </c:pt>
              </c:strCache>
              <c:extLst xmlns:c15="http://schemas.microsoft.com/office/drawing/2012/chart"/>
            </c:strRef>
          </c:tx>
          <c:spPr>
            <a:ln w="28575" cap="rnd">
              <a:solidFill>
                <a:schemeClr val="accent4">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Summary'!$AB$72:$AF$72</c:f>
              <c:extLst xmlns:c15="http://schemas.microsoft.com/office/drawing/2012/chart"/>
            </c:numRef>
          </c:val>
          <c:smooth val="0"/>
          <c:extLst xmlns:c15="http://schemas.microsoft.com/office/drawing/2012/chart">
            <c:ext xmlns:c16="http://schemas.microsoft.com/office/drawing/2014/chart" uri="{C3380CC4-5D6E-409C-BE32-E72D297353CC}">
              <c16:uniqueId val="{0000000A-AA8B-4426-8BD5-266E0CBE4573}"/>
            </c:ext>
          </c:extLst>
        </c:ser>
        <c:ser>
          <c:idx val="10"/>
          <c:order val="10"/>
          <c:tx>
            <c:strRef>
              <c:f>'Monthly Summary'!$AA$73</c:f>
              <c:strCache>
                <c:ptCount val="1"/>
              </c:strCache>
              <c:extLst xmlns:c15="http://schemas.microsoft.com/office/drawing/2012/chart"/>
            </c:strRef>
          </c:tx>
          <c:spPr>
            <a:ln w="28575" cap="rnd">
              <a:solidFill>
                <a:schemeClr val="accent5">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Summary'!$AB$73:$AF$73</c:f>
              <c:extLst xmlns:c15="http://schemas.microsoft.com/office/drawing/2012/chart"/>
            </c:numRef>
          </c:val>
          <c:smooth val="0"/>
          <c:extLst xmlns:c15="http://schemas.microsoft.com/office/drawing/2012/chart">
            <c:ext xmlns:c16="http://schemas.microsoft.com/office/drawing/2014/chart" uri="{C3380CC4-5D6E-409C-BE32-E72D297353CC}">
              <c16:uniqueId val="{0000000B-AA8B-4426-8BD5-266E0CBE4573}"/>
            </c:ext>
          </c:extLst>
        </c:ser>
        <c:ser>
          <c:idx val="11"/>
          <c:order val="11"/>
          <c:tx>
            <c:strRef>
              <c:f>'Monthly Summary'!$AA$74</c:f>
              <c:strCache>
                <c:ptCount val="1"/>
                <c:pt idx="0">
                  <c:v>Return on Equity </c:v>
                </c:pt>
              </c:strCache>
              <c:extLst xmlns:c15="http://schemas.microsoft.com/office/drawing/2012/chart"/>
            </c:strRef>
          </c:tx>
          <c:spPr>
            <a:ln w="28575" cap="rnd">
              <a:solidFill>
                <a:schemeClr val="accent6">
                  <a:lumMod val="6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Summary'!$AB$74:$AF$74</c:f>
              <c:extLst xmlns:c15="http://schemas.microsoft.com/office/drawing/2012/chart"/>
            </c:numRef>
          </c:val>
          <c:smooth val="0"/>
          <c:extLst xmlns:c15="http://schemas.microsoft.com/office/drawing/2012/chart">
            <c:ext xmlns:c16="http://schemas.microsoft.com/office/drawing/2014/chart" uri="{C3380CC4-5D6E-409C-BE32-E72D297353CC}">
              <c16:uniqueId val="{0000000C-AA8B-4426-8BD5-266E0CBE4573}"/>
            </c:ext>
          </c:extLst>
        </c:ser>
        <c:ser>
          <c:idx val="12"/>
          <c:order val="12"/>
          <c:tx>
            <c:strRef>
              <c:f>'Monthly Summary'!$AA$75</c:f>
              <c:strCache>
                <c:ptCount val="1"/>
                <c:pt idx="0">
                  <c:v>Receivable turnover </c:v>
                </c:pt>
              </c:strCache>
              <c:extLst xmlns:c15="http://schemas.microsoft.com/office/drawing/2012/chart"/>
            </c:strRef>
          </c:tx>
          <c:spPr>
            <a:ln w="28575" cap="rnd">
              <a:solidFill>
                <a:schemeClr val="accent1">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Summary'!$AB$75:$AF$75</c:f>
              <c:extLst xmlns:c15="http://schemas.microsoft.com/office/drawing/2012/chart"/>
            </c:numRef>
          </c:val>
          <c:smooth val="0"/>
          <c:extLst xmlns:c15="http://schemas.microsoft.com/office/drawing/2012/chart">
            <c:ext xmlns:c16="http://schemas.microsoft.com/office/drawing/2014/chart" uri="{C3380CC4-5D6E-409C-BE32-E72D297353CC}">
              <c16:uniqueId val="{0000000D-AA8B-4426-8BD5-266E0CBE4573}"/>
            </c:ext>
          </c:extLst>
        </c:ser>
        <c:ser>
          <c:idx val="14"/>
          <c:order val="14"/>
          <c:tx>
            <c:strRef>
              <c:f>'Monthly Summary'!$AA$77</c:f>
              <c:strCache>
                <c:ptCount val="1"/>
                <c:pt idx="0">
                  <c:v>Inventory Turnover</c:v>
                </c:pt>
              </c:strCache>
              <c:extLst xmlns:c15="http://schemas.microsoft.com/office/drawing/2012/chart"/>
            </c:strRef>
          </c:tx>
          <c:spPr>
            <a:ln w="28575" cap="rnd">
              <a:solidFill>
                <a:schemeClr val="accent3">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Summary'!$AB$77:$AF$77</c:f>
              <c:extLst xmlns:c15="http://schemas.microsoft.com/office/drawing/2012/chart"/>
            </c:numRef>
          </c:val>
          <c:smooth val="0"/>
          <c:extLst xmlns:c15="http://schemas.microsoft.com/office/drawing/2012/chart">
            <c:ext xmlns:c16="http://schemas.microsoft.com/office/drawing/2014/chart" uri="{C3380CC4-5D6E-409C-BE32-E72D297353CC}">
              <c16:uniqueId val="{0000000F-AA8B-4426-8BD5-266E0CBE4573}"/>
            </c:ext>
          </c:extLst>
        </c:ser>
        <c:ser>
          <c:idx val="16"/>
          <c:order val="16"/>
          <c:tx>
            <c:strRef>
              <c:f>'Monthly Summary'!$AA$79</c:f>
              <c:strCache>
                <c:ptCount val="1"/>
                <c:pt idx="0">
                  <c:v>Payable turnover </c:v>
                </c:pt>
              </c:strCache>
              <c:extLst xmlns:c15="http://schemas.microsoft.com/office/drawing/2012/chart"/>
            </c:strRef>
          </c:tx>
          <c:spPr>
            <a:ln w="28575" cap="rnd">
              <a:solidFill>
                <a:schemeClr val="accent5">
                  <a:lumMod val="80000"/>
                  <a:lumOff val="2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Summary'!$AB$79:$AF$79</c:f>
              <c:extLst xmlns:c15="http://schemas.microsoft.com/office/drawing/2012/chart"/>
            </c:numRef>
          </c:val>
          <c:smooth val="0"/>
          <c:extLst xmlns:c15="http://schemas.microsoft.com/office/drawing/2012/chart">
            <c:ext xmlns:c16="http://schemas.microsoft.com/office/drawing/2014/chart" uri="{C3380CC4-5D6E-409C-BE32-E72D297353CC}">
              <c16:uniqueId val="{00000011-AA8B-4426-8BD5-266E0CBE4573}"/>
            </c:ext>
          </c:extLst>
        </c:ser>
        <c:ser>
          <c:idx val="18"/>
          <c:order val="18"/>
          <c:tx>
            <c:strRef>
              <c:f>'Monthly Summary'!$AA$81</c:f>
              <c:strCache>
                <c:ptCount val="1"/>
              </c:strCache>
              <c:extLst xmlns:c15="http://schemas.microsoft.com/office/drawing/2012/chart"/>
            </c:strRef>
          </c:tx>
          <c:spPr>
            <a:ln w="28575" cap="rnd">
              <a:solidFill>
                <a:schemeClr val="accent1">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Summary'!$AB$81:$AF$81</c:f>
              <c:extLst xmlns:c15="http://schemas.microsoft.com/office/drawing/2012/chart"/>
            </c:numRef>
          </c:val>
          <c:smooth val="0"/>
          <c:extLst xmlns:c15="http://schemas.microsoft.com/office/drawing/2012/chart">
            <c:ext xmlns:c16="http://schemas.microsoft.com/office/drawing/2014/chart" uri="{C3380CC4-5D6E-409C-BE32-E72D297353CC}">
              <c16:uniqueId val="{00000013-AA8B-4426-8BD5-266E0CBE4573}"/>
            </c:ext>
          </c:extLst>
        </c:ser>
        <c:ser>
          <c:idx val="19"/>
          <c:order val="19"/>
          <c:tx>
            <c:strRef>
              <c:f>'Monthly Summary'!$AA$82</c:f>
              <c:strCache>
                <c:ptCount val="1"/>
                <c:pt idx="0">
                  <c:v>Operating Cash Flow</c:v>
                </c:pt>
              </c:strCache>
              <c:extLst xmlns:c15="http://schemas.microsoft.com/office/drawing/2012/chart"/>
            </c:strRef>
          </c:tx>
          <c:spPr>
            <a:ln w="28575" cap="rnd">
              <a:solidFill>
                <a:schemeClr val="accent2">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Summary'!$AB$82:$AF$82</c:f>
              <c:extLst xmlns:c15="http://schemas.microsoft.com/office/drawing/2012/chart"/>
            </c:numRef>
          </c:val>
          <c:smooth val="0"/>
          <c:extLst xmlns:c15="http://schemas.microsoft.com/office/drawing/2012/chart">
            <c:ext xmlns:c16="http://schemas.microsoft.com/office/drawing/2014/chart" uri="{C3380CC4-5D6E-409C-BE32-E72D297353CC}">
              <c16:uniqueId val="{00000014-AA8B-4426-8BD5-266E0CBE4573}"/>
            </c:ext>
          </c:extLst>
        </c:ser>
        <c:ser>
          <c:idx val="20"/>
          <c:order val="20"/>
          <c:tx>
            <c:strRef>
              <c:f>'Monthly Summary'!$AA$83</c:f>
              <c:strCache>
                <c:ptCount val="1"/>
                <c:pt idx="0">
                  <c:v>Investing Cash Flow</c:v>
                </c:pt>
              </c:strCache>
              <c:extLst xmlns:c15="http://schemas.microsoft.com/office/drawing/2012/chart"/>
            </c:strRef>
          </c:tx>
          <c:spPr>
            <a:ln w="28575" cap="rnd">
              <a:solidFill>
                <a:schemeClr val="accent3">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Summary'!$AB$83:$AF$83</c:f>
              <c:extLst xmlns:c15="http://schemas.microsoft.com/office/drawing/2012/chart"/>
            </c:numRef>
          </c:val>
          <c:smooth val="0"/>
          <c:extLst xmlns:c15="http://schemas.microsoft.com/office/drawing/2012/chart">
            <c:ext xmlns:c16="http://schemas.microsoft.com/office/drawing/2014/chart" uri="{C3380CC4-5D6E-409C-BE32-E72D297353CC}">
              <c16:uniqueId val="{00000015-AA8B-4426-8BD5-266E0CBE4573}"/>
            </c:ext>
          </c:extLst>
        </c:ser>
        <c:ser>
          <c:idx val="21"/>
          <c:order val="21"/>
          <c:tx>
            <c:strRef>
              <c:f>'Monthly Summary'!$AA$84</c:f>
              <c:strCache>
                <c:ptCount val="1"/>
                <c:pt idx="0">
                  <c:v>Financing Cash Flow</c:v>
                </c:pt>
              </c:strCache>
              <c:extLst xmlns:c15="http://schemas.microsoft.com/office/drawing/2012/chart"/>
            </c:strRef>
          </c:tx>
          <c:spPr>
            <a:ln w="28575" cap="rnd">
              <a:solidFill>
                <a:schemeClr val="accent4">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Summary'!$AB$84:$AF$84</c:f>
              <c:extLst xmlns:c15="http://schemas.microsoft.com/office/drawing/2012/chart"/>
            </c:numRef>
          </c:val>
          <c:smooth val="0"/>
          <c:extLst xmlns:c15="http://schemas.microsoft.com/office/drawing/2012/chart">
            <c:ext xmlns:c16="http://schemas.microsoft.com/office/drawing/2014/chart" uri="{C3380CC4-5D6E-409C-BE32-E72D297353CC}">
              <c16:uniqueId val="{00000016-AA8B-4426-8BD5-266E0CBE4573}"/>
            </c:ext>
          </c:extLst>
        </c:ser>
        <c:ser>
          <c:idx val="22"/>
          <c:order val="22"/>
          <c:tx>
            <c:strRef>
              <c:f>'Monthly Summary'!$AA$85</c:f>
              <c:strCache>
                <c:ptCount val="1"/>
                <c:pt idx="0">
                  <c:v>Net Cash Flow</c:v>
                </c:pt>
              </c:strCache>
              <c:extLst xmlns:c15="http://schemas.microsoft.com/office/drawing/2012/chart"/>
            </c:strRef>
          </c:tx>
          <c:spPr>
            <a:ln w="28575" cap="rnd">
              <a:solidFill>
                <a:schemeClr val="accent5">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Summary'!$AB$85:$AF$85</c:f>
              <c:extLst xmlns:c15="http://schemas.microsoft.com/office/drawing/2012/chart"/>
            </c:numRef>
          </c:val>
          <c:smooth val="0"/>
          <c:extLst xmlns:c15="http://schemas.microsoft.com/office/drawing/2012/chart">
            <c:ext xmlns:c16="http://schemas.microsoft.com/office/drawing/2014/chart" uri="{C3380CC4-5D6E-409C-BE32-E72D297353CC}">
              <c16:uniqueId val="{00000017-AA8B-4426-8BD5-266E0CBE4573}"/>
            </c:ext>
          </c:extLst>
        </c:ser>
        <c:ser>
          <c:idx val="23"/>
          <c:order val="23"/>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8-AA8B-4426-8BD5-266E0CBE4573}"/>
            </c:ext>
          </c:extLst>
        </c:ser>
        <c:ser>
          <c:idx val="24"/>
          <c:order val="24"/>
          <c:tx>
            <c:strRef>
              <c:f>'Monthly Summary'!$O$87</c:f>
              <c:strCache>
                <c:ptCount val="1"/>
                <c:pt idx="0">
                  <c:v>Free Cash Flow</c:v>
                </c:pt>
              </c:strCache>
              <c:extLst xmlns:c15="http://schemas.microsoft.com/office/drawing/2012/chart"/>
            </c:strRef>
          </c:tx>
          <c:spPr>
            <a:ln w="28575" cap="rnd">
              <a:solidFill>
                <a:schemeClr val="accent1">
                  <a:lumMod val="60000"/>
                  <a:lumOff val="40000"/>
                </a:schemeClr>
              </a:solidFill>
              <a:round/>
            </a:ln>
            <a:effectLst/>
          </c:spPr>
          <c:marker>
            <c:symbol val="none"/>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Summary'!$P$87:$T$87</c:f>
              <c:extLst xmlns:c15="http://schemas.microsoft.com/office/drawing/2012/chart"/>
            </c:numRef>
          </c:val>
          <c:smooth val="0"/>
          <c:extLst xmlns:c15="http://schemas.microsoft.com/office/drawing/2012/chart">
            <c:ext xmlns:c16="http://schemas.microsoft.com/office/drawing/2014/chart" uri="{C3380CC4-5D6E-409C-BE32-E72D297353CC}">
              <c16:uniqueId val="{00000019-AA8B-4426-8BD5-266E0CBE4573}"/>
            </c:ext>
          </c:extLst>
        </c:ser>
        <c:dLbls>
          <c:showLegendKey val="0"/>
          <c:showVal val="0"/>
          <c:showCatName val="0"/>
          <c:showSerName val="0"/>
          <c:showPercent val="0"/>
          <c:showBubbleSize val="0"/>
        </c:dLbls>
        <c:marker val="1"/>
        <c:smooth val="0"/>
        <c:axId val="995343552"/>
        <c:axId val="995340600"/>
        <c:extLst>
          <c:ext xmlns:c15="http://schemas.microsoft.com/office/drawing/2012/chart" uri="{02D57815-91ED-43cb-92C2-25804820EDAC}">
            <c15:filteredLineSeries>
              <c15:ser>
                <c:idx val="0"/>
                <c:order val="0"/>
                <c:tx>
                  <c:strRef>
                    <c:extLst>
                      <c:ext uri="{02D57815-91ED-43cb-92C2-25804820EDAC}">
                        <c15:formulaRef>
                          <c15:sqref>'Monthly Summary'!$AA$62</c15:sqref>
                        </c15:formulaRef>
                      </c:ext>
                    </c:extLst>
                    <c:strCache>
                      <c:ptCount val="1"/>
                      <c:pt idx="0">
                        <c:v>Liquidity: Current Ratio (1.5-2.0)</c:v>
                      </c:pt>
                    </c:strCache>
                  </c:strRef>
                </c:tx>
                <c:spPr>
                  <a:ln w="28575" cap="rnd">
                    <a:solidFill>
                      <a:schemeClr val="accent1"/>
                    </a:solidFill>
                    <a:round/>
                  </a:ln>
                  <a:effectLst/>
                </c:spPr>
                <c:marker>
                  <c:symbol val="none"/>
                </c:marker>
                <c:cat>
                  <c:numRef>
                    <c:extLst>
                      <c:ex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c:ext uri="{02D57815-91ED-43cb-92C2-25804820EDAC}">
                        <c15:formulaRef>
                          <c15:sqref>'Monthly Summary'!$AB$62:$AV$62</c15:sqref>
                        </c15:formulaRef>
                      </c:ext>
                    </c:extLst>
                    <c:numCache>
                      <c:formatCode>General</c:formatCode>
                      <c:ptCount val="10"/>
                    </c:numCache>
                  </c:numRef>
                </c:val>
                <c:smooth val="0"/>
                <c:extLst>
                  <c:ext xmlns:c16="http://schemas.microsoft.com/office/drawing/2014/chart" uri="{C3380CC4-5D6E-409C-BE32-E72D297353CC}">
                    <c16:uniqueId val="{00000003-AA8B-4426-8BD5-266E0CBE4573}"/>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'Monthly Summary'!$AA$63</c15:sqref>
                        </c15:formulaRef>
                      </c:ext>
                    </c:extLst>
                    <c:strCache>
                      <c:ptCount val="1"/>
                      <c:pt idx="0">
                        <c:v>Safety: Debt to Equity  (1.0 - 1.5)</c:v>
                      </c:pt>
                    </c:strCache>
                  </c:strRef>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xmlns:c15="http://schemas.microsoft.com/office/drawing/2012/chart">
                      <c:ext xmlns:c15="http://schemas.microsoft.com/office/drawing/2012/chart" uri="{02D57815-91ED-43cb-92C2-25804820EDAC}">
                        <c15:formulaRef>
                          <c15:sqref>'Monthly Summary'!$AB$63:$AV$63</c15:sqref>
                        </c15:formulaRef>
                      </c:ext>
                    </c:extLst>
                    <c:numCache>
                      <c:formatCode>_("$"* #,##0_);_("$"* \(#,##0\);_("$"* "-"??_);_(@_)</c:formatCode>
                      <c:ptCount val="10"/>
                    </c:numCache>
                  </c:numRef>
                </c:val>
                <c:smooth val="0"/>
                <c:extLst xmlns:c15="http://schemas.microsoft.com/office/drawing/2012/chart">
                  <c:ext xmlns:c16="http://schemas.microsoft.com/office/drawing/2014/chart" uri="{C3380CC4-5D6E-409C-BE32-E72D297353CC}">
                    <c16:uniqueId val="{00000004-AA8B-4426-8BD5-266E0CBE4573}"/>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'Monthly Summary'!$AA$76</c15:sqref>
                        </c15:formulaRef>
                      </c:ext>
                    </c:extLst>
                    <c:strCache>
                      <c:ptCount val="1"/>
                      <c:pt idx="0">
                        <c:v>Receivable Days </c:v>
                      </c:pt>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xmlns:c15="http://schemas.microsoft.com/office/drawing/2012/chart">
                      <c:ext xmlns:c15="http://schemas.microsoft.com/office/drawing/2012/chart" uri="{02D57815-91ED-43cb-92C2-25804820EDAC}">
                        <c15:formulaRef>
                          <c15:sqref>'Monthly Summary'!$AB$76:$AV$76</c15:sqref>
                        </c15:formulaRef>
                      </c:ext>
                    </c:extLst>
                    <c:numCache>
                      <c:formatCode>General</c:formatCode>
                      <c:ptCount val="10"/>
                    </c:numCache>
                  </c:numRef>
                </c:val>
                <c:smooth val="0"/>
                <c:extLst xmlns:c15="http://schemas.microsoft.com/office/drawing/2012/chart">
                  <c:ext xmlns:c16="http://schemas.microsoft.com/office/drawing/2014/chart" uri="{C3380CC4-5D6E-409C-BE32-E72D297353CC}">
                    <c16:uniqueId val="{0000000E-AA8B-4426-8BD5-266E0CBE4573}"/>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'Monthly Summary'!$AA$78</c15:sqref>
                        </c15:formulaRef>
                      </c:ext>
                    </c:extLst>
                    <c:strCache>
                      <c:ptCount val="1"/>
                      <c:pt idx="0">
                        <c:v>Inventory Days </c:v>
                      </c:pt>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xmlns:c15="http://schemas.microsoft.com/office/drawing/2012/chart">
                      <c:ext xmlns:c15="http://schemas.microsoft.com/office/drawing/2012/chart" uri="{02D57815-91ED-43cb-92C2-25804820EDAC}">
                        <c15:formulaRef>
                          <c15:sqref>'Monthly Summary'!$AB$78:$AV$78</c15:sqref>
                        </c15:formulaRef>
                      </c:ext>
                    </c:extLst>
                    <c:numCache>
                      <c:formatCode>0%</c:formatCode>
                      <c:ptCount val="10"/>
                    </c:numCache>
                  </c:numRef>
                </c:val>
                <c:smooth val="0"/>
                <c:extLst xmlns:c15="http://schemas.microsoft.com/office/drawing/2012/chart">
                  <c:ext xmlns:c16="http://schemas.microsoft.com/office/drawing/2014/chart" uri="{C3380CC4-5D6E-409C-BE32-E72D297353CC}">
                    <c16:uniqueId val="{00000010-AA8B-4426-8BD5-266E0CBE4573}"/>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'Monthly Summary'!$AA$80</c15:sqref>
                        </c15:formulaRef>
                      </c:ext>
                    </c:extLst>
                    <c:strCache>
                      <c:ptCount val="1"/>
                      <c:pt idx="0">
                        <c:v>Payable Days</c:v>
                      </c:pt>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xmlns:c15="http://schemas.microsoft.com/office/drawing/2012/chart">
                      <c:ext xmlns:c15="http://schemas.microsoft.com/office/drawing/2012/chart" uri="{02D57815-91ED-43cb-92C2-25804820EDAC}">
                        <c15:formulaRef>
                          <c15:sqref>'Monthly Summary'!$AB$80:$AV$80</c15:sqref>
                        </c15:formulaRef>
                      </c:ext>
                    </c:extLst>
                    <c:numCache>
                      <c:formatCode>0%</c:formatCode>
                      <c:ptCount val="10"/>
                    </c:numCache>
                  </c:numRef>
                </c:val>
                <c:smooth val="0"/>
                <c:extLst xmlns:c15="http://schemas.microsoft.com/office/drawing/2012/chart">
                  <c:ext xmlns:c16="http://schemas.microsoft.com/office/drawing/2014/chart" uri="{C3380CC4-5D6E-409C-BE32-E72D297353CC}">
                    <c16:uniqueId val="{00000012-AA8B-4426-8BD5-266E0CBE4573}"/>
                  </c:ext>
                </c:extLst>
              </c15:ser>
            </c15:filteredLineSeries>
          </c:ext>
        </c:extLst>
      </c:lineChart>
      <c:lineChart>
        <c:grouping val="standard"/>
        <c:varyColors val="0"/>
        <c:ser>
          <c:idx val="5"/>
          <c:order val="5"/>
          <c:tx>
            <c:strRef>
              <c:f>'Monthly Summary'!$AA$67</c:f>
              <c:strCache>
                <c:ptCount val="1"/>
                <c:pt idx="0">
                  <c:v>Revenue</c:v>
                </c:pt>
              </c:strCache>
              <c:extLst xmlns:c15="http://schemas.microsoft.com/office/drawing/2012/chart"/>
            </c:strRef>
          </c:tx>
          <c:spPr>
            <a:ln w="28575" cap="rnd">
              <a:solidFill>
                <a:schemeClr val="accent6"/>
              </a:solidFill>
              <a:round/>
            </a:ln>
            <a:effectLst/>
          </c:spPr>
          <c:marker>
            <c:symbol val="none"/>
          </c:marker>
          <c:cat>
            <c:numRef>
              <c:f>'Monthly Summary'!$W$2:$AU$2</c:f>
              <c:numCache>
                <c:formatCode>mmm\-yy</c:formatCode>
                <c:ptCount val="9"/>
                <c:pt idx="0">
                  <c:v>44949</c:v>
                </c:pt>
                <c:pt idx="1">
                  <c:v>44980</c:v>
                </c:pt>
                <c:pt idx="2">
                  <c:v>45008</c:v>
                </c:pt>
                <c:pt idx="3">
                  <c:v>45017</c:v>
                </c:pt>
                <c:pt idx="4">
                  <c:v>45047</c:v>
                </c:pt>
                <c:pt idx="5">
                  <c:v>45078</c:v>
                </c:pt>
                <c:pt idx="6">
                  <c:v>45108</c:v>
                </c:pt>
                <c:pt idx="7">
                  <c:v>45139</c:v>
                </c:pt>
                <c:pt idx="8">
                  <c:v>45170</c:v>
                </c:pt>
              </c:numCache>
              <c:extLst xmlns:c15="http://schemas.microsoft.com/office/drawing/2012/chart"/>
            </c:numRef>
          </c:cat>
          <c:val>
            <c:numRef>
              <c:f>'Monthly Summary'!$C$67:$Z$67</c:f>
              <c:extLst xmlns:c15="http://schemas.microsoft.com/office/drawing/2012/chart"/>
            </c:numRef>
          </c:val>
          <c:smooth val="0"/>
          <c:extLst xmlns:c15="http://schemas.microsoft.com/office/drawing/2012/chart">
            <c:ext xmlns:c16="http://schemas.microsoft.com/office/drawing/2014/chart" uri="{C3380CC4-5D6E-409C-BE32-E72D297353CC}">
              <c16:uniqueId val="{00000006-AA8B-4426-8BD5-266E0CBE4573}"/>
            </c:ext>
          </c:extLst>
        </c:ser>
        <c:ser>
          <c:idx val="25"/>
          <c:order val="25"/>
          <c:tx>
            <c:strRef>
              <c:f>'Monthly Summary'!$B$14</c:f>
              <c:strCache>
                <c:ptCount val="1"/>
                <c:pt idx="0">
                  <c:v>Cash</c:v>
                </c:pt>
              </c:strCache>
              <c:extLst xmlns:c15="http://schemas.microsoft.com/office/drawing/2012/chart"/>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numRef>
              <c:f>'Monthly Summary'!$W$2:$AU$2</c:f>
              <c:numCache>
                <c:formatCode>mmm\-yy</c:formatCode>
                <c:ptCount val="9"/>
                <c:pt idx="0">
                  <c:v>44949</c:v>
                </c:pt>
                <c:pt idx="1">
                  <c:v>44980</c:v>
                </c:pt>
                <c:pt idx="2">
                  <c:v>45008</c:v>
                </c:pt>
                <c:pt idx="3">
                  <c:v>45017</c:v>
                </c:pt>
                <c:pt idx="4">
                  <c:v>45047</c:v>
                </c:pt>
                <c:pt idx="5">
                  <c:v>45078</c:v>
                </c:pt>
                <c:pt idx="6">
                  <c:v>45108</c:v>
                </c:pt>
                <c:pt idx="7">
                  <c:v>45139</c:v>
                </c:pt>
                <c:pt idx="8">
                  <c:v>45170</c:v>
                </c:pt>
              </c:numCache>
              <c:extLst xmlns:c15="http://schemas.microsoft.com/office/drawing/2012/chart"/>
            </c:numRef>
          </c:cat>
          <c:val>
            <c:numRef>
              <c:f>'Monthly Summary'!$H$14:$S$14</c:f>
              <c:extLst xmlns:c15="http://schemas.microsoft.com/office/drawing/2012/chart"/>
            </c:numRef>
          </c:val>
          <c:smooth val="0"/>
          <c:extLst xmlns:c15="http://schemas.microsoft.com/office/drawing/2012/chart">
            <c:ext xmlns:c16="http://schemas.microsoft.com/office/drawing/2014/chart" uri="{C3380CC4-5D6E-409C-BE32-E72D297353CC}">
              <c16:uniqueId val="{0000001A-AA8B-4426-8BD5-266E0CBE4573}"/>
            </c:ext>
          </c:extLst>
        </c:ser>
        <c:ser>
          <c:idx val="26"/>
          <c:order val="26"/>
          <c:tx>
            <c:strRef>
              <c:f>'Monthly Summary'!$B$29</c:f>
              <c:strCache>
                <c:ptCount val="1"/>
                <c:pt idx="0">
                  <c:v>Total Inventory</c:v>
                </c:pt>
              </c:strCache>
              <c:extLst xmlns:c15="http://schemas.microsoft.com/office/drawing/2012/chart"/>
            </c:strRef>
          </c:tx>
          <c:spPr>
            <a:ln w="28575" cap="rnd">
              <a:solidFill>
                <a:srgbClr val="002060"/>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numRef>
              <c:f>'Monthly Summary'!$W$2:$AU$2</c:f>
              <c:numCache>
                <c:formatCode>mmm\-yy</c:formatCode>
                <c:ptCount val="9"/>
                <c:pt idx="0">
                  <c:v>44949</c:v>
                </c:pt>
                <c:pt idx="1">
                  <c:v>44980</c:v>
                </c:pt>
                <c:pt idx="2">
                  <c:v>45008</c:v>
                </c:pt>
                <c:pt idx="3">
                  <c:v>45017</c:v>
                </c:pt>
                <c:pt idx="4">
                  <c:v>45047</c:v>
                </c:pt>
                <c:pt idx="5">
                  <c:v>45078</c:v>
                </c:pt>
                <c:pt idx="6">
                  <c:v>45108</c:v>
                </c:pt>
                <c:pt idx="7">
                  <c:v>45139</c:v>
                </c:pt>
                <c:pt idx="8">
                  <c:v>45170</c:v>
                </c:pt>
              </c:numCache>
              <c:extLst xmlns:c15="http://schemas.microsoft.com/office/drawing/2012/chart"/>
            </c:numRef>
          </c:cat>
          <c:val>
            <c:numRef>
              <c:f>'Monthly Summary'!$W$29:$AV$29</c:f>
              <c:numCache>
                <c:formatCode>_("$"* #,##0_);_("$"* \(#,##0\);_("$"* "-"??_);_(@_)</c:formatCode>
                <c:ptCount val="10"/>
                <c:pt idx="0">
                  <c:v>3129265.98</c:v>
                </c:pt>
                <c:pt idx="1">
                  <c:v>3518236.86</c:v>
                </c:pt>
                <c:pt idx="2">
                  <c:v>3967064.77</c:v>
                </c:pt>
                <c:pt idx="3">
                  <c:v>4249631.92</c:v>
                </c:pt>
                <c:pt idx="4">
                  <c:v>3965147.32</c:v>
                </c:pt>
                <c:pt idx="5">
                  <c:v>3751086.3499999996</c:v>
                </c:pt>
                <c:pt idx="6">
                  <c:v>3759104.29</c:v>
                </c:pt>
                <c:pt idx="7">
                  <c:v>4081913.1100000003</c:v>
                </c:pt>
                <c:pt idx="8">
                  <c:v>4190864.09</c:v>
                </c:pt>
                <c:pt idx="9">
                  <c:v>3960616.95</c:v>
                </c:pt>
              </c:numCache>
            </c:numRef>
          </c:val>
          <c:smooth val="0"/>
          <c:extLst xmlns:c15="http://schemas.microsoft.com/office/drawing/2012/chart">
            <c:ext xmlns:c16="http://schemas.microsoft.com/office/drawing/2014/chart" uri="{C3380CC4-5D6E-409C-BE32-E72D297353CC}">
              <c16:uniqueId val="{00000002-AA8B-4426-8BD5-266E0CBE4573}"/>
            </c:ext>
          </c:extLst>
        </c:ser>
        <c:dLbls>
          <c:showLegendKey val="0"/>
          <c:showVal val="0"/>
          <c:showCatName val="0"/>
          <c:showSerName val="0"/>
          <c:showPercent val="0"/>
          <c:showBubbleSize val="0"/>
        </c:dLbls>
        <c:marker val="1"/>
        <c:smooth val="0"/>
        <c:axId val="278828119"/>
        <c:axId val="278822543"/>
        <c:extLst/>
      </c:lineChart>
      <c:dateAx>
        <c:axId val="9953435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valAx>
        <c:axId val="278822543"/>
        <c:scaling>
          <c:orientation val="minMax"/>
        </c:scaling>
        <c:delete val="1"/>
        <c:axPos val="r"/>
        <c:numFmt formatCode="_(&quot;$&quot;* #,##0_);_(&quot;$&quot;* \(#,##0\);_(&quot;$&quot;* &quot;-&quot;??_);_(@_)" sourceLinked="1"/>
        <c:majorTickMark val="out"/>
        <c:minorTickMark val="none"/>
        <c:tickLblPos val="nextTo"/>
        <c:crossAx val="278828119"/>
        <c:crosses val="max"/>
        <c:crossBetween val="between"/>
      </c:valAx>
      <c:dateAx>
        <c:axId val="278828119"/>
        <c:scaling>
          <c:orientation val="minMax"/>
        </c:scaling>
        <c:delete val="1"/>
        <c:axPos val="b"/>
        <c:numFmt formatCode="mmm\-yy" sourceLinked="1"/>
        <c:majorTickMark val="out"/>
        <c:minorTickMark val="none"/>
        <c:tickLblPos val="nextTo"/>
        <c:crossAx val="27882254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Employee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1"/>
          <c:tx>
            <c:strRef>
              <c:f>'Monthly Summary'!$B$51</c:f>
              <c:strCache>
                <c:ptCount val="1"/>
                <c:pt idx="0">
                  <c:v>Rev / Employee</c:v>
                </c:pt>
              </c:strCache>
            </c:strRef>
          </c:tx>
          <c:spPr>
            <a:ln w="28575" cap="rnd">
              <a:solidFill>
                <a:schemeClr val="accent1"/>
              </a:solidFill>
              <a:round/>
            </a:ln>
            <a:effectLst/>
          </c:spPr>
          <c:marker>
            <c:symbol val="none"/>
          </c:marker>
          <c:cat>
            <c:numRef>
              <c:f>'Monthly Summary'!$AM$2:$AV$2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Summary'!$W$51:$AV$51</c:f>
              <c:numCache>
                <c:formatCode>_("$"* #,##0_);_("$"* \(#,##0\);_("$"* "-"??_);_(@_)</c:formatCode>
                <c:ptCount val="10"/>
                <c:pt idx="0">
                  <c:v>13003.054</c:v>
                </c:pt>
                <c:pt idx="1">
                  <c:v>17995.191818181818</c:v>
                </c:pt>
                <c:pt idx="2">
                  <c:v>31853.117368421052</c:v>
                </c:pt>
                <c:pt idx="3">
                  <c:v>24322.589272727269</c:v>
                </c:pt>
                <c:pt idx="4">
                  <c:v>23865.237272727274</c:v>
                </c:pt>
                <c:pt idx="5">
                  <c:v>34191.727454545457</c:v>
                </c:pt>
                <c:pt idx="6">
                  <c:v>28222.633636363636</c:v>
                </c:pt>
                <c:pt idx="7">
                  <c:v>27351.797636363637</c:v>
                </c:pt>
                <c:pt idx="8">
                  <c:v>33678.889636363638</c:v>
                </c:pt>
                <c:pt idx="9">
                  <c:v>43615.393333333341</c:v>
                </c:pt>
              </c:numCache>
            </c:numRef>
          </c:val>
          <c:smooth val="0"/>
          <c:extLst>
            <c:ext xmlns:c16="http://schemas.microsoft.com/office/drawing/2014/chart" uri="{C3380CC4-5D6E-409C-BE32-E72D297353CC}">
              <c16:uniqueId val="{00000000-D7CA-4B91-AB4B-1C4F6E2EAF92}"/>
            </c:ext>
          </c:extLst>
        </c:ser>
        <c:dLbls>
          <c:showLegendKey val="0"/>
          <c:showVal val="0"/>
          <c:showCatName val="0"/>
          <c:showSerName val="0"/>
          <c:showPercent val="0"/>
          <c:showBubbleSize val="0"/>
        </c:dLbls>
        <c:smooth val="0"/>
        <c:axId val="995343552"/>
        <c:axId val="995340600"/>
        <c:extLst>
          <c:ext xmlns:c15="http://schemas.microsoft.com/office/drawing/2012/chart" uri="{02D57815-91ED-43cb-92C2-25804820EDAC}">
            <c15:filteredLineSeries>
              <c15:ser>
                <c:idx val="1"/>
                <c:order val="0"/>
                <c:tx>
                  <c:strRef>
                    <c:extLst>
                      <c:ext uri="{02D57815-91ED-43cb-92C2-25804820EDAC}">
                        <c15:formulaRef>
                          <c15:sqref>'Monthly Summary'!$B$51</c15:sqref>
                        </c15:formulaRef>
                      </c:ext>
                    </c:extLst>
                    <c:strCache>
                      <c:ptCount val="1"/>
                      <c:pt idx="0">
                        <c:v>Rev / Employee</c:v>
                      </c:pt>
                    </c:strCache>
                  </c:strRef>
                </c:tx>
                <c:spPr>
                  <a:ln w="28575" cap="rnd">
                    <a:solidFill>
                      <a:schemeClr val="accent2"/>
                    </a:solidFill>
                    <a:round/>
                  </a:ln>
                  <a:effectLst/>
                </c:spPr>
                <c:marker>
                  <c:symbol val="none"/>
                </c:marker>
                <c:cat>
                  <c:numRef>
                    <c:extLst>
                      <c:ext uri="{02D57815-91ED-43cb-92C2-25804820EDAC}">
                        <c15:formulaRef>
                          <c15:sqref>'Monthly Summary'!$AM$2:$AV$2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c:ext uri="{02D57815-91ED-43cb-92C2-25804820EDAC}">
                        <c15:formulaRef>
                          <c15:sqref>'Monthly Summary'!$AM$51:$AV$51</c15:sqref>
                        </c15:formulaRef>
                      </c:ext>
                    </c:extLst>
                    <c:numCache>
                      <c:formatCode>_("$"* #,##0_);_("$"* \(#,##0\);_("$"* "-"??_);_(@_)</c:formatCode>
                      <c:ptCount val="10"/>
                      <c:pt idx="0">
                        <c:v>13003.054</c:v>
                      </c:pt>
                      <c:pt idx="1">
                        <c:v>17995.191818181818</c:v>
                      </c:pt>
                      <c:pt idx="2">
                        <c:v>31853.117368421052</c:v>
                      </c:pt>
                      <c:pt idx="3">
                        <c:v>24322.589272727269</c:v>
                      </c:pt>
                      <c:pt idx="4">
                        <c:v>23865.237272727274</c:v>
                      </c:pt>
                      <c:pt idx="5">
                        <c:v>34191.727454545457</c:v>
                      </c:pt>
                      <c:pt idx="6">
                        <c:v>28222.633636363636</c:v>
                      </c:pt>
                      <c:pt idx="7">
                        <c:v>27351.797636363637</c:v>
                      </c:pt>
                      <c:pt idx="8">
                        <c:v>33678.889636363638</c:v>
                      </c:pt>
                      <c:pt idx="9">
                        <c:v>43615.393333333341</c:v>
                      </c:pt>
                    </c:numCache>
                  </c:numRef>
                </c:val>
                <c:smooth val="0"/>
                <c:extLst>
                  <c:ext xmlns:c16="http://schemas.microsoft.com/office/drawing/2014/chart" uri="{C3380CC4-5D6E-409C-BE32-E72D297353CC}">
                    <c16:uniqueId val="{00000000-7A21-4493-B9C2-35CD1A84BE65}"/>
                  </c:ext>
                </c:extLst>
              </c15:ser>
            </c15:filteredLineSeries>
          </c:ext>
        </c:extLst>
      </c:lineChart>
      <c:dateAx>
        <c:axId val="9953435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Cumulative Revenue, EBITDA and FCF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'Monthly Summary'!$AA$63</c:f>
              <c:strCache>
                <c:ptCount val="1"/>
                <c:pt idx="0">
                  <c:v>Safety: Debt to Equity  (1.0 - 1.5)</c:v>
                </c:pt>
              </c:strCache>
              <c:extLst xmlns:c15="http://schemas.microsoft.com/office/drawing/2012/chart"/>
            </c:strRef>
          </c:tx>
          <c:spPr>
            <a:ln w="28575" cap="rnd">
              <a:solidFill>
                <a:schemeClr val="accent2"/>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Summary'!$AB$63:$AF$63</c:f>
              <c:extLst xmlns:c15="http://schemas.microsoft.com/office/drawing/2012/chart"/>
            </c:numRef>
          </c:val>
          <c:smooth val="0"/>
          <c:extLst xmlns:c15="http://schemas.microsoft.com/office/drawing/2012/chart">
            <c:ext xmlns:c16="http://schemas.microsoft.com/office/drawing/2014/chart" uri="{C3380CC4-5D6E-409C-BE32-E72D297353CC}">
              <c16:uniqueId val="{00000004-46CF-45EF-BE54-ECA1FB8682C3}"/>
            </c:ext>
          </c:extLst>
        </c:ser>
        <c:ser>
          <c:idx val="2"/>
          <c:order val="2"/>
          <c:tx>
            <c:strRef>
              <c:f>'Monthly Summary'!$AA$64</c:f>
              <c:strCache>
                <c:ptCount val="1"/>
                <c:pt idx="0">
                  <c:v>Net Working Capital</c:v>
                </c:pt>
              </c:strCache>
              <c:extLst xmlns:c15="http://schemas.microsoft.com/office/drawing/2012/chart"/>
            </c:strRef>
          </c:tx>
          <c:spPr>
            <a:ln w="28575" cap="rnd">
              <a:solidFill>
                <a:schemeClr val="accent3"/>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Summary'!$AB$64:$AF$64</c:f>
              <c:extLst xmlns:c15="http://schemas.microsoft.com/office/drawing/2012/chart"/>
            </c:numRef>
          </c:val>
          <c:smooth val="0"/>
          <c:extLst xmlns:c15="http://schemas.microsoft.com/office/drawing/2012/chart">
            <c:ext xmlns:c16="http://schemas.microsoft.com/office/drawing/2014/chart" uri="{C3380CC4-5D6E-409C-BE32-E72D297353CC}">
              <c16:uniqueId val="{00000005-46CF-45EF-BE54-ECA1FB8682C3}"/>
            </c:ext>
          </c:extLst>
        </c:ser>
        <c:ser>
          <c:idx val="3"/>
          <c:order val="3"/>
          <c:tx>
            <c:strRef>
              <c:f>'Monthly Summary'!$AA$65</c:f>
              <c:strCache>
                <c:ptCount val="1"/>
                <c:pt idx="0">
                  <c:v>Non-Cash Working Capital</c:v>
                </c:pt>
              </c:strCache>
              <c:extLst xmlns:c15="http://schemas.microsoft.com/office/drawing/2012/chart"/>
            </c:strRef>
          </c:tx>
          <c:spPr>
            <a:ln w="28575" cap="rnd">
              <a:solidFill>
                <a:schemeClr val="accent4"/>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Summary'!$AB$65:$AF$65</c:f>
              <c:extLst xmlns:c15="http://schemas.microsoft.com/office/drawing/2012/chart"/>
            </c:numRef>
          </c:val>
          <c:smooth val="0"/>
          <c:extLst xmlns:c15="http://schemas.microsoft.com/office/drawing/2012/chart">
            <c:ext xmlns:c16="http://schemas.microsoft.com/office/drawing/2014/chart" uri="{C3380CC4-5D6E-409C-BE32-E72D297353CC}">
              <c16:uniqueId val="{00000006-46CF-45EF-BE54-ECA1FB8682C3}"/>
            </c:ext>
          </c:extLst>
        </c:ser>
        <c:ser>
          <c:idx val="4"/>
          <c:order val="4"/>
          <c:tx>
            <c:strRef>
              <c:f>'Monthly Summary'!$AA$66</c:f>
              <c:strCache>
                <c:ptCount val="1"/>
              </c:strCache>
              <c:extLst xmlns:c15="http://schemas.microsoft.com/office/drawing/2012/chart"/>
            </c:strRef>
          </c:tx>
          <c:spPr>
            <a:ln w="28575" cap="rnd">
              <a:solidFill>
                <a:schemeClr val="accent5"/>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Summary'!$AB$66:$AF$66</c:f>
              <c:extLst xmlns:c15="http://schemas.microsoft.com/office/drawing/2012/chart"/>
            </c:numRef>
          </c:val>
          <c:smooth val="0"/>
          <c:extLst xmlns:c15="http://schemas.microsoft.com/office/drawing/2012/chart">
            <c:ext xmlns:c16="http://schemas.microsoft.com/office/drawing/2014/chart" uri="{C3380CC4-5D6E-409C-BE32-E72D297353CC}">
              <c16:uniqueId val="{00000007-46CF-45EF-BE54-ECA1FB8682C3}"/>
            </c:ext>
          </c:extLst>
        </c:ser>
        <c:ser>
          <c:idx val="10"/>
          <c:order val="5"/>
          <c:tx>
            <c:strRef>
              <c:f>'Monthly Summary'!$AA$73</c:f>
              <c:strCache>
                <c:ptCount val="1"/>
              </c:strCache>
              <c:extLst xmlns:c15="http://schemas.microsoft.com/office/drawing/2012/chart"/>
            </c:strRef>
          </c:tx>
          <c:spPr>
            <a:ln w="28575" cap="rnd">
              <a:solidFill>
                <a:schemeClr val="accent5">
                  <a:lumMod val="6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Summary'!$AB$73:$AF$73</c:f>
              <c:extLst xmlns:c15="http://schemas.microsoft.com/office/drawing/2012/chart"/>
            </c:numRef>
          </c:val>
          <c:smooth val="0"/>
          <c:extLst xmlns:c15="http://schemas.microsoft.com/office/drawing/2012/chart">
            <c:ext xmlns:c16="http://schemas.microsoft.com/office/drawing/2014/chart" uri="{C3380CC4-5D6E-409C-BE32-E72D297353CC}">
              <c16:uniqueId val="{00000008-46CF-45EF-BE54-ECA1FB8682C3}"/>
            </c:ext>
          </c:extLst>
        </c:ser>
        <c:ser>
          <c:idx val="11"/>
          <c:order val="6"/>
          <c:tx>
            <c:strRef>
              <c:f>'Monthly Summary'!$AA$74</c:f>
              <c:strCache>
                <c:ptCount val="1"/>
                <c:pt idx="0">
                  <c:v>Return on Equity </c:v>
                </c:pt>
              </c:strCache>
              <c:extLst xmlns:c15="http://schemas.microsoft.com/office/drawing/2012/chart"/>
            </c:strRef>
          </c:tx>
          <c:spPr>
            <a:ln w="28575" cap="rnd">
              <a:solidFill>
                <a:schemeClr val="accent6">
                  <a:lumMod val="6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Summary'!$AB$74:$AF$74</c:f>
              <c:extLst xmlns:c15="http://schemas.microsoft.com/office/drawing/2012/chart"/>
            </c:numRef>
          </c:val>
          <c:smooth val="0"/>
          <c:extLst xmlns:c15="http://schemas.microsoft.com/office/drawing/2012/chart">
            <c:ext xmlns:c16="http://schemas.microsoft.com/office/drawing/2014/chart" uri="{C3380CC4-5D6E-409C-BE32-E72D297353CC}">
              <c16:uniqueId val="{00000009-46CF-45EF-BE54-ECA1FB8682C3}"/>
            </c:ext>
          </c:extLst>
        </c:ser>
        <c:ser>
          <c:idx val="12"/>
          <c:order val="7"/>
          <c:tx>
            <c:strRef>
              <c:f>'Monthly Summary'!$AA$75</c:f>
              <c:strCache>
                <c:ptCount val="1"/>
                <c:pt idx="0">
                  <c:v>Receivable turnover </c:v>
                </c:pt>
              </c:strCache>
              <c:extLst xmlns:c15="http://schemas.microsoft.com/office/drawing/2012/chart"/>
            </c:strRef>
          </c:tx>
          <c:spPr>
            <a:ln w="28575" cap="rnd">
              <a:solidFill>
                <a:schemeClr val="accent1">
                  <a:lumMod val="80000"/>
                  <a:lumOff val="2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Summary'!$AB$75:$AF$75</c:f>
              <c:extLst xmlns:c15="http://schemas.microsoft.com/office/drawing/2012/chart"/>
            </c:numRef>
          </c:val>
          <c:smooth val="0"/>
          <c:extLst xmlns:c15="http://schemas.microsoft.com/office/drawing/2012/chart">
            <c:ext xmlns:c16="http://schemas.microsoft.com/office/drawing/2014/chart" uri="{C3380CC4-5D6E-409C-BE32-E72D297353CC}">
              <c16:uniqueId val="{0000000A-46CF-45EF-BE54-ECA1FB8682C3}"/>
            </c:ext>
          </c:extLst>
        </c:ser>
        <c:ser>
          <c:idx val="13"/>
          <c:order val="8"/>
          <c:tx>
            <c:strRef>
              <c:f>'Monthly Summary'!$AA$76</c:f>
              <c:strCache>
                <c:ptCount val="1"/>
                <c:pt idx="0">
                  <c:v>Receivable Days </c:v>
                </c:pt>
              </c:strCache>
              <c:extLst xmlns:c15="http://schemas.microsoft.com/office/drawing/2012/chart"/>
            </c:strRef>
          </c:tx>
          <c:spPr>
            <a:ln w="28575" cap="rnd">
              <a:solidFill>
                <a:schemeClr val="accent2">
                  <a:lumMod val="80000"/>
                  <a:lumOff val="2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Summary'!$AB$76:$AF$76</c:f>
              <c:extLst xmlns:c15="http://schemas.microsoft.com/office/drawing/2012/chart"/>
            </c:numRef>
          </c:val>
          <c:smooth val="0"/>
          <c:extLst xmlns:c15="http://schemas.microsoft.com/office/drawing/2012/chart">
            <c:ext xmlns:c16="http://schemas.microsoft.com/office/drawing/2014/chart" uri="{C3380CC4-5D6E-409C-BE32-E72D297353CC}">
              <c16:uniqueId val="{0000000B-46CF-45EF-BE54-ECA1FB8682C3}"/>
            </c:ext>
          </c:extLst>
        </c:ser>
        <c:ser>
          <c:idx val="14"/>
          <c:order val="9"/>
          <c:tx>
            <c:strRef>
              <c:f>'Monthly Summary'!$AA$77</c:f>
              <c:strCache>
                <c:ptCount val="1"/>
                <c:pt idx="0">
                  <c:v>Inventory Turnover</c:v>
                </c:pt>
              </c:strCache>
              <c:extLst xmlns:c15="http://schemas.microsoft.com/office/drawing/2012/chart"/>
            </c:strRef>
          </c:tx>
          <c:spPr>
            <a:ln w="28575" cap="rnd">
              <a:solidFill>
                <a:schemeClr val="accent3">
                  <a:lumMod val="80000"/>
                  <a:lumOff val="2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Summary'!$AB$77:$AF$77</c:f>
              <c:extLst xmlns:c15="http://schemas.microsoft.com/office/drawing/2012/chart"/>
            </c:numRef>
          </c:val>
          <c:smooth val="0"/>
          <c:extLst xmlns:c15="http://schemas.microsoft.com/office/drawing/2012/chart">
            <c:ext xmlns:c16="http://schemas.microsoft.com/office/drawing/2014/chart" uri="{C3380CC4-5D6E-409C-BE32-E72D297353CC}">
              <c16:uniqueId val="{0000000C-46CF-45EF-BE54-ECA1FB8682C3}"/>
            </c:ext>
          </c:extLst>
        </c:ser>
        <c:ser>
          <c:idx val="15"/>
          <c:order val="10"/>
          <c:tx>
            <c:strRef>
              <c:f>'Monthly Summary'!$AA$78</c:f>
              <c:strCache>
                <c:ptCount val="1"/>
                <c:pt idx="0">
                  <c:v>Inventory Days </c:v>
                </c:pt>
              </c:strCache>
              <c:extLst xmlns:c15="http://schemas.microsoft.com/office/drawing/2012/chart"/>
            </c:strRef>
          </c:tx>
          <c:spPr>
            <a:ln w="28575" cap="rnd">
              <a:solidFill>
                <a:schemeClr val="accent4">
                  <a:lumMod val="80000"/>
                  <a:lumOff val="2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Summary'!$AB$78:$AF$78</c:f>
              <c:extLst xmlns:c15="http://schemas.microsoft.com/office/drawing/2012/chart"/>
            </c:numRef>
          </c:val>
          <c:smooth val="0"/>
          <c:extLst xmlns:c15="http://schemas.microsoft.com/office/drawing/2012/chart">
            <c:ext xmlns:c16="http://schemas.microsoft.com/office/drawing/2014/chart" uri="{C3380CC4-5D6E-409C-BE32-E72D297353CC}">
              <c16:uniqueId val="{0000000D-46CF-45EF-BE54-ECA1FB8682C3}"/>
            </c:ext>
          </c:extLst>
        </c:ser>
        <c:ser>
          <c:idx val="16"/>
          <c:order val="11"/>
          <c:tx>
            <c:strRef>
              <c:f>'Monthly Summary'!$AA$79</c:f>
              <c:strCache>
                <c:ptCount val="1"/>
                <c:pt idx="0">
                  <c:v>Payable turnover </c:v>
                </c:pt>
              </c:strCache>
              <c:extLst xmlns:c15="http://schemas.microsoft.com/office/drawing/2012/chart"/>
            </c:strRef>
          </c:tx>
          <c:spPr>
            <a:ln w="28575" cap="rnd">
              <a:solidFill>
                <a:schemeClr val="accent5">
                  <a:lumMod val="80000"/>
                  <a:lumOff val="2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Summary'!$AB$79:$AF$79</c:f>
              <c:extLst xmlns:c15="http://schemas.microsoft.com/office/drawing/2012/chart"/>
            </c:numRef>
          </c:val>
          <c:smooth val="0"/>
          <c:extLst xmlns:c15="http://schemas.microsoft.com/office/drawing/2012/chart">
            <c:ext xmlns:c16="http://schemas.microsoft.com/office/drawing/2014/chart" uri="{C3380CC4-5D6E-409C-BE32-E72D297353CC}">
              <c16:uniqueId val="{0000000E-46CF-45EF-BE54-ECA1FB8682C3}"/>
            </c:ext>
          </c:extLst>
        </c:ser>
        <c:ser>
          <c:idx val="17"/>
          <c:order val="12"/>
          <c:tx>
            <c:strRef>
              <c:f>'Monthly Summary'!$AA$80</c:f>
              <c:strCache>
                <c:ptCount val="1"/>
                <c:pt idx="0">
                  <c:v>Payable Days</c:v>
                </c:pt>
              </c:strCache>
              <c:extLst xmlns:c15="http://schemas.microsoft.com/office/drawing/2012/chart"/>
            </c:strRef>
          </c:tx>
          <c:spPr>
            <a:ln w="28575" cap="rnd">
              <a:solidFill>
                <a:schemeClr val="accent6">
                  <a:lumMod val="80000"/>
                  <a:lumOff val="2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Summary'!$AB$80:$AF$80</c:f>
              <c:extLst xmlns:c15="http://schemas.microsoft.com/office/drawing/2012/chart"/>
            </c:numRef>
          </c:val>
          <c:smooth val="0"/>
          <c:extLst xmlns:c15="http://schemas.microsoft.com/office/drawing/2012/chart">
            <c:ext xmlns:c16="http://schemas.microsoft.com/office/drawing/2014/chart" uri="{C3380CC4-5D6E-409C-BE32-E72D297353CC}">
              <c16:uniqueId val="{0000000F-46CF-45EF-BE54-ECA1FB8682C3}"/>
            </c:ext>
          </c:extLst>
        </c:ser>
        <c:ser>
          <c:idx val="18"/>
          <c:order val="13"/>
          <c:tx>
            <c:strRef>
              <c:f>'Monthly Summary'!$AA$81</c:f>
              <c:strCache>
                <c:ptCount val="1"/>
              </c:strCache>
              <c:extLst xmlns:c15="http://schemas.microsoft.com/office/drawing/2012/chart"/>
            </c:strRef>
          </c:tx>
          <c:spPr>
            <a:ln w="28575" cap="rnd">
              <a:solidFill>
                <a:schemeClr val="accent1">
                  <a:lumMod val="8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Summary'!$AB$81:$AF$81</c:f>
              <c:extLst xmlns:c15="http://schemas.microsoft.com/office/drawing/2012/chart"/>
            </c:numRef>
          </c:val>
          <c:smooth val="0"/>
          <c:extLst xmlns:c15="http://schemas.microsoft.com/office/drawing/2012/chart">
            <c:ext xmlns:c16="http://schemas.microsoft.com/office/drawing/2014/chart" uri="{C3380CC4-5D6E-409C-BE32-E72D297353CC}">
              <c16:uniqueId val="{00000010-46CF-45EF-BE54-ECA1FB8682C3}"/>
            </c:ext>
          </c:extLst>
        </c:ser>
        <c:ser>
          <c:idx val="19"/>
          <c:order val="14"/>
          <c:tx>
            <c:strRef>
              <c:f>'Monthly Summary'!$AA$82</c:f>
              <c:strCache>
                <c:ptCount val="1"/>
                <c:pt idx="0">
                  <c:v>Operating Cash Flow</c:v>
                </c:pt>
              </c:strCache>
              <c:extLst xmlns:c15="http://schemas.microsoft.com/office/drawing/2012/chart"/>
            </c:strRef>
          </c:tx>
          <c:spPr>
            <a:ln w="28575" cap="rnd">
              <a:solidFill>
                <a:schemeClr val="accent2">
                  <a:lumMod val="8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Summary'!$AB$82:$AF$82</c:f>
              <c:extLst xmlns:c15="http://schemas.microsoft.com/office/drawing/2012/chart"/>
            </c:numRef>
          </c:val>
          <c:smooth val="0"/>
          <c:extLst xmlns:c15="http://schemas.microsoft.com/office/drawing/2012/chart">
            <c:ext xmlns:c16="http://schemas.microsoft.com/office/drawing/2014/chart" uri="{C3380CC4-5D6E-409C-BE32-E72D297353CC}">
              <c16:uniqueId val="{00000011-46CF-45EF-BE54-ECA1FB8682C3}"/>
            </c:ext>
          </c:extLst>
        </c:ser>
        <c:ser>
          <c:idx val="20"/>
          <c:order val="15"/>
          <c:tx>
            <c:strRef>
              <c:f>'Monthly Summary'!$AA$83</c:f>
              <c:strCache>
                <c:ptCount val="1"/>
                <c:pt idx="0">
                  <c:v>Investing Cash Flow</c:v>
                </c:pt>
              </c:strCache>
              <c:extLst xmlns:c15="http://schemas.microsoft.com/office/drawing/2012/chart"/>
            </c:strRef>
          </c:tx>
          <c:spPr>
            <a:ln w="28575" cap="rnd">
              <a:solidFill>
                <a:schemeClr val="accent3">
                  <a:lumMod val="8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Summary'!$AB$83:$AF$83</c:f>
              <c:extLst xmlns:c15="http://schemas.microsoft.com/office/drawing/2012/chart"/>
            </c:numRef>
          </c:val>
          <c:smooth val="0"/>
          <c:extLst xmlns:c15="http://schemas.microsoft.com/office/drawing/2012/chart">
            <c:ext xmlns:c16="http://schemas.microsoft.com/office/drawing/2014/chart" uri="{C3380CC4-5D6E-409C-BE32-E72D297353CC}">
              <c16:uniqueId val="{00000012-46CF-45EF-BE54-ECA1FB8682C3}"/>
            </c:ext>
          </c:extLst>
        </c:ser>
        <c:ser>
          <c:idx val="21"/>
          <c:order val="16"/>
          <c:tx>
            <c:strRef>
              <c:f>'Monthly Summary'!$AA$84</c:f>
              <c:strCache>
                <c:ptCount val="1"/>
                <c:pt idx="0">
                  <c:v>Financing Cash Flow</c:v>
                </c:pt>
              </c:strCache>
              <c:extLst xmlns:c15="http://schemas.microsoft.com/office/drawing/2012/chart"/>
            </c:strRef>
          </c:tx>
          <c:spPr>
            <a:ln w="28575" cap="rnd">
              <a:solidFill>
                <a:schemeClr val="accent4">
                  <a:lumMod val="8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extLst xmlns:c15="http://schemas.microsoft.com/office/drawing/2012/chart"/>
            </c:numRef>
          </c:cat>
          <c:val>
            <c:numRef>
              <c:f>'Monthly Summary'!$AB$84:$AF$84</c:f>
              <c:extLst xmlns:c15="http://schemas.microsoft.com/office/drawing/2012/chart"/>
            </c:numRef>
          </c:val>
          <c:smooth val="0"/>
          <c:extLst xmlns:c15="http://schemas.microsoft.com/office/drawing/2012/chart">
            <c:ext xmlns:c16="http://schemas.microsoft.com/office/drawing/2014/chart" uri="{C3380CC4-5D6E-409C-BE32-E72D297353CC}">
              <c16:uniqueId val="{00000013-46CF-45EF-BE54-ECA1FB8682C3}"/>
            </c:ext>
          </c:extLst>
        </c:ser>
        <c:ser>
          <c:idx val="23"/>
          <c:order val="18"/>
          <c:tx>
            <c:strRef>
              <c:f>'Monthly Summary'!$O$86</c:f>
              <c:strCache>
                <c:ptCount val="1"/>
              </c:strCache>
              <c:extLst xmlns:c15="http://schemas.microsoft.com/office/drawing/2012/chart"/>
            </c:strRef>
          </c:tx>
          <c:spPr>
            <a:ln w="28575" cap="rnd">
              <a:solidFill>
                <a:schemeClr val="accent6">
                  <a:lumMod val="8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Summary'!$P$86:$T$86</c:f>
              <c:extLst xmlns:c15="http://schemas.microsoft.com/office/drawing/2012/chart"/>
            </c:numRef>
          </c:val>
          <c:smooth val="0"/>
          <c:extLst xmlns:c15="http://schemas.microsoft.com/office/drawing/2012/chart">
            <c:ext xmlns:c16="http://schemas.microsoft.com/office/drawing/2014/chart" uri="{C3380CC4-5D6E-409C-BE32-E72D297353CC}">
              <c16:uniqueId val="{00000015-46CF-45EF-BE54-ECA1FB8682C3}"/>
            </c:ext>
          </c:extLst>
        </c:ser>
        <c:ser>
          <c:idx val="24"/>
          <c:order val="19"/>
          <c:tx>
            <c:strRef>
              <c:f>'Monthly Summary'!$O$87</c:f>
              <c:strCache>
                <c:ptCount val="1"/>
                <c:pt idx="0">
                  <c:v>Free Cash Flow</c:v>
                </c:pt>
              </c:strCache>
              <c:extLst xmlns:c15="http://schemas.microsoft.com/office/drawing/2012/chart"/>
            </c:strRef>
          </c:tx>
          <c:spPr>
            <a:ln w="28575" cap="rnd">
              <a:solidFill>
                <a:schemeClr val="accent1">
                  <a:lumMod val="60000"/>
                  <a:lumOff val="40000"/>
                </a:schemeClr>
              </a:solidFill>
              <a:round/>
            </a:ln>
            <a:effectLst/>
          </c:spPr>
          <c:marker>
            <c:symbol val="none"/>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Summary'!$P$87:$T$87</c:f>
              <c:extLst xmlns:c15="http://schemas.microsoft.com/office/drawing/2012/chart"/>
            </c:numRef>
          </c:val>
          <c:smooth val="0"/>
          <c:extLst xmlns:c15="http://schemas.microsoft.com/office/drawing/2012/chart">
            <c:ext xmlns:c16="http://schemas.microsoft.com/office/drawing/2014/chart" uri="{C3380CC4-5D6E-409C-BE32-E72D297353CC}">
              <c16:uniqueId val="{00000016-46CF-45EF-BE54-ECA1FB8682C3}"/>
            </c:ext>
          </c:extLst>
        </c:ser>
        <c:ser>
          <c:idx val="5"/>
          <c:order val="20"/>
          <c:tx>
            <c:strRef>
              <c:f>'Monthly Summary'!$B$47</c:f>
              <c:strCache>
                <c:ptCount val="1"/>
                <c:pt idx="0">
                  <c:v>Revenue - Cum</c:v>
                </c:pt>
              </c:strCache>
            </c:strRef>
          </c:tx>
          <c:spPr>
            <a:ln w="28575" cap="rnd">
              <a:solidFill>
                <a:schemeClr val="accent6"/>
              </a:solidFill>
              <a:round/>
            </a:ln>
            <a:effectLst/>
          </c:spPr>
          <c:marker>
            <c:symbol val="diamond"/>
            <c:size val="5"/>
            <c:spPr>
              <a:solidFill>
                <a:schemeClr val="accent6"/>
              </a:solidFill>
              <a:ln w="9525">
                <a:solidFill>
                  <a:schemeClr val="accent6"/>
                </a:solidFill>
              </a:ln>
              <a:effectLst/>
            </c:spPr>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Summary'!$AA$47:$AV$47</c:f>
              <c:numCache>
                <c:formatCode>_("$"* #,##0_);_("$"* \(#,##0\);_("$"* "-"??_);_(@_)</c:formatCode>
                <c:ptCount val="10"/>
                <c:pt idx="0">
                  <c:v>715167.97</c:v>
                </c:pt>
                <c:pt idx="1">
                  <c:v>1704903.52</c:v>
                </c:pt>
                <c:pt idx="2">
                  <c:v>3520531.21</c:v>
                </c:pt>
                <c:pt idx="3">
                  <c:v>4858273.62</c:v>
                </c:pt>
                <c:pt idx="4">
                  <c:v>6170861.6699999999</c:v>
                </c:pt>
                <c:pt idx="5">
                  <c:v>8051406.6799999997</c:v>
                </c:pt>
                <c:pt idx="6">
                  <c:v>9603651.5299999993</c:v>
                </c:pt>
                <c:pt idx="7">
                  <c:v>11108000.399999999</c:v>
                </c:pt>
                <c:pt idx="8">
                  <c:v>12960339.329999998</c:v>
                </c:pt>
                <c:pt idx="9">
                  <c:v>15315570.569999998</c:v>
                </c:pt>
              </c:numCache>
            </c:numRef>
          </c:val>
          <c:smooth val="0"/>
          <c:extLst>
            <c:ext xmlns:c16="http://schemas.microsoft.com/office/drawing/2014/chart" uri="{C3380CC4-5D6E-409C-BE32-E72D297353CC}">
              <c16:uniqueId val="{00000000-46CF-45EF-BE54-ECA1FB8682C3}"/>
            </c:ext>
          </c:extLst>
        </c:ser>
        <c:dLbls>
          <c:showLegendKey val="0"/>
          <c:showVal val="0"/>
          <c:showCatName val="0"/>
          <c:showSerName val="0"/>
          <c:showPercent val="0"/>
          <c:showBubbleSize val="0"/>
        </c:dLbls>
        <c:marker val="1"/>
        <c:smooth val="0"/>
        <c:axId val="995343552"/>
        <c:axId val="995340600"/>
        <c:extLst>
          <c:ext xmlns:c15="http://schemas.microsoft.com/office/drawing/2012/chart" uri="{02D57815-91ED-43cb-92C2-25804820EDAC}">
            <c15:filteredLineSeries>
              <c15:ser>
                <c:idx val="0"/>
                <c:order val="0"/>
                <c:tx>
                  <c:strRef>
                    <c:extLst>
                      <c:ext uri="{02D57815-91ED-43cb-92C2-25804820EDAC}">
                        <c15:formulaRef>
                          <c15:sqref>'Monthly Summary'!$AA$62</c15:sqref>
                        </c15:formulaRef>
                      </c:ext>
                    </c:extLst>
                    <c:strCache>
                      <c:ptCount val="1"/>
                      <c:pt idx="0">
                        <c:v>Liquidity: Current Ratio (1.5-2.0)</c:v>
                      </c:pt>
                    </c:strCache>
                  </c:strRef>
                </c:tx>
                <c:spPr>
                  <a:ln w="28575" cap="rnd">
                    <a:solidFill>
                      <a:schemeClr val="accent1"/>
                    </a:solidFill>
                    <a:round/>
                  </a:ln>
                  <a:effectLst/>
                </c:spPr>
                <c:marker>
                  <c:symbol val="none"/>
                </c:marker>
                <c:cat>
                  <c:numRef>
                    <c:extLst>
                      <c:ext uri="{02D57815-91ED-43cb-92C2-25804820EDAC}">
                        <c15:formulaRef>
                          <c15:sqref>'Monthly Summary'!$AA$2:$AV$2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c:ext uri="{02D57815-91ED-43cb-92C2-25804820EDAC}">
                        <c15:formulaRef>
                          <c15:sqref>'Monthly Summary'!$AB$62:$AV$62</c15:sqref>
                        </c15:formulaRef>
                      </c:ext>
                    </c:extLst>
                    <c:numCache>
                      <c:formatCode>General</c:formatCode>
                      <c:ptCount val="10"/>
                    </c:numCache>
                  </c:numRef>
                </c:val>
                <c:smooth val="0"/>
                <c:extLst>
                  <c:ext xmlns:c16="http://schemas.microsoft.com/office/drawing/2014/chart" uri="{C3380CC4-5D6E-409C-BE32-E72D297353CC}">
                    <c16:uniqueId val="{00000003-46CF-45EF-BE54-ECA1FB8682C3}"/>
                  </c:ext>
                </c:extLst>
              </c15:ser>
            </c15:filteredLineSeries>
            <c15:filteredLineSeries>
              <c15:ser>
                <c:idx val="22"/>
                <c:order val="17"/>
                <c:tx>
                  <c:strRef>
                    <c:extLst xmlns:c15="http://schemas.microsoft.com/office/drawing/2012/chart">
                      <c:ext xmlns:c15="http://schemas.microsoft.com/office/drawing/2012/chart" uri="{02D57815-91ED-43cb-92C2-25804820EDAC}">
                        <c15:formulaRef>
                          <c15:sqref>'Monthly Summary'!$AA$85</c15:sqref>
                        </c15:formulaRef>
                      </c:ext>
                    </c:extLst>
                    <c:strCache>
                      <c:ptCount val="1"/>
                      <c:pt idx="0">
                        <c:v>Net Cash Flow</c:v>
                      </c:pt>
                    </c:strCache>
                  </c:strRef>
                </c:tx>
                <c:spPr>
                  <a:ln w="28575" cap="rnd">
                    <a:solidFill>
                      <a:schemeClr val="accent5">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Summary'!$AA$2:$AV$2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extLst xmlns:c15="http://schemas.microsoft.com/office/drawing/2012/chart">
                      <c:ext xmlns:c15="http://schemas.microsoft.com/office/drawing/2012/chart" uri="{02D57815-91ED-43cb-92C2-25804820EDAC}">
                        <c15:formulaRef>
                          <c15:sqref>'Monthly Summary'!$AB$85:$AV$85</c15:sqref>
                        </c15:formulaRef>
                      </c:ext>
                    </c:extLst>
                    <c:numCache>
                      <c:formatCode>General</c:formatCode>
                      <c:ptCount val="10"/>
                    </c:numCache>
                  </c:numRef>
                </c:val>
                <c:smooth val="0"/>
                <c:extLst xmlns:c15="http://schemas.microsoft.com/office/drawing/2012/chart">
                  <c:ext xmlns:c16="http://schemas.microsoft.com/office/drawing/2014/chart" uri="{C3380CC4-5D6E-409C-BE32-E72D297353CC}">
                    <c16:uniqueId val="{00000014-46CF-45EF-BE54-ECA1FB8682C3}"/>
                  </c:ext>
                </c:extLst>
              </c15:ser>
            </c15:filteredLineSeries>
          </c:ext>
        </c:extLst>
      </c:lineChart>
      <c:lineChart>
        <c:grouping val="standard"/>
        <c:varyColors val="0"/>
        <c:ser>
          <c:idx val="6"/>
          <c:order val="21"/>
          <c:tx>
            <c:strRef>
              <c:f>'Monthly Summary'!$B$48</c:f>
              <c:strCache>
                <c:ptCount val="1"/>
                <c:pt idx="0">
                  <c:v>EBITDA - Cum</c:v>
                </c:pt>
              </c:strCache>
            </c:strRef>
          </c:tx>
          <c:spPr>
            <a:ln w="28575" cap="rnd">
              <a:solidFill>
                <a:schemeClr val="accent1">
                  <a:lumMod val="60000"/>
                </a:schemeClr>
              </a:solidFill>
              <a:round/>
            </a:ln>
            <a:effectLst/>
          </c:spPr>
          <c:marker>
            <c:symbol val="square"/>
            <c:size val="5"/>
            <c:spPr>
              <a:solidFill>
                <a:schemeClr val="accent1">
                  <a:lumMod val="60000"/>
                </a:schemeClr>
              </a:solidFill>
              <a:ln w="9525">
                <a:solidFill>
                  <a:schemeClr val="accent1">
                    <a:lumMod val="60000"/>
                  </a:schemeClr>
                </a:solidFill>
              </a:ln>
              <a:effectLst/>
            </c:spPr>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Summary'!$AA$48:$AV$48</c:f>
              <c:numCache>
                <c:formatCode>_("$"* #,##0_);_("$"* \(#,##0\);_("$"* "-"??_);_(@_)</c:formatCode>
                <c:ptCount val="10"/>
                <c:pt idx="0">
                  <c:v>-244135.47000000006</c:v>
                </c:pt>
                <c:pt idx="1">
                  <c:v>-143691.74000000002</c:v>
                </c:pt>
                <c:pt idx="2">
                  <c:v>234046.74999999997</c:v>
                </c:pt>
                <c:pt idx="3">
                  <c:v>492627.55999999994</c:v>
                </c:pt>
                <c:pt idx="4">
                  <c:v>954522.58</c:v>
                </c:pt>
                <c:pt idx="5">
                  <c:v>834241.60999999987</c:v>
                </c:pt>
                <c:pt idx="6">
                  <c:v>992577.41999999993</c:v>
                </c:pt>
                <c:pt idx="7">
                  <c:v>1249937.46</c:v>
                </c:pt>
                <c:pt idx="8">
                  <c:v>1533897.2199999997</c:v>
                </c:pt>
                <c:pt idx="9">
                  <c:v>1847896.82</c:v>
                </c:pt>
              </c:numCache>
            </c:numRef>
          </c:val>
          <c:smooth val="0"/>
          <c:extLst>
            <c:ext xmlns:c16="http://schemas.microsoft.com/office/drawing/2014/chart" uri="{C3380CC4-5D6E-409C-BE32-E72D297353CC}">
              <c16:uniqueId val="{00000001-46CF-45EF-BE54-ECA1FB8682C3}"/>
            </c:ext>
          </c:extLst>
        </c:ser>
        <c:ser>
          <c:idx val="7"/>
          <c:order val="22"/>
          <c:tx>
            <c:strRef>
              <c:f>'Monthly Summary'!$B$49</c:f>
              <c:strCache>
                <c:ptCount val="1"/>
                <c:pt idx="0">
                  <c:v>Free Cash Flow - Cum</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'Monthly Summary'!$AA$2:$AV$2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Summary'!$AA$49:$AV$49</c:f>
              <c:numCache>
                <c:formatCode>_("$"* #,##0_);_("$"* \(#,##0\);_("$"* "-"??_);_(@_)</c:formatCode>
                <c:ptCount val="10"/>
                <c:pt idx="0">
                  <c:v>-62367.640000000421</c:v>
                </c:pt>
                <c:pt idx="1">
                  <c:v>298377.39999999927</c:v>
                </c:pt>
                <c:pt idx="2">
                  <c:v>647799.56000000029</c:v>
                </c:pt>
                <c:pt idx="3">
                  <c:v>624117.56000000145</c:v>
                </c:pt>
                <c:pt idx="4">
                  <c:v>854687.07999999775</c:v>
                </c:pt>
                <c:pt idx="5">
                  <c:v>671088.99999999814</c:v>
                </c:pt>
                <c:pt idx="6">
                  <c:v>1124408.3199999975</c:v>
                </c:pt>
                <c:pt idx="7">
                  <c:v>1142350.7600000002</c:v>
                </c:pt>
                <c:pt idx="8">
                  <c:v>805556.37999999861</c:v>
                </c:pt>
                <c:pt idx="9">
                  <c:v>1177471.7599999998</c:v>
                </c:pt>
              </c:numCache>
            </c:numRef>
          </c:val>
          <c:smooth val="0"/>
          <c:extLst>
            <c:ext xmlns:c16="http://schemas.microsoft.com/office/drawing/2014/chart" uri="{C3380CC4-5D6E-409C-BE32-E72D297353CC}">
              <c16:uniqueId val="{00000002-46CF-45EF-BE54-ECA1FB8682C3}"/>
            </c:ext>
          </c:extLst>
        </c:ser>
        <c:dLbls>
          <c:showLegendKey val="0"/>
          <c:showVal val="0"/>
          <c:showCatName val="0"/>
          <c:showSerName val="0"/>
          <c:showPercent val="0"/>
          <c:showBubbleSize val="0"/>
        </c:dLbls>
        <c:marker val="1"/>
        <c:smooth val="0"/>
        <c:axId val="357220479"/>
        <c:axId val="354225263"/>
      </c:lineChart>
      <c:dateAx>
        <c:axId val="9953435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minorUnit val="2000000"/>
      </c:valAx>
      <c:valAx>
        <c:axId val="354225263"/>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EBITDA , FCF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220479"/>
        <c:crosses val="max"/>
        <c:crossBetween val="between"/>
      </c:valAx>
      <c:dateAx>
        <c:axId val="357220479"/>
        <c:scaling>
          <c:orientation val="minMax"/>
        </c:scaling>
        <c:delete val="1"/>
        <c:axPos val="b"/>
        <c:numFmt formatCode="mmm\-yy" sourceLinked="1"/>
        <c:majorTickMark val="out"/>
        <c:minorTickMark val="none"/>
        <c:tickLblPos val="nextTo"/>
        <c:crossAx val="35422526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and Net Income Margin - %</a:t>
            </a:r>
          </a:p>
          <a:p>
            <a:pPr>
              <a:defRPr/>
            </a:pPr>
            <a:endParaRPr lang="en-US"/>
          </a:p>
        </c:rich>
      </c:tx>
      <c:layout>
        <c:manualLayout>
          <c:xMode val="edge"/>
          <c:yMode val="edge"/>
          <c:x val="0.28991467794642728"/>
          <c:y val="3.3879702285450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0"/>
          <c:tx>
            <c:strRef>
              <c:f>'Monthly Summary'!$B$6</c:f>
              <c:strCache>
                <c:ptCount val="1"/>
                <c:pt idx="0">
                  <c:v>GM - %</c:v>
                </c:pt>
              </c:strCache>
            </c:strRef>
          </c:tx>
          <c:spPr>
            <a:ln w="28575" cap="rnd">
              <a:solidFill>
                <a:schemeClr val="accent6"/>
              </a:solidFill>
              <a:round/>
            </a:ln>
            <a:effectLst/>
          </c:spPr>
          <c:marker>
            <c:symbol val="square"/>
            <c:size val="5"/>
            <c:spPr>
              <a:solidFill>
                <a:schemeClr val="accent6"/>
              </a:solidFill>
              <a:ln w="9525">
                <a:solidFill>
                  <a:schemeClr val="accent6"/>
                </a:solidFill>
              </a:ln>
              <a:effectLst/>
            </c:spPr>
          </c:marker>
          <c:trendline>
            <c:spPr>
              <a:ln w="31750" cap="rnd">
                <a:solidFill>
                  <a:schemeClr val="accent6"/>
                </a:solidFill>
                <a:prstDash val="sysDot"/>
              </a:ln>
              <a:effectLst/>
            </c:spPr>
            <c:trendlineType val="movingAvg"/>
            <c:period val="4"/>
            <c:dispRSqr val="0"/>
            <c:dispEq val="0"/>
          </c:trendline>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Summary'!$W$6:$AV$6</c:f>
              <c:numCache>
                <c:formatCode>0%</c:formatCode>
                <c:ptCount val="10"/>
                <c:pt idx="0">
                  <c:v>-4.6591264427012967E-2</c:v>
                </c:pt>
                <c:pt idx="1">
                  <c:v>0.26202888236155608</c:v>
                </c:pt>
                <c:pt idx="2">
                  <c:v>0.34892260868746722</c:v>
                </c:pt>
                <c:pt idx="3">
                  <c:v>0.34399855798845458</c:v>
                </c:pt>
                <c:pt idx="4">
                  <c:v>0.711583150555119</c:v>
                </c:pt>
                <c:pt idx="5">
                  <c:v>0.40411034883977592</c:v>
                </c:pt>
                <c:pt idx="6">
                  <c:v>0.44589275332432254</c:v>
                </c:pt>
                <c:pt idx="7">
                  <c:v>0.50682628558095033</c:v>
                </c:pt>
                <c:pt idx="8">
                  <c:v>0.42191916249365868</c:v>
                </c:pt>
                <c:pt idx="9">
                  <c:v>0.42131522932754584</c:v>
                </c:pt>
              </c:numCache>
            </c:numRef>
          </c:val>
          <c:smooth val="0"/>
          <c:extLst>
            <c:ext xmlns:c16="http://schemas.microsoft.com/office/drawing/2014/chart" uri="{C3380CC4-5D6E-409C-BE32-E72D297353CC}">
              <c16:uniqueId val="{00000001-8212-4C1B-BC42-C61CF70859B8}"/>
            </c:ext>
          </c:extLst>
        </c:ser>
        <c:ser>
          <c:idx val="6"/>
          <c:order val="1"/>
          <c:tx>
            <c:strRef>
              <c:f>'Monthly Summary'!$B$9</c:f>
              <c:strCache>
                <c:ptCount val="1"/>
                <c:pt idx="0">
                  <c:v>NI - %</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Summary'!$W$9:$AV$9</c:f>
              <c:numCache>
                <c:formatCode>0%</c:formatCode>
                <c:ptCount val="10"/>
                <c:pt idx="0">
                  <c:v>-0.38043030646352921</c:v>
                </c:pt>
                <c:pt idx="1">
                  <c:v>7.5465269485369135E-2</c:v>
                </c:pt>
                <c:pt idx="2">
                  <c:v>0.19117989437581226</c:v>
                </c:pt>
                <c:pt idx="3">
                  <c:v>0.15404003675117092</c:v>
                </c:pt>
                <c:pt idx="4">
                  <c:v>0.33233092439017714</c:v>
                </c:pt>
                <c:pt idx="5">
                  <c:v>-8.5979920257266293E-2</c:v>
                </c:pt>
                <c:pt idx="6">
                  <c:v>7.7269111248782732E-2</c:v>
                </c:pt>
                <c:pt idx="7">
                  <c:v>0.14607240672836749</c:v>
                </c:pt>
                <c:pt idx="8">
                  <c:v>0.11477225714842576</c:v>
                </c:pt>
                <c:pt idx="9">
                  <c:v>0.1015711688674783</c:v>
                </c:pt>
              </c:numCache>
            </c:numRef>
          </c:val>
          <c:smooth val="0"/>
          <c:extLst>
            <c:ext xmlns:c16="http://schemas.microsoft.com/office/drawing/2014/chart" uri="{C3380CC4-5D6E-409C-BE32-E72D297353CC}">
              <c16:uniqueId val="{00000002-8212-4C1B-BC42-C61CF70859B8}"/>
            </c:ext>
          </c:extLst>
        </c:ser>
        <c:dLbls>
          <c:showLegendKey val="0"/>
          <c:showVal val="0"/>
          <c:showCatName val="0"/>
          <c:showSerName val="0"/>
          <c:showPercent val="0"/>
          <c:showBubbleSize val="0"/>
        </c:dLbls>
        <c:marker val="1"/>
        <c:smooth val="0"/>
        <c:axId val="995343552"/>
        <c:axId val="995340600"/>
        <c:extLst/>
      </c:lineChart>
      <c:dateAx>
        <c:axId val="995343552"/>
        <c:scaling>
          <c:orientation val="minMax"/>
        </c:scaling>
        <c:delete val="0"/>
        <c:axPos val="b"/>
        <c:numFmt formatCode="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Owners Equity</a:t>
            </a:r>
          </a:p>
        </c:rich>
      </c:tx>
      <c:layout>
        <c:manualLayout>
          <c:xMode val="edge"/>
          <c:yMode val="edge"/>
          <c:x val="0.39097185496402503"/>
          <c:y val="3.38797018631530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6"/>
          <c:order val="19"/>
          <c:tx>
            <c:strRef>
              <c:f>'Monthly Summary'!$B$19</c:f>
              <c:strCache>
                <c:ptCount val="1"/>
                <c:pt idx="0">
                  <c:v>Owners Equity (Book Value)</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'Monthly Summary'!$W$2:$AV$2</c:f>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Ref>
              <c:f>'Monthly Summary'!$W$19:$AV$19</c:f>
              <c:numCache>
                <c:formatCode>_("$"* #,##0_);_("$"* \(#,##0\);_("$"* "-"??_);_(@_)</c:formatCode>
                <c:ptCount val="10"/>
                <c:pt idx="0">
                  <c:v>2837762.0999999996</c:v>
                </c:pt>
                <c:pt idx="1">
                  <c:v>2912452.76</c:v>
                </c:pt>
                <c:pt idx="2">
                  <c:v>3259564.27</c:v>
                </c:pt>
                <c:pt idx="3">
                  <c:v>2965630.16</c:v>
                </c:pt>
                <c:pt idx="4">
                  <c:v>3401843.76</c:v>
                </c:pt>
                <c:pt idx="5">
                  <c:v>3356656.86</c:v>
                </c:pt>
                <c:pt idx="6">
                  <c:v>3477584.4400000004</c:v>
                </c:pt>
                <c:pt idx="7">
                  <c:v>3718533.32</c:v>
                </c:pt>
                <c:pt idx="8">
                  <c:v>3930427.3600000003</c:v>
                </c:pt>
                <c:pt idx="9">
                  <c:v>4178551.24</c:v>
                </c:pt>
              </c:numCache>
            </c:numRef>
          </c:val>
          <c:smooth val="0"/>
          <c:extLst>
            <c:ext xmlns:c16="http://schemas.microsoft.com/office/drawing/2014/chart" uri="{C3380CC4-5D6E-409C-BE32-E72D297353CC}">
              <c16:uniqueId val="{00000000-2296-4C87-92C5-E8075EB1D9CF}"/>
            </c:ext>
          </c:extLst>
        </c:ser>
        <c:dLbls>
          <c:showLegendKey val="0"/>
          <c:showVal val="0"/>
          <c:showCatName val="0"/>
          <c:showSerName val="0"/>
          <c:showPercent val="0"/>
          <c:showBubbleSize val="0"/>
        </c:dLbls>
        <c:marker val="1"/>
        <c:smooth val="0"/>
        <c:axId val="995343552"/>
        <c:axId val="995340600"/>
        <c:extLst>
          <c:ext xmlns:c15="http://schemas.microsoft.com/office/drawing/2012/chart" uri="{02D57815-91ED-43cb-92C2-25804820EDAC}">
            <c15:filteredLineSeries>
              <c15:ser>
                <c:idx val="0"/>
                <c:order val="0"/>
                <c:tx>
                  <c:v>Liquidity: Current Ratio (1.5-2.0)</c:v>
                </c:tx>
                <c:spPr>
                  <a:ln w="28575" cap="rnd">
                    <a:solidFill>
                      <a:schemeClr val="accent1"/>
                    </a:solidFill>
                    <a:round/>
                  </a:ln>
                  <a:effectLst/>
                </c:spPr>
                <c:marker>
                  <c:symbol val="none"/>
                </c:marker>
                <c:cat>
                  <c:numRef>
                    <c:extLst>
                      <c:ex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1.7175541549014883</c:v>
                    </c:pt>
                    <c:pt idx="1">
                      <c:v>1.8808320222022097</c:v>
                    </c:pt>
                    <c:pt idx="2">
                      <c:v>1.5499207568509525</c:v>
                    </c:pt>
                    <c:pt idx="3">
                      <c:v>1.9435781557883265</c:v>
                    </c:pt>
                    <c:pt idx="4">
                      <c:v>1.5205293373601991</c:v>
                    </c:pt>
                  </c:numLit>
                </c:val>
                <c:smooth val="0"/>
                <c:extLst>
                  <c:ext xmlns:c16="http://schemas.microsoft.com/office/drawing/2014/chart" uri="{C3380CC4-5D6E-409C-BE32-E72D297353CC}">
                    <c16:uniqueId val="{00000001-2296-4C87-92C5-E8075EB1D9CF}"/>
                  </c:ext>
                </c:extLst>
              </c15:ser>
            </c15:filteredLineSeries>
            <c15:filteredLineSeries>
              <c15:ser>
                <c:idx val="1"/>
                <c:order val="1"/>
                <c:tx>
                  <c:v>Safety: Debt to Equity  (1.0 - 1.5)</c:v>
                </c:tx>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0.91871979409343241</c:v>
                    </c:pt>
                    <c:pt idx="1">
                      <c:v>0.6329443243562145</c:v>
                    </c:pt>
                    <c:pt idx="2">
                      <c:v>2.310467938464579</c:v>
                    </c:pt>
                    <c:pt idx="3">
                      <c:v>1.3738212830553447</c:v>
                    </c:pt>
                    <c:pt idx="4">
                      <c:v>1.8042365124956932</c:v>
                    </c:pt>
                  </c:numLit>
                </c:val>
                <c:smooth val="0"/>
                <c:extLst xmlns:c15="http://schemas.microsoft.com/office/drawing/2012/chart">
                  <c:ext xmlns:c16="http://schemas.microsoft.com/office/drawing/2014/chart" uri="{C3380CC4-5D6E-409C-BE32-E72D297353CC}">
                    <c16:uniqueId val="{00000002-2296-4C87-92C5-E8075EB1D9CF}"/>
                  </c:ext>
                </c:extLst>
              </c15:ser>
            </c15:filteredLineSeries>
            <c15:filteredLineSeries>
              <c15:ser>
                <c:idx val="2"/>
                <c:order val="2"/>
                <c:tx>
                  <c:v>Net Working Capital</c:v>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1363627</c:v>
                    </c:pt>
                    <c:pt idx="1">
                      <c:v>1256846</c:v>
                    </c:pt>
                    <c:pt idx="2">
                      <c:v>1586060</c:v>
                    </c:pt>
                    <c:pt idx="3">
                      <c:v>2121249</c:v>
                    </c:pt>
                    <c:pt idx="4">
                      <c:v>1697943.0300000003</c:v>
                    </c:pt>
                  </c:numLit>
                </c:val>
                <c:smooth val="0"/>
                <c:extLst xmlns:c15="http://schemas.microsoft.com/office/drawing/2012/chart">
                  <c:ext xmlns:c16="http://schemas.microsoft.com/office/drawing/2014/chart" uri="{C3380CC4-5D6E-409C-BE32-E72D297353CC}">
                    <c16:uniqueId val="{00000003-2296-4C87-92C5-E8075EB1D9CF}"/>
                  </c:ext>
                </c:extLst>
              </c15:ser>
            </c15:filteredLineSeries>
            <c15:filteredLineSeries>
              <c15:ser>
                <c:idx val="3"/>
                <c:order val="3"/>
                <c:tx>
                  <c:v>Non-Cash Working Capital</c:v>
                </c:tx>
                <c:spPr>
                  <a:ln w="28575"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-95187</c:v>
                    </c:pt>
                    <c:pt idx="1">
                      <c:v>480229</c:v>
                    </c:pt>
                    <c:pt idx="2">
                      <c:v>-77604</c:v>
                    </c:pt>
                    <c:pt idx="3">
                      <c:v>320470</c:v>
                    </c:pt>
                    <c:pt idx="4">
                      <c:v>506118.31000000006</c:v>
                    </c:pt>
                  </c:numLit>
                </c:val>
                <c:smooth val="0"/>
                <c:extLst xmlns:c15="http://schemas.microsoft.com/office/drawing/2012/chart">
                  <c:ext xmlns:c16="http://schemas.microsoft.com/office/drawing/2014/chart" uri="{C3380CC4-5D6E-409C-BE32-E72D297353CC}">
                    <c16:uniqueId val="{00000004-2296-4C87-92C5-E8075EB1D9CF}"/>
                  </c:ext>
                </c:extLst>
              </c15:ser>
            </c15:filteredLineSeries>
            <c15:filteredLineSeries>
              <c15:ser>
                <c:idx val="4"/>
                <c:order val="4"/>
                <c:tx>
                  <c:v>#REF!</c:v>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numLit>
                </c:val>
                <c:smooth val="0"/>
                <c:extLst xmlns:c15="http://schemas.microsoft.com/office/drawing/2012/chart">
                  <c:ext xmlns:c16="http://schemas.microsoft.com/office/drawing/2014/chart" uri="{C3380CC4-5D6E-409C-BE32-E72D297353CC}">
                    <c16:uniqueId val="{00000005-2296-4C87-92C5-E8075EB1D9CF}"/>
                  </c:ext>
                </c:extLst>
              </c15:ser>
            </c15:filteredLineSeries>
            <c15:filteredLineSeries>
              <c15:ser>
                <c:idx val="10"/>
                <c:order val="5"/>
                <c:tx>
                  <c:v>#REF!</c:v>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numLit>
                </c:val>
                <c:smooth val="0"/>
                <c:extLst xmlns:c15="http://schemas.microsoft.com/office/drawing/2012/chart">
                  <c:ext xmlns:c16="http://schemas.microsoft.com/office/drawing/2014/chart" uri="{C3380CC4-5D6E-409C-BE32-E72D297353CC}">
                    <c16:uniqueId val="{00000006-2296-4C87-92C5-E8075EB1D9CF}"/>
                  </c:ext>
                </c:extLst>
              </c15:ser>
            </c15:filteredLineSeries>
            <c15:filteredLineSeries>
              <c15:ser>
                <c:idx val="11"/>
                <c:order val="6"/>
                <c:tx>
                  <c:v>Return on Equity </c:v>
                </c:tx>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0.31545493352464649</c:v>
                    </c:pt>
                    <c:pt idx="1">
                      <c:v>0.32060526242247805</c:v>
                    </c:pt>
                    <c:pt idx="2">
                      <c:v>0.35662444495223039</c:v>
                    </c:pt>
                    <c:pt idx="3">
                      <c:v>0.46314976081345088</c:v>
                    </c:pt>
                    <c:pt idx="4">
                      <c:v>0.36188623703472506</c:v>
                    </c:pt>
                  </c:numLit>
                </c:val>
                <c:smooth val="0"/>
                <c:extLst xmlns:c15="http://schemas.microsoft.com/office/drawing/2012/chart">
                  <c:ext xmlns:c16="http://schemas.microsoft.com/office/drawing/2014/chart" uri="{C3380CC4-5D6E-409C-BE32-E72D297353CC}">
                    <c16:uniqueId val="{00000007-2296-4C87-92C5-E8075EB1D9CF}"/>
                  </c:ext>
                </c:extLst>
              </c15:ser>
            </c15:filteredLineSeries>
            <c15:filteredLineSeries>
              <c15:ser>
                <c:idx val="12"/>
                <c:order val="7"/>
                <c:tx>
                  <c:v>Receivable turnover </c:v>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6.1287229056663648</c:v>
                    </c:pt>
                    <c:pt idx="1">
                      <c:v>14.837447439602942</c:v>
                    </c:pt>
                    <c:pt idx="2">
                      <c:v>8.4661269245009017</c:v>
                    </c:pt>
                    <c:pt idx="3">
                      <c:v>11.31611221727629</c:v>
                    </c:pt>
                    <c:pt idx="4">
                      <c:v>9.588886390455853</c:v>
                    </c:pt>
                  </c:numLit>
                </c:val>
                <c:smooth val="0"/>
                <c:extLst xmlns:c15="http://schemas.microsoft.com/office/drawing/2012/chart">
                  <c:ext xmlns:c16="http://schemas.microsoft.com/office/drawing/2014/chart" uri="{C3380CC4-5D6E-409C-BE32-E72D297353CC}">
                    <c16:uniqueId val="{00000008-2296-4C87-92C5-E8075EB1D9CF}"/>
                  </c:ext>
                </c:extLst>
              </c15:ser>
            </c15:filteredLineSeries>
            <c15:filteredLineSeries>
              <c15:ser>
                <c:idx val="13"/>
                <c:order val="8"/>
                <c:tx>
                  <c:v>Receivable Days </c:v>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59.555637547675069</c:v>
                    </c:pt>
                    <c:pt idx="1">
                      <c:v>24.59991865081664</c:v>
                    </c:pt>
                    <c:pt idx="2">
                      <c:v>43.11298463335023</c:v>
                    </c:pt>
                    <c:pt idx="3">
                      <c:v>32.254893994666745</c:v>
                    </c:pt>
                    <c:pt idx="4">
                      <c:v>38.169187233701336</c:v>
                    </c:pt>
                  </c:numLit>
                </c:val>
                <c:smooth val="0"/>
                <c:extLst xmlns:c15="http://schemas.microsoft.com/office/drawing/2012/chart">
                  <c:ext xmlns:c16="http://schemas.microsoft.com/office/drawing/2014/chart" uri="{C3380CC4-5D6E-409C-BE32-E72D297353CC}">
                    <c16:uniqueId val="{00000009-2296-4C87-92C5-E8075EB1D9CF}"/>
                  </c:ext>
                </c:extLst>
              </c15:ser>
            </c15:filteredLineSeries>
            <c15:filteredLineSeries>
              <c15:ser>
                <c:idx val="14"/>
                <c:order val="9"/>
                <c:tx>
                  <c:v>Inventory Turnover</c:v>
                </c:tx>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6.147590787372156</c:v>
                    </c:pt>
                    <c:pt idx="1">
                      <c:v>4.4867109425410368</c:v>
                    </c:pt>
                    <c:pt idx="2">
                      <c:v>6.6033361184333295</c:v>
                    </c:pt>
                    <c:pt idx="3">
                      <c:v>5.977956263440702</c:v>
                    </c:pt>
                    <c:pt idx="4">
                      <c:v>5.5830823586244103</c:v>
                    </c:pt>
                  </c:numLit>
                </c:val>
                <c:smooth val="0"/>
                <c:extLst xmlns:c15="http://schemas.microsoft.com/office/drawing/2012/chart">
                  <c:ext xmlns:c16="http://schemas.microsoft.com/office/drawing/2014/chart" uri="{C3380CC4-5D6E-409C-BE32-E72D297353CC}">
                    <c16:uniqueId val="{0000000A-2296-4C87-92C5-E8075EB1D9CF}"/>
                  </c:ext>
                </c:extLst>
              </c15:ser>
            </c15:filteredLineSeries>
            <c15:filteredLineSeries>
              <c15:ser>
                <c:idx val="15"/>
                <c:order val="10"/>
                <c:tx>
                  <c:v>Inventory Days </c:v>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59.372852329363091</c:v>
                    </c:pt>
                    <c:pt idx="1">
                      <c:v>81.351351730558164</c:v>
                    </c:pt>
                    <c:pt idx="2">
                      <c:v>55.275090265524426</c:v>
                    </c:pt>
                    <c:pt idx="3">
                      <c:v>61.057656482404376</c:v>
                    </c:pt>
                    <c:pt idx="4">
                      <c:v>65.555185557065116</c:v>
                    </c:pt>
                  </c:numLit>
                </c:val>
                <c:smooth val="0"/>
                <c:extLst xmlns:c15="http://schemas.microsoft.com/office/drawing/2012/chart">
                  <c:ext xmlns:c16="http://schemas.microsoft.com/office/drawing/2014/chart" uri="{C3380CC4-5D6E-409C-BE32-E72D297353CC}">
                    <c16:uniqueId val="{0000000B-2296-4C87-92C5-E8075EB1D9CF}"/>
                  </c:ext>
                </c:extLst>
              </c15:ser>
            </c15:filteredLineSeries>
            <c15:filteredLineSeries>
              <c15:ser>
                <c:idx val="16"/>
                <c:order val="11"/>
                <c:tx>
                  <c:v>Payable turnover </c:v>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12.351458528970207</c:v>
                    </c:pt>
                    <c:pt idx="1">
                      <c:v>21.508929042966539</c:v>
                    </c:pt>
                    <c:pt idx="2">
                      <c:v>16.760983609679002</c:v>
                    </c:pt>
                    <c:pt idx="3">
                      <c:v>11.01206116228937</c:v>
                    </c:pt>
                    <c:pt idx="4">
                      <c:v>13.597415981915656</c:v>
                    </c:pt>
                  </c:numLit>
                </c:val>
                <c:smooth val="0"/>
                <c:extLst xmlns:c15="http://schemas.microsoft.com/office/drawing/2012/chart">
                  <c:ext xmlns:c16="http://schemas.microsoft.com/office/drawing/2014/chart" uri="{C3380CC4-5D6E-409C-BE32-E72D297353CC}">
                    <c16:uniqueId val="{0000000C-2296-4C87-92C5-E8075EB1D9CF}"/>
                  </c:ext>
                </c:extLst>
              </c15:ser>
            </c15:filteredLineSeries>
            <c15:filteredLineSeries>
              <c15:ser>
                <c:idx val="17"/>
                <c:order val="12"/>
                <c:tx>
                  <c:v>Payble Days</c:v>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0">
                      <c:v>29.551165892181608</c:v>
                    </c:pt>
                    <c:pt idx="1">
                      <c:v>16.969696597672105</c:v>
                    </c:pt>
                    <c:pt idx="2">
                      <c:v>21.776764926207711</c:v>
                    </c:pt>
                    <c:pt idx="3">
                      <c:v>33.145475185874986</c:v>
                    </c:pt>
                    <c:pt idx="4">
                      <c:v>26.916878948674814</c:v>
                    </c:pt>
                  </c:numLit>
                </c:val>
                <c:smooth val="0"/>
                <c:extLst xmlns:c15="http://schemas.microsoft.com/office/drawing/2012/chart">
                  <c:ext xmlns:c16="http://schemas.microsoft.com/office/drawing/2014/chart" uri="{C3380CC4-5D6E-409C-BE32-E72D297353CC}">
                    <c16:uniqueId val="{0000000D-2296-4C87-92C5-E8075EB1D9CF}"/>
                  </c:ext>
                </c:extLst>
              </c15:ser>
            </c15:filteredLineSeries>
            <c15:filteredLineSeries>
              <c15:ser>
                <c:idx val="18"/>
                <c:order val="13"/>
                <c:tx>
                  <c:v>#REF!</c:v>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numLit>
                </c:val>
                <c:smooth val="0"/>
                <c:extLst xmlns:c15="http://schemas.microsoft.com/office/drawing/2012/chart">
                  <c:ext xmlns:c16="http://schemas.microsoft.com/office/drawing/2014/chart" uri="{C3380CC4-5D6E-409C-BE32-E72D297353CC}">
                    <c16:uniqueId val="{0000000E-2296-4C87-92C5-E8075EB1D9CF}"/>
                  </c:ext>
                </c:extLst>
              </c15:ser>
            </c15:filteredLineSeries>
            <c15:filteredLineSeries>
              <c15:ser>
                <c:idx val="19"/>
                <c:order val="14"/>
                <c:tx>
                  <c:v>Operating Cash Flow</c:v>
                </c:tx>
                <c:spPr>
                  <a:ln w="28575" cap="rnd">
                    <a:solidFill>
                      <a:schemeClr val="accent2">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3">
                      <c:v>0.14371985113557825</c:v>
                    </c:pt>
                    <c:pt idx="4">
                      <c:v>3.8269834247491648E-2</c:v>
                    </c:pt>
                  </c:numLit>
                </c:val>
                <c:smooth val="0"/>
                <c:extLst xmlns:c15="http://schemas.microsoft.com/office/drawing/2012/chart">
                  <c:ext xmlns:c16="http://schemas.microsoft.com/office/drawing/2014/chart" uri="{C3380CC4-5D6E-409C-BE32-E72D297353CC}">
                    <c16:uniqueId val="{0000000F-2296-4C87-92C5-E8075EB1D9CF}"/>
                  </c:ext>
                </c:extLst>
              </c15:ser>
            </c15:filteredLineSeries>
            <c15:filteredLineSeries>
              <c15:ser>
                <c:idx val="20"/>
                <c:order val="15"/>
                <c:tx>
                  <c:v>Investing Cash Flow</c:v>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3">
                      <c:v>-2.2294445849583268E-2</c:v>
                    </c:pt>
                    <c:pt idx="4">
                      <c:v>-7.0531079282440456E-2</c:v>
                    </c:pt>
                  </c:numLit>
                </c:val>
                <c:smooth val="0"/>
                <c:extLst xmlns:c15="http://schemas.microsoft.com/office/drawing/2012/chart">
                  <c:ext xmlns:c16="http://schemas.microsoft.com/office/drawing/2014/chart" uri="{C3380CC4-5D6E-409C-BE32-E72D297353CC}">
                    <c16:uniqueId val="{00000010-2296-4C87-92C5-E8075EB1D9CF}"/>
                  </c:ext>
                </c:extLst>
              </c15:ser>
            </c15:filteredLineSeries>
            <c15:filteredLineSeries>
              <c15:ser>
                <c:idx val="21"/>
                <c:order val="16"/>
                <c:tx>
                  <c:v>Financing Cash Flow</c:v>
                </c:tx>
                <c:spPr>
                  <a:ln w="28575" cap="rnd">
                    <a:solidFill>
                      <a:schemeClr val="accent4">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3">
                      <c:v>-5.1365855973989932E-2</c:v>
                    </c:pt>
                    <c:pt idx="4">
                      <c:v>-2.7524578111997815E-2</c:v>
                    </c:pt>
                  </c:numLit>
                </c:val>
                <c:smooth val="0"/>
                <c:extLst xmlns:c15="http://schemas.microsoft.com/office/drawing/2012/chart">
                  <c:ext xmlns:c16="http://schemas.microsoft.com/office/drawing/2014/chart" uri="{C3380CC4-5D6E-409C-BE32-E72D297353CC}">
                    <c16:uniqueId val="{00000011-2296-4C87-92C5-E8075EB1D9CF}"/>
                  </c:ext>
                </c:extLst>
              </c15:ser>
            </c15:filteredLineSeries>
            <c15:filteredLineSeries>
              <c15:ser>
                <c:idx val="22"/>
                <c:order val="17"/>
                <c:tx>
                  <c:v>Net Cash Flow</c:v>
                </c:tx>
                <c:spPr>
                  <a:ln w="28575" cap="rnd">
                    <a:solidFill>
                      <a:schemeClr val="accent5">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pt idx="1">
                      <c:v>-7.7486971295619211E-2</c:v>
                    </c:pt>
                    <c:pt idx="2">
                      <c:v>8.8565510443786549E-2</c:v>
                    </c:pt>
                    <c:pt idx="3">
                      <c:v>7.0059549312005059E-2</c:v>
                    </c:pt>
                    <c:pt idx="4">
                      <c:v>-5.9785823146946568E-2</c:v>
                    </c:pt>
                  </c:numLit>
                </c:val>
                <c:smooth val="0"/>
                <c:extLst xmlns:c15="http://schemas.microsoft.com/office/drawing/2012/chart">
                  <c:ext xmlns:c16="http://schemas.microsoft.com/office/drawing/2014/chart" uri="{C3380CC4-5D6E-409C-BE32-E72D297353CC}">
                    <c16:uniqueId val="{00000012-2296-4C87-92C5-E8075EB1D9CF}"/>
                  </c:ext>
                </c:extLst>
              </c15:ser>
            </c15:filteredLineSeries>
            <c15:filteredLineSeries>
              <c15:ser>
                <c:idx val="23"/>
                <c:order val="18"/>
                <c:tx>
                  <c:v>#REF!</c:v>
                </c:tx>
                <c:spPr>
                  <a:ln w="28575" cap="rnd">
                    <a:solidFill>
                      <a:schemeClr val="accent6">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'Monthly Summary'!$W$2:$AV$2</c15:sqref>
                        </c15:formulaRef>
                      </c:ext>
                    </c:extLst>
                    <c:numCache>
                      <c:formatCode>mmm\-yy</c:formatCode>
                      <c:ptCount val="10"/>
                      <c:pt idx="0">
                        <c:v>44949</c:v>
                      </c:pt>
                      <c:pt idx="1">
                        <c:v>44980</c:v>
                      </c:pt>
                      <c:pt idx="2">
                        <c:v>45008</c:v>
                      </c:pt>
                      <c:pt idx="3">
                        <c:v>45017</c:v>
                      </c:pt>
                      <c:pt idx="4">
                        <c:v>45047</c:v>
                      </c:pt>
                      <c:pt idx="5">
                        <c:v>45078</c:v>
                      </c:pt>
                      <c:pt idx="6">
                        <c:v>45108</c:v>
                      </c:pt>
                      <c:pt idx="7">
                        <c:v>45139</c:v>
                      </c:pt>
                      <c:pt idx="8">
                        <c:v>45170</c:v>
                      </c:pt>
                      <c:pt idx="9">
                        <c:v>45200</c:v>
                      </c:pt>
                    </c:numCache>
                  </c:numRef>
                </c:cat>
                <c:val>
                  <c:numLit>
                    <c:formatCode>General</c:formatCode>
                    <c:ptCount val="5"/>
                  </c:numLit>
                </c:val>
                <c:smooth val="0"/>
                <c:extLst xmlns:c15="http://schemas.microsoft.com/office/drawing/2012/chart">
                  <c:ext xmlns:c16="http://schemas.microsoft.com/office/drawing/2014/chart" uri="{C3380CC4-5D6E-409C-BE32-E72D297353CC}">
                    <c16:uniqueId val="{00000013-2296-4C87-92C5-E8075EB1D9CF}"/>
                  </c:ext>
                </c:extLst>
              </c15:ser>
            </c15:filteredLineSeries>
          </c:ext>
        </c:extLst>
      </c:lineChart>
      <c:dateAx>
        <c:axId val="9953435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0600"/>
        <c:crosses val="autoZero"/>
        <c:auto val="1"/>
        <c:lblOffset val="100"/>
        <c:baseTimeUnit val="months"/>
      </c:dateAx>
      <c:valAx>
        <c:axId val="995340600"/>
        <c:scaling>
          <c:orientation val="minMax"/>
          <c:min val="150000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43552"/>
        <c:crosses val="autoZero"/>
        <c:crossBetween val="between"/>
        <c:minorUnit val="2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'Rev and COGS'!$B$80</c:f>
              <c:strCache>
                <c:ptCount val="1"/>
                <c:pt idx="0">
                  <c:v>Est. Mat. Cost as % of revenue</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2.2916913705837198E-2"/>
                  <c:y val="-8.605424321959755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'Rev and COGS'!$E$68:$AV$68</c:f>
              <c:numCache>
                <c:formatCode>_(* #,##0.00_);_(* \(#,##0.00\);_(* "-"??_);_(@_)</c:formatCode>
                <c:ptCount val="9"/>
                <c:pt idx="0">
                  <c:v>13</c:v>
                </c:pt>
                <c:pt idx="1">
                  <c:v>14</c:v>
                </c:pt>
                <c:pt idx="2">
                  <c:v>15</c:v>
                </c:pt>
                <c:pt idx="3">
                  <c:v>16</c:v>
                </c:pt>
                <c:pt idx="4">
                  <c:v>17</c:v>
                </c:pt>
                <c:pt idx="5">
                  <c:v>18</c:v>
                </c:pt>
                <c:pt idx="6">
                  <c:v>19</c:v>
                </c:pt>
                <c:pt idx="7">
                  <c:v>20</c:v>
                </c:pt>
                <c:pt idx="8">
                  <c:v>21</c:v>
                </c:pt>
              </c:numCache>
            </c:numRef>
          </c:cat>
          <c:val>
            <c:numRef>
              <c:f>'Rev and COGS'!$C$80:$AV$80</c:f>
              <c:numCache>
                <c:formatCode>0%</c:formatCode>
                <c:ptCount val="9"/>
                <c:pt idx="0">
                  <c:v>0.46126966327618957</c:v>
                </c:pt>
                <c:pt idx="1">
                  <c:v>0.47992361232741904</c:v>
                </c:pt>
                <c:pt idx="2">
                  <c:v>0.56271315072816441</c:v>
                </c:pt>
                <c:pt idx="3">
                  <c:v>0.6364144660059502</c:v>
                </c:pt>
                <c:pt idx="4">
                  <c:v>0.61969998942099858</c:v>
                </c:pt>
                <c:pt idx="5">
                  <c:v>0.4506936760053708</c:v>
                </c:pt>
                <c:pt idx="6">
                  <c:v>0.33819866292769951</c:v>
                </c:pt>
                <c:pt idx="7">
                  <c:v>0.29571563986066257</c:v>
                </c:pt>
                <c:pt idx="8">
                  <c:v>0.34563021362200563</c:v>
                </c:pt>
              </c:numCache>
            </c:numRef>
          </c:val>
          <c:smooth val="0"/>
          <c:extLst>
            <c:ext xmlns:c16="http://schemas.microsoft.com/office/drawing/2014/chart" uri="{C3380CC4-5D6E-409C-BE32-E72D297353CC}">
              <c16:uniqueId val="{00000000-E5E0-4182-8744-CF65A75CEA71}"/>
            </c:ext>
          </c:extLst>
        </c:ser>
        <c:dLbls>
          <c:showLegendKey val="0"/>
          <c:showVal val="0"/>
          <c:showCatName val="0"/>
          <c:showSerName val="0"/>
          <c:showPercent val="0"/>
          <c:showBubbleSize val="0"/>
        </c:dLbls>
        <c:smooth val="0"/>
        <c:axId val="1297101247"/>
        <c:axId val="1297103743"/>
      </c:lineChart>
      <c:catAx>
        <c:axId val="1297101247"/>
        <c:scaling>
          <c:orientation val="minMax"/>
        </c:scaling>
        <c:delete val="0"/>
        <c:axPos val="b"/>
        <c:numFmt formatCode="_(* #,##0.00_);_(* \(#,##0.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3743"/>
        <c:crosses val="autoZero"/>
        <c:auto val="1"/>
        <c:lblAlgn val="ctr"/>
        <c:lblOffset val="100"/>
        <c:noMultiLvlLbl val="1"/>
      </c:catAx>
      <c:valAx>
        <c:axId val="1297103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'Rev and COGS'!$B$81</c:f>
              <c:strCache>
                <c:ptCount val="1"/>
                <c:pt idx="0">
                  <c:v>Est. Mat. Cost as % of COGS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'Rev and COGS'!$E$67:$AV$67</c:f>
              <c:numCache>
                <c:formatCode>m/d/yyyy</c:formatCode>
                <c:ptCount val="9"/>
                <c:pt idx="0">
                  <c:v>44562</c:v>
                </c:pt>
                <c:pt idx="1">
                  <c:v>44593</c:v>
                </c:pt>
                <c:pt idx="2">
                  <c:v>44621</c:v>
                </c:pt>
                <c:pt idx="3">
                  <c:v>44652</c:v>
                </c:pt>
                <c:pt idx="4">
                  <c:v>44682</c:v>
                </c:pt>
                <c:pt idx="5">
                  <c:v>44713</c:v>
                </c:pt>
                <c:pt idx="6">
                  <c:v>44743</c:v>
                </c:pt>
                <c:pt idx="7">
                  <c:v>44774</c:v>
                </c:pt>
                <c:pt idx="8">
                  <c:v>44805</c:v>
                </c:pt>
              </c:numCache>
            </c:numRef>
          </c:cat>
          <c:val>
            <c:numRef>
              <c:f>'Rev and COGS'!$C$81:$AV$81</c:f>
              <c:numCache>
                <c:formatCode>0%</c:formatCode>
                <c:ptCount val="9"/>
                <c:pt idx="0">
                  <c:v>0.63798784591940072</c:v>
                </c:pt>
                <c:pt idx="1">
                  <c:v>0.68879203595417737</c:v>
                </c:pt>
                <c:pt idx="2">
                  <c:v>0.70792412602953403</c:v>
                </c:pt>
                <c:pt idx="3">
                  <c:v>0.65868217695219655</c:v>
                </c:pt>
                <c:pt idx="4">
                  <c:v>0.72637642001544234</c:v>
                </c:pt>
                <c:pt idx="5">
                  <c:v>0.68401894131782004</c:v>
                </c:pt>
                <c:pt idx="6">
                  <c:v>0.54203489090892298</c:v>
                </c:pt>
                <c:pt idx="7">
                  <c:v>0.61157222779939102</c:v>
                </c:pt>
                <c:pt idx="8">
                  <c:v>0.58195524401279997</c:v>
                </c:pt>
              </c:numCache>
            </c:numRef>
          </c:val>
          <c:smooth val="0"/>
          <c:extLst>
            <c:ext xmlns:c16="http://schemas.microsoft.com/office/drawing/2014/chart" uri="{C3380CC4-5D6E-409C-BE32-E72D297353CC}">
              <c16:uniqueId val="{00000001-0F73-4C6B-8474-4C6867E67626}"/>
            </c:ext>
          </c:extLst>
        </c:ser>
        <c:dLbls>
          <c:showLegendKey val="0"/>
          <c:showVal val="0"/>
          <c:showCatName val="0"/>
          <c:showSerName val="0"/>
          <c:showPercent val="0"/>
          <c:showBubbleSize val="0"/>
        </c:dLbls>
        <c:smooth val="0"/>
        <c:axId val="1297101247"/>
        <c:axId val="1297103743"/>
      </c:lineChart>
      <c:dateAx>
        <c:axId val="129710124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3743"/>
        <c:crosses val="autoZero"/>
        <c:auto val="1"/>
        <c:lblOffset val="100"/>
        <c:baseTimeUnit val="months"/>
      </c:dateAx>
      <c:valAx>
        <c:axId val="1297103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'Rev and COGS'!$B$80</c:f>
              <c:strCache>
                <c:ptCount val="1"/>
                <c:pt idx="0">
                  <c:v>Est. Mat. Cost as % of revenue</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2.2916913705837198E-2"/>
                  <c:y val="-8.605424321959755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'Rev and COGS'!$E$68:$AV$68</c:f>
              <c:numCache>
                <c:formatCode>_(* #,##0.00_);_(* \(#,##0.00\);_(* "-"??_);_(@_)</c:formatCode>
                <c:ptCount val="9"/>
                <c:pt idx="0">
                  <c:v>13</c:v>
                </c:pt>
                <c:pt idx="1">
                  <c:v>14</c:v>
                </c:pt>
                <c:pt idx="2">
                  <c:v>15</c:v>
                </c:pt>
                <c:pt idx="3">
                  <c:v>16</c:v>
                </c:pt>
                <c:pt idx="4">
                  <c:v>17</c:v>
                </c:pt>
                <c:pt idx="5">
                  <c:v>18</c:v>
                </c:pt>
                <c:pt idx="6">
                  <c:v>19</c:v>
                </c:pt>
                <c:pt idx="7">
                  <c:v>20</c:v>
                </c:pt>
                <c:pt idx="8">
                  <c:v>21</c:v>
                </c:pt>
              </c:numCache>
            </c:numRef>
          </c:cat>
          <c:val>
            <c:numRef>
              <c:f>'Rev and COGS'!$C$80:$AV$80</c:f>
              <c:numCache>
                <c:formatCode>0%</c:formatCode>
                <c:ptCount val="9"/>
                <c:pt idx="0">
                  <c:v>0.46126966327618957</c:v>
                </c:pt>
                <c:pt idx="1">
                  <c:v>0.47992361232741904</c:v>
                </c:pt>
                <c:pt idx="2">
                  <c:v>0.56271315072816441</c:v>
                </c:pt>
                <c:pt idx="3">
                  <c:v>0.6364144660059502</c:v>
                </c:pt>
                <c:pt idx="4">
                  <c:v>0.61969998942099858</c:v>
                </c:pt>
                <c:pt idx="5">
                  <c:v>0.4506936760053708</c:v>
                </c:pt>
                <c:pt idx="6">
                  <c:v>0.33819866292769951</c:v>
                </c:pt>
                <c:pt idx="7">
                  <c:v>0.29571563986066257</c:v>
                </c:pt>
                <c:pt idx="8">
                  <c:v>0.34563021362200563</c:v>
                </c:pt>
              </c:numCache>
            </c:numRef>
          </c:val>
          <c:smooth val="0"/>
          <c:extLst>
            <c:ext xmlns:c16="http://schemas.microsoft.com/office/drawing/2014/chart" uri="{C3380CC4-5D6E-409C-BE32-E72D297353CC}">
              <c16:uniqueId val="{00000001-7937-4B44-B4EC-D4EA6515323D}"/>
            </c:ext>
          </c:extLst>
        </c:ser>
        <c:dLbls>
          <c:showLegendKey val="0"/>
          <c:showVal val="0"/>
          <c:showCatName val="0"/>
          <c:showSerName val="0"/>
          <c:showPercent val="0"/>
          <c:showBubbleSize val="0"/>
        </c:dLbls>
        <c:smooth val="0"/>
        <c:axId val="1297101247"/>
        <c:axId val="1297103743"/>
      </c:lineChart>
      <c:catAx>
        <c:axId val="1297101247"/>
        <c:scaling>
          <c:orientation val="minMax"/>
        </c:scaling>
        <c:delete val="0"/>
        <c:axPos val="b"/>
        <c:numFmt formatCode="_(* #,##0.00_);_(* \(#,##0.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3743"/>
        <c:crosses val="autoZero"/>
        <c:auto val="1"/>
        <c:lblAlgn val="ctr"/>
        <c:lblOffset val="100"/>
        <c:noMultiLvlLbl val="1"/>
      </c:catAx>
      <c:valAx>
        <c:axId val="1297103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'Rev and COGS'!$B$81</c:f>
              <c:strCache>
                <c:ptCount val="1"/>
                <c:pt idx="0">
                  <c:v>Est. Mat. Cost as % of COGS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'Rev and COGS'!$E$67:$AV$67</c:f>
              <c:numCache>
                <c:formatCode>m/d/yyyy</c:formatCode>
                <c:ptCount val="9"/>
                <c:pt idx="0">
                  <c:v>44562</c:v>
                </c:pt>
                <c:pt idx="1">
                  <c:v>44593</c:v>
                </c:pt>
                <c:pt idx="2">
                  <c:v>44621</c:v>
                </c:pt>
                <c:pt idx="3">
                  <c:v>44652</c:v>
                </c:pt>
                <c:pt idx="4">
                  <c:v>44682</c:v>
                </c:pt>
                <c:pt idx="5">
                  <c:v>44713</c:v>
                </c:pt>
                <c:pt idx="6">
                  <c:v>44743</c:v>
                </c:pt>
                <c:pt idx="7">
                  <c:v>44774</c:v>
                </c:pt>
                <c:pt idx="8">
                  <c:v>44805</c:v>
                </c:pt>
              </c:numCache>
            </c:numRef>
          </c:cat>
          <c:val>
            <c:numRef>
              <c:f>'Rev and COGS'!$C$81:$AV$81</c:f>
              <c:numCache>
                <c:formatCode>0%</c:formatCode>
                <c:ptCount val="9"/>
                <c:pt idx="0">
                  <c:v>0.63798784591940072</c:v>
                </c:pt>
                <c:pt idx="1">
                  <c:v>0.68879203595417737</c:v>
                </c:pt>
                <c:pt idx="2">
                  <c:v>0.70792412602953403</c:v>
                </c:pt>
                <c:pt idx="3">
                  <c:v>0.65868217695219655</c:v>
                </c:pt>
                <c:pt idx="4">
                  <c:v>0.72637642001544234</c:v>
                </c:pt>
                <c:pt idx="5">
                  <c:v>0.68401894131782004</c:v>
                </c:pt>
                <c:pt idx="6">
                  <c:v>0.54203489090892298</c:v>
                </c:pt>
                <c:pt idx="7">
                  <c:v>0.61157222779939102</c:v>
                </c:pt>
                <c:pt idx="8">
                  <c:v>0.58195524401279997</c:v>
                </c:pt>
              </c:numCache>
            </c:numRef>
          </c:val>
          <c:smooth val="0"/>
          <c:extLst>
            <c:ext xmlns:c16="http://schemas.microsoft.com/office/drawing/2014/chart" uri="{C3380CC4-5D6E-409C-BE32-E72D297353CC}">
              <c16:uniqueId val="{00000001-FE21-405A-B950-78AA6E7E650E}"/>
            </c:ext>
          </c:extLst>
        </c:ser>
        <c:dLbls>
          <c:showLegendKey val="0"/>
          <c:showVal val="0"/>
          <c:showCatName val="0"/>
          <c:showSerName val="0"/>
          <c:showPercent val="0"/>
          <c:showBubbleSize val="0"/>
        </c:dLbls>
        <c:smooth val="0"/>
        <c:axId val="1297101247"/>
        <c:axId val="1297103743"/>
      </c:lineChart>
      <c:dateAx>
        <c:axId val="129710124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3743"/>
        <c:crosses val="autoZero"/>
        <c:auto val="1"/>
        <c:lblOffset val="100"/>
        <c:baseTimeUnit val="months"/>
      </c:dateAx>
      <c:valAx>
        <c:axId val="1297103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0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Levels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"Free Cash Flow"</c:v>
          </c:tx>
          <c:spPr>
            <a:ln w="28575" cap="rnd">
              <a:solidFill>
                <a:schemeClr val="accent6"/>
              </a:solidFill>
              <a:round/>
            </a:ln>
            <a:effectLst/>
          </c:spPr>
          <c:marker>
            <c:symbol val="circle"/>
            <c:size val="5"/>
            <c:spPr>
              <a:solidFill>
                <a:schemeClr val="accent3"/>
              </a:solidFill>
              <a:ln w="9525">
                <a:solidFill>
                  <a:schemeClr val="accent3"/>
                </a:solidFill>
              </a:ln>
              <a:effectLst/>
            </c:spPr>
          </c:marker>
          <c:val>
            <c:numRef>
              <c:f>'2020 Financials'!$H$100:$S$100</c:f>
              <c:numCache>
                <c:formatCode>_(* #,##0.00_);_(* \(#,##0.00\);_(* "-"??_);_(@_)</c:formatCode>
                <c:ptCount val="12"/>
                <c:pt idx="0">
                  <c:v>-79196.370000000345</c:v>
                </c:pt>
                <c:pt idx="1">
                  <c:v>-333066.22999999928</c:v>
                </c:pt>
                <c:pt idx="2">
                  <c:v>128979.20999999926</c:v>
                </c:pt>
                <c:pt idx="3">
                  <c:v>19377.41999999978</c:v>
                </c:pt>
                <c:pt idx="4">
                  <c:v>-247502.13000000064</c:v>
                </c:pt>
                <c:pt idx="5">
                  <c:v>-13266.649999999092</c:v>
                </c:pt>
                <c:pt idx="6">
                  <c:v>150856.95000000045</c:v>
                </c:pt>
                <c:pt idx="7">
                  <c:v>4495.6399999993155</c:v>
                </c:pt>
                <c:pt idx="8">
                  <c:v>-360811.62999999913</c:v>
                </c:pt>
                <c:pt idx="9">
                  <c:v>251347.54999999906</c:v>
                </c:pt>
                <c:pt idx="10">
                  <c:v>292193.0799999999</c:v>
                </c:pt>
                <c:pt idx="11">
                  <c:v>401677.57000000041</c:v>
                </c:pt>
              </c:numCache>
            </c:numRef>
          </c:val>
          <c:smooth val="0"/>
          <c:extLst>
            <c:ext xmlns:c16="http://schemas.microsoft.com/office/drawing/2014/chart" uri="{C3380CC4-5D6E-409C-BE32-E72D297353CC}">
              <c16:uniqueId val="{00000000-C573-4AC8-A58E-185D4A5A1EC8}"/>
            </c:ext>
          </c:extLst>
        </c:ser>
        <c:ser>
          <c:idx val="3"/>
          <c:order val="1"/>
          <c:tx>
            <c:v>"Net Income"</c:v>
          </c:tx>
          <c:spPr>
            <a:ln w="28575" cap="rnd">
              <a:solidFill>
                <a:schemeClr val="accent4"/>
              </a:solidFill>
              <a:round/>
            </a:ln>
            <a:effectLst/>
          </c:spPr>
          <c:marker>
            <c:symbol val="none"/>
          </c:marker>
          <c:val>
            <c:numRef>
              <c:f>'2020 Financials'!$H$69:$S$69</c:f>
              <c:numCache>
                <c:formatCode>_(* #,##0_);_(* \(#,##0\);_(* "-"??_);_(@_)</c:formatCode>
                <c:ptCount val="12"/>
                <c:pt idx="0">
                  <c:v>28354</c:v>
                </c:pt>
                <c:pt idx="1">
                  <c:v>37041.480000000003</c:v>
                </c:pt>
                <c:pt idx="2">
                  <c:v>-13556</c:v>
                </c:pt>
                <c:pt idx="3">
                  <c:v>-94309.270000000019</c:v>
                </c:pt>
                <c:pt idx="4">
                  <c:v>261412.3400000002</c:v>
                </c:pt>
                <c:pt idx="5">
                  <c:v>2741.7499999998836</c:v>
                </c:pt>
                <c:pt idx="6">
                  <c:v>31331.550000000047</c:v>
                </c:pt>
                <c:pt idx="7">
                  <c:v>-119923.03000000009</c:v>
                </c:pt>
                <c:pt idx="8">
                  <c:v>19657.44000000009</c:v>
                </c:pt>
                <c:pt idx="9">
                  <c:v>43812.050000000083</c:v>
                </c:pt>
                <c:pt idx="10">
                  <c:v>-56212.920000000013</c:v>
                </c:pt>
                <c:pt idx="11">
                  <c:v>681464.88000000024</c:v>
                </c:pt>
              </c:numCache>
            </c:numRef>
          </c:val>
          <c:smooth val="0"/>
          <c:extLst>
            <c:ext xmlns:c16="http://schemas.microsoft.com/office/drawing/2014/chart" uri="{C3380CC4-5D6E-409C-BE32-E72D297353CC}">
              <c16:uniqueId val="{00000001-C573-4AC8-A58E-185D4A5A1EC8}"/>
            </c:ext>
          </c:extLst>
        </c:ser>
        <c:ser>
          <c:idx val="4"/>
          <c:order val="2"/>
          <c:tx>
            <c:v>"EBITDA"</c:v>
          </c:tx>
          <c:spPr>
            <a:ln w="28575" cap="rnd">
              <a:solidFill>
                <a:schemeClr val="accent5"/>
              </a:solidFill>
              <a:round/>
            </a:ln>
            <a:effectLst/>
          </c:spPr>
          <c:marker>
            <c:symbol val="none"/>
          </c:marker>
          <c:val>
            <c:numRef>
              <c:f>'2020 Financials'!$H$86:$S$86</c:f>
              <c:numCache>
                <c:formatCode>#,##0_);\(#,##0\)</c:formatCode>
                <c:ptCount val="12"/>
                <c:pt idx="0">
                  <c:v>57110</c:v>
                </c:pt>
                <c:pt idx="1">
                  <c:v>55572.480000000003</c:v>
                </c:pt>
                <c:pt idx="2">
                  <c:v>22014</c:v>
                </c:pt>
                <c:pt idx="3">
                  <c:v>-64726.760000000009</c:v>
                </c:pt>
                <c:pt idx="4">
                  <c:v>282008.01000000018</c:v>
                </c:pt>
                <c:pt idx="5">
                  <c:v>43790.749999999884</c:v>
                </c:pt>
                <c:pt idx="6">
                  <c:v>65835.720000000045</c:v>
                </c:pt>
                <c:pt idx="7">
                  <c:v>-94953.19000000009</c:v>
                </c:pt>
                <c:pt idx="8">
                  <c:v>62555.460000000094</c:v>
                </c:pt>
                <c:pt idx="9">
                  <c:v>73593.710000000079</c:v>
                </c:pt>
                <c:pt idx="10">
                  <c:v>1917.8699999999876</c:v>
                </c:pt>
                <c:pt idx="11">
                  <c:v>710020.61000000034</c:v>
                </c:pt>
              </c:numCache>
            </c:numRef>
          </c:val>
          <c:smooth val="0"/>
          <c:extLst>
            <c:ext xmlns:c16="http://schemas.microsoft.com/office/drawing/2014/chart" uri="{C3380CC4-5D6E-409C-BE32-E72D297353CC}">
              <c16:uniqueId val="{00000002-C573-4AC8-A58E-185D4A5A1EC8}"/>
            </c:ext>
          </c:extLst>
        </c:ser>
        <c:dLbls>
          <c:showLegendKey val="0"/>
          <c:showVal val="0"/>
          <c:showCatName val="0"/>
          <c:showSerName val="0"/>
          <c:showPercent val="0"/>
          <c:showBubbleSize val="0"/>
        </c:dLbls>
        <c:marker val="1"/>
        <c:smooth val="0"/>
        <c:axId val="982740032"/>
        <c:axId val="1463489248"/>
      </c:lineChart>
      <c:catAx>
        <c:axId val="98274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489248"/>
        <c:crosses val="autoZero"/>
        <c:auto val="1"/>
        <c:lblAlgn val="ctr"/>
        <c:lblOffset val="100"/>
        <c:noMultiLvlLbl val="0"/>
      </c:catAx>
      <c:valAx>
        <c:axId val="14634892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4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chart" Target="../charts/chart4.xml"/><Relationship Id="rId21" Type="http://schemas.openxmlformats.org/officeDocument/2006/relationships/chart" Target="../charts/chart22.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5" Type="http://schemas.openxmlformats.org/officeDocument/2006/relationships/chart" Target="../charts/chart26.xml"/><Relationship Id="rId2" Type="http://schemas.openxmlformats.org/officeDocument/2006/relationships/chart" Target="../charts/chart3.xml"/><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24" Type="http://schemas.openxmlformats.org/officeDocument/2006/relationships/chart" Target="../charts/chart25.xml"/><Relationship Id="rId5" Type="http://schemas.openxmlformats.org/officeDocument/2006/relationships/chart" Target="../charts/chart6.xml"/><Relationship Id="rId15" Type="http://schemas.openxmlformats.org/officeDocument/2006/relationships/chart" Target="../charts/chart16.xml"/><Relationship Id="rId23" Type="http://schemas.openxmlformats.org/officeDocument/2006/relationships/chart" Target="../charts/chart24.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 Id="rId22" Type="http://schemas.openxmlformats.org/officeDocument/2006/relationships/chart" Target="../charts/chart2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6</xdr:col>
          <xdr:colOff>91440</xdr:colOff>
          <xdr:row>1</xdr:row>
          <xdr:rowOff>38100</xdr:rowOff>
        </xdr:to>
        <xdr:sp macro="" textlink="">
          <xdr:nvSpPr>
            <xdr:cNvPr id="39937" name="FILTER"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6</xdr:col>
          <xdr:colOff>91440</xdr:colOff>
          <xdr:row>1</xdr:row>
          <xdr:rowOff>38100</xdr:rowOff>
        </xdr:to>
        <xdr:sp macro="" textlink="">
          <xdr:nvSpPr>
            <xdr:cNvPr id="39938" name="HEADER"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0</xdr:colOff>
      <xdr:row>97</xdr:row>
      <xdr:rowOff>0</xdr:rowOff>
    </xdr:from>
    <xdr:to>
      <xdr:col>2</xdr:col>
      <xdr:colOff>34290</xdr:colOff>
      <xdr:row>97</xdr:row>
      <xdr:rowOff>34290</xdr:rowOff>
    </xdr:to>
    <xdr:pic>
      <xdr:nvPicPr>
        <xdr:cNvPr id="2" name="FILTER" hidden="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16901160"/>
          <a:ext cx="17145" cy="15240"/>
        </a:xfrm>
        <a:prstGeom prst="rect">
          <a:avLst/>
        </a:prstGeom>
      </xdr:spPr>
    </xdr:pic>
    <xdr:clientData/>
  </xdr:twoCellAnchor>
  <xdr:twoCellAnchor editAs="oneCell">
    <xdr:from>
      <xdr:col>2</xdr:col>
      <xdr:colOff>0</xdr:colOff>
      <xdr:row>97</xdr:row>
      <xdr:rowOff>0</xdr:rowOff>
    </xdr:from>
    <xdr:to>
      <xdr:col>2</xdr:col>
      <xdr:colOff>34290</xdr:colOff>
      <xdr:row>97</xdr:row>
      <xdr:rowOff>34290</xdr:rowOff>
    </xdr:to>
    <xdr:pic>
      <xdr:nvPicPr>
        <xdr:cNvPr id="3" name="HEADER" hidden="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0" y="16901160"/>
          <a:ext cx="17145" cy="15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65</xdr:col>
      <xdr:colOff>703762</xdr:colOff>
      <xdr:row>48</xdr:row>
      <xdr:rowOff>135799</xdr:rowOff>
    </xdr:from>
    <xdr:to>
      <xdr:col>69</xdr:col>
      <xdr:colOff>762001</xdr:colOff>
      <xdr:row>96</xdr:row>
      <xdr:rowOff>17689</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71</xdr:col>
      <xdr:colOff>14605</xdr:colOff>
      <xdr:row>63</xdr:row>
      <xdr:rowOff>38416</xdr:rowOff>
    </xdr:from>
    <xdr:to>
      <xdr:col>78</xdr:col>
      <xdr:colOff>176212</xdr:colOff>
      <xdr:row>77</xdr:row>
      <xdr:rowOff>18096</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79</xdr:col>
      <xdr:colOff>14243</xdr:colOff>
      <xdr:row>63</xdr:row>
      <xdr:rowOff>26511</xdr:rowOff>
    </xdr:from>
    <xdr:to>
      <xdr:col>86</xdr:col>
      <xdr:colOff>433916</xdr:colOff>
      <xdr:row>77</xdr:row>
      <xdr:rowOff>6191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79</xdr:col>
      <xdr:colOff>47626</xdr:colOff>
      <xdr:row>93</xdr:row>
      <xdr:rowOff>186688</xdr:rowOff>
    </xdr:from>
    <xdr:to>
      <xdr:col>86</xdr:col>
      <xdr:colOff>486835</xdr:colOff>
      <xdr:row>108</xdr:row>
      <xdr:rowOff>69848</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79</xdr:col>
      <xdr:colOff>53363</xdr:colOff>
      <xdr:row>78</xdr:row>
      <xdr:rowOff>84489</xdr:rowOff>
    </xdr:from>
    <xdr:to>
      <xdr:col>86</xdr:col>
      <xdr:colOff>508000</xdr:colOff>
      <xdr:row>92</xdr:row>
      <xdr:rowOff>64169</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71</xdr:col>
      <xdr:colOff>14605</xdr:colOff>
      <xdr:row>78</xdr:row>
      <xdr:rowOff>70881</xdr:rowOff>
    </xdr:from>
    <xdr:to>
      <xdr:col>78</xdr:col>
      <xdr:colOff>176212</xdr:colOff>
      <xdr:row>92</xdr:row>
      <xdr:rowOff>50561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55</xdr:col>
      <xdr:colOff>14551</xdr:colOff>
      <xdr:row>3</xdr:row>
      <xdr:rowOff>30426</xdr:rowOff>
    </xdr:from>
    <xdr:to>
      <xdr:col>62</xdr:col>
      <xdr:colOff>450245</xdr:colOff>
      <xdr:row>16</xdr:row>
      <xdr:rowOff>177916</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62</xdr:col>
      <xdr:colOff>521058</xdr:colOff>
      <xdr:row>3</xdr:row>
      <xdr:rowOff>31749</xdr:rowOff>
    </xdr:from>
    <xdr:to>
      <xdr:col>70</xdr:col>
      <xdr:colOff>317520</xdr:colOff>
      <xdr:row>16</xdr:row>
      <xdr:rowOff>179239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62</xdr:col>
      <xdr:colOff>532965</xdr:colOff>
      <xdr:row>33</xdr:row>
      <xdr:rowOff>104892</xdr:rowOff>
    </xdr:from>
    <xdr:to>
      <xdr:col>70</xdr:col>
      <xdr:colOff>329427</xdr:colOff>
      <xdr:row>47</xdr:row>
      <xdr:rowOff>61882</xdr:rowOff>
    </xdr:to>
    <xdr:graphicFrame macro="">
      <xdr:nvGraphicFramePr>
        <xdr:cNvPr id="21" name="Chart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55</xdr:col>
      <xdr:colOff>10583</xdr:colOff>
      <xdr:row>17</xdr:row>
      <xdr:rowOff>73612</xdr:rowOff>
    </xdr:from>
    <xdr:to>
      <xdr:col>62</xdr:col>
      <xdr:colOff>446277</xdr:colOff>
      <xdr:row>33</xdr:row>
      <xdr:rowOff>30602</xdr:rowOff>
    </xdr:to>
    <xdr:graphicFrame macro="">
      <xdr:nvGraphicFramePr>
        <xdr:cNvPr id="22" name="Chart 2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55</xdr:col>
      <xdr:colOff>10583</xdr:colOff>
      <xdr:row>33</xdr:row>
      <xdr:rowOff>104892</xdr:rowOff>
    </xdr:from>
    <xdr:to>
      <xdr:col>62</xdr:col>
      <xdr:colOff>446277</xdr:colOff>
      <xdr:row>47</xdr:row>
      <xdr:rowOff>61882</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62</xdr:col>
      <xdr:colOff>521058</xdr:colOff>
      <xdr:row>17</xdr:row>
      <xdr:rowOff>68320</xdr:rowOff>
    </xdr:from>
    <xdr:to>
      <xdr:col>70</xdr:col>
      <xdr:colOff>317520</xdr:colOff>
      <xdr:row>33</xdr:row>
      <xdr:rowOff>25310</xdr:rowOff>
    </xdr:to>
    <xdr:graphicFrame macro="">
      <xdr:nvGraphicFramePr>
        <xdr:cNvPr id="24" name="Chart 23">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278823</xdr:colOff>
      <xdr:row>129</xdr:row>
      <xdr:rowOff>14535</xdr:rowOff>
    </xdr:from>
    <xdr:to>
      <xdr:col>19</xdr:col>
      <xdr:colOff>130277</xdr:colOff>
      <xdr:row>144</xdr:row>
      <xdr:rowOff>150003</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160001</xdr:colOff>
      <xdr:row>129</xdr:row>
      <xdr:rowOff>6061</xdr:rowOff>
    </xdr:from>
    <xdr:to>
      <xdr:col>22</xdr:col>
      <xdr:colOff>895350</xdr:colOff>
      <xdr:row>144</xdr:row>
      <xdr:rowOff>141529</xdr:rowOff>
    </xdr:to>
    <xdr:graphicFrame macro="">
      <xdr:nvGraphicFramePr>
        <xdr:cNvPr id="25" name="Chart 24">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271895</xdr:colOff>
      <xdr:row>144</xdr:row>
      <xdr:rowOff>187037</xdr:rowOff>
    </xdr:from>
    <xdr:to>
      <xdr:col>19</xdr:col>
      <xdr:colOff>130271</xdr:colOff>
      <xdr:row>169</xdr:row>
      <xdr:rowOff>132003</xdr:rowOff>
    </xdr:to>
    <xdr:graphicFrame macro="">
      <xdr:nvGraphicFramePr>
        <xdr:cNvPr id="27" name="Chart 26">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151534</xdr:colOff>
      <xdr:row>144</xdr:row>
      <xdr:rowOff>187037</xdr:rowOff>
    </xdr:from>
    <xdr:to>
      <xdr:col>22</xdr:col>
      <xdr:colOff>895350</xdr:colOff>
      <xdr:row>169</xdr:row>
      <xdr:rowOff>132003</xdr:rowOff>
    </xdr:to>
    <xdr:graphicFrame macro="">
      <xdr:nvGraphicFramePr>
        <xdr:cNvPr id="28" name="Chart 27">
          <a:extLst>
            <a:ext uri="{FF2B5EF4-FFF2-40B4-BE49-F238E27FC236}">
              <a16:creationId xmlns:a16="http://schemas.microsoft.com/office/drawing/2014/main"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55</xdr:col>
      <xdr:colOff>12099</xdr:colOff>
      <xdr:row>47</xdr:row>
      <xdr:rowOff>152399</xdr:rowOff>
    </xdr:from>
    <xdr:to>
      <xdr:col>62</xdr:col>
      <xdr:colOff>439004</xdr:colOff>
      <xdr:row>61</xdr:row>
      <xdr:rowOff>128215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62</xdr:col>
      <xdr:colOff>528917</xdr:colOff>
      <xdr:row>47</xdr:row>
      <xdr:rowOff>161365</xdr:rowOff>
    </xdr:from>
    <xdr:to>
      <xdr:col>70</xdr:col>
      <xdr:colOff>341958</xdr:colOff>
      <xdr:row>61</xdr:row>
      <xdr:rowOff>127747</xdr:rowOff>
    </xdr:to>
    <xdr:graphicFrame macro="">
      <xdr:nvGraphicFramePr>
        <xdr:cNvPr id="30" name="Chart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71</xdr:col>
      <xdr:colOff>22490</xdr:colOff>
      <xdr:row>3</xdr:row>
      <xdr:rowOff>30426</xdr:rowOff>
    </xdr:from>
    <xdr:to>
      <xdr:col>78</xdr:col>
      <xdr:colOff>176159</xdr:colOff>
      <xdr:row>16</xdr:row>
      <xdr:rowOff>142186</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78</xdr:col>
      <xdr:colOff>400051</xdr:colOff>
      <xdr:row>3</xdr:row>
      <xdr:rowOff>30426</xdr:rowOff>
    </xdr:from>
    <xdr:to>
      <xdr:col>87</xdr:col>
      <xdr:colOff>142874</xdr:colOff>
      <xdr:row>16</xdr:row>
      <xdr:rowOff>142186</xdr:rowOff>
    </xdr:to>
    <xdr:graphicFrame macro="">
      <xdr:nvGraphicFramePr>
        <xdr:cNvPr id="41" name="Chart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79</xdr:col>
      <xdr:colOff>5105</xdr:colOff>
      <xdr:row>34</xdr:row>
      <xdr:rowOff>49986</xdr:rowOff>
    </xdr:from>
    <xdr:to>
      <xdr:col>88</xdr:col>
      <xdr:colOff>47625</xdr:colOff>
      <xdr:row>47</xdr:row>
      <xdr:rowOff>85546</xdr:rowOff>
    </xdr:to>
    <xdr:graphicFrame macro="">
      <xdr:nvGraphicFramePr>
        <xdr:cNvPr id="42" name="Chart 41">
          <a:extLst>
            <a:ext uri="{FF2B5EF4-FFF2-40B4-BE49-F238E27FC236}">
              <a16:creationId xmlns:a16="http://schemas.microsoft.com/office/drawing/2014/main" id="{00000000-0008-0000-06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54</xdr:col>
      <xdr:colOff>130968</xdr:colOff>
      <xdr:row>17</xdr:row>
      <xdr:rowOff>29094</xdr:rowOff>
    </xdr:from>
    <xdr:to>
      <xdr:col>78</xdr:col>
      <xdr:colOff>174625</xdr:colOff>
      <xdr:row>32</xdr:row>
      <xdr:rowOff>182764</xdr:rowOff>
    </xdr:to>
    <xdr:graphicFrame macro="">
      <xdr:nvGraphicFramePr>
        <xdr:cNvPr id="43" name="Chart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71</xdr:col>
      <xdr:colOff>34397</xdr:colOff>
      <xdr:row>34</xdr:row>
      <xdr:rowOff>73799</xdr:rowOff>
    </xdr:from>
    <xdr:to>
      <xdr:col>78</xdr:col>
      <xdr:colOff>188066</xdr:colOff>
      <xdr:row>47</xdr:row>
      <xdr:rowOff>109359</xdr:rowOff>
    </xdr:to>
    <xdr:graphicFrame macro="">
      <xdr:nvGraphicFramePr>
        <xdr:cNvPr id="44" name="Chart 43">
          <a:extLst>
            <a:ext uri="{FF2B5EF4-FFF2-40B4-BE49-F238E27FC236}">
              <a16:creationId xmlns:a16="http://schemas.microsoft.com/office/drawing/2014/main" id="{00000000-0008-0000-06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78</xdr:col>
      <xdr:colOff>349250</xdr:colOff>
      <xdr:row>17</xdr:row>
      <xdr:rowOff>64812</xdr:rowOff>
    </xdr:from>
    <xdr:to>
      <xdr:col>87</xdr:col>
      <xdr:colOff>142874</xdr:colOff>
      <xdr:row>33</xdr:row>
      <xdr:rowOff>24172</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71</xdr:col>
      <xdr:colOff>34396</xdr:colOff>
      <xdr:row>47</xdr:row>
      <xdr:rowOff>174065</xdr:rowOff>
    </xdr:from>
    <xdr:to>
      <xdr:col>78</xdr:col>
      <xdr:colOff>188065</xdr:colOff>
      <xdr:row>61</xdr:row>
      <xdr:rowOff>108025</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79</xdr:col>
      <xdr:colOff>17011</xdr:colOff>
      <xdr:row>47</xdr:row>
      <xdr:rowOff>174065</xdr:rowOff>
    </xdr:from>
    <xdr:to>
      <xdr:col>88</xdr:col>
      <xdr:colOff>79374</xdr:colOff>
      <xdr:row>61</xdr:row>
      <xdr:rowOff>108025</xdr:rowOff>
    </xdr:to>
    <xdr:graphicFrame macro="">
      <xdr:nvGraphicFramePr>
        <xdr:cNvPr id="47" name="Chart 46">
          <a:extLst>
            <a:ext uri="{FF2B5EF4-FFF2-40B4-BE49-F238E27FC236}">
              <a16:creationId xmlns:a16="http://schemas.microsoft.com/office/drawing/2014/main" id="{00000000-0008-0000-06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97477</xdr:colOff>
      <xdr:row>81</xdr:row>
      <xdr:rowOff>97229</xdr:rowOff>
    </xdr:from>
    <xdr:to>
      <xdr:col>31</xdr:col>
      <xdr:colOff>180608</xdr:colOff>
      <xdr:row>96</xdr:row>
      <xdr:rowOff>138793</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103909</xdr:colOff>
      <xdr:row>96</xdr:row>
      <xdr:rowOff>127000</xdr:rowOff>
    </xdr:from>
    <xdr:to>
      <xdr:col>31</xdr:col>
      <xdr:colOff>187818</xdr:colOff>
      <xdr:row>111</xdr:row>
      <xdr:rowOff>168564</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97477</xdr:colOff>
      <xdr:row>81</xdr:row>
      <xdr:rowOff>97229</xdr:rowOff>
    </xdr:from>
    <xdr:to>
      <xdr:col>31</xdr:col>
      <xdr:colOff>180608</xdr:colOff>
      <xdr:row>96</xdr:row>
      <xdr:rowOff>138793</xdr:rowOff>
    </xdr:to>
    <xdr:graphicFrame macro="">
      <xdr:nvGraphicFramePr>
        <xdr:cNvPr id="10" name="Chart 9">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103909</xdr:colOff>
      <xdr:row>96</xdr:row>
      <xdr:rowOff>127000</xdr:rowOff>
    </xdr:from>
    <xdr:to>
      <xdr:col>31</xdr:col>
      <xdr:colOff>187818</xdr:colOff>
      <xdr:row>111</xdr:row>
      <xdr:rowOff>168564</xdr:rowOff>
    </xdr:to>
    <xdr:graphicFrame macro="">
      <xdr:nvGraphicFramePr>
        <xdr:cNvPr id="11" name="Chart 10">
          <a:extLst>
            <a:ext uri="{FF2B5EF4-FFF2-40B4-BE49-F238E27FC236}">
              <a16:creationId xmlns:a16="http://schemas.microsoft.com/office/drawing/2014/main" id="{00000000-0008-0000-0E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414337</xdr:colOff>
      <xdr:row>216</xdr:row>
      <xdr:rowOff>14287</xdr:rowOff>
    </xdr:from>
    <xdr:to>
      <xdr:col>17</xdr:col>
      <xdr:colOff>940593</xdr:colOff>
      <xdr:row>229</xdr:row>
      <xdr:rowOff>157162</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onthly-FY00%200799"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hellfire%20learning%20mfg"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ppriver3651003667.sharepoint.com/users/windows/TEMP/Virgil%20Documents/Excel%20Documents/General%20Models/Final%20BASEMODL.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cmmemphis1\ecm$\3%20-%20Trans%20American%20Security%20Documents\3%20-%20Finance\1%20-%20Reports\2010\2010%20Trans-Alarm%20RMR%20Summary.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mithleonard.internal\shares\3%20-%20Trans%20American%20Security%20Documents\5%20-%20Corporate%20Reporting\12%20-%20Analysis\Dashboard%20Draft12.xls"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hellfire%20learning%20mfg.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ntcs01\share\GENERAL\sucharita\satyamadr\comps\INFOSY1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cmmemphis1\ecm$\BHC\Shared\Sami%20Elbadramany\Tomahawk%20Training\Pfizer%20&amp;%20Wyeth%20Merger%20Model%20MASTERa.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cmmemphis1\ecm$\Documents%20and%20Settings\jparekh\Desktop\gabby.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T:\PROJECTS-THEMES\IRR\MER\References%20materials\PS%20data%20items%20v3%2020060918.xls"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Balance%20Sheet%20-%20PS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Kc1\vol1\Common\Data\Sbsclt\CARTER\WORKPAPERS\PCTCOMP\CLSDJOB9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mithleonard.internal\shares\Documents%20and%20Settings\J.C.%20Kiser\My%20Documents\Downloads\Copy%20of%20Creation%20Cost%20Analysis.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Clients\Ronson\Model\Standalone%20-%2020090619%20update%20for%20management%20pre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SHARE\Financial_Services\Management%20Reporting\Dashboard\2009\Backup\Potential%20Repositioning%20to%20Prime%20-%20032309-rev.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mithleonard.internal\shares\Clients\Active\Kevah%20Konner%20Inc\Financials\Recast_Financials_-_20100317%20-%20v1.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mithleonard.internal\shares\Deals\Financial%20Services\ScentAir\Model\Scentair%20Summary%20v8.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cmmemphis1\ecm$\IBIC\Share\ANALYST\Security,%20Safety%20&amp;%20Defense\Vivint\October%202011\LBO\Vivint%20LBO%20Model_7%200_10.20.11.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appriver3651003667.sharepoint.com/Documents%20and%20Settings/nlock/Local%20Settings/Temporary%20Internet%20Files/OLKB/MLAR%20Return%20with%20Validation%20rul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smithleonard.internal\shares\Users\JC\Downloads\10Q4-iSNAPS%20Book%2001%2025c.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www.vertex42.com/Files/simple-amortization.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Bcusr001\JoinerS\ACCTG\PRIVATE\04%20MR\SD%20Report%20-%20Group.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server_01\ScentAir%20Common\DOCUME~1\TWILSO~1.RME\LOCALS~1\Temp\XPgrpwise\TEMP\PR10%20Fcst.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appriver3651003667.sharepoint.com/sites/NationalElectronicAlloys/Shared%20Documents/General/Financial%20&amp;%20Metrics%20Analysis/MTM%20DAK%20Model%20v4%20(11.21.2021).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appriver3651003667.sharepoint.com/Documents%20and%20Settings/Owner/My%20Documents/My%20Documents/Professional%20-%20Client/Scent%20Air/Reporting%20-%20Inventory%20and%20COGS/Sales%20by%20Item%20PivotTable.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https://mxdprocessky.sharepoint.com/personal/estogner_mxdprocess_com/Documents/Order%20Files/Shop%20Planning.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https://appriver3651003667-my.sharepoint.com/Documents%20and%20Settings/laqui/Local%20Settings/Temporary%20Internet%20Files/Content.IE5/YFZ93XL0/USA4054.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erver_01\ScentAir%20Common\Users\kburke\AppData\Roaming\Microsoft\Excel\commercial%20sales%20forecast%201.16.2010.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Ecmmemphis1\ecm$\IVB\Share\MK_History\IBIC\Share\ANALYST\Security,%20Safety%20&amp;%20Defense\Profile%20Slides\Profile%20Exhibits%20v6.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https://appriver3651003667.sharepoint.com/Users/Rex%20Associates/Documents/Rexes%20Business/Craftsmaster%20Hardware,%20LLC/Budget/2020/2020%20Craftmaster%20Budget%20Basis%20report.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mithleonard.internal\shares\Users\MMathews\AppData\Local\Microsoft\Windows\Temporary%20Internet%20Files\Content.Outlook\45IBP9RY\Revised%20Drafts%20(7-22-11)\2012%20Budget%20CSC%207.11.2011.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server_01\ScentAir%20Common\Accounting\Reports\Budgets\Presentation%20Slides.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Ecmmemphis1\ecm$\DEALS\Tiburon\Valuation\Tiburon%20Consolidated%20Financials%207.0_LBO.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mithleonard.internal\shares\Users\ehayes\AppData\Local\Microsoft\Windows\Temporary%20Internet%20Files\Content.Outlook\F8QSBJ0H\NA%20PARTNERS%20Budget%202012.xlsx"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urie\Departments\ccollet\New%20Models\newmode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H:\eBV%20Models\2003%20Planning\Version%204\ACC%20Rev%20Est%20Draft%203.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E:\My%20Documents\Temporary%20Storage\LBO%20Valuation%20Model%20from%20Neils.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smithleonard.internal\shares\Documents%20and%20Settings\Dan\Local%20Settings\Temporary%20Internet%20Files\OLK6\Latest%20Model\HSM%20LOI%20Model%20XI%20($320m%20PP).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G:\Shared%20drives\Soterra%20Shared%20Drive\Leads\Singlepoint%20Solutions\Due%20Diligence\Corporate%20Docs\Original%20Loan%20Docs\SinglePoint%20Amortization%20Schedule%20-%20Profits%208.1.20.xlsx"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server_01\ScentAir%20Common\ScentAir\Budget%202010\version%20i\commercial%20sales%20forecast-10-20-09-rv2.xlsx"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F:\TBG\SHARE\MBI\Executive%20Officers\Estimated%20Invoices\EO%20Estimated%20JE\Exec%20Officer%20Summary%202007%20.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s://appriver3651003667.sharepoint.com/Users/mparra/Desktop/Millennium%20Construction%20Target%20Tracker%20v(3-23-2020).xlsx"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J:\Accounting\01prp\IMIS_06_5324.xls" TargetMode="External"/></Relationships>
</file>

<file path=xl/externalLinks/_rels/externalLink44.xml.rels><?xml version="1.0" encoding="UTF-8" standalone="yes"?>
<Relationships xmlns="http://schemas.openxmlformats.org/package/2006/relationships"><Relationship Id="rId1" Type="http://schemas.microsoft.com/office/2006/relationships/xlExternalLinkPath/xlPathMissing" Target="Affordability%20Look%2006b1"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Server\SJ\99196\&#36164;&#20135;&#36127;&#20538;&#349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Accomplishments"/>
      <sheetName val="Issues"/>
      <sheetName val="Pgm Status"/>
      <sheetName val="Safety"/>
      <sheetName val="New Pgm Schedules"/>
      <sheetName val="Cats-Dogs Schedule"/>
      <sheetName val="Waste Rate"/>
      <sheetName val="DNCs"/>
      <sheetName val="SPC"/>
      <sheetName val="Xxxx Indirect"/>
      <sheetName val="Sales"/>
      <sheetName val="C Profit"/>
      <sheetName val="Cash -New"/>
      <sheetName val="Receivables"/>
      <sheetName val="Orders"/>
      <sheetName val="Backlog"/>
      <sheetName val="Top 5 Mktg"/>
      <sheetName val="Calendar"/>
      <sheetName val="MOAR-REC"/>
      <sheetName val="MOAR VAR"/>
      <sheetName val="BR_UB"/>
      <sheetName val="Invoices-Unbilled"/>
      <sheetName val="Bill Fcst"/>
      <sheetName val="Orders AllAO's"/>
      <sheetName val="Contracts"/>
      <sheetName val="New Contracts"/>
      <sheetName val="Sales &amp; Profit Detail"/>
      <sheetName val="Sales &amp; Profit Summary"/>
      <sheetName val="Sales &amp; Profit Now Look"/>
      <sheetName val="Sales&amp;Profit Fcst 7-9-99 Rates"/>
      <sheetName val="C-T-D Sales &amp; CP 6-99"/>
      <sheetName val="Cash by Pgm"/>
      <sheetName val="Profit Letter C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6">
          <cell r="A6" t="str">
            <v>Type</v>
          </cell>
        </row>
        <row r="7">
          <cell r="A7" t="str">
            <v>FFP</v>
          </cell>
          <cell r="B7" t="str">
            <v>Space</v>
          </cell>
          <cell r="C7" t="str">
            <v>1261</v>
          </cell>
          <cell r="D7" t="str">
            <v>444 Development Program</v>
          </cell>
          <cell r="F7">
            <v>16931595</v>
          </cell>
          <cell r="G7">
            <v>16931595</v>
          </cell>
          <cell r="H7">
            <v>0</v>
          </cell>
        </row>
        <row r="8">
          <cell r="A8" t="str">
            <v>FFP</v>
          </cell>
          <cell r="B8" t="str">
            <v>Space</v>
          </cell>
          <cell r="C8" t="str">
            <v>1264</v>
          </cell>
          <cell r="D8" t="str">
            <v>450 Spares Tool Storage</v>
          </cell>
          <cell r="F8">
            <v>60181</v>
          </cell>
          <cell r="G8">
            <v>60181</v>
          </cell>
          <cell r="H8">
            <v>0</v>
          </cell>
        </row>
        <row r="9">
          <cell r="A9" t="str">
            <v>FFP</v>
          </cell>
          <cell r="B9" t="str">
            <v>Space</v>
          </cell>
          <cell r="C9" t="str">
            <v>1267</v>
          </cell>
          <cell r="D9" t="str">
            <v>Project 123</v>
          </cell>
          <cell r="F9">
            <v>13346895</v>
          </cell>
          <cell r="G9">
            <v>13346895</v>
          </cell>
          <cell r="H9">
            <v>0</v>
          </cell>
        </row>
        <row r="10">
          <cell r="A10" t="str">
            <v>CPIF</v>
          </cell>
          <cell r="B10" t="str">
            <v>Space</v>
          </cell>
          <cell r="C10" t="str">
            <v>1268</v>
          </cell>
          <cell r="D10" t="str">
            <v>650 Program</v>
          </cell>
          <cell r="F10">
            <v>4190306</v>
          </cell>
          <cell r="G10">
            <v>4190306</v>
          </cell>
          <cell r="H10">
            <v>0</v>
          </cell>
        </row>
        <row r="11">
          <cell r="A11" t="str">
            <v>CPIF</v>
          </cell>
          <cell r="B11" t="str">
            <v>Space</v>
          </cell>
          <cell r="C11" t="str">
            <v>1269</v>
          </cell>
          <cell r="D11" t="str">
            <v>750 Program</v>
          </cell>
          <cell r="F11">
            <v>2719782</v>
          </cell>
          <cell r="G11">
            <v>2719782</v>
          </cell>
          <cell r="H11">
            <v>0</v>
          </cell>
        </row>
        <row r="12">
          <cell r="A12" t="str">
            <v>CPIF</v>
          </cell>
          <cell r="B12" t="str">
            <v>Space</v>
          </cell>
          <cell r="C12" t="str">
            <v>1270</v>
          </cell>
          <cell r="D12" t="str">
            <v>555 Follow-On Program</v>
          </cell>
          <cell r="F12">
            <v>2456766</v>
          </cell>
          <cell r="G12">
            <v>2456766</v>
          </cell>
          <cell r="H12">
            <v>0</v>
          </cell>
        </row>
        <row r="13">
          <cell r="A13" t="str">
            <v>FFP</v>
          </cell>
          <cell r="B13" t="str">
            <v>Space</v>
          </cell>
          <cell r="C13" t="str">
            <v>1271</v>
          </cell>
          <cell r="D13" t="str">
            <v>201 Storage of Components</v>
          </cell>
          <cell r="F13">
            <v>76139</v>
          </cell>
          <cell r="G13">
            <v>76139</v>
          </cell>
          <cell r="H13">
            <v>0</v>
          </cell>
        </row>
        <row r="14">
          <cell r="A14" t="str">
            <v>FFP</v>
          </cell>
          <cell r="B14" t="str">
            <v>Space</v>
          </cell>
          <cell r="C14" t="str">
            <v>1272</v>
          </cell>
          <cell r="D14" t="str">
            <v>650 System Dev Effort</v>
          </cell>
          <cell r="F14">
            <v>141850</v>
          </cell>
          <cell r="G14">
            <v>141850</v>
          </cell>
          <cell r="H14">
            <v>0</v>
          </cell>
        </row>
        <row r="15">
          <cell r="A15" t="str">
            <v>CPIF</v>
          </cell>
          <cell r="B15" t="str">
            <v>Space</v>
          </cell>
          <cell r="C15" t="str">
            <v>1273</v>
          </cell>
          <cell r="D15" t="str">
            <v>650 Systems 3 Program</v>
          </cell>
          <cell r="F15">
            <v>698115</v>
          </cell>
          <cell r="G15">
            <v>698115</v>
          </cell>
          <cell r="H15">
            <v>0</v>
          </cell>
        </row>
        <row r="16">
          <cell r="A16" t="str">
            <v>CPFF*</v>
          </cell>
          <cell r="B16" t="str">
            <v>Spec</v>
          </cell>
          <cell r="C16" t="str">
            <v>3549</v>
          </cell>
          <cell r="D16" t="str">
            <v>IMAD</v>
          </cell>
          <cell r="F16">
            <v>1724756</v>
          </cell>
          <cell r="G16">
            <v>1724756</v>
          </cell>
          <cell r="H16">
            <v>0</v>
          </cell>
        </row>
        <row r="17">
          <cell r="A17" t="str">
            <v>FFP</v>
          </cell>
          <cell r="B17" t="str">
            <v>Spec</v>
          </cell>
          <cell r="C17" t="str">
            <v>3571</v>
          </cell>
          <cell r="D17" t="str">
            <v>Long Lead Mtls Springs Buy 6</v>
          </cell>
          <cell r="F17">
            <v>9676052</v>
          </cell>
          <cell r="G17">
            <v>9676052</v>
          </cell>
          <cell r="H17">
            <v>0</v>
          </cell>
        </row>
        <row r="18">
          <cell r="A18" t="str">
            <v>FFP</v>
          </cell>
          <cell r="B18" t="str">
            <v>Spec</v>
          </cell>
          <cell r="C18" t="str">
            <v>3634</v>
          </cell>
          <cell r="D18" t="str">
            <v>AFPM</v>
          </cell>
          <cell r="F18">
            <v>189873</v>
          </cell>
          <cell r="G18">
            <v>189873</v>
          </cell>
          <cell r="H18">
            <v>0</v>
          </cell>
        </row>
        <row r="19">
          <cell r="A19" t="str">
            <v>FFP</v>
          </cell>
          <cell r="B19" t="str">
            <v>Space</v>
          </cell>
          <cell r="C19" t="str">
            <v>3671</v>
          </cell>
          <cell r="D19" t="str">
            <v>TUBES</v>
          </cell>
          <cell r="F19">
            <v>4157495</v>
          </cell>
          <cell r="G19">
            <v>4157495</v>
          </cell>
          <cell r="H19">
            <v>0</v>
          </cell>
        </row>
        <row r="20">
          <cell r="A20" t="str">
            <v>FFP*</v>
          </cell>
          <cell r="B20" t="str">
            <v>Spec</v>
          </cell>
          <cell r="C20" t="str">
            <v>3678</v>
          </cell>
          <cell r="D20" t="str">
            <v>C17 Trans door counter bal assy</v>
          </cell>
          <cell r="F20">
            <v>4662870</v>
          </cell>
          <cell r="G20">
            <v>4662870</v>
          </cell>
          <cell r="H20">
            <v>0</v>
          </cell>
        </row>
        <row r="21">
          <cell r="A21" t="str">
            <v>CPFF</v>
          </cell>
          <cell r="B21" t="str">
            <v>Spec</v>
          </cell>
          <cell r="C21" t="str">
            <v>3685</v>
          </cell>
          <cell r="D21" t="str">
            <v>ACP Tech Dev Agreement</v>
          </cell>
          <cell r="F21">
            <v>11566000</v>
          </cell>
          <cell r="G21">
            <v>11566000</v>
          </cell>
          <cell r="H21">
            <v>0</v>
          </cell>
        </row>
        <row r="22">
          <cell r="A22" t="str">
            <v>FFP</v>
          </cell>
          <cell r="B22" t="str">
            <v>Spec</v>
          </cell>
          <cell r="C22" t="str">
            <v>3705</v>
          </cell>
          <cell r="D22" t="str">
            <v>Affordable Polymer Composite</v>
          </cell>
          <cell r="F22">
            <v>232500</v>
          </cell>
          <cell r="G22">
            <v>232500</v>
          </cell>
          <cell r="H22">
            <v>0</v>
          </cell>
        </row>
        <row r="23">
          <cell r="A23" t="str">
            <v>FFP</v>
          </cell>
          <cell r="B23" t="str">
            <v>Spec</v>
          </cell>
          <cell r="C23" t="str">
            <v>3707</v>
          </cell>
          <cell r="D23" t="str">
            <v>MK125 Warheads</v>
          </cell>
          <cell r="F23">
            <v>4951761</v>
          </cell>
          <cell r="G23">
            <v>4951761</v>
          </cell>
          <cell r="H23">
            <v>0</v>
          </cell>
        </row>
        <row r="24">
          <cell r="A24" t="str">
            <v>CPFF</v>
          </cell>
          <cell r="B24" t="str">
            <v>Spec</v>
          </cell>
          <cell r="C24" t="str">
            <v>3734</v>
          </cell>
          <cell r="D24" t="str">
            <v>EMD F22 Pivor shaft</v>
          </cell>
          <cell r="F24">
            <v>12137340</v>
          </cell>
          <cell r="G24">
            <v>12137340</v>
          </cell>
          <cell r="H24">
            <v>0</v>
          </cell>
        </row>
        <row r="25">
          <cell r="A25" t="str">
            <v>CPFF</v>
          </cell>
          <cell r="B25" t="str">
            <v>Spec</v>
          </cell>
          <cell r="C25" t="str">
            <v>3735</v>
          </cell>
          <cell r="D25" t="str">
            <v>GLCC Phase II of Task 3</v>
          </cell>
          <cell r="F25">
            <v>181386</v>
          </cell>
          <cell r="G25">
            <v>181386</v>
          </cell>
          <cell r="H25">
            <v>0</v>
          </cell>
        </row>
        <row r="26">
          <cell r="A26" t="str">
            <v>FFP</v>
          </cell>
          <cell r="B26" t="str">
            <v>Space</v>
          </cell>
          <cell r="C26" t="str">
            <v>3738</v>
          </cell>
          <cell r="D26" t="str">
            <v>601 HP Spacecraft</v>
          </cell>
          <cell r="F26">
            <v>6501807</v>
          </cell>
          <cell r="G26">
            <v>6501807</v>
          </cell>
          <cell r="H26">
            <v>0</v>
          </cell>
        </row>
        <row r="27">
          <cell r="A27" t="str">
            <v>CPFF</v>
          </cell>
          <cell r="B27" t="str">
            <v>Spec</v>
          </cell>
          <cell r="C27" t="str">
            <v>3747</v>
          </cell>
          <cell r="D27" t="str">
            <v>X33 Hydrogen Tanks</v>
          </cell>
          <cell r="F27">
            <v>64246823</v>
          </cell>
          <cell r="G27">
            <v>64246823</v>
          </cell>
          <cell r="H27">
            <v>0</v>
          </cell>
        </row>
        <row r="28">
          <cell r="A28" t="str">
            <v>FFP</v>
          </cell>
          <cell r="B28" t="str">
            <v>Space</v>
          </cell>
          <cell r="C28" t="str">
            <v>3759</v>
          </cell>
          <cell r="D28" t="str">
            <v>SMTS</v>
          </cell>
          <cell r="F28">
            <v>2592281</v>
          </cell>
          <cell r="G28">
            <v>2592281</v>
          </cell>
          <cell r="H28">
            <v>0</v>
          </cell>
        </row>
        <row r="29">
          <cell r="A29" t="str">
            <v>CPFF</v>
          </cell>
          <cell r="B29" t="str">
            <v>Spec</v>
          </cell>
          <cell r="C29" t="str">
            <v>3764</v>
          </cell>
          <cell r="D29" t="str">
            <v>ACTT/BIR Phase II</v>
          </cell>
          <cell r="F29">
            <v>1293202</v>
          </cell>
          <cell r="G29">
            <v>1293202</v>
          </cell>
          <cell r="H29">
            <v>0</v>
          </cell>
        </row>
        <row r="30">
          <cell r="A30" t="str">
            <v>FFP</v>
          </cell>
          <cell r="B30" t="str">
            <v>Spec</v>
          </cell>
          <cell r="C30" t="str">
            <v>3768</v>
          </cell>
          <cell r="D30" t="str">
            <v>JSF</v>
          </cell>
          <cell r="F30">
            <v>6685959</v>
          </cell>
          <cell r="G30">
            <v>6685959</v>
          </cell>
          <cell r="H30">
            <v>0</v>
          </cell>
        </row>
        <row r="31">
          <cell r="A31" t="str">
            <v>FFP</v>
          </cell>
          <cell r="B31" t="str">
            <v>Spec</v>
          </cell>
          <cell r="C31" t="str">
            <v>3774</v>
          </cell>
          <cell r="D31" t="str">
            <v>Liner, Fiberwrap Assy</v>
          </cell>
          <cell r="F31">
            <v>106835</v>
          </cell>
          <cell r="G31">
            <v>106835</v>
          </cell>
          <cell r="H31">
            <v>0</v>
          </cell>
        </row>
        <row r="32">
          <cell r="A32" t="str">
            <v>FFP</v>
          </cell>
          <cell r="B32" t="str">
            <v>Spec</v>
          </cell>
          <cell r="C32" t="str">
            <v>3778</v>
          </cell>
          <cell r="D32" t="str">
            <v>Mannned Space System</v>
          </cell>
          <cell r="F32">
            <v>148000</v>
          </cell>
          <cell r="G32">
            <v>148000</v>
          </cell>
          <cell r="H32">
            <v>0</v>
          </cell>
        </row>
        <row r="33">
          <cell r="A33" t="str">
            <v>FFP</v>
          </cell>
          <cell r="B33" t="str">
            <v>Spec</v>
          </cell>
          <cell r="C33" t="str">
            <v>3781</v>
          </cell>
          <cell r="D33" t="str">
            <v>MSC Phase II Driveshafts</v>
          </cell>
          <cell r="F33">
            <v>124483</v>
          </cell>
          <cell r="G33">
            <v>124483</v>
          </cell>
          <cell r="H33">
            <v>0</v>
          </cell>
        </row>
        <row r="34">
          <cell r="A34" t="str">
            <v>FFP</v>
          </cell>
          <cell r="B34" t="str">
            <v>Space</v>
          </cell>
          <cell r="C34" t="str">
            <v>3784</v>
          </cell>
          <cell r="D34" t="str">
            <v>Radiator Clips</v>
          </cell>
          <cell r="F34">
            <v>272538</v>
          </cell>
          <cell r="G34">
            <v>272538</v>
          </cell>
          <cell r="H34">
            <v>0</v>
          </cell>
        </row>
        <row r="35">
          <cell r="A35" t="str">
            <v>FFP</v>
          </cell>
          <cell r="B35" t="str">
            <v>Space</v>
          </cell>
          <cell r="C35" t="str">
            <v>3789</v>
          </cell>
          <cell r="D35" t="str">
            <v>Astro Tubes</v>
          </cell>
          <cell r="F35">
            <v>494165</v>
          </cell>
          <cell r="G35">
            <v>494165</v>
          </cell>
          <cell r="H35">
            <v>0</v>
          </cell>
        </row>
        <row r="36">
          <cell r="A36" t="str">
            <v>FFP</v>
          </cell>
          <cell r="B36" t="str">
            <v>Space</v>
          </cell>
          <cell r="C36" t="str">
            <v>3791</v>
          </cell>
          <cell r="D36" t="str">
            <v>AREA</v>
          </cell>
          <cell r="F36">
            <v>524730</v>
          </cell>
          <cell r="G36">
            <v>524730</v>
          </cell>
          <cell r="H36">
            <v>0</v>
          </cell>
        </row>
        <row r="37">
          <cell r="A37" t="str">
            <v>FFP</v>
          </cell>
          <cell r="B37" t="str">
            <v>Spec</v>
          </cell>
          <cell r="C37" t="str">
            <v>3792</v>
          </cell>
          <cell r="D37" t="str">
            <v>Torsin Springs Buy 7</v>
          </cell>
          <cell r="F37">
            <v>4634832</v>
          </cell>
          <cell r="G37">
            <v>4634832</v>
          </cell>
          <cell r="H37">
            <v>0</v>
          </cell>
        </row>
        <row r="38">
          <cell r="A38" t="str">
            <v>FFP</v>
          </cell>
          <cell r="B38" t="str">
            <v>Spec</v>
          </cell>
          <cell r="C38" t="str">
            <v>3795</v>
          </cell>
          <cell r="D38" t="str">
            <v>Panels for X-33 Bonding Study</v>
          </cell>
          <cell r="F38">
            <v>101527</v>
          </cell>
          <cell r="G38">
            <v>101527</v>
          </cell>
          <cell r="H38">
            <v>0</v>
          </cell>
        </row>
        <row r="39">
          <cell r="A39" t="str">
            <v>FFP</v>
          </cell>
          <cell r="B39" t="str">
            <v>Spec</v>
          </cell>
          <cell r="C39" t="str">
            <v>3796</v>
          </cell>
          <cell r="D39" t="str">
            <v>C-17 Counterbalance 9-14</v>
          </cell>
          <cell r="F39">
            <v>6623310</v>
          </cell>
          <cell r="G39">
            <v>6623310</v>
          </cell>
          <cell r="H39">
            <v>0</v>
          </cell>
        </row>
        <row r="40">
          <cell r="A40" t="str">
            <v>FFP</v>
          </cell>
          <cell r="B40" t="str">
            <v>Spec</v>
          </cell>
          <cell r="C40" t="str">
            <v>3797</v>
          </cell>
          <cell r="D40" t="str">
            <v>Composite End Enclosures</v>
          </cell>
          <cell r="F40">
            <v>40851</v>
          </cell>
          <cell r="G40">
            <v>40851</v>
          </cell>
          <cell r="H40">
            <v>0</v>
          </cell>
        </row>
        <row r="41">
          <cell r="A41" t="str">
            <v>FFP</v>
          </cell>
          <cell r="B41" t="str">
            <v>Spec</v>
          </cell>
          <cell r="C41" t="str">
            <v>3799</v>
          </cell>
          <cell r="D41" t="str">
            <v>CPS Six Sigma</v>
          </cell>
          <cell r="F41">
            <v>31484</v>
          </cell>
          <cell r="G41">
            <v>31484</v>
          </cell>
          <cell r="H41">
            <v>0</v>
          </cell>
        </row>
        <row r="42">
          <cell r="A42" t="str">
            <v>FFP</v>
          </cell>
          <cell r="B42" t="str">
            <v>Spec</v>
          </cell>
          <cell r="C42" t="str">
            <v>3800</v>
          </cell>
          <cell r="D42" t="str">
            <v>Fiber Steering for Lt Wt Structure</v>
          </cell>
          <cell r="F42">
            <v>45357</v>
          </cell>
          <cell r="G42">
            <v>45357</v>
          </cell>
          <cell r="H42">
            <v>0</v>
          </cell>
        </row>
        <row r="43">
          <cell r="A43" t="str">
            <v>FFP</v>
          </cell>
          <cell r="B43" t="str">
            <v>Space</v>
          </cell>
          <cell r="C43" t="str">
            <v>3801</v>
          </cell>
          <cell r="D43" t="str">
            <v>MAP Spacecraft Components</v>
          </cell>
          <cell r="F43">
            <v>140710</v>
          </cell>
          <cell r="G43">
            <v>140710</v>
          </cell>
          <cell r="H43">
            <v>0</v>
          </cell>
        </row>
        <row r="44">
          <cell r="A44" t="str">
            <v>FFP</v>
          </cell>
          <cell r="B44" t="str">
            <v>Spec</v>
          </cell>
          <cell r="C44" t="str">
            <v>3802</v>
          </cell>
          <cell r="D44" t="str">
            <v>Choke and Kill Design</v>
          </cell>
          <cell r="F44">
            <v>102704</v>
          </cell>
          <cell r="G44">
            <v>102704</v>
          </cell>
          <cell r="H44">
            <v>0</v>
          </cell>
        </row>
        <row r="45">
          <cell r="A45" t="str">
            <v>FFP</v>
          </cell>
          <cell r="B45" t="str">
            <v>Spec</v>
          </cell>
          <cell r="C45" t="str">
            <v>3803</v>
          </cell>
          <cell r="D45" t="str">
            <v>Test Panels</v>
          </cell>
          <cell r="F45">
            <v>20724</v>
          </cell>
          <cell r="G45">
            <v>20724</v>
          </cell>
          <cell r="H45">
            <v>0</v>
          </cell>
        </row>
        <row r="46">
          <cell r="A46" t="str">
            <v>FFP</v>
          </cell>
          <cell r="B46" t="str">
            <v>Spec</v>
          </cell>
          <cell r="C46" t="str">
            <v>3804</v>
          </cell>
          <cell r="D46" t="str">
            <v>Heat Treatment</v>
          </cell>
          <cell r="F46">
            <v>13682</v>
          </cell>
          <cell r="G46">
            <v>13682</v>
          </cell>
          <cell r="H46">
            <v>0</v>
          </cell>
        </row>
        <row r="47">
          <cell r="A47" t="str">
            <v>FFP</v>
          </cell>
          <cell r="B47" t="str">
            <v>Space</v>
          </cell>
          <cell r="C47" t="str">
            <v>3805</v>
          </cell>
          <cell r="D47" t="str">
            <v>TDRS Sub Refector Assembly</v>
          </cell>
          <cell r="F47">
            <v>277347</v>
          </cell>
          <cell r="G47">
            <v>277347</v>
          </cell>
          <cell r="H47">
            <v>0</v>
          </cell>
        </row>
        <row r="48">
          <cell r="A48" t="str">
            <v>FFP</v>
          </cell>
          <cell r="B48" t="str">
            <v>Space</v>
          </cell>
          <cell r="C48" t="str">
            <v>3808</v>
          </cell>
          <cell r="D48" t="str">
            <v>SBIRS Payload Ref Bench</v>
          </cell>
          <cell r="F48">
            <v>278404</v>
          </cell>
          <cell r="G48">
            <v>278404</v>
          </cell>
          <cell r="H48">
            <v>0</v>
          </cell>
        </row>
        <row r="49">
          <cell r="A49" t="str">
            <v>FFP</v>
          </cell>
          <cell r="B49" t="str">
            <v>Space</v>
          </cell>
          <cell r="C49" t="str">
            <v>7001</v>
          </cell>
          <cell r="D49" t="str">
            <v>Graphite Composite Panel</v>
          </cell>
          <cell r="F49">
            <v>23509</v>
          </cell>
          <cell r="G49">
            <v>23509</v>
          </cell>
          <cell r="H49">
            <v>0</v>
          </cell>
        </row>
        <row r="50">
          <cell r="A50" t="str">
            <v>FFP</v>
          </cell>
          <cell r="B50" t="str">
            <v>Space</v>
          </cell>
          <cell r="C50" t="str">
            <v>7002</v>
          </cell>
          <cell r="D50" t="str">
            <v>Optical Bench Assembly</v>
          </cell>
          <cell r="F50">
            <v>25000</v>
          </cell>
          <cell r="G50">
            <v>25000</v>
          </cell>
          <cell r="H50">
            <v>0</v>
          </cell>
        </row>
        <row r="51">
          <cell r="A51" t="str">
            <v>FFP</v>
          </cell>
          <cell r="B51" t="str">
            <v>Space</v>
          </cell>
          <cell r="C51" t="str">
            <v>H001</v>
          </cell>
          <cell r="D51" t="str">
            <v>ASTRA Reflector Assembly</v>
          </cell>
          <cell r="F51">
            <v>299900</v>
          </cell>
          <cell r="G51">
            <v>299900</v>
          </cell>
          <cell r="H51">
            <v>0</v>
          </cell>
        </row>
        <row r="52">
          <cell r="A52" t="str">
            <v>FFP</v>
          </cell>
          <cell r="B52" t="str">
            <v>Space</v>
          </cell>
          <cell r="C52" t="str">
            <v>H002</v>
          </cell>
          <cell r="D52" t="str">
            <v>Center Structure Design &amp; Analysis</v>
          </cell>
          <cell r="F52">
            <v>232171</v>
          </cell>
          <cell r="G52">
            <v>232171</v>
          </cell>
          <cell r="H52">
            <v>0</v>
          </cell>
        </row>
        <row r="53">
          <cell r="A53" t="str">
            <v>FFP</v>
          </cell>
          <cell r="B53" t="str">
            <v>Space</v>
          </cell>
          <cell r="C53" t="str">
            <v>H003</v>
          </cell>
          <cell r="D53" t="str">
            <v>GOES</v>
          </cell>
          <cell r="F53">
            <v>935811</v>
          </cell>
          <cell r="G53">
            <v>935811</v>
          </cell>
          <cell r="H53">
            <v>0</v>
          </cell>
        </row>
        <row r="54">
          <cell r="A54" t="str">
            <v>FFP</v>
          </cell>
          <cell r="B54" t="str">
            <v>Space</v>
          </cell>
          <cell r="C54" t="str">
            <v>H004</v>
          </cell>
          <cell r="D54" t="str">
            <v>Misc. Fixed Priced Orders</v>
          </cell>
          <cell r="F54">
            <v>71995</v>
          </cell>
          <cell r="G54">
            <v>71995</v>
          </cell>
          <cell r="H54">
            <v>0</v>
          </cell>
        </row>
        <row r="55">
          <cell r="A55" t="str">
            <v>FFP</v>
          </cell>
          <cell r="B55" t="str">
            <v>Space</v>
          </cell>
          <cell r="C55" t="str">
            <v>H005</v>
          </cell>
          <cell r="D55" t="str">
            <v>Radiator Panel Repair</v>
          </cell>
          <cell r="F55">
            <v>2813</v>
          </cell>
          <cell r="G55">
            <v>2813</v>
          </cell>
          <cell r="H55">
            <v>0</v>
          </cell>
        </row>
        <row r="56">
          <cell r="A56" t="str">
            <v>FFP</v>
          </cell>
          <cell r="B56" t="str">
            <v>Space</v>
          </cell>
          <cell r="C56" t="str">
            <v>H006</v>
          </cell>
          <cell r="D56" t="str">
            <v>Repair Optical Benches</v>
          </cell>
          <cell r="F56">
            <v>10201</v>
          </cell>
          <cell r="G56">
            <v>10201</v>
          </cell>
          <cell r="H56">
            <v>0</v>
          </cell>
        </row>
        <row r="57">
          <cell r="A57" t="str">
            <v>FFP</v>
          </cell>
          <cell r="B57" t="str">
            <v>Space</v>
          </cell>
          <cell r="C57" t="str">
            <v>H007</v>
          </cell>
          <cell r="D57" t="str">
            <v>SIRTF Assemblies</v>
          </cell>
          <cell r="F57">
            <v>183740</v>
          </cell>
          <cell r="G57">
            <v>183740</v>
          </cell>
          <cell r="H57">
            <v>0</v>
          </cell>
        </row>
        <row r="58">
          <cell r="A58" t="str">
            <v>CPFF</v>
          </cell>
          <cell r="B58" t="str">
            <v>Space</v>
          </cell>
          <cell r="C58" t="str">
            <v>H008</v>
          </cell>
          <cell r="D58" t="str">
            <v>Discoverer II Panel Risk Reduction</v>
          </cell>
          <cell r="F58">
            <v>149036</v>
          </cell>
          <cell r="G58">
            <v>149036</v>
          </cell>
          <cell r="H58">
            <v>0</v>
          </cell>
        </row>
        <row r="59">
          <cell r="A59" t="str">
            <v>FFP</v>
          </cell>
          <cell r="B59" t="str">
            <v>Space</v>
          </cell>
          <cell r="C59" t="str">
            <v>H009</v>
          </cell>
          <cell r="D59" t="str">
            <v>Battery Enclosures</v>
          </cell>
          <cell r="F59">
            <v>90002</v>
          </cell>
          <cell r="G59">
            <v>90002</v>
          </cell>
          <cell r="H59">
            <v>0</v>
          </cell>
        </row>
        <row r="60">
          <cell r="A60" t="str">
            <v>CPFF</v>
          </cell>
          <cell r="B60" t="str">
            <v>Space</v>
          </cell>
          <cell r="C60" t="str">
            <v>H010</v>
          </cell>
          <cell r="D60" t="str">
            <v>SSAM</v>
          </cell>
          <cell r="F60">
            <v>159207</v>
          </cell>
          <cell r="G60">
            <v>159207</v>
          </cell>
          <cell r="H60">
            <v>0</v>
          </cell>
        </row>
        <row r="61">
          <cell r="A61" t="str">
            <v>FFP</v>
          </cell>
          <cell r="B61" t="str">
            <v>Space</v>
          </cell>
          <cell r="C61" t="str">
            <v>H011</v>
          </cell>
          <cell r="D61" t="str">
            <v>AMSD</v>
          </cell>
          <cell r="F61">
            <v>35000</v>
          </cell>
          <cell r="G61">
            <v>35000</v>
          </cell>
          <cell r="H61">
            <v>0</v>
          </cell>
        </row>
        <row r="62">
          <cell r="A62" t="str">
            <v>FFP</v>
          </cell>
          <cell r="B62" t="str">
            <v>Space</v>
          </cell>
          <cell r="C62" t="str">
            <v>H012</v>
          </cell>
          <cell r="D62" t="str">
            <v>COS Bench Refurbishment</v>
          </cell>
          <cell r="F62">
            <v>260926</v>
          </cell>
          <cell r="G62">
            <v>260926</v>
          </cell>
          <cell r="H62">
            <v>0</v>
          </cell>
        </row>
        <row r="63">
          <cell r="A63" t="str">
            <v>FFP</v>
          </cell>
          <cell r="B63" t="str">
            <v>Space</v>
          </cell>
          <cell r="C63" t="str">
            <v>HA01</v>
          </cell>
          <cell r="D63" t="str">
            <v>SSG Flexure Panels</v>
          </cell>
          <cell r="F63">
            <v>8465</v>
          </cell>
          <cell r="G63">
            <v>8465</v>
          </cell>
          <cell r="H63">
            <v>0</v>
          </cell>
        </row>
        <row r="64">
          <cell r="A64" t="str">
            <v>FFP</v>
          </cell>
          <cell r="B64" t="str">
            <v>Space</v>
          </cell>
          <cell r="C64" t="str">
            <v>HA02</v>
          </cell>
          <cell r="D64" t="str">
            <v>TRW Misc. Piece Parts</v>
          </cell>
          <cell r="F64">
            <v>94735</v>
          </cell>
          <cell r="G64">
            <v>94735</v>
          </cell>
          <cell r="H64">
            <v>0</v>
          </cell>
        </row>
        <row r="65">
          <cell r="A65" t="str">
            <v>FFP</v>
          </cell>
          <cell r="B65" t="str">
            <v>Space</v>
          </cell>
          <cell r="C65" t="str">
            <v>HA03</v>
          </cell>
          <cell r="D65" t="str">
            <v>OrbView-4 Program</v>
          </cell>
          <cell r="F65">
            <v>376363</v>
          </cell>
          <cell r="G65">
            <v>376363</v>
          </cell>
          <cell r="H65">
            <v>0</v>
          </cell>
        </row>
        <row r="66">
          <cell r="A66" t="str">
            <v>FFP</v>
          </cell>
          <cell r="B66" t="str">
            <v>Space</v>
          </cell>
          <cell r="C66" t="str">
            <v>HA04</v>
          </cell>
          <cell r="D66" t="str">
            <v>LCI Optical Bench</v>
          </cell>
          <cell r="F66">
            <v>50873</v>
          </cell>
          <cell r="G66">
            <v>50873</v>
          </cell>
          <cell r="H66">
            <v>0</v>
          </cell>
        </row>
        <row r="67">
          <cell r="A67" t="str">
            <v>FFP</v>
          </cell>
          <cell r="B67" t="str">
            <v>Space</v>
          </cell>
          <cell r="C67" t="str">
            <v>HA05</v>
          </cell>
          <cell r="D67" t="str">
            <v>107 Inch Reflectors</v>
          </cell>
          <cell r="F67">
            <v>684000</v>
          </cell>
          <cell r="G67">
            <v>684000</v>
          </cell>
          <cell r="H67">
            <v>0</v>
          </cell>
        </row>
        <row r="68">
          <cell r="A68" t="str">
            <v>FFP</v>
          </cell>
          <cell r="B68" t="str">
            <v>Space</v>
          </cell>
          <cell r="C68" t="str">
            <v>HA06</v>
          </cell>
          <cell r="D68" t="str">
            <v>SPARCLE Program</v>
          </cell>
          <cell r="F68">
            <v>90569</v>
          </cell>
          <cell r="G68">
            <v>90569</v>
          </cell>
          <cell r="H68">
            <v>0</v>
          </cell>
        </row>
        <row r="69">
          <cell r="A69" t="str">
            <v>FFP</v>
          </cell>
          <cell r="B69" t="str">
            <v>Space</v>
          </cell>
          <cell r="C69" t="str">
            <v>HA07</v>
          </cell>
          <cell r="D69" t="str">
            <v>Intermediate Structure</v>
          </cell>
          <cell r="F69">
            <v>38000</v>
          </cell>
          <cell r="G69">
            <v>38000</v>
          </cell>
          <cell r="H69">
            <v>0</v>
          </cell>
        </row>
        <row r="70">
          <cell r="A70" t="str">
            <v>FFP</v>
          </cell>
          <cell r="B70" t="str">
            <v>Space</v>
          </cell>
          <cell r="C70" t="str">
            <v>HA08</v>
          </cell>
          <cell r="D70" t="str">
            <v>DGS Reflectors</v>
          </cell>
          <cell r="F70">
            <v>1996928</v>
          </cell>
          <cell r="G70">
            <v>2056928</v>
          </cell>
          <cell r="H70">
            <v>60000</v>
          </cell>
        </row>
        <row r="71">
          <cell r="A71" t="str">
            <v>FFP</v>
          </cell>
          <cell r="B71" t="str">
            <v>Space</v>
          </cell>
          <cell r="C71" t="str">
            <v>HA09</v>
          </cell>
          <cell r="D71" t="str">
            <v>702 UAS</v>
          </cell>
          <cell r="F71">
            <v>584000</v>
          </cell>
          <cell r="G71">
            <v>584000</v>
          </cell>
          <cell r="H71">
            <v>0</v>
          </cell>
        </row>
        <row r="72">
          <cell r="A72" t="str">
            <v>FFP</v>
          </cell>
          <cell r="B72" t="str">
            <v>Space</v>
          </cell>
          <cell r="C72" t="str">
            <v>HA10</v>
          </cell>
          <cell r="D72" t="str">
            <v>DGS 12 Week Flow Study</v>
          </cell>
          <cell r="F72">
            <v>2800</v>
          </cell>
          <cell r="G72">
            <v>2800</v>
          </cell>
          <cell r="H72">
            <v>0</v>
          </cell>
        </row>
        <row r="73">
          <cell r="A73" t="str">
            <v>FFP</v>
          </cell>
          <cell r="B73" t="str">
            <v>Space</v>
          </cell>
          <cell r="C73" t="str">
            <v>HA11</v>
          </cell>
          <cell r="D73" t="str">
            <v>Security Support</v>
          </cell>
          <cell r="F73">
            <v>28800</v>
          </cell>
          <cell r="G73">
            <v>28800</v>
          </cell>
          <cell r="H73">
            <v>0</v>
          </cell>
        </row>
        <row r="74">
          <cell r="A74" t="str">
            <v>FFP</v>
          </cell>
          <cell r="B74" t="str">
            <v>Space</v>
          </cell>
          <cell r="C74" t="str">
            <v>HA12</v>
          </cell>
          <cell r="D74" t="str">
            <v>ACeS</v>
          </cell>
          <cell r="F74">
            <v>737441</v>
          </cell>
          <cell r="G74">
            <v>737441</v>
          </cell>
          <cell r="H74">
            <v>0</v>
          </cell>
        </row>
        <row r="75">
          <cell r="A75" t="str">
            <v>FFP</v>
          </cell>
          <cell r="B75" t="str">
            <v>Space</v>
          </cell>
          <cell r="C75" t="str">
            <v>HC01</v>
          </cell>
          <cell r="D75" t="str">
            <v>P123 Tooling Storage</v>
          </cell>
          <cell r="F75">
            <v>2500</v>
          </cell>
          <cell r="G75">
            <v>2500</v>
          </cell>
          <cell r="H75">
            <v>0</v>
          </cell>
        </row>
        <row r="76">
          <cell r="A76" t="str">
            <v>FFP</v>
          </cell>
          <cell r="B76" t="str">
            <v>Space</v>
          </cell>
          <cell r="C76" t="str">
            <v>HC02</v>
          </cell>
          <cell r="D76" t="str">
            <v>Engineering Evaluation</v>
          </cell>
          <cell r="F76">
            <v>5105</v>
          </cell>
          <cell r="G76">
            <v>5105</v>
          </cell>
          <cell r="H76">
            <v>0</v>
          </cell>
        </row>
        <row r="77">
          <cell r="A77" t="str">
            <v>FFP</v>
          </cell>
          <cell r="B77" t="str">
            <v>Space</v>
          </cell>
          <cell r="C77" t="str">
            <v>HC03</v>
          </cell>
          <cell r="D77" t="str">
            <v>P123 Component Repair</v>
          </cell>
          <cell r="F77">
            <v>397462</v>
          </cell>
          <cell r="G77">
            <v>397462</v>
          </cell>
          <cell r="H77">
            <v>0</v>
          </cell>
        </row>
        <row r="78">
          <cell r="A78" t="str">
            <v>CPIF</v>
          </cell>
          <cell r="B78" t="str">
            <v>Space</v>
          </cell>
          <cell r="C78" t="str">
            <v>HC04</v>
          </cell>
          <cell r="D78" t="str">
            <v>850 Program</v>
          </cell>
          <cell r="F78">
            <v>3886210</v>
          </cell>
          <cell r="G78">
            <v>3886210</v>
          </cell>
          <cell r="H78">
            <v>0</v>
          </cell>
        </row>
        <row r="79">
          <cell r="A79" t="str">
            <v>FFP</v>
          </cell>
          <cell r="B79" t="str">
            <v>Space</v>
          </cell>
          <cell r="C79" t="str">
            <v>HC05</v>
          </cell>
          <cell r="D79" t="str">
            <v>750 Tooling Storage</v>
          </cell>
          <cell r="F79">
            <v>6061</v>
          </cell>
          <cell r="G79">
            <v>6061</v>
          </cell>
          <cell r="H79">
            <v>0</v>
          </cell>
        </row>
        <row r="80">
          <cell r="A80" t="str">
            <v>FFP</v>
          </cell>
          <cell r="B80" t="str">
            <v>Space</v>
          </cell>
          <cell r="C80" t="str">
            <v>HC06</v>
          </cell>
          <cell r="D80" t="str">
            <v>P123 SPARES</v>
          </cell>
          <cell r="F80">
            <v>172139</v>
          </cell>
          <cell r="G80">
            <v>172139</v>
          </cell>
          <cell r="H80">
            <v>0</v>
          </cell>
        </row>
        <row r="81">
          <cell r="A81" t="str">
            <v>FFP</v>
          </cell>
          <cell r="B81" t="str">
            <v>Spec</v>
          </cell>
          <cell r="C81" t="str">
            <v>S003</v>
          </cell>
          <cell r="D81" t="str">
            <v>DARPA Fiber Placement</v>
          </cell>
          <cell r="F81">
            <v>82950</v>
          </cell>
          <cell r="G81">
            <v>82950</v>
          </cell>
          <cell r="H81">
            <v>0</v>
          </cell>
        </row>
        <row r="82">
          <cell r="A82" t="str">
            <v>FFP</v>
          </cell>
          <cell r="B82" t="str">
            <v>Spec</v>
          </cell>
          <cell r="C82" t="str">
            <v>S004</v>
          </cell>
          <cell r="D82" t="str">
            <v>JSF AAD Eng Design</v>
          </cell>
          <cell r="F82">
            <v>900269</v>
          </cell>
          <cell r="G82">
            <v>900269</v>
          </cell>
          <cell r="H82">
            <v>0</v>
          </cell>
        </row>
        <row r="83">
          <cell r="A83" t="str">
            <v>FFP</v>
          </cell>
          <cell r="B83" t="str">
            <v>Spec</v>
          </cell>
          <cell r="C83" t="str">
            <v>S005</v>
          </cell>
          <cell r="D83" t="str">
            <v>CAI Boeing</v>
          </cell>
          <cell r="F83">
            <v>253452</v>
          </cell>
          <cell r="G83">
            <v>253452</v>
          </cell>
          <cell r="H83">
            <v>0</v>
          </cell>
        </row>
        <row r="84">
          <cell r="A84" t="str">
            <v>FFP</v>
          </cell>
          <cell r="B84" t="str">
            <v>Spec</v>
          </cell>
          <cell r="C84" t="str">
            <v>S006</v>
          </cell>
          <cell r="D84" t="str">
            <v>CAI Lockheed Martin</v>
          </cell>
          <cell r="F84">
            <v>151424</v>
          </cell>
          <cell r="G84">
            <v>151424</v>
          </cell>
          <cell r="H84">
            <v>0</v>
          </cell>
        </row>
        <row r="85">
          <cell r="A85" t="str">
            <v>FFP</v>
          </cell>
          <cell r="B85" t="str">
            <v>Spec</v>
          </cell>
          <cell r="C85" t="str">
            <v>S007</v>
          </cell>
          <cell r="D85" t="str">
            <v>MK125 Empty Warhead Assbly</v>
          </cell>
          <cell r="F85">
            <v>1902943</v>
          </cell>
          <cell r="G85">
            <v>1902943</v>
          </cell>
          <cell r="H85">
            <v>0</v>
          </cell>
        </row>
        <row r="86">
          <cell r="A86" t="str">
            <v>CPFF</v>
          </cell>
          <cell r="B86" t="str">
            <v>Spec</v>
          </cell>
          <cell r="C86" t="str">
            <v>S008</v>
          </cell>
          <cell r="D86" t="str">
            <v>Pivot Shaft Problem Report</v>
          </cell>
          <cell r="F86">
            <v>46526</v>
          </cell>
          <cell r="G86">
            <v>46526</v>
          </cell>
          <cell r="H86">
            <v>0</v>
          </cell>
        </row>
        <row r="87">
          <cell r="A87" t="str">
            <v>FFP</v>
          </cell>
          <cell r="B87" t="str">
            <v>Spec</v>
          </cell>
          <cell r="C87" t="str">
            <v>S009</v>
          </cell>
          <cell r="D87" t="str">
            <v>RLV-Cargo Container Study</v>
          </cell>
          <cell r="F87">
            <v>10262</v>
          </cell>
          <cell r="G87">
            <v>10262</v>
          </cell>
          <cell r="H87">
            <v>0</v>
          </cell>
        </row>
        <row r="88">
          <cell r="A88" t="str">
            <v>FFP</v>
          </cell>
          <cell r="B88" t="str">
            <v>Spec</v>
          </cell>
          <cell r="C88" t="str">
            <v>S010</v>
          </cell>
          <cell r="D88" t="str">
            <v>Two Fiber Wrapped Liners</v>
          </cell>
          <cell r="F88">
            <v>38024</v>
          </cell>
          <cell r="G88">
            <v>38024</v>
          </cell>
          <cell r="H88">
            <v>0</v>
          </cell>
        </row>
        <row r="89">
          <cell r="A89" t="str">
            <v>FFP</v>
          </cell>
          <cell r="B89" t="str">
            <v>Spec</v>
          </cell>
          <cell r="C89" t="str">
            <v>S011</v>
          </cell>
          <cell r="D89" t="str">
            <v>Rotary Wing Tech Development</v>
          </cell>
          <cell r="F89">
            <v>173333</v>
          </cell>
          <cell r="G89">
            <v>173333</v>
          </cell>
          <cell r="H89">
            <v>0</v>
          </cell>
        </row>
        <row r="90">
          <cell r="A90" t="str">
            <v>FFP</v>
          </cell>
          <cell r="B90" t="str">
            <v>Spec</v>
          </cell>
          <cell r="C90" t="str">
            <v>S012</v>
          </cell>
          <cell r="D90" t="str">
            <v>Fiiber Placed Hover Shroud</v>
          </cell>
          <cell r="F90">
            <v>21819</v>
          </cell>
          <cell r="G90">
            <v>21819</v>
          </cell>
          <cell r="H90">
            <v>0</v>
          </cell>
        </row>
        <row r="91">
          <cell r="A91" t="str">
            <v>RISK</v>
          </cell>
          <cell r="B91" t="str">
            <v>Spec</v>
          </cell>
          <cell r="C91" t="str">
            <v>S013</v>
          </cell>
          <cell r="D91" t="str">
            <v>FPM 6 Upgrade</v>
          </cell>
          <cell r="F91">
            <v>364000</v>
          </cell>
          <cell r="G91">
            <v>364000</v>
          </cell>
          <cell r="H91">
            <v>0</v>
          </cell>
        </row>
        <row r="92">
          <cell r="A92" t="str">
            <v>RISK</v>
          </cell>
          <cell r="B92" t="str">
            <v>Spec</v>
          </cell>
          <cell r="C92" t="str">
            <v>S014</v>
          </cell>
          <cell r="D92" t="str">
            <v>FPM 6 Relocation</v>
          </cell>
          <cell r="F92">
            <v>498500</v>
          </cell>
          <cell r="G92">
            <v>498500</v>
          </cell>
          <cell r="H92">
            <v>0</v>
          </cell>
        </row>
        <row r="93">
          <cell r="A93" t="str">
            <v>FFP</v>
          </cell>
          <cell r="B93" t="str">
            <v>Spec</v>
          </cell>
          <cell r="C93" t="str">
            <v>S015</v>
          </cell>
          <cell r="D93" t="str">
            <v>SBIR Isogrid Support Str Design</v>
          </cell>
          <cell r="F93">
            <v>15354</v>
          </cell>
          <cell r="G93">
            <v>15354</v>
          </cell>
          <cell r="H93">
            <v>0</v>
          </cell>
        </row>
        <row r="94">
          <cell r="A94" t="str">
            <v>FFP</v>
          </cell>
          <cell r="B94" t="str">
            <v>Spec</v>
          </cell>
          <cell r="C94" t="str">
            <v>S016</v>
          </cell>
          <cell r="D94" t="str">
            <v>ARIANE 5 ESC-ISS</v>
          </cell>
          <cell r="F94">
            <v>1800000</v>
          </cell>
          <cell r="G94">
            <v>1800000</v>
          </cell>
          <cell r="H94">
            <v>0</v>
          </cell>
        </row>
        <row r="95">
          <cell r="A95" t="str">
            <v>FFP</v>
          </cell>
          <cell r="B95" t="str">
            <v>Spec</v>
          </cell>
          <cell r="C95" t="str">
            <v>SA02</v>
          </cell>
          <cell r="D95" t="str">
            <v>Heat Treatment</v>
          </cell>
          <cell r="F95">
            <v>13500</v>
          </cell>
          <cell r="G95">
            <v>13500</v>
          </cell>
          <cell r="H95">
            <v>0</v>
          </cell>
        </row>
        <row r="96">
          <cell r="A96" t="str">
            <v>FFP</v>
          </cell>
          <cell r="B96" t="str">
            <v>Spec</v>
          </cell>
          <cell r="C96" t="str">
            <v>SA03</v>
          </cell>
          <cell r="D96" t="str">
            <v>HEXCEL Test Panels</v>
          </cell>
          <cell r="F96">
            <v>34056</v>
          </cell>
          <cell r="G96">
            <v>34056</v>
          </cell>
          <cell r="H96">
            <v>0</v>
          </cell>
        </row>
        <row r="97">
          <cell r="A97" t="str">
            <v>FFP</v>
          </cell>
          <cell r="B97" t="str">
            <v>Spec</v>
          </cell>
          <cell r="C97" t="str">
            <v>SA04</v>
          </cell>
          <cell r="D97" t="str">
            <v>Delta 4 Composite Structures</v>
          </cell>
          <cell r="F97">
            <v>341828000</v>
          </cell>
          <cell r="G97">
            <v>341828000</v>
          </cell>
          <cell r="H97">
            <v>0</v>
          </cell>
        </row>
        <row r="98">
          <cell r="A98" t="str">
            <v>FFP</v>
          </cell>
          <cell r="B98" t="str">
            <v>Spec</v>
          </cell>
          <cell r="C98" t="str">
            <v>SA05</v>
          </cell>
          <cell r="D98" t="str">
            <v>Bell 609 Fuselage Skins</v>
          </cell>
          <cell r="F98">
            <v>4018915</v>
          </cell>
          <cell r="G98">
            <v>4296138</v>
          </cell>
          <cell r="H98">
            <v>277223</v>
          </cell>
        </row>
        <row r="99">
          <cell r="A99" t="str">
            <v>FFP</v>
          </cell>
          <cell r="B99" t="str">
            <v>Spec</v>
          </cell>
          <cell r="C99" t="str">
            <v>SA06</v>
          </cell>
          <cell r="D99" t="str">
            <v>Iuka Start up Costs</v>
          </cell>
          <cell r="F99">
            <v>0</v>
          </cell>
          <cell r="G99">
            <v>0</v>
          </cell>
          <cell r="H99">
            <v>0</v>
          </cell>
        </row>
        <row r="100">
          <cell r="A100" t="str">
            <v>FFP</v>
          </cell>
          <cell r="B100" t="str">
            <v>Spec</v>
          </cell>
          <cell r="C100" t="str">
            <v>SA07</v>
          </cell>
          <cell r="D100" t="str">
            <v>Purchase R-Size Fiber</v>
          </cell>
          <cell r="F100">
            <v>13992</v>
          </cell>
          <cell r="G100">
            <v>13992</v>
          </cell>
          <cell r="H100">
            <v>0</v>
          </cell>
        </row>
        <row r="101">
          <cell r="A101" t="str">
            <v>FFP</v>
          </cell>
          <cell r="B101" t="str">
            <v>Spec</v>
          </cell>
          <cell r="C101" t="str">
            <v>SA08</v>
          </cell>
          <cell r="D101" t="str">
            <v>Atlas V Composite Structures</v>
          </cell>
          <cell r="F101">
            <v>11820183</v>
          </cell>
          <cell r="G101">
            <v>11820183</v>
          </cell>
          <cell r="H101">
            <v>0</v>
          </cell>
        </row>
        <row r="102">
          <cell r="A102" t="str">
            <v>FFP</v>
          </cell>
          <cell r="B102" t="str">
            <v>Spec</v>
          </cell>
          <cell r="C102" t="str">
            <v>SA09</v>
          </cell>
          <cell r="D102" t="str">
            <v>ATLAS V ACOUSTIC TEST PANELS</v>
          </cell>
          <cell r="F102">
            <v>65929</v>
          </cell>
          <cell r="G102">
            <v>65929</v>
          </cell>
          <cell r="H102">
            <v>0</v>
          </cell>
        </row>
        <row r="103">
          <cell r="A103" t="str">
            <v>FFP</v>
          </cell>
          <cell r="B103" t="str">
            <v>Spec</v>
          </cell>
          <cell r="C103" t="str">
            <v>9365</v>
          </cell>
          <cell r="D103" t="str">
            <v>X-ROD</v>
          </cell>
          <cell r="F103">
            <v>368833</v>
          </cell>
          <cell r="G103">
            <v>368833</v>
          </cell>
          <cell r="H103">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CFORMAT"/>
      <sheetName val="MfgPresent"/>
    </sheetNames>
    <sheetDataSet>
      <sheetData sheetId="0" refreshError="1">
        <row r="7">
          <cell r="G7">
            <v>1</v>
          </cell>
          <cell r="L7">
            <v>99.484315641933776</v>
          </cell>
          <cell r="N7">
            <v>188.670102405666</v>
          </cell>
        </row>
        <row r="8">
          <cell r="F8">
            <v>17.7</v>
          </cell>
          <cell r="G8">
            <v>810</v>
          </cell>
          <cell r="H8">
            <v>6.6970342476664841</v>
          </cell>
          <cell r="J8">
            <v>2.8735646395797834</v>
          </cell>
          <cell r="L8">
            <v>17.46152693657999</v>
          </cell>
          <cell r="N8">
            <v>21.541902675002412</v>
          </cell>
        </row>
        <row r="9">
          <cell r="F9">
            <v>13</v>
          </cell>
          <cell r="G9">
            <v>3429</v>
          </cell>
          <cell r="H9">
            <v>8.1400239524629203</v>
          </cell>
          <cell r="J9">
            <v>2.5649493574615367</v>
          </cell>
          <cell r="L9">
            <v>11.941264417849103</v>
          </cell>
          <cell r="N9">
            <v>19.491919596031121</v>
          </cell>
        </row>
        <row r="10">
          <cell r="F10">
            <v>9.4</v>
          </cell>
          <cell r="G10">
            <v>6631</v>
          </cell>
          <cell r="H10">
            <v>8.7995109013688673</v>
          </cell>
          <cell r="J10">
            <v>2.2407096892759584</v>
          </cell>
          <cell r="L10">
            <v>10.074424655013587</v>
          </cell>
          <cell r="N10">
            <v>15.180322244953899</v>
          </cell>
        </row>
        <row r="11">
          <cell r="F11">
            <v>7.9</v>
          </cell>
          <cell r="G11">
            <v>11777</v>
          </cell>
          <cell r="H11">
            <v>9.3739037558415479</v>
          </cell>
          <cell r="J11">
            <v>2.066862759472976</v>
          </cell>
          <cell r="L11">
            <v>8.6711376584634561</v>
          </cell>
          <cell r="N11">
            <v>14.013203607733615</v>
          </cell>
        </row>
        <row r="12">
          <cell r="F12">
            <v>6.8</v>
          </cell>
          <cell r="G12">
            <v>16129</v>
          </cell>
          <cell r="H12">
            <v>9.6883741729171824</v>
          </cell>
          <cell r="J12">
            <v>1.9169226121820611</v>
          </cell>
          <cell r="L12">
            <v>8.0044689142963534</v>
          </cell>
          <cell r="N12">
            <v>14.731675920442569</v>
          </cell>
        </row>
        <row r="13">
          <cell r="F13">
            <v>8.1</v>
          </cell>
          <cell r="G13">
            <v>19213</v>
          </cell>
          <cell r="H13">
            <v>9.8633424122317006</v>
          </cell>
          <cell r="J13">
            <v>2.0918640616783932</v>
          </cell>
          <cell r="L13">
            <v>7.690609198878998</v>
          </cell>
          <cell r="N13">
            <v>14.731675920442569</v>
          </cell>
        </row>
        <row r="14">
          <cell r="F14">
            <v>8.1</v>
          </cell>
          <cell r="G14">
            <v>21347</v>
          </cell>
          <cell r="H14">
            <v>9.9686664935611002</v>
          </cell>
          <cell r="J14">
            <v>2.0918640616783932</v>
          </cell>
          <cell r="L14">
            <v>7.4633173473191929</v>
          </cell>
          <cell r="N14">
            <v>16.776850672139872</v>
          </cell>
        </row>
        <row r="15">
          <cell r="F15">
            <v>8.0199999999999978</v>
          </cell>
          <cell r="G15">
            <v>22799</v>
          </cell>
          <cell r="H15">
            <v>10.034471954331547</v>
          </cell>
          <cell r="J15">
            <v>2.0819384218784229</v>
          </cell>
          <cell r="L15">
            <v>7.3155337623095669</v>
          </cell>
          <cell r="N15">
            <v>16.119020948027543</v>
          </cell>
        </row>
        <row r="16">
          <cell r="F16">
            <v>7.01</v>
          </cell>
          <cell r="G16">
            <v>24773</v>
          </cell>
          <cell r="H16">
            <v>10.117509629400777</v>
          </cell>
          <cell r="J16">
            <v>1.9473377010464987</v>
          </cell>
          <cell r="L16">
            <v>7.1706764883466132</v>
          </cell>
          <cell r="N16">
            <v>14.879731724872837</v>
          </cell>
        </row>
        <row r="17">
          <cell r="F17">
            <v>7</v>
          </cell>
          <cell r="G17">
            <v>26964</v>
          </cell>
          <cell r="L17">
            <v>7.0286875805892928</v>
          </cell>
          <cell r="N17">
            <v>15.180322244953899</v>
          </cell>
        </row>
        <row r="18">
          <cell r="G18" t="e">
            <v>#DIV/0!</v>
          </cell>
          <cell r="L18" t="e">
            <v>#DIV/0!</v>
          </cell>
          <cell r="N18" t="e">
            <v>#DIV/0!</v>
          </cell>
        </row>
        <row r="19">
          <cell r="G19" t="e">
            <v>#DIV/0!</v>
          </cell>
          <cell r="L19" t="e">
            <v>#DIV/0!</v>
          </cell>
          <cell r="N19" t="e">
            <v>#DIV/0!</v>
          </cell>
        </row>
        <row r="20">
          <cell r="G20" t="e">
            <v>#DIV/0!</v>
          </cell>
          <cell r="L20" t="e">
            <v>#DIV/0!</v>
          </cell>
          <cell r="N20" t="e">
            <v>#DIV/0!</v>
          </cell>
        </row>
        <row r="21">
          <cell r="G21" t="e">
            <v>#DIV/0!</v>
          </cell>
          <cell r="L21" t="e">
            <v>#DIV/0!</v>
          </cell>
          <cell r="N21" t="e">
            <v>#DIV/0!</v>
          </cell>
        </row>
        <row r="22">
          <cell r="G22" t="e">
            <v>#DIV/0!</v>
          </cell>
          <cell r="L22" t="e">
            <v>#DIV/0!</v>
          </cell>
          <cell r="N22" t="e">
            <v>#DIV/0!</v>
          </cell>
        </row>
        <row r="23">
          <cell r="G23" t="e">
            <v>#DIV/0!</v>
          </cell>
          <cell r="L23" t="e">
            <v>#DIV/0!</v>
          </cell>
          <cell r="N23" t="e">
            <v>#DIV/0!</v>
          </cell>
        </row>
        <row r="24">
          <cell r="G24" t="e">
            <v>#DIV/0!</v>
          </cell>
          <cell r="L24" t="e">
            <v>#DIV/0!</v>
          </cell>
          <cell r="N24" t="e">
            <v>#DIV/0!</v>
          </cell>
        </row>
        <row r="25">
          <cell r="G25" t="e">
            <v>#DIV/0!</v>
          </cell>
          <cell r="L25" t="e">
            <v>#DIV/0!</v>
          </cell>
          <cell r="N25" t="e">
            <v>#DIV/0!</v>
          </cell>
        </row>
        <row r="26">
          <cell r="G26" t="e">
            <v>#DIV/0!</v>
          </cell>
          <cell r="L26" t="e">
            <v>#DIV/0!</v>
          </cell>
          <cell r="N26" t="e">
            <v>#DIV/0!</v>
          </cell>
        </row>
        <row r="27">
          <cell r="G27" t="e">
            <v>#DIV/0!</v>
          </cell>
          <cell r="L27" t="e">
            <v>#DIV/0!</v>
          </cell>
          <cell r="N27" t="e">
            <v>#DIV/0!</v>
          </cell>
        </row>
        <row r="28">
          <cell r="G28" t="e">
            <v>#DIV/0!</v>
          </cell>
          <cell r="L28" t="e">
            <v>#DIV/0!</v>
          </cell>
          <cell r="N28" t="e">
            <v>#DIV/0!</v>
          </cell>
        </row>
        <row r="29">
          <cell r="G29" t="e">
            <v>#DIV/0!</v>
          </cell>
          <cell r="L29" t="e">
            <v>#DIV/0!</v>
          </cell>
          <cell r="N29" t="e">
            <v>#DIV/0!</v>
          </cell>
        </row>
        <row r="30">
          <cell r="G30" t="e">
            <v>#DIV/0!</v>
          </cell>
          <cell r="L30" t="e">
            <v>#DIV/0!</v>
          </cell>
          <cell r="N30" t="e">
            <v>#DIV/0!</v>
          </cell>
        </row>
        <row r="31">
          <cell r="G31" t="e">
            <v>#DIV/0!</v>
          </cell>
          <cell r="L31" t="e">
            <v>#DIV/0!</v>
          </cell>
          <cell r="N31" t="e">
            <v>#DIV/0!</v>
          </cell>
        </row>
        <row r="32">
          <cell r="G32" t="e">
            <v>#DIV/0!</v>
          </cell>
          <cell r="L32" t="e">
            <v>#DIV/0!</v>
          </cell>
          <cell r="N32" t="e">
            <v>#DIV/0!</v>
          </cell>
        </row>
        <row r="33">
          <cell r="G33" t="e">
            <v>#DIV/0!</v>
          </cell>
          <cell r="L33" t="e">
            <v>#DIV/0!</v>
          </cell>
          <cell r="N33" t="e">
            <v>#DIV/0!</v>
          </cell>
        </row>
        <row r="34">
          <cell r="G34" t="e">
            <v>#DIV/0!</v>
          </cell>
          <cell r="L34" t="e">
            <v>#DIV/0!</v>
          </cell>
          <cell r="N34" t="e">
            <v>#DIV/0!</v>
          </cell>
        </row>
        <row r="35">
          <cell r="G35" t="e">
            <v>#DIV/0!</v>
          </cell>
          <cell r="L35" t="e">
            <v>#DIV/0!</v>
          </cell>
          <cell r="N35" t="e">
            <v>#DIV/0!</v>
          </cell>
        </row>
        <row r="36">
          <cell r="G36" t="e">
            <v>#DIV/0!</v>
          </cell>
          <cell r="L36" t="e">
            <v>#DIV/0!</v>
          </cell>
          <cell r="N36" t="e">
            <v>#DIV/0!</v>
          </cell>
        </row>
        <row r="37">
          <cell r="G37" t="e">
            <v>#DIV/0!</v>
          </cell>
          <cell r="L37" t="e">
            <v>#DIV/0!</v>
          </cell>
          <cell r="N37" t="e">
            <v>#DIV/0!</v>
          </cell>
        </row>
        <row r="38">
          <cell r="G38" t="e">
            <v>#DIV/0!</v>
          </cell>
          <cell r="L38" t="e">
            <v>#DIV/0!</v>
          </cell>
          <cell r="N38" t="e">
            <v>#DIV/0!</v>
          </cell>
        </row>
        <row r="39">
          <cell r="G39" t="e">
            <v>#DIV/0!</v>
          </cell>
          <cell r="L39" t="e">
            <v>#DIV/0!</v>
          </cell>
          <cell r="N39" t="e">
            <v>#DIV/0!</v>
          </cell>
        </row>
        <row r="40">
          <cell r="G40" t="e">
            <v>#DIV/0!</v>
          </cell>
          <cell r="L40" t="e">
            <v>#DIV/0!</v>
          </cell>
          <cell r="N40" t="e">
            <v>#DIV/0!</v>
          </cell>
        </row>
        <row r="41">
          <cell r="G41" t="e">
            <v>#DIV/0!</v>
          </cell>
          <cell r="L41" t="e">
            <v>#DIV/0!</v>
          </cell>
          <cell r="N41" t="e">
            <v>#DIV/0!</v>
          </cell>
        </row>
        <row r="42">
          <cell r="G42" t="e">
            <v>#DIV/0!</v>
          </cell>
          <cell r="L42" t="e">
            <v>#DIV/0!</v>
          </cell>
          <cell r="N42" t="e">
            <v>#DIV/0!</v>
          </cell>
        </row>
        <row r="43">
          <cell r="G43" t="e">
            <v>#DIV/0!</v>
          </cell>
          <cell r="L43" t="e">
            <v>#DIV/0!</v>
          </cell>
          <cell r="N43" t="e">
            <v>#DIV/0!</v>
          </cell>
        </row>
        <row r="44">
          <cell r="G44" t="e">
            <v>#DIV/0!</v>
          </cell>
          <cell r="L44" t="e">
            <v>#DIV/0!</v>
          </cell>
          <cell r="N44" t="e">
            <v>#DIV/0!</v>
          </cell>
        </row>
        <row r="45">
          <cell r="G45" t="e">
            <v>#DIV/0!</v>
          </cell>
          <cell r="L45" t="e">
            <v>#DIV/0!</v>
          </cell>
          <cell r="N45" t="e">
            <v>#DIV/0!</v>
          </cell>
        </row>
        <row r="46">
          <cell r="G46" t="e">
            <v>#DIV/0!</v>
          </cell>
          <cell r="L46" t="e">
            <v>#DIV/0!</v>
          </cell>
          <cell r="N46" t="e">
            <v>#DIV/0!</v>
          </cell>
        </row>
        <row r="47">
          <cell r="G47" t="e">
            <v>#DIV/0!</v>
          </cell>
          <cell r="L47" t="e">
            <v>#DIV/0!</v>
          </cell>
          <cell r="N47" t="e">
            <v>#DIV/0!</v>
          </cell>
        </row>
        <row r="48">
          <cell r="G48" t="e">
            <v>#DIV/0!</v>
          </cell>
          <cell r="L48" t="e">
            <v>#DIV/0!</v>
          </cell>
          <cell r="N48" t="e">
            <v>#DIV/0!</v>
          </cell>
        </row>
        <row r="49">
          <cell r="G49" t="e">
            <v>#DIV/0!</v>
          </cell>
          <cell r="L49" t="e">
            <v>#DIV/0!</v>
          </cell>
          <cell r="N49" t="e">
            <v>#DIV/0!</v>
          </cell>
        </row>
        <row r="50">
          <cell r="G50" t="e">
            <v>#DIV/0!</v>
          </cell>
          <cell r="L50" t="e">
            <v>#DIV/0!</v>
          </cell>
          <cell r="N50" t="e">
            <v>#DIV/0!</v>
          </cell>
        </row>
        <row r="51">
          <cell r="G51" t="e">
            <v>#DIV/0!</v>
          </cell>
          <cell r="L51" t="e">
            <v>#DIV/0!</v>
          </cell>
          <cell r="N51" t="e">
            <v>#DIV/0!</v>
          </cell>
        </row>
        <row r="52">
          <cell r="G52" t="e">
            <v>#DIV/0!</v>
          </cell>
          <cell r="L52" t="e">
            <v>#DIV/0!</v>
          </cell>
          <cell r="N52" t="e">
            <v>#DIV/0!</v>
          </cell>
        </row>
        <row r="53">
          <cell r="G53" t="e">
            <v>#DIV/0!</v>
          </cell>
          <cell r="L53" t="e">
            <v>#DIV/0!</v>
          </cell>
          <cell r="N53" t="e">
            <v>#DIV/0!</v>
          </cell>
        </row>
        <row r="54">
          <cell r="G54" t="e">
            <v>#DIV/0!</v>
          </cell>
          <cell r="L54" t="e">
            <v>#DIV/0!</v>
          </cell>
          <cell r="N54" t="e">
            <v>#DIV/0!</v>
          </cell>
        </row>
        <row r="55">
          <cell r="G55" t="e">
            <v>#DIV/0!</v>
          </cell>
          <cell r="L55" t="e">
            <v>#DIV/0!</v>
          </cell>
          <cell r="N55" t="e">
            <v>#DIV/0!</v>
          </cell>
        </row>
        <row r="56">
          <cell r="G56" t="e">
            <v>#DIV/0!</v>
          </cell>
          <cell r="L56" t="e">
            <v>#DIV/0!</v>
          </cell>
          <cell r="N56" t="e">
            <v>#DIV/0!</v>
          </cell>
        </row>
        <row r="57">
          <cell r="G57" t="e">
            <v>#DIV/0!</v>
          </cell>
          <cell r="L57" t="e">
            <v>#DIV/0!</v>
          </cell>
          <cell r="N57" t="e">
            <v>#DIV/0!</v>
          </cell>
        </row>
        <row r="58">
          <cell r="G58" t="e">
            <v>#DIV/0!</v>
          </cell>
          <cell r="L58" t="e">
            <v>#DIV/0!</v>
          </cell>
          <cell r="N58" t="e">
            <v>#DIV/0!</v>
          </cell>
        </row>
        <row r="59">
          <cell r="G59" t="e">
            <v>#DIV/0!</v>
          </cell>
          <cell r="L59" t="e">
            <v>#DIV/0!</v>
          </cell>
          <cell r="N59" t="e">
            <v>#DIV/0!</v>
          </cell>
        </row>
        <row r="60">
          <cell r="G60" t="e">
            <v>#DIV/0!</v>
          </cell>
          <cell r="L60" t="e">
            <v>#DIV/0!</v>
          </cell>
          <cell r="N60" t="e">
            <v>#DIV/0!</v>
          </cell>
        </row>
        <row r="61">
          <cell r="G61" t="e">
            <v>#DIV/0!</v>
          </cell>
        </row>
        <row r="62">
          <cell r="G62" t="e">
            <v>#DIV/0!</v>
          </cell>
        </row>
        <row r="63">
          <cell r="G63" t="e">
            <v>#DIV/0!</v>
          </cell>
        </row>
        <row r="64">
          <cell r="G64" t="e">
            <v>#DIV/0!</v>
          </cell>
        </row>
        <row r="65">
          <cell r="G65" t="e">
            <v>#DIV/0!</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Debt Covenants"/>
      <sheetName val="Debt Graphs"/>
      <sheetName val="Project CF"/>
      <sheetName val="Koch CF"/>
      <sheetName val="Taxes"/>
      <sheetName val="Tax Example"/>
      <sheetName val="Post_Constr. i"/>
      <sheetName val="Oper. Inputs"/>
      <sheetName val="Fin. Inputs"/>
      <sheetName val="Capex Workup"/>
      <sheetName val="Constr. Funding"/>
      <sheetName val="Op Sch"/>
    </sheetNames>
    <sheetDataSet>
      <sheetData sheetId="0"/>
      <sheetData sheetId="1"/>
      <sheetData sheetId="2"/>
      <sheetData sheetId="3"/>
      <sheetData sheetId="4"/>
      <sheetData sheetId="5"/>
      <sheetData sheetId="6"/>
      <sheetData sheetId="7"/>
      <sheetData sheetId="8">
        <row r="37">
          <cell r="B37">
            <v>2204.6</v>
          </cell>
        </row>
      </sheetData>
      <sheetData sheetId="9">
        <row r="36">
          <cell r="A36" t="str">
            <v>FINANCING ASSUMPTIONS</v>
          </cell>
        </row>
      </sheetData>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 "/>
      <sheetName val="Summary"/>
      <sheetName val="1997-2010 Revenue Details"/>
      <sheetName val="RMR Study (7-31-05)"/>
      <sheetName val="RMR Study (11-30-05)"/>
      <sheetName val="Annual Totals"/>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EBITDA"/>
      <sheetName val="TA EBITDA"/>
      <sheetName val="AEP EBITDA"/>
      <sheetName val="TA System"/>
      <sheetName val="AEP Revs"/>
      <sheetName val="RMR"/>
      <sheetName val="Attrition"/>
      <sheetName val="Revs"/>
      <sheetName val="Margins"/>
      <sheetName val="MonthlyData"/>
      <sheetName val="GM"/>
      <sheetName val="WC"/>
      <sheetName val="Capex"/>
      <sheetName val="Equity"/>
      <sheetName val="Util"/>
      <sheetName val="TA 06"/>
    </sheetNames>
    <sheetDataSet>
      <sheetData sheetId="0"/>
      <sheetData sheetId="1"/>
      <sheetData sheetId="2"/>
      <sheetData sheetId="3"/>
      <sheetData sheetId="4"/>
      <sheetData sheetId="5"/>
      <sheetData sheetId="6"/>
      <sheetData sheetId="7"/>
      <sheetData sheetId="8"/>
      <sheetData sheetId="9"/>
      <sheetData sheetId="10">
        <row r="1">
          <cell r="I1">
            <v>39172</v>
          </cell>
        </row>
        <row r="2">
          <cell r="I2">
            <v>38748</v>
          </cell>
          <cell r="V2">
            <v>39141</v>
          </cell>
          <cell r="W2">
            <v>39172</v>
          </cell>
          <cell r="X2">
            <v>39202</v>
          </cell>
          <cell r="Y2">
            <v>39233</v>
          </cell>
          <cell r="Z2">
            <v>39263</v>
          </cell>
          <cell r="AA2">
            <v>39293</v>
          </cell>
          <cell r="AB2">
            <v>39325</v>
          </cell>
          <cell r="AC2">
            <v>39355</v>
          </cell>
          <cell r="AD2">
            <v>39386</v>
          </cell>
          <cell r="AE2">
            <v>39416</v>
          </cell>
          <cell r="AF2">
            <v>39447</v>
          </cell>
        </row>
        <row r="3">
          <cell r="A3" t="str">
            <v>Recurring Revenue (1)</v>
          </cell>
          <cell r="C3">
            <v>252150.19</v>
          </cell>
          <cell r="D3">
            <v>253439.39</v>
          </cell>
          <cell r="E3">
            <v>254600.33</v>
          </cell>
          <cell r="F3">
            <v>263755.7</v>
          </cell>
          <cell r="G3">
            <v>270293.88</v>
          </cell>
          <cell r="H3">
            <v>269218.28000000003</v>
          </cell>
          <cell r="I3">
            <v>275872.39</v>
          </cell>
          <cell r="J3">
            <v>279750.76</v>
          </cell>
          <cell r="K3">
            <v>281185.17</v>
          </cell>
          <cell r="L3">
            <v>287169.12000000005</v>
          </cell>
          <cell r="M3">
            <v>291349.62999999995</v>
          </cell>
          <cell r="N3">
            <v>279039.16000000003</v>
          </cell>
          <cell r="O3">
            <v>293102.64999999997</v>
          </cell>
          <cell r="P3">
            <v>305053.53999999998</v>
          </cell>
          <cell r="Q3">
            <v>296392.92999999993</v>
          </cell>
          <cell r="R3">
            <v>305553.82</v>
          </cell>
          <cell r="S3">
            <v>313847.84999999998</v>
          </cell>
          <cell r="T3">
            <v>313976.57</v>
          </cell>
          <cell r="U3">
            <v>320811.59999999998</v>
          </cell>
          <cell r="V3">
            <v>321804.36</v>
          </cell>
          <cell r="W3">
            <v>329154.58</v>
          </cell>
        </row>
        <row r="4">
          <cell r="A4" t="str">
            <v>Total Trans-Alarm Sales</v>
          </cell>
          <cell r="C4">
            <v>682393.85</v>
          </cell>
          <cell r="D4">
            <v>1077629.43</v>
          </cell>
          <cell r="E4">
            <v>996501.14</v>
          </cell>
          <cell r="F4">
            <v>1023822.93</v>
          </cell>
          <cell r="G4">
            <v>1077833.3400000001</v>
          </cell>
          <cell r="H4">
            <v>1023888.11</v>
          </cell>
          <cell r="I4">
            <v>723357.67999999993</v>
          </cell>
          <cell r="J4">
            <v>720322.60000000009</v>
          </cell>
          <cell r="K4">
            <v>895464.65999999992</v>
          </cell>
          <cell r="L4">
            <v>769078.25</v>
          </cell>
          <cell r="M4">
            <v>890998.48</v>
          </cell>
          <cell r="N4">
            <v>808469.38</v>
          </cell>
          <cell r="O4">
            <v>1151142.98</v>
          </cell>
          <cell r="P4">
            <v>1014191.8299999998</v>
          </cell>
          <cell r="Q4">
            <v>997345.56999999983</v>
          </cell>
          <cell r="R4">
            <v>1110816.74</v>
          </cell>
          <cell r="S4">
            <v>901575.16999999993</v>
          </cell>
          <cell r="T4">
            <v>950622.3899999999</v>
          </cell>
          <cell r="U4">
            <v>1130228.49</v>
          </cell>
          <cell r="V4">
            <v>833220.69000000018</v>
          </cell>
          <cell r="W4">
            <v>1249136.74</v>
          </cell>
        </row>
      </sheetData>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CFORMAT"/>
      <sheetName val="MfgPresent"/>
    </sheetNames>
    <sheetDataSet>
      <sheetData sheetId="0" refreshError="1">
        <row r="7">
          <cell r="G7">
            <v>1</v>
          </cell>
          <cell r="N7">
            <v>188.670102405666</v>
          </cell>
        </row>
        <row r="8">
          <cell r="G8">
            <v>810</v>
          </cell>
          <cell r="N8">
            <v>21.541902675002412</v>
          </cell>
        </row>
        <row r="9">
          <cell r="G9">
            <v>3429</v>
          </cell>
          <cell r="N9">
            <v>19.491919596031121</v>
          </cell>
        </row>
        <row r="10">
          <cell r="G10">
            <v>6631</v>
          </cell>
          <cell r="N10">
            <v>15.180322244953899</v>
          </cell>
        </row>
        <row r="11">
          <cell r="G11">
            <v>11777</v>
          </cell>
          <cell r="N11">
            <v>14.013203607733615</v>
          </cell>
        </row>
        <row r="12">
          <cell r="G12">
            <v>16129</v>
          </cell>
          <cell r="N12">
            <v>14.731675920442569</v>
          </cell>
        </row>
        <row r="13">
          <cell r="G13">
            <v>19213</v>
          </cell>
          <cell r="N13">
            <v>14.731675920442569</v>
          </cell>
        </row>
        <row r="14">
          <cell r="G14">
            <v>21347</v>
          </cell>
          <cell r="N14">
            <v>16.776850672139872</v>
          </cell>
        </row>
        <row r="15">
          <cell r="G15">
            <v>22799</v>
          </cell>
          <cell r="N15">
            <v>16.119020948027543</v>
          </cell>
        </row>
        <row r="16">
          <cell r="G16">
            <v>24773</v>
          </cell>
          <cell r="N16">
            <v>14.879731724872837</v>
          </cell>
        </row>
        <row r="17">
          <cell r="G17">
            <v>26964</v>
          </cell>
          <cell r="N17">
            <v>15.180322244953899</v>
          </cell>
        </row>
        <row r="18">
          <cell r="G18" t="e">
            <v>#DIV/0!</v>
          </cell>
          <cell r="N18" t="e">
            <v>#DIV/0!</v>
          </cell>
        </row>
        <row r="19">
          <cell r="G19" t="e">
            <v>#DIV/0!</v>
          </cell>
          <cell r="N19" t="e">
            <v>#DIV/0!</v>
          </cell>
        </row>
        <row r="20">
          <cell r="G20" t="e">
            <v>#DIV/0!</v>
          </cell>
          <cell r="N20" t="e">
            <v>#DIV/0!</v>
          </cell>
        </row>
        <row r="21">
          <cell r="G21" t="e">
            <v>#DIV/0!</v>
          </cell>
          <cell r="N21" t="e">
            <v>#DIV/0!</v>
          </cell>
        </row>
        <row r="22">
          <cell r="G22" t="e">
            <v>#DIV/0!</v>
          </cell>
          <cell r="N22" t="e">
            <v>#DIV/0!</v>
          </cell>
        </row>
        <row r="23">
          <cell r="G23" t="e">
            <v>#DIV/0!</v>
          </cell>
          <cell r="N23" t="e">
            <v>#DIV/0!</v>
          </cell>
        </row>
        <row r="24">
          <cell r="G24" t="e">
            <v>#DIV/0!</v>
          </cell>
          <cell r="N24" t="e">
            <v>#DIV/0!</v>
          </cell>
        </row>
        <row r="25">
          <cell r="G25" t="e">
            <v>#DIV/0!</v>
          </cell>
          <cell r="N25" t="e">
            <v>#DIV/0!</v>
          </cell>
        </row>
        <row r="26">
          <cell r="G26" t="e">
            <v>#DIV/0!</v>
          </cell>
          <cell r="N26" t="e">
            <v>#DIV/0!</v>
          </cell>
        </row>
        <row r="27">
          <cell r="G27" t="e">
            <v>#DIV/0!</v>
          </cell>
          <cell r="N27" t="e">
            <v>#DIV/0!</v>
          </cell>
        </row>
        <row r="28">
          <cell r="G28" t="e">
            <v>#DIV/0!</v>
          </cell>
          <cell r="N28" t="e">
            <v>#DIV/0!</v>
          </cell>
        </row>
        <row r="29">
          <cell r="G29" t="e">
            <v>#DIV/0!</v>
          </cell>
          <cell r="N29" t="e">
            <v>#DIV/0!</v>
          </cell>
        </row>
        <row r="30">
          <cell r="G30" t="e">
            <v>#DIV/0!</v>
          </cell>
          <cell r="N30" t="e">
            <v>#DIV/0!</v>
          </cell>
        </row>
        <row r="31">
          <cell r="G31" t="e">
            <v>#DIV/0!</v>
          </cell>
          <cell r="N31" t="e">
            <v>#DIV/0!</v>
          </cell>
        </row>
        <row r="32">
          <cell r="G32" t="e">
            <v>#DIV/0!</v>
          </cell>
          <cell r="N32" t="e">
            <v>#DIV/0!</v>
          </cell>
        </row>
        <row r="33">
          <cell r="G33" t="e">
            <v>#DIV/0!</v>
          </cell>
          <cell r="N33" t="e">
            <v>#DIV/0!</v>
          </cell>
        </row>
        <row r="34">
          <cell r="G34" t="e">
            <v>#DIV/0!</v>
          </cell>
          <cell r="N34" t="e">
            <v>#DIV/0!</v>
          </cell>
        </row>
        <row r="35">
          <cell r="G35" t="e">
            <v>#DIV/0!</v>
          </cell>
          <cell r="N35" t="e">
            <v>#DIV/0!</v>
          </cell>
        </row>
        <row r="36">
          <cell r="G36" t="e">
            <v>#DIV/0!</v>
          </cell>
          <cell r="N36" t="e">
            <v>#DIV/0!</v>
          </cell>
        </row>
        <row r="37">
          <cell r="G37" t="e">
            <v>#DIV/0!</v>
          </cell>
          <cell r="N37" t="e">
            <v>#DIV/0!</v>
          </cell>
        </row>
        <row r="38">
          <cell r="G38" t="e">
            <v>#DIV/0!</v>
          </cell>
          <cell r="N38" t="e">
            <v>#DIV/0!</v>
          </cell>
        </row>
        <row r="39">
          <cell r="G39" t="e">
            <v>#DIV/0!</v>
          </cell>
          <cell r="N39" t="e">
            <v>#DIV/0!</v>
          </cell>
        </row>
        <row r="40">
          <cell r="G40" t="e">
            <v>#DIV/0!</v>
          </cell>
          <cell r="N40" t="e">
            <v>#DIV/0!</v>
          </cell>
        </row>
        <row r="41">
          <cell r="G41" t="e">
            <v>#DIV/0!</v>
          </cell>
          <cell r="N41" t="e">
            <v>#DIV/0!</v>
          </cell>
        </row>
        <row r="42">
          <cell r="G42" t="e">
            <v>#DIV/0!</v>
          </cell>
          <cell r="N42" t="e">
            <v>#DIV/0!</v>
          </cell>
        </row>
        <row r="43">
          <cell r="G43" t="e">
            <v>#DIV/0!</v>
          </cell>
          <cell r="N43" t="e">
            <v>#DIV/0!</v>
          </cell>
        </row>
        <row r="44">
          <cell r="G44" t="e">
            <v>#DIV/0!</v>
          </cell>
          <cell r="N44" t="e">
            <v>#DIV/0!</v>
          </cell>
        </row>
        <row r="45">
          <cell r="G45" t="e">
            <v>#DIV/0!</v>
          </cell>
          <cell r="N45" t="e">
            <v>#DIV/0!</v>
          </cell>
        </row>
        <row r="46">
          <cell r="G46" t="e">
            <v>#DIV/0!</v>
          </cell>
          <cell r="N46" t="e">
            <v>#DIV/0!</v>
          </cell>
        </row>
        <row r="47">
          <cell r="G47" t="e">
            <v>#DIV/0!</v>
          </cell>
          <cell r="N47" t="e">
            <v>#DIV/0!</v>
          </cell>
        </row>
        <row r="48">
          <cell r="G48" t="e">
            <v>#DIV/0!</v>
          </cell>
          <cell r="N48" t="e">
            <v>#DIV/0!</v>
          </cell>
        </row>
        <row r="49">
          <cell r="G49" t="e">
            <v>#DIV/0!</v>
          </cell>
          <cell r="N49" t="e">
            <v>#DIV/0!</v>
          </cell>
        </row>
        <row r="50">
          <cell r="G50" t="e">
            <v>#DIV/0!</v>
          </cell>
          <cell r="N50" t="e">
            <v>#DIV/0!</v>
          </cell>
        </row>
        <row r="51">
          <cell r="G51" t="e">
            <v>#DIV/0!</v>
          </cell>
          <cell r="N51" t="e">
            <v>#DIV/0!</v>
          </cell>
        </row>
        <row r="52">
          <cell r="G52" t="e">
            <v>#DIV/0!</v>
          </cell>
          <cell r="N52" t="e">
            <v>#DIV/0!</v>
          </cell>
        </row>
        <row r="53">
          <cell r="G53" t="e">
            <v>#DIV/0!</v>
          </cell>
          <cell r="N53" t="e">
            <v>#DIV/0!</v>
          </cell>
        </row>
        <row r="54">
          <cell r="G54" t="e">
            <v>#DIV/0!</v>
          </cell>
          <cell r="N54" t="e">
            <v>#DIV/0!</v>
          </cell>
        </row>
        <row r="55">
          <cell r="G55" t="e">
            <v>#DIV/0!</v>
          </cell>
          <cell r="N55" t="e">
            <v>#DIV/0!</v>
          </cell>
        </row>
        <row r="56">
          <cell r="G56" t="e">
            <v>#DIV/0!</v>
          </cell>
          <cell r="N56" t="e">
            <v>#DIV/0!</v>
          </cell>
        </row>
        <row r="57">
          <cell r="G57" t="e">
            <v>#DIV/0!</v>
          </cell>
          <cell r="N57" t="e">
            <v>#DIV/0!</v>
          </cell>
        </row>
        <row r="58">
          <cell r="G58" t="e">
            <v>#DIV/0!</v>
          </cell>
          <cell r="N58" t="e">
            <v>#DIV/0!</v>
          </cell>
        </row>
        <row r="59">
          <cell r="G59" t="e">
            <v>#DIV/0!</v>
          </cell>
          <cell r="N59" t="e">
            <v>#DIV/0!</v>
          </cell>
        </row>
        <row r="60">
          <cell r="G60" t="e">
            <v>#DIV/0!</v>
          </cell>
          <cell r="N60" t="e">
            <v>#DIV/0!</v>
          </cell>
        </row>
        <row r="61">
          <cell r="G61" t="e">
            <v>#DIV/0!</v>
          </cell>
        </row>
        <row r="62">
          <cell r="G62" t="e">
            <v>#DIV/0!</v>
          </cell>
        </row>
        <row r="63">
          <cell r="G63" t="e">
            <v>#DIV/0!</v>
          </cell>
        </row>
        <row r="64">
          <cell r="G64" t="e">
            <v>#DIV/0!</v>
          </cell>
        </row>
        <row r="65">
          <cell r="G65" t="e">
            <v>#DIV/0!</v>
          </cell>
        </row>
      </sheetData>
      <sheetData sheetId="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uityTemplate"/>
      <sheetName val="Tables"/>
      <sheetName val="Rates"/>
      <sheetName val="Q299"/>
      <sheetName val="Model"/>
      <sheetName val="GE3"/>
      <sheetName val="GE 2"/>
    </sheetNames>
    <sheetDataSet>
      <sheetData sheetId="0" refreshError="1"/>
      <sheetData sheetId="1" refreshError="1"/>
      <sheetData sheetId="2" refreshError="1"/>
      <sheetData sheetId="3"/>
      <sheetData sheetId="4" refreshError="1">
        <row r="453">
          <cell r="A453" t="str">
            <v>Tata Consultancy</v>
          </cell>
          <cell r="B453">
            <v>4205.2</v>
          </cell>
        </row>
        <row r="454">
          <cell r="A454" t="str">
            <v>HCL Consulting</v>
          </cell>
          <cell r="B454">
            <v>2705.1</v>
          </cell>
        </row>
        <row r="455">
          <cell r="A455" t="str">
            <v>Wipro</v>
          </cell>
          <cell r="B455">
            <v>1639</v>
          </cell>
        </row>
        <row r="456">
          <cell r="A456" t="str">
            <v>Pentafour Software</v>
          </cell>
          <cell r="B456">
            <v>1002.7</v>
          </cell>
        </row>
        <row r="457">
          <cell r="A457" t="str">
            <v>Tata Unisys</v>
          </cell>
          <cell r="B457">
            <v>922.5</v>
          </cell>
        </row>
        <row r="458">
          <cell r="A458" t="str">
            <v>Silverline Ind.</v>
          </cell>
          <cell r="B458">
            <v>810</v>
          </cell>
        </row>
        <row r="459">
          <cell r="A459" t="str">
            <v>Infosys</v>
          </cell>
          <cell r="B459">
            <v>803.4</v>
          </cell>
        </row>
        <row r="460">
          <cell r="A460" t="str">
            <v>Fujitsu ICIM</v>
          </cell>
          <cell r="B460">
            <v>650</v>
          </cell>
        </row>
        <row r="461">
          <cell r="A461" t="str">
            <v>Square D Software</v>
          </cell>
          <cell r="B461">
            <v>573.1</v>
          </cell>
        </row>
        <row r="462">
          <cell r="A462" t="str">
            <v>Patni Computer Systems</v>
          </cell>
          <cell r="B462">
            <v>560</v>
          </cell>
        </row>
        <row r="469">
          <cell r="A469" t="str">
            <v>FY1992</v>
          </cell>
          <cell r="B469">
            <v>88.787569000000005</v>
          </cell>
          <cell r="C469">
            <v>22.481446000000005</v>
          </cell>
        </row>
        <row r="470">
          <cell r="A470" t="str">
            <v>FY1993</v>
          </cell>
          <cell r="B470">
            <v>137.184933</v>
          </cell>
          <cell r="C470">
            <v>35.089639999999996</v>
          </cell>
        </row>
        <row r="471">
          <cell r="A471" t="str">
            <v>FY1994</v>
          </cell>
          <cell r="B471">
            <v>288.98526500000003</v>
          </cell>
          <cell r="C471">
            <v>80.919432000000029</v>
          </cell>
        </row>
        <row r="472">
          <cell r="A472" t="str">
            <v>FY1995</v>
          </cell>
          <cell r="B472">
            <v>554.19435799999997</v>
          </cell>
          <cell r="C472">
            <v>133.24426599999995</v>
          </cell>
        </row>
        <row r="473">
          <cell r="A473" t="str">
            <v>FY1996</v>
          </cell>
          <cell r="B473">
            <v>885.55399999999997</v>
          </cell>
          <cell r="C473">
            <v>210.1</v>
          </cell>
        </row>
        <row r="474">
          <cell r="A474" t="str">
            <v>FY1997E</v>
          </cell>
          <cell r="B474">
            <v>1392.2</v>
          </cell>
          <cell r="C474">
            <v>333.89999999999992</v>
          </cell>
        </row>
        <row r="475">
          <cell r="A475" t="str">
            <v>FY1998E</v>
          </cell>
          <cell r="B475">
            <v>2576.573488</v>
          </cell>
          <cell r="C475">
            <v>603.63307900000018</v>
          </cell>
        </row>
        <row r="483">
          <cell r="A483" t="str">
            <v>FY1990</v>
          </cell>
          <cell r="B483">
            <v>1.55</v>
          </cell>
          <cell r="C483">
            <v>1.01</v>
          </cell>
        </row>
        <row r="484">
          <cell r="A484" t="str">
            <v>FY1991</v>
          </cell>
          <cell r="B484">
            <v>2.35</v>
          </cell>
          <cell r="C484">
            <v>1.87</v>
          </cell>
        </row>
        <row r="485">
          <cell r="A485" t="str">
            <v>FY1992</v>
          </cell>
          <cell r="B485">
            <v>4.3</v>
          </cell>
          <cell r="C485">
            <v>3.2</v>
          </cell>
        </row>
        <row r="486">
          <cell r="A486" t="str">
            <v>FY1993</v>
          </cell>
          <cell r="B486">
            <v>6.75</v>
          </cell>
          <cell r="C486">
            <v>4.9000000000000004</v>
          </cell>
        </row>
        <row r="487">
          <cell r="A487" t="str">
            <v>FY1994</v>
          </cell>
          <cell r="B487">
            <v>10.199999999999999</v>
          </cell>
          <cell r="C487">
            <v>6.95</v>
          </cell>
        </row>
        <row r="488">
          <cell r="A488" t="str">
            <v>FY1995</v>
          </cell>
          <cell r="B488">
            <v>15.35</v>
          </cell>
          <cell r="C488">
            <v>10.7</v>
          </cell>
        </row>
        <row r="489">
          <cell r="A489" t="str">
            <v>FY1996</v>
          </cell>
          <cell r="B489">
            <v>25.2</v>
          </cell>
          <cell r="C489">
            <v>16.7</v>
          </cell>
        </row>
      </sheetData>
      <sheetData sheetId="5" refreshError="1"/>
      <sheetData sheetId="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sheetName val="Feeder IS"/>
      <sheetName val="Feeder BS"/>
      <sheetName val="IS"/>
      <sheetName val="BS"/>
      <sheetName val="Acq. LBO"/>
      <sheetName val="WACC"/>
      <sheetName val="Convert"/>
      <sheetName val="Sum P&amp;L"/>
      <sheetName val="SU-Cap"/>
      <sheetName val="Adj Combined IS"/>
      <sheetName val="DCF"/>
      <sheetName val="DCF Output"/>
      <sheetName val="LBO"/>
      <sheetName val="PV of Future Price"/>
      <sheetName val="FF"/>
      <sheetName val="Contribution Analysis"/>
      <sheetName val="Summary Financials - Charts"/>
      <sheetName val="Credit Summary"/>
      <sheetName val="Sensitivities Input"/>
      <sheetName val="Sensitivities Output"/>
    </sheetNames>
    <sheetDataSet>
      <sheetData sheetId="0" refreshError="1"/>
      <sheetData sheetId="1" refreshError="1"/>
      <sheetData sheetId="2" refreshError="1"/>
      <sheetData sheetId="3" refreshError="1"/>
      <sheetData sheetId="4" refreshError="1"/>
      <sheetData sheetId="5" refreshError="1"/>
      <sheetData sheetId="6">
        <row r="2">
          <cell r="B2" t="str">
            <v>Date for WACC</v>
          </cell>
          <cell r="D2">
            <v>39836</v>
          </cell>
        </row>
        <row r="5">
          <cell r="B5" t="str">
            <v>Weighted Average Cost of Capital Analysis</v>
          </cell>
        </row>
        <row r="7">
          <cell r="F7" t="str">
            <v>Market</v>
          </cell>
        </row>
        <row r="8">
          <cell r="F8" t="str">
            <v>Value of</v>
          </cell>
          <cell r="P8" t="str">
            <v xml:space="preserve">Debt / </v>
          </cell>
          <cell r="R8" t="str">
            <v>Levered</v>
          </cell>
          <cell r="T8" t="str">
            <v>Unlevered</v>
          </cell>
          <cell r="V8" t="str">
            <v>Relevered</v>
          </cell>
        </row>
        <row r="9">
          <cell r="B9" t="str">
            <v>Company</v>
          </cell>
          <cell r="D9" t="str">
            <v>Ticker</v>
          </cell>
          <cell r="F9" t="str">
            <v>Equity</v>
          </cell>
          <cell r="H9" t="str">
            <v>Total Debt</v>
          </cell>
          <cell r="J9" t="str">
            <v>Tax Rate</v>
          </cell>
          <cell r="L9" t="str">
            <v>% Debt</v>
          </cell>
          <cell r="N9" t="str">
            <v>% Equity</v>
          </cell>
          <cell r="P9" t="str">
            <v>Equity</v>
          </cell>
          <cell r="R9" t="str">
            <v>Beta 1</v>
          </cell>
          <cell r="T9" t="str">
            <v>Beta</v>
          </cell>
          <cell r="V9" t="str">
            <v>Beta</v>
          </cell>
        </row>
        <row r="10">
          <cell r="B10" t="str">
            <v>Merck &amp; Co. Inc.</v>
          </cell>
          <cell r="D10" t="str">
            <v>MRK</v>
          </cell>
          <cell r="F10">
            <v>49615.022599999997</v>
          </cell>
          <cell r="H10">
            <v>6240.4</v>
          </cell>
          <cell r="J10">
            <v>0.20385799999999998</v>
          </cell>
          <cell r="L10">
            <v>0.11172415693082591</v>
          </cell>
          <cell r="N10">
            <v>0.88827584306917406</v>
          </cell>
          <cell r="P10">
            <v>0.12577642159534158</v>
          </cell>
          <cell r="R10">
            <v>0.94</v>
          </cell>
          <cell r="T10">
            <v>0.85443989871681036</v>
          </cell>
          <cell r="V10">
            <v>0.95374209992713666</v>
          </cell>
        </row>
        <row r="11">
          <cell r="B11" t="str">
            <v>Johnson &amp; Johnson</v>
          </cell>
          <cell r="D11" t="str">
            <v>JNJ</v>
          </cell>
          <cell r="F11">
            <v>145190.60423999999</v>
          </cell>
          <cell r="H11">
            <v>11852</v>
          </cell>
          <cell r="J11">
            <v>0.23509899999999997</v>
          </cell>
          <cell r="L11">
            <v>7.5469965983798945E-2</v>
          </cell>
          <cell r="N11">
            <v>0.92453003401620104</v>
          </cell>
          <cell r="P11">
            <v>8.1630626596254474E-2</v>
          </cell>
          <cell r="R11">
            <v>0.53</v>
          </cell>
          <cell r="T11">
            <v>0.49885200603738422</v>
          </cell>
          <cell r="V11">
            <v>0.5545531060431963</v>
          </cell>
        </row>
        <row r="12">
          <cell r="B12" t="str">
            <v>Abbott Laboratories</v>
          </cell>
          <cell r="D12" t="str">
            <v>ABT</v>
          </cell>
          <cell r="F12">
            <v>68568.643710000004</v>
          </cell>
          <cell r="H12">
            <v>11445.302</v>
          </cell>
          <cell r="J12">
            <v>0.19159999999999999</v>
          </cell>
          <cell r="L12">
            <v>0.14304133983695777</v>
          </cell>
          <cell r="N12">
            <v>0.85695866016304223</v>
          </cell>
          <cell r="P12">
            <v>0.16691743311135124</v>
          </cell>
          <cell r="R12">
            <v>0.43</v>
          </cell>
          <cell r="T12">
            <v>0.37887597181440141</v>
          </cell>
          <cell r="V12">
            <v>0.42358653993867035</v>
          </cell>
        </row>
        <row r="13">
          <cell r="B13" t="str">
            <v>Schering-Plough Corp.</v>
          </cell>
          <cell r="D13" t="str">
            <v>SGP</v>
          </cell>
          <cell r="F13">
            <v>35956.055849999997</v>
          </cell>
          <cell r="H13">
            <v>8176</v>
          </cell>
          <cell r="J13">
            <v>7.1253999999999998E-2</v>
          </cell>
          <cell r="L13">
            <v>0.18526216018101047</v>
          </cell>
          <cell r="N13">
            <v>0.81473783981898951</v>
          </cell>
          <cell r="P13">
            <v>0.22738867783797817</v>
          </cell>
          <cell r="R13">
            <v>1.08</v>
          </cell>
          <cell r="T13">
            <v>0.89168774260336436</v>
          </cell>
          <cell r="V13">
            <v>1.0125794672354695</v>
          </cell>
        </row>
        <row r="14">
          <cell r="B14" t="str">
            <v>Forest Laboratories Inc.</v>
          </cell>
          <cell r="D14" t="str">
            <v>FRX</v>
          </cell>
          <cell r="F14">
            <v>6505.79241</v>
          </cell>
          <cell r="H14">
            <v>0</v>
          </cell>
          <cell r="J14">
            <v>0.200317</v>
          </cell>
          <cell r="L14">
            <v>0</v>
          </cell>
          <cell r="N14">
            <v>1</v>
          </cell>
          <cell r="P14">
            <v>0</v>
          </cell>
          <cell r="R14">
            <v>0.89</v>
          </cell>
          <cell r="T14">
            <v>0.89</v>
          </cell>
          <cell r="V14">
            <v>0.99389501031136385</v>
          </cell>
        </row>
        <row r="15">
          <cell r="B15" t="str">
            <v>Bristol-Myers Squibb Co.</v>
          </cell>
          <cell r="D15" t="str">
            <v>BMY</v>
          </cell>
          <cell r="F15">
            <v>39597.26</v>
          </cell>
          <cell r="H15">
            <v>6739</v>
          </cell>
          <cell r="J15">
            <v>0.24127199999999999</v>
          </cell>
          <cell r="L15">
            <v>0.14543685657841179</v>
          </cell>
          <cell r="N15">
            <v>0.85456314342158823</v>
          </cell>
          <cell r="P15">
            <v>0.17018854334870645</v>
          </cell>
          <cell r="R15">
            <v>0.75</v>
          </cell>
          <cell r="T15">
            <v>0.66423008583864207</v>
          </cell>
          <cell r="V15">
            <v>0.73779851354361015</v>
          </cell>
        </row>
        <row r="16">
          <cell r="B16" t="str">
            <v>Company 7</v>
          </cell>
          <cell r="D16" t="str">
            <v>Ticker 7</v>
          </cell>
          <cell r="F16">
            <v>100</v>
          </cell>
          <cell r="H16">
            <v>0</v>
          </cell>
          <cell r="J16">
            <v>0.4</v>
          </cell>
          <cell r="L16">
            <v>0</v>
          </cell>
          <cell r="N16">
            <v>1</v>
          </cell>
          <cell r="P16">
            <v>0</v>
          </cell>
          <cell r="R16">
            <v>1</v>
          </cell>
          <cell r="T16">
            <v>1</v>
          </cell>
          <cell r="V16">
            <v>1.0875866812039134</v>
          </cell>
        </row>
        <row r="17">
          <cell r="B17" t="str">
            <v>Company 8</v>
          </cell>
          <cell r="D17" t="str">
            <v>Ticker 8</v>
          </cell>
          <cell r="F17">
            <v>100</v>
          </cell>
          <cell r="H17">
            <v>0</v>
          </cell>
          <cell r="J17">
            <v>0.4</v>
          </cell>
          <cell r="L17">
            <v>0</v>
          </cell>
          <cell r="N17">
            <v>1</v>
          </cell>
          <cell r="P17">
            <v>0</v>
          </cell>
          <cell r="R17">
            <v>1</v>
          </cell>
          <cell r="T17">
            <v>1</v>
          </cell>
          <cell r="V17">
            <v>1.0875866812039134</v>
          </cell>
        </row>
        <row r="18">
          <cell r="B18" t="str">
            <v>Company 9</v>
          </cell>
          <cell r="D18" t="str">
            <v>Ticker 9</v>
          </cell>
          <cell r="F18">
            <v>100</v>
          </cell>
          <cell r="H18">
            <v>0</v>
          </cell>
          <cell r="J18">
            <v>0.4</v>
          </cell>
          <cell r="L18">
            <v>0</v>
          </cell>
          <cell r="N18">
            <v>1</v>
          </cell>
          <cell r="P18">
            <v>0</v>
          </cell>
          <cell r="R18">
            <v>1</v>
          </cell>
          <cell r="T18">
            <v>1</v>
          </cell>
          <cell r="V18">
            <v>1.0875866812039134</v>
          </cell>
        </row>
        <row r="19">
          <cell r="B19" t="str">
            <v>Company 10</v>
          </cell>
          <cell r="D19" t="str">
            <v>Ticker 10</v>
          </cell>
          <cell r="F19">
            <v>100</v>
          </cell>
          <cell r="H19">
            <v>0</v>
          </cell>
          <cell r="J19">
            <v>0.4</v>
          </cell>
          <cell r="L19">
            <v>0</v>
          </cell>
          <cell r="N19">
            <v>1</v>
          </cell>
          <cell r="P19">
            <v>0</v>
          </cell>
          <cell r="R19">
            <v>1</v>
          </cell>
          <cell r="T19">
            <v>1</v>
          </cell>
          <cell r="V19">
            <v>1.0875866812039134</v>
          </cell>
        </row>
        <row r="21">
          <cell r="B21" t="str">
            <v>Median</v>
          </cell>
          <cell r="J21">
            <v>0.20208749999999998</v>
          </cell>
          <cell r="L21">
            <v>0.12738274838389185</v>
          </cell>
          <cell r="N21">
            <v>0.87261725161610815</v>
          </cell>
          <cell r="P21">
            <v>0.14634692735334642</v>
          </cell>
          <cell r="R21">
            <v>0.82000000000000006</v>
          </cell>
          <cell r="T21">
            <v>0.75933499227772616</v>
          </cell>
          <cell r="V21">
            <v>0.84577030673537346</v>
          </cell>
        </row>
        <row r="23">
          <cell r="B23" t="str">
            <v>Cost of Equity</v>
          </cell>
          <cell r="N23" t="str">
            <v>Long-term Capital Structure Estimates 4</v>
          </cell>
        </row>
        <row r="24">
          <cell r="B24" t="str">
            <v>Risk Free Rate 2</v>
          </cell>
          <cell r="H24">
            <v>0.03</v>
          </cell>
          <cell r="N24" t="str">
            <v>% Equity</v>
          </cell>
          <cell r="V24">
            <v>0.87261725161610815</v>
          </cell>
        </row>
        <row r="25">
          <cell r="B25" t="str">
            <v>Market Risk Premium 3</v>
          </cell>
          <cell r="H25">
            <v>7.0499999999999993E-2</v>
          </cell>
          <cell r="N25" t="str">
            <v>% Debt</v>
          </cell>
          <cell r="V25">
            <v>0.12738274838389185</v>
          </cell>
        </row>
        <row r="26">
          <cell r="B26" t="str">
            <v>Comparable Company Median Risk Factor</v>
          </cell>
          <cell r="H26">
            <v>0.84577030673537346</v>
          </cell>
          <cell r="N26" t="str">
            <v>Debt / Equity</v>
          </cell>
          <cell r="V26">
            <v>0.14634692735334642</v>
          </cell>
        </row>
        <row r="27">
          <cell r="B27" t="str">
            <v>Industry Specific Cost of Equity</v>
          </cell>
          <cell r="H27">
            <v>8.9626806624843819E-2</v>
          </cell>
        </row>
        <row r="28">
          <cell r="B28" t="str">
            <v>Small Size Company Premium</v>
          </cell>
          <cell r="H28">
            <v>-3.5999999999999999E-3</v>
          </cell>
        </row>
        <row r="29">
          <cell r="B29" t="str">
            <v>Company Specific Cost of Equity</v>
          </cell>
          <cell r="H29">
            <v>8.6026806624843813E-2</v>
          </cell>
        </row>
        <row r="30">
          <cell r="N30" t="str">
            <v>Weighted Average Cost of Capital</v>
          </cell>
        </row>
        <row r="31">
          <cell r="B31" t="str">
            <v>Cost of Debt</v>
          </cell>
          <cell r="R31" t="str">
            <v>Weighting</v>
          </cell>
          <cell r="T31" t="str">
            <v>Cost</v>
          </cell>
          <cell r="V31" t="str">
            <v>Wtd. Cost</v>
          </cell>
        </row>
        <row r="32">
          <cell r="B32" t="str">
            <v>Current Company Specific Cost of Debt</v>
          </cell>
          <cell r="H32">
            <v>0.04</v>
          </cell>
          <cell r="N32" t="str">
            <v>Weighted Cost of Equity</v>
          </cell>
          <cell r="R32">
            <v>0.87261725161610815</v>
          </cell>
          <cell r="T32">
            <v>8.6026806624843813E-2</v>
          </cell>
          <cell r="V32">
            <v>7.506847556228162E-2</v>
          </cell>
        </row>
        <row r="33">
          <cell r="B33" t="str">
            <v>Less: 40.0% Tax Shield</v>
          </cell>
          <cell r="H33">
            <v>1.6E-2</v>
          </cell>
          <cell r="N33" t="str">
            <v>Weighted Cost of Debt</v>
          </cell>
          <cell r="R33">
            <v>0.12738274838389185</v>
          </cell>
          <cell r="T33">
            <v>2.4E-2</v>
          </cell>
          <cell r="V33">
            <v>3.0571859612134045E-3</v>
          </cell>
        </row>
        <row r="34">
          <cell r="B34" t="str">
            <v>Effective Company Specific Cost of Debt</v>
          </cell>
          <cell r="H34">
            <v>2.4E-2</v>
          </cell>
          <cell r="N34" t="str">
            <v>WACC</v>
          </cell>
          <cell r="V34">
            <v>7.8125661523495024E-2</v>
          </cell>
        </row>
        <row r="37">
          <cell r="B37" t="str">
            <v>1 Bloomberg Adjusted Betas</v>
          </cell>
          <cell r="AB37" t="str">
            <v>IBBOTSON ASSOCIATES 2009 YEARBOOK</v>
          </cell>
        </row>
        <row r="38">
          <cell r="B38" t="str">
            <v>2 Yield on the 10-year U.S. Government Bond</v>
          </cell>
          <cell r="AB38" t="str">
            <v>SMALL SIZE COMPANY PREMIUM</v>
          </cell>
        </row>
        <row r="39">
          <cell r="B39" t="str">
            <v>3 Based on Morningstar, Inc. SBBI 2009 Yearbook</v>
          </cell>
          <cell r="AB39" t="str">
            <v>($ in Millions)</v>
          </cell>
        </row>
        <row r="40">
          <cell r="B40" t="str">
            <v>4 Using median values from set of comparable companies</v>
          </cell>
        </row>
        <row r="42">
          <cell r="AF42" t="str">
            <v>MV</v>
          </cell>
          <cell r="AJ42" t="str">
            <v>VLOOKUP TABLE</v>
          </cell>
          <cell r="AM42" t="str">
            <v xml:space="preserve">VLOOKUP TABLE </v>
          </cell>
        </row>
        <row r="43">
          <cell r="B43" t="str">
            <v>****MEDIAN CALCULATION ASSUMES TEN COMPS.  CHANGE THE FORMULAS IF YOU HAVE A DIFFERENT NUMBER OF COMPS.****</v>
          </cell>
          <cell r="AB43" t="str">
            <v>Decile 1</v>
          </cell>
          <cell r="AF43" t="str">
            <v>Equity 2</v>
          </cell>
          <cell r="AH43" t="str">
            <v>Size Premium</v>
          </cell>
          <cell r="AM43" t="str">
            <v>Decile Group</v>
          </cell>
          <cell r="AO43" t="str">
            <v>MV of Equity 4</v>
          </cell>
          <cell r="AQ43" t="str">
            <v>Size Premium</v>
          </cell>
        </row>
        <row r="44">
          <cell r="AB44">
            <v>1</v>
          </cell>
          <cell r="AC44" t="str">
            <v>- Largest</v>
          </cell>
          <cell r="AF44">
            <v>465651.93800000002</v>
          </cell>
          <cell r="AH44">
            <v>-3.5999999999999999E-3</v>
          </cell>
          <cell r="AJ44">
            <v>0</v>
          </cell>
          <cell r="AK44">
            <v>10</v>
          </cell>
          <cell r="AM44" t="str">
            <v>Micro-cap (9 - 10)</v>
          </cell>
          <cell r="AO44">
            <v>0</v>
          </cell>
          <cell r="AQ44">
            <v>3.7400000000000003E-2</v>
          </cell>
        </row>
        <row r="45">
          <cell r="AB45">
            <v>2</v>
          </cell>
          <cell r="AF45">
            <v>18503.467000000001</v>
          </cell>
          <cell r="AH45">
            <v>6.1999999999999998E-3</v>
          </cell>
          <cell r="AJ45">
            <v>218.53299999999999</v>
          </cell>
          <cell r="AK45">
            <v>9</v>
          </cell>
          <cell r="AM45" t="str">
            <v>Low-cap (6 - 8)</v>
          </cell>
          <cell r="AO45">
            <v>453.25400000000002</v>
          </cell>
          <cell r="AQ45">
            <v>1.7399999999999999E-2</v>
          </cell>
        </row>
        <row r="46">
          <cell r="AB46">
            <v>3</v>
          </cell>
          <cell r="AF46">
            <v>7360.2709999999997</v>
          </cell>
          <cell r="AH46">
            <v>7.4000000000000003E-3</v>
          </cell>
          <cell r="AJ46">
            <v>453.25400000000002</v>
          </cell>
          <cell r="AK46">
            <v>8</v>
          </cell>
          <cell r="AM46" t="str">
            <v>Mid-cap (3-5)</v>
          </cell>
          <cell r="AO46">
            <v>1848.961</v>
          </cell>
          <cell r="AQ46">
            <v>9.4000000000000004E-3</v>
          </cell>
        </row>
        <row r="47">
          <cell r="AB47">
            <v>4</v>
          </cell>
          <cell r="AF47">
            <v>4225.152</v>
          </cell>
          <cell r="AH47">
            <v>9.7000000000000003E-3</v>
          </cell>
          <cell r="AJ47">
            <v>753.44799999999998</v>
          </cell>
          <cell r="AK47">
            <v>7</v>
          </cell>
          <cell r="AM47" t="str">
            <v>Decile 2</v>
          </cell>
          <cell r="AO47">
            <v>7360.2709999999997</v>
          </cell>
          <cell r="AQ47">
            <v>6.1999999999999998E-3</v>
          </cell>
        </row>
        <row r="48">
          <cell r="AB48">
            <v>5</v>
          </cell>
          <cell r="AF48">
            <v>2785.538</v>
          </cell>
          <cell r="AH48">
            <v>1.54E-2</v>
          </cell>
          <cell r="AJ48">
            <v>1197.133</v>
          </cell>
          <cell r="AK48">
            <v>6</v>
          </cell>
          <cell r="AM48" t="str">
            <v>Decile 1</v>
          </cell>
          <cell r="AO48">
            <v>18503.467000000001</v>
          </cell>
          <cell r="AQ48">
            <v>-3.5999999999999999E-3</v>
          </cell>
        </row>
        <row r="49">
          <cell r="AB49">
            <v>6</v>
          </cell>
          <cell r="AF49">
            <v>1848.961</v>
          </cell>
          <cell r="AH49">
            <v>1.6299999999999999E-2</v>
          </cell>
          <cell r="AJ49">
            <v>1848.961</v>
          </cell>
          <cell r="AK49">
            <v>5</v>
          </cell>
        </row>
        <row r="50">
          <cell r="AB50">
            <v>7</v>
          </cell>
          <cell r="AF50">
            <v>1197.133</v>
          </cell>
          <cell r="AH50">
            <v>1.6200000000000003E-2</v>
          </cell>
          <cell r="AJ50">
            <v>2785.538</v>
          </cell>
          <cell r="AK50">
            <v>4</v>
          </cell>
        </row>
        <row r="51">
          <cell r="AB51">
            <v>8</v>
          </cell>
          <cell r="AF51">
            <v>753.44799999999998</v>
          </cell>
          <cell r="AH51">
            <v>2.35E-2</v>
          </cell>
          <cell r="AJ51">
            <v>4225.152</v>
          </cell>
          <cell r="AK51">
            <v>3</v>
          </cell>
        </row>
        <row r="52">
          <cell r="AB52">
            <v>9</v>
          </cell>
          <cell r="AF52">
            <v>453.25400000000002</v>
          </cell>
          <cell r="AH52">
            <v>2.7099999999999999E-2</v>
          </cell>
          <cell r="AJ52">
            <v>7360.2709999999997</v>
          </cell>
          <cell r="AK52">
            <v>2</v>
          </cell>
        </row>
        <row r="53">
          <cell r="AB53">
            <v>10</v>
          </cell>
          <cell r="AC53" t="str">
            <v>- Smallest</v>
          </cell>
          <cell r="AF53">
            <v>218.53299999999999</v>
          </cell>
          <cell r="AH53">
            <v>5.8099999999999999E-2</v>
          </cell>
          <cell r="AJ53">
            <v>18503.467000000001</v>
          </cell>
          <cell r="AK53">
            <v>1</v>
          </cell>
        </row>
        <row r="54">
          <cell r="AJ54">
            <v>465651.93800000002</v>
          </cell>
          <cell r="AK54">
            <v>1</v>
          </cell>
        </row>
        <row r="56">
          <cell r="AB56" t="str">
            <v>Footnotes:</v>
          </cell>
        </row>
        <row r="57">
          <cell r="AB57" t="str">
            <v>1  Decile ranking based on market capitalization</v>
          </cell>
        </row>
        <row r="58">
          <cell r="AB58" t="str">
            <v>2 Largest market capitalization for a given decile</v>
          </cell>
        </row>
        <row r="59">
          <cell r="AB59" t="str">
            <v>3  Size premium based on historical data</v>
          </cell>
        </row>
        <row r="60">
          <cell r="AB60" t="str">
            <v>4  Smallest market capitalization for a given decile group</v>
          </cell>
        </row>
      </sheetData>
      <sheetData sheetId="7" refreshError="1"/>
      <sheetData sheetId="8" refreshError="1"/>
      <sheetData sheetId="9">
        <row r="1">
          <cell r="B1" t="str">
            <v>Wachovia Securities M&amp;A / Leveraged Finance</v>
          </cell>
          <cell r="AB1" t="str">
            <v>Confidential</v>
          </cell>
        </row>
        <row r="2">
          <cell r="B2" t="str">
            <v>Leveraged Buyout Model</v>
          </cell>
        </row>
        <row r="3">
          <cell r="B3" t="str">
            <v>Wyeth</v>
          </cell>
        </row>
        <row r="4">
          <cell r="B4" t="str">
            <v>($ in Millions)</v>
          </cell>
        </row>
        <row r="6">
          <cell r="B6" t="str">
            <v>PRO FORMA CAPITALIZATION AND SOURCES &amp; USES</v>
          </cell>
        </row>
        <row r="8">
          <cell r="A8" t="str">
            <v>x</v>
          </cell>
          <cell r="C8" t="str">
            <v>Sources &amp; Uses</v>
          </cell>
        </row>
        <row r="9">
          <cell r="C9" t="str">
            <v>($ in Millions)</v>
          </cell>
        </row>
        <row r="10">
          <cell r="C10" t="str">
            <v>Sources</v>
          </cell>
          <cell r="H10" t="str">
            <v>Uses</v>
          </cell>
        </row>
        <row r="12">
          <cell r="C12" t="str">
            <v>Acquiror Cash</v>
          </cell>
          <cell r="F12">
            <v>15488.646868805117</v>
          </cell>
          <cell r="H12" t="str">
            <v>Purchase of Equity</v>
          </cell>
          <cell r="K12">
            <v>67230.097144314495</v>
          </cell>
        </row>
        <row r="13">
          <cell r="C13" t="str">
            <v>Term Loan B</v>
          </cell>
          <cell r="F13">
            <v>21500</v>
          </cell>
          <cell r="H13" t="str">
            <v>Debt Retirement</v>
          </cell>
          <cell r="K13">
            <v>11485.3</v>
          </cell>
        </row>
        <row r="14">
          <cell r="C14" t="str">
            <v>Convertible Debt</v>
          </cell>
          <cell r="F14">
            <v>5000</v>
          </cell>
          <cell r="H14" t="str">
            <v>Less: Target Excess Cash</v>
          </cell>
          <cell r="K14">
            <v>14925.900000000001</v>
          </cell>
        </row>
        <row r="15">
          <cell r="C15" t="str">
            <v>Common Stock</v>
          </cell>
          <cell r="F15">
            <v>23024.666475534883</v>
          </cell>
          <cell r="H15" t="str">
            <v>Fees and Expenses</v>
          </cell>
          <cell r="K15">
            <v>1223.8162000255036</v>
          </cell>
        </row>
        <row r="16">
          <cell r="C16">
            <v>0</v>
          </cell>
          <cell r="F16">
            <v>0</v>
          </cell>
        </row>
        <row r="17">
          <cell r="C17" t="str">
            <v>Total Sources</v>
          </cell>
          <cell r="F17">
            <v>65013.31334434</v>
          </cell>
          <cell r="H17" t="str">
            <v>Total Uses</v>
          </cell>
          <cell r="K17">
            <v>65013.31334434</v>
          </cell>
        </row>
        <row r="20">
          <cell r="B20" t="str">
            <v>DO NOT DELETE - USED FOR S&amp;U</v>
          </cell>
        </row>
        <row r="21">
          <cell r="B21">
            <v>15488.646868805117</v>
          </cell>
          <cell r="C21" t="str">
            <v>Acquiror Cash</v>
          </cell>
          <cell r="E21">
            <v>1</v>
          </cell>
          <cell r="F21">
            <v>1</v>
          </cell>
          <cell r="G21">
            <v>1</v>
          </cell>
        </row>
        <row r="22">
          <cell r="B22">
            <v>0</v>
          </cell>
          <cell r="C22" t="str">
            <v>Revolver</v>
          </cell>
          <cell r="E22">
            <v>1</v>
          </cell>
          <cell r="F22">
            <v>2</v>
          </cell>
          <cell r="G22">
            <v>4</v>
          </cell>
        </row>
        <row r="23">
          <cell r="B23">
            <v>0</v>
          </cell>
          <cell r="C23" t="str">
            <v>Term Loan A</v>
          </cell>
          <cell r="E23">
            <v>1</v>
          </cell>
          <cell r="F23">
            <v>3</v>
          </cell>
          <cell r="G23">
            <v>8</v>
          </cell>
        </row>
        <row r="24">
          <cell r="B24">
            <v>21500</v>
          </cell>
          <cell r="C24" t="str">
            <v>Term Loan B</v>
          </cell>
          <cell r="E24">
            <v>2</v>
          </cell>
          <cell r="F24">
            <v>4</v>
          </cell>
          <cell r="G24">
            <v>9</v>
          </cell>
        </row>
        <row r="25">
          <cell r="B25">
            <v>0</v>
          </cell>
          <cell r="C25" t="str">
            <v>Other Senior Debt</v>
          </cell>
          <cell r="E25">
            <v>2</v>
          </cell>
          <cell r="F25">
            <v>5</v>
          </cell>
          <cell r="G25">
            <v>0</v>
          </cell>
        </row>
        <row r="26">
          <cell r="B26">
            <v>0</v>
          </cell>
          <cell r="C26" t="str">
            <v>Subordinated Debt</v>
          </cell>
          <cell r="E26">
            <v>2</v>
          </cell>
          <cell r="F26">
            <v>6</v>
          </cell>
          <cell r="G26">
            <v>0</v>
          </cell>
        </row>
        <row r="27">
          <cell r="B27">
            <v>0</v>
          </cell>
          <cell r="C27" t="str">
            <v>Mezzanine Debt</v>
          </cell>
          <cell r="E27">
            <v>2</v>
          </cell>
          <cell r="F27">
            <v>7</v>
          </cell>
          <cell r="G27">
            <v>0</v>
          </cell>
        </row>
        <row r="28">
          <cell r="B28">
            <v>5000</v>
          </cell>
          <cell r="C28" t="str">
            <v>Convertible Debt</v>
          </cell>
          <cell r="E28">
            <v>3</v>
          </cell>
          <cell r="F28">
            <v>8</v>
          </cell>
          <cell r="G28">
            <v>0</v>
          </cell>
        </row>
        <row r="29">
          <cell r="B29">
            <v>23024.666475534883</v>
          </cell>
          <cell r="C29" t="str">
            <v>Common Stock</v>
          </cell>
          <cell r="E29">
            <v>4</v>
          </cell>
          <cell r="F29">
            <v>9</v>
          </cell>
          <cell r="G29">
            <v>0</v>
          </cell>
        </row>
        <row r="30">
          <cell r="B30">
            <v>0</v>
          </cell>
          <cell r="C30" t="str">
            <v>Management Rollover</v>
          </cell>
          <cell r="E30">
            <v>4</v>
          </cell>
          <cell r="F30">
            <v>10</v>
          </cell>
          <cell r="G30">
            <v>0</v>
          </cell>
        </row>
        <row r="34">
          <cell r="A34" t="str">
            <v>x</v>
          </cell>
          <cell r="M34" t="str">
            <v>Capitalization Table</v>
          </cell>
        </row>
        <row r="35">
          <cell r="M35" t="str">
            <v>($ in Millions)</v>
          </cell>
          <cell r="P35" t="str">
            <v>Pro Forma</v>
          </cell>
          <cell r="T35" t="str">
            <v>Cumulative</v>
          </cell>
        </row>
        <row r="36">
          <cell r="P36" t="str">
            <v>Capitalization</v>
          </cell>
          <cell r="T36" t="str">
            <v>Multiple of</v>
          </cell>
        </row>
        <row r="37">
          <cell r="P37" t="str">
            <v>$</v>
          </cell>
          <cell r="R37" t="str">
            <v>%</v>
          </cell>
          <cell r="T37" t="str">
            <v>EBITDA 1</v>
          </cell>
        </row>
        <row r="39">
          <cell r="M39" t="str">
            <v>Cash</v>
          </cell>
          <cell r="P39">
            <v>-14930.488768792366</v>
          </cell>
        </row>
        <row r="41">
          <cell r="M41" t="str">
            <v>Revolver</v>
          </cell>
          <cell r="P41">
            <v>0</v>
          </cell>
          <cell r="R41">
            <v>0</v>
          </cell>
          <cell r="T41">
            <v>0</v>
          </cell>
        </row>
        <row r="42">
          <cell r="M42" t="str">
            <v>Term Loan A</v>
          </cell>
          <cell r="P42">
            <v>0</v>
          </cell>
          <cell r="R42">
            <v>0</v>
          </cell>
          <cell r="T42">
            <v>0</v>
          </cell>
        </row>
        <row r="43">
          <cell r="M43" t="str">
            <v>Term Loan B</v>
          </cell>
          <cell r="P43">
            <v>21500</v>
          </cell>
          <cell r="R43">
            <v>0.43932739877424765</v>
          </cell>
          <cell r="T43">
            <v>2.6953839981947212</v>
          </cell>
        </row>
        <row r="44">
          <cell r="M44" t="str">
            <v>Other Senior Debt</v>
          </cell>
          <cell r="P44">
            <v>0</v>
          </cell>
          <cell r="R44">
            <v>0</v>
          </cell>
          <cell r="T44">
            <v>2.6953839981947212</v>
          </cell>
        </row>
        <row r="45">
          <cell r="M45" t="str">
            <v>Convertible Debt</v>
          </cell>
          <cell r="P45">
            <v>3534.4477798477501</v>
          </cell>
          <cell r="R45">
            <v>7.2222313917391937E-2</v>
          </cell>
          <cell r="T45">
            <v>3.138486044160139</v>
          </cell>
        </row>
        <row r="46">
          <cell r="M46" t="str">
            <v>Existing Tranche</v>
          </cell>
          <cell r="P46">
            <v>0</v>
          </cell>
          <cell r="R46">
            <v>0</v>
          </cell>
          <cell r="T46">
            <v>3.138486044160139</v>
          </cell>
        </row>
        <row r="47">
          <cell r="M47" t="str">
            <v>Existing Tranche</v>
          </cell>
          <cell r="P47">
            <v>0</v>
          </cell>
          <cell r="R47">
            <v>0</v>
          </cell>
          <cell r="T47">
            <v>3.138486044160139</v>
          </cell>
        </row>
        <row r="48">
          <cell r="M48" t="str">
            <v>Total Senior Debt</v>
          </cell>
          <cell r="P48">
            <v>25034.447779847749</v>
          </cell>
          <cell r="R48">
            <v>0.51154971269163951</v>
          </cell>
          <cell r="T48">
            <v>3.138486044160139</v>
          </cell>
        </row>
        <row r="50">
          <cell r="M50" t="str">
            <v>Subordinated Debt</v>
          </cell>
          <cell r="P50">
            <v>0</v>
          </cell>
          <cell r="R50">
            <v>0</v>
          </cell>
          <cell r="T50">
            <v>3.138486044160139</v>
          </cell>
        </row>
        <row r="51">
          <cell r="M51" t="str">
            <v>Existing Tranche</v>
          </cell>
          <cell r="P51">
            <v>0</v>
          </cell>
          <cell r="R51">
            <v>0</v>
          </cell>
          <cell r="T51">
            <v>3.138486044160139</v>
          </cell>
        </row>
        <row r="52">
          <cell r="M52" t="str">
            <v>Total Debt</v>
          </cell>
          <cell r="P52">
            <v>25034.447779847749</v>
          </cell>
          <cell r="R52">
            <v>0.51154971269163951</v>
          </cell>
          <cell r="T52">
            <v>3.138486044160139</v>
          </cell>
        </row>
        <row r="54">
          <cell r="M54" t="str">
            <v>Total Equity</v>
          </cell>
          <cell r="P54">
            <v>23903.997807626234</v>
          </cell>
          <cell r="R54">
            <v>0.48845028730836054</v>
          </cell>
        </row>
        <row r="56">
          <cell r="M56" t="str">
            <v>Total Capitalization</v>
          </cell>
          <cell r="P56">
            <v>48938.44558747398</v>
          </cell>
          <cell r="R56">
            <v>1</v>
          </cell>
        </row>
        <row r="59">
          <cell r="M59">
            <v>1</v>
          </cell>
          <cell r="N59" t="str">
            <v>Pro Forma LTM 9/30/09 EBITDA of:</v>
          </cell>
          <cell r="T59">
            <v>7976.5999999999949</v>
          </cell>
        </row>
        <row r="62">
          <cell r="A62" t="str">
            <v>x</v>
          </cell>
          <cell r="M62" t="str">
            <v>Select EBITDA Metric:</v>
          </cell>
          <cell r="O62" t="str">
            <v>(E or P)</v>
          </cell>
          <cell r="T62" t="str">
            <v>LTM 9/30/09 EBITDA</v>
          </cell>
        </row>
        <row r="64">
          <cell r="N64">
            <v>40086</v>
          </cell>
          <cell r="R64" t="str">
            <v>LTM 9/30/09 EBITDA</v>
          </cell>
          <cell r="T64">
            <v>7976.5999999999949</v>
          </cell>
          <cell r="U64" t="str">
            <v>Including synergies</v>
          </cell>
        </row>
        <row r="65">
          <cell r="N65">
            <v>2008</v>
          </cell>
          <cell r="R65" t="str">
            <v>2008 EBITDA</v>
          </cell>
          <cell r="T65">
            <v>7895.9</v>
          </cell>
          <cell r="U65" t="str">
            <v>Including synergies</v>
          </cell>
        </row>
        <row r="66">
          <cell r="N66">
            <v>2009</v>
          </cell>
          <cell r="O66" t="str">
            <v>E</v>
          </cell>
          <cell r="R66" t="str">
            <v>2009E EBITDA</v>
          </cell>
          <cell r="T66">
            <v>8253.5</v>
          </cell>
          <cell r="U66" t="str">
            <v>Including synergies</v>
          </cell>
        </row>
        <row r="67">
          <cell r="N67">
            <v>2010</v>
          </cell>
          <cell r="O67" t="str">
            <v>P</v>
          </cell>
          <cell r="R67" t="str">
            <v>2010P EBITDA</v>
          </cell>
          <cell r="T67">
            <v>10000.299999999999</v>
          </cell>
          <cell r="U67" t="str">
            <v>Including synergies</v>
          </cell>
        </row>
        <row r="81">
          <cell r="A81" t="str">
            <v>x</v>
          </cell>
        </row>
      </sheetData>
      <sheetData sheetId="10">
        <row r="1">
          <cell r="B1" t="str">
            <v>Wachovia Securities M&amp;A / Leveraged Finance</v>
          </cell>
        </row>
        <row r="2">
          <cell r="B2" t="str">
            <v>Leveraged Buyout Model</v>
          </cell>
        </row>
        <row r="3">
          <cell r="B3" t="str">
            <v>Wyeth</v>
          </cell>
        </row>
        <row r="4">
          <cell r="B4" t="str">
            <v>($ in Millions)</v>
          </cell>
        </row>
        <row r="6">
          <cell r="E6" t="str">
            <v>2009: Actual or Pro Forma</v>
          </cell>
          <cell r="G6" t="str">
            <v>P</v>
          </cell>
          <cell r="I6" t="str">
            <v>Pro Forma</v>
          </cell>
          <cell r="K6" t="str">
            <v>Include Deal Fees and Restructuring Costs? (0 = No  1 = Yes)</v>
          </cell>
          <cell r="V6">
            <v>0</v>
          </cell>
        </row>
        <row r="8">
          <cell r="B8" t="str">
            <v>BASIC EPS METHOD</v>
          </cell>
        </row>
        <row r="9">
          <cell r="G9" t="str">
            <v>Pro Forma Fiscal Year Ending 2009</v>
          </cell>
          <cell r="R9" t="str">
            <v>Fiscal Year Ending 2010</v>
          </cell>
          <cell r="AB9" t="str">
            <v>Fiscal Year Ending 2011</v>
          </cell>
        </row>
        <row r="10">
          <cell r="G10" t="str">
            <v>Pfizer</v>
          </cell>
          <cell r="I10" t="str">
            <v>Wyeth</v>
          </cell>
          <cell r="K10" t="str">
            <v>Acq. Adj.</v>
          </cell>
          <cell r="N10" t="str">
            <v>Combined</v>
          </cell>
          <cell r="R10" t="str">
            <v>Pfizer</v>
          </cell>
          <cell r="T10" t="str">
            <v>Wyeth</v>
          </cell>
          <cell r="V10" t="str">
            <v>Acq. Adj.</v>
          </cell>
          <cell r="Y10" t="str">
            <v>Combined</v>
          </cell>
          <cell r="AB10" t="str">
            <v>Pfizer</v>
          </cell>
          <cell r="AD10" t="str">
            <v>Wyeth</v>
          </cell>
          <cell r="AF10" t="str">
            <v>Acq. Adj.</v>
          </cell>
          <cell r="AI10" t="str">
            <v>Combined</v>
          </cell>
        </row>
        <row r="11">
          <cell r="B11" t="str">
            <v>Total Net Sales</v>
          </cell>
          <cell r="G11">
            <v>46093.3</v>
          </cell>
          <cell r="I11">
            <v>23060.6</v>
          </cell>
          <cell r="K11">
            <v>-46093.299999999996</v>
          </cell>
          <cell r="N11">
            <v>23060.6</v>
          </cell>
          <cell r="R11">
            <v>47370.2</v>
          </cell>
          <cell r="T11">
            <v>23050.6</v>
          </cell>
          <cell r="V11">
            <v>0</v>
          </cell>
          <cell r="Y11">
            <v>70420.799999999988</v>
          </cell>
          <cell r="AB11">
            <v>47940.1</v>
          </cell>
          <cell r="AD11">
            <v>23169.1</v>
          </cell>
          <cell r="AF11">
            <v>0</v>
          </cell>
          <cell r="AI11">
            <v>71109.2</v>
          </cell>
        </row>
        <row r="12">
          <cell r="C12" t="str">
            <v>Cost of Goods Sold (Excluding Depreciation)</v>
          </cell>
          <cell r="G12">
            <v>2353.6000000000004</v>
          </cell>
          <cell r="I12">
            <v>5064.5999999999995</v>
          </cell>
          <cell r="K12">
            <v>-2353.6000000000004</v>
          </cell>
          <cell r="N12">
            <v>5064.5999999999995</v>
          </cell>
          <cell r="R12">
            <v>2665.8</v>
          </cell>
          <cell r="T12">
            <v>4999.5</v>
          </cell>
          <cell r="V12">
            <v>0</v>
          </cell>
          <cell r="Y12">
            <v>7665.3</v>
          </cell>
          <cell r="AB12">
            <v>3707.4999999999991</v>
          </cell>
          <cell r="AD12">
            <v>4961.3</v>
          </cell>
          <cell r="AF12">
            <v>0</v>
          </cell>
          <cell r="AI12">
            <v>8668.7999999999993</v>
          </cell>
        </row>
        <row r="13">
          <cell r="B13" t="str">
            <v>Gross Profit</v>
          </cell>
          <cell r="G13">
            <v>43739.700000000004</v>
          </cell>
          <cell r="I13">
            <v>17996</v>
          </cell>
          <cell r="K13">
            <v>-43739.700000000004</v>
          </cell>
          <cell r="N13">
            <v>17996</v>
          </cell>
          <cell r="R13">
            <v>44704.399999999994</v>
          </cell>
          <cell r="T13">
            <v>18051.099999999999</v>
          </cell>
          <cell r="V13">
            <v>0</v>
          </cell>
          <cell r="Y13">
            <v>62755.499999999985</v>
          </cell>
          <cell r="AB13">
            <v>44232.6</v>
          </cell>
          <cell r="AD13">
            <v>18207.8</v>
          </cell>
          <cell r="AF13">
            <v>0</v>
          </cell>
          <cell r="AI13">
            <v>62440.399999999994</v>
          </cell>
        </row>
        <row r="14">
          <cell r="C14" t="str">
            <v>Total SG&amp;A (Excluding Amortization)</v>
          </cell>
          <cell r="G14">
            <v>13927.7</v>
          </cell>
          <cell r="I14">
            <v>6560.7</v>
          </cell>
          <cell r="K14">
            <v>-14177.7</v>
          </cell>
          <cell r="N14">
            <v>6310.7</v>
          </cell>
          <cell r="R14">
            <v>12801.9</v>
          </cell>
          <cell r="T14">
            <v>6506.1</v>
          </cell>
          <cell r="V14">
            <v>-2000</v>
          </cell>
          <cell r="Y14">
            <v>17308</v>
          </cell>
          <cell r="AB14">
            <v>11366.7</v>
          </cell>
          <cell r="AD14">
            <v>6641.4</v>
          </cell>
          <cell r="AF14">
            <v>-3000</v>
          </cell>
          <cell r="AI14">
            <v>15008.099999999999</v>
          </cell>
        </row>
        <row r="15">
          <cell r="B15" t="str">
            <v>Operating EBITDA</v>
          </cell>
          <cell r="G15">
            <v>29812.000000000004</v>
          </cell>
          <cell r="I15">
            <v>11435.3</v>
          </cell>
          <cell r="K15">
            <v>-29562.000000000004</v>
          </cell>
          <cell r="N15">
            <v>11685.3</v>
          </cell>
          <cell r="R15">
            <v>31902.499999999993</v>
          </cell>
          <cell r="T15">
            <v>11544.999999999998</v>
          </cell>
          <cell r="V15">
            <v>1999.9999999999927</v>
          </cell>
          <cell r="Y15">
            <v>45447.499999999985</v>
          </cell>
          <cell r="AB15">
            <v>32865.899999999994</v>
          </cell>
          <cell r="AD15">
            <v>11566.4</v>
          </cell>
          <cell r="AF15">
            <v>3000</v>
          </cell>
          <cell r="AI15">
            <v>47432.299999999996</v>
          </cell>
        </row>
        <row r="16">
          <cell r="C16" t="str">
            <v>Other (Income) Expense</v>
          </cell>
          <cell r="G16">
            <v>7948.5</v>
          </cell>
          <cell r="I16">
            <v>3431.8</v>
          </cell>
          <cell r="K16">
            <v>-7948.4999999999991</v>
          </cell>
          <cell r="N16">
            <v>3431.8</v>
          </cell>
          <cell r="R16">
            <v>7698.5</v>
          </cell>
          <cell r="T16">
            <v>3544.7</v>
          </cell>
          <cell r="V16">
            <v>0</v>
          </cell>
          <cell r="Y16">
            <v>11243.2</v>
          </cell>
          <cell r="AB16">
            <v>7187.9</v>
          </cell>
          <cell r="AD16">
            <v>3662.2</v>
          </cell>
          <cell r="AF16">
            <v>0</v>
          </cell>
          <cell r="AI16">
            <v>10850.099999999999</v>
          </cell>
        </row>
        <row r="17">
          <cell r="C17" t="str">
            <v>Corporate Overhead</v>
          </cell>
          <cell r="G17">
            <v>0</v>
          </cell>
          <cell r="I17">
            <v>0</v>
          </cell>
          <cell r="K17">
            <v>0</v>
          </cell>
          <cell r="N17">
            <v>0</v>
          </cell>
          <cell r="R17">
            <v>0</v>
          </cell>
          <cell r="T17">
            <v>0</v>
          </cell>
          <cell r="V17">
            <v>0</v>
          </cell>
          <cell r="Y17">
            <v>0</v>
          </cell>
          <cell r="AB17">
            <v>0</v>
          </cell>
          <cell r="AD17">
            <v>0</v>
          </cell>
          <cell r="AF17">
            <v>0</v>
          </cell>
          <cell r="AI17">
            <v>0</v>
          </cell>
        </row>
        <row r="18">
          <cell r="B18" t="str">
            <v>EBITDA</v>
          </cell>
          <cell r="G18">
            <v>21863.500000000004</v>
          </cell>
          <cell r="I18">
            <v>8003.4999999999991</v>
          </cell>
          <cell r="K18">
            <v>-21613.500000000004</v>
          </cell>
          <cell r="N18">
            <v>8253.5</v>
          </cell>
          <cell r="R18">
            <v>24203.999999999993</v>
          </cell>
          <cell r="T18">
            <v>8000.2999999999984</v>
          </cell>
          <cell r="V18">
            <v>1999.9999999999964</v>
          </cell>
          <cell r="Y18">
            <v>34204.299999999988</v>
          </cell>
          <cell r="AB18">
            <v>25677.999999999993</v>
          </cell>
          <cell r="AD18">
            <v>7904.2</v>
          </cell>
          <cell r="AF18">
            <v>3000.0000000000073</v>
          </cell>
          <cell r="AI18">
            <v>36582.199999999997</v>
          </cell>
        </row>
        <row r="19">
          <cell r="C19" t="str">
            <v>Depreciation &amp; Amortization</v>
          </cell>
          <cell r="G19">
            <v>4823.3999999999996</v>
          </cell>
          <cell r="I19">
            <v>938.1</v>
          </cell>
          <cell r="K19">
            <v>-3225.7345396306064</v>
          </cell>
          <cell r="N19">
            <v>2535.7654603693936</v>
          </cell>
          <cell r="R19">
            <v>4790.3999999999996</v>
          </cell>
          <cell r="T19">
            <v>987.3</v>
          </cell>
          <cell r="V19">
            <v>1447.6654603693942</v>
          </cell>
          <cell r="Y19">
            <v>7225.365460369394</v>
          </cell>
          <cell r="AB19">
            <v>4861.8</v>
          </cell>
          <cell r="AD19">
            <v>1037</v>
          </cell>
          <cell r="AF19">
            <v>1447.6654603693942</v>
          </cell>
          <cell r="AI19">
            <v>7346.4654603693943</v>
          </cell>
        </row>
        <row r="20">
          <cell r="B20" t="str">
            <v>EBIT</v>
          </cell>
          <cell r="G20">
            <v>17040.100000000006</v>
          </cell>
          <cell r="I20">
            <v>7065.3999999999987</v>
          </cell>
          <cell r="K20">
            <v>-18387.765460369395</v>
          </cell>
          <cell r="N20">
            <v>5717.7345396306064</v>
          </cell>
          <cell r="R20">
            <v>19413.599999999991</v>
          </cell>
          <cell r="T20">
            <v>7012.9999999999982</v>
          </cell>
          <cell r="V20">
            <v>552.3345396306031</v>
          </cell>
          <cell r="Y20">
            <v>26978.934539630594</v>
          </cell>
          <cell r="AB20">
            <v>20816.199999999993</v>
          </cell>
          <cell r="AD20">
            <v>6867.2</v>
          </cell>
          <cell r="AF20">
            <v>1552.3345396306104</v>
          </cell>
          <cell r="AI20">
            <v>29235.734539630605</v>
          </cell>
        </row>
        <row r="21">
          <cell r="C21" t="str">
            <v>Interest (Income)</v>
          </cell>
          <cell r="G21">
            <v>-1095.2</v>
          </cell>
          <cell r="I21">
            <v>-529.29999999999995</v>
          </cell>
          <cell r="K21">
            <v>1773.8048876879236</v>
          </cell>
          <cell r="N21">
            <v>149.30488768792367</v>
          </cell>
          <cell r="R21">
            <v>-1318.8</v>
          </cell>
          <cell r="T21">
            <v>-586.4</v>
          </cell>
          <cell r="V21">
            <v>1818.5798986357524</v>
          </cell>
          <cell r="Y21">
            <v>-86.620101364247347</v>
          </cell>
          <cell r="AB21">
            <v>-1508.9</v>
          </cell>
          <cell r="AD21">
            <v>-609.4</v>
          </cell>
          <cell r="AF21">
            <v>1802.3302680796237</v>
          </cell>
          <cell r="AI21">
            <v>-315.96973192037649</v>
          </cell>
        </row>
        <row r="22">
          <cell r="C22" t="str">
            <v xml:space="preserve">Other (Income) </v>
          </cell>
          <cell r="G22">
            <v>-360</v>
          </cell>
          <cell r="I22">
            <v>-100</v>
          </cell>
          <cell r="K22">
            <v>360</v>
          </cell>
          <cell r="N22">
            <v>-100</v>
          </cell>
          <cell r="R22">
            <v>-360</v>
          </cell>
          <cell r="T22">
            <v>-120</v>
          </cell>
          <cell r="V22">
            <v>0</v>
          </cell>
          <cell r="Y22">
            <v>-480</v>
          </cell>
          <cell r="AB22">
            <v>-350</v>
          </cell>
          <cell r="AD22">
            <v>-120</v>
          </cell>
          <cell r="AF22">
            <v>0</v>
          </cell>
          <cell r="AI22">
            <v>-470</v>
          </cell>
        </row>
        <row r="23">
          <cell r="C23" t="str">
            <v>Other Expense</v>
          </cell>
          <cell r="G23">
            <v>0</v>
          </cell>
          <cell r="I23">
            <v>0</v>
          </cell>
          <cell r="K23">
            <v>0</v>
          </cell>
          <cell r="N23">
            <v>0</v>
          </cell>
          <cell r="R23">
            <v>0</v>
          </cell>
          <cell r="T23">
            <v>0</v>
          </cell>
          <cell r="V23">
            <v>0</v>
          </cell>
          <cell r="Y23">
            <v>0</v>
          </cell>
          <cell r="AB23">
            <v>0</v>
          </cell>
          <cell r="AD23">
            <v>0</v>
          </cell>
          <cell r="AF23">
            <v>0</v>
          </cell>
          <cell r="AI23">
            <v>0</v>
          </cell>
        </row>
        <row r="24">
          <cell r="C24" t="str">
            <v>Deal Fees</v>
          </cell>
          <cell r="G24">
            <v>0</v>
          </cell>
          <cell r="I24">
            <v>0</v>
          </cell>
          <cell r="K24">
            <v>0</v>
          </cell>
          <cell r="N24">
            <v>0</v>
          </cell>
          <cell r="R24">
            <v>0</v>
          </cell>
          <cell r="T24">
            <v>0</v>
          </cell>
          <cell r="V24">
            <v>0</v>
          </cell>
          <cell r="Y24">
            <v>0</v>
          </cell>
          <cell r="AB24">
            <v>0</v>
          </cell>
          <cell r="AD24">
            <v>0</v>
          </cell>
          <cell r="AF24">
            <v>0</v>
          </cell>
          <cell r="AI24">
            <v>0</v>
          </cell>
        </row>
        <row r="25">
          <cell r="C25" t="str">
            <v>Restructuring Costs</v>
          </cell>
          <cell r="G25">
            <v>0</v>
          </cell>
          <cell r="I25">
            <v>0</v>
          </cell>
          <cell r="K25">
            <v>0</v>
          </cell>
          <cell r="N25">
            <v>0</v>
          </cell>
          <cell r="R25">
            <v>0</v>
          </cell>
          <cell r="T25">
            <v>0</v>
          </cell>
          <cell r="V25">
            <v>0</v>
          </cell>
          <cell r="Y25">
            <v>0</v>
          </cell>
          <cell r="AB25">
            <v>0</v>
          </cell>
          <cell r="AD25">
            <v>0</v>
          </cell>
          <cell r="AF25">
            <v>0</v>
          </cell>
          <cell r="AI25">
            <v>0</v>
          </cell>
        </row>
        <row r="26">
          <cell r="C26" t="str">
            <v>Interest Expense</v>
          </cell>
          <cell r="G26">
            <v>775.2</v>
          </cell>
          <cell r="I26">
            <v>597.9</v>
          </cell>
          <cell r="K26">
            <v>777.66624103160848</v>
          </cell>
          <cell r="N26">
            <v>2150.7662410316084</v>
          </cell>
          <cell r="R26">
            <v>732.7</v>
          </cell>
          <cell r="T26">
            <v>597.20000000000005</v>
          </cell>
          <cell r="V26">
            <v>-414.1259675911831</v>
          </cell>
          <cell r="Y26">
            <v>915.77403240881699</v>
          </cell>
          <cell r="AB26">
            <v>732.4</v>
          </cell>
          <cell r="AD26">
            <v>597.20000000000005</v>
          </cell>
          <cell r="AF26">
            <v>-934.37965334689954</v>
          </cell>
          <cell r="AI26">
            <v>395.22034665310036</v>
          </cell>
        </row>
        <row r="27">
          <cell r="B27" t="str">
            <v>Pre-Tax Income</v>
          </cell>
          <cell r="G27">
            <v>17720.100000000006</v>
          </cell>
          <cell r="I27">
            <v>7096.7999999999993</v>
          </cell>
          <cell r="K27">
            <v>-21299.23658908893</v>
          </cell>
          <cell r="N27">
            <v>3517.6634109110742</v>
          </cell>
          <cell r="R27">
            <v>20359.69999999999</v>
          </cell>
          <cell r="T27">
            <v>7122.199999999998</v>
          </cell>
          <cell r="V27">
            <v>-852.11939141396215</v>
          </cell>
          <cell r="Y27">
            <v>26629.780608586025</v>
          </cell>
          <cell r="AB27">
            <v>21942.699999999993</v>
          </cell>
          <cell r="AD27">
            <v>6999.4</v>
          </cell>
          <cell r="AF27">
            <v>684.38392489789112</v>
          </cell>
          <cell r="AI27">
            <v>29626.483924897882</v>
          </cell>
        </row>
        <row r="28">
          <cell r="C28" t="str">
            <v>Income Taxes Expense</v>
          </cell>
          <cell r="G28">
            <v>5316.1</v>
          </cell>
          <cell r="I28">
            <v>2129</v>
          </cell>
          <cell r="K28">
            <v>-6038.0346356355703</v>
          </cell>
          <cell r="N28">
            <v>1407.0653643644298</v>
          </cell>
          <cell r="R28">
            <v>6107.9</v>
          </cell>
          <cell r="T28">
            <v>2136.6</v>
          </cell>
          <cell r="V28">
            <v>2407.4122434344099</v>
          </cell>
          <cell r="Y28">
            <v>10651.91224343441</v>
          </cell>
          <cell r="AB28">
            <v>6582.7999999999993</v>
          </cell>
          <cell r="AD28">
            <v>2064.8000000000002</v>
          </cell>
          <cell r="AF28">
            <v>3202.9935699591551</v>
          </cell>
          <cell r="AI28">
            <v>11850.593569959154</v>
          </cell>
        </row>
        <row r="29">
          <cell r="C29" t="str">
            <v>Preferred Dividends</v>
          </cell>
          <cell r="G29">
            <v>0</v>
          </cell>
          <cell r="I29">
            <v>0</v>
          </cell>
          <cell r="K29">
            <v>0</v>
          </cell>
          <cell r="N29">
            <v>0</v>
          </cell>
          <cell r="R29">
            <v>0</v>
          </cell>
          <cell r="T29">
            <v>0</v>
          </cell>
          <cell r="V29">
            <v>0</v>
          </cell>
          <cell r="Y29">
            <v>0</v>
          </cell>
          <cell r="AB29">
            <v>0</v>
          </cell>
          <cell r="AD29">
            <v>0</v>
          </cell>
          <cell r="AF29">
            <v>0</v>
          </cell>
          <cell r="AI29">
            <v>0</v>
          </cell>
        </row>
        <row r="30">
          <cell r="B30" t="str">
            <v>Consolidated Net Income</v>
          </cell>
          <cell r="G30">
            <v>12404.000000000005</v>
          </cell>
          <cell r="I30">
            <v>4967.7999999999993</v>
          </cell>
          <cell r="K30">
            <v>-15261.201953453357</v>
          </cell>
          <cell r="N30">
            <v>2110.5980465466446</v>
          </cell>
          <cell r="R30">
            <v>14251.79999999999</v>
          </cell>
          <cell r="T30">
            <v>4985.5999999999985</v>
          </cell>
          <cell r="V30">
            <v>-3259.5316348483721</v>
          </cell>
          <cell r="Y30">
            <v>15977.868365151615</v>
          </cell>
          <cell r="AB30">
            <v>15359.899999999994</v>
          </cell>
          <cell r="AD30">
            <v>4934.5999999999995</v>
          </cell>
          <cell r="AF30">
            <v>-2518.609645061264</v>
          </cell>
          <cell r="AI30">
            <v>17775.890354938729</v>
          </cell>
        </row>
        <row r="31">
          <cell r="C31" t="str">
            <v>Attributable to Non-Controlling Interests</v>
          </cell>
          <cell r="G31">
            <v>28</v>
          </cell>
          <cell r="I31">
            <v>0</v>
          </cell>
          <cell r="K31">
            <v>-28</v>
          </cell>
          <cell r="N31">
            <v>0</v>
          </cell>
          <cell r="R31">
            <v>28</v>
          </cell>
          <cell r="T31">
            <v>0</v>
          </cell>
          <cell r="V31">
            <v>-28</v>
          </cell>
          <cell r="Y31">
            <v>0</v>
          </cell>
          <cell r="AB31">
            <v>28</v>
          </cell>
          <cell r="AD31">
            <v>0</v>
          </cell>
          <cell r="AF31">
            <v>-28</v>
          </cell>
          <cell r="AI31">
            <v>0</v>
          </cell>
        </row>
        <row r="32">
          <cell r="B32" t="str">
            <v>Net Income Available to Common</v>
          </cell>
          <cell r="G32">
            <v>12376.000000000005</v>
          </cell>
          <cell r="I32">
            <v>4967.7999999999993</v>
          </cell>
          <cell r="K32">
            <v>-15233.201953453357</v>
          </cell>
          <cell r="N32">
            <v>2110.5980465466446</v>
          </cell>
          <cell r="R32">
            <v>14223.79999999999</v>
          </cell>
          <cell r="T32">
            <v>4985.5999999999985</v>
          </cell>
          <cell r="V32">
            <v>-3231.5316348483721</v>
          </cell>
          <cell r="Y32">
            <v>15977.868365151615</v>
          </cell>
          <cell r="AB32">
            <v>15331.899999999994</v>
          </cell>
          <cell r="AD32">
            <v>4934.5999999999995</v>
          </cell>
          <cell r="AF32">
            <v>-2490.609645061264</v>
          </cell>
          <cell r="AI32">
            <v>17775.890354938729</v>
          </cell>
        </row>
        <row r="34">
          <cell r="B34" t="str">
            <v>Weighted Average Fully Diluted Shares Outstanding</v>
          </cell>
          <cell r="G34">
            <v>6750</v>
          </cell>
          <cell r="I34">
            <v>1329</v>
          </cell>
          <cell r="K34">
            <v>1319.4651275378158</v>
          </cell>
          <cell r="N34">
            <v>8069.4651275378155</v>
          </cell>
          <cell r="R34">
            <v>6750</v>
          </cell>
          <cell r="T34">
            <v>1306.5</v>
          </cell>
          <cell r="V34">
            <v>1319.4651275378158</v>
          </cell>
          <cell r="Y34">
            <v>8069.4651275378155</v>
          </cell>
          <cell r="AB34">
            <v>6750</v>
          </cell>
          <cell r="AD34">
            <v>1301.5999999999999</v>
          </cell>
          <cell r="AF34">
            <v>1319.4651275378158</v>
          </cell>
          <cell r="AI34">
            <v>8069.4651275378155</v>
          </cell>
        </row>
        <row r="36">
          <cell r="B36" t="str">
            <v>Earnings per Share</v>
          </cell>
          <cell r="G36">
            <v>1.8334814814814824</v>
          </cell>
          <cell r="I36">
            <v>3.7379984951091041</v>
          </cell>
          <cell r="N36">
            <v>0.26155364862338004</v>
          </cell>
          <cell r="R36">
            <v>2.1072296296296282</v>
          </cell>
          <cell r="T36">
            <v>3.815996938384997</v>
          </cell>
          <cell r="Y36">
            <v>1.9800405742662699</v>
          </cell>
          <cell r="AB36">
            <v>2.2713925925925915</v>
          </cell>
          <cell r="AD36">
            <v>3.791180086047941</v>
          </cell>
          <cell r="AI36">
            <v>2.2028585629891153</v>
          </cell>
        </row>
        <row r="38">
          <cell r="I38" t="str">
            <v>Accretion (Dilution) - $</v>
          </cell>
          <cell r="N38">
            <v>-1.5719278328581023</v>
          </cell>
          <cell r="T38" t="str">
            <v>Accretion (Dilution) - $</v>
          </cell>
          <cell r="Y38">
            <v>-0.12718905536335834</v>
          </cell>
          <cell r="AD38" t="str">
            <v>Accretion (Dilution) - $</v>
          </cell>
          <cell r="AI38">
            <v>-6.853402960347621E-2</v>
          </cell>
        </row>
        <row r="40">
          <cell r="I40" t="str">
            <v>Accretion (Dilution) - %</v>
          </cell>
          <cell r="N40">
            <v>-0.8573459010821094</v>
          </cell>
          <cell r="T40" t="str">
            <v>Accretion (Dilution) - %</v>
          </cell>
          <cell r="Y40">
            <v>-6.0358422060396613E-2</v>
          </cell>
          <cell r="AD40" t="str">
            <v>Accretion (Dilution) - %</v>
          </cell>
          <cell r="AI40">
            <v>-3.0172692218411588E-2</v>
          </cell>
        </row>
        <row r="49">
          <cell r="B49" t="str">
            <v>Note:  Acquiror net income statement is pro forma for acquisitions entered on "Income Statement" tab.</v>
          </cell>
        </row>
        <row r="51">
          <cell r="A51" t="str">
            <v>x</v>
          </cell>
          <cell r="B51" t="str">
            <v xml:space="preserve"> "IF CONVERTED" METHOD</v>
          </cell>
        </row>
        <row r="52">
          <cell r="G52" t="str">
            <v>Pro Forma Fiscal Year Ending 2009</v>
          </cell>
          <cell r="R52" t="str">
            <v>Fiscal Year Ending 2010</v>
          </cell>
          <cell r="AB52" t="str">
            <v>Fiscal Year Ending 2011</v>
          </cell>
        </row>
        <row r="53">
          <cell r="G53" t="str">
            <v>Pfizer</v>
          </cell>
          <cell r="I53" t="str">
            <v>Wyeth</v>
          </cell>
          <cell r="K53" t="str">
            <v>Acq. Adj.</v>
          </cell>
          <cell r="N53" t="str">
            <v>Combined</v>
          </cell>
          <cell r="R53" t="str">
            <v>Pfizer</v>
          </cell>
          <cell r="T53" t="str">
            <v>Wyeth</v>
          </cell>
          <cell r="V53" t="str">
            <v>Acq. Adj.</v>
          </cell>
          <cell r="Y53" t="str">
            <v>Combined</v>
          </cell>
          <cell r="AB53" t="str">
            <v>Pfizer</v>
          </cell>
          <cell r="AD53" t="str">
            <v>Wyeth</v>
          </cell>
          <cell r="AF53" t="str">
            <v>Acq. Adj.</v>
          </cell>
          <cell r="AI53" t="str">
            <v>Combined</v>
          </cell>
        </row>
        <row r="54">
          <cell r="B54" t="str">
            <v>Total Net Sales</v>
          </cell>
          <cell r="G54">
            <v>46093.3</v>
          </cell>
          <cell r="I54">
            <v>23060.6</v>
          </cell>
          <cell r="K54">
            <v>-46093.299999999996</v>
          </cell>
          <cell r="N54">
            <v>23060.6</v>
          </cell>
          <cell r="R54">
            <v>47370.2</v>
          </cell>
          <cell r="T54">
            <v>23050.6</v>
          </cell>
          <cell r="V54">
            <v>0</v>
          </cell>
          <cell r="Y54">
            <v>70420.799999999988</v>
          </cell>
          <cell r="AB54">
            <v>47940.1</v>
          </cell>
          <cell r="AD54">
            <v>23169.1</v>
          </cell>
          <cell r="AF54">
            <v>0</v>
          </cell>
          <cell r="AI54">
            <v>71109.2</v>
          </cell>
        </row>
        <row r="55">
          <cell r="C55" t="str">
            <v>Cost of Goods Sold (Excluding Depreciation)</v>
          </cell>
          <cell r="G55">
            <v>2353.6000000000004</v>
          </cell>
          <cell r="I55">
            <v>5064.5999999999995</v>
          </cell>
          <cell r="K55">
            <v>-2353.6000000000004</v>
          </cell>
          <cell r="N55">
            <v>5064.5999999999995</v>
          </cell>
          <cell r="R55">
            <v>2665.8</v>
          </cell>
          <cell r="T55">
            <v>4999.5</v>
          </cell>
          <cell r="V55">
            <v>0</v>
          </cell>
          <cell r="Y55">
            <v>7665.3</v>
          </cell>
          <cell r="AB55">
            <v>3707.4999999999991</v>
          </cell>
          <cell r="AD55">
            <v>4961.3</v>
          </cell>
          <cell r="AF55">
            <v>0</v>
          </cell>
          <cell r="AI55">
            <v>8668.7999999999993</v>
          </cell>
        </row>
        <row r="56">
          <cell r="B56" t="str">
            <v>Gross Profit</v>
          </cell>
          <cell r="G56">
            <v>43739.700000000004</v>
          </cell>
          <cell r="I56">
            <v>17996</v>
          </cell>
          <cell r="K56">
            <v>-43739.700000000004</v>
          </cell>
          <cell r="N56">
            <v>17996</v>
          </cell>
          <cell r="R56">
            <v>44704.399999999994</v>
          </cell>
          <cell r="T56">
            <v>18051.099999999999</v>
          </cell>
          <cell r="V56">
            <v>0</v>
          </cell>
          <cell r="Y56">
            <v>62755.499999999985</v>
          </cell>
          <cell r="AB56">
            <v>44232.6</v>
          </cell>
          <cell r="AD56">
            <v>18207.8</v>
          </cell>
          <cell r="AF56">
            <v>0</v>
          </cell>
          <cell r="AI56">
            <v>62440.399999999994</v>
          </cell>
        </row>
        <row r="57">
          <cell r="C57" t="str">
            <v>Total SG&amp;A (Excluding Amortization)</v>
          </cell>
          <cell r="G57">
            <v>13927.7</v>
          </cell>
          <cell r="I57">
            <v>6560.7</v>
          </cell>
          <cell r="K57">
            <v>-14177.7</v>
          </cell>
          <cell r="N57">
            <v>6310.7</v>
          </cell>
          <cell r="R57">
            <v>12801.9</v>
          </cell>
          <cell r="T57">
            <v>6506.1</v>
          </cell>
          <cell r="V57">
            <v>-2000</v>
          </cell>
          <cell r="Y57">
            <v>17308</v>
          </cell>
          <cell r="AB57">
            <v>11366.7</v>
          </cell>
          <cell r="AD57">
            <v>6641.4</v>
          </cell>
          <cell r="AF57">
            <v>-3000</v>
          </cell>
          <cell r="AI57">
            <v>15008.099999999999</v>
          </cell>
        </row>
        <row r="58">
          <cell r="B58" t="str">
            <v>Operating EBITDA</v>
          </cell>
          <cell r="G58">
            <v>29812.000000000004</v>
          </cell>
          <cell r="I58">
            <v>11435.3</v>
          </cell>
          <cell r="K58">
            <v>-29562.000000000004</v>
          </cell>
          <cell r="N58">
            <v>11685.3</v>
          </cell>
          <cell r="R58">
            <v>31902.499999999993</v>
          </cell>
          <cell r="T58">
            <v>11544.999999999998</v>
          </cell>
          <cell r="V58">
            <v>1999.9999999999927</v>
          </cell>
          <cell r="Y58">
            <v>45447.499999999985</v>
          </cell>
          <cell r="AB58">
            <v>32865.899999999994</v>
          </cell>
          <cell r="AD58">
            <v>11566.4</v>
          </cell>
          <cell r="AF58">
            <v>3000</v>
          </cell>
          <cell r="AI58">
            <v>47432.299999999996</v>
          </cell>
        </row>
        <row r="59">
          <cell r="C59" t="str">
            <v>Other (Income) Expense</v>
          </cell>
          <cell r="G59">
            <v>7948.5</v>
          </cell>
          <cell r="I59">
            <v>3431.8</v>
          </cell>
          <cell r="K59">
            <v>-7948.4999999999991</v>
          </cell>
          <cell r="N59">
            <v>3431.8</v>
          </cell>
          <cell r="R59">
            <v>7698.5</v>
          </cell>
          <cell r="T59">
            <v>3544.7</v>
          </cell>
          <cell r="V59">
            <v>0</v>
          </cell>
          <cell r="Y59">
            <v>11243.2</v>
          </cell>
          <cell r="AB59">
            <v>7187.9</v>
          </cell>
          <cell r="AD59">
            <v>3662.2</v>
          </cell>
          <cell r="AF59">
            <v>0</v>
          </cell>
          <cell r="AI59">
            <v>10850.099999999999</v>
          </cell>
        </row>
        <row r="60">
          <cell r="C60" t="str">
            <v>Corporate Overhead</v>
          </cell>
          <cell r="G60">
            <v>0</v>
          </cell>
          <cell r="I60">
            <v>0</v>
          </cell>
          <cell r="K60">
            <v>0</v>
          </cell>
          <cell r="N60">
            <v>0</v>
          </cell>
          <cell r="R60">
            <v>0</v>
          </cell>
          <cell r="T60">
            <v>0</v>
          </cell>
          <cell r="V60">
            <v>0</v>
          </cell>
          <cell r="Y60">
            <v>0</v>
          </cell>
          <cell r="AB60">
            <v>0</v>
          </cell>
          <cell r="AD60">
            <v>0</v>
          </cell>
          <cell r="AF60">
            <v>0</v>
          </cell>
          <cell r="AI60">
            <v>0</v>
          </cell>
        </row>
        <row r="61">
          <cell r="B61" t="str">
            <v>EBITDA</v>
          </cell>
          <cell r="G61">
            <v>21863.500000000004</v>
          </cell>
          <cell r="I61">
            <v>8003.4999999999991</v>
          </cell>
          <cell r="K61">
            <v>-21613.500000000004</v>
          </cell>
          <cell r="N61">
            <v>8253.5</v>
          </cell>
          <cell r="R61">
            <v>24203.999999999993</v>
          </cell>
          <cell r="T61">
            <v>8000.2999999999984</v>
          </cell>
          <cell r="V61">
            <v>1999.9999999999964</v>
          </cell>
          <cell r="Y61">
            <v>34204.299999999988</v>
          </cell>
          <cell r="AB61">
            <v>25677.999999999993</v>
          </cell>
          <cell r="AD61">
            <v>7904.2</v>
          </cell>
          <cell r="AF61">
            <v>3000.0000000000073</v>
          </cell>
          <cell r="AI61">
            <v>36582.199999999997</v>
          </cell>
        </row>
        <row r="62">
          <cell r="C62" t="str">
            <v>Depreciation &amp; Amortization</v>
          </cell>
          <cell r="G62">
            <v>4823.3999999999996</v>
          </cell>
          <cell r="I62">
            <v>938.1</v>
          </cell>
          <cell r="K62">
            <v>-3225.7345396306064</v>
          </cell>
          <cell r="N62">
            <v>2535.7654603693936</v>
          </cell>
          <cell r="R62">
            <v>4790.3999999999996</v>
          </cell>
          <cell r="T62">
            <v>987.3</v>
          </cell>
          <cell r="V62">
            <v>1447.6654603693942</v>
          </cell>
          <cell r="Y62">
            <v>7225.365460369394</v>
          </cell>
          <cell r="AB62">
            <v>4861.8</v>
          </cell>
          <cell r="AD62">
            <v>1037</v>
          </cell>
          <cell r="AF62">
            <v>1447.6654603693942</v>
          </cell>
          <cell r="AI62">
            <v>7346.4654603693943</v>
          </cell>
        </row>
        <row r="63">
          <cell r="B63" t="str">
            <v>EBIT</v>
          </cell>
          <cell r="G63">
            <v>17040.100000000006</v>
          </cell>
          <cell r="I63">
            <v>7065.3999999999987</v>
          </cell>
          <cell r="K63">
            <v>-18387.765460369395</v>
          </cell>
          <cell r="N63">
            <v>5717.7345396306064</v>
          </cell>
          <cell r="R63">
            <v>19413.599999999991</v>
          </cell>
          <cell r="T63">
            <v>7012.9999999999982</v>
          </cell>
          <cell r="V63">
            <v>552.3345396306031</v>
          </cell>
          <cell r="Y63">
            <v>26978.934539630594</v>
          </cell>
          <cell r="AB63">
            <v>20816.199999999993</v>
          </cell>
          <cell r="AD63">
            <v>6867.2</v>
          </cell>
          <cell r="AF63">
            <v>1552.3345396306104</v>
          </cell>
          <cell r="AI63">
            <v>29235.734539630605</v>
          </cell>
        </row>
        <row r="64">
          <cell r="C64" t="str">
            <v>Interest (Income)</v>
          </cell>
          <cell r="G64">
            <v>-1095.2</v>
          </cell>
          <cell r="I64">
            <v>-529.29999999999995</v>
          </cell>
          <cell r="K64">
            <v>1773.8048876879236</v>
          </cell>
          <cell r="N64">
            <v>149.30488768792367</v>
          </cell>
          <cell r="R64">
            <v>-1318.8</v>
          </cell>
          <cell r="T64">
            <v>-586.4</v>
          </cell>
          <cell r="V64">
            <v>1818.5798986357524</v>
          </cell>
          <cell r="Y64">
            <v>-86.620101364247347</v>
          </cell>
          <cell r="AB64">
            <v>-1508.9</v>
          </cell>
          <cell r="AD64">
            <v>-609.4</v>
          </cell>
          <cell r="AF64">
            <v>1802.3302680796237</v>
          </cell>
          <cell r="AI64">
            <v>-315.96973192037649</v>
          </cell>
        </row>
        <row r="65">
          <cell r="C65" t="str">
            <v xml:space="preserve">Other (Income) </v>
          </cell>
          <cell r="G65">
            <v>-360</v>
          </cell>
          <cell r="I65">
            <v>-100</v>
          </cell>
          <cell r="K65">
            <v>360</v>
          </cell>
          <cell r="N65">
            <v>-100</v>
          </cell>
          <cell r="R65">
            <v>-360</v>
          </cell>
          <cell r="T65">
            <v>-120</v>
          </cell>
          <cell r="V65">
            <v>0</v>
          </cell>
          <cell r="Y65">
            <v>-480</v>
          </cell>
          <cell r="AB65">
            <v>-350</v>
          </cell>
          <cell r="AD65">
            <v>-120</v>
          </cell>
          <cell r="AF65">
            <v>0</v>
          </cell>
          <cell r="AI65">
            <v>-470</v>
          </cell>
        </row>
        <row r="66">
          <cell r="C66" t="str">
            <v>Other Expense</v>
          </cell>
          <cell r="G66">
            <v>0</v>
          </cell>
          <cell r="I66">
            <v>0</v>
          </cell>
          <cell r="K66">
            <v>0</v>
          </cell>
          <cell r="N66">
            <v>0</v>
          </cell>
          <cell r="R66">
            <v>0</v>
          </cell>
          <cell r="T66">
            <v>0</v>
          </cell>
          <cell r="V66">
            <v>0</v>
          </cell>
          <cell r="Y66">
            <v>0</v>
          </cell>
          <cell r="AB66">
            <v>0</v>
          </cell>
          <cell r="AD66">
            <v>0</v>
          </cell>
          <cell r="AF66">
            <v>0</v>
          </cell>
          <cell r="AI66">
            <v>0</v>
          </cell>
        </row>
        <row r="67">
          <cell r="C67" t="str">
            <v>Deal Fees</v>
          </cell>
          <cell r="G67">
            <v>0</v>
          </cell>
          <cell r="I67">
            <v>0</v>
          </cell>
          <cell r="K67">
            <v>0</v>
          </cell>
          <cell r="N67">
            <v>0</v>
          </cell>
          <cell r="R67">
            <v>0</v>
          </cell>
          <cell r="T67">
            <v>0</v>
          </cell>
          <cell r="V67">
            <v>0</v>
          </cell>
          <cell r="Y67">
            <v>0</v>
          </cell>
          <cell r="AB67">
            <v>0</v>
          </cell>
          <cell r="AD67">
            <v>0</v>
          </cell>
          <cell r="AF67">
            <v>0</v>
          </cell>
          <cell r="AI67">
            <v>0</v>
          </cell>
        </row>
        <row r="68">
          <cell r="C68" t="str">
            <v>Restructuring Costs</v>
          </cell>
          <cell r="G68">
            <v>0</v>
          </cell>
          <cell r="I68">
            <v>0</v>
          </cell>
          <cell r="K68">
            <v>0</v>
          </cell>
          <cell r="N68">
            <v>0</v>
          </cell>
          <cell r="R68">
            <v>0</v>
          </cell>
          <cell r="T68">
            <v>0</v>
          </cell>
          <cell r="V68">
            <v>0</v>
          </cell>
          <cell r="Y68">
            <v>0</v>
          </cell>
          <cell r="AB68">
            <v>0</v>
          </cell>
          <cell r="AD68">
            <v>0</v>
          </cell>
          <cell r="AF68">
            <v>0</v>
          </cell>
          <cell r="AI68">
            <v>0</v>
          </cell>
        </row>
        <row r="69">
          <cell r="C69" t="str">
            <v>Interest Expense</v>
          </cell>
          <cell r="G69">
            <v>775.2</v>
          </cell>
          <cell r="I69">
            <v>597.9</v>
          </cell>
          <cell r="K69">
            <v>433.05758249645282</v>
          </cell>
          <cell r="N69">
            <v>1806.1575824964527</v>
          </cell>
          <cell r="R69">
            <v>732.7</v>
          </cell>
          <cell r="T69">
            <v>597.20000000000005</v>
          </cell>
          <cell r="V69">
            <v>-414.1259675911831</v>
          </cell>
          <cell r="Y69">
            <v>915.77403240881699</v>
          </cell>
          <cell r="AB69">
            <v>732.4</v>
          </cell>
          <cell r="AD69">
            <v>597.20000000000005</v>
          </cell>
          <cell r="AF69">
            <v>-934.37965334689954</v>
          </cell>
          <cell r="AI69">
            <v>395.22034665310036</v>
          </cell>
        </row>
        <row r="70">
          <cell r="B70" t="str">
            <v>Pre-Tax Income</v>
          </cell>
          <cell r="G70">
            <v>17720.100000000006</v>
          </cell>
          <cell r="I70">
            <v>7096.7999999999993</v>
          </cell>
          <cell r="K70">
            <v>-20954.627930553776</v>
          </cell>
          <cell r="N70">
            <v>3862.2720694462296</v>
          </cell>
          <cell r="R70">
            <v>20359.69999999999</v>
          </cell>
          <cell r="T70">
            <v>7122.199999999998</v>
          </cell>
          <cell r="V70">
            <v>-852.11939141396215</v>
          </cell>
          <cell r="Y70">
            <v>26629.780608586025</v>
          </cell>
          <cell r="AB70">
            <v>21942.699999999993</v>
          </cell>
          <cell r="AD70">
            <v>6999.4</v>
          </cell>
          <cell r="AF70">
            <v>684.38392489789112</v>
          </cell>
          <cell r="AI70">
            <v>29626.483924897882</v>
          </cell>
        </row>
        <row r="71">
          <cell r="C71" t="str">
            <v>Income Taxes Expense</v>
          </cell>
          <cell r="G71">
            <v>5316.1</v>
          </cell>
          <cell r="I71">
            <v>597.9</v>
          </cell>
          <cell r="K71">
            <v>-4369.0911722215078</v>
          </cell>
          <cell r="N71">
            <v>1544.908827778492</v>
          </cell>
          <cell r="R71">
            <v>6107.9</v>
          </cell>
          <cell r="T71">
            <v>2136.6</v>
          </cell>
          <cell r="V71">
            <v>2407.4122434344099</v>
          </cell>
          <cell r="Y71">
            <v>10651.91224343441</v>
          </cell>
          <cell r="AB71">
            <v>6582.7999999999993</v>
          </cell>
          <cell r="AD71">
            <v>2064.8000000000002</v>
          </cell>
          <cell r="AF71">
            <v>3202.9935699591551</v>
          </cell>
          <cell r="AI71">
            <v>11850.593569959154</v>
          </cell>
        </row>
        <row r="72">
          <cell r="C72" t="str">
            <v>Preferred Dividends</v>
          </cell>
          <cell r="G72">
            <v>0</v>
          </cell>
          <cell r="I72">
            <v>7694.699999999998</v>
          </cell>
          <cell r="K72">
            <v>-7694.699999999998</v>
          </cell>
          <cell r="N72">
            <v>0</v>
          </cell>
          <cell r="R72">
            <v>0</v>
          </cell>
          <cell r="T72">
            <v>0</v>
          </cell>
          <cell r="V72">
            <v>0</v>
          </cell>
          <cell r="Y72">
            <v>0</v>
          </cell>
          <cell r="AB72">
            <v>0</v>
          </cell>
          <cell r="AD72">
            <v>0</v>
          </cell>
          <cell r="AF72">
            <v>0</v>
          </cell>
          <cell r="AI72">
            <v>0</v>
          </cell>
        </row>
        <row r="73">
          <cell r="B73" t="str">
            <v>Consolidated Net Income</v>
          </cell>
          <cell r="G73">
            <v>12404.000000000005</v>
          </cell>
          <cell r="I73">
            <v>-1195.7999999999993</v>
          </cell>
          <cell r="K73">
            <v>-8890.8367583322688</v>
          </cell>
          <cell r="N73">
            <v>2317.3632416677374</v>
          </cell>
          <cell r="R73">
            <v>14251.79999999999</v>
          </cell>
          <cell r="T73">
            <v>4985.5999999999985</v>
          </cell>
          <cell r="V73">
            <v>-3259.5316348483721</v>
          </cell>
          <cell r="Y73">
            <v>15977.868365151615</v>
          </cell>
          <cell r="AB73">
            <v>15359.899999999994</v>
          </cell>
          <cell r="AD73">
            <v>4934.5999999999995</v>
          </cell>
          <cell r="AF73">
            <v>-2518.609645061264</v>
          </cell>
          <cell r="AI73">
            <v>17775.890354938729</v>
          </cell>
        </row>
        <row r="74">
          <cell r="C74" t="str">
            <v>Attributable to Non-Controlling Interests</v>
          </cell>
          <cell r="G74">
            <v>28</v>
          </cell>
          <cell r="I74">
            <v>0</v>
          </cell>
          <cell r="K74">
            <v>-28</v>
          </cell>
          <cell r="N74">
            <v>0</v>
          </cell>
          <cell r="R74">
            <v>28</v>
          </cell>
          <cell r="T74">
            <v>0</v>
          </cell>
          <cell r="V74">
            <v>-28</v>
          </cell>
          <cell r="Y74">
            <v>0</v>
          </cell>
          <cell r="AB74">
            <v>28</v>
          </cell>
          <cell r="AD74">
            <v>0</v>
          </cell>
          <cell r="AF74">
            <v>-28</v>
          </cell>
          <cell r="AI74">
            <v>0</v>
          </cell>
        </row>
        <row r="75">
          <cell r="B75" t="str">
            <v>Net Income Available to Common</v>
          </cell>
          <cell r="G75">
            <v>12376.000000000005</v>
          </cell>
          <cell r="I75">
            <v>-1195.7999999999993</v>
          </cell>
          <cell r="K75">
            <v>-8862.8367583322688</v>
          </cell>
          <cell r="N75">
            <v>2317.3632416677374</v>
          </cell>
          <cell r="R75">
            <v>14223.79999999999</v>
          </cell>
          <cell r="T75">
            <v>4985.5999999999985</v>
          </cell>
          <cell r="V75">
            <v>-3231.5316348483721</v>
          </cell>
          <cell r="Y75">
            <v>15977.868365151615</v>
          </cell>
          <cell r="AB75">
            <v>15331.899999999994</v>
          </cell>
          <cell r="AD75">
            <v>4934.5999999999995</v>
          </cell>
          <cell r="AF75">
            <v>-2490.609645061264</v>
          </cell>
          <cell r="AI75">
            <v>17775.890354938729</v>
          </cell>
        </row>
        <row r="77">
          <cell r="B77" t="str">
            <v>Existing Convertible Debt Shares</v>
          </cell>
          <cell r="N77">
            <v>0</v>
          </cell>
          <cell r="Y77">
            <v>0</v>
          </cell>
          <cell r="AI77">
            <v>0</v>
          </cell>
        </row>
        <row r="78">
          <cell r="B78" t="str">
            <v>New Convertible Debt Shares</v>
          </cell>
          <cell r="N78">
            <v>220.40996253030639</v>
          </cell>
          <cell r="Y78">
            <v>220.40996253030639</v>
          </cell>
          <cell r="AI78">
            <v>220.40996253030639</v>
          </cell>
        </row>
        <row r="79">
          <cell r="B79" t="str">
            <v>Fully Diluted Shares Outstanding - excluding Convts</v>
          </cell>
          <cell r="G79">
            <v>6750</v>
          </cell>
          <cell r="I79">
            <v>1329</v>
          </cell>
          <cell r="K79">
            <v>1319.4651275378158</v>
          </cell>
          <cell r="N79">
            <v>8069.4651275378155</v>
          </cell>
          <cell r="R79">
            <v>6750</v>
          </cell>
          <cell r="T79">
            <v>1306.5</v>
          </cell>
          <cell r="V79">
            <v>1319.4651275378158</v>
          </cell>
          <cell r="Y79">
            <v>8069.4651275378155</v>
          </cell>
          <cell r="AB79">
            <v>6750</v>
          </cell>
          <cell r="AD79">
            <v>1301.5999999999999</v>
          </cell>
          <cell r="AF79">
            <v>1319.4651275378158</v>
          </cell>
          <cell r="AI79">
            <v>8069.4651275378155</v>
          </cell>
        </row>
        <row r="80">
          <cell r="B80" t="str">
            <v>Total Shares</v>
          </cell>
          <cell r="G80">
            <v>6750</v>
          </cell>
          <cell r="N80">
            <v>8289.8750900681225</v>
          </cell>
          <cell r="R80">
            <v>6750</v>
          </cell>
          <cell r="Y80">
            <v>8289.8750900681225</v>
          </cell>
          <cell r="AB80">
            <v>6750</v>
          </cell>
          <cell r="AI80">
            <v>8289.8750900681225</v>
          </cell>
        </row>
        <row r="82">
          <cell r="B82" t="str">
            <v>Earnings per Share</v>
          </cell>
          <cell r="G82">
            <v>1.8334814814814824</v>
          </cell>
          <cell r="I82">
            <v>-0.89977426636568791</v>
          </cell>
          <cell r="N82">
            <v>0.27954139435033326</v>
          </cell>
          <cell r="R82">
            <v>2.1072296296296282</v>
          </cell>
          <cell r="T82">
            <v>3.815996938384997</v>
          </cell>
          <cell r="Y82">
            <v>1.927395550783904</v>
          </cell>
          <cell r="AB82">
            <v>2.2713925925925915</v>
          </cell>
          <cell r="AD82">
            <v>3.791180086047941</v>
          </cell>
          <cell r="AI82">
            <v>2.1442892880539959</v>
          </cell>
        </row>
        <row r="84">
          <cell r="I84" t="str">
            <v>Accretion (Dilution) - $</v>
          </cell>
          <cell r="N84">
            <v>-1.5539400871311491</v>
          </cell>
          <cell r="T84" t="str">
            <v>Accretion (Dilution) - $</v>
          </cell>
          <cell r="Y84">
            <v>-0.17983407884572422</v>
          </cell>
          <cell r="AD84" t="str">
            <v>Accretion (Dilution) - $</v>
          </cell>
          <cell r="AI84">
            <v>-0.12710330453859564</v>
          </cell>
        </row>
        <row r="86">
          <cell r="I86" t="str">
            <v>Accretion (Dilution) - %</v>
          </cell>
          <cell r="N86">
            <v>-0.84753519619709528</v>
          </cell>
          <cell r="T86" t="str">
            <v>Accretion (Dilution) - %</v>
          </cell>
          <cell r="Y86">
            <v>-8.53414721950983E-2</v>
          </cell>
          <cell r="AD86" t="str">
            <v>Accretion (Dilution) - %</v>
          </cell>
          <cell r="AI86">
            <v>-5.5958316036206927E-2</v>
          </cell>
        </row>
        <row r="93">
          <cell r="A93" t="str">
            <v>x</v>
          </cell>
          <cell r="E93" t="str">
            <v>Convert New Convertible Debt?</v>
          </cell>
          <cell r="G93" t="str">
            <v>Y</v>
          </cell>
        </row>
      </sheetData>
      <sheetData sheetId="11" refreshError="1"/>
      <sheetData sheetId="12">
        <row r="2">
          <cell r="H2" t="str">
            <v>* Toggle "Include Acquiror" to OFF from Inputs tab for correct output</v>
          </cell>
        </row>
        <row r="4">
          <cell r="F4" t="str">
            <v>Timing Discount Factor</v>
          </cell>
          <cell r="G4">
            <v>0</v>
          </cell>
          <cell r="H4" t="str">
            <v>0.0 = Assumes cash flows are received at year end</v>
          </cell>
        </row>
        <row r="5">
          <cell r="H5" t="str">
            <v>0.5 = Assumes cash flows are received mid year (terminal value always discounted at year-end)</v>
          </cell>
        </row>
        <row r="6">
          <cell r="F6" t="str">
            <v>Show Stub?</v>
          </cell>
          <cell r="G6">
            <v>3</v>
          </cell>
          <cell r="H6">
            <v>0</v>
          </cell>
        </row>
        <row r="7">
          <cell r="F7" t="str">
            <v>Terminal Value Method</v>
          </cell>
          <cell r="G7" t="str">
            <v>Growth</v>
          </cell>
        </row>
        <row r="9">
          <cell r="A9" t="str">
            <v>x</v>
          </cell>
          <cell r="C9" t="str">
            <v>Projected Free Cash Flow Summary</v>
          </cell>
        </row>
        <row r="10">
          <cell r="C10" t="str">
            <v>($ in Millions)</v>
          </cell>
          <cell r="H10">
            <v>3</v>
          </cell>
          <cell r="J10" t="str">
            <v>For the Years Ended December 31,</v>
          </cell>
          <cell r="P10" t="str">
            <v>Terminal</v>
          </cell>
        </row>
        <row r="11">
          <cell r="H11">
            <v>2009</v>
          </cell>
          <cell r="J11">
            <v>2010</v>
          </cell>
          <cell r="K11">
            <v>2011</v>
          </cell>
          <cell r="L11">
            <v>2012</v>
          </cell>
          <cell r="M11">
            <v>2013</v>
          </cell>
          <cell r="N11">
            <v>2014</v>
          </cell>
          <cell r="P11" t="str">
            <v>Value</v>
          </cell>
          <cell r="R11" t="str">
            <v>2014 Normalized</v>
          </cell>
          <cell r="U11">
            <v>2009</v>
          </cell>
        </row>
        <row r="12">
          <cell r="C12" t="str">
            <v>Net Revenue</v>
          </cell>
          <cell r="H12">
            <v>5765.1500000000015</v>
          </cell>
          <cell r="J12">
            <v>23050.6</v>
          </cell>
          <cell r="K12">
            <v>23169.1</v>
          </cell>
          <cell r="L12">
            <v>24367.3</v>
          </cell>
          <cell r="M12">
            <v>26043.8</v>
          </cell>
          <cell r="N12">
            <v>27835.645247524346</v>
          </cell>
          <cell r="P12">
            <v>28392.358152474833</v>
          </cell>
          <cell r="R12">
            <v>27835.645247524346</v>
          </cell>
          <cell r="U12">
            <v>23060.6</v>
          </cell>
        </row>
        <row r="13">
          <cell r="C13" t="str">
            <v>% Growth</v>
          </cell>
          <cell r="H13" t="str">
            <v xml:space="preserve">NM </v>
          </cell>
          <cell r="J13">
            <v>-4.3364006140345079E-4</v>
          </cell>
          <cell r="K13">
            <v>5.1408640122165838E-3</v>
          </cell>
          <cell r="L13">
            <v>5.1715431328795747E-2</v>
          </cell>
          <cell r="M13">
            <v>6.880122130888533E-2</v>
          </cell>
          <cell r="N13">
            <v>6.880122130888533E-2</v>
          </cell>
          <cell r="P13">
            <v>2.0000000000000018E-2</v>
          </cell>
        </row>
        <row r="15">
          <cell r="C15" t="str">
            <v>EBITDA</v>
          </cell>
          <cell r="H15">
            <v>2000.8750000000027</v>
          </cell>
          <cell r="J15">
            <v>8000.2999999999984</v>
          </cell>
          <cell r="K15">
            <v>7904.2</v>
          </cell>
          <cell r="L15">
            <v>8455.1999999999989</v>
          </cell>
          <cell r="M15">
            <v>9442</v>
          </cell>
          <cell r="N15">
            <v>10091.621131598495</v>
          </cell>
          <cell r="P15">
            <v>10293.453554230464</v>
          </cell>
          <cell r="R15">
            <v>10091.621131598495</v>
          </cell>
        </row>
        <row r="16">
          <cell r="C16" t="str">
            <v>% Margin</v>
          </cell>
          <cell r="H16">
            <v>0.34706382314423773</v>
          </cell>
          <cell r="J16">
            <v>0.34707556419355673</v>
          </cell>
          <cell r="K16">
            <v>0.34115265590808447</v>
          </cell>
          <cell r="L16">
            <v>0.34698961312907051</v>
          </cell>
          <cell r="M16">
            <v>0.36254310046920957</v>
          </cell>
          <cell r="N16">
            <v>0.36254310046920957</v>
          </cell>
          <cell r="P16">
            <v>0.36254310046920951</v>
          </cell>
          <cell r="R16">
            <v>0.36254310046920957</v>
          </cell>
        </row>
        <row r="18">
          <cell r="C18" t="str">
            <v>EBIT (Excluding Synergies)</v>
          </cell>
          <cell r="H18">
            <v>1766.3500000000026</v>
          </cell>
          <cell r="J18">
            <v>7012.9999999999982</v>
          </cell>
          <cell r="K18">
            <v>6867.2</v>
          </cell>
          <cell r="L18">
            <v>7389.1999999999989</v>
          </cell>
          <cell r="M18">
            <v>8327.2000000000007</v>
          </cell>
          <cell r="N18">
            <v>8900.1215300833501</v>
          </cell>
          <cell r="P18">
            <v>9078.1239606850177</v>
          </cell>
          <cell r="R18">
            <v>8900.1215300833501</v>
          </cell>
        </row>
        <row r="19">
          <cell r="D19" t="str">
            <v>Less: Taxes 1</v>
          </cell>
          <cell r="H19">
            <v>706.5400000000011</v>
          </cell>
          <cell r="J19">
            <v>2805.1999999999994</v>
          </cell>
          <cell r="K19">
            <v>2746.88</v>
          </cell>
          <cell r="L19">
            <v>2955.68</v>
          </cell>
          <cell r="M19">
            <v>3330.8800000000006</v>
          </cell>
          <cell r="N19">
            <v>3560.0486120333403</v>
          </cell>
          <cell r="P19">
            <v>3631.2495842740072</v>
          </cell>
          <cell r="R19">
            <v>3560.0486120333403</v>
          </cell>
        </row>
        <row r="20">
          <cell r="D20" t="str">
            <v>Plus: Depreciation &amp; Amortization</v>
          </cell>
          <cell r="H20">
            <v>234.52499999999998</v>
          </cell>
          <cell r="J20">
            <v>987.3</v>
          </cell>
          <cell r="K20">
            <v>1037</v>
          </cell>
          <cell r="L20">
            <v>1066</v>
          </cell>
          <cell r="M20">
            <v>1114.8</v>
          </cell>
          <cell r="N20">
            <v>1191.4996015151453</v>
          </cell>
          <cell r="P20">
            <v>1191.4996015151453</v>
          </cell>
          <cell r="R20">
            <v>1191.4996015151453</v>
          </cell>
        </row>
        <row r="21">
          <cell r="D21" t="str">
            <v>Less: Capital Expenditures</v>
          </cell>
          <cell r="H21">
            <v>250</v>
          </cell>
          <cell r="J21">
            <v>1000</v>
          </cell>
          <cell r="K21">
            <v>1000</v>
          </cell>
          <cell r="L21">
            <v>1000</v>
          </cell>
          <cell r="M21">
            <v>1000</v>
          </cell>
          <cell r="N21">
            <v>1000</v>
          </cell>
          <cell r="P21">
            <v>1191.4996015151453</v>
          </cell>
          <cell r="R21">
            <v>1191.4996015151453</v>
          </cell>
        </row>
        <row r="22">
          <cell r="D22" t="str">
            <v>Less: Incremental Working Capital</v>
          </cell>
          <cell r="H22">
            <v>1.4027770022885306</v>
          </cell>
          <cell r="J22">
            <v>-21.833798594190739</v>
          </cell>
          <cell r="K22">
            <v>-11.362395224487955</v>
          </cell>
          <cell r="L22">
            <v>84.420435009898029</v>
          </cell>
          <cell r="M22">
            <v>98.234677583744997</v>
          </cell>
          <cell r="N22">
            <v>145.01657889756098</v>
          </cell>
          <cell r="P22">
            <v>147.9169104755122</v>
          </cell>
          <cell r="R22">
            <v>145.01657889756098</v>
          </cell>
        </row>
        <row r="23">
          <cell r="C23" t="str">
            <v>Unlevered Free Cash Flow</v>
          </cell>
          <cell r="H23">
            <v>1042.9322229977129</v>
          </cell>
          <cell r="J23">
            <v>4216.9337985941902</v>
          </cell>
          <cell r="K23">
            <v>4168.6823952244877</v>
          </cell>
          <cell r="L23">
            <v>4415.0995649901006</v>
          </cell>
          <cell r="M23">
            <v>5012.8853224162549</v>
          </cell>
          <cell r="N23">
            <v>5386.5559406675939</v>
          </cell>
          <cell r="P23">
            <v>5298.9574659354985</v>
          </cell>
          <cell r="R23">
            <v>5195.0563391524483</v>
          </cell>
        </row>
        <row r="25">
          <cell r="A25" t="str">
            <v>x</v>
          </cell>
          <cell r="C25" t="str">
            <v>PV of Cash Flows @ 7.8% Discount Rate</v>
          </cell>
          <cell r="H25">
            <v>1023.5021046636699</v>
          </cell>
          <cell r="J25">
            <v>3838.4868229424333</v>
          </cell>
          <cell r="K25">
            <v>3519.5950316252997</v>
          </cell>
          <cell r="L25">
            <v>3457.522430922696</v>
          </cell>
          <cell r="M25">
            <v>3641.1862229192952</v>
          </cell>
          <cell r="N25">
            <v>3629.0830962885998</v>
          </cell>
          <cell r="P25">
            <v>61419.780910208639</v>
          </cell>
          <cell r="R25">
            <v>3500.0641137588304</v>
          </cell>
        </row>
        <row r="27">
          <cell r="C27" t="str">
            <v>PV of Future Cash Flows</v>
          </cell>
          <cell r="H27">
            <v>19109.375709361993</v>
          </cell>
        </row>
        <row r="28">
          <cell r="C28" t="str">
            <v>PV of Terminal Value (Perpetuity Growth of 2.0%)</v>
          </cell>
          <cell r="H28">
            <v>61419.780910208639</v>
          </cell>
        </row>
        <row r="29">
          <cell r="C29" t="str">
            <v>Standalone Enterprise Value</v>
          </cell>
          <cell r="H29">
            <v>80529.156619570625</v>
          </cell>
        </row>
        <row r="30">
          <cell r="C30" t="str">
            <v>Less Net Debt</v>
          </cell>
          <cell r="H30">
            <v>-3440.6000000000022</v>
          </cell>
        </row>
        <row r="31">
          <cell r="C31" t="str">
            <v>Implied Equity Value</v>
          </cell>
          <cell r="H31">
            <v>83969.756619570631</v>
          </cell>
        </row>
        <row r="32">
          <cell r="C32" t="str">
            <v>Implied Price Per Share</v>
          </cell>
          <cell r="H32">
            <v>62.946107977645973</v>
          </cell>
        </row>
        <row r="34">
          <cell r="C34" t="str">
            <v>Implied EV / LTM 9/30/09 EBITDA</v>
          </cell>
          <cell r="H34">
            <v>8.0526740817346116</v>
          </cell>
        </row>
        <row r="36">
          <cell r="D36" t="str">
            <v>Pre-Tax Synergies (Perpetuity Growth of 2.0%)</v>
          </cell>
          <cell r="H36">
            <v>250</v>
          </cell>
          <cell r="J36">
            <v>2000</v>
          </cell>
          <cell r="K36">
            <v>3000</v>
          </cell>
          <cell r="L36">
            <v>4000</v>
          </cell>
          <cell r="M36">
            <v>4000</v>
          </cell>
          <cell r="N36">
            <v>4000</v>
          </cell>
          <cell r="P36">
            <v>4080</v>
          </cell>
        </row>
        <row r="37">
          <cell r="D37" t="str">
            <v>Tax-Affected Synergies @ 40.0% Tax Rate</v>
          </cell>
          <cell r="H37">
            <v>150</v>
          </cell>
          <cell r="J37">
            <v>1200</v>
          </cell>
          <cell r="K37">
            <v>1800</v>
          </cell>
          <cell r="L37">
            <v>2400</v>
          </cell>
          <cell r="M37">
            <v>2400</v>
          </cell>
          <cell r="N37">
            <v>2400</v>
          </cell>
          <cell r="P37">
            <v>2448</v>
          </cell>
        </row>
        <row r="39">
          <cell r="A39" t="str">
            <v>x</v>
          </cell>
          <cell r="C39" t="str">
            <v>PV of Synergies @ 7.8% Discount Rate</v>
          </cell>
          <cell r="H39">
            <v>147.20545814403047</v>
          </cell>
          <cell r="J39">
            <v>1092.3064974523659</v>
          </cell>
          <cell r="K39">
            <v>1519.7298465776687</v>
          </cell>
          <cell r="L39">
            <v>1879.4715072825488</v>
          </cell>
          <cell r="M39">
            <v>1743.2768501462763</v>
          </cell>
          <cell r="N39">
            <v>1616.9514485749819</v>
          </cell>
          <cell r="P39">
            <v>28374.567003935441</v>
          </cell>
        </row>
        <row r="41">
          <cell r="C41" t="str">
            <v>Standalone Enterprise Value</v>
          </cell>
          <cell r="H41">
            <v>80529.156619570625</v>
          </cell>
        </row>
        <row r="42">
          <cell r="C42" t="str">
            <v>PV of Synergies</v>
          </cell>
          <cell r="H42">
            <v>36373.508612113314</v>
          </cell>
        </row>
        <row r="43">
          <cell r="C43" t="str">
            <v>Enterprise Value w/ Synergies</v>
          </cell>
          <cell r="H43">
            <v>116902.66523168393</v>
          </cell>
        </row>
        <row r="44">
          <cell r="C44" t="str">
            <v>Less Net Debt</v>
          </cell>
          <cell r="H44">
            <v>-3440.6000000000022</v>
          </cell>
        </row>
        <row r="45">
          <cell r="C45" t="str">
            <v>Implied Equity Value</v>
          </cell>
          <cell r="H45">
            <v>120343.26523168394</v>
          </cell>
        </row>
        <row r="46">
          <cell r="C46" t="str">
            <v>Implied Price Per Share</v>
          </cell>
          <cell r="H46">
            <v>90.212720300901125</v>
          </cell>
        </row>
        <row r="48">
          <cell r="C48" t="str">
            <v>Implied EV / LTM 9/30/09 EBITDA</v>
          </cell>
          <cell r="H48">
            <v>11.689915825693623</v>
          </cell>
        </row>
        <row r="50">
          <cell r="C50" t="str">
            <v>Source: Company projections and Wachovia estimates</v>
          </cell>
        </row>
        <row r="51">
          <cell r="C51" t="str">
            <v>Note: Cash flows are discounted back to September 30, 2009</v>
          </cell>
        </row>
        <row r="52">
          <cell r="C52">
            <v>1</v>
          </cell>
          <cell r="D52" t="str">
            <v>Based on an effective tax rate of 40.0%</v>
          </cell>
        </row>
        <row r="53">
          <cell r="H53">
            <v>1190.1376811417433</v>
          </cell>
          <cell r="I53">
            <v>0</v>
          </cell>
          <cell r="J53">
            <v>5416.9337985941902</v>
          </cell>
          <cell r="K53">
            <v>5968.6823952244877</v>
          </cell>
          <cell r="L53">
            <v>6815.0995649901006</v>
          </cell>
          <cell r="M53">
            <v>7412.8853224162549</v>
          </cell>
          <cell r="N53">
            <v>7786.5559406675939</v>
          </cell>
          <cell r="O53">
            <v>0</v>
          </cell>
        </row>
        <row r="55">
          <cell r="A55" t="str">
            <v>x</v>
          </cell>
          <cell r="E55" t="str">
            <v>Discount Period:</v>
          </cell>
          <cell r="H55">
            <v>0.25</v>
          </cell>
          <cell r="J55">
            <v>1.25</v>
          </cell>
          <cell r="K55">
            <v>2.25</v>
          </cell>
          <cell r="L55">
            <v>3.25</v>
          </cell>
          <cell r="M55">
            <v>4.25</v>
          </cell>
          <cell r="N55">
            <v>5.25</v>
          </cell>
          <cell r="P55">
            <v>5.25</v>
          </cell>
        </row>
        <row r="56">
          <cell r="R56" t="str">
            <v>Stub Period</v>
          </cell>
          <cell r="S56" t="str">
            <v>+1 Disc. Per.</v>
          </cell>
        </row>
        <row r="57">
          <cell r="E57" t="str">
            <v>DCF Assumptions:</v>
          </cell>
          <cell r="R57">
            <v>0</v>
          </cell>
          <cell r="S57">
            <v>0.5</v>
          </cell>
        </row>
        <row r="58">
          <cell r="E58" t="str">
            <v>Terminal Mult.</v>
          </cell>
          <cell r="G58">
            <v>6</v>
          </cell>
          <cell r="R58">
            <v>3</v>
          </cell>
          <cell r="S58">
            <v>0.75</v>
          </cell>
        </row>
        <row r="59">
          <cell r="E59" t="str">
            <v>LT Growth Rate</v>
          </cell>
          <cell r="G59">
            <v>0.02</v>
          </cell>
          <cell r="R59">
            <v>6</v>
          </cell>
          <cell r="S59">
            <v>1</v>
          </cell>
        </row>
        <row r="60">
          <cell r="E60" t="str">
            <v>Tax Rate</v>
          </cell>
          <cell r="G60">
            <v>0.4</v>
          </cell>
          <cell r="R60">
            <v>9</v>
          </cell>
          <cell r="S60">
            <v>1.25</v>
          </cell>
        </row>
        <row r="61">
          <cell r="E61" t="str">
            <v>WACC</v>
          </cell>
          <cell r="G61">
            <v>7.8125661523495024E-2</v>
          </cell>
        </row>
        <row r="62">
          <cell r="E62" t="str">
            <v>FD Shares Outstanding - Trading</v>
          </cell>
          <cell r="G62">
            <v>1333.9944170875629</v>
          </cell>
        </row>
        <row r="63">
          <cell r="E63" t="str">
            <v>Net Debt</v>
          </cell>
          <cell r="G63">
            <v>-3440.6000000000022</v>
          </cell>
        </row>
        <row r="64">
          <cell r="E64" t="str">
            <v>Synergies - 2009 (3 Months)</v>
          </cell>
          <cell r="G64">
            <v>250</v>
          </cell>
        </row>
        <row r="65">
          <cell r="E65" t="str">
            <v>Synergies - 2010</v>
          </cell>
          <cell r="G65">
            <v>2000</v>
          </cell>
        </row>
        <row r="66">
          <cell r="E66" t="str">
            <v>Synergies - 2011</v>
          </cell>
          <cell r="G66">
            <v>3000</v>
          </cell>
        </row>
        <row r="67">
          <cell r="E67" t="str">
            <v>Synergies - 2012</v>
          </cell>
          <cell r="G67">
            <v>4000</v>
          </cell>
        </row>
        <row r="68">
          <cell r="E68" t="str">
            <v>Synergies - 2013</v>
          </cell>
          <cell r="G68">
            <v>4000</v>
          </cell>
        </row>
        <row r="69">
          <cell r="E69" t="str">
            <v>Synergies - 2014</v>
          </cell>
          <cell r="G69">
            <v>4000</v>
          </cell>
        </row>
        <row r="72">
          <cell r="A72" t="str">
            <v>x</v>
          </cell>
          <cell r="E72" t="str">
            <v>Select EBITDA Metric:</v>
          </cell>
          <cell r="F72" t="str">
            <v>(E or P)</v>
          </cell>
          <cell r="J72" t="str">
            <v>LTM 9/30/09 EBITDA</v>
          </cell>
        </row>
        <row r="74">
          <cell r="E74">
            <v>40086</v>
          </cell>
          <cell r="H74" t="str">
            <v>LTM 9/30/09 EBITDA</v>
          </cell>
          <cell r="J74">
            <v>7976.5999999999949</v>
          </cell>
          <cell r="K74" t="str">
            <v>Including synergies</v>
          </cell>
        </row>
        <row r="75">
          <cell r="E75">
            <v>2008</v>
          </cell>
          <cell r="H75" t="str">
            <v>2008 EBITDA</v>
          </cell>
          <cell r="J75">
            <v>7895.9</v>
          </cell>
          <cell r="K75" t="str">
            <v>Including synergies</v>
          </cell>
        </row>
        <row r="76">
          <cell r="E76">
            <v>2009</v>
          </cell>
          <cell r="F76" t="str">
            <v>E</v>
          </cell>
          <cell r="H76" t="str">
            <v>2009E EBITDA</v>
          </cell>
          <cell r="J76">
            <v>8253.5</v>
          </cell>
          <cell r="K76" t="str">
            <v>Including synergies</v>
          </cell>
        </row>
        <row r="77">
          <cell r="E77">
            <v>2010</v>
          </cell>
          <cell r="F77" t="str">
            <v>P</v>
          </cell>
          <cell r="H77" t="str">
            <v>2010P EBITDA</v>
          </cell>
          <cell r="J77">
            <v>10000.299999999999</v>
          </cell>
          <cell r="K77" t="str">
            <v>Including synergies</v>
          </cell>
        </row>
        <row r="78">
          <cell r="E78" t="str">
            <v>Active</v>
          </cell>
          <cell r="H78" t="str">
            <v>LTM 9/30/09 EBITDA</v>
          </cell>
          <cell r="J78">
            <v>10000.299999999999</v>
          </cell>
        </row>
        <row r="79">
          <cell r="A79" t="str">
            <v>x</v>
          </cell>
          <cell r="T79" t="str">
            <v>Discounted Cash Flow Sensitivity Analysis - Wyeth</v>
          </cell>
        </row>
        <row r="81">
          <cell r="V81" t="str">
            <v>Enterprise Value</v>
          </cell>
          <cell r="AD81" t="str">
            <v>Enterprise Value</v>
          </cell>
        </row>
        <row r="82">
          <cell r="V82" t="str">
            <v>Free Cash Flow Growth After 2014</v>
          </cell>
          <cell r="AD82" t="str">
            <v>Multiple of 2014 EBITDA</v>
          </cell>
        </row>
        <row r="83">
          <cell r="U83">
            <v>80529.156619570625</v>
          </cell>
          <cell r="V83">
            <v>1.4999999999999999E-2</v>
          </cell>
          <cell r="W83">
            <v>0.02</v>
          </cell>
          <cell r="X83">
            <v>2.5000000000000001E-2</v>
          </cell>
          <cell r="Y83">
            <v>3.0000000000000002E-2</v>
          </cell>
          <cell r="Z83">
            <v>3.5000000000000003E-2</v>
          </cell>
          <cell r="AC83">
            <v>80529.156619570625</v>
          </cell>
          <cell r="AD83">
            <v>6</v>
          </cell>
          <cell r="AE83">
            <v>6.5</v>
          </cell>
          <cell r="AF83">
            <v>7</v>
          </cell>
          <cell r="AG83">
            <v>7.5</v>
          </cell>
          <cell r="AH83">
            <v>8</v>
          </cell>
          <cell r="AJ83" t="str">
            <v>Perpetuity Assumptions</v>
          </cell>
        </row>
        <row r="84">
          <cell r="T84" t="str">
            <v>WACC</v>
          </cell>
          <cell r="U84">
            <v>0.08</v>
          </cell>
          <cell r="AB84" t="str">
            <v>WACC</v>
          </cell>
          <cell r="AC84">
            <v>0.08</v>
          </cell>
          <cell r="AL84" t="str">
            <v>%/x</v>
          </cell>
          <cell r="AM84" t="str">
            <v>Step</v>
          </cell>
        </row>
        <row r="85">
          <cell r="U85">
            <v>0.09</v>
          </cell>
          <cell r="AC85">
            <v>0.09</v>
          </cell>
          <cell r="AJ85" t="str">
            <v>Growth Rate</v>
          </cell>
          <cell r="AL85">
            <v>1.4999999999999999E-2</v>
          </cell>
          <cell r="AM85">
            <v>5.0000000000000001E-3</v>
          </cell>
        </row>
        <row r="86">
          <cell r="U86">
            <v>9.9999999999999992E-2</v>
          </cell>
          <cell r="AC86">
            <v>9.9999999999999992E-2</v>
          </cell>
          <cell r="AJ86" t="str">
            <v>WACC Start</v>
          </cell>
          <cell r="AL86">
            <v>0.08</v>
          </cell>
          <cell r="AM86">
            <v>0.01</v>
          </cell>
        </row>
        <row r="87">
          <cell r="G87" t="str">
            <v>At Closing</v>
          </cell>
          <cell r="H87">
            <v>2009</v>
          </cell>
          <cell r="J87" t="str">
            <v>Projected</v>
          </cell>
          <cell r="U87">
            <v>0.10999999999999999</v>
          </cell>
          <cell r="AC87">
            <v>0.10999999999999999</v>
          </cell>
        </row>
        <row r="88">
          <cell r="C88" t="str">
            <v>FYE December 31,</v>
          </cell>
          <cell r="F88">
            <v>2008</v>
          </cell>
          <cell r="G88">
            <v>40086</v>
          </cell>
          <cell r="H88">
            <v>3</v>
          </cell>
          <cell r="J88">
            <v>2010</v>
          </cell>
          <cell r="K88">
            <v>2011</v>
          </cell>
          <cell r="L88">
            <v>2012</v>
          </cell>
          <cell r="M88">
            <v>2013</v>
          </cell>
          <cell r="N88">
            <v>2014</v>
          </cell>
          <cell r="U88">
            <v>0.11999999999999998</v>
          </cell>
          <cell r="AC88">
            <v>0.11999999999999998</v>
          </cell>
        </row>
        <row r="89">
          <cell r="AJ89" t="str">
            <v>Multiple Assumptions</v>
          </cell>
        </row>
        <row r="90">
          <cell r="C90" t="str">
            <v>Accounts Receivable</v>
          </cell>
          <cell r="F90">
            <v>3450.5</v>
          </cell>
          <cell r="G90">
            <v>3450.5</v>
          </cell>
          <cell r="H90">
            <v>3459.0010313457383</v>
          </cell>
          <cell r="J90">
            <v>3457.5010699261111</v>
          </cell>
          <cell r="K90">
            <v>3475.275612748695</v>
          </cell>
          <cell r="L90">
            <v>3655.0009900484383</v>
          </cell>
          <cell r="M90">
            <v>3906.4695220489562</v>
          </cell>
          <cell r="N90">
            <v>4175.2393961718608</v>
          </cell>
          <cell r="AL90" t="str">
            <v>%/x</v>
          </cell>
          <cell r="AM90" t="str">
            <v>Step</v>
          </cell>
        </row>
        <row r="91">
          <cell r="C91" t="str">
            <v>Inventory</v>
          </cell>
          <cell r="F91">
            <v>2560.6</v>
          </cell>
          <cell r="G91">
            <v>2560.6</v>
          </cell>
          <cell r="H91">
            <v>2561.7254272945011</v>
          </cell>
          <cell r="J91">
            <v>2528.797194992469</v>
          </cell>
          <cell r="K91">
            <v>2509.4752522284502</v>
          </cell>
          <cell r="L91">
            <v>2616.3023284525543</v>
          </cell>
          <cell r="M91">
            <v>2735.6229121706706</v>
          </cell>
          <cell r="N91">
            <v>2923.837109568582</v>
          </cell>
          <cell r="V91" t="str">
            <v>Equity Value</v>
          </cell>
          <cell r="AD91" t="str">
            <v>Equity Value</v>
          </cell>
          <cell r="AJ91" t="str">
            <v>Multiple</v>
          </cell>
          <cell r="AL91">
            <v>6</v>
          </cell>
          <cell r="AM91">
            <v>0.5</v>
          </cell>
        </row>
        <row r="92">
          <cell r="C92" t="str">
            <v>Prepaid Expenses and Other</v>
          </cell>
          <cell r="F92">
            <v>1959.8</v>
          </cell>
          <cell r="G92">
            <v>1959.8</v>
          </cell>
          <cell r="H92">
            <v>1964.6283788527396</v>
          </cell>
          <cell r="J92">
            <v>1963.776437281899</v>
          </cell>
          <cell r="K92">
            <v>1973.8719448963604</v>
          </cell>
          <cell r="L92">
            <v>2075.9515839144847</v>
          </cell>
          <cell r="M92">
            <v>2218.7795882659161</v>
          </cell>
          <cell r="N92">
            <v>2371.4343337538367</v>
          </cell>
          <cell r="V92" t="str">
            <v>Free Cash Flow Growth After 2014</v>
          </cell>
          <cell r="AD92" t="str">
            <v>Multiple of 2014 EBITDA</v>
          </cell>
          <cell r="AJ92" t="str">
            <v>WACC Start</v>
          </cell>
          <cell r="AL92">
            <v>0.08</v>
          </cell>
          <cell r="AM92">
            <v>0.01</v>
          </cell>
        </row>
        <row r="93">
          <cell r="C93" t="str">
            <v>Deferred Income Taxes</v>
          </cell>
          <cell r="F93">
            <v>0</v>
          </cell>
          <cell r="G93">
            <v>0</v>
          </cell>
          <cell r="H93">
            <v>0</v>
          </cell>
          <cell r="J93">
            <v>0</v>
          </cell>
          <cell r="K93">
            <v>0</v>
          </cell>
          <cell r="L93">
            <v>0</v>
          </cell>
          <cell r="M93">
            <v>0</v>
          </cell>
          <cell r="N93">
            <v>0</v>
          </cell>
          <cell r="U93">
            <v>80529.156619570625</v>
          </cell>
          <cell r="V93">
            <v>1.4999999999999999E-2</v>
          </cell>
          <cell r="W93">
            <v>0.02</v>
          </cell>
          <cell r="X93">
            <v>2.5000000000000001E-2</v>
          </cell>
          <cell r="Y93">
            <v>3.0000000000000002E-2</v>
          </cell>
          <cell r="Z93">
            <v>3.5000000000000003E-2</v>
          </cell>
          <cell r="AC93">
            <v>80529.156619570625</v>
          </cell>
          <cell r="AD93">
            <v>6</v>
          </cell>
          <cell r="AE93">
            <v>6.5</v>
          </cell>
          <cell r="AF93">
            <v>7</v>
          </cell>
          <cell r="AG93">
            <v>7.5</v>
          </cell>
          <cell r="AH93">
            <v>8</v>
          </cell>
        </row>
        <row r="94">
          <cell r="C94" t="str">
            <v>Total</v>
          </cell>
          <cell r="F94">
            <v>7970.9000000000005</v>
          </cell>
          <cell r="G94">
            <v>7970.9000000000005</v>
          </cell>
          <cell r="H94">
            <v>7985.3548374929796</v>
          </cell>
          <cell r="J94">
            <v>7950.0747022004789</v>
          </cell>
          <cell r="K94">
            <v>7958.6228098735055</v>
          </cell>
          <cell r="L94">
            <v>8347.2549024154778</v>
          </cell>
          <cell r="M94">
            <v>8860.8720224855424</v>
          </cell>
          <cell r="N94">
            <v>9470.5108394942799</v>
          </cell>
          <cell r="T94" t="str">
            <v>WACC</v>
          </cell>
          <cell r="U94">
            <v>0.08</v>
          </cell>
          <cell r="V94">
            <v>3440.6000000000022</v>
          </cell>
          <cell r="W94">
            <v>3440.6000000000022</v>
          </cell>
          <cell r="X94">
            <v>3440.6000000000022</v>
          </cell>
          <cell r="Y94">
            <v>3440.6000000000022</v>
          </cell>
          <cell r="Z94">
            <v>3440.6000000000022</v>
          </cell>
          <cell r="AB94" t="str">
            <v>WACC</v>
          </cell>
          <cell r="AC94">
            <v>0.08</v>
          </cell>
          <cell r="AD94">
            <v>3440.6000000000022</v>
          </cell>
          <cell r="AE94">
            <v>3440.6000000000022</v>
          </cell>
          <cell r="AF94">
            <v>3440.6000000000022</v>
          </cell>
          <cell r="AG94">
            <v>3440.6000000000022</v>
          </cell>
          <cell r="AH94">
            <v>3440.6000000000022</v>
          </cell>
        </row>
        <row r="95">
          <cell r="U95">
            <v>0.09</v>
          </cell>
          <cell r="V95">
            <v>3440.6000000000022</v>
          </cell>
          <cell r="W95">
            <v>3440.6000000000022</v>
          </cell>
          <cell r="X95">
            <v>3440.6000000000022</v>
          </cell>
          <cell r="Y95">
            <v>3440.6000000000022</v>
          </cell>
          <cell r="Z95">
            <v>3440.6000000000022</v>
          </cell>
          <cell r="AC95">
            <v>0.09</v>
          </cell>
          <cell r="AD95">
            <v>3440.6000000000022</v>
          </cell>
          <cell r="AE95">
            <v>3440.6000000000022</v>
          </cell>
          <cell r="AF95">
            <v>3440.6000000000022</v>
          </cell>
          <cell r="AG95">
            <v>3440.6000000000022</v>
          </cell>
          <cell r="AH95">
            <v>3440.6000000000022</v>
          </cell>
        </row>
        <row r="96">
          <cell r="C96" t="str">
            <v xml:space="preserve">Accounts Payable </v>
          </cell>
          <cell r="F96">
            <v>871.8</v>
          </cell>
          <cell r="G96">
            <v>871.8</v>
          </cell>
          <cell r="H96">
            <v>872.18317094249232</v>
          </cell>
          <cell r="J96">
            <v>860.97219190597286</v>
          </cell>
          <cell r="K96">
            <v>854.39370651127194</v>
          </cell>
          <cell r="L96">
            <v>890.76480900762976</v>
          </cell>
          <cell r="M96">
            <v>931.38953949480231</v>
          </cell>
          <cell r="N96">
            <v>995.47027732636491</v>
          </cell>
          <cell r="U96">
            <v>9.9999999999999992E-2</v>
          </cell>
          <cell r="V96">
            <v>3440.6000000000022</v>
          </cell>
          <cell r="W96">
            <v>3440.6000000000022</v>
          </cell>
          <cell r="X96">
            <v>3440.6000000000022</v>
          </cell>
          <cell r="Y96">
            <v>3440.6000000000022</v>
          </cell>
          <cell r="Z96">
            <v>3440.6000000000022</v>
          </cell>
          <cell r="AC96">
            <v>9.9999999999999992E-2</v>
          </cell>
          <cell r="AD96">
            <v>3440.6000000000022</v>
          </cell>
          <cell r="AE96">
            <v>3440.6000000000022</v>
          </cell>
          <cell r="AF96">
            <v>3440.6000000000022</v>
          </cell>
          <cell r="AG96">
            <v>3440.6000000000022</v>
          </cell>
          <cell r="AH96">
            <v>3440.6000000000022</v>
          </cell>
        </row>
        <row r="97">
          <cell r="C97" t="str">
            <v xml:space="preserve">Accrued Liabilities </v>
          </cell>
          <cell r="F97">
            <v>4356.5</v>
          </cell>
          <cell r="G97">
            <v>4356.5</v>
          </cell>
          <cell r="H97">
            <v>4367.2331526033067</v>
          </cell>
          <cell r="J97">
            <v>4365.3393453508488</v>
          </cell>
          <cell r="K97">
            <v>4387.7809612924757</v>
          </cell>
          <cell r="L97">
            <v>4614.6969462819943</v>
          </cell>
          <cell r="M97">
            <v>4932.1937321565783</v>
          </cell>
          <cell r="N97">
            <v>5271.53468466098</v>
          </cell>
          <cell r="U97">
            <v>0.10999999999999999</v>
          </cell>
          <cell r="V97">
            <v>3440.6000000000022</v>
          </cell>
          <cell r="W97">
            <v>3440.6000000000022</v>
          </cell>
          <cell r="X97">
            <v>3440.6000000000022</v>
          </cell>
          <cell r="Y97">
            <v>3440.6000000000022</v>
          </cell>
          <cell r="Z97">
            <v>3440.6000000000022</v>
          </cell>
          <cell r="AC97">
            <v>0.10999999999999999</v>
          </cell>
          <cell r="AD97">
            <v>3440.6000000000022</v>
          </cell>
          <cell r="AE97">
            <v>3440.6000000000022</v>
          </cell>
          <cell r="AF97">
            <v>3440.6000000000022</v>
          </cell>
          <cell r="AG97">
            <v>3440.6000000000022</v>
          </cell>
          <cell r="AH97">
            <v>3440.6000000000022</v>
          </cell>
        </row>
        <row r="98">
          <cell r="C98" t="str">
            <v>Taxes Payable</v>
          </cell>
          <cell r="F98">
            <v>0</v>
          </cell>
          <cell r="G98">
            <v>0</v>
          </cell>
          <cell r="H98">
            <v>0</v>
          </cell>
          <cell r="J98">
            <v>0</v>
          </cell>
          <cell r="K98">
            <v>0</v>
          </cell>
          <cell r="L98">
            <v>0</v>
          </cell>
          <cell r="M98">
            <v>0</v>
          </cell>
          <cell r="N98">
            <v>0</v>
          </cell>
          <cell r="U98">
            <v>0.11999999999999998</v>
          </cell>
          <cell r="V98">
            <v>3440.6000000000022</v>
          </cell>
          <cell r="W98">
            <v>3440.6000000000022</v>
          </cell>
          <cell r="X98">
            <v>3440.6000000000022</v>
          </cell>
          <cell r="Y98">
            <v>3440.6000000000022</v>
          </cell>
          <cell r="Z98">
            <v>3440.6000000000022</v>
          </cell>
          <cell r="AC98">
            <v>0.11999999999999998</v>
          </cell>
          <cell r="AD98">
            <v>3440.6000000000022</v>
          </cell>
          <cell r="AE98">
            <v>3440.6000000000022</v>
          </cell>
          <cell r="AF98">
            <v>3440.6000000000022</v>
          </cell>
          <cell r="AG98">
            <v>3440.6000000000022</v>
          </cell>
          <cell r="AH98">
            <v>3440.6000000000022</v>
          </cell>
        </row>
        <row r="99">
          <cell r="C99" t="str">
            <v>Other Current Liabilities</v>
          </cell>
          <cell r="F99">
            <v>785.7</v>
          </cell>
          <cell r="G99">
            <v>785.7</v>
          </cell>
          <cell r="H99">
            <v>787.63573694489105</v>
          </cell>
          <cell r="J99">
            <v>787.29418653555865</v>
          </cell>
          <cell r="K99">
            <v>791.34155888614669</v>
          </cell>
          <cell r="L99">
            <v>832.2661289323454</v>
          </cell>
          <cell r="M99">
            <v>889.52705505690892</v>
          </cell>
          <cell r="N99">
            <v>950.72760283212028</v>
          </cell>
        </row>
        <row r="100">
          <cell r="C100" t="str">
            <v>Total</v>
          </cell>
          <cell r="F100">
            <v>6014</v>
          </cell>
          <cell r="G100">
            <v>6014</v>
          </cell>
          <cell r="H100">
            <v>6027.0520604906906</v>
          </cell>
          <cell r="J100">
            <v>6013.6057237923806</v>
          </cell>
          <cell r="K100">
            <v>6033.5162266898951</v>
          </cell>
          <cell r="L100">
            <v>6337.7278842219694</v>
          </cell>
          <cell r="M100">
            <v>6753.110326708289</v>
          </cell>
          <cell r="N100">
            <v>7217.7325648194656</v>
          </cell>
        </row>
        <row r="101">
          <cell r="V101" t="str">
            <v>Price Per Share</v>
          </cell>
          <cell r="AD101" t="str">
            <v>Price Per Share</v>
          </cell>
        </row>
        <row r="102">
          <cell r="C102" t="str">
            <v>Total Working Capital</v>
          </cell>
          <cell r="F102">
            <v>1956.9000000000005</v>
          </cell>
          <cell r="G102">
            <v>1956.9000000000005</v>
          </cell>
          <cell r="H102">
            <v>1958.3027770022891</v>
          </cell>
          <cell r="J102">
            <v>1936.4689784080983</v>
          </cell>
          <cell r="K102">
            <v>1925.1065831836104</v>
          </cell>
          <cell r="L102">
            <v>2009.5270181935084</v>
          </cell>
          <cell r="M102">
            <v>2107.7616957772534</v>
          </cell>
          <cell r="N102">
            <v>2252.7782746748144</v>
          </cell>
          <cell r="V102" t="str">
            <v>Free Cash Flow Growth After 2014</v>
          </cell>
          <cell r="AD102" t="str">
            <v>Multiple of 2014 EBITDA</v>
          </cell>
        </row>
        <row r="103">
          <cell r="C103" t="str">
            <v>Total Incremental Working Capital Needs</v>
          </cell>
          <cell r="G103">
            <v>0</v>
          </cell>
          <cell r="H103">
            <v>1.4027770022885306</v>
          </cell>
          <cell r="J103">
            <v>-21.833798594190739</v>
          </cell>
          <cell r="K103">
            <v>-11.362395224487955</v>
          </cell>
          <cell r="L103">
            <v>84.420435009898029</v>
          </cell>
          <cell r="M103">
            <v>98.234677583744997</v>
          </cell>
          <cell r="N103">
            <v>145.01657889756098</v>
          </cell>
          <cell r="U103">
            <v>62.946107977645973</v>
          </cell>
          <cell r="V103">
            <v>1.4999999999999999E-2</v>
          </cell>
          <cell r="W103">
            <v>0.02</v>
          </cell>
          <cell r="X103">
            <v>2.5000000000000001E-2</v>
          </cell>
          <cell r="Y103">
            <v>3.0000000000000002E-2</v>
          </cell>
          <cell r="Z103">
            <v>3.5000000000000003E-2</v>
          </cell>
          <cell r="AC103">
            <v>62.946107977645973</v>
          </cell>
          <cell r="AD103">
            <v>6</v>
          </cell>
          <cell r="AE103">
            <v>6.5</v>
          </cell>
          <cell r="AF103">
            <v>7</v>
          </cell>
          <cell r="AG103">
            <v>7.5</v>
          </cell>
          <cell r="AH103">
            <v>8</v>
          </cell>
        </row>
        <row r="104">
          <cell r="T104" t="str">
            <v>WACC</v>
          </cell>
          <cell r="U104">
            <v>0.08</v>
          </cell>
          <cell r="V104">
            <v>2.5791712138583578</v>
          </cell>
          <cell r="W104">
            <v>2.5791712138583578</v>
          </cell>
          <cell r="X104">
            <v>2.5791712138583578</v>
          </cell>
          <cell r="Y104">
            <v>2.5791712138583578</v>
          </cell>
          <cell r="Z104">
            <v>2.5791712138583578</v>
          </cell>
          <cell r="AB104" t="str">
            <v>WACC</v>
          </cell>
          <cell r="AC104">
            <v>0.08</v>
          </cell>
          <cell r="AD104">
            <v>2.5791712138583578</v>
          </cell>
          <cell r="AE104">
            <v>2.5791712138583578</v>
          </cell>
          <cell r="AF104">
            <v>2.5791712138583578</v>
          </cell>
          <cell r="AG104">
            <v>2.5791712138583578</v>
          </cell>
          <cell r="AH104">
            <v>2.5791712138583578</v>
          </cell>
        </row>
        <row r="105">
          <cell r="U105">
            <v>0.09</v>
          </cell>
          <cell r="V105">
            <v>2.5791712138583578</v>
          </cell>
          <cell r="W105">
            <v>2.5791712138583578</v>
          </cell>
          <cell r="X105">
            <v>2.5791712138583578</v>
          </cell>
          <cell r="Y105">
            <v>2.5791712138583578</v>
          </cell>
          <cell r="Z105">
            <v>2.5791712138583578</v>
          </cell>
          <cell r="AC105">
            <v>0.09</v>
          </cell>
          <cell r="AD105">
            <v>2.5791712138583578</v>
          </cell>
          <cell r="AE105">
            <v>2.5791712138583578</v>
          </cell>
          <cell r="AF105">
            <v>2.5791712138583578</v>
          </cell>
          <cell r="AG105">
            <v>2.5791712138583578</v>
          </cell>
          <cell r="AH105">
            <v>2.5791712138583578</v>
          </cell>
        </row>
        <row r="106">
          <cell r="U106">
            <v>9.9999999999999992E-2</v>
          </cell>
          <cell r="V106">
            <v>2.5791712138583578</v>
          </cell>
          <cell r="W106">
            <v>2.5791712138583578</v>
          </cell>
          <cell r="X106">
            <v>2.5791712138583578</v>
          </cell>
          <cell r="Y106">
            <v>2.5791712138583578</v>
          </cell>
          <cell r="Z106">
            <v>2.5791712138583578</v>
          </cell>
          <cell r="AC106">
            <v>9.9999999999999992E-2</v>
          </cell>
          <cell r="AD106">
            <v>2.5791712138583578</v>
          </cell>
          <cell r="AE106">
            <v>2.5791712138583578</v>
          </cell>
          <cell r="AF106">
            <v>2.5791712138583578</v>
          </cell>
          <cell r="AG106">
            <v>2.5791712138583578</v>
          </cell>
          <cell r="AH106">
            <v>2.5791712138583578</v>
          </cell>
        </row>
        <row r="107">
          <cell r="U107">
            <v>0.10999999999999999</v>
          </cell>
          <cell r="V107">
            <v>2.5791712138583578</v>
          </cell>
          <cell r="W107">
            <v>2.5791712138583578</v>
          </cell>
          <cell r="X107">
            <v>2.5791712138583578</v>
          </cell>
          <cell r="Y107">
            <v>2.5791712138583578</v>
          </cell>
          <cell r="Z107">
            <v>2.5791712138583578</v>
          </cell>
          <cell r="AC107">
            <v>0.10999999999999999</v>
          </cell>
          <cell r="AD107">
            <v>2.5791712138583578</v>
          </cell>
          <cell r="AE107">
            <v>2.5791712138583578</v>
          </cell>
          <cell r="AF107">
            <v>2.5791712138583578</v>
          </cell>
          <cell r="AG107">
            <v>2.5791712138583578</v>
          </cell>
          <cell r="AH107">
            <v>2.5791712138583578</v>
          </cell>
        </row>
        <row r="108">
          <cell r="U108">
            <v>0.11999999999999998</v>
          </cell>
          <cell r="V108">
            <v>2.5791712138583578</v>
          </cell>
          <cell r="W108">
            <v>2.5791712138583578</v>
          </cell>
          <cell r="X108">
            <v>2.5791712138583578</v>
          </cell>
          <cell r="Y108">
            <v>2.5791712138583578</v>
          </cell>
          <cell r="Z108">
            <v>2.5791712138583578</v>
          </cell>
          <cell r="AC108">
            <v>0.11999999999999998</v>
          </cell>
          <cell r="AD108">
            <v>2.5791712138583578</v>
          </cell>
          <cell r="AE108">
            <v>2.5791712138583578</v>
          </cell>
          <cell r="AF108">
            <v>2.5791712138583578</v>
          </cell>
          <cell r="AG108">
            <v>2.5791712138583578</v>
          </cell>
          <cell r="AH108">
            <v>2.5791712138583578</v>
          </cell>
        </row>
        <row r="112">
          <cell r="V112" t="str">
            <v>Implied Terminal Multiple</v>
          </cell>
          <cell r="AD112" t="str">
            <v>Implied Growth Rate of FCF</v>
          </cell>
        </row>
        <row r="113">
          <cell r="V113" t="str">
            <v>Free Cash Flow Growth After 2014</v>
          </cell>
          <cell r="AD113" t="str">
            <v>Multiple of 2014 EBITDA</v>
          </cell>
        </row>
        <row r="114">
          <cell r="V114">
            <v>1.4999999999999999E-2</v>
          </cell>
          <cell r="W114">
            <v>0.02</v>
          </cell>
          <cell r="X114">
            <v>2.5000000000000001E-2</v>
          </cell>
          <cell r="Y114">
            <v>3.0000000000000002E-2</v>
          </cell>
          <cell r="Z114">
            <v>3.5000000000000003E-2</v>
          </cell>
          <cell r="AD114">
            <v>6</v>
          </cell>
          <cell r="AE114">
            <v>6.5</v>
          </cell>
          <cell r="AF114">
            <v>7</v>
          </cell>
          <cell r="AG114">
            <v>7.5</v>
          </cell>
          <cell r="AH114">
            <v>8</v>
          </cell>
        </row>
        <row r="115">
          <cell r="T115" t="str">
            <v>WACC</v>
          </cell>
          <cell r="U115">
            <v>0.08</v>
          </cell>
          <cell r="V115">
            <v>8.0386294507677114</v>
          </cell>
          <cell r="W115">
            <v>8.7514143281756898</v>
          </cell>
          <cell r="X115">
            <v>9.5937964560214759</v>
          </cell>
          <cell r="Y115">
            <v>10.604655009436422</v>
          </cell>
          <cell r="Z115">
            <v>11.840148796943577</v>
          </cell>
          <cell r="AB115" t="str">
            <v>WACC</v>
          </cell>
          <cell r="AC115">
            <v>0.08</v>
          </cell>
          <cell r="AD115">
            <v>-5.340016032871828E-3</v>
          </cell>
          <cell r="AE115">
            <v>7.4284797646531175E-4</v>
          </cell>
          <cell r="AF115">
            <v>6.0162595918501595E-3</v>
          </cell>
          <cell r="AG115">
            <v>1.0631711083271721E-2</v>
          </cell>
          <cell r="AH115">
            <v>1.4705111391854535E-2</v>
          </cell>
        </row>
        <row r="116">
          <cell r="U116">
            <v>0.09</v>
          </cell>
          <cell r="V116">
            <v>6.9668121906653511</v>
          </cell>
          <cell r="W116">
            <v>7.5012122812934487</v>
          </cell>
          <cell r="X116">
            <v>8.1178277704797104</v>
          </cell>
          <cell r="Y116">
            <v>8.8372125078636863</v>
          </cell>
          <cell r="Z116">
            <v>9.6873944702265646</v>
          </cell>
          <cell r="AC116">
            <v>0.09</v>
          </cell>
          <cell r="AD116">
            <v>3.8697986334904652E-3</v>
          </cell>
          <cell r="AE116">
            <v>1.0008985457728877E-2</v>
          </cell>
          <cell r="AF116">
            <v>1.5331224958441367E-2</v>
          </cell>
          <cell r="AG116">
            <v>1.9989412111820527E-2</v>
          </cell>
          <cell r="AH116">
            <v>2.4100529089927259E-2</v>
          </cell>
        </row>
        <row r="117">
          <cell r="U117">
            <v>9.9999999999999992E-2</v>
          </cell>
          <cell r="V117">
            <v>6.1471872270576631</v>
          </cell>
          <cell r="W117">
            <v>6.5635607461317678</v>
          </cell>
          <cell r="X117">
            <v>7.0354507344157504</v>
          </cell>
          <cell r="Y117">
            <v>7.574753578168874</v>
          </cell>
          <cell r="Z117">
            <v>8.1970260901917094</v>
          </cell>
          <cell r="AC117">
            <v>9.9999999999999992E-2</v>
          </cell>
          <cell r="AD117">
            <v>1.3079613299852759E-2</v>
          </cell>
          <cell r="AE117">
            <v>1.9275122938992445E-2</v>
          </cell>
          <cell r="AF117">
            <v>2.4646190325032565E-2</v>
          </cell>
          <cell r="AG117">
            <v>2.9347113140369332E-2</v>
          </cell>
          <cell r="AH117">
            <v>3.3495946787999976E-2</v>
          </cell>
        </row>
        <row r="118">
          <cell r="U118">
            <v>0.10999999999999999</v>
          </cell>
          <cell r="V118">
            <v>5.5001148873673831</v>
          </cell>
          <cell r="W118">
            <v>5.8342762187837938</v>
          </cell>
          <cell r="X118">
            <v>6.2077506480138966</v>
          </cell>
          <cell r="Y118">
            <v>6.6279093808977647</v>
          </cell>
          <cell r="Z118">
            <v>7.1040892781661471</v>
          </cell>
          <cell r="AC118">
            <v>0.10999999999999999</v>
          </cell>
          <cell r="AD118">
            <v>2.2289427966215067E-2</v>
          </cell>
          <cell r="AE118">
            <v>2.8541260420255999E-2</v>
          </cell>
          <cell r="AF118">
            <v>3.3961155691623758E-2</v>
          </cell>
          <cell r="AG118">
            <v>3.8704814168918147E-2</v>
          </cell>
          <cell r="AH118">
            <v>4.2891364486072697E-2</v>
          </cell>
        </row>
        <row r="119">
          <cell r="A119" t="str">
            <v>x</v>
          </cell>
          <cell r="U119">
            <v>0.11999999999999998</v>
          </cell>
          <cell r="V119">
            <v>4.9762944219038223</v>
          </cell>
          <cell r="W119">
            <v>5.2508485969054144</v>
          </cell>
          <cell r="X119">
            <v>5.5543032113808559</v>
          </cell>
          <cell r="Y119">
            <v>5.8914750052424578</v>
          </cell>
          <cell r="Z119">
            <v>6.2683140689701302</v>
          </cell>
          <cell r="AC119">
            <v>0.11999999999999998</v>
          </cell>
          <cell r="AD119">
            <v>3.1499242632577362E-2</v>
          </cell>
          <cell r="AE119">
            <v>3.7807397901519567E-2</v>
          </cell>
          <cell r="AF119">
            <v>4.3276121058214968E-2</v>
          </cell>
          <cell r="AG119">
            <v>4.806251519746696E-2</v>
          </cell>
          <cell r="AH119">
            <v>5.2286782184145411E-2</v>
          </cell>
        </row>
        <row r="128">
          <cell r="A128" t="str">
            <v>x</v>
          </cell>
        </row>
      </sheetData>
      <sheetData sheetId="13" refreshError="1"/>
      <sheetData sheetId="14">
        <row r="2">
          <cell r="A2" t="str">
            <v>x</v>
          </cell>
          <cell r="C2" t="str">
            <v>Inputs</v>
          </cell>
          <cell r="I2" t="str">
            <v>EPS Metrics</v>
          </cell>
        </row>
        <row r="4">
          <cell r="C4" t="str">
            <v>Discount Period to</v>
          </cell>
          <cell r="E4">
            <v>40086</v>
          </cell>
          <cell r="I4" t="str">
            <v>Consensus</v>
          </cell>
          <cell r="J4">
            <v>3.5</v>
          </cell>
        </row>
        <row r="5">
          <cell r="C5" t="str">
            <v>P/E Multiple Range</v>
          </cell>
          <cell r="I5">
            <v>2009</v>
          </cell>
          <cell r="J5">
            <v>3.7379984951091032</v>
          </cell>
        </row>
        <row r="6">
          <cell r="D6" t="str">
            <v>Start</v>
          </cell>
          <cell r="E6">
            <v>12</v>
          </cell>
          <cell r="I6">
            <v>2010</v>
          </cell>
          <cell r="J6">
            <v>3.815996938384997</v>
          </cell>
        </row>
        <row r="7">
          <cell r="D7" t="str">
            <v>Step</v>
          </cell>
          <cell r="E7">
            <v>2</v>
          </cell>
          <cell r="I7">
            <v>2011</v>
          </cell>
          <cell r="J7">
            <v>3.791180086047941</v>
          </cell>
        </row>
        <row r="8">
          <cell r="C8" t="str">
            <v>LT Growth Rate</v>
          </cell>
          <cell r="E8">
            <v>0.15</v>
          </cell>
          <cell r="I8">
            <v>2012</v>
          </cell>
          <cell r="J8">
            <v>4.146711635750421</v>
          </cell>
        </row>
        <row r="9">
          <cell r="C9" t="str">
            <v>EBITDA Multiple Range</v>
          </cell>
        </row>
        <row r="10">
          <cell r="D10" t="str">
            <v>Start</v>
          </cell>
          <cell r="E10">
            <v>6</v>
          </cell>
        </row>
        <row r="11">
          <cell r="D11" t="str">
            <v>Step</v>
          </cell>
          <cell r="E11">
            <v>2</v>
          </cell>
          <cell r="I11" t="str">
            <v>EBITDA Metrics</v>
          </cell>
          <cell r="L11" t="str">
            <v xml:space="preserve"> &lt;- Linked to "EBITDA"; not "Operating EBITDA"</v>
          </cell>
        </row>
        <row r="12">
          <cell r="I12" t="str">
            <v>Current LTM</v>
          </cell>
          <cell r="J12">
            <v>7976.5999999999949</v>
          </cell>
        </row>
        <row r="13">
          <cell r="C13" t="str">
            <v>Use Current Debt (No =  Each Yr. Status Quo Debt)?</v>
          </cell>
          <cell r="F13" t="str">
            <v>Y</v>
          </cell>
          <cell r="I13">
            <v>2009</v>
          </cell>
          <cell r="J13">
            <v>8003.4999999999991</v>
          </cell>
        </row>
        <row r="14">
          <cell r="I14">
            <v>2010</v>
          </cell>
          <cell r="J14">
            <v>8000.2999999999984</v>
          </cell>
        </row>
        <row r="15">
          <cell r="C15" t="str">
            <v>Link below to model Status Quo Net Debt</v>
          </cell>
          <cell r="I15">
            <v>2011</v>
          </cell>
          <cell r="J15">
            <v>7904.2</v>
          </cell>
        </row>
        <row r="16">
          <cell r="D16">
            <v>2009</v>
          </cell>
          <cell r="I16">
            <v>2012</v>
          </cell>
          <cell r="J16">
            <v>8455.1999999999989</v>
          </cell>
        </row>
        <row r="17">
          <cell r="D17">
            <v>2010</v>
          </cell>
        </row>
        <row r="18">
          <cell r="D18">
            <v>2011</v>
          </cell>
        </row>
        <row r="20">
          <cell r="C20" t="str">
            <v>Reference</v>
          </cell>
        </row>
        <row r="21">
          <cell r="C21" t="str">
            <v>Cost of Equity</v>
          </cell>
          <cell r="E21">
            <v>8.6026806624843813E-2</v>
          </cell>
        </row>
        <row r="22">
          <cell r="C22" t="str">
            <v>Offer Price</v>
          </cell>
          <cell r="E22">
            <v>50.188249999999996</v>
          </cell>
        </row>
        <row r="23">
          <cell r="C23" t="str">
            <v>Shares Outstanding</v>
          </cell>
          <cell r="E23">
            <v>1333.9944170875629</v>
          </cell>
        </row>
        <row r="24">
          <cell r="C24" t="str">
            <v>Current Net Debt</v>
          </cell>
          <cell r="E24">
            <v>-3440.6000000000022</v>
          </cell>
        </row>
        <row r="27">
          <cell r="A27" t="str">
            <v>x</v>
          </cell>
          <cell r="C27" t="str">
            <v>Present Value of Future Share Price Analysis - P/E Driver</v>
          </cell>
        </row>
        <row r="29">
          <cell r="H29" t="str">
            <v>Fiscal Year Ending December 31,</v>
          </cell>
          <cell r="S29" t="str">
            <v xml:space="preserve"> </v>
          </cell>
          <cell r="W29" t="str">
            <v xml:space="preserve"> </v>
          </cell>
        </row>
        <row r="30">
          <cell r="F30" t="str">
            <v>Current 1</v>
          </cell>
          <cell r="H30">
            <v>2009</v>
          </cell>
          <cell r="L30">
            <v>2010</v>
          </cell>
          <cell r="P30">
            <v>2011</v>
          </cell>
          <cell r="S30" t="str">
            <v xml:space="preserve"> </v>
          </cell>
          <cell r="T30">
            <v>2012</v>
          </cell>
        </row>
        <row r="32">
          <cell r="C32" t="str">
            <v>Forward P/E</v>
          </cell>
          <cell r="F32">
            <v>14.339499999999999</v>
          </cell>
          <cell r="H32">
            <v>12</v>
          </cell>
          <cell r="I32">
            <v>14</v>
          </cell>
          <cell r="J32">
            <v>16</v>
          </cell>
          <cell r="L32">
            <v>12</v>
          </cell>
          <cell r="M32">
            <v>14</v>
          </cell>
          <cell r="N32">
            <v>16</v>
          </cell>
          <cell r="P32">
            <v>12</v>
          </cell>
          <cell r="Q32">
            <v>14</v>
          </cell>
          <cell r="R32">
            <v>16</v>
          </cell>
          <cell r="T32">
            <v>12</v>
          </cell>
          <cell r="U32">
            <v>14</v>
          </cell>
          <cell r="V32">
            <v>16</v>
          </cell>
        </row>
        <row r="33">
          <cell r="C33" t="str">
            <v>Long Term Growth Rate</v>
          </cell>
          <cell r="F33">
            <v>0.15</v>
          </cell>
          <cell r="H33">
            <v>0.15</v>
          </cell>
          <cell r="I33">
            <v>0.15</v>
          </cell>
          <cell r="J33">
            <v>0.15</v>
          </cell>
          <cell r="L33">
            <v>0.15</v>
          </cell>
          <cell r="M33">
            <v>0.15</v>
          </cell>
          <cell r="N33">
            <v>0.15</v>
          </cell>
          <cell r="P33">
            <v>0.15</v>
          </cell>
          <cell r="Q33">
            <v>0.15</v>
          </cell>
          <cell r="R33">
            <v>0.15</v>
          </cell>
        </row>
        <row r="34">
          <cell r="C34" t="str">
            <v>Forward PEG</v>
          </cell>
          <cell r="F34">
            <v>0.95596666666666663</v>
          </cell>
          <cell r="H34">
            <v>0.8</v>
          </cell>
          <cell r="I34">
            <v>0.93333333333333346</v>
          </cell>
          <cell r="J34">
            <v>1.0666666666666667</v>
          </cell>
          <cell r="L34">
            <v>0.8</v>
          </cell>
          <cell r="M34">
            <v>0.93333333333333346</v>
          </cell>
          <cell r="N34">
            <v>1.0666666666666667</v>
          </cell>
          <cell r="P34">
            <v>0.8</v>
          </cell>
          <cell r="Q34">
            <v>0.93333333333333346</v>
          </cell>
          <cell r="R34">
            <v>1.0666666666666667</v>
          </cell>
        </row>
        <row r="36">
          <cell r="C36" t="str">
            <v>EPS</v>
          </cell>
          <cell r="F36">
            <v>3.5</v>
          </cell>
          <cell r="H36">
            <v>3.7379984951091032</v>
          </cell>
          <cell r="I36">
            <v>3.7379984951091032</v>
          </cell>
          <cell r="J36">
            <v>3.7379984951091032</v>
          </cell>
          <cell r="L36">
            <v>3.815996938384997</v>
          </cell>
          <cell r="M36">
            <v>3.815996938384997</v>
          </cell>
          <cell r="N36">
            <v>3.815996938384997</v>
          </cell>
          <cell r="P36">
            <v>3.791180086047941</v>
          </cell>
          <cell r="Q36">
            <v>3.791180086047941</v>
          </cell>
          <cell r="R36">
            <v>3.791180086047941</v>
          </cell>
          <cell r="T36">
            <v>4.146711635750421</v>
          </cell>
          <cell r="U36">
            <v>4.146711635750421</v>
          </cell>
          <cell r="V36">
            <v>4.146711635750421</v>
          </cell>
        </row>
        <row r="37">
          <cell r="C37" t="str">
            <v>Implied Fiscal Year-End Share Price 2</v>
          </cell>
          <cell r="F37">
            <v>50.188249999999996</v>
          </cell>
          <cell r="H37">
            <v>45.791963260619966</v>
          </cell>
          <cell r="I37">
            <v>53.423957137389955</v>
          </cell>
          <cell r="J37">
            <v>61.055951014159952</v>
          </cell>
          <cell r="L37">
            <v>45.494161032575292</v>
          </cell>
          <cell r="M37">
            <v>53.076521204671174</v>
          </cell>
          <cell r="N37">
            <v>60.658881376767056</v>
          </cell>
          <cell r="P37">
            <v>49.760539629005052</v>
          </cell>
          <cell r="Q37">
            <v>58.053962900505894</v>
          </cell>
          <cell r="R37">
            <v>66.347386172006736</v>
          </cell>
        </row>
        <row r="38">
          <cell r="C38" t="str">
            <v>FD Shares Outstanding</v>
          </cell>
          <cell r="F38">
            <v>1333.9944170875629</v>
          </cell>
          <cell r="H38">
            <v>1333.9944170875629</v>
          </cell>
          <cell r="I38">
            <v>1333.9944170875629</v>
          </cell>
          <cell r="J38">
            <v>1333.9944170875629</v>
          </cell>
          <cell r="L38">
            <v>1333.9944170875629</v>
          </cell>
          <cell r="M38">
            <v>1333.9944170875629</v>
          </cell>
          <cell r="N38">
            <v>1333.9944170875629</v>
          </cell>
          <cell r="P38">
            <v>1333.9944170875629</v>
          </cell>
          <cell r="Q38">
            <v>1333.9944170875629</v>
          </cell>
          <cell r="R38">
            <v>1333.9944170875629</v>
          </cell>
        </row>
        <row r="39">
          <cell r="C39" t="str">
            <v>Net Debt</v>
          </cell>
          <cell r="F39">
            <v>-3440.6000000000022</v>
          </cell>
          <cell r="H39">
            <v>-3440.6000000000022</v>
          </cell>
          <cell r="I39">
            <v>-3440.6000000000022</v>
          </cell>
          <cell r="J39">
            <v>-3440.6000000000022</v>
          </cell>
          <cell r="L39">
            <v>-3440.6000000000022</v>
          </cell>
          <cell r="M39">
            <v>-3440.6000000000022</v>
          </cell>
          <cell r="N39">
            <v>-3440.6000000000022</v>
          </cell>
          <cell r="P39">
            <v>-3440.6000000000022</v>
          </cell>
          <cell r="Q39">
            <v>-3440.6000000000022</v>
          </cell>
          <cell r="R39">
            <v>-3440.6000000000022</v>
          </cell>
        </row>
        <row r="40">
          <cell r="C40" t="str">
            <v>Enterprise Value</v>
          </cell>
          <cell r="F40">
            <v>63510.24530339487</v>
          </cell>
          <cell r="H40">
            <v>57645.623337145822</v>
          </cell>
          <cell r="I40">
            <v>67826.660560003453</v>
          </cell>
          <cell r="J40">
            <v>78007.697782861098</v>
          </cell>
          <cell r="L40">
            <v>57248.356827537995</v>
          </cell>
          <cell r="M40">
            <v>67363.18296546099</v>
          </cell>
          <cell r="N40">
            <v>77478.009103383985</v>
          </cell>
          <cell r="P40">
            <v>62939.682056357153</v>
          </cell>
          <cell r="Q40">
            <v>74003.062399083356</v>
          </cell>
          <cell r="R40">
            <v>85066.442741809544</v>
          </cell>
        </row>
        <row r="41">
          <cell r="C41" t="str">
            <v>LTM EBITDA</v>
          </cell>
          <cell r="F41">
            <v>7976.5999999999949</v>
          </cell>
          <cell r="H41">
            <v>8003.4999999999991</v>
          </cell>
          <cell r="I41">
            <v>8003.4999999999991</v>
          </cell>
          <cell r="J41">
            <v>8003.4999999999991</v>
          </cell>
          <cell r="L41">
            <v>8000.2999999999984</v>
          </cell>
          <cell r="M41">
            <v>8000.2999999999984</v>
          </cell>
          <cell r="N41">
            <v>8000.2999999999984</v>
          </cell>
          <cell r="P41">
            <v>7904.2</v>
          </cell>
          <cell r="Q41">
            <v>7904.2</v>
          </cell>
          <cell r="R41">
            <v>7904.2</v>
          </cell>
        </row>
        <row r="42">
          <cell r="C42" t="str">
            <v>Implied EV / LTM EBITDA</v>
          </cell>
          <cell r="F42">
            <v>7.9620697168461385</v>
          </cell>
          <cell r="H42">
            <v>7.2025518007304088</v>
          </cell>
          <cell r="I42">
            <v>8.4746249215972345</v>
          </cell>
          <cell r="J42">
            <v>9.746698042464061</v>
          </cell>
          <cell r="L42">
            <v>7.1557762618324325</v>
          </cell>
          <cell r="M42">
            <v>8.420082117603215</v>
          </cell>
          <cell r="N42">
            <v>9.6843879733739993</v>
          </cell>
          <cell r="P42">
            <v>7.9628149662656753</v>
          </cell>
          <cell r="Q42">
            <v>9.3624987220823552</v>
          </cell>
          <cell r="R42">
            <v>10.762182477899033</v>
          </cell>
        </row>
        <row r="45">
          <cell r="C45" t="str">
            <v>Present Value of Future Share Price 3</v>
          </cell>
          <cell r="H45">
            <v>44.856886631848788</v>
          </cell>
          <cell r="I45">
            <v>52.333034403823582</v>
          </cell>
          <cell r="J45">
            <v>59.809182175798384</v>
          </cell>
          <cell r="L45">
            <v>41.035051146315553</v>
          </cell>
          <cell r="M45">
            <v>47.874226337368142</v>
          </cell>
          <cell r="N45">
            <v>54.713401528420732</v>
          </cell>
          <cell r="P45">
            <v>41.327949181040211</v>
          </cell>
          <cell r="Q45">
            <v>48.215940711213577</v>
          </cell>
          <cell r="R45">
            <v>55.103932241386943</v>
          </cell>
        </row>
        <row r="48">
          <cell r="C48" t="str">
            <v>Note: Share prices are discounted to 9/30/2009</v>
          </cell>
        </row>
        <row r="49">
          <cell r="C49" t="str">
            <v>1</v>
          </cell>
          <cell r="D49" t="str">
            <v>Current EPS based on consensus First Call estimates for FY 2008.  Current Forward PEG assumes a 15.0% long term growth rate based on pro forma strategic plan</v>
          </cell>
        </row>
        <row r="50">
          <cell r="C50" t="str">
            <v>2</v>
          </cell>
          <cell r="D50" t="str">
            <v>Calculated as Forward P/E times the forward EPS</v>
          </cell>
        </row>
        <row r="51">
          <cell r="C51" t="str">
            <v>3</v>
          </cell>
          <cell r="D51" t="str">
            <v>Implied future share prices discounted using estimated cost of equity of 8.6%</v>
          </cell>
        </row>
        <row r="54">
          <cell r="F54" t="str">
            <v>Discount Period</v>
          </cell>
          <cell r="H54">
            <v>0.25</v>
          </cell>
          <cell r="I54">
            <v>0.25</v>
          </cell>
          <cell r="J54">
            <v>0.25</v>
          </cell>
          <cell r="L54">
            <v>1.25</v>
          </cell>
          <cell r="M54">
            <v>1.25</v>
          </cell>
          <cell r="N54">
            <v>1.25</v>
          </cell>
          <cell r="P54">
            <v>2.25</v>
          </cell>
          <cell r="Q54">
            <v>2.25</v>
          </cell>
          <cell r="R54">
            <v>2.25</v>
          </cell>
        </row>
        <row r="60">
          <cell r="A60" t="str">
            <v>x</v>
          </cell>
          <cell r="C60" t="str">
            <v>Present Value of Future Share Price Analysis - EBITDA Multiple Driver</v>
          </cell>
        </row>
        <row r="62">
          <cell r="H62" t="str">
            <v>Fiscal Year Ending December 31,</v>
          </cell>
        </row>
        <row r="63">
          <cell r="F63" t="str">
            <v>Current</v>
          </cell>
          <cell r="H63">
            <v>2009</v>
          </cell>
          <cell r="L63">
            <v>2010</v>
          </cell>
          <cell r="P63">
            <v>2011</v>
          </cell>
        </row>
        <row r="65">
          <cell r="C65" t="str">
            <v>EV / LTM EBITDA</v>
          </cell>
          <cell r="F65">
            <v>7.9620697168461385</v>
          </cell>
          <cell r="H65">
            <v>6</v>
          </cell>
          <cell r="I65">
            <v>8</v>
          </cell>
          <cell r="J65">
            <v>10</v>
          </cell>
          <cell r="L65">
            <v>6</v>
          </cell>
          <cell r="M65">
            <v>8</v>
          </cell>
          <cell r="N65">
            <v>10</v>
          </cell>
          <cell r="P65">
            <v>6</v>
          </cell>
          <cell r="Q65">
            <v>8</v>
          </cell>
          <cell r="R65">
            <v>10</v>
          </cell>
        </row>
        <row r="66">
          <cell r="C66" t="str">
            <v>LTM EBITDA</v>
          </cell>
          <cell r="F66">
            <v>7976.5999999999949</v>
          </cell>
          <cell r="H66">
            <v>8003.4999999999991</v>
          </cell>
          <cell r="I66">
            <v>8003.4999999999991</v>
          </cell>
          <cell r="J66">
            <v>8003.4999999999991</v>
          </cell>
          <cell r="L66">
            <v>8000.2999999999984</v>
          </cell>
          <cell r="M66">
            <v>8000.2999999999984</v>
          </cell>
          <cell r="N66">
            <v>8000.2999999999984</v>
          </cell>
          <cell r="P66">
            <v>7904.2</v>
          </cell>
          <cell r="Q66">
            <v>7904.2</v>
          </cell>
          <cell r="R66">
            <v>7904.2</v>
          </cell>
        </row>
        <row r="67">
          <cell r="C67" t="str">
            <v>Enterprise Value</v>
          </cell>
          <cell r="F67">
            <v>63510.24530339487</v>
          </cell>
          <cell r="H67">
            <v>48020.999999999993</v>
          </cell>
          <cell r="I67">
            <v>64027.999999999993</v>
          </cell>
          <cell r="J67">
            <v>80034.999999999985</v>
          </cell>
          <cell r="L67">
            <v>48001.799999999988</v>
          </cell>
          <cell r="M67">
            <v>64002.399999999987</v>
          </cell>
          <cell r="N67">
            <v>80002.999999999985</v>
          </cell>
          <cell r="P67">
            <v>47425.2</v>
          </cell>
          <cell r="Q67">
            <v>63233.599999999999</v>
          </cell>
          <cell r="R67">
            <v>79042</v>
          </cell>
        </row>
        <row r="68">
          <cell r="C68" t="str">
            <v>Net Debt</v>
          </cell>
          <cell r="F68">
            <v>-3440.6000000000022</v>
          </cell>
          <cell r="H68">
            <v>-3440.6000000000022</v>
          </cell>
          <cell r="I68">
            <v>-3440.6000000000022</v>
          </cell>
          <cell r="J68">
            <v>-3440.6000000000022</v>
          </cell>
          <cell r="L68">
            <v>-3440.6000000000022</v>
          </cell>
          <cell r="M68">
            <v>-3440.6000000000022</v>
          </cell>
          <cell r="N68">
            <v>-3440.6000000000022</v>
          </cell>
          <cell r="P68">
            <v>-3440.6000000000022</v>
          </cell>
          <cell r="Q68">
            <v>-3440.6000000000022</v>
          </cell>
          <cell r="R68">
            <v>-3440.6000000000022</v>
          </cell>
        </row>
        <row r="69">
          <cell r="C69" t="str">
            <v>Equity Value</v>
          </cell>
          <cell r="F69">
            <v>66950.845303394875</v>
          </cell>
          <cell r="H69">
            <v>51461.599999999991</v>
          </cell>
          <cell r="I69">
            <v>67468.599999999991</v>
          </cell>
          <cell r="J69">
            <v>83475.599999999991</v>
          </cell>
          <cell r="L69">
            <v>51442.399999999994</v>
          </cell>
          <cell r="M69">
            <v>67442.999999999985</v>
          </cell>
          <cell r="N69">
            <v>83443.599999999991</v>
          </cell>
          <cell r="P69">
            <v>50865.8</v>
          </cell>
          <cell r="Q69">
            <v>66674.2</v>
          </cell>
          <cell r="R69">
            <v>82482.600000000006</v>
          </cell>
        </row>
        <row r="70">
          <cell r="C70" t="str">
            <v>FD Shares Outstanding</v>
          </cell>
          <cell r="F70">
            <v>1333.9944170875629</v>
          </cell>
          <cell r="H70">
            <v>1333.9944170875629</v>
          </cell>
          <cell r="I70">
            <v>1333.9944170875629</v>
          </cell>
          <cell r="J70">
            <v>1333.9944170875629</v>
          </cell>
          <cell r="L70">
            <v>1333.9944170875629</v>
          </cell>
          <cell r="M70">
            <v>1333.9944170875629</v>
          </cell>
          <cell r="N70">
            <v>1333.9944170875629</v>
          </cell>
          <cell r="P70">
            <v>1333.9944170875629</v>
          </cell>
          <cell r="Q70">
            <v>1333.9944170875629</v>
          </cell>
          <cell r="R70">
            <v>1333.9944170875629</v>
          </cell>
        </row>
        <row r="72">
          <cell r="C72" t="str">
            <v>Implied Fiscal Year-End Share Price 1</v>
          </cell>
          <cell r="F72">
            <v>50.188249999999996</v>
          </cell>
          <cell r="H72">
            <v>38.577072992819033</v>
          </cell>
          <cell r="I72">
            <v>50.576373585805932</v>
          </cell>
          <cell r="J72">
            <v>62.575674178792823</v>
          </cell>
          <cell r="L72">
            <v>38.562680128985377</v>
          </cell>
          <cell r="M72">
            <v>50.557183100694381</v>
          </cell>
          <cell r="N72">
            <v>62.551686072403399</v>
          </cell>
          <cell r="P72">
            <v>38.130444436980873</v>
          </cell>
          <cell r="Q72">
            <v>49.980868844688374</v>
          </cell>
          <cell r="R72">
            <v>61.831293252395888</v>
          </cell>
        </row>
        <row r="74">
          <cell r="C74" t="str">
            <v>EPS</v>
          </cell>
          <cell r="F74">
            <v>3.5</v>
          </cell>
          <cell r="H74">
            <v>3.7379984951091032</v>
          </cell>
          <cell r="I74">
            <v>3.7379984951091032</v>
          </cell>
          <cell r="J74">
            <v>3.7379984951091032</v>
          </cell>
          <cell r="L74">
            <v>3.815996938384997</v>
          </cell>
          <cell r="M74">
            <v>3.815996938384997</v>
          </cell>
          <cell r="N74">
            <v>3.815996938384997</v>
          </cell>
          <cell r="P74">
            <v>3.791180086047941</v>
          </cell>
          <cell r="Q74">
            <v>3.791180086047941</v>
          </cell>
          <cell r="R74">
            <v>3.791180086047941</v>
          </cell>
        </row>
        <row r="75">
          <cell r="C75" t="str">
            <v>Implied Forward P/E</v>
          </cell>
          <cell r="F75">
            <v>14.339499999999999</v>
          </cell>
          <cell r="H75">
            <v>10.320248401194998</v>
          </cell>
          <cell r="I75">
            <v>13.530335459466183</v>
          </cell>
          <cell r="J75">
            <v>16.740422517737368</v>
          </cell>
          <cell r="L75">
            <v>10.105532250585568</v>
          </cell>
          <cell r="M75">
            <v>13.248748339429001</v>
          </cell>
          <cell r="N75">
            <v>16.391964428272438</v>
          </cell>
          <cell r="P75">
            <v>10.057671640897805</v>
          </cell>
          <cell r="Q75">
            <v>13.183459426953833</v>
          </cell>
          <cell r="R75">
            <v>16.309247213009865</v>
          </cell>
        </row>
        <row r="76">
          <cell r="C76" t="str">
            <v>Long Term Growth Rate</v>
          </cell>
          <cell r="F76">
            <v>0.15</v>
          </cell>
          <cell r="H76">
            <v>0.15</v>
          </cell>
          <cell r="I76">
            <v>0.15</v>
          </cell>
          <cell r="J76">
            <v>0.15</v>
          </cell>
          <cell r="L76">
            <v>0.15</v>
          </cell>
          <cell r="M76">
            <v>0.15</v>
          </cell>
          <cell r="N76">
            <v>0.15</v>
          </cell>
          <cell r="P76">
            <v>0.15</v>
          </cell>
          <cell r="Q76">
            <v>0.15</v>
          </cell>
          <cell r="R76">
            <v>0.15</v>
          </cell>
        </row>
        <row r="77">
          <cell r="C77" t="str">
            <v>Forward PEG</v>
          </cell>
          <cell r="F77">
            <v>0.95596666666666663</v>
          </cell>
          <cell r="H77">
            <v>0.68801656007966661</v>
          </cell>
          <cell r="I77">
            <v>0.90202236396441227</v>
          </cell>
          <cell r="J77">
            <v>1.1160281678491579</v>
          </cell>
          <cell r="L77">
            <v>0.67370215003903799</v>
          </cell>
          <cell r="M77">
            <v>0.88324988929526682</v>
          </cell>
          <cell r="N77">
            <v>1.0927976285514958</v>
          </cell>
          <cell r="P77">
            <v>0.67051144272652041</v>
          </cell>
          <cell r="Q77">
            <v>0.87889729513025561</v>
          </cell>
          <cell r="R77">
            <v>1.087283147533991</v>
          </cell>
        </row>
        <row r="80">
          <cell r="C80" t="str">
            <v>Present Value of Future Share Price 2</v>
          </cell>
          <cell r="H80">
            <v>37.789325169982042</v>
          </cell>
          <cell r="I80">
            <v>49.543598803058025</v>
          </cell>
          <cell r="J80">
            <v>61.297872436133993</v>
          </cell>
          <cell r="L80">
            <v>34.782959296663506</v>
          </cell>
          <cell r="M80">
            <v>45.601821140632566</v>
          </cell>
          <cell r="N80">
            <v>56.420682984601633</v>
          </cell>
          <cell r="P80">
            <v>31.668729513203864</v>
          </cell>
          <cell r="Q80">
            <v>41.510940657755448</v>
          </cell>
          <cell r="R80">
            <v>51.353151802307039</v>
          </cell>
        </row>
        <row r="83">
          <cell r="C83" t="str">
            <v>Note: Share prices are discounted to 9/30/2009</v>
          </cell>
        </row>
        <row r="84">
          <cell r="C84">
            <v>1</v>
          </cell>
          <cell r="D84" t="str">
            <v>Calculated as EV / LTM EBITDA Multiple X LTM EBITDA minus Net Debt, divided by Shares Outstanding</v>
          </cell>
        </row>
        <row r="85">
          <cell r="C85">
            <v>2</v>
          </cell>
          <cell r="D85" t="str">
            <v>Implied future share prices discounted using estimated cost of equity of 8.6%</v>
          </cell>
        </row>
        <row r="89">
          <cell r="F89" t="str">
            <v>Discount Period</v>
          </cell>
          <cell r="H89">
            <v>0.25</v>
          </cell>
          <cell r="I89">
            <v>0.25</v>
          </cell>
          <cell r="J89">
            <v>0.25</v>
          </cell>
          <cell r="L89">
            <v>1.25</v>
          </cell>
          <cell r="M89">
            <v>1.25</v>
          </cell>
          <cell r="N89">
            <v>1.25</v>
          </cell>
          <cell r="P89">
            <v>2.25</v>
          </cell>
          <cell r="Q89">
            <v>2.25</v>
          </cell>
          <cell r="R89">
            <v>2.25</v>
          </cell>
        </row>
        <row r="97">
          <cell r="A97" t="str">
            <v>x</v>
          </cell>
        </row>
      </sheetData>
      <sheetData sheetId="15">
        <row r="2">
          <cell r="A2" t="str">
            <v>x</v>
          </cell>
          <cell r="B2" t="str">
            <v>Inputs &amp; Links</v>
          </cell>
        </row>
        <row r="4">
          <cell r="B4" t="str">
            <v>Current Price</v>
          </cell>
          <cell r="C4">
            <v>43.74</v>
          </cell>
          <cell r="E4">
            <v>40086</v>
          </cell>
          <cell r="F4" t="str">
            <v>LTM 9/30/09 EBITDA</v>
          </cell>
          <cell r="G4">
            <v>7976.5999999999949</v>
          </cell>
          <cell r="H4" t="str">
            <v>&lt;- Links to Sum P&amp;L "EBITDA" line</v>
          </cell>
        </row>
        <row r="5">
          <cell r="B5" t="str">
            <v>FD Offer Shares</v>
          </cell>
          <cell r="C5">
            <v>1339.5585051145338</v>
          </cell>
          <cell r="E5">
            <v>2008</v>
          </cell>
          <cell r="F5" t="str">
            <v>2008 EBITDA</v>
          </cell>
          <cell r="G5">
            <v>7895.9</v>
          </cell>
        </row>
        <row r="6">
          <cell r="B6" t="str">
            <v>Net Debt</v>
          </cell>
          <cell r="C6">
            <v>-3440.6000000000022</v>
          </cell>
          <cell r="E6">
            <v>2009</v>
          </cell>
          <cell r="F6" t="str">
            <v>2009E EBITDA</v>
          </cell>
          <cell r="G6">
            <v>8003.4999999999991</v>
          </cell>
        </row>
        <row r="7">
          <cell r="B7" t="str">
            <v>(at Close)</v>
          </cell>
          <cell r="E7">
            <v>2010</v>
          </cell>
          <cell r="F7" t="str">
            <v>2010P EBITDA</v>
          </cell>
          <cell r="G7">
            <v>8000.2999999999984</v>
          </cell>
        </row>
        <row r="9">
          <cell r="E9">
            <v>40086</v>
          </cell>
          <cell r="F9" t="str">
            <v>LTM 9/30/09 Revenue</v>
          </cell>
          <cell r="G9">
            <v>23003.924999999996</v>
          </cell>
          <cell r="H9" t="str">
            <v>&lt;- Links to Sum P&amp;L "Revenue" line</v>
          </cell>
        </row>
        <row r="10">
          <cell r="B10" t="str">
            <v>Metric #1:</v>
          </cell>
          <cell r="C10" t="str">
            <v>EBITDA</v>
          </cell>
          <cell r="E10">
            <v>2008</v>
          </cell>
          <cell r="F10" t="str">
            <v>2008 Revenue</v>
          </cell>
          <cell r="G10">
            <v>22833.9</v>
          </cell>
        </row>
        <row r="11">
          <cell r="B11" t="str">
            <v>Metric #2:</v>
          </cell>
          <cell r="C11" t="str">
            <v>Revenue</v>
          </cell>
          <cell r="E11">
            <v>2009</v>
          </cell>
          <cell r="F11" t="str">
            <v>2009E Revenue</v>
          </cell>
          <cell r="G11">
            <v>23060.6</v>
          </cell>
        </row>
        <row r="12">
          <cell r="E12">
            <v>2010</v>
          </cell>
          <cell r="F12" t="str">
            <v>2010P Revenue</v>
          </cell>
          <cell r="G12">
            <v>23050.6</v>
          </cell>
        </row>
        <row r="14">
          <cell r="E14">
            <v>2009</v>
          </cell>
          <cell r="F14" t="str">
            <v>2009E Forward EPS</v>
          </cell>
          <cell r="G14">
            <v>3.7379984951091032</v>
          </cell>
          <cell r="H14" t="str">
            <v>&lt;- Links to Sum P&amp;L "EBITDA" line</v>
          </cell>
        </row>
        <row r="15">
          <cell r="E15">
            <v>2010</v>
          </cell>
          <cell r="F15" t="str">
            <v>2010P Forward EPS</v>
          </cell>
          <cell r="G15">
            <v>3.815996938384997</v>
          </cell>
        </row>
        <row r="17">
          <cell r="K17" t="str">
            <v>Football Field</v>
          </cell>
        </row>
        <row r="19">
          <cell r="F19" t="str">
            <v>Start Price:</v>
          </cell>
          <cell r="G19">
            <v>28</v>
          </cell>
          <cell r="M19" t="str">
            <v>Valuation Summary</v>
          </cell>
        </row>
        <row r="20">
          <cell r="F20" t="str">
            <v>Increment:</v>
          </cell>
          <cell r="G20">
            <v>5</v>
          </cell>
          <cell r="K20" t="str">
            <v>Implied Offer Price Per Share</v>
          </cell>
          <cell r="M20">
            <v>28</v>
          </cell>
          <cell r="R20">
            <v>33</v>
          </cell>
          <cell r="W20">
            <v>38</v>
          </cell>
          <cell r="AB20">
            <v>43</v>
          </cell>
          <cell r="AG20">
            <v>48</v>
          </cell>
          <cell r="AL20">
            <v>53</v>
          </cell>
          <cell r="AQ20">
            <v>58</v>
          </cell>
          <cell r="AV20">
            <v>63</v>
          </cell>
          <cell r="BA20">
            <v>68</v>
          </cell>
          <cell r="BF20">
            <v>73</v>
          </cell>
          <cell r="BK20">
            <v>78</v>
          </cell>
          <cell r="BP20">
            <v>83</v>
          </cell>
        </row>
        <row r="21">
          <cell r="F21" t="str">
            <v>Share count diluted based on each Implied Price:</v>
          </cell>
          <cell r="G21" t="str">
            <v>No</v>
          </cell>
          <cell r="K21" t="str">
            <v>Implied Premium / (Discount) to Current Price</v>
          </cell>
          <cell r="M21">
            <v>-0.35985368084133518</v>
          </cell>
          <cell r="R21">
            <v>-0.24554183813443076</v>
          </cell>
          <cell r="W21">
            <v>-0.13122999542752634</v>
          </cell>
          <cell r="AB21">
            <v>-1.6918152720621915E-2</v>
          </cell>
          <cell r="AG21">
            <v>9.7393689986282617E-2</v>
          </cell>
          <cell r="AL21">
            <v>0.21170553269318693</v>
          </cell>
          <cell r="AQ21">
            <v>0.32601737540009146</v>
          </cell>
          <cell r="AV21">
            <v>0.44032921810699577</v>
          </cell>
          <cell r="BA21">
            <v>0.5546410608139003</v>
          </cell>
          <cell r="BF21">
            <v>0.66895290352080461</v>
          </cell>
          <cell r="BK21">
            <v>0.78326474622770914</v>
          </cell>
          <cell r="BP21">
            <v>0.89757658893461345</v>
          </cell>
        </row>
        <row r="22">
          <cell r="K22" t="str">
            <v>Implied Enterprise Value</v>
          </cell>
          <cell r="M22">
            <v>34067.038143206941</v>
          </cell>
          <cell r="R22">
            <v>40764.830668779614</v>
          </cell>
          <cell r="W22">
            <v>47462.623194352287</v>
          </cell>
          <cell r="AB22">
            <v>54160.415719924946</v>
          </cell>
          <cell r="AG22">
            <v>60858.208245497619</v>
          </cell>
          <cell r="AL22">
            <v>67556.000771070278</v>
          </cell>
          <cell r="AQ22">
            <v>74253.793296642951</v>
          </cell>
          <cell r="AV22">
            <v>80951.585822215624</v>
          </cell>
          <cell r="BA22">
            <v>87649.378347788297</v>
          </cell>
          <cell r="BF22">
            <v>94347.170873360956</v>
          </cell>
          <cell r="BK22">
            <v>101044.96339893363</v>
          </cell>
          <cell r="BP22">
            <v>107742.7559245063</v>
          </cell>
          <cell r="BV22" t="str">
            <v>* Boxes below can be aligned with their respective ranges</v>
          </cell>
        </row>
        <row r="23">
          <cell r="A23" t="str">
            <v>x</v>
          </cell>
          <cell r="B23" t="str">
            <v>Per Share</v>
          </cell>
          <cell r="G23" t="str">
            <v>Enterprise Value / Share Price</v>
          </cell>
          <cell r="BV23" t="str">
            <v>Implied Price</v>
          </cell>
        </row>
        <row r="24">
          <cell r="B24" t="str">
            <v>Low</v>
          </cell>
          <cell r="C24" t="str">
            <v>High</v>
          </cell>
          <cell r="G24" t="str">
            <v>Low</v>
          </cell>
          <cell r="H24" t="str">
            <v>High</v>
          </cell>
          <cell r="BV24" t="str">
            <v>Low</v>
          </cell>
          <cell r="BW24" t="str">
            <v>High</v>
          </cell>
        </row>
        <row r="25">
          <cell r="B25">
            <v>28</v>
          </cell>
          <cell r="C25">
            <v>50</v>
          </cell>
          <cell r="G25">
            <v>34067.038143206941</v>
          </cell>
          <cell r="H25">
            <v>63537.325255726682</v>
          </cell>
          <cell r="K25" t="str">
            <v>52-Week High / Low</v>
          </cell>
          <cell r="N25">
            <v>0</v>
          </cell>
          <cell r="O25">
            <v>34067.038143206941</v>
          </cell>
          <cell r="P25">
            <v>35406.596648321472</v>
          </cell>
          <cell r="Q25">
            <v>36746.155153436004</v>
          </cell>
          <cell r="R25">
            <v>38085.713658550536</v>
          </cell>
          <cell r="S25">
            <v>39425.272163665068</v>
          </cell>
          <cell r="T25">
            <v>40764.830668779599</v>
          </cell>
          <cell r="U25">
            <v>42104.389173894131</v>
          </cell>
          <cell r="V25">
            <v>43443.947679008663</v>
          </cell>
          <cell r="W25">
            <v>44783.506184123195</v>
          </cell>
          <cell r="X25">
            <v>46123.064689237726</v>
          </cell>
          <cell r="Y25">
            <v>47462.623194352258</v>
          </cell>
          <cell r="Z25">
            <v>48802.18169946679</v>
          </cell>
          <cell r="AA25">
            <v>50141.740204581321</v>
          </cell>
          <cell r="AB25">
            <v>51481.298709695853</v>
          </cell>
          <cell r="AC25">
            <v>52820.857214810385</v>
          </cell>
          <cell r="AD25">
            <v>54160.415719924917</v>
          </cell>
          <cell r="AE25">
            <v>55499.974225039448</v>
          </cell>
          <cell r="AF25">
            <v>56839.53273015398</v>
          </cell>
          <cell r="AG25">
            <v>58179.091235268512</v>
          </cell>
          <cell r="AH25">
            <v>59518.649740383044</v>
          </cell>
          <cell r="AI25">
            <v>60858.208245497575</v>
          </cell>
          <cell r="AJ25">
            <v>62197.766750612107</v>
          </cell>
          <cell r="AK25">
            <v>63537.325255726639</v>
          </cell>
          <cell r="AL25">
            <v>64876.88376084117</v>
          </cell>
          <cell r="AM25">
            <v>66216.442265955702</v>
          </cell>
          <cell r="AN25">
            <v>67556.000771070234</v>
          </cell>
          <cell r="AO25">
            <v>68895.559276184766</v>
          </cell>
          <cell r="AP25">
            <v>70235.117781299297</v>
          </cell>
          <cell r="AQ25">
            <v>71574.676286413829</v>
          </cell>
          <cell r="AR25">
            <v>72914.234791528361</v>
          </cell>
          <cell r="AS25">
            <v>74253.793296642893</v>
          </cell>
          <cell r="AT25">
            <v>75593.351801757424</v>
          </cell>
          <cell r="AU25">
            <v>76932.910306871956</v>
          </cell>
          <cell r="AV25">
            <v>78272.468811986488</v>
          </cell>
          <cell r="AW25">
            <v>79612.027317101019</v>
          </cell>
          <cell r="AX25">
            <v>80951.585822215551</v>
          </cell>
          <cell r="AY25">
            <v>82291.144327330083</v>
          </cell>
          <cell r="AZ25">
            <v>83630.702832444615</v>
          </cell>
          <cell r="BA25">
            <v>84970.261337559146</v>
          </cell>
          <cell r="BB25">
            <v>86309.819842673678</v>
          </cell>
          <cell r="BC25">
            <v>87649.37834778821</v>
          </cell>
          <cell r="BD25">
            <v>88988.936852902742</v>
          </cell>
          <cell r="BE25">
            <v>90328.495358017273</v>
          </cell>
          <cell r="BF25">
            <v>91668.053863131805</v>
          </cell>
          <cell r="BG25">
            <v>93007.612368246337</v>
          </cell>
          <cell r="BH25">
            <v>94347.170873360868</v>
          </cell>
          <cell r="BI25">
            <v>95686.7293784754</v>
          </cell>
          <cell r="BJ25">
            <v>97026.287883589932</v>
          </cell>
          <cell r="BK25">
            <v>98365.846388704464</v>
          </cell>
          <cell r="BL25">
            <v>99705.404893818995</v>
          </cell>
          <cell r="BM25">
            <v>101044.96339893353</v>
          </cell>
          <cell r="BN25">
            <v>102384.52190404806</v>
          </cell>
          <cell r="BO25">
            <v>103724.08040916259</v>
          </cell>
          <cell r="BP25">
            <v>105063.63891427712</v>
          </cell>
          <cell r="BQ25">
            <v>106403.19741939165</v>
          </cell>
          <cell r="BR25">
            <v>107742.75592450619</v>
          </cell>
          <cell r="BS25">
            <v>109082.31442962072</v>
          </cell>
        </row>
        <row r="26">
          <cell r="B26" t="str">
            <v>#CIQINACTIVE</v>
          </cell>
          <cell r="C26" t="str">
            <v>#CIQINACTIVE</v>
          </cell>
          <cell r="G26">
            <v>28</v>
          </cell>
          <cell r="H26">
            <v>50</v>
          </cell>
          <cell r="K26" t="str">
            <v>($28.00 - $50.00)</v>
          </cell>
          <cell r="N26">
            <v>0</v>
          </cell>
          <cell r="O26">
            <v>34067.038143206941</v>
          </cell>
          <cell r="P26">
            <v>35406.596648321472</v>
          </cell>
          <cell r="Q26">
            <v>36746.155153436004</v>
          </cell>
          <cell r="R26">
            <v>38085.713658550536</v>
          </cell>
          <cell r="S26">
            <v>39425.272163665068</v>
          </cell>
          <cell r="T26">
            <v>40764.830668779599</v>
          </cell>
          <cell r="U26">
            <v>42104.389173894131</v>
          </cell>
          <cell r="V26">
            <v>43443.947679008663</v>
          </cell>
          <cell r="W26">
            <v>44783.506184123195</v>
          </cell>
          <cell r="X26">
            <v>46123.064689237726</v>
          </cell>
          <cell r="Y26">
            <v>47462.623194352258</v>
          </cell>
          <cell r="Z26">
            <v>48802.18169946679</v>
          </cell>
          <cell r="AA26">
            <v>50141.740204581321</v>
          </cell>
          <cell r="AB26">
            <v>51481.298709695853</v>
          </cell>
          <cell r="AC26">
            <v>52820.857214810385</v>
          </cell>
          <cell r="AD26">
            <v>54160.415719924917</v>
          </cell>
          <cell r="AE26">
            <v>55499.974225039448</v>
          </cell>
          <cell r="AF26">
            <v>56839.53273015398</v>
          </cell>
          <cell r="AG26">
            <v>58179.091235268512</v>
          </cell>
          <cell r="AH26">
            <v>59518.649740383044</v>
          </cell>
          <cell r="AI26">
            <v>60858.208245497575</v>
          </cell>
          <cell r="AJ26">
            <v>62197.766750612107</v>
          </cell>
          <cell r="AK26">
            <v>63537.325255726639</v>
          </cell>
          <cell r="AL26">
            <v>64876.88376084117</v>
          </cell>
          <cell r="AM26">
            <v>66216.442265955702</v>
          </cell>
          <cell r="AN26">
            <v>67556.000771070234</v>
          </cell>
          <cell r="AO26">
            <v>68895.559276184766</v>
          </cell>
          <cell r="AP26">
            <v>70235.117781299297</v>
          </cell>
          <cell r="AQ26">
            <v>71574.676286413829</v>
          </cell>
          <cell r="AR26">
            <v>72914.234791528361</v>
          </cell>
          <cell r="AS26">
            <v>74253.793296642893</v>
          </cell>
          <cell r="AT26">
            <v>75593.351801757424</v>
          </cell>
          <cell r="AU26">
            <v>76932.910306871956</v>
          </cell>
          <cell r="AV26">
            <v>78272.468811986488</v>
          </cell>
          <cell r="AW26">
            <v>79612.027317101019</v>
          </cell>
          <cell r="AX26">
            <v>80951.585822215551</v>
          </cell>
          <cell r="AY26">
            <v>82291.144327330083</v>
          </cell>
          <cell r="AZ26">
            <v>83630.702832444615</v>
          </cell>
          <cell r="BA26">
            <v>84970.261337559146</v>
          </cell>
          <cell r="BB26">
            <v>86309.819842673678</v>
          </cell>
          <cell r="BC26">
            <v>87649.37834778821</v>
          </cell>
          <cell r="BD26">
            <v>88988.936852902742</v>
          </cell>
          <cell r="BE26">
            <v>90328.495358017273</v>
          </cell>
          <cell r="BF26">
            <v>91668.053863131805</v>
          </cell>
          <cell r="BG26">
            <v>93007.612368246337</v>
          </cell>
          <cell r="BH26">
            <v>94347.170873360868</v>
          </cell>
          <cell r="BI26">
            <v>95686.7293784754</v>
          </cell>
          <cell r="BJ26">
            <v>97026.287883589932</v>
          </cell>
          <cell r="BK26">
            <v>98365.846388704464</v>
          </cell>
          <cell r="BL26">
            <v>99705.404893818995</v>
          </cell>
          <cell r="BM26">
            <v>101044.96339893353</v>
          </cell>
          <cell r="BN26">
            <v>102384.52190404806</v>
          </cell>
          <cell r="BO26">
            <v>103724.08040916259</v>
          </cell>
          <cell r="BP26">
            <v>105063.63891427712</v>
          </cell>
          <cell r="BQ26">
            <v>106403.19741939165</v>
          </cell>
          <cell r="BR26">
            <v>107742.75592450619</v>
          </cell>
          <cell r="BS26">
            <v>109082.31442962072</v>
          </cell>
        </row>
        <row r="27">
          <cell r="P27">
            <v>35406.596648321472</v>
          </cell>
          <cell r="Q27">
            <v>36746.155153436004</v>
          </cell>
          <cell r="R27">
            <v>38085.713658550536</v>
          </cell>
          <cell r="S27">
            <v>39425.272163665068</v>
          </cell>
          <cell r="T27">
            <v>40764.830668779599</v>
          </cell>
          <cell r="U27">
            <v>42104.389173894131</v>
          </cell>
          <cell r="V27">
            <v>43443.947679008663</v>
          </cell>
          <cell r="W27">
            <v>44783.506184123195</v>
          </cell>
          <cell r="X27">
            <v>46123.064689237726</v>
          </cell>
          <cell r="Y27">
            <v>47462.623194352258</v>
          </cell>
          <cell r="Z27">
            <v>48802.18169946679</v>
          </cell>
          <cell r="AA27">
            <v>50141.740204581321</v>
          </cell>
          <cell r="AB27">
            <v>51481.298709695853</v>
          </cell>
          <cell r="AC27">
            <v>52820.857214810385</v>
          </cell>
          <cell r="AD27">
            <v>54160.415719924917</v>
          </cell>
          <cell r="AE27">
            <v>55499.974225039448</v>
          </cell>
          <cell r="AF27">
            <v>56839.53273015398</v>
          </cell>
          <cell r="AG27">
            <v>58179.091235268512</v>
          </cell>
          <cell r="AH27">
            <v>59518.649740383044</v>
          </cell>
          <cell r="AI27">
            <v>60858.208245497575</v>
          </cell>
          <cell r="AJ27">
            <v>62197.766750612107</v>
          </cell>
          <cell r="AK27">
            <v>63537.325255726639</v>
          </cell>
          <cell r="AL27">
            <v>64876.88376084117</v>
          </cell>
          <cell r="AM27">
            <v>66216.442265955702</v>
          </cell>
          <cell r="AN27">
            <v>67556.000771070234</v>
          </cell>
          <cell r="AO27">
            <v>68895.559276184766</v>
          </cell>
          <cell r="AP27">
            <v>70235.117781299297</v>
          </cell>
          <cell r="AQ27">
            <v>71574.676286413829</v>
          </cell>
          <cell r="AR27">
            <v>72914.234791528361</v>
          </cell>
          <cell r="AS27">
            <v>74253.793296642893</v>
          </cell>
          <cell r="AT27">
            <v>75593.351801757424</v>
          </cell>
          <cell r="AU27">
            <v>76932.910306871956</v>
          </cell>
          <cell r="AV27">
            <v>78272.468811986488</v>
          </cell>
          <cell r="AW27">
            <v>79612.027317101019</v>
          </cell>
          <cell r="AX27">
            <v>80951.585822215551</v>
          </cell>
          <cell r="AY27">
            <v>82291.144327330083</v>
          </cell>
          <cell r="AZ27">
            <v>83630.702832444615</v>
          </cell>
          <cell r="BA27">
            <v>84970.261337559146</v>
          </cell>
          <cell r="BB27">
            <v>86309.819842673678</v>
          </cell>
          <cell r="BC27">
            <v>87649.37834778821</v>
          </cell>
          <cell r="BD27">
            <v>88988.936852902742</v>
          </cell>
          <cell r="BE27">
            <v>90328.495358017273</v>
          </cell>
          <cell r="BF27">
            <v>91668.053863131805</v>
          </cell>
          <cell r="BG27">
            <v>93007.612368246337</v>
          </cell>
          <cell r="BH27">
            <v>94347.170873360868</v>
          </cell>
          <cell r="BI27">
            <v>95686.7293784754</v>
          </cell>
          <cell r="BJ27">
            <v>97026.287883589932</v>
          </cell>
          <cell r="BK27">
            <v>98365.846388704464</v>
          </cell>
          <cell r="BL27">
            <v>99705.404893818995</v>
          </cell>
          <cell r="BM27">
            <v>101044.96339893353</v>
          </cell>
          <cell r="BN27">
            <v>102384.52190404806</v>
          </cell>
          <cell r="BO27">
            <v>103724.08040916259</v>
          </cell>
          <cell r="BP27">
            <v>105063.63891427712</v>
          </cell>
          <cell r="BQ27">
            <v>106403.19741939165</v>
          </cell>
          <cell r="BR27">
            <v>107742.75592450619</v>
          </cell>
          <cell r="BS27">
            <v>109082.31442962072</v>
          </cell>
        </row>
        <row r="28">
          <cell r="B28">
            <v>42</v>
          </cell>
          <cell r="C28">
            <v>48</v>
          </cell>
          <cell r="G28">
            <v>52820.857214810414</v>
          </cell>
          <cell r="H28">
            <v>60858.208245497619</v>
          </cell>
          <cell r="K28" t="str">
            <v>Equity Analysts' Price Targets</v>
          </cell>
          <cell r="N28">
            <v>0</v>
          </cell>
          <cell r="O28">
            <v>34067.038143206941</v>
          </cell>
          <cell r="P28">
            <v>35406.596648321472</v>
          </cell>
          <cell r="Q28">
            <v>36746.155153436004</v>
          </cell>
          <cell r="R28">
            <v>38085.713658550536</v>
          </cell>
          <cell r="S28">
            <v>39425.272163665068</v>
          </cell>
          <cell r="T28">
            <v>40764.830668779599</v>
          </cell>
          <cell r="U28">
            <v>42104.389173894131</v>
          </cell>
          <cell r="V28">
            <v>43443.947679008663</v>
          </cell>
          <cell r="W28">
            <v>44783.506184123195</v>
          </cell>
          <cell r="X28">
            <v>46123.064689237726</v>
          </cell>
          <cell r="Y28">
            <v>47462.623194352258</v>
          </cell>
          <cell r="Z28">
            <v>48802.18169946679</v>
          </cell>
          <cell r="AA28">
            <v>50141.740204581321</v>
          </cell>
          <cell r="AB28">
            <v>51481.298709695853</v>
          </cell>
          <cell r="AC28">
            <v>52820.857214810385</v>
          </cell>
          <cell r="AD28">
            <v>54160.415719924917</v>
          </cell>
          <cell r="AE28">
            <v>55499.974225039448</v>
          </cell>
          <cell r="AF28">
            <v>56839.53273015398</v>
          </cell>
          <cell r="AG28">
            <v>58179.091235268512</v>
          </cell>
          <cell r="AH28">
            <v>59518.649740383044</v>
          </cell>
          <cell r="AI28">
            <v>60858.208245497575</v>
          </cell>
          <cell r="AJ28">
            <v>62197.766750612107</v>
          </cell>
          <cell r="AK28">
            <v>63537.325255726639</v>
          </cell>
          <cell r="AL28">
            <v>64876.88376084117</v>
          </cell>
          <cell r="AM28">
            <v>66216.442265955702</v>
          </cell>
          <cell r="AN28">
            <v>67556.000771070234</v>
          </cell>
          <cell r="AO28">
            <v>68895.559276184766</v>
          </cell>
          <cell r="AP28">
            <v>70235.117781299297</v>
          </cell>
          <cell r="AQ28">
            <v>71574.676286413829</v>
          </cell>
          <cell r="AR28">
            <v>72914.234791528361</v>
          </cell>
          <cell r="AS28">
            <v>74253.793296642893</v>
          </cell>
          <cell r="AT28">
            <v>75593.351801757424</v>
          </cell>
          <cell r="AU28">
            <v>76932.910306871956</v>
          </cell>
          <cell r="AV28">
            <v>78272.468811986488</v>
          </cell>
          <cell r="AW28">
            <v>79612.027317101019</v>
          </cell>
          <cell r="AX28">
            <v>80951.585822215551</v>
          </cell>
          <cell r="AY28">
            <v>82291.144327330083</v>
          </cell>
          <cell r="AZ28">
            <v>83630.702832444615</v>
          </cell>
          <cell r="BA28">
            <v>84970.261337559146</v>
          </cell>
          <cell r="BB28">
            <v>86309.819842673678</v>
          </cell>
          <cell r="BC28">
            <v>87649.37834778821</v>
          </cell>
          <cell r="BD28">
            <v>88988.936852902742</v>
          </cell>
          <cell r="BE28">
            <v>90328.495358017273</v>
          </cell>
          <cell r="BF28">
            <v>91668.053863131805</v>
          </cell>
          <cell r="BG28">
            <v>93007.612368246337</v>
          </cell>
          <cell r="BH28">
            <v>94347.170873360868</v>
          </cell>
          <cell r="BI28">
            <v>95686.7293784754</v>
          </cell>
          <cell r="BJ28">
            <v>97026.287883589932</v>
          </cell>
          <cell r="BK28">
            <v>98365.846388704464</v>
          </cell>
          <cell r="BL28">
            <v>99705.404893818995</v>
          </cell>
          <cell r="BM28">
            <v>101044.96339893353</v>
          </cell>
          <cell r="BN28">
            <v>102384.52190404806</v>
          </cell>
          <cell r="BO28">
            <v>103724.08040916259</v>
          </cell>
          <cell r="BP28">
            <v>105063.63891427712</v>
          </cell>
          <cell r="BQ28">
            <v>106403.19741939165</v>
          </cell>
          <cell r="BR28">
            <v>107742.75592450619</v>
          </cell>
          <cell r="BS28">
            <v>109082.31442962072</v>
          </cell>
        </row>
        <row r="29">
          <cell r="G29">
            <v>42</v>
          </cell>
          <cell r="H29">
            <v>48</v>
          </cell>
          <cell r="K29" t="str">
            <v>($42.00 - $48.00)</v>
          </cell>
          <cell r="N29">
            <v>0</v>
          </cell>
          <cell r="O29">
            <v>34067.038143206941</v>
          </cell>
          <cell r="P29">
            <v>35406.596648321472</v>
          </cell>
          <cell r="Q29">
            <v>36746.155153436004</v>
          </cell>
          <cell r="R29">
            <v>38085.713658550536</v>
          </cell>
          <cell r="S29">
            <v>39425.272163665068</v>
          </cell>
          <cell r="T29">
            <v>40764.830668779599</v>
          </cell>
          <cell r="U29">
            <v>42104.389173894131</v>
          </cell>
          <cell r="V29">
            <v>43443.947679008663</v>
          </cell>
          <cell r="W29">
            <v>44783.506184123195</v>
          </cell>
          <cell r="X29">
            <v>46123.064689237726</v>
          </cell>
          <cell r="Y29">
            <v>47462.623194352258</v>
          </cell>
          <cell r="Z29">
            <v>48802.18169946679</v>
          </cell>
          <cell r="AA29">
            <v>50141.740204581321</v>
          </cell>
          <cell r="AB29">
            <v>51481.298709695853</v>
          </cell>
          <cell r="AC29">
            <v>52820.857214810385</v>
          </cell>
          <cell r="AD29">
            <v>54160.415719924917</v>
          </cell>
          <cell r="AE29">
            <v>55499.974225039448</v>
          </cell>
          <cell r="AF29">
            <v>56839.53273015398</v>
          </cell>
          <cell r="AG29">
            <v>58179.091235268512</v>
          </cell>
          <cell r="AH29">
            <v>59518.649740383044</v>
          </cell>
          <cell r="AI29">
            <v>60858.208245497575</v>
          </cell>
          <cell r="AJ29">
            <v>62197.766750612107</v>
          </cell>
          <cell r="AK29">
            <v>63537.325255726639</v>
          </cell>
          <cell r="AL29">
            <v>64876.88376084117</v>
          </cell>
          <cell r="AM29">
            <v>66216.442265955702</v>
          </cell>
          <cell r="AN29">
            <v>67556.000771070234</v>
          </cell>
          <cell r="AO29">
            <v>68895.559276184766</v>
          </cell>
          <cell r="AP29">
            <v>70235.117781299297</v>
          </cell>
          <cell r="AQ29">
            <v>71574.676286413829</v>
          </cell>
          <cell r="AR29">
            <v>72914.234791528361</v>
          </cell>
          <cell r="AS29">
            <v>74253.793296642893</v>
          </cell>
          <cell r="AT29">
            <v>75593.351801757424</v>
          </cell>
          <cell r="AU29">
            <v>76932.910306871956</v>
          </cell>
          <cell r="AV29">
            <v>78272.468811986488</v>
          </cell>
          <cell r="AW29">
            <v>79612.027317101019</v>
          </cell>
          <cell r="AX29">
            <v>80951.585822215551</v>
          </cell>
          <cell r="AY29">
            <v>82291.144327330083</v>
          </cell>
          <cell r="AZ29">
            <v>83630.702832444615</v>
          </cell>
          <cell r="BA29">
            <v>84970.261337559146</v>
          </cell>
          <cell r="BB29">
            <v>86309.819842673678</v>
          </cell>
          <cell r="BC29">
            <v>87649.37834778821</v>
          </cell>
          <cell r="BD29">
            <v>88988.936852902742</v>
          </cell>
          <cell r="BE29">
            <v>90328.495358017273</v>
          </cell>
          <cell r="BF29">
            <v>91668.053863131805</v>
          </cell>
          <cell r="BG29">
            <v>93007.612368246337</v>
          </cell>
          <cell r="BH29">
            <v>94347.170873360868</v>
          </cell>
          <cell r="BI29">
            <v>95686.7293784754</v>
          </cell>
          <cell r="BJ29">
            <v>97026.287883589932</v>
          </cell>
          <cell r="BK29">
            <v>98365.846388704464</v>
          </cell>
          <cell r="BL29">
            <v>99705.404893818995</v>
          </cell>
          <cell r="BM29">
            <v>101044.96339893353</v>
          </cell>
          <cell r="BN29">
            <v>102384.52190404806</v>
          </cell>
          <cell r="BO29">
            <v>103724.08040916259</v>
          </cell>
          <cell r="BP29">
            <v>105063.63891427712</v>
          </cell>
          <cell r="BQ29">
            <v>106403.19741939165</v>
          </cell>
          <cell r="BR29">
            <v>107742.75592450619</v>
          </cell>
          <cell r="BS29">
            <v>109082.31442962072</v>
          </cell>
        </row>
        <row r="30">
          <cell r="E30" t="str">
            <v>Select Metric:</v>
          </cell>
        </row>
        <row r="31">
          <cell r="B31">
            <v>8</v>
          </cell>
          <cell r="C31">
            <v>10</v>
          </cell>
          <cell r="E31" t="str">
            <v>LTM 9/30/09 EBITDA</v>
          </cell>
          <cell r="G31">
            <v>63812.799999999959</v>
          </cell>
          <cell r="H31">
            <v>79765.999999999942</v>
          </cell>
          <cell r="K31" t="str">
            <v>Comparable Public Company Analysis</v>
          </cell>
          <cell r="N31">
            <v>0</v>
          </cell>
          <cell r="O31">
            <v>34067.038143206941</v>
          </cell>
          <cell r="P31">
            <v>35406.596648321472</v>
          </cell>
          <cell r="Q31">
            <v>36746.155153436004</v>
          </cell>
          <cell r="R31">
            <v>38085.713658550536</v>
          </cell>
          <cell r="S31">
            <v>39425.272163665068</v>
          </cell>
          <cell r="T31">
            <v>40764.830668779599</v>
          </cell>
          <cell r="U31">
            <v>42104.389173894131</v>
          </cell>
          <cell r="V31">
            <v>43443.947679008663</v>
          </cell>
          <cell r="W31">
            <v>44783.506184123195</v>
          </cell>
          <cell r="X31">
            <v>46123.064689237726</v>
          </cell>
          <cell r="Y31">
            <v>47462.623194352258</v>
          </cell>
          <cell r="Z31">
            <v>48802.18169946679</v>
          </cell>
          <cell r="AA31">
            <v>50141.740204581321</v>
          </cell>
          <cell r="AB31">
            <v>51481.298709695853</v>
          </cell>
          <cell r="AC31">
            <v>52820.857214810385</v>
          </cell>
          <cell r="AD31">
            <v>54160.415719924917</v>
          </cell>
          <cell r="AE31">
            <v>55499.974225039448</v>
          </cell>
          <cell r="AF31">
            <v>56839.53273015398</v>
          </cell>
          <cell r="AG31">
            <v>58179.091235268512</v>
          </cell>
          <cell r="AH31">
            <v>59518.649740383044</v>
          </cell>
          <cell r="AI31">
            <v>60858.208245497575</v>
          </cell>
          <cell r="AJ31">
            <v>62197.766750612107</v>
          </cell>
          <cell r="AK31">
            <v>63537.325255726639</v>
          </cell>
          <cell r="AL31">
            <v>64876.88376084117</v>
          </cell>
          <cell r="AM31">
            <v>66216.442265955702</v>
          </cell>
          <cell r="AN31">
            <v>67556.000771070234</v>
          </cell>
          <cell r="AO31">
            <v>68895.559276184766</v>
          </cell>
          <cell r="AP31">
            <v>70235.117781299297</v>
          </cell>
          <cell r="AQ31">
            <v>71574.676286413829</v>
          </cell>
          <cell r="AR31">
            <v>72914.234791528361</v>
          </cell>
          <cell r="AS31">
            <v>74253.793296642893</v>
          </cell>
          <cell r="AT31">
            <v>75593.351801757424</v>
          </cell>
          <cell r="AU31">
            <v>76932.910306871956</v>
          </cell>
          <cell r="AV31">
            <v>78272.468811986488</v>
          </cell>
          <cell r="AW31">
            <v>79612.027317101019</v>
          </cell>
          <cell r="AX31">
            <v>80951.585822215551</v>
          </cell>
          <cell r="AY31">
            <v>82291.144327330083</v>
          </cell>
          <cell r="AZ31">
            <v>83630.702832444615</v>
          </cell>
          <cell r="BA31">
            <v>84970.261337559146</v>
          </cell>
          <cell r="BB31">
            <v>86309.819842673678</v>
          </cell>
          <cell r="BC31">
            <v>87649.37834778821</v>
          </cell>
          <cell r="BD31">
            <v>88988.936852902742</v>
          </cell>
          <cell r="BE31">
            <v>90328.495358017273</v>
          </cell>
          <cell r="BF31">
            <v>91668.053863131805</v>
          </cell>
          <cell r="BG31">
            <v>93007.612368246337</v>
          </cell>
          <cell r="BH31">
            <v>94347.170873360868</v>
          </cell>
          <cell r="BI31">
            <v>95686.7293784754</v>
          </cell>
          <cell r="BJ31">
            <v>97026.287883589932</v>
          </cell>
          <cell r="BK31">
            <v>98365.846388704464</v>
          </cell>
          <cell r="BL31">
            <v>99705.404893818995</v>
          </cell>
          <cell r="BM31">
            <v>101044.96339893353</v>
          </cell>
          <cell r="BN31">
            <v>102384.52190404806</v>
          </cell>
          <cell r="BO31">
            <v>103724.08040916259</v>
          </cell>
          <cell r="BP31">
            <v>105063.63891427712</v>
          </cell>
          <cell r="BQ31">
            <v>106403.19741939165</v>
          </cell>
          <cell r="BR31">
            <v>107742.75592450619</v>
          </cell>
          <cell r="BS31">
            <v>109082.31442962072</v>
          </cell>
        </row>
        <row r="32">
          <cell r="E32">
            <v>7976.5999999999949</v>
          </cell>
          <cell r="G32">
            <v>50.205645922310595</v>
          </cell>
          <cell r="H32">
            <v>62.114942857897567</v>
          </cell>
          <cell r="K32" t="str">
            <v>8.0x - 10.0x LTM 9/30/09 EBITDA ($7,976.6 mm)</v>
          </cell>
          <cell r="N32">
            <v>0</v>
          </cell>
          <cell r="O32">
            <v>34067.038143206941</v>
          </cell>
          <cell r="P32">
            <v>35406.596648321472</v>
          </cell>
          <cell r="Q32">
            <v>36746.155153436004</v>
          </cell>
          <cell r="R32">
            <v>38085.713658550536</v>
          </cell>
          <cell r="S32">
            <v>39425.272163665068</v>
          </cell>
          <cell r="T32">
            <v>40764.830668779599</v>
          </cell>
          <cell r="U32">
            <v>42104.389173894131</v>
          </cell>
          <cell r="V32">
            <v>43443.947679008663</v>
          </cell>
          <cell r="W32">
            <v>44783.506184123195</v>
          </cell>
          <cell r="X32">
            <v>46123.064689237726</v>
          </cell>
          <cell r="Y32">
            <v>47462.623194352258</v>
          </cell>
          <cell r="Z32">
            <v>48802.18169946679</v>
          </cell>
          <cell r="AA32">
            <v>50141.740204581321</v>
          </cell>
          <cell r="AB32">
            <v>51481.298709695853</v>
          </cell>
          <cell r="AC32">
            <v>52820.857214810385</v>
          </cell>
          <cell r="AD32">
            <v>54160.415719924917</v>
          </cell>
          <cell r="AE32">
            <v>55499.974225039448</v>
          </cell>
          <cell r="AF32">
            <v>56839.53273015398</v>
          </cell>
          <cell r="AG32">
            <v>58179.091235268512</v>
          </cell>
          <cell r="AH32">
            <v>59518.649740383044</v>
          </cell>
          <cell r="AI32">
            <v>60858.208245497575</v>
          </cell>
          <cell r="AJ32">
            <v>62197.766750612107</v>
          </cell>
          <cell r="AK32">
            <v>63537.325255726639</v>
          </cell>
          <cell r="AL32">
            <v>64876.88376084117</v>
          </cell>
          <cell r="AM32">
            <v>66216.442265955702</v>
          </cell>
          <cell r="AN32">
            <v>67556.000771070234</v>
          </cell>
          <cell r="AO32">
            <v>68895.559276184766</v>
          </cell>
          <cell r="AP32">
            <v>70235.117781299297</v>
          </cell>
          <cell r="AQ32">
            <v>71574.676286413829</v>
          </cell>
          <cell r="AR32">
            <v>72914.234791528361</v>
          </cell>
          <cell r="AS32">
            <v>74253.793296642893</v>
          </cell>
          <cell r="AT32">
            <v>75593.351801757424</v>
          </cell>
          <cell r="AU32">
            <v>76932.910306871956</v>
          </cell>
          <cell r="AV32">
            <v>78272.468811986488</v>
          </cell>
          <cell r="AW32">
            <v>79612.027317101019</v>
          </cell>
          <cell r="AX32">
            <v>80951.585822215551</v>
          </cell>
          <cell r="AY32">
            <v>82291.144327330083</v>
          </cell>
          <cell r="AZ32">
            <v>83630.702832444615</v>
          </cell>
          <cell r="BA32">
            <v>84970.261337559146</v>
          </cell>
          <cell r="BB32">
            <v>86309.819842673678</v>
          </cell>
          <cell r="BC32">
            <v>87649.37834778821</v>
          </cell>
          <cell r="BD32">
            <v>88988.936852902742</v>
          </cell>
          <cell r="BE32">
            <v>90328.495358017273</v>
          </cell>
          <cell r="BF32">
            <v>91668.053863131805</v>
          </cell>
          <cell r="BG32">
            <v>93007.612368246337</v>
          </cell>
          <cell r="BH32">
            <v>94347.170873360868</v>
          </cell>
          <cell r="BI32">
            <v>95686.7293784754</v>
          </cell>
          <cell r="BJ32">
            <v>97026.287883589932</v>
          </cell>
          <cell r="BK32">
            <v>98365.846388704464</v>
          </cell>
          <cell r="BL32">
            <v>99705.404893818995</v>
          </cell>
          <cell r="BM32">
            <v>101044.96339893353</v>
          </cell>
          <cell r="BN32">
            <v>102384.52190404806</v>
          </cell>
          <cell r="BO32">
            <v>103724.08040916259</v>
          </cell>
          <cell r="BP32">
            <v>105063.63891427712</v>
          </cell>
          <cell r="BQ32">
            <v>106403.19741939165</v>
          </cell>
          <cell r="BR32">
            <v>107742.75592450619</v>
          </cell>
          <cell r="BS32">
            <v>109082.31442962072</v>
          </cell>
        </row>
        <row r="34">
          <cell r="B34">
            <v>7</v>
          </cell>
          <cell r="C34">
            <v>9</v>
          </cell>
          <cell r="E34" t="str">
            <v>2009E EBITDA</v>
          </cell>
          <cell r="G34">
            <v>56024.499999999993</v>
          </cell>
          <cell r="H34">
            <v>72031.499999999985</v>
          </cell>
          <cell r="K34" t="str">
            <v>Comparable Public Company Analysis</v>
          </cell>
          <cell r="N34">
            <v>0</v>
          </cell>
          <cell r="O34">
            <v>34067.038143206941</v>
          </cell>
          <cell r="P34">
            <v>35406.596648321472</v>
          </cell>
          <cell r="Q34">
            <v>36746.155153436004</v>
          </cell>
          <cell r="R34">
            <v>38085.713658550536</v>
          </cell>
          <cell r="S34">
            <v>39425.272163665068</v>
          </cell>
          <cell r="T34">
            <v>40764.830668779599</v>
          </cell>
          <cell r="U34">
            <v>42104.389173894131</v>
          </cell>
          <cell r="V34">
            <v>43443.947679008663</v>
          </cell>
          <cell r="W34">
            <v>44783.506184123195</v>
          </cell>
          <cell r="X34">
            <v>46123.064689237726</v>
          </cell>
          <cell r="Y34">
            <v>47462.623194352258</v>
          </cell>
          <cell r="Z34">
            <v>48802.18169946679</v>
          </cell>
          <cell r="AA34">
            <v>50141.740204581321</v>
          </cell>
          <cell r="AB34">
            <v>51481.298709695853</v>
          </cell>
          <cell r="AC34">
            <v>52820.857214810385</v>
          </cell>
          <cell r="AD34">
            <v>54160.415719924917</v>
          </cell>
          <cell r="AE34">
            <v>55499.974225039448</v>
          </cell>
          <cell r="AF34">
            <v>56839.53273015398</v>
          </cell>
          <cell r="AG34">
            <v>58179.091235268512</v>
          </cell>
          <cell r="AH34">
            <v>59518.649740383044</v>
          </cell>
          <cell r="AI34">
            <v>60858.208245497575</v>
          </cell>
          <cell r="AJ34">
            <v>62197.766750612107</v>
          </cell>
          <cell r="AK34">
            <v>63537.325255726639</v>
          </cell>
          <cell r="AL34">
            <v>64876.88376084117</v>
          </cell>
          <cell r="AM34">
            <v>66216.442265955702</v>
          </cell>
          <cell r="AN34">
            <v>67556.000771070234</v>
          </cell>
          <cell r="AO34">
            <v>68895.559276184766</v>
          </cell>
          <cell r="AP34">
            <v>70235.117781299297</v>
          </cell>
          <cell r="AQ34">
            <v>71574.676286413829</v>
          </cell>
          <cell r="AR34">
            <v>72914.234791528361</v>
          </cell>
          <cell r="AS34">
            <v>74253.793296642893</v>
          </cell>
          <cell r="AT34">
            <v>75593.351801757424</v>
          </cell>
          <cell r="AU34">
            <v>76932.910306871956</v>
          </cell>
          <cell r="AV34">
            <v>78272.468811986488</v>
          </cell>
          <cell r="AW34">
            <v>79612.027317101019</v>
          </cell>
          <cell r="AX34">
            <v>80951.585822215551</v>
          </cell>
          <cell r="AY34">
            <v>82291.144327330083</v>
          </cell>
          <cell r="AZ34">
            <v>83630.702832444615</v>
          </cell>
          <cell r="BA34">
            <v>84970.261337559146</v>
          </cell>
          <cell r="BB34">
            <v>86309.819842673678</v>
          </cell>
          <cell r="BC34">
            <v>87649.37834778821</v>
          </cell>
          <cell r="BD34">
            <v>88988.936852902742</v>
          </cell>
          <cell r="BE34">
            <v>90328.495358017273</v>
          </cell>
          <cell r="BF34">
            <v>91668.053863131805</v>
          </cell>
          <cell r="BG34">
            <v>93007.612368246337</v>
          </cell>
          <cell r="BH34">
            <v>94347.170873360868</v>
          </cell>
          <cell r="BI34">
            <v>95686.7293784754</v>
          </cell>
          <cell r="BJ34">
            <v>97026.287883589932</v>
          </cell>
          <cell r="BK34">
            <v>98365.846388704464</v>
          </cell>
          <cell r="BL34">
            <v>99705.404893818995</v>
          </cell>
          <cell r="BM34">
            <v>101044.96339893353</v>
          </cell>
          <cell r="BN34">
            <v>102384.52190404806</v>
          </cell>
          <cell r="BO34">
            <v>103724.08040916259</v>
          </cell>
          <cell r="BP34">
            <v>105063.63891427712</v>
          </cell>
          <cell r="BQ34">
            <v>106403.19741939165</v>
          </cell>
          <cell r="BR34">
            <v>107742.75592450619</v>
          </cell>
          <cell r="BS34">
            <v>109082.31442962072</v>
          </cell>
        </row>
        <row r="35">
          <cell r="E35">
            <v>8003.4999999999991</v>
          </cell>
          <cell r="G35">
            <v>44.391566156280469</v>
          </cell>
          <cell r="H35">
            <v>56.341025578085549</v>
          </cell>
          <cell r="K35" t="str">
            <v>7.0x - 9.0x 2009E EBITDA ($8,003.5 mm)</v>
          </cell>
          <cell r="N35">
            <v>0</v>
          </cell>
          <cell r="O35">
            <v>34067.038143206941</v>
          </cell>
          <cell r="P35">
            <v>35406.596648321472</v>
          </cell>
          <cell r="Q35">
            <v>36746.155153436004</v>
          </cell>
          <cell r="R35">
            <v>38085.713658550536</v>
          </cell>
          <cell r="S35">
            <v>39425.272163665068</v>
          </cell>
          <cell r="T35">
            <v>40764.830668779599</v>
          </cell>
          <cell r="U35">
            <v>42104.389173894131</v>
          </cell>
          <cell r="V35">
            <v>43443.947679008663</v>
          </cell>
          <cell r="W35">
            <v>44783.506184123195</v>
          </cell>
          <cell r="X35">
            <v>46123.064689237726</v>
          </cell>
          <cell r="Y35">
            <v>47462.623194352258</v>
          </cell>
          <cell r="Z35">
            <v>48802.18169946679</v>
          </cell>
          <cell r="AA35">
            <v>50141.740204581321</v>
          </cell>
          <cell r="AB35">
            <v>51481.298709695853</v>
          </cell>
          <cell r="AC35">
            <v>52820.857214810385</v>
          </cell>
          <cell r="AD35">
            <v>54160.415719924917</v>
          </cell>
          <cell r="AE35">
            <v>55499.974225039448</v>
          </cell>
          <cell r="AF35">
            <v>56839.53273015398</v>
          </cell>
          <cell r="AG35">
            <v>58179.091235268512</v>
          </cell>
          <cell r="AH35">
            <v>59518.649740383044</v>
          </cell>
          <cell r="AI35">
            <v>60858.208245497575</v>
          </cell>
          <cell r="AJ35">
            <v>62197.766750612107</v>
          </cell>
          <cell r="AK35">
            <v>63537.325255726639</v>
          </cell>
          <cell r="AL35">
            <v>64876.88376084117</v>
          </cell>
          <cell r="AM35">
            <v>66216.442265955702</v>
          </cell>
          <cell r="AN35">
            <v>67556.000771070234</v>
          </cell>
          <cell r="AO35">
            <v>68895.559276184766</v>
          </cell>
          <cell r="AP35">
            <v>70235.117781299297</v>
          </cell>
          <cell r="AQ35">
            <v>71574.676286413829</v>
          </cell>
          <cell r="AR35">
            <v>72914.234791528361</v>
          </cell>
          <cell r="AS35">
            <v>74253.793296642893</v>
          </cell>
          <cell r="AT35">
            <v>75593.351801757424</v>
          </cell>
          <cell r="AU35">
            <v>76932.910306871956</v>
          </cell>
          <cell r="AV35">
            <v>78272.468811986488</v>
          </cell>
          <cell r="AW35">
            <v>79612.027317101019</v>
          </cell>
          <cell r="AX35">
            <v>80951.585822215551</v>
          </cell>
          <cell r="AY35">
            <v>82291.144327330083</v>
          </cell>
          <cell r="AZ35">
            <v>83630.702832444615</v>
          </cell>
          <cell r="BA35">
            <v>84970.261337559146</v>
          </cell>
          <cell r="BB35">
            <v>86309.819842673678</v>
          </cell>
          <cell r="BC35">
            <v>87649.37834778821</v>
          </cell>
          <cell r="BD35">
            <v>88988.936852902742</v>
          </cell>
          <cell r="BE35">
            <v>90328.495358017273</v>
          </cell>
          <cell r="BF35">
            <v>91668.053863131805</v>
          </cell>
          <cell r="BG35">
            <v>93007.612368246337</v>
          </cell>
          <cell r="BH35">
            <v>94347.170873360868</v>
          </cell>
          <cell r="BI35">
            <v>95686.7293784754</v>
          </cell>
          <cell r="BJ35">
            <v>97026.287883589932</v>
          </cell>
          <cell r="BK35">
            <v>98365.846388704464</v>
          </cell>
          <cell r="BL35">
            <v>99705.404893818995</v>
          </cell>
          <cell r="BM35">
            <v>101044.96339893353</v>
          </cell>
          <cell r="BN35">
            <v>102384.52190404806</v>
          </cell>
          <cell r="BO35">
            <v>103724.08040916259</v>
          </cell>
          <cell r="BP35">
            <v>105063.63891427712</v>
          </cell>
          <cell r="BQ35">
            <v>106403.19741939165</v>
          </cell>
          <cell r="BR35">
            <v>107742.75592450619</v>
          </cell>
          <cell r="BS35">
            <v>109082.31442962072</v>
          </cell>
        </row>
        <row r="37">
          <cell r="B37">
            <v>11</v>
          </cell>
          <cell r="C37">
            <v>16</v>
          </cell>
          <cell r="E37" t="str">
            <v>2010P Forward EPS</v>
          </cell>
          <cell r="G37">
            <v>52788.662697351087</v>
          </cell>
          <cell r="H37">
            <v>78347.418468874297</v>
          </cell>
          <cell r="K37" t="str">
            <v>Comparable Public Company Analysis</v>
          </cell>
          <cell r="N37">
            <v>0</v>
          </cell>
          <cell r="O37">
            <v>34067.038143206941</v>
          </cell>
          <cell r="P37">
            <v>35406.596648321472</v>
          </cell>
          <cell r="Q37">
            <v>36746.155153436004</v>
          </cell>
          <cell r="R37">
            <v>38085.713658550536</v>
          </cell>
          <cell r="S37">
            <v>39425.272163665068</v>
          </cell>
          <cell r="T37">
            <v>40764.830668779599</v>
          </cell>
          <cell r="U37">
            <v>42104.389173894131</v>
          </cell>
          <cell r="V37">
            <v>43443.947679008663</v>
          </cell>
          <cell r="W37">
            <v>44783.506184123195</v>
          </cell>
          <cell r="X37">
            <v>46123.064689237726</v>
          </cell>
          <cell r="Y37">
            <v>47462.623194352258</v>
          </cell>
          <cell r="Z37">
            <v>48802.18169946679</v>
          </cell>
          <cell r="AA37">
            <v>50141.740204581321</v>
          </cell>
          <cell r="AB37">
            <v>51481.298709695853</v>
          </cell>
          <cell r="AC37">
            <v>52820.857214810385</v>
          </cell>
          <cell r="AD37">
            <v>54160.415719924917</v>
          </cell>
          <cell r="AE37">
            <v>55499.974225039448</v>
          </cell>
          <cell r="AF37">
            <v>56839.53273015398</v>
          </cell>
          <cell r="AG37">
            <v>58179.091235268512</v>
          </cell>
          <cell r="AH37">
            <v>59518.649740383044</v>
          </cell>
          <cell r="AI37">
            <v>60858.208245497575</v>
          </cell>
          <cell r="AJ37">
            <v>62197.766750612107</v>
          </cell>
          <cell r="AK37">
            <v>63537.325255726639</v>
          </cell>
          <cell r="AL37">
            <v>64876.88376084117</v>
          </cell>
          <cell r="AM37">
            <v>66216.442265955702</v>
          </cell>
          <cell r="AN37">
            <v>67556.000771070234</v>
          </cell>
          <cell r="AO37">
            <v>68895.559276184766</v>
          </cell>
          <cell r="AP37">
            <v>70235.117781299297</v>
          </cell>
          <cell r="AQ37">
            <v>71574.676286413829</v>
          </cell>
          <cell r="AR37">
            <v>72914.234791528361</v>
          </cell>
          <cell r="AS37">
            <v>74253.793296642893</v>
          </cell>
          <cell r="AT37">
            <v>75593.351801757424</v>
          </cell>
          <cell r="AU37">
            <v>76932.910306871956</v>
          </cell>
          <cell r="AV37">
            <v>78272.468811986488</v>
          </cell>
          <cell r="AW37">
            <v>79612.027317101019</v>
          </cell>
          <cell r="AX37">
            <v>80951.585822215551</v>
          </cell>
          <cell r="AY37">
            <v>82291.144327330083</v>
          </cell>
          <cell r="AZ37">
            <v>83630.702832444615</v>
          </cell>
          <cell r="BA37">
            <v>84970.261337559146</v>
          </cell>
          <cell r="BB37">
            <v>86309.819842673678</v>
          </cell>
          <cell r="BC37">
            <v>87649.37834778821</v>
          </cell>
          <cell r="BD37">
            <v>88988.936852902742</v>
          </cell>
          <cell r="BE37">
            <v>90328.495358017273</v>
          </cell>
          <cell r="BF37">
            <v>91668.053863131805</v>
          </cell>
          <cell r="BG37">
            <v>93007.612368246337</v>
          </cell>
          <cell r="BH37">
            <v>94347.170873360868</v>
          </cell>
          <cell r="BI37">
            <v>95686.7293784754</v>
          </cell>
          <cell r="BJ37">
            <v>97026.287883589932</v>
          </cell>
          <cell r="BK37">
            <v>98365.846388704464</v>
          </cell>
          <cell r="BL37">
            <v>99705.404893818995</v>
          </cell>
          <cell r="BM37">
            <v>101044.96339893353</v>
          </cell>
          <cell r="BN37">
            <v>102384.52190404806</v>
          </cell>
          <cell r="BO37">
            <v>103724.08040916259</v>
          </cell>
          <cell r="BP37">
            <v>105063.63891427712</v>
          </cell>
          <cell r="BQ37">
            <v>106403.19741939165</v>
          </cell>
          <cell r="BR37">
            <v>107742.75592450619</v>
          </cell>
          <cell r="BS37">
            <v>109082.31442962072</v>
          </cell>
        </row>
        <row r="38">
          <cell r="E38">
            <v>3.815996938384997</v>
          </cell>
          <cell r="G38">
            <v>41.975966322234974</v>
          </cell>
          <cell r="H38">
            <v>61.055951014159952</v>
          </cell>
          <cell r="K38" t="str">
            <v>11.0x - 16.0x 2010P Forward EPS ($3.82)</v>
          </cell>
          <cell r="N38">
            <v>0</v>
          </cell>
          <cell r="O38">
            <v>34067.038143206941</v>
          </cell>
          <cell r="P38">
            <v>35406.596648321472</v>
          </cell>
          <cell r="Q38">
            <v>36746.155153436004</v>
          </cell>
          <cell r="R38">
            <v>38085.713658550536</v>
          </cell>
          <cell r="S38">
            <v>39425.272163665068</v>
          </cell>
          <cell r="T38">
            <v>40764.830668779599</v>
          </cell>
          <cell r="U38">
            <v>42104.389173894131</v>
          </cell>
          <cell r="V38">
            <v>43443.947679008663</v>
          </cell>
          <cell r="W38">
            <v>44783.506184123195</v>
          </cell>
          <cell r="X38">
            <v>46123.064689237726</v>
          </cell>
          <cell r="Y38">
            <v>47462.623194352258</v>
          </cell>
          <cell r="Z38">
            <v>48802.18169946679</v>
          </cell>
          <cell r="AA38">
            <v>50141.740204581321</v>
          </cell>
          <cell r="AB38">
            <v>51481.298709695853</v>
          </cell>
          <cell r="AC38">
            <v>52820.857214810385</v>
          </cell>
          <cell r="AD38">
            <v>54160.415719924917</v>
          </cell>
          <cell r="AE38">
            <v>55499.974225039448</v>
          </cell>
          <cell r="AF38">
            <v>56839.53273015398</v>
          </cell>
          <cell r="AG38">
            <v>58179.091235268512</v>
          </cell>
          <cell r="AH38">
            <v>59518.649740383044</v>
          </cell>
          <cell r="AI38">
            <v>60858.208245497575</v>
          </cell>
          <cell r="AJ38">
            <v>62197.766750612107</v>
          </cell>
          <cell r="AK38">
            <v>63537.325255726639</v>
          </cell>
          <cell r="AL38">
            <v>64876.88376084117</v>
          </cell>
          <cell r="AM38">
            <v>66216.442265955702</v>
          </cell>
          <cell r="AN38">
            <v>67556.000771070234</v>
          </cell>
          <cell r="AO38">
            <v>68895.559276184766</v>
          </cell>
          <cell r="AP38">
            <v>70235.117781299297</v>
          </cell>
          <cell r="AQ38">
            <v>71574.676286413829</v>
          </cell>
          <cell r="AR38">
            <v>72914.234791528361</v>
          </cell>
          <cell r="AS38">
            <v>74253.793296642893</v>
          </cell>
          <cell r="AT38">
            <v>75593.351801757424</v>
          </cell>
          <cell r="AU38">
            <v>76932.910306871956</v>
          </cell>
          <cell r="AV38">
            <v>78272.468811986488</v>
          </cell>
          <cell r="AW38">
            <v>79612.027317101019</v>
          </cell>
          <cell r="AX38">
            <v>80951.585822215551</v>
          </cell>
          <cell r="AY38">
            <v>82291.144327330083</v>
          </cell>
          <cell r="AZ38">
            <v>83630.702832444615</v>
          </cell>
          <cell r="BA38">
            <v>84970.261337559146</v>
          </cell>
          <cell r="BB38">
            <v>86309.819842673678</v>
          </cell>
          <cell r="BC38">
            <v>87649.37834778821</v>
          </cell>
          <cell r="BD38">
            <v>88988.936852902742</v>
          </cell>
          <cell r="BE38">
            <v>90328.495358017273</v>
          </cell>
          <cell r="BF38">
            <v>91668.053863131805</v>
          </cell>
          <cell r="BG38">
            <v>93007.612368246337</v>
          </cell>
          <cell r="BH38">
            <v>94347.170873360868</v>
          </cell>
          <cell r="BI38">
            <v>95686.7293784754</v>
          </cell>
          <cell r="BJ38">
            <v>97026.287883589932</v>
          </cell>
          <cell r="BK38">
            <v>98365.846388704464</v>
          </cell>
          <cell r="BL38">
            <v>99705.404893818995</v>
          </cell>
          <cell r="BM38">
            <v>101044.96339893353</v>
          </cell>
          <cell r="BN38">
            <v>102384.52190404806</v>
          </cell>
          <cell r="BO38">
            <v>103724.08040916259</v>
          </cell>
          <cell r="BP38">
            <v>105063.63891427712</v>
          </cell>
          <cell r="BQ38">
            <v>106403.19741939165</v>
          </cell>
          <cell r="BR38">
            <v>107742.75592450619</v>
          </cell>
          <cell r="BS38">
            <v>109082.31442962072</v>
          </cell>
        </row>
        <row r="40">
          <cell r="B40">
            <v>9</v>
          </cell>
          <cell r="C40">
            <v>11</v>
          </cell>
          <cell r="E40" t="str">
            <v>LTM 9/30/09 EBITDA</v>
          </cell>
          <cell r="G40">
            <v>71789.399999999951</v>
          </cell>
          <cell r="H40">
            <v>87742.599999999948</v>
          </cell>
          <cell r="K40" t="str">
            <v>Precedent Transactions Analysis</v>
          </cell>
          <cell r="N40">
            <v>0</v>
          </cell>
          <cell r="O40">
            <v>34067.038143206941</v>
          </cell>
          <cell r="P40">
            <v>35406.596648321472</v>
          </cell>
          <cell r="Q40">
            <v>36746.155153436004</v>
          </cell>
          <cell r="R40">
            <v>38085.713658550536</v>
          </cell>
          <cell r="S40">
            <v>39425.272163665068</v>
          </cell>
          <cell r="T40">
            <v>40764.830668779599</v>
          </cell>
          <cell r="U40">
            <v>42104.389173894131</v>
          </cell>
          <cell r="V40">
            <v>43443.947679008663</v>
          </cell>
          <cell r="W40">
            <v>44783.506184123195</v>
          </cell>
          <cell r="X40">
            <v>46123.064689237726</v>
          </cell>
          <cell r="Y40">
            <v>47462.623194352258</v>
          </cell>
          <cell r="Z40">
            <v>48802.18169946679</v>
          </cell>
          <cell r="AA40">
            <v>50141.740204581321</v>
          </cell>
          <cell r="AB40">
            <v>51481.298709695853</v>
          </cell>
          <cell r="AC40">
            <v>52820.857214810385</v>
          </cell>
          <cell r="AD40">
            <v>54160.415719924917</v>
          </cell>
          <cell r="AE40">
            <v>55499.974225039448</v>
          </cell>
          <cell r="AF40">
            <v>56839.53273015398</v>
          </cell>
          <cell r="AG40">
            <v>58179.091235268512</v>
          </cell>
          <cell r="AH40">
            <v>59518.649740383044</v>
          </cell>
          <cell r="AI40">
            <v>60858.208245497575</v>
          </cell>
          <cell r="AJ40">
            <v>62197.766750612107</v>
          </cell>
          <cell r="AK40">
            <v>63537.325255726639</v>
          </cell>
          <cell r="AL40">
            <v>64876.88376084117</v>
          </cell>
          <cell r="AM40">
            <v>66216.442265955702</v>
          </cell>
          <cell r="AN40">
            <v>67556.000771070234</v>
          </cell>
          <cell r="AO40">
            <v>68895.559276184766</v>
          </cell>
          <cell r="AP40">
            <v>70235.117781299297</v>
          </cell>
          <cell r="AQ40">
            <v>71574.676286413829</v>
          </cell>
          <cell r="AR40">
            <v>72914.234791528361</v>
          </cell>
          <cell r="AS40">
            <v>74253.793296642893</v>
          </cell>
          <cell r="AT40">
            <v>75593.351801757424</v>
          </cell>
          <cell r="AU40">
            <v>76932.910306871956</v>
          </cell>
          <cell r="AV40">
            <v>78272.468811986488</v>
          </cell>
          <cell r="AW40">
            <v>79612.027317101019</v>
          </cell>
          <cell r="AX40">
            <v>80951.585822215551</v>
          </cell>
          <cell r="AY40">
            <v>82291.144327330083</v>
          </cell>
          <cell r="AZ40">
            <v>83630.702832444615</v>
          </cell>
          <cell r="BA40">
            <v>84970.261337559146</v>
          </cell>
          <cell r="BB40">
            <v>86309.819842673678</v>
          </cell>
          <cell r="BC40">
            <v>87649.37834778821</v>
          </cell>
          <cell r="BD40">
            <v>88988.936852902742</v>
          </cell>
          <cell r="BE40">
            <v>90328.495358017273</v>
          </cell>
          <cell r="BF40">
            <v>91668.053863131805</v>
          </cell>
          <cell r="BG40">
            <v>93007.612368246337</v>
          </cell>
          <cell r="BH40">
            <v>94347.170873360868</v>
          </cell>
          <cell r="BI40">
            <v>95686.7293784754</v>
          </cell>
          <cell r="BJ40">
            <v>97026.287883589932</v>
          </cell>
          <cell r="BK40">
            <v>98365.846388704464</v>
          </cell>
          <cell r="BL40">
            <v>99705.404893818995</v>
          </cell>
          <cell r="BM40">
            <v>101044.96339893353</v>
          </cell>
          <cell r="BN40">
            <v>102384.52190404806</v>
          </cell>
          <cell r="BO40">
            <v>103724.08040916259</v>
          </cell>
          <cell r="BP40">
            <v>105063.63891427712</v>
          </cell>
          <cell r="BQ40">
            <v>106403.19741939165</v>
          </cell>
          <cell r="BR40">
            <v>107742.75592450619</v>
          </cell>
          <cell r="BS40">
            <v>109082.31442962072</v>
          </cell>
        </row>
        <row r="41">
          <cell r="E41">
            <v>7976.5999999999949</v>
          </cell>
          <cell r="G41">
            <v>56.160294390104077</v>
          </cell>
          <cell r="H41">
            <v>68.069591325691064</v>
          </cell>
          <cell r="K41" t="str">
            <v>9.0x - 11.0x LTM 9/30/09 EBITDA ($7,976.6 mm)</v>
          </cell>
          <cell r="N41">
            <v>0</v>
          </cell>
          <cell r="O41">
            <v>34067.038143206941</v>
          </cell>
          <cell r="P41">
            <v>35406.596648321472</v>
          </cell>
          <cell r="Q41">
            <v>36746.155153436004</v>
          </cell>
          <cell r="R41">
            <v>38085.713658550536</v>
          </cell>
          <cell r="S41">
            <v>39425.272163665068</v>
          </cell>
          <cell r="T41">
            <v>40764.830668779599</v>
          </cell>
          <cell r="U41">
            <v>42104.389173894131</v>
          </cell>
          <cell r="V41">
            <v>43443.947679008663</v>
          </cell>
          <cell r="W41">
            <v>44783.506184123195</v>
          </cell>
          <cell r="X41">
            <v>46123.064689237726</v>
          </cell>
          <cell r="Y41">
            <v>47462.623194352258</v>
          </cell>
          <cell r="Z41">
            <v>48802.18169946679</v>
          </cell>
          <cell r="AA41">
            <v>50141.740204581321</v>
          </cell>
          <cell r="AB41">
            <v>51481.298709695853</v>
          </cell>
          <cell r="AC41">
            <v>52820.857214810385</v>
          </cell>
          <cell r="AD41">
            <v>54160.415719924917</v>
          </cell>
          <cell r="AE41">
            <v>55499.974225039448</v>
          </cell>
          <cell r="AF41">
            <v>56839.53273015398</v>
          </cell>
          <cell r="AG41">
            <v>58179.091235268512</v>
          </cell>
          <cell r="AH41">
            <v>59518.649740383044</v>
          </cell>
          <cell r="AI41">
            <v>60858.208245497575</v>
          </cell>
          <cell r="AJ41">
            <v>62197.766750612107</v>
          </cell>
          <cell r="AK41">
            <v>63537.325255726639</v>
          </cell>
          <cell r="AL41">
            <v>64876.88376084117</v>
          </cell>
          <cell r="AM41">
            <v>66216.442265955702</v>
          </cell>
          <cell r="AN41">
            <v>67556.000771070234</v>
          </cell>
          <cell r="AO41">
            <v>68895.559276184766</v>
          </cell>
          <cell r="AP41">
            <v>70235.117781299297</v>
          </cell>
          <cell r="AQ41">
            <v>71574.676286413829</v>
          </cell>
          <cell r="AR41">
            <v>72914.234791528361</v>
          </cell>
          <cell r="AS41">
            <v>74253.793296642893</v>
          </cell>
          <cell r="AT41">
            <v>75593.351801757424</v>
          </cell>
          <cell r="AU41">
            <v>76932.910306871956</v>
          </cell>
          <cell r="AV41">
            <v>78272.468811986488</v>
          </cell>
          <cell r="AW41">
            <v>79612.027317101019</v>
          </cell>
          <cell r="AX41">
            <v>80951.585822215551</v>
          </cell>
          <cell r="AY41">
            <v>82291.144327330083</v>
          </cell>
          <cell r="AZ41">
            <v>83630.702832444615</v>
          </cell>
          <cell r="BA41">
            <v>84970.261337559146</v>
          </cell>
          <cell r="BB41">
            <v>86309.819842673678</v>
          </cell>
          <cell r="BC41">
            <v>87649.37834778821</v>
          </cell>
          <cell r="BD41">
            <v>88988.936852902742</v>
          </cell>
          <cell r="BE41">
            <v>90328.495358017273</v>
          </cell>
          <cell r="BF41">
            <v>91668.053863131805</v>
          </cell>
          <cell r="BG41">
            <v>93007.612368246337</v>
          </cell>
          <cell r="BH41">
            <v>94347.170873360868</v>
          </cell>
          <cell r="BI41">
            <v>95686.7293784754</v>
          </cell>
          <cell r="BJ41">
            <v>97026.287883589932</v>
          </cell>
          <cell r="BK41">
            <v>98365.846388704464</v>
          </cell>
          <cell r="BL41">
            <v>99705.404893818995</v>
          </cell>
          <cell r="BM41">
            <v>101044.96339893353</v>
          </cell>
          <cell r="BN41">
            <v>102384.52190404806</v>
          </cell>
          <cell r="BO41">
            <v>103724.08040916259</v>
          </cell>
          <cell r="BP41">
            <v>105063.63891427712</v>
          </cell>
          <cell r="BQ41">
            <v>106403.19741939165</v>
          </cell>
          <cell r="BR41">
            <v>107742.75592450619</v>
          </cell>
          <cell r="BS41">
            <v>109082.31442962072</v>
          </cell>
        </row>
        <row r="42">
          <cell r="P42">
            <v>35406.596648321472</v>
          </cell>
          <cell r="Q42">
            <v>36746.155153436004</v>
          </cell>
          <cell r="R42">
            <v>38085.713658550536</v>
          </cell>
          <cell r="S42">
            <v>39425.272163665068</v>
          </cell>
          <cell r="T42">
            <v>40764.830668779599</v>
          </cell>
          <cell r="U42">
            <v>42104.389173894131</v>
          </cell>
          <cell r="V42">
            <v>43443.947679008663</v>
          </cell>
          <cell r="W42">
            <v>44783.506184123195</v>
          </cell>
          <cell r="X42">
            <v>46123.064689237726</v>
          </cell>
          <cell r="Y42">
            <v>47462.623194352258</v>
          </cell>
          <cell r="Z42">
            <v>48802.18169946679</v>
          </cell>
          <cell r="AA42">
            <v>50141.740204581321</v>
          </cell>
          <cell r="AB42">
            <v>51481.298709695853</v>
          </cell>
          <cell r="AC42">
            <v>52820.857214810385</v>
          </cell>
          <cell r="AD42">
            <v>54160.415719924917</v>
          </cell>
          <cell r="AE42">
            <v>55499.974225039448</v>
          </cell>
          <cell r="AF42">
            <v>56839.53273015398</v>
          </cell>
          <cell r="AG42">
            <v>58179.091235268512</v>
          </cell>
          <cell r="AH42">
            <v>59518.649740383044</v>
          </cell>
          <cell r="AI42">
            <v>60858.208245497575</v>
          </cell>
          <cell r="AJ42">
            <v>62197.766750612107</v>
          </cell>
          <cell r="AK42">
            <v>63537.325255726639</v>
          </cell>
          <cell r="AL42">
            <v>64876.88376084117</v>
          </cell>
          <cell r="AM42">
            <v>66216.442265955702</v>
          </cell>
          <cell r="AN42">
            <v>67556.000771070234</v>
          </cell>
          <cell r="AO42">
            <v>68895.559276184766</v>
          </cell>
          <cell r="AP42">
            <v>70235.117781299297</v>
          </cell>
          <cell r="AQ42">
            <v>71574.676286413829</v>
          </cell>
          <cell r="AR42">
            <v>72914.234791528361</v>
          </cell>
          <cell r="AS42">
            <v>74253.793296642893</v>
          </cell>
          <cell r="AT42">
            <v>75593.351801757424</v>
          </cell>
          <cell r="AU42">
            <v>76932.910306871956</v>
          </cell>
          <cell r="AV42">
            <v>78272.468811986488</v>
          </cell>
          <cell r="AW42">
            <v>79612.027317101019</v>
          </cell>
          <cell r="AX42">
            <v>80951.585822215551</v>
          </cell>
          <cell r="AY42">
            <v>82291.144327330083</v>
          </cell>
          <cell r="AZ42">
            <v>83630.702832444615</v>
          </cell>
          <cell r="BA42">
            <v>84970.261337559146</v>
          </cell>
          <cell r="BB42">
            <v>86309.819842673678</v>
          </cell>
          <cell r="BC42">
            <v>87649.37834778821</v>
          </cell>
          <cell r="BD42">
            <v>88988.936852902742</v>
          </cell>
          <cell r="BE42">
            <v>90328.495358017273</v>
          </cell>
          <cell r="BF42">
            <v>91668.053863131805</v>
          </cell>
          <cell r="BG42">
            <v>93007.612368246337</v>
          </cell>
          <cell r="BH42">
            <v>94347.170873360868</v>
          </cell>
          <cell r="BI42">
            <v>95686.7293784754</v>
          </cell>
          <cell r="BJ42">
            <v>97026.287883589932</v>
          </cell>
          <cell r="BK42">
            <v>98365.846388704464</v>
          </cell>
          <cell r="BL42">
            <v>99705.404893818995</v>
          </cell>
          <cell r="BM42">
            <v>101044.96339893353</v>
          </cell>
          <cell r="BN42">
            <v>102384.52190404806</v>
          </cell>
          <cell r="BO42">
            <v>103724.08040916259</v>
          </cell>
          <cell r="BP42">
            <v>105063.63891427712</v>
          </cell>
          <cell r="BQ42">
            <v>106403.19741939165</v>
          </cell>
          <cell r="BR42">
            <v>107742.75592450619</v>
          </cell>
          <cell r="BS42">
            <v>109082.31442962072</v>
          </cell>
        </row>
        <row r="43">
          <cell r="B43" t="str">
            <v>Discount:</v>
          </cell>
          <cell r="C43">
            <v>8.6026806624843813E-2</v>
          </cell>
          <cell r="G43">
            <v>51920.605824403639</v>
          </cell>
          <cell r="H43">
            <v>70374.341099204845</v>
          </cell>
          <cell r="K43" t="str">
            <v>Future Share Price (Discounted at 8.6%)</v>
          </cell>
          <cell r="N43">
            <v>0</v>
          </cell>
          <cell r="O43">
            <v>34067.038143206941</v>
          </cell>
          <cell r="P43">
            <v>35406.596648321472</v>
          </cell>
          <cell r="Q43">
            <v>36746.155153436004</v>
          </cell>
          <cell r="R43">
            <v>38085.713658550536</v>
          </cell>
          <cell r="S43">
            <v>39425.272163665068</v>
          </cell>
          <cell r="T43">
            <v>40764.830668779599</v>
          </cell>
          <cell r="U43">
            <v>42104.389173894131</v>
          </cell>
          <cell r="V43">
            <v>43443.947679008663</v>
          </cell>
          <cell r="W43">
            <v>44783.506184123195</v>
          </cell>
          <cell r="X43">
            <v>46123.064689237726</v>
          </cell>
          <cell r="Y43">
            <v>47462.623194352258</v>
          </cell>
          <cell r="Z43">
            <v>48802.18169946679</v>
          </cell>
          <cell r="AA43">
            <v>50141.740204581321</v>
          </cell>
          <cell r="AB43">
            <v>51481.298709695853</v>
          </cell>
          <cell r="AC43">
            <v>52820.857214810385</v>
          </cell>
          <cell r="AD43">
            <v>54160.415719924917</v>
          </cell>
          <cell r="AE43">
            <v>55499.974225039448</v>
          </cell>
          <cell r="AF43">
            <v>56839.53273015398</v>
          </cell>
          <cell r="AG43">
            <v>58179.091235268512</v>
          </cell>
          <cell r="AH43">
            <v>59518.649740383044</v>
          </cell>
          <cell r="AI43">
            <v>60858.208245497575</v>
          </cell>
          <cell r="AJ43">
            <v>62197.766750612107</v>
          </cell>
          <cell r="AK43">
            <v>63537.325255726639</v>
          </cell>
          <cell r="AL43">
            <v>64876.88376084117</v>
          </cell>
          <cell r="AM43">
            <v>66216.442265955702</v>
          </cell>
          <cell r="AN43">
            <v>67556.000771070234</v>
          </cell>
          <cell r="AO43">
            <v>68895.559276184766</v>
          </cell>
          <cell r="AP43">
            <v>70235.117781299297</v>
          </cell>
          <cell r="AQ43">
            <v>71574.676286413829</v>
          </cell>
          <cell r="AR43">
            <v>72914.234791528361</v>
          </cell>
          <cell r="AS43">
            <v>74253.793296642893</v>
          </cell>
          <cell r="AT43">
            <v>75593.351801757424</v>
          </cell>
          <cell r="AU43">
            <v>76932.910306871956</v>
          </cell>
          <cell r="AV43">
            <v>78272.468811986488</v>
          </cell>
          <cell r="AW43">
            <v>79612.027317101019</v>
          </cell>
          <cell r="AX43">
            <v>80951.585822215551</v>
          </cell>
          <cell r="AY43">
            <v>82291.144327330083</v>
          </cell>
          <cell r="AZ43">
            <v>83630.702832444615</v>
          </cell>
          <cell r="BA43">
            <v>84970.261337559146</v>
          </cell>
          <cell r="BB43">
            <v>86309.819842673678</v>
          </cell>
          <cell r="BC43">
            <v>87649.37834778821</v>
          </cell>
          <cell r="BD43">
            <v>88988.936852902742</v>
          </cell>
          <cell r="BE43">
            <v>90328.495358017273</v>
          </cell>
          <cell r="BF43">
            <v>91668.053863131805</v>
          </cell>
          <cell r="BG43">
            <v>93007.612368246337</v>
          </cell>
          <cell r="BH43">
            <v>94347.170873360868</v>
          </cell>
          <cell r="BI43">
            <v>95686.7293784754</v>
          </cell>
          <cell r="BJ43">
            <v>97026.287883589932</v>
          </cell>
          <cell r="BK43">
            <v>98365.846388704464</v>
          </cell>
          <cell r="BL43">
            <v>99705.404893818995</v>
          </cell>
          <cell r="BM43">
            <v>101044.96339893353</v>
          </cell>
          <cell r="BN43">
            <v>102384.52190404806</v>
          </cell>
          <cell r="BO43">
            <v>103724.08040916259</v>
          </cell>
          <cell r="BP43">
            <v>105063.63891427712</v>
          </cell>
          <cell r="BQ43">
            <v>106403.19741939165</v>
          </cell>
          <cell r="BR43">
            <v>107742.75592450619</v>
          </cell>
          <cell r="BS43">
            <v>109082.31442962072</v>
          </cell>
        </row>
        <row r="44">
          <cell r="G44">
            <v>41.327949181040211</v>
          </cell>
          <cell r="H44">
            <v>55.103932241386943</v>
          </cell>
          <cell r="K44" t="str">
            <v>($41.33 - $55.10)</v>
          </cell>
          <cell r="N44">
            <v>0</v>
          </cell>
          <cell r="O44">
            <v>34067.038143206941</v>
          </cell>
          <cell r="P44">
            <v>35406.596648321472</v>
          </cell>
          <cell r="Q44">
            <v>36746.155153436004</v>
          </cell>
          <cell r="R44">
            <v>38085.713658550536</v>
          </cell>
          <cell r="S44">
            <v>39425.272163665068</v>
          </cell>
          <cell r="T44">
            <v>40764.830668779599</v>
          </cell>
          <cell r="U44">
            <v>42104.389173894131</v>
          </cell>
          <cell r="V44">
            <v>43443.947679008663</v>
          </cell>
          <cell r="W44">
            <v>44783.506184123195</v>
          </cell>
          <cell r="X44">
            <v>46123.064689237726</v>
          </cell>
          <cell r="Y44">
            <v>47462.623194352258</v>
          </cell>
          <cell r="Z44">
            <v>48802.18169946679</v>
          </cell>
          <cell r="AA44">
            <v>50141.740204581321</v>
          </cell>
          <cell r="AB44">
            <v>51481.298709695853</v>
          </cell>
          <cell r="AC44">
            <v>52820.857214810385</v>
          </cell>
          <cell r="AD44">
            <v>54160.415719924917</v>
          </cell>
          <cell r="AE44">
            <v>55499.974225039448</v>
          </cell>
          <cell r="AF44">
            <v>56839.53273015398</v>
          </cell>
          <cell r="AG44">
            <v>58179.091235268512</v>
          </cell>
          <cell r="AH44">
            <v>59518.649740383044</v>
          </cell>
          <cell r="AI44">
            <v>60858.208245497575</v>
          </cell>
          <cell r="AJ44">
            <v>62197.766750612107</v>
          </cell>
          <cell r="AK44">
            <v>63537.325255726639</v>
          </cell>
          <cell r="AL44">
            <v>64876.88376084117</v>
          </cell>
          <cell r="AM44">
            <v>66216.442265955702</v>
          </cell>
          <cell r="AN44">
            <v>67556.000771070234</v>
          </cell>
          <cell r="AO44">
            <v>68895.559276184766</v>
          </cell>
          <cell r="AP44">
            <v>70235.117781299297</v>
          </cell>
          <cell r="AQ44">
            <v>71574.676286413829</v>
          </cell>
          <cell r="AR44">
            <v>72914.234791528361</v>
          </cell>
          <cell r="AS44">
            <v>74253.793296642893</v>
          </cell>
          <cell r="AT44">
            <v>75593.351801757424</v>
          </cell>
          <cell r="AU44">
            <v>76932.910306871956</v>
          </cell>
          <cell r="AV44">
            <v>78272.468811986488</v>
          </cell>
          <cell r="AW44">
            <v>79612.027317101019</v>
          </cell>
          <cell r="AX44">
            <v>80951.585822215551</v>
          </cell>
          <cell r="AY44">
            <v>82291.144327330083</v>
          </cell>
          <cell r="AZ44">
            <v>83630.702832444615</v>
          </cell>
          <cell r="BA44">
            <v>84970.261337559146</v>
          </cell>
          <cell r="BB44">
            <v>86309.819842673678</v>
          </cell>
          <cell r="BC44">
            <v>87649.37834778821</v>
          </cell>
          <cell r="BD44">
            <v>88988.936852902742</v>
          </cell>
          <cell r="BE44">
            <v>90328.495358017273</v>
          </cell>
          <cell r="BF44">
            <v>91668.053863131805</v>
          </cell>
          <cell r="BG44">
            <v>93007.612368246337</v>
          </cell>
          <cell r="BH44">
            <v>94347.170873360868</v>
          </cell>
          <cell r="BI44">
            <v>95686.7293784754</v>
          </cell>
          <cell r="BJ44">
            <v>97026.287883589932</v>
          </cell>
          <cell r="BK44">
            <v>98365.846388704464</v>
          </cell>
          <cell r="BL44">
            <v>99705.404893818995</v>
          </cell>
          <cell r="BM44">
            <v>101044.96339893353</v>
          </cell>
          <cell r="BN44">
            <v>102384.52190404806</v>
          </cell>
          <cell r="BO44">
            <v>103724.08040916259</v>
          </cell>
          <cell r="BP44">
            <v>105063.63891427712</v>
          </cell>
          <cell r="BQ44">
            <v>106403.19741939165</v>
          </cell>
          <cell r="BR44">
            <v>107742.75592450619</v>
          </cell>
          <cell r="BS44">
            <v>109082.31442962072</v>
          </cell>
        </row>
        <row r="46">
          <cell r="B46">
            <v>0.1</v>
          </cell>
          <cell r="C46">
            <v>0.3</v>
          </cell>
          <cell r="G46">
            <v>61010.917915080689</v>
          </cell>
          <cell r="H46">
            <v>72729.375717822622</v>
          </cell>
          <cell r="K46" t="str">
            <v>Premiums Paid Analysis (10.0% - 30.0%)</v>
          </cell>
          <cell r="N46">
            <v>0</v>
          </cell>
          <cell r="O46">
            <v>34067.038143206941</v>
          </cell>
          <cell r="P46">
            <v>35406.596648321472</v>
          </cell>
          <cell r="Q46">
            <v>36746.155153436004</v>
          </cell>
          <cell r="R46">
            <v>38085.713658550536</v>
          </cell>
          <cell r="S46">
            <v>39425.272163665068</v>
          </cell>
          <cell r="T46">
            <v>40764.830668779599</v>
          </cell>
          <cell r="U46">
            <v>42104.389173894131</v>
          </cell>
          <cell r="V46">
            <v>43443.947679008663</v>
          </cell>
          <cell r="W46">
            <v>44783.506184123195</v>
          </cell>
          <cell r="X46">
            <v>46123.064689237726</v>
          </cell>
          <cell r="Y46">
            <v>47462.623194352258</v>
          </cell>
          <cell r="Z46">
            <v>48802.18169946679</v>
          </cell>
          <cell r="AA46">
            <v>50141.740204581321</v>
          </cell>
          <cell r="AB46">
            <v>51481.298709695853</v>
          </cell>
          <cell r="AC46">
            <v>52820.857214810385</v>
          </cell>
          <cell r="AD46">
            <v>54160.415719924917</v>
          </cell>
          <cell r="AE46">
            <v>55499.974225039448</v>
          </cell>
          <cell r="AF46">
            <v>56839.53273015398</v>
          </cell>
          <cell r="AG46">
            <v>58179.091235268512</v>
          </cell>
          <cell r="AH46">
            <v>59518.649740383044</v>
          </cell>
          <cell r="AI46">
            <v>60858.208245497575</v>
          </cell>
          <cell r="AJ46">
            <v>62197.766750612107</v>
          </cell>
          <cell r="AK46">
            <v>63537.325255726639</v>
          </cell>
          <cell r="AL46">
            <v>64876.88376084117</v>
          </cell>
          <cell r="AM46">
            <v>66216.442265955702</v>
          </cell>
          <cell r="AN46">
            <v>67556.000771070234</v>
          </cell>
          <cell r="AO46">
            <v>68895.559276184766</v>
          </cell>
          <cell r="AP46">
            <v>70235.117781299297</v>
          </cell>
          <cell r="AQ46">
            <v>71574.676286413829</v>
          </cell>
          <cell r="AR46">
            <v>72914.234791528361</v>
          </cell>
          <cell r="AS46">
            <v>74253.793296642893</v>
          </cell>
          <cell r="AT46">
            <v>75593.351801757424</v>
          </cell>
          <cell r="AU46">
            <v>76932.910306871956</v>
          </cell>
          <cell r="AV46">
            <v>78272.468811986488</v>
          </cell>
          <cell r="AW46">
            <v>79612.027317101019</v>
          </cell>
          <cell r="AX46">
            <v>80951.585822215551</v>
          </cell>
          <cell r="AY46">
            <v>82291.144327330083</v>
          </cell>
          <cell r="AZ46">
            <v>83630.702832444615</v>
          </cell>
          <cell r="BA46">
            <v>84970.261337559146</v>
          </cell>
          <cell r="BB46">
            <v>86309.819842673678</v>
          </cell>
          <cell r="BC46">
            <v>87649.37834778821</v>
          </cell>
          <cell r="BD46">
            <v>88988.936852902742</v>
          </cell>
          <cell r="BE46">
            <v>90328.495358017273</v>
          </cell>
          <cell r="BF46">
            <v>91668.053863131805</v>
          </cell>
          <cell r="BG46">
            <v>93007.612368246337</v>
          </cell>
          <cell r="BH46">
            <v>94347.170873360868</v>
          </cell>
          <cell r="BI46">
            <v>95686.7293784754</v>
          </cell>
          <cell r="BJ46">
            <v>97026.287883589932</v>
          </cell>
          <cell r="BK46">
            <v>98365.846388704464</v>
          </cell>
          <cell r="BL46">
            <v>99705.404893818995</v>
          </cell>
          <cell r="BM46">
            <v>101044.96339893353</v>
          </cell>
          <cell r="BN46">
            <v>102384.52190404806</v>
          </cell>
          <cell r="BO46">
            <v>103724.08040916259</v>
          </cell>
          <cell r="BP46">
            <v>105063.63891427712</v>
          </cell>
          <cell r="BQ46">
            <v>106403.19741939165</v>
          </cell>
          <cell r="BR46">
            <v>107742.75592450619</v>
          </cell>
          <cell r="BS46">
            <v>109082.31442962072</v>
          </cell>
        </row>
        <row r="47">
          <cell r="G47">
            <v>48.114000000000004</v>
          </cell>
          <cell r="H47">
            <v>56.862000000000002</v>
          </cell>
          <cell r="K47" t="str">
            <v>($48.11 - $56.86)</v>
          </cell>
          <cell r="N47">
            <v>0</v>
          </cell>
          <cell r="O47">
            <v>34067.038143206941</v>
          </cell>
          <cell r="P47">
            <v>35406.596648321472</v>
          </cell>
          <cell r="Q47">
            <v>36746.155153436004</v>
          </cell>
          <cell r="R47">
            <v>38085.713658550536</v>
          </cell>
          <cell r="S47">
            <v>39425.272163665068</v>
          </cell>
          <cell r="T47">
            <v>40764.830668779599</v>
          </cell>
          <cell r="U47">
            <v>42104.389173894131</v>
          </cell>
          <cell r="V47">
            <v>43443.947679008663</v>
          </cell>
          <cell r="W47">
            <v>44783.506184123195</v>
          </cell>
          <cell r="X47">
            <v>46123.064689237726</v>
          </cell>
          <cell r="Y47">
            <v>47462.623194352258</v>
          </cell>
          <cell r="Z47">
            <v>48802.18169946679</v>
          </cell>
          <cell r="AA47">
            <v>50141.740204581321</v>
          </cell>
          <cell r="AB47">
            <v>51481.298709695853</v>
          </cell>
          <cell r="AC47">
            <v>52820.857214810385</v>
          </cell>
          <cell r="AD47">
            <v>54160.415719924917</v>
          </cell>
          <cell r="AE47">
            <v>55499.974225039448</v>
          </cell>
          <cell r="AF47">
            <v>56839.53273015398</v>
          </cell>
          <cell r="AG47">
            <v>58179.091235268512</v>
          </cell>
          <cell r="AH47">
            <v>59518.649740383044</v>
          </cell>
          <cell r="AI47">
            <v>60858.208245497575</v>
          </cell>
          <cell r="AJ47">
            <v>62197.766750612107</v>
          </cell>
          <cell r="AK47">
            <v>63537.325255726639</v>
          </cell>
          <cell r="AL47">
            <v>64876.88376084117</v>
          </cell>
          <cell r="AM47">
            <v>66216.442265955702</v>
          </cell>
          <cell r="AN47">
            <v>67556.000771070234</v>
          </cell>
          <cell r="AO47">
            <v>68895.559276184766</v>
          </cell>
          <cell r="AP47">
            <v>70235.117781299297</v>
          </cell>
          <cell r="AQ47">
            <v>71574.676286413829</v>
          </cell>
          <cell r="AR47">
            <v>72914.234791528361</v>
          </cell>
          <cell r="AS47">
            <v>74253.793296642893</v>
          </cell>
          <cell r="AT47">
            <v>75593.351801757424</v>
          </cell>
          <cell r="AU47">
            <v>76932.910306871956</v>
          </cell>
          <cell r="AV47">
            <v>78272.468811986488</v>
          </cell>
          <cell r="AW47">
            <v>79612.027317101019</v>
          </cell>
          <cell r="AX47">
            <v>80951.585822215551</v>
          </cell>
          <cell r="AY47">
            <v>82291.144327330083</v>
          </cell>
          <cell r="AZ47">
            <v>83630.702832444615</v>
          </cell>
          <cell r="BA47">
            <v>84970.261337559146</v>
          </cell>
          <cell r="BB47">
            <v>86309.819842673678</v>
          </cell>
          <cell r="BC47">
            <v>87649.37834778821</v>
          </cell>
          <cell r="BD47">
            <v>88988.936852902742</v>
          </cell>
          <cell r="BE47">
            <v>90328.495358017273</v>
          </cell>
          <cell r="BF47">
            <v>91668.053863131805</v>
          </cell>
          <cell r="BG47">
            <v>93007.612368246337</v>
          </cell>
          <cell r="BH47">
            <v>94347.170873360868</v>
          </cell>
          <cell r="BI47">
            <v>95686.7293784754</v>
          </cell>
          <cell r="BJ47">
            <v>97026.287883589932</v>
          </cell>
          <cell r="BK47">
            <v>98365.846388704464</v>
          </cell>
          <cell r="BL47">
            <v>99705.404893818995</v>
          </cell>
          <cell r="BM47">
            <v>101044.96339893353</v>
          </cell>
          <cell r="BN47">
            <v>102384.52190404806</v>
          </cell>
          <cell r="BO47">
            <v>103724.08040916259</v>
          </cell>
          <cell r="BP47">
            <v>105063.63891427712</v>
          </cell>
          <cell r="BQ47">
            <v>106403.19741939165</v>
          </cell>
          <cell r="BR47">
            <v>107742.75592450619</v>
          </cell>
          <cell r="BS47">
            <v>109082.31442962072</v>
          </cell>
        </row>
        <row r="48">
          <cell r="P48">
            <v>35406.596648321472</v>
          </cell>
          <cell r="Q48">
            <v>36746.155153436004</v>
          </cell>
          <cell r="R48">
            <v>38085.713658550536</v>
          </cell>
          <cell r="S48">
            <v>39425.272163665068</v>
          </cell>
          <cell r="T48">
            <v>40764.830668779599</v>
          </cell>
          <cell r="U48">
            <v>42104.389173894131</v>
          </cell>
          <cell r="V48">
            <v>43443.947679008663</v>
          </cell>
          <cell r="W48">
            <v>44783.506184123195</v>
          </cell>
          <cell r="X48">
            <v>46123.064689237726</v>
          </cell>
          <cell r="Y48">
            <v>47462.623194352258</v>
          </cell>
          <cell r="Z48">
            <v>48802.18169946679</v>
          </cell>
          <cell r="AA48">
            <v>50141.740204581321</v>
          </cell>
          <cell r="AB48">
            <v>51481.298709695853</v>
          </cell>
          <cell r="AC48">
            <v>52820.857214810385</v>
          </cell>
          <cell r="AD48">
            <v>54160.415719924917</v>
          </cell>
          <cell r="AE48">
            <v>55499.974225039448</v>
          </cell>
          <cell r="AF48">
            <v>56839.53273015398</v>
          </cell>
          <cell r="AG48">
            <v>58179.091235268512</v>
          </cell>
          <cell r="AH48">
            <v>59518.649740383044</v>
          </cell>
          <cell r="AI48">
            <v>60858.208245497575</v>
          </cell>
          <cell r="AJ48">
            <v>62197.766750612107</v>
          </cell>
          <cell r="AK48">
            <v>63537.325255726639</v>
          </cell>
          <cell r="AL48">
            <v>64876.88376084117</v>
          </cell>
          <cell r="AM48">
            <v>66216.442265955702</v>
          </cell>
          <cell r="AN48">
            <v>67556.000771070234</v>
          </cell>
          <cell r="AO48">
            <v>68895.559276184766</v>
          </cell>
          <cell r="AP48">
            <v>70235.117781299297</v>
          </cell>
          <cell r="AQ48">
            <v>71574.676286413829</v>
          </cell>
          <cell r="AR48">
            <v>72914.234791528361</v>
          </cell>
          <cell r="AS48">
            <v>74253.793296642893</v>
          </cell>
          <cell r="AT48">
            <v>75593.351801757424</v>
          </cell>
          <cell r="AU48">
            <v>76932.910306871956</v>
          </cell>
          <cell r="AV48">
            <v>78272.468811986488</v>
          </cell>
          <cell r="AW48">
            <v>79612.027317101019</v>
          </cell>
          <cell r="AX48">
            <v>80951.585822215551</v>
          </cell>
          <cell r="AY48">
            <v>82291.144327330083</v>
          </cell>
          <cell r="AZ48">
            <v>83630.702832444615</v>
          </cell>
          <cell r="BA48">
            <v>84970.261337559146</v>
          </cell>
          <cell r="BB48">
            <v>86309.819842673678</v>
          </cell>
          <cell r="BC48">
            <v>87649.37834778821</v>
          </cell>
          <cell r="BD48">
            <v>88988.936852902742</v>
          </cell>
          <cell r="BE48">
            <v>90328.495358017273</v>
          </cell>
          <cell r="BF48">
            <v>91668.053863131805</v>
          </cell>
          <cell r="BG48">
            <v>93007.612368246337</v>
          </cell>
          <cell r="BH48">
            <v>94347.170873360868</v>
          </cell>
          <cell r="BI48">
            <v>95686.7293784754</v>
          </cell>
          <cell r="BJ48">
            <v>97026.287883589932</v>
          </cell>
          <cell r="BK48">
            <v>98365.846388704464</v>
          </cell>
          <cell r="BL48">
            <v>99705.404893818995</v>
          </cell>
          <cell r="BM48">
            <v>101044.96339893353</v>
          </cell>
          <cell r="BN48">
            <v>102384.52190404806</v>
          </cell>
          <cell r="BO48">
            <v>103724.08040916259</v>
          </cell>
          <cell r="BP48">
            <v>105063.63891427712</v>
          </cell>
          <cell r="BQ48">
            <v>106403.19741939165</v>
          </cell>
          <cell r="BR48">
            <v>107742.75592450619</v>
          </cell>
          <cell r="BS48">
            <v>109082.31442962072</v>
          </cell>
        </row>
        <row r="49">
          <cell r="B49">
            <v>5.5</v>
          </cell>
          <cell r="C49">
            <v>6.5</v>
          </cell>
          <cell r="G49">
            <v>76409.994702970129</v>
          </cell>
          <cell r="H49">
            <v>93126.137384893009</v>
          </cell>
          <cell r="K49" t="str">
            <v>Discounted Cash Flow Analysis</v>
          </cell>
          <cell r="N49">
            <v>0</v>
          </cell>
          <cell r="O49">
            <v>34067.038143206941</v>
          </cell>
          <cell r="P49">
            <v>35406.596648321472</v>
          </cell>
          <cell r="Q49">
            <v>36746.155153436004</v>
          </cell>
          <cell r="R49">
            <v>38085.713658550536</v>
          </cell>
          <cell r="S49">
            <v>39425.272163665068</v>
          </cell>
          <cell r="T49">
            <v>40764.830668779599</v>
          </cell>
          <cell r="U49">
            <v>42104.389173894131</v>
          </cell>
          <cell r="V49">
            <v>43443.947679008663</v>
          </cell>
          <cell r="W49">
            <v>44783.506184123195</v>
          </cell>
          <cell r="X49">
            <v>46123.064689237726</v>
          </cell>
          <cell r="Y49">
            <v>47462.623194352258</v>
          </cell>
          <cell r="Z49">
            <v>48802.18169946679</v>
          </cell>
          <cell r="AA49">
            <v>50141.740204581321</v>
          </cell>
          <cell r="AB49">
            <v>51481.298709695853</v>
          </cell>
          <cell r="AC49">
            <v>52820.857214810385</v>
          </cell>
          <cell r="AD49">
            <v>54160.415719924917</v>
          </cell>
          <cell r="AE49">
            <v>55499.974225039448</v>
          </cell>
          <cell r="AF49">
            <v>56839.53273015398</v>
          </cell>
          <cell r="AG49">
            <v>58179.091235268512</v>
          </cell>
          <cell r="AH49">
            <v>59518.649740383044</v>
          </cell>
          <cell r="AI49">
            <v>60858.208245497575</v>
          </cell>
          <cell r="AJ49">
            <v>62197.766750612107</v>
          </cell>
          <cell r="AK49">
            <v>63537.325255726639</v>
          </cell>
          <cell r="AL49">
            <v>64876.88376084117</v>
          </cell>
          <cell r="AM49">
            <v>66216.442265955702</v>
          </cell>
          <cell r="AN49">
            <v>67556.000771070234</v>
          </cell>
          <cell r="AO49">
            <v>68895.559276184766</v>
          </cell>
          <cell r="AP49">
            <v>70235.117781299297</v>
          </cell>
          <cell r="AQ49">
            <v>71574.676286413829</v>
          </cell>
          <cell r="AR49">
            <v>72914.234791528361</v>
          </cell>
          <cell r="AS49">
            <v>74253.793296642893</v>
          </cell>
          <cell r="AT49">
            <v>75593.351801757424</v>
          </cell>
          <cell r="AU49">
            <v>76932.910306871956</v>
          </cell>
          <cell r="AV49">
            <v>78272.468811986488</v>
          </cell>
          <cell r="AW49">
            <v>79612.027317101019</v>
          </cell>
          <cell r="AX49">
            <v>80951.585822215551</v>
          </cell>
          <cell r="AY49">
            <v>82291.144327330083</v>
          </cell>
          <cell r="AZ49">
            <v>83630.702832444615</v>
          </cell>
          <cell r="BA49">
            <v>84970.261337559146</v>
          </cell>
          <cell r="BB49">
            <v>86309.819842673678</v>
          </cell>
          <cell r="BC49">
            <v>87649.37834778821</v>
          </cell>
          <cell r="BD49">
            <v>88988.936852902742</v>
          </cell>
          <cell r="BE49">
            <v>90328.495358017273</v>
          </cell>
          <cell r="BF49">
            <v>91668.053863131805</v>
          </cell>
          <cell r="BG49">
            <v>93007.612368246337</v>
          </cell>
          <cell r="BH49">
            <v>94347.170873360868</v>
          </cell>
          <cell r="BI49">
            <v>95686.7293784754</v>
          </cell>
          <cell r="BJ49">
            <v>97026.287883589932</v>
          </cell>
          <cell r="BK49">
            <v>98365.846388704464</v>
          </cell>
          <cell r="BL49">
            <v>99705.404893818995</v>
          </cell>
          <cell r="BM49">
            <v>101044.96339893353</v>
          </cell>
          <cell r="BN49">
            <v>102384.52190404806</v>
          </cell>
          <cell r="BO49">
            <v>103724.08040916259</v>
          </cell>
          <cell r="BP49">
            <v>105063.63891427712</v>
          </cell>
          <cell r="BQ49">
            <v>106403.19741939165</v>
          </cell>
          <cell r="BR49">
            <v>107742.75592450619</v>
          </cell>
          <cell r="BS49">
            <v>109082.31442962072</v>
          </cell>
        </row>
        <row r="50">
          <cell r="B50">
            <v>6.8125661523495029E-2</v>
          </cell>
          <cell r="C50">
            <v>8.8125661523495019E-2</v>
          </cell>
          <cell r="G50">
            <v>59.609635859945378</v>
          </cell>
          <cell r="H50">
            <v>72.088480657017996</v>
          </cell>
          <cell r="K50" t="str">
            <v>5.5x - 6.5x Exit Multiple Discounted at a WACC of 6.8% - 8.8%</v>
          </cell>
          <cell r="N50">
            <v>0</v>
          </cell>
          <cell r="O50">
            <v>34067.038143206941</v>
          </cell>
          <cell r="P50">
            <v>35406.596648321472</v>
          </cell>
          <cell r="Q50">
            <v>36746.155153436004</v>
          </cell>
          <cell r="R50">
            <v>38085.713658550536</v>
          </cell>
          <cell r="S50">
            <v>39425.272163665068</v>
          </cell>
          <cell r="T50">
            <v>40764.830668779599</v>
          </cell>
          <cell r="U50">
            <v>42104.389173894131</v>
          </cell>
          <cell r="V50">
            <v>43443.947679008663</v>
          </cell>
          <cell r="W50">
            <v>44783.506184123195</v>
          </cell>
          <cell r="X50">
            <v>46123.064689237726</v>
          </cell>
          <cell r="Y50">
            <v>47462.623194352258</v>
          </cell>
          <cell r="Z50">
            <v>48802.18169946679</v>
          </cell>
          <cell r="AA50">
            <v>50141.740204581321</v>
          </cell>
          <cell r="AB50">
            <v>51481.298709695853</v>
          </cell>
          <cell r="AC50">
            <v>52820.857214810385</v>
          </cell>
          <cell r="AD50">
            <v>54160.415719924917</v>
          </cell>
          <cell r="AE50">
            <v>55499.974225039448</v>
          </cell>
          <cell r="AF50">
            <v>56839.53273015398</v>
          </cell>
          <cell r="AG50">
            <v>58179.091235268512</v>
          </cell>
          <cell r="AH50">
            <v>59518.649740383044</v>
          </cell>
          <cell r="AI50">
            <v>60858.208245497575</v>
          </cell>
          <cell r="AJ50">
            <v>62197.766750612107</v>
          </cell>
          <cell r="AK50">
            <v>63537.325255726639</v>
          </cell>
          <cell r="AL50">
            <v>64876.88376084117</v>
          </cell>
          <cell r="AM50">
            <v>66216.442265955702</v>
          </cell>
          <cell r="AN50">
            <v>67556.000771070234</v>
          </cell>
          <cell r="AO50">
            <v>68895.559276184766</v>
          </cell>
          <cell r="AP50">
            <v>70235.117781299297</v>
          </cell>
          <cell r="AQ50">
            <v>71574.676286413829</v>
          </cell>
          <cell r="AR50">
            <v>72914.234791528361</v>
          </cell>
          <cell r="AS50">
            <v>74253.793296642893</v>
          </cell>
          <cell r="AT50">
            <v>75593.351801757424</v>
          </cell>
          <cell r="AU50">
            <v>76932.910306871956</v>
          </cell>
          <cell r="AV50">
            <v>78272.468811986488</v>
          </cell>
          <cell r="AW50">
            <v>79612.027317101019</v>
          </cell>
          <cell r="AX50">
            <v>80951.585822215551</v>
          </cell>
          <cell r="AY50">
            <v>82291.144327330083</v>
          </cell>
          <cell r="AZ50">
            <v>83630.702832444615</v>
          </cell>
          <cell r="BA50">
            <v>84970.261337559146</v>
          </cell>
          <cell r="BB50">
            <v>86309.819842673678</v>
          </cell>
          <cell r="BC50">
            <v>87649.37834778821</v>
          </cell>
          <cell r="BD50">
            <v>88988.936852902742</v>
          </cell>
          <cell r="BE50">
            <v>90328.495358017273</v>
          </cell>
          <cell r="BF50">
            <v>91668.053863131805</v>
          </cell>
          <cell r="BG50">
            <v>93007.612368246337</v>
          </cell>
          <cell r="BH50">
            <v>94347.170873360868</v>
          </cell>
          <cell r="BI50">
            <v>95686.7293784754</v>
          </cell>
          <cell r="BJ50">
            <v>97026.287883589932</v>
          </cell>
          <cell r="BK50">
            <v>98365.846388704464</v>
          </cell>
          <cell r="BL50">
            <v>99705.404893818995</v>
          </cell>
          <cell r="BM50">
            <v>101044.96339893353</v>
          </cell>
          <cell r="BN50">
            <v>102384.52190404806</v>
          </cell>
          <cell r="BO50">
            <v>103724.08040916259</v>
          </cell>
          <cell r="BP50">
            <v>105063.63891427712</v>
          </cell>
          <cell r="BQ50">
            <v>106403.19741939165</v>
          </cell>
          <cell r="BR50">
            <v>107742.75592450619</v>
          </cell>
          <cell r="BS50">
            <v>109082.31442962072</v>
          </cell>
        </row>
        <row r="52">
          <cell r="B52">
            <v>0.09</v>
          </cell>
          <cell r="C52">
            <v>0.1101</v>
          </cell>
          <cell r="G52">
            <v>49200.125327830974</v>
          </cell>
          <cell r="H52">
            <v>60188.15331771323</v>
          </cell>
          <cell r="K52" t="str">
            <v>ROIC Analysis</v>
          </cell>
          <cell r="N52">
            <v>0</v>
          </cell>
          <cell r="O52">
            <v>34067.038143206941</v>
          </cell>
          <cell r="P52">
            <v>35406.596648321472</v>
          </cell>
          <cell r="Q52">
            <v>36746.155153436004</v>
          </cell>
          <cell r="R52">
            <v>38085.713658550536</v>
          </cell>
          <cell r="S52">
            <v>39425.272163665068</v>
          </cell>
          <cell r="T52">
            <v>40764.830668779599</v>
          </cell>
          <cell r="U52">
            <v>42104.389173894131</v>
          </cell>
          <cell r="V52">
            <v>43443.947679008663</v>
          </cell>
          <cell r="W52">
            <v>44783.506184123195</v>
          </cell>
          <cell r="X52">
            <v>46123.064689237726</v>
          </cell>
          <cell r="Y52">
            <v>47462.623194352258</v>
          </cell>
          <cell r="Z52">
            <v>48802.18169946679</v>
          </cell>
          <cell r="AA52">
            <v>50141.740204581321</v>
          </cell>
          <cell r="AB52">
            <v>51481.298709695853</v>
          </cell>
          <cell r="AC52">
            <v>52820.857214810385</v>
          </cell>
          <cell r="AD52">
            <v>54160.415719924917</v>
          </cell>
          <cell r="AE52">
            <v>55499.974225039448</v>
          </cell>
          <cell r="AF52">
            <v>56839.53273015398</v>
          </cell>
          <cell r="AG52">
            <v>58179.091235268512</v>
          </cell>
          <cell r="AH52">
            <v>59518.649740383044</v>
          </cell>
          <cell r="AI52">
            <v>60858.208245497575</v>
          </cell>
          <cell r="AJ52">
            <v>62197.766750612107</v>
          </cell>
          <cell r="AK52">
            <v>63537.325255726639</v>
          </cell>
          <cell r="AL52">
            <v>64876.88376084117</v>
          </cell>
          <cell r="AM52">
            <v>66216.442265955702</v>
          </cell>
          <cell r="AN52">
            <v>67556.000771070234</v>
          </cell>
          <cell r="AO52">
            <v>68895.559276184766</v>
          </cell>
          <cell r="AP52">
            <v>70235.117781299297</v>
          </cell>
          <cell r="AQ52">
            <v>71574.676286413829</v>
          </cell>
          <cell r="AR52">
            <v>72914.234791528361</v>
          </cell>
          <cell r="AS52">
            <v>74253.793296642893</v>
          </cell>
          <cell r="AT52">
            <v>75593.351801757424</v>
          </cell>
          <cell r="AU52">
            <v>76932.910306871956</v>
          </cell>
          <cell r="AV52">
            <v>78272.468811986488</v>
          </cell>
          <cell r="AW52">
            <v>79612.027317101019</v>
          </cell>
          <cell r="AX52">
            <v>80951.585822215551</v>
          </cell>
          <cell r="AY52">
            <v>82291.144327330083</v>
          </cell>
          <cell r="AZ52">
            <v>83630.702832444615</v>
          </cell>
          <cell r="BA52">
            <v>84970.261337559146</v>
          </cell>
          <cell r="BB52">
            <v>86309.819842673678</v>
          </cell>
          <cell r="BC52">
            <v>87649.37834778821</v>
          </cell>
          <cell r="BD52">
            <v>88988.936852902742</v>
          </cell>
          <cell r="BE52">
            <v>90328.495358017273</v>
          </cell>
          <cell r="BF52">
            <v>91668.053863131805</v>
          </cell>
          <cell r="BG52">
            <v>93007.612368246337</v>
          </cell>
          <cell r="BH52">
            <v>94347.170873360868</v>
          </cell>
          <cell r="BI52">
            <v>95686.7293784754</v>
          </cell>
          <cell r="BJ52">
            <v>97026.287883589932</v>
          </cell>
          <cell r="BK52">
            <v>98365.846388704464</v>
          </cell>
          <cell r="BL52">
            <v>99705.404893818995</v>
          </cell>
          <cell r="BM52">
            <v>101044.96339893353</v>
          </cell>
          <cell r="BN52">
            <v>102384.52190404806</v>
          </cell>
          <cell r="BO52">
            <v>103724.08040916259</v>
          </cell>
          <cell r="BP52">
            <v>105063.63891427712</v>
          </cell>
          <cell r="BQ52">
            <v>106403.19741939165</v>
          </cell>
          <cell r="BR52">
            <v>107742.75592450619</v>
          </cell>
          <cell r="BS52">
            <v>109082.31442962072</v>
          </cell>
        </row>
        <row r="53">
          <cell r="B53" t="str">
            <v>2010</v>
          </cell>
          <cell r="C53">
            <v>5416.9337985941902</v>
          </cell>
          <cell r="G53">
            <v>39.297070734010333</v>
          </cell>
          <cell r="H53">
            <v>47.499794204414307</v>
          </cell>
          <cell r="K53" t="str">
            <v>Target ROIC of 9.0% - 11.0% by 2010</v>
          </cell>
          <cell r="N53">
            <v>0</v>
          </cell>
          <cell r="O53">
            <v>34067.038143206941</v>
          </cell>
          <cell r="P53">
            <v>35406.596648321472</v>
          </cell>
          <cell r="Q53">
            <v>36746.155153436004</v>
          </cell>
          <cell r="R53">
            <v>38085.713658550536</v>
          </cell>
          <cell r="S53">
            <v>39425.272163665068</v>
          </cell>
          <cell r="T53">
            <v>40764.830668779599</v>
          </cell>
          <cell r="U53">
            <v>42104.389173894131</v>
          </cell>
          <cell r="V53">
            <v>43443.947679008663</v>
          </cell>
          <cell r="W53">
            <v>44783.506184123195</v>
          </cell>
          <cell r="X53">
            <v>46123.064689237726</v>
          </cell>
          <cell r="Y53">
            <v>47462.623194352258</v>
          </cell>
          <cell r="Z53">
            <v>48802.18169946679</v>
          </cell>
          <cell r="AA53">
            <v>50141.740204581321</v>
          </cell>
          <cell r="AB53">
            <v>51481.298709695853</v>
          </cell>
          <cell r="AC53">
            <v>52820.857214810385</v>
          </cell>
          <cell r="AD53">
            <v>54160.415719924917</v>
          </cell>
          <cell r="AE53">
            <v>55499.974225039448</v>
          </cell>
          <cell r="AF53">
            <v>56839.53273015398</v>
          </cell>
          <cell r="AG53">
            <v>58179.091235268512</v>
          </cell>
          <cell r="AH53">
            <v>59518.649740383044</v>
          </cell>
          <cell r="AI53">
            <v>60858.208245497575</v>
          </cell>
          <cell r="AJ53">
            <v>62197.766750612107</v>
          </cell>
          <cell r="AK53">
            <v>63537.325255726639</v>
          </cell>
          <cell r="AL53">
            <v>64876.88376084117</v>
          </cell>
          <cell r="AM53">
            <v>66216.442265955702</v>
          </cell>
          <cell r="AN53">
            <v>67556.000771070234</v>
          </cell>
          <cell r="AO53">
            <v>68895.559276184766</v>
          </cell>
          <cell r="AP53">
            <v>70235.117781299297</v>
          </cell>
          <cell r="AQ53">
            <v>71574.676286413829</v>
          </cell>
          <cell r="AR53">
            <v>72914.234791528361</v>
          </cell>
          <cell r="AS53">
            <v>74253.793296642893</v>
          </cell>
          <cell r="AT53">
            <v>75593.351801757424</v>
          </cell>
          <cell r="AU53">
            <v>76932.910306871956</v>
          </cell>
          <cell r="AV53">
            <v>78272.468811986488</v>
          </cell>
          <cell r="AW53">
            <v>79612.027317101019</v>
          </cell>
          <cell r="AX53">
            <v>80951.585822215551</v>
          </cell>
          <cell r="AY53">
            <v>82291.144327330083</v>
          </cell>
          <cell r="AZ53">
            <v>83630.702832444615</v>
          </cell>
          <cell r="BA53">
            <v>84970.261337559146</v>
          </cell>
          <cell r="BB53">
            <v>86309.819842673678</v>
          </cell>
          <cell r="BC53">
            <v>87649.37834778821</v>
          </cell>
          <cell r="BD53">
            <v>88988.936852902742</v>
          </cell>
          <cell r="BE53">
            <v>90328.495358017273</v>
          </cell>
          <cell r="BF53">
            <v>91668.053863131805</v>
          </cell>
          <cell r="BG53">
            <v>93007.612368246337</v>
          </cell>
          <cell r="BH53">
            <v>94347.170873360868</v>
          </cell>
          <cell r="BI53">
            <v>95686.7293784754</v>
          </cell>
          <cell r="BJ53">
            <v>97026.287883589932</v>
          </cell>
          <cell r="BK53">
            <v>98365.846388704464</v>
          </cell>
          <cell r="BL53">
            <v>99705.404893818995</v>
          </cell>
          <cell r="BM53">
            <v>101044.96339893353</v>
          </cell>
          <cell r="BN53">
            <v>102384.52190404806</v>
          </cell>
          <cell r="BO53">
            <v>103724.08040916259</v>
          </cell>
          <cell r="BP53">
            <v>105063.63891427712</v>
          </cell>
          <cell r="BQ53">
            <v>106403.19741939165</v>
          </cell>
          <cell r="BR53">
            <v>107742.75592450619</v>
          </cell>
          <cell r="BS53">
            <v>109082.31442962072</v>
          </cell>
        </row>
        <row r="55">
          <cell r="B55">
            <v>9</v>
          </cell>
          <cell r="C55">
            <v>10</v>
          </cell>
          <cell r="E55" t="str">
            <v>LTM 9/30/09 EBITDA</v>
          </cell>
          <cell r="G55">
            <v>71789.399999999951</v>
          </cell>
          <cell r="H55">
            <v>79765.999999999942</v>
          </cell>
          <cell r="K55" t="str">
            <v>Leveraged Buyout Analysis</v>
          </cell>
          <cell r="N55">
            <v>0</v>
          </cell>
          <cell r="O55">
            <v>34067.038143206941</v>
          </cell>
          <cell r="P55">
            <v>35406.596648321472</v>
          </cell>
          <cell r="Q55">
            <v>36746.155153436004</v>
          </cell>
          <cell r="R55">
            <v>38085.713658550536</v>
          </cell>
          <cell r="S55">
            <v>39425.272163665068</v>
          </cell>
          <cell r="T55">
            <v>40764.830668779599</v>
          </cell>
          <cell r="U55">
            <v>42104.389173894131</v>
          </cell>
          <cell r="V55">
            <v>43443.947679008663</v>
          </cell>
          <cell r="W55">
            <v>44783.506184123195</v>
          </cell>
          <cell r="X55">
            <v>46123.064689237726</v>
          </cell>
          <cell r="Y55">
            <v>47462.623194352258</v>
          </cell>
          <cell r="Z55">
            <v>48802.18169946679</v>
          </cell>
          <cell r="AA55">
            <v>50141.740204581321</v>
          </cell>
          <cell r="AB55">
            <v>51481.298709695853</v>
          </cell>
          <cell r="AC55">
            <v>52820.857214810385</v>
          </cell>
          <cell r="AD55">
            <v>54160.415719924917</v>
          </cell>
          <cell r="AE55">
            <v>55499.974225039448</v>
          </cell>
          <cell r="AF55">
            <v>56839.53273015398</v>
          </cell>
          <cell r="AG55">
            <v>58179.091235268512</v>
          </cell>
          <cell r="AH55">
            <v>59518.649740383044</v>
          </cell>
          <cell r="AI55">
            <v>60858.208245497575</v>
          </cell>
          <cell r="AJ55">
            <v>62197.766750612107</v>
          </cell>
          <cell r="AK55">
            <v>63537.325255726639</v>
          </cell>
          <cell r="AL55">
            <v>64876.88376084117</v>
          </cell>
          <cell r="AM55">
            <v>66216.442265955702</v>
          </cell>
          <cell r="AN55">
            <v>67556.000771070234</v>
          </cell>
          <cell r="AO55">
            <v>68895.559276184766</v>
          </cell>
          <cell r="AP55">
            <v>70235.117781299297</v>
          </cell>
          <cell r="AQ55">
            <v>71574.676286413829</v>
          </cell>
          <cell r="AR55">
            <v>72914.234791528361</v>
          </cell>
          <cell r="AS55">
            <v>74253.793296642893</v>
          </cell>
          <cell r="AT55">
            <v>75593.351801757424</v>
          </cell>
          <cell r="AU55">
            <v>76932.910306871956</v>
          </cell>
          <cell r="AV55">
            <v>78272.468811986488</v>
          </cell>
          <cell r="AW55">
            <v>79612.027317101019</v>
          </cell>
          <cell r="AX55">
            <v>80951.585822215551</v>
          </cell>
          <cell r="AY55">
            <v>82291.144327330083</v>
          </cell>
          <cell r="AZ55">
            <v>83630.702832444615</v>
          </cell>
          <cell r="BA55">
            <v>84970.261337559146</v>
          </cell>
          <cell r="BB55">
            <v>86309.819842673678</v>
          </cell>
          <cell r="BC55">
            <v>87649.37834778821</v>
          </cell>
          <cell r="BD55">
            <v>88988.936852902742</v>
          </cell>
          <cell r="BE55">
            <v>90328.495358017273</v>
          </cell>
          <cell r="BF55">
            <v>91668.053863131805</v>
          </cell>
          <cell r="BG55">
            <v>93007.612368246337</v>
          </cell>
          <cell r="BH55">
            <v>94347.170873360868</v>
          </cell>
          <cell r="BI55">
            <v>95686.7293784754</v>
          </cell>
          <cell r="BJ55">
            <v>97026.287883589932</v>
          </cell>
          <cell r="BK55">
            <v>98365.846388704464</v>
          </cell>
          <cell r="BL55">
            <v>99705.404893818995</v>
          </cell>
          <cell r="BM55">
            <v>101044.96339893353</v>
          </cell>
          <cell r="BN55">
            <v>102384.52190404806</v>
          </cell>
          <cell r="BO55">
            <v>103724.08040916259</v>
          </cell>
          <cell r="BP55">
            <v>105063.63891427712</v>
          </cell>
          <cell r="BQ55">
            <v>106403.19741939165</v>
          </cell>
          <cell r="BR55">
            <v>107742.75592450619</v>
          </cell>
          <cell r="BS55">
            <v>109082.31442962072</v>
          </cell>
        </row>
        <row r="56">
          <cell r="E56">
            <v>7976.5999999999949</v>
          </cell>
          <cell r="G56">
            <v>56.160294390104077</v>
          </cell>
          <cell r="H56">
            <v>62.114942857897567</v>
          </cell>
          <cell r="K56" t="str">
            <v>9.0x - 10.0x LTM 9/30/09 EBITDA EBITDA ($7,976.6 mm)</v>
          </cell>
          <cell r="N56">
            <v>0</v>
          </cell>
          <cell r="O56">
            <v>34067.038143206941</v>
          </cell>
          <cell r="P56">
            <v>35406.596648321472</v>
          </cell>
          <cell r="Q56">
            <v>36746.155153436004</v>
          </cell>
          <cell r="R56">
            <v>38085.713658550536</v>
          </cell>
          <cell r="S56">
            <v>39425.272163665068</v>
          </cell>
          <cell r="T56">
            <v>40764.830668779599</v>
          </cell>
          <cell r="U56">
            <v>42104.389173894131</v>
          </cell>
          <cell r="V56">
            <v>43443.947679008663</v>
          </cell>
          <cell r="W56">
            <v>44783.506184123195</v>
          </cell>
          <cell r="X56">
            <v>46123.064689237726</v>
          </cell>
          <cell r="Y56">
            <v>47462.623194352258</v>
          </cell>
          <cell r="Z56">
            <v>48802.18169946679</v>
          </cell>
          <cell r="AA56">
            <v>50141.740204581321</v>
          </cell>
          <cell r="AB56">
            <v>51481.298709695853</v>
          </cell>
          <cell r="AC56">
            <v>52820.857214810385</v>
          </cell>
          <cell r="AD56">
            <v>54160.415719924917</v>
          </cell>
          <cell r="AE56">
            <v>55499.974225039448</v>
          </cell>
          <cell r="AF56">
            <v>56839.53273015398</v>
          </cell>
          <cell r="AG56">
            <v>58179.091235268512</v>
          </cell>
          <cell r="AH56">
            <v>59518.649740383044</v>
          </cell>
          <cell r="AI56">
            <v>60858.208245497575</v>
          </cell>
          <cell r="AJ56">
            <v>62197.766750612107</v>
          </cell>
          <cell r="AK56">
            <v>63537.325255726639</v>
          </cell>
          <cell r="AL56">
            <v>64876.88376084117</v>
          </cell>
          <cell r="AM56">
            <v>66216.442265955702</v>
          </cell>
          <cell r="AN56">
            <v>67556.000771070234</v>
          </cell>
          <cell r="AO56">
            <v>68895.559276184766</v>
          </cell>
          <cell r="AP56">
            <v>70235.117781299297</v>
          </cell>
          <cell r="AQ56">
            <v>71574.676286413829</v>
          </cell>
          <cell r="AR56">
            <v>72914.234791528361</v>
          </cell>
          <cell r="AS56">
            <v>74253.793296642893</v>
          </cell>
          <cell r="AT56">
            <v>75593.351801757424</v>
          </cell>
          <cell r="AU56">
            <v>76932.910306871956</v>
          </cell>
          <cell r="AV56">
            <v>78272.468811986488</v>
          </cell>
          <cell r="AW56">
            <v>79612.027317101019</v>
          </cell>
          <cell r="AX56">
            <v>80951.585822215551</v>
          </cell>
          <cell r="AY56">
            <v>82291.144327330083</v>
          </cell>
          <cell r="AZ56">
            <v>83630.702832444615</v>
          </cell>
          <cell r="BA56">
            <v>84970.261337559146</v>
          </cell>
          <cell r="BB56">
            <v>86309.819842673678</v>
          </cell>
          <cell r="BC56">
            <v>87649.37834778821</v>
          </cell>
          <cell r="BD56">
            <v>88988.936852902742</v>
          </cell>
          <cell r="BE56">
            <v>90328.495358017273</v>
          </cell>
          <cell r="BF56">
            <v>91668.053863131805</v>
          </cell>
          <cell r="BG56">
            <v>93007.612368246337</v>
          </cell>
          <cell r="BH56">
            <v>94347.170873360868</v>
          </cell>
          <cell r="BI56">
            <v>95686.7293784754</v>
          </cell>
          <cell r="BJ56">
            <v>97026.287883589932</v>
          </cell>
          <cell r="BK56">
            <v>98365.846388704464</v>
          </cell>
          <cell r="BL56">
            <v>99705.404893818995</v>
          </cell>
          <cell r="BM56">
            <v>101044.96339893353</v>
          </cell>
          <cell r="BN56">
            <v>102384.52190404806</v>
          </cell>
          <cell r="BO56">
            <v>103724.08040916259</v>
          </cell>
          <cell r="BP56">
            <v>105063.63891427712</v>
          </cell>
          <cell r="BQ56">
            <v>106403.19741939165</v>
          </cell>
          <cell r="BR56">
            <v>107742.75592450619</v>
          </cell>
          <cell r="BS56">
            <v>109082.31442962072</v>
          </cell>
        </row>
        <row r="57">
          <cell r="A57" t="str">
            <v>x</v>
          </cell>
        </row>
        <row r="59">
          <cell r="E59" t="str">
            <v>LTM 9/30/09 EBITDA</v>
          </cell>
          <cell r="F59">
            <v>7976.5999999999949</v>
          </cell>
          <cell r="K59" t="str">
            <v>Implied EV / LTM 9/30/09 EBITDA Multiple ($7976.6 mm)</v>
          </cell>
          <cell r="M59">
            <v>4.2708720687018236</v>
          </cell>
          <cell r="R59">
            <v>5.1105521987788833</v>
          </cell>
          <cell r="W59">
            <v>5.9502323288559431</v>
          </cell>
          <cell r="AB59">
            <v>6.789912458933002</v>
          </cell>
          <cell r="AG59">
            <v>7.6295925890100618</v>
          </cell>
          <cell r="AL59">
            <v>8.4692727190871206</v>
          </cell>
          <cell r="AQ59">
            <v>9.3089528491641804</v>
          </cell>
          <cell r="AV59">
            <v>10.14863297924124</v>
          </cell>
          <cell r="BA59">
            <v>10.9883131093183</v>
          </cell>
          <cell r="BF59">
            <v>11.827993239395358</v>
          </cell>
          <cell r="BK59">
            <v>12.667673369472418</v>
          </cell>
          <cell r="BP59">
            <v>13.507353499549479</v>
          </cell>
        </row>
        <row r="61">
          <cell r="E61" t="str">
            <v>2009E EBITDA</v>
          </cell>
          <cell r="F61">
            <v>8003.4999999999991</v>
          </cell>
          <cell r="K61" t="str">
            <v>Implied EV / 2009E EBITDA Multiple ($8003.5 mm)</v>
          </cell>
          <cell r="M61">
            <v>4.2565175414764722</v>
          </cell>
          <cell r="R61">
            <v>5.0933754818241539</v>
          </cell>
          <cell r="W61">
            <v>5.9302334221718365</v>
          </cell>
          <cell r="AB61">
            <v>6.7670913625195164</v>
          </cell>
          <cell r="AG61">
            <v>7.6039493028671989</v>
          </cell>
          <cell r="AL61">
            <v>8.4408072432148789</v>
          </cell>
          <cell r="AQ61">
            <v>9.2776651835625614</v>
          </cell>
          <cell r="AV61">
            <v>10.114523123910244</v>
          </cell>
          <cell r="BA61">
            <v>10.951381064257925</v>
          </cell>
          <cell r="BF61">
            <v>11.788239004605606</v>
          </cell>
          <cell r="BK61">
            <v>12.625096944953288</v>
          </cell>
          <cell r="BP61">
            <v>13.461954885300971</v>
          </cell>
        </row>
        <row r="63">
          <cell r="E63" t="str">
            <v>2009E Forward EPS</v>
          </cell>
          <cell r="F63">
            <v>3.7379984951091032</v>
          </cell>
          <cell r="K63" t="str">
            <v>Implied 2009E Forward EPS P/E Multiple ($3.74)</v>
          </cell>
          <cell r="M63">
            <v>7.4906397197954853</v>
          </cell>
          <cell r="R63">
            <v>8.8282539554732509</v>
          </cell>
          <cell r="W63">
            <v>10.165868191151016</v>
          </cell>
          <cell r="AB63">
            <v>11.503482426828782</v>
          </cell>
          <cell r="AG63">
            <v>12.841096662506548</v>
          </cell>
          <cell r="AL63">
            <v>14.178710898184312</v>
          </cell>
          <cell r="AQ63">
            <v>15.516325133862077</v>
          </cell>
          <cell r="AV63">
            <v>16.853939369539845</v>
          </cell>
          <cell r="BA63">
            <v>18.191553605217607</v>
          </cell>
          <cell r="BF63">
            <v>19.529167840895372</v>
          </cell>
          <cell r="BK63">
            <v>20.866782076573138</v>
          </cell>
          <cell r="BP63">
            <v>22.204396312250903</v>
          </cell>
        </row>
        <row r="65">
          <cell r="E65" t="str">
            <v>2010P Forward EPS</v>
          </cell>
          <cell r="F65">
            <v>3.815996938384997</v>
          </cell>
          <cell r="K65" t="str">
            <v>Implied 2010P Forward EPS P/E Multiple ($3.82)</v>
          </cell>
          <cell r="M65">
            <v>7.3375320924261898</v>
          </cell>
          <cell r="R65">
            <v>8.6478056803594381</v>
          </cell>
          <cell r="W65">
            <v>9.9580792682926855</v>
          </cell>
          <cell r="AB65">
            <v>11.268352856225935</v>
          </cell>
          <cell r="AG65">
            <v>12.578626444159182</v>
          </cell>
          <cell r="AL65">
            <v>13.88890003209243</v>
          </cell>
          <cell r="AQ65">
            <v>15.199173620025679</v>
          </cell>
          <cell r="AV65">
            <v>16.509447207958928</v>
          </cell>
          <cell r="BA65">
            <v>17.819720795892174</v>
          </cell>
          <cell r="BF65">
            <v>19.129994383825423</v>
          </cell>
          <cell r="BK65">
            <v>20.440267971758672</v>
          </cell>
          <cell r="BP65">
            <v>21.750541559691918</v>
          </cell>
        </row>
        <row r="73">
          <cell r="A73" t="str">
            <v>x</v>
          </cell>
        </row>
        <row r="74">
          <cell r="F74" t="str">
            <v>Start</v>
          </cell>
          <cell r="G74">
            <v>34067.038143206941</v>
          </cell>
          <cell r="O74">
            <v>34067.038143206941</v>
          </cell>
          <cell r="P74">
            <v>35406.596648321472</v>
          </cell>
          <cell r="Q74">
            <v>36746.155153436004</v>
          </cell>
          <cell r="R74">
            <v>38085.713658550536</v>
          </cell>
          <cell r="S74">
            <v>39425.272163665068</v>
          </cell>
          <cell r="T74">
            <v>40764.830668779599</v>
          </cell>
          <cell r="U74">
            <v>42104.389173894131</v>
          </cell>
          <cell r="V74">
            <v>43443.947679008663</v>
          </cell>
          <cell r="W74">
            <v>44783.506184123195</v>
          </cell>
          <cell r="X74">
            <v>46123.064689237726</v>
          </cell>
          <cell r="Y74">
            <v>47462.623194352258</v>
          </cell>
          <cell r="Z74">
            <v>48802.18169946679</v>
          </cell>
          <cell r="AA74">
            <v>50141.740204581321</v>
          </cell>
          <cell r="AB74">
            <v>51481.298709695853</v>
          </cell>
          <cell r="AC74">
            <v>52820.857214810385</v>
          </cell>
          <cell r="AD74">
            <v>54160.415719924917</v>
          </cell>
          <cell r="AE74">
            <v>55499.974225039448</v>
          </cell>
          <cell r="AF74">
            <v>56839.53273015398</v>
          </cell>
          <cell r="AG74">
            <v>58179.091235268512</v>
          </cell>
          <cell r="AH74">
            <v>59518.649740383044</v>
          </cell>
          <cell r="AI74">
            <v>60858.208245497575</v>
          </cell>
          <cell r="AJ74">
            <v>62197.766750612107</v>
          </cell>
          <cell r="AK74">
            <v>63537.325255726639</v>
          </cell>
          <cell r="AL74">
            <v>64876.88376084117</v>
          </cell>
          <cell r="AM74">
            <v>66216.442265955702</v>
          </cell>
          <cell r="AN74">
            <v>67556.000771070234</v>
          </cell>
          <cell r="AO74">
            <v>68895.559276184766</v>
          </cell>
          <cell r="AP74">
            <v>70235.117781299297</v>
          </cell>
          <cell r="AQ74">
            <v>71574.676286413829</v>
          </cell>
          <cell r="AR74">
            <v>72914.234791528361</v>
          </cell>
          <cell r="AS74">
            <v>74253.793296642893</v>
          </cell>
          <cell r="AT74">
            <v>75593.351801757424</v>
          </cell>
          <cell r="AU74">
            <v>76932.910306871956</v>
          </cell>
          <cell r="AV74">
            <v>78272.468811986488</v>
          </cell>
          <cell r="AW74">
            <v>79612.027317101019</v>
          </cell>
          <cell r="AX74">
            <v>80951.585822215551</v>
          </cell>
          <cell r="AY74">
            <v>82291.144327330083</v>
          </cell>
          <cell r="AZ74">
            <v>83630.702832444615</v>
          </cell>
          <cell r="BA74">
            <v>84970.261337559146</v>
          </cell>
          <cell r="BB74">
            <v>86309.819842673678</v>
          </cell>
          <cell r="BC74">
            <v>87649.37834778821</v>
          </cell>
          <cell r="BD74">
            <v>88988.936852902742</v>
          </cell>
          <cell r="BE74">
            <v>90328.495358017273</v>
          </cell>
          <cell r="BF74">
            <v>91668.053863131805</v>
          </cell>
          <cell r="BG74">
            <v>93007.612368246337</v>
          </cell>
          <cell r="BH74">
            <v>94347.170873360868</v>
          </cell>
          <cell r="BI74">
            <v>95686.7293784754</v>
          </cell>
          <cell r="BJ74">
            <v>97026.287883589932</v>
          </cell>
          <cell r="BK74">
            <v>98365.846388704464</v>
          </cell>
          <cell r="BL74">
            <v>99705.404893818995</v>
          </cell>
          <cell r="BM74">
            <v>101044.96339893353</v>
          </cell>
          <cell r="BN74">
            <v>102384.52190404806</v>
          </cell>
          <cell r="BO74">
            <v>103724.08040916259</v>
          </cell>
          <cell r="BP74">
            <v>105063.63891427712</v>
          </cell>
          <cell r="BQ74">
            <v>106403.19741939165</v>
          </cell>
          <cell r="BR74">
            <v>107742.75592450619</v>
          </cell>
          <cell r="BS74">
            <v>109082.31442962072</v>
          </cell>
        </row>
        <row r="75">
          <cell r="F75" t="str">
            <v>End</v>
          </cell>
          <cell r="G75">
            <v>107742.7559245063</v>
          </cell>
          <cell r="O75">
            <v>1339.5585051145347</v>
          </cell>
          <cell r="P75">
            <v>1339.5585051145347</v>
          </cell>
          <cell r="Q75">
            <v>1339.5585051145347</v>
          </cell>
          <cell r="R75">
            <v>1339.5585051145347</v>
          </cell>
          <cell r="S75">
            <v>1339.5585051145347</v>
          </cell>
          <cell r="T75">
            <v>1339.5585051145347</v>
          </cell>
          <cell r="U75">
            <v>1339.5585051145347</v>
          </cell>
          <cell r="V75">
            <v>1339.5585051145347</v>
          </cell>
          <cell r="W75">
            <v>1339.5585051145347</v>
          </cell>
          <cell r="X75">
            <v>1339.5585051145347</v>
          </cell>
          <cell r="Y75">
            <v>1339.5585051145317</v>
          </cell>
          <cell r="Z75">
            <v>1339.5585051145317</v>
          </cell>
          <cell r="AA75">
            <v>1339.5585051145317</v>
          </cell>
          <cell r="AB75">
            <v>1339.5585051145317</v>
          </cell>
          <cell r="AC75">
            <v>1339.5585051145317</v>
          </cell>
          <cell r="AD75">
            <v>1339.5585051145347</v>
          </cell>
          <cell r="AE75">
            <v>1339.5585051145347</v>
          </cell>
          <cell r="AF75">
            <v>1339.5585051145347</v>
          </cell>
          <cell r="AG75">
            <v>1339.5585051145347</v>
          </cell>
          <cell r="AH75">
            <v>1339.5585051145347</v>
          </cell>
          <cell r="AI75">
            <v>1339.5585051145317</v>
          </cell>
          <cell r="AJ75">
            <v>1339.5585051145317</v>
          </cell>
          <cell r="AK75">
            <v>1339.5585051145317</v>
          </cell>
          <cell r="AL75">
            <v>1339.5585051145317</v>
          </cell>
          <cell r="AM75">
            <v>1339.5585051145317</v>
          </cell>
          <cell r="AN75">
            <v>1339.5585051145347</v>
          </cell>
          <cell r="AO75">
            <v>1339.5585051145347</v>
          </cell>
          <cell r="AP75">
            <v>1339.5585051145347</v>
          </cell>
          <cell r="AQ75">
            <v>1339.5585051145347</v>
          </cell>
          <cell r="AR75">
            <v>1339.5585051145347</v>
          </cell>
          <cell r="AS75">
            <v>1339.5585051145347</v>
          </cell>
          <cell r="AT75">
            <v>1339.5585051145347</v>
          </cell>
          <cell r="AU75">
            <v>1339.5585051145347</v>
          </cell>
          <cell r="AV75">
            <v>1339.5585051145347</v>
          </cell>
          <cell r="AW75">
            <v>1339.5585051145347</v>
          </cell>
          <cell r="AX75">
            <v>1339.5585051145347</v>
          </cell>
          <cell r="AY75">
            <v>1339.5585051145347</v>
          </cell>
          <cell r="AZ75">
            <v>1339.5585051145347</v>
          </cell>
          <cell r="BA75">
            <v>1339.5585051145347</v>
          </cell>
          <cell r="BB75">
            <v>1339.5585051145347</v>
          </cell>
          <cell r="BC75">
            <v>1339.5585051145317</v>
          </cell>
          <cell r="BD75">
            <v>1339.5585051145317</v>
          </cell>
          <cell r="BE75">
            <v>1339.5585051145317</v>
          </cell>
          <cell r="BF75">
            <v>1339.5585051145317</v>
          </cell>
          <cell r="BG75">
            <v>1339.5585051145317</v>
          </cell>
          <cell r="BH75">
            <v>1339.5585051145347</v>
          </cell>
          <cell r="BI75">
            <v>1339.5585051145347</v>
          </cell>
          <cell r="BJ75">
            <v>1339.5585051145347</v>
          </cell>
          <cell r="BK75">
            <v>1339.5585051145347</v>
          </cell>
          <cell r="BL75">
            <v>1339.5585051145347</v>
          </cell>
          <cell r="BM75">
            <v>1339.5585051145347</v>
          </cell>
          <cell r="BN75">
            <v>1339.5585051145347</v>
          </cell>
          <cell r="BO75">
            <v>1339.5585051145347</v>
          </cell>
          <cell r="BP75">
            <v>1339.5585051145347</v>
          </cell>
          <cell r="BQ75">
            <v>1339.5585051145347</v>
          </cell>
          <cell r="BR75">
            <v>1339.5585051145347</v>
          </cell>
          <cell r="BS75">
            <v>1339.5585051145347</v>
          </cell>
        </row>
        <row r="76">
          <cell r="F76" t="str">
            <v>Increment</v>
          </cell>
          <cell r="G76">
            <v>1339.5585051145338</v>
          </cell>
        </row>
        <row r="78">
          <cell r="F78" t="str">
            <v>Fully Diluted Share Count based on implied price</v>
          </cell>
          <cell r="M78">
            <v>1331.486979</v>
          </cell>
          <cell r="R78">
            <v>1331.486979</v>
          </cell>
          <cell r="W78">
            <v>1331.8672945557894</v>
          </cell>
          <cell r="AB78">
            <v>1333.2491405620931</v>
          </cell>
          <cell r="AG78">
            <v>1337.8378786285416</v>
          </cell>
          <cell r="AL78">
            <v>1341.5608170598114</v>
          </cell>
          <cell r="AQ78">
            <v>1346.1086162056897</v>
          </cell>
          <cell r="AV78">
            <v>1351.9626565817462</v>
          </cell>
          <cell r="BA78">
            <v>1358.6560755095588</v>
          </cell>
          <cell r="BF78">
            <v>1364.4325877349315</v>
          </cell>
          <cell r="BK78">
            <v>1369.4685214698718</v>
          </cell>
          <cell r="BP78">
            <v>1373.8977162006024</v>
          </cell>
        </row>
        <row r="79">
          <cell r="A79" t="str">
            <v>*Football Field increments hidden</v>
          </cell>
        </row>
        <row r="86">
          <cell r="A86" t="str">
            <v>x</v>
          </cell>
        </row>
      </sheetData>
      <sheetData sheetId="16">
        <row r="1">
          <cell r="AT1" t="str">
            <v>x</v>
          </cell>
          <cell r="BH1" t="str">
            <v>x</v>
          </cell>
        </row>
        <row r="2">
          <cell r="B2" t="str">
            <v>Contribution Analysis</v>
          </cell>
        </row>
        <row r="4">
          <cell r="B4" t="str">
            <v>($ in Millions)</v>
          </cell>
          <cell r="L4" t="str">
            <v>% Contribution</v>
          </cell>
          <cell r="P4" t="str">
            <v>% of Combined Equity Value</v>
          </cell>
          <cell r="T4" t="str">
            <v>Implied</v>
          </cell>
        </row>
        <row r="5">
          <cell r="F5" t="str">
            <v>Pfizer</v>
          </cell>
          <cell r="H5" t="str">
            <v>Wyeth</v>
          </cell>
          <cell r="J5" t="str">
            <v>Total</v>
          </cell>
          <cell r="L5" t="str">
            <v>Pfizer</v>
          </cell>
          <cell r="N5" t="str">
            <v>Wyeth</v>
          </cell>
          <cell r="P5" t="str">
            <v>Pfizer</v>
          </cell>
          <cell r="R5" t="str">
            <v>Wyeth</v>
          </cell>
          <cell r="T5" t="str">
            <v>Exchange Ratio</v>
          </cell>
        </row>
        <row r="7">
          <cell r="B7" t="str">
            <v>Revenue</v>
          </cell>
          <cell r="D7">
            <v>2008</v>
          </cell>
          <cell r="F7">
            <v>48341</v>
          </cell>
          <cell r="H7">
            <v>22833.9</v>
          </cell>
          <cell r="J7">
            <v>71174.899999999994</v>
          </cell>
          <cell r="L7">
            <v>0.67918606137837922</v>
          </cell>
          <cell r="N7">
            <v>0.32081393862162089</v>
          </cell>
          <cell r="P7">
            <v>0.69938854677060391</v>
          </cell>
          <cell r="R7">
            <v>0.30061145322939636</v>
          </cell>
          <cell r="T7">
            <v>2.1726111016918392</v>
          </cell>
        </row>
        <row r="8">
          <cell r="D8">
            <v>2009</v>
          </cell>
          <cell r="F8">
            <v>46093.3</v>
          </cell>
          <cell r="H8">
            <v>23060.6</v>
          </cell>
          <cell r="J8">
            <v>69153.899999999994</v>
          </cell>
          <cell r="L8">
            <v>0.66653218401276004</v>
          </cell>
          <cell r="N8">
            <v>0.33346781598724007</v>
          </cell>
          <cell r="P8">
            <v>0.6883025259415958</v>
          </cell>
          <cell r="R8">
            <v>0.31169747405840448</v>
          </cell>
          <cell r="T8">
            <v>2.2890164134177304</v>
          </cell>
        </row>
        <row r="9">
          <cell r="D9">
            <v>2010</v>
          </cell>
          <cell r="F9">
            <v>47370.2</v>
          </cell>
          <cell r="H9">
            <v>23050.6</v>
          </cell>
          <cell r="J9">
            <v>70420.799999999988</v>
          </cell>
          <cell r="L9">
            <v>0.67267341467293762</v>
          </cell>
          <cell r="N9">
            <v>0.32732658532706249</v>
          </cell>
          <cell r="P9">
            <v>0.69368283816110976</v>
          </cell>
          <cell r="R9">
            <v>0.30631716183889052</v>
          </cell>
          <cell r="T9">
            <v>2.2320574401280591</v>
          </cell>
        </row>
        <row r="10">
          <cell r="J10" t="str">
            <v>Average</v>
          </cell>
          <cell r="L10">
            <v>0.67279722002135889</v>
          </cell>
          <cell r="N10">
            <v>0.32720277997864117</v>
          </cell>
          <cell r="P10">
            <v>0.69379130362443642</v>
          </cell>
          <cell r="R10">
            <v>0.30620869637556375</v>
          </cell>
          <cell r="T10">
            <v>2.2312283184125428</v>
          </cell>
        </row>
        <row r="12">
          <cell r="B12" t="str">
            <v>EBITDA</v>
          </cell>
          <cell r="D12">
            <v>2008</v>
          </cell>
          <cell r="F12">
            <v>25043</v>
          </cell>
          <cell r="H12">
            <v>7895.9</v>
          </cell>
          <cell r="J12">
            <v>32938.9</v>
          </cell>
          <cell r="L12">
            <v>0.76028646979710912</v>
          </cell>
          <cell r="N12">
            <v>0.2397135302028908</v>
          </cell>
          <cell r="P12">
            <v>0.7704403509720511</v>
          </cell>
          <cell r="R12">
            <v>0.22955964902794893</v>
          </cell>
          <cell r="T12">
            <v>1.5060920600112342</v>
          </cell>
        </row>
        <row r="13">
          <cell r="D13">
            <v>2009</v>
          </cell>
          <cell r="F13">
            <v>21863.500000000004</v>
          </cell>
          <cell r="H13">
            <v>8003.4999999999991</v>
          </cell>
          <cell r="J13">
            <v>29867.000000000004</v>
          </cell>
          <cell r="L13">
            <v>0.73202866039441528</v>
          </cell>
          <cell r="N13">
            <v>0.26797133960558467</v>
          </cell>
          <cell r="P13">
            <v>0.74568377600542834</v>
          </cell>
          <cell r="R13">
            <v>0.25431622399457182</v>
          </cell>
          <cell r="T13">
            <v>1.7239090906379879</v>
          </cell>
        </row>
        <row r="14">
          <cell r="D14">
            <v>2010</v>
          </cell>
          <cell r="F14">
            <v>24203.999999999993</v>
          </cell>
          <cell r="H14">
            <v>8000.2999999999984</v>
          </cell>
          <cell r="J14">
            <v>32204.299999999992</v>
          </cell>
          <cell r="L14">
            <v>0.75157665280723374</v>
          </cell>
          <cell r="N14">
            <v>0.24842334719276618</v>
          </cell>
          <cell r="P14">
            <v>0.76280970861819408</v>
          </cell>
          <cell r="R14">
            <v>0.237190291381806</v>
          </cell>
          <cell r="T14">
            <v>1.5717218257053003</v>
          </cell>
        </row>
        <row r="15">
          <cell r="J15" t="str">
            <v>Average</v>
          </cell>
          <cell r="L15">
            <v>0.74796392766625264</v>
          </cell>
          <cell r="N15">
            <v>0.2520360723337472</v>
          </cell>
          <cell r="P15">
            <v>0.75964461186522447</v>
          </cell>
          <cell r="R15">
            <v>0.24035538813477561</v>
          </cell>
          <cell r="T15">
            <v>1.6005743254515075</v>
          </cell>
        </row>
        <row r="17">
          <cell r="B17" t="str">
            <v>EBIT</v>
          </cell>
          <cell r="D17">
            <v>2008</v>
          </cell>
          <cell r="F17">
            <v>19769</v>
          </cell>
          <cell r="H17">
            <v>6946.2</v>
          </cell>
          <cell r="J17">
            <v>26715.200000000001</v>
          </cell>
          <cell r="L17">
            <v>0.73999071689525064</v>
          </cell>
          <cell r="N17">
            <v>0.26000928310474936</v>
          </cell>
          <cell r="P17">
            <v>0.75265930782540813</v>
          </cell>
          <cell r="R17">
            <v>0.24734069217459198</v>
          </cell>
          <cell r="T17">
            <v>1.6610860170034287</v>
          </cell>
        </row>
        <row r="18">
          <cell r="D18">
            <v>2009</v>
          </cell>
          <cell r="F18">
            <v>17040.100000000006</v>
          </cell>
          <cell r="H18">
            <v>7065.3999999999987</v>
          </cell>
          <cell r="J18">
            <v>24105.500000000004</v>
          </cell>
          <cell r="L18">
            <v>0.7068967662981479</v>
          </cell>
          <cell r="N18">
            <v>0.29310323370185215</v>
          </cell>
          <cell r="P18">
            <v>0.72366580527808111</v>
          </cell>
          <cell r="R18">
            <v>0.27633419472191911</v>
          </cell>
          <cell r="T18">
            <v>1.9301522397824813</v>
          </cell>
        </row>
        <row r="19">
          <cell r="D19">
            <v>2010</v>
          </cell>
          <cell r="F19">
            <v>19413.599999999991</v>
          </cell>
          <cell r="H19">
            <v>7012.9999999999982</v>
          </cell>
          <cell r="J19">
            <v>26426.599999999991</v>
          </cell>
          <cell r="L19">
            <v>0.73462344758690101</v>
          </cell>
          <cell r="N19">
            <v>0.26537655241309893</v>
          </cell>
          <cell r="P19">
            <v>0.74795706063049494</v>
          </cell>
          <cell r="R19">
            <v>0.25204293936950517</v>
          </cell>
          <cell r="T19">
            <v>1.7033067083447155</v>
          </cell>
        </row>
        <row r="20">
          <cell r="J20" t="str">
            <v>Average</v>
          </cell>
          <cell r="L20">
            <v>0.72717031026009982</v>
          </cell>
          <cell r="N20">
            <v>0.27282968973990013</v>
          </cell>
          <cell r="P20">
            <v>0.74142739124466139</v>
          </cell>
          <cell r="R20">
            <v>0.25857260875533877</v>
          </cell>
          <cell r="T20">
            <v>1.7648483217102084</v>
          </cell>
        </row>
        <row r="22">
          <cell r="B22" t="str">
            <v>Net Income</v>
          </cell>
          <cell r="D22">
            <v>2008</v>
          </cell>
          <cell r="F22">
            <v>16366</v>
          </cell>
          <cell r="H22">
            <v>4766.6000000000004</v>
          </cell>
          <cell r="J22">
            <v>21132.6</v>
          </cell>
          <cell r="L22">
            <v>0.77444327721151207</v>
          </cell>
          <cell r="N22">
            <v>0.22555672278848796</v>
          </cell>
          <cell r="P22">
            <v>0.78284308393157409</v>
          </cell>
          <cell r="R22">
            <v>0.21715691606842605</v>
          </cell>
          <cell r="T22">
            <v>1.4021482477948253</v>
          </cell>
        </row>
        <row r="23">
          <cell r="D23">
            <v>2009</v>
          </cell>
          <cell r="F23">
            <v>12376.000000000005</v>
          </cell>
          <cell r="H23">
            <v>4967.7999999999984</v>
          </cell>
          <cell r="J23">
            <v>17343.800000000003</v>
          </cell>
          <cell r="L23">
            <v>0.7135691140349868</v>
          </cell>
          <cell r="N23">
            <v>0.28643088596501332</v>
          </cell>
          <cell r="P23">
            <v>0.72951142744207942</v>
          </cell>
          <cell r="R23">
            <v>0.2704885725579208</v>
          </cell>
          <cell r="T23">
            <v>1.874182204948426</v>
          </cell>
        </row>
        <row r="24">
          <cell r="D24">
            <v>2010</v>
          </cell>
          <cell r="F24">
            <v>14223.79999999999</v>
          </cell>
          <cell r="H24">
            <v>4985.5999999999985</v>
          </cell>
          <cell r="J24">
            <v>19209.399999999987</v>
          </cell>
          <cell r="L24">
            <v>0.74046039959603105</v>
          </cell>
          <cell r="N24">
            <v>0.25953960040396901</v>
          </cell>
          <cell r="P24">
            <v>0.75307079531287369</v>
          </cell>
          <cell r="R24">
            <v>0.24692920468712645</v>
          </cell>
          <cell r="T24">
            <v>1.657416428397789</v>
          </cell>
        </row>
        <row r="25">
          <cell r="J25" t="str">
            <v>Average</v>
          </cell>
          <cell r="L25">
            <v>0.74282426361417675</v>
          </cell>
          <cell r="N25">
            <v>0.25717573638582342</v>
          </cell>
          <cell r="P25">
            <v>0.7551417688955091</v>
          </cell>
          <cell r="R25">
            <v>0.24485823110449109</v>
          </cell>
          <cell r="T25">
            <v>1.64458229371368</v>
          </cell>
        </row>
        <row r="27">
          <cell r="B27" t="str">
            <v>Equity Market Value</v>
          </cell>
          <cell r="F27">
            <v>117664.22281725</v>
          </cell>
          <cell r="H27">
            <v>58348.915803410004</v>
          </cell>
          <cell r="J27">
            <v>176013.13862066</v>
          </cell>
          <cell r="L27">
            <v>0.6684968164270827</v>
          </cell>
          <cell r="N27">
            <v>0.33150318357291736</v>
          </cell>
          <cell r="P27">
            <v>0.69002373401381101</v>
          </cell>
          <cell r="R27">
            <v>0.3099762659861891</v>
          </cell>
          <cell r="T27">
            <v>2.2706981217702165</v>
          </cell>
        </row>
        <row r="31">
          <cell r="B31" t="str">
            <v>Other Assumptions</v>
          </cell>
          <cell r="F31" t="str">
            <v>Pfizer</v>
          </cell>
          <cell r="H31" t="str">
            <v>Wyeth</v>
          </cell>
          <cell r="J31" t="str">
            <v>Total</v>
          </cell>
        </row>
        <row r="32">
          <cell r="B32" t="str">
            <v>Net Debt</v>
          </cell>
          <cell r="F32">
            <v>-18368</v>
          </cell>
          <cell r="H32">
            <v>-3440.6000000000022</v>
          </cell>
          <cell r="J32">
            <v>-21808.600000000002</v>
          </cell>
        </row>
        <row r="33">
          <cell r="B33" t="str">
            <v>Equity Value</v>
          </cell>
          <cell r="F33">
            <v>117664.22281725</v>
          </cell>
          <cell r="H33">
            <v>58348.915803410004</v>
          </cell>
          <cell r="J33">
            <v>176013.13862066</v>
          </cell>
        </row>
        <row r="34">
          <cell r="B34" t="str">
            <v>Enterprise Value</v>
          </cell>
          <cell r="F34">
            <v>99296.222817250004</v>
          </cell>
          <cell r="H34">
            <v>54908.315803410005</v>
          </cell>
          <cell r="J34">
            <v>154204.53862066002</v>
          </cell>
        </row>
        <row r="35">
          <cell r="B35" t="str">
            <v>Fully Diluted Shares Out</v>
          </cell>
          <cell r="F35">
            <v>6742.9354050000002</v>
          </cell>
          <cell r="H35">
            <v>1333.9944170875629</v>
          </cell>
        </row>
        <row r="36">
          <cell r="B36" t="str">
            <v>Share Price</v>
          </cell>
          <cell r="F36">
            <v>17.45</v>
          </cell>
          <cell r="H36">
            <v>43.74</v>
          </cell>
        </row>
        <row r="39">
          <cell r="B39" t="str">
            <v>Calculation Steps (Based on 2009P EBITDA)</v>
          </cell>
        </row>
        <row r="41">
          <cell r="B41" t="str">
            <v>Combined Enterprise Value</v>
          </cell>
          <cell r="H41">
            <v>154204.53862066002</v>
          </cell>
        </row>
        <row r="42">
          <cell r="B42" t="str">
            <v>% Contributed by Pfizer</v>
          </cell>
          <cell r="H42">
            <v>0.73202866039441528</v>
          </cell>
        </row>
        <row r="43">
          <cell r="B43" t="str">
            <v>Pfizer Enterprise Value based on EBITDA Contribution</v>
          </cell>
          <cell r="H43">
            <v>112882.14183322064</v>
          </cell>
        </row>
        <row r="45">
          <cell r="B45" t="str">
            <v>Pfizer Net Debt of ($18,368.0)</v>
          </cell>
          <cell r="H45">
            <v>-18368</v>
          </cell>
        </row>
        <row r="46">
          <cell r="B46" t="str">
            <v>Implied Pfizer Equity Value</v>
          </cell>
          <cell r="H46">
            <v>131250.14183322064</v>
          </cell>
        </row>
        <row r="48">
          <cell r="B48" t="str">
            <v>Combined Equity Value</v>
          </cell>
          <cell r="H48">
            <v>176013.13862066</v>
          </cell>
        </row>
        <row r="49">
          <cell r="B49" t="str">
            <v>Pfizer Equity Value as a % of Combined Equity Value</v>
          </cell>
          <cell r="H49">
            <v>0.74568377600542834</v>
          </cell>
        </row>
        <row r="51">
          <cell r="B51" t="str">
            <v>Pfizer Fully Diluted Pfizer Share Count</v>
          </cell>
          <cell r="H51">
            <v>6742.9354050000002</v>
          </cell>
        </row>
        <row r="52">
          <cell r="B52" t="str">
            <v>Pro Forma Share Count to Yield 74.6% Pfizer Ownership</v>
          </cell>
          <cell r="H52">
            <v>9042.6205074775735</v>
          </cell>
        </row>
        <row r="53">
          <cell r="B53" t="str">
            <v>Implied Shares Issued</v>
          </cell>
          <cell r="H53">
            <v>2299.6851024775733</v>
          </cell>
        </row>
        <row r="55">
          <cell r="B55" t="str">
            <v>Fully Diluted Wyeth Share Count</v>
          </cell>
          <cell r="H55">
            <v>1333.9944170875629</v>
          </cell>
        </row>
        <row r="57">
          <cell r="B57" t="str">
            <v>Implied Exchange Ratio</v>
          </cell>
          <cell r="H57">
            <v>1.7239090906379879</v>
          </cell>
        </row>
        <row r="60">
          <cell r="B60" t="str">
            <v>Alternative Calculation Steps (Based on 2009P EBITDA)</v>
          </cell>
        </row>
        <row r="62">
          <cell r="B62" t="str">
            <v>Combined Enterprise Value</v>
          </cell>
          <cell r="H62">
            <v>154204.53862066002</v>
          </cell>
        </row>
        <row r="63">
          <cell r="B63" t="str">
            <v>% Contributed by Wyeth</v>
          </cell>
          <cell r="H63">
            <v>0.26797133960558467</v>
          </cell>
        </row>
        <row r="64">
          <cell r="B64" t="str">
            <v>Enterprise Value based on EBITDA Contribution</v>
          </cell>
          <cell r="H64">
            <v>41322.396787439386</v>
          </cell>
        </row>
        <row r="66">
          <cell r="B66" t="str">
            <v>Wyeth Net Debt of ($3,440.6)</v>
          </cell>
          <cell r="H66">
            <v>-3440.6000000000022</v>
          </cell>
        </row>
        <row r="67">
          <cell r="B67" t="str">
            <v>Implied Wyeth Equity Value</v>
          </cell>
          <cell r="H67">
            <v>44762.996787439391</v>
          </cell>
        </row>
        <row r="69">
          <cell r="B69" t="str">
            <v>Combined Equity Value</v>
          </cell>
          <cell r="H69">
            <v>176013.13862066</v>
          </cell>
        </row>
        <row r="70">
          <cell r="B70" t="str">
            <v>Wyeth Equity Value as a % of Combined Equity Value</v>
          </cell>
          <cell r="H70">
            <v>0.25431622399457182</v>
          </cell>
        </row>
        <row r="72">
          <cell r="B72" t="str">
            <v>Fully Diluted Pfizer Share Count</v>
          </cell>
          <cell r="H72">
            <v>6742.9354050000002</v>
          </cell>
        </row>
        <row r="73">
          <cell r="B73" t="str">
            <v>Implied Pfizer Share Price (Based on Equity Value of $54,908.3 mm)</v>
          </cell>
          <cell r="H73">
            <v>19.464837485451284</v>
          </cell>
        </row>
        <row r="75">
          <cell r="B75" t="str">
            <v>Implied Shares Issued (Based on Pfizer Price of $19.46)</v>
          </cell>
          <cell r="H75">
            <v>2299.6851024775756</v>
          </cell>
        </row>
        <row r="76">
          <cell r="B76" t="str">
            <v>Pro Forma Combined Share Count</v>
          </cell>
          <cell r="H76">
            <v>9042.6205074775753</v>
          </cell>
        </row>
        <row r="78">
          <cell r="B78" t="str">
            <v>Fully Diluted Wyeth Share Count</v>
          </cell>
          <cell r="H78">
            <v>1333.9944170875629</v>
          </cell>
        </row>
        <row r="80">
          <cell r="B80" t="str">
            <v>Implied Exchange Ratio</v>
          </cell>
          <cell r="H80">
            <v>1.7239090906379897</v>
          </cell>
        </row>
        <row r="82">
          <cell r="B82" t="str">
            <v>Implied Pfizer Ownership</v>
          </cell>
          <cell r="H82">
            <v>0.74568377600542823</v>
          </cell>
        </row>
        <row r="83">
          <cell r="B83" t="str">
            <v>Implied Wyeth Ownership</v>
          </cell>
          <cell r="H83">
            <v>0.25431622399457182</v>
          </cell>
        </row>
        <row r="85">
          <cell r="A85" t="str">
            <v>x</v>
          </cell>
          <cell r="U85" t="str">
            <v>x</v>
          </cell>
          <cell r="AT85" t="str">
            <v>x</v>
          </cell>
          <cell r="BH85" t="str">
            <v>x</v>
          </cell>
        </row>
        <row r="87">
          <cell r="AC87" t="str">
            <v>Implied Enterprise Value of Combined Firm</v>
          </cell>
        </row>
        <row r="89">
          <cell r="V89" t="str">
            <v>Multiple</v>
          </cell>
          <cell r="Y89" t="str">
            <v>($ in Millions)</v>
          </cell>
          <cell r="AC89" t="str">
            <v>EV / EBITDA Multiple</v>
          </cell>
          <cell r="AI89" t="str">
            <v>EV / EBITDA Multiple</v>
          </cell>
          <cell r="AO89" t="str">
            <v>EV / EBITDA Multiple</v>
          </cell>
        </row>
        <row r="90">
          <cell r="V90" t="str">
            <v>Start</v>
          </cell>
          <cell r="W90">
            <v>6</v>
          </cell>
          <cell r="AC90">
            <v>6</v>
          </cell>
          <cell r="AE90">
            <v>6.5</v>
          </cell>
          <cell r="AG90">
            <v>7</v>
          </cell>
          <cell r="AI90">
            <v>6</v>
          </cell>
          <cell r="AK90">
            <v>6.5</v>
          </cell>
          <cell r="AM90">
            <v>7</v>
          </cell>
          <cell r="AO90">
            <v>6</v>
          </cell>
          <cell r="AQ90">
            <v>6.5</v>
          </cell>
          <cell r="AS90">
            <v>7</v>
          </cell>
        </row>
        <row r="91">
          <cell r="V91" t="str">
            <v>Step</v>
          </cell>
          <cell r="W91">
            <v>0.5</v>
          </cell>
          <cell r="Y91" t="str">
            <v>2008A EBITDA</v>
          </cell>
        </row>
        <row r="92">
          <cell r="Y92" t="str">
            <v>Pfizer</v>
          </cell>
          <cell r="AA92">
            <v>25043</v>
          </cell>
          <cell r="AC92">
            <v>150258</v>
          </cell>
          <cell r="AE92">
            <v>162779.5</v>
          </cell>
          <cell r="AG92">
            <v>175301</v>
          </cell>
        </row>
        <row r="93">
          <cell r="Y93" t="str">
            <v>Wyeth</v>
          </cell>
          <cell r="AA93">
            <v>7895.9</v>
          </cell>
          <cell r="AC93">
            <v>47375.399999999994</v>
          </cell>
          <cell r="AE93">
            <v>51323.35</v>
          </cell>
          <cell r="AG93">
            <v>55271.299999999996</v>
          </cell>
        </row>
        <row r="94">
          <cell r="Y94" t="str">
            <v>Total</v>
          </cell>
          <cell r="AA94">
            <v>32938.9</v>
          </cell>
          <cell r="AC94">
            <v>197633.4</v>
          </cell>
          <cell r="AE94">
            <v>214102.85</v>
          </cell>
          <cell r="AG94">
            <v>230572.3</v>
          </cell>
        </row>
        <row r="96">
          <cell r="Y96" t="str">
            <v>2009P EBITDA</v>
          </cell>
        </row>
        <row r="97">
          <cell r="Y97" t="str">
            <v>Pfizer</v>
          </cell>
          <cell r="AA97">
            <v>21863.500000000004</v>
          </cell>
          <cell r="AI97">
            <v>131181.00000000003</v>
          </cell>
          <cell r="AK97">
            <v>142112.75000000003</v>
          </cell>
          <cell r="AM97">
            <v>153044.50000000003</v>
          </cell>
        </row>
        <row r="98">
          <cell r="Y98" t="str">
            <v>Wyeth</v>
          </cell>
          <cell r="AA98">
            <v>8003.4999999999991</v>
          </cell>
          <cell r="AI98">
            <v>48020.999999999993</v>
          </cell>
          <cell r="AK98">
            <v>52022.749999999993</v>
          </cell>
          <cell r="AM98">
            <v>56024.499999999993</v>
          </cell>
        </row>
        <row r="99">
          <cell r="Y99" t="str">
            <v>Total</v>
          </cell>
          <cell r="AA99">
            <v>29867.000000000004</v>
          </cell>
          <cell r="AI99">
            <v>179202.00000000003</v>
          </cell>
          <cell r="AK99">
            <v>194135.50000000003</v>
          </cell>
          <cell r="AM99">
            <v>209069.00000000003</v>
          </cell>
        </row>
        <row r="101">
          <cell r="Y101" t="str">
            <v>2010P EBITDA</v>
          </cell>
        </row>
        <row r="102">
          <cell r="Y102" t="str">
            <v>Pfizer</v>
          </cell>
          <cell r="AA102">
            <v>24203.999999999993</v>
          </cell>
          <cell r="AO102">
            <v>145223.99999999994</v>
          </cell>
          <cell r="AQ102">
            <v>157325.99999999994</v>
          </cell>
          <cell r="AS102">
            <v>169427.99999999994</v>
          </cell>
        </row>
        <row r="103">
          <cell r="Y103" t="str">
            <v>Wyeth</v>
          </cell>
          <cell r="AA103">
            <v>8000.2999999999984</v>
          </cell>
          <cell r="AO103">
            <v>48001.799999999988</v>
          </cell>
          <cell r="AQ103">
            <v>52001.94999999999</v>
          </cell>
          <cell r="AS103">
            <v>56002.099999999991</v>
          </cell>
        </row>
        <row r="104">
          <cell r="Y104" t="str">
            <v>Total</v>
          </cell>
          <cell r="AA104">
            <v>32204.299999999992</v>
          </cell>
          <cell r="AO104">
            <v>193225.79999999993</v>
          </cell>
          <cell r="AQ104">
            <v>209327.94999999992</v>
          </cell>
          <cell r="AS104">
            <v>225430.09999999992</v>
          </cell>
        </row>
        <row r="106">
          <cell r="AC106" t="str">
            <v>Implied % of Combined Equity Value 1</v>
          </cell>
        </row>
        <row r="108">
          <cell r="Y108" t="str">
            <v>($ in Millions)</v>
          </cell>
          <cell r="AC108" t="str">
            <v>EV / EBITDA Multiple</v>
          </cell>
          <cell r="AI108" t="str">
            <v>EV / EBITDA Multiple</v>
          </cell>
          <cell r="AO108" t="str">
            <v>EV / EBITDA Multiple</v>
          </cell>
        </row>
        <row r="109">
          <cell r="AC109">
            <v>6</v>
          </cell>
          <cell r="AE109">
            <v>6.5</v>
          </cell>
          <cell r="AG109">
            <v>7</v>
          </cell>
          <cell r="AI109">
            <v>6</v>
          </cell>
          <cell r="AK109">
            <v>6.5</v>
          </cell>
          <cell r="AM109">
            <v>7</v>
          </cell>
          <cell r="AO109">
            <v>6</v>
          </cell>
          <cell r="AQ109">
            <v>6.5</v>
          </cell>
          <cell r="AS109">
            <v>7</v>
          </cell>
        </row>
        <row r="110">
          <cell r="Y110" t="str">
            <v>Net Debt</v>
          </cell>
        </row>
        <row r="111">
          <cell r="Y111" t="str">
            <v>Pfizer</v>
          </cell>
          <cell r="AA111">
            <v>-18368</v>
          </cell>
        </row>
        <row r="112">
          <cell r="Y112" t="str">
            <v>Wyeth</v>
          </cell>
          <cell r="AA112">
            <v>-3440.6000000000022</v>
          </cell>
        </row>
        <row r="113">
          <cell r="Y113" t="str">
            <v>Total</v>
          </cell>
          <cell r="AA113">
            <v>-21808.600000000002</v>
          </cell>
        </row>
        <row r="115">
          <cell r="Y115" t="str">
            <v>Implied Equity Value of Combined Firm 1</v>
          </cell>
          <cell r="AC115">
            <v>219442</v>
          </cell>
          <cell r="AE115">
            <v>235911.45</v>
          </cell>
          <cell r="AG115">
            <v>252380.9</v>
          </cell>
          <cell r="AI115">
            <v>201010.60000000003</v>
          </cell>
          <cell r="AK115">
            <v>215944.10000000003</v>
          </cell>
          <cell r="AM115">
            <v>230877.60000000003</v>
          </cell>
          <cell r="AO115">
            <v>215034.39999999994</v>
          </cell>
          <cell r="AQ115">
            <v>231136.54999999993</v>
          </cell>
          <cell r="AS115">
            <v>247238.69999999992</v>
          </cell>
        </row>
        <row r="117">
          <cell r="Y117" t="str">
            <v>2008A EBITDA</v>
          </cell>
        </row>
        <row r="118">
          <cell r="Y118" t="str">
            <v>Pfizer</v>
          </cell>
          <cell r="AA118">
            <v>0.76028646979710912</v>
          </cell>
          <cell r="AC118">
            <v>0.76843083821693192</v>
          </cell>
          <cell r="AE118">
            <v>0.76786226357389598</v>
          </cell>
          <cell r="AG118">
            <v>0.76736789511409131</v>
          </cell>
          <cell r="AI118">
            <v>0.76917762526245648</v>
          </cell>
          <cell r="AK118">
            <v>0.76856276210971575</v>
          </cell>
          <cell r="AM118">
            <v>0.76802743944848617</v>
          </cell>
          <cell r="AO118">
            <v>0.76859777484775571</v>
          </cell>
          <cell r="AQ118">
            <v>0.76801876698153437</v>
          </cell>
          <cell r="AS118">
            <v>0.76751517830747895</v>
          </cell>
        </row>
        <row r="119">
          <cell r="Y119" t="str">
            <v>Wyeth</v>
          </cell>
          <cell r="AA119">
            <v>0.2397135302028908</v>
          </cell>
          <cell r="AC119">
            <v>0.23156916178306797</v>
          </cell>
          <cell r="AE119">
            <v>0.23213773642610391</v>
          </cell>
          <cell r="AG119">
            <v>0.23263210488590855</v>
          </cell>
          <cell r="AI119">
            <v>0.23082237473754341</v>
          </cell>
          <cell r="AK119">
            <v>0.23143723789028414</v>
          </cell>
          <cell r="AM119">
            <v>0.23197256055151375</v>
          </cell>
          <cell r="AO119">
            <v>0.23140222515224415</v>
          </cell>
          <cell r="AQ119">
            <v>0.23198123301846557</v>
          </cell>
          <cell r="AS119">
            <v>0.23248482169252099</v>
          </cell>
        </row>
        <row r="121">
          <cell r="Y121" t="str">
            <v>2009P EBITDA</v>
          </cell>
        </row>
        <row r="122">
          <cell r="Y122" t="str">
            <v>Pfizer</v>
          </cell>
          <cell r="AA122">
            <v>0.73202866039441528</v>
          </cell>
          <cell r="AC122">
            <v>0.74298134837995289</v>
          </cell>
          <cell r="AE122">
            <v>0.74221671933314992</v>
          </cell>
          <cell r="AG122">
            <v>0.74155188404930494</v>
          </cell>
          <cell r="AI122">
            <v>0.74398564055825911</v>
          </cell>
          <cell r="AK122">
            <v>0.74315876192033037</v>
          </cell>
          <cell r="AM122">
            <v>0.74243885071570392</v>
          </cell>
          <cell r="AO122">
            <v>0.74320584765804543</v>
          </cell>
          <cell r="AQ122">
            <v>0.74242718783164818</v>
          </cell>
          <cell r="AS122">
            <v>0.7417499530436743</v>
          </cell>
        </row>
        <row r="123">
          <cell r="Y123" t="str">
            <v>Wyeth</v>
          </cell>
          <cell r="AA123">
            <v>0.26797133960558467</v>
          </cell>
          <cell r="AC123">
            <v>0.257018651620047</v>
          </cell>
          <cell r="AE123">
            <v>0.25778328066685002</v>
          </cell>
          <cell r="AG123">
            <v>0.25844811595069495</v>
          </cell>
          <cell r="AI123">
            <v>0.25601435944174078</v>
          </cell>
          <cell r="AK123">
            <v>0.25684123807966963</v>
          </cell>
          <cell r="AM123">
            <v>0.25756114928429602</v>
          </cell>
          <cell r="AO123">
            <v>0.25679415234195452</v>
          </cell>
          <cell r="AQ123">
            <v>0.25757281216835176</v>
          </cell>
          <cell r="AS123">
            <v>0.25825004695632564</v>
          </cell>
        </row>
        <row r="125">
          <cell r="Y125" t="str">
            <v>2010P EBITDA</v>
          </cell>
        </row>
        <row r="126">
          <cell r="Y126" t="str">
            <v>Pfizer</v>
          </cell>
          <cell r="AA126">
            <v>0.75157665280723374</v>
          </cell>
          <cell r="AC126">
            <v>0.76058662086069739</v>
          </cell>
          <cell r="AE126">
            <v>0.75995761697657838</v>
          </cell>
          <cell r="AG126">
            <v>0.75941070605606575</v>
          </cell>
          <cell r="AI126">
            <v>0.76141277791500495</v>
          </cell>
          <cell r="AK126">
            <v>0.76073256588653604</v>
          </cell>
          <cell r="AM126">
            <v>0.76014034807081998</v>
          </cell>
          <cell r="AO126">
            <v>0.7607712998478382</v>
          </cell>
          <cell r="AQ126">
            <v>0.76013075387687479</v>
          </cell>
          <cell r="AS126">
            <v>0.75957364279944839</v>
          </cell>
        </row>
        <row r="127">
          <cell r="Y127" t="str">
            <v>Wyeth</v>
          </cell>
          <cell r="AA127">
            <v>0.24842334719276618</v>
          </cell>
          <cell r="AC127">
            <v>0.23941337913930258</v>
          </cell>
          <cell r="AE127">
            <v>0.24004238302342146</v>
          </cell>
          <cell r="AG127">
            <v>0.24058929394393413</v>
          </cell>
          <cell r="AI127">
            <v>0.23858722208499497</v>
          </cell>
          <cell r="AK127">
            <v>0.23926743411346391</v>
          </cell>
          <cell r="AM127">
            <v>0.23985965192917993</v>
          </cell>
          <cell r="AO127">
            <v>0.23922870015216169</v>
          </cell>
          <cell r="AQ127">
            <v>0.23986924612312507</v>
          </cell>
          <cell r="AS127">
            <v>0.24042635720055153</v>
          </cell>
        </row>
        <row r="130">
          <cell r="Y130" t="str">
            <v>Pfizer - Average Equity %</v>
          </cell>
          <cell r="AC130">
            <v>0.75733293581919403</v>
          </cell>
          <cell r="AE130">
            <v>0.75667886662787476</v>
          </cell>
          <cell r="AG130">
            <v>0.75611016173982071</v>
          </cell>
          <cell r="AI130">
            <v>0.75819201457857355</v>
          </cell>
          <cell r="AK130">
            <v>0.75748469663886075</v>
          </cell>
          <cell r="AM130">
            <v>0.75686887941167003</v>
          </cell>
          <cell r="AO130">
            <v>0.75752497411787978</v>
          </cell>
          <cell r="AQ130">
            <v>0.75685890289668578</v>
          </cell>
          <cell r="AS130">
            <v>0.75627959138353384</v>
          </cell>
        </row>
        <row r="131">
          <cell r="Y131" t="str">
            <v>Wyeth - Average Equity %</v>
          </cell>
          <cell r="AC131">
            <v>0.24266706418080586</v>
          </cell>
          <cell r="AE131">
            <v>0.24332113337212513</v>
          </cell>
          <cell r="AG131">
            <v>0.24388983826017921</v>
          </cell>
          <cell r="AI131">
            <v>0.24180798542142637</v>
          </cell>
          <cell r="AK131">
            <v>0.24251530336113922</v>
          </cell>
          <cell r="AM131">
            <v>0.24313112058832989</v>
          </cell>
          <cell r="AO131">
            <v>0.24247502588212011</v>
          </cell>
          <cell r="AQ131">
            <v>0.24314109710331411</v>
          </cell>
          <cell r="AS131">
            <v>0.24372040861646607</v>
          </cell>
        </row>
        <row r="134">
          <cell r="Y134" t="str">
            <v>¹ Based on pro forma net debt of ($18,368.0) and ($3,440.6) for Pfizer and Wyeth, respectively.  Net debt based on current capital structure</v>
          </cell>
        </row>
        <row r="136">
          <cell r="A136" t="str">
            <v>x</v>
          </cell>
          <cell r="U136" t="str">
            <v>x</v>
          </cell>
          <cell r="AT136" t="str">
            <v>x</v>
          </cell>
          <cell r="AV136" t="str">
            <v>* Delete entire row to remove from chart</v>
          </cell>
          <cell r="BN136" t="str">
            <v>x</v>
          </cell>
        </row>
        <row r="137">
          <cell r="AW137" t="str">
            <v>Pfizer</v>
          </cell>
          <cell r="AY137" t="str">
            <v>Wyeth</v>
          </cell>
        </row>
        <row r="138">
          <cell r="AV138" t="str">
            <v>2008A Revenue</v>
          </cell>
          <cell r="AW138">
            <v>48341</v>
          </cell>
          <cell r="AY138">
            <v>22833.9</v>
          </cell>
        </row>
        <row r="139">
          <cell r="AV139" t="str">
            <v>2009P Revenue</v>
          </cell>
          <cell r="AW139">
            <v>46093.3</v>
          </cell>
          <cell r="AY139">
            <v>23060.6</v>
          </cell>
        </row>
        <row r="140">
          <cell r="AV140" t="str">
            <v>2010P Revenue</v>
          </cell>
          <cell r="AW140">
            <v>47370.2</v>
          </cell>
          <cell r="AY140">
            <v>23050.6</v>
          </cell>
        </row>
        <row r="142">
          <cell r="AV142" t="str">
            <v>2008A EBITDA</v>
          </cell>
          <cell r="AW142">
            <v>25043</v>
          </cell>
          <cell r="AY142">
            <v>7895.9</v>
          </cell>
        </row>
        <row r="143">
          <cell r="AV143" t="str">
            <v>2009P EBITDA</v>
          </cell>
          <cell r="AW143">
            <v>21863.500000000004</v>
          </cell>
          <cell r="AY143">
            <v>8003.4999999999991</v>
          </cell>
        </row>
        <row r="144">
          <cell r="AV144" t="str">
            <v>2010P EBITDA</v>
          </cell>
          <cell r="AW144">
            <v>24203.999999999993</v>
          </cell>
          <cell r="AY144">
            <v>8000.2999999999984</v>
          </cell>
        </row>
        <row r="146">
          <cell r="AV146" t="str">
            <v>2008A EBIT</v>
          </cell>
          <cell r="AW146">
            <v>19769</v>
          </cell>
          <cell r="AY146">
            <v>6946.2</v>
          </cell>
        </row>
        <row r="147">
          <cell r="AV147" t="str">
            <v>2009P EBIT</v>
          </cell>
          <cell r="AW147">
            <v>17040.100000000006</v>
          </cell>
          <cell r="AY147">
            <v>7065.3999999999987</v>
          </cell>
        </row>
        <row r="148">
          <cell r="AV148" t="str">
            <v>2010P EBIT</v>
          </cell>
          <cell r="AW148">
            <v>19413.599999999991</v>
          </cell>
          <cell r="AY148">
            <v>7012.9999999999982</v>
          </cell>
        </row>
        <row r="150">
          <cell r="AV150" t="str">
            <v>2008A Net Income</v>
          </cell>
          <cell r="AW150">
            <v>16366</v>
          </cell>
          <cell r="AY150">
            <v>4766.6000000000004</v>
          </cell>
        </row>
        <row r="151">
          <cell r="AV151" t="str">
            <v>2009P Net Income</v>
          </cell>
          <cell r="AW151">
            <v>12376.000000000005</v>
          </cell>
          <cell r="AY151">
            <v>4967.7999999999984</v>
          </cell>
        </row>
        <row r="152">
          <cell r="AV152" t="str">
            <v>2010P Net Income</v>
          </cell>
          <cell r="AW152">
            <v>14223.79999999999</v>
          </cell>
          <cell r="AY152">
            <v>4985.5999999999985</v>
          </cell>
        </row>
        <row r="154">
          <cell r="AV154" t="str">
            <v>Equity Market Value</v>
          </cell>
          <cell r="AW154">
            <v>117664.22281725</v>
          </cell>
          <cell r="AY154">
            <v>58348.915803410004</v>
          </cell>
        </row>
        <row r="155">
          <cell r="BH155" t="str">
            <v>Implied Contribution</v>
          </cell>
        </row>
        <row r="156">
          <cell r="BH156" t="str">
            <v>Pfizer</v>
          </cell>
          <cell r="BJ156" t="str">
            <v>Wyeth</v>
          </cell>
        </row>
        <row r="158">
          <cell r="BH158">
            <v>0.67918606137837922</v>
          </cell>
          <cell r="BJ158">
            <v>0.32081393862162089</v>
          </cell>
        </row>
        <row r="159">
          <cell r="BH159">
            <v>0.66653218401276004</v>
          </cell>
          <cell r="BJ159">
            <v>0.33346781598724007</v>
          </cell>
        </row>
        <row r="160">
          <cell r="BH160">
            <v>0.67267341467293762</v>
          </cell>
          <cell r="BJ160">
            <v>0.32732658532706249</v>
          </cell>
        </row>
        <row r="161">
          <cell r="BG161" t="str">
            <v>Average</v>
          </cell>
          <cell r="BH161">
            <v>0.67279722002135889</v>
          </cell>
          <cell r="BJ161">
            <v>0.32720277997864117</v>
          </cell>
        </row>
        <row r="163">
          <cell r="BH163">
            <v>0.76028646979710912</v>
          </cell>
          <cell r="BJ163">
            <v>0.2397135302028908</v>
          </cell>
        </row>
        <row r="164">
          <cell r="BH164">
            <v>0.73202866039441528</v>
          </cell>
          <cell r="BJ164">
            <v>0.26797133960558467</v>
          </cell>
        </row>
        <row r="165">
          <cell r="BH165">
            <v>0.75157665280723374</v>
          </cell>
          <cell r="BJ165">
            <v>0.24842334719276618</v>
          </cell>
        </row>
        <row r="166">
          <cell r="BG166" t="str">
            <v>Average</v>
          </cell>
          <cell r="BH166">
            <v>0.74796392766625264</v>
          </cell>
          <cell r="BJ166">
            <v>0.2520360723337472</v>
          </cell>
        </row>
        <row r="168">
          <cell r="BH168">
            <v>0.73999071689525064</v>
          </cell>
          <cell r="BJ168">
            <v>0.26000928310474936</v>
          </cell>
        </row>
        <row r="169">
          <cell r="BH169">
            <v>0.7068967662981479</v>
          </cell>
          <cell r="BJ169">
            <v>0.29310323370185215</v>
          </cell>
        </row>
        <row r="170">
          <cell r="BH170">
            <v>0.73462344758690101</v>
          </cell>
          <cell r="BJ170">
            <v>0.26537655241309893</v>
          </cell>
        </row>
        <row r="171">
          <cell r="BG171" t="str">
            <v>Average</v>
          </cell>
          <cell r="BH171">
            <v>0.72717031026009982</v>
          </cell>
          <cell r="BJ171">
            <v>0.27282968973990013</v>
          </cell>
        </row>
        <row r="173">
          <cell r="BH173">
            <v>0.77444327721151207</v>
          </cell>
          <cell r="BJ173">
            <v>0.22555672278848796</v>
          </cell>
        </row>
        <row r="174">
          <cell r="BH174">
            <v>0.7135691140349868</v>
          </cell>
          <cell r="BJ174">
            <v>0.28643088596501332</v>
          </cell>
        </row>
        <row r="175">
          <cell r="BH175">
            <v>0.74046039959603105</v>
          </cell>
          <cell r="BJ175">
            <v>0.25953960040396901</v>
          </cell>
        </row>
        <row r="176">
          <cell r="BG176" t="str">
            <v>Average</v>
          </cell>
          <cell r="BH176">
            <v>0.74282426361417675</v>
          </cell>
          <cell r="BJ176">
            <v>0.25717573638582342</v>
          </cell>
        </row>
        <row r="178">
          <cell r="BH178">
            <v>0.6684968164270827</v>
          </cell>
          <cell r="BJ178">
            <v>0.33150318357291736</v>
          </cell>
        </row>
        <row r="183">
          <cell r="A183" t="str">
            <v>x</v>
          </cell>
          <cell r="U183" t="str">
            <v>x</v>
          </cell>
          <cell r="AT183" t="str">
            <v>x</v>
          </cell>
        </row>
      </sheetData>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s"/>
    </sheetNames>
    <sheetDataSet>
      <sheetData sheetId="0">
        <row r="3">
          <cell r="B3" t="str">
            <v>Sale Listings (Ending Balance) Growth Rate</v>
          </cell>
        </row>
        <row r="4">
          <cell r="C4">
            <v>2006</v>
          </cell>
          <cell r="D4">
            <v>2007</v>
          </cell>
          <cell r="E4">
            <v>2008</v>
          </cell>
          <cell r="F4">
            <v>2009</v>
          </cell>
          <cell r="G4">
            <v>2010</v>
          </cell>
          <cell r="H4">
            <v>2011</v>
          </cell>
          <cell r="I4">
            <v>2012</v>
          </cell>
          <cell r="J4">
            <v>2013</v>
          </cell>
          <cell r="K4">
            <v>2014</v>
          </cell>
        </row>
        <row r="5">
          <cell r="A5">
            <v>1</v>
          </cell>
          <cell r="B5" t="str">
            <v>Management Case</v>
          </cell>
          <cell r="C5">
            <v>0.47947330166394098</v>
          </cell>
          <cell r="D5">
            <v>0.1624081587893409</v>
          </cell>
          <cell r="E5">
            <v>3.6116981132075399E-2</v>
          </cell>
          <cell r="F5">
            <v>4.5139275212292107E-2</v>
          </cell>
          <cell r="G5">
            <v>0.13112713559353661</v>
          </cell>
          <cell r="H5">
            <v>0.17664749484874598</v>
          </cell>
          <cell r="I5">
            <v>7.0000000000000007E-2</v>
          </cell>
          <cell r="J5">
            <v>0.06</v>
          </cell>
          <cell r="K5">
            <v>0.05</v>
          </cell>
        </row>
        <row r="6">
          <cell r="A6">
            <v>2</v>
          </cell>
          <cell r="B6" t="str">
            <v>GA Case (Recovery in 12 Mo)</v>
          </cell>
          <cell r="F6">
            <v>1.5720773349024553E-2</v>
          </cell>
          <cell r="G6">
            <v>3.1373509682646628E-2</v>
          </cell>
          <cell r="H6">
            <v>8.5092802895397668E-2</v>
          </cell>
          <cell r="I6">
            <v>7.0000000000000007E-2</v>
          </cell>
          <cell r="J6">
            <v>0.06</v>
          </cell>
          <cell r="K6">
            <v>0.05</v>
          </cell>
        </row>
        <row r="7">
          <cell r="A7">
            <v>3</v>
          </cell>
          <cell r="B7" t="str">
            <v>GA Case (Recovery in 24 Mo)</v>
          </cell>
          <cell r="F7">
            <v>1.5720773349024553E-2</v>
          </cell>
          <cell r="G7">
            <v>1.5720773349024331E-2</v>
          </cell>
          <cell r="H7">
            <v>3.137350968264685E-2</v>
          </cell>
          <cell r="I7">
            <v>8.5000000000000006E-2</v>
          </cell>
          <cell r="J7">
            <v>7.0000000000000007E-2</v>
          </cell>
          <cell r="K7">
            <v>0.06</v>
          </cell>
        </row>
        <row r="8">
          <cell r="A8">
            <v>4</v>
          </cell>
          <cell r="B8" t="str">
            <v>GA Case (Recovery in 36 Mo)</v>
          </cell>
          <cell r="F8">
            <v>1.5720773349024553E-2</v>
          </cell>
          <cell r="G8">
            <v>1.5720773349024331E-2</v>
          </cell>
          <cell r="H8">
            <v>1.5720773349024553E-2</v>
          </cell>
          <cell r="I8">
            <v>0.04</v>
          </cell>
          <cell r="J8">
            <v>0.08</v>
          </cell>
          <cell r="K8">
            <v>0.06</v>
          </cell>
        </row>
        <row r="10">
          <cell r="B10" t="str">
            <v>Lease Listings (Ending Balance) Growth Rate</v>
          </cell>
        </row>
        <row r="11">
          <cell r="C11">
            <v>2006</v>
          </cell>
          <cell r="D11">
            <v>2007</v>
          </cell>
          <cell r="E11">
            <v>2008</v>
          </cell>
          <cell r="F11">
            <v>2009</v>
          </cell>
          <cell r="G11">
            <v>2010</v>
          </cell>
          <cell r="H11">
            <v>2011</v>
          </cell>
          <cell r="I11">
            <v>2012</v>
          </cell>
          <cell r="J11">
            <v>2013</v>
          </cell>
          <cell r="K11">
            <v>2014</v>
          </cell>
        </row>
        <row r="12">
          <cell r="A12">
            <v>1</v>
          </cell>
          <cell r="B12" t="str">
            <v>Management Case</v>
          </cell>
          <cell r="C12">
            <v>0.24971421313349418</v>
          </cell>
          <cell r="D12">
            <v>0.18791108271746548</v>
          </cell>
          <cell r="E12">
            <v>0.23342907779746991</v>
          </cell>
          <cell r="F12">
            <v>4.5139275212291663E-2</v>
          </cell>
          <cell r="G12">
            <v>0.13112713559353684</v>
          </cell>
          <cell r="H12">
            <v>0.17664749484874598</v>
          </cell>
          <cell r="I12">
            <v>7.0000000000000007E-2</v>
          </cell>
          <cell r="J12">
            <v>0.06</v>
          </cell>
          <cell r="K12">
            <v>0.05</v>
          </cell>
        </row>
        <row r="13">
          <cell r="A13">
            <v>2</v>
          </cell>
          <cell r="B13" t="str">
            <v>GA Case (Recovery in 12 Mo)</v>
          </cell>
          <cell r="F13">
            <v>1.5720773349024775E-2</v>
          </cell>
          <cell r="G13">
            <v>3.1373509682646628E-2</v>
          </cell>
          <cell r="H13">
            <v>8.5092802895397668E-2</v>
          </cell>
          <cell r="I13">
            <v>7.0000000000000007E-2</v>
          </cell>
          <cell r="J13">
            <v>0.06</v>
          </cell>
          <cell r="K13">
            <v>0.05</v>
          </cell>
        </row>
        <row r="14">
          <cell r="A14">
            <v>3</v>
          </cell>
          <cell r="B14" t="str">
            <v>GA Case (Recovery in 24 Mo)</v>
          </cell>
          <cell r="F14">
            <v>1.5720773349024775E-2</v>
          </cell>
          <cell r="G14">
            <v>1.5720773349024553E-2</v>
          </cell>
          <cell r="H14">
            <v>3.1373509682646628E-2</v>
          </cell>
          <cell r="I14">
            <v>8.5000000000000006E-2</v>
          </cell>
          <cell r="J14">
            <v>7.0000000000000007E-2</v>
          </cell>
          <cell r="K14">
            <v>0.06</v>
          </cell>
        </row>
        <row r="15">
          <cell r="A15">
            <v>4</v>
          </cell>
          <cell r="B15" t="str">
            <v>GA Case (Recovery in 36 Mo)</v>
          </cell>
          <cell r="F15">
            <v>1.5720773349024775E-2</v>
          </cell>
          <cell r="G15">
            <v>1.5720773349024553E-2</v>
          </cell>
          <cell r="H15">
            <v>1.5720773349024553E-2</v>
          </cell>
          <cell r="I15">
            <v>0.04</v>
          </cell>
          <cell r="J15">
            <v>0.08</v>
          </cell>
          <cell r="K15">
            <v>0.06</v>
          </cell>
        </row>
        <row r="17">
          <cell r="B17" t="str">
            <v>Sale Conversion Rate</v>
          </cell>
        </row>
        <row r="18">
          <cell r="C18">
            <v>2006</v>
          </cell>
          <cell r="D18">
            <v>2007</v>
          </cell>
          <cell r="E18">
            <v>2008</v>
          </cell>
          <cell r="F18">
            <v>2009</v>
          </cell>
          <cell r="G18">
            <v>2010</v>
          </cell>
          <cell r="H18">
            <v>2011</v>
          </cell>
          <cell r="I18">
            <v>2012</v>
          </cell>
          <cell r="J18">
            <v>2013</v>
          </cell>
          <cell r="K18">
            <v>2014</v>
          </cell>
        </row>
        <row r="19">
          <cell r="A19">
            <v>1</v>
          </cell>
          <cell r="B19" t="str">
            <v>Management Case</v>
          </cell>
          <cell r="C19">
            <v>0.70473753559594543</v>
          </cell>
          <cell r="D19">
            <v>0.69951175195529325</v>
          </cell>
          <cell r="E19">
            <v>0.56256581846651532</v>
          </cell>
          <cell r="F19">
            <v>0.37024558520881207</v>
          </cell>
          <cell r="G19">
            <v>0.38058312683544016</v>
          </cell>
          <cell r="H19">
            <v>0.39906936291079975</v>
          </cell>
          <cell r="I19">
            <v>0.4</v>
          </cell>
          <cell r="J19">
            <v>0.45</v>
          </cell>
          <cell r="K19">
            <v>0.5</v>
          </cell>
        </row>
        <row r="20">
          <cell r="A20">
            <v>2</v>
          </cell>
          <cell r="B20" t="str">
            <v>GA Case (Recovery in 12 Mo)</v>
          </cell>
          <cell r="F20">
            <v>0.32349186226659066</v>
          </cell>
          <cell r="G20">
            <v>0.32574617829295416</v>
          </cell>
          <cell r="H20">
            <v>0.3964677091863103</v>
          </cell>
          <cell r="I20">
            <v>0.45</v>
          </cell>
          <cell r="J20">
            <v>0.5</v>
          </cell>
          <cell r="K20">
            <v>0.52500000000000002</v>
          </cell>
        </row>
        <row r="21">
          <cell r="A21">
            <v>3</v>
          </cell>
          <cell r="B21" t="str">
            <v>GA Case (Recovery in 24 Mo)</v>
          </cell>
          <cell r="F21">
            <v>0.32349186226659066</v>
          </cell>
          <cell r="G21">
            <v>0.24999999999999983</v>
          </cell>
          <cell r="H21">
            <v>0.28287308914647707</v>
          </cell>
          <cell r="I21">
            <v>0.375</v>
          </cell>
          <cell r="J21">
            <v>0.42499999999999999</v>
          </cell>
          <cell r="K21">
            <v>0.5</v>
          </cell>
        </row>
        <row r="22">
          <cell r="A22">
            <v>4</v>
          </cell>
          <cell r="B22" t="str">
            <v>GA Case (Recovery in 36 Mo)</v>
          </cell>
          <cell r="F22">
            <v>0.32349186226659066</v>
          </cell>
          <cell r="G22">
            <v>0.24999999999999983</v>
          </cell>
          <cell r="H22">
            <v>0.23365642190555416</v>
          </cell>
          <cell r="I22">
            <v>0.25</v>
          </cell>
          <cell r="J22">
            <v>0.32500000000000001</v>
          </cell>
          <cell r="K22">
            <v>0.375</v>
          </cell>
        </row>
        <row r="24">
          <cell r="B24" t="str">
            <v>Lease Conversion Rate</v>
          </cell>
        </row>
        <row r="25">
          <cell r="C25">
            <v>2006</v>
          </cell>
          <cell r="D25">
            <v>2007</v>
          </cell>
          <cell r="E25">
            <v>2008</v>
          </cell>
          <cell r="F25">
            <v>2009</v>
          </cell>
          <cell r="G25">
            <v>2010</v>
          </cell>
          <cell r="H25">
            <v>2011</v>
          </cell>
          <cell r="I25">
            <v>2012</v>
          </cell>
          <cell r="J25">
            <v>2013</v>
          </cell>
          <cell r="K25">
            <v>2014</v>
          </cell>
        </row>
        <row r="26">
          <cell r="A26">
            <v>1</v>
          </cell>
          <cell r="B26" t="str">
            <v>Management Case</v>
          </cell>
          <cell r="C26">
            <v>0.53258829175898459</v>
          </cell>
          <cell r="D26">
            <v>0.57736340959447452</v>
          </cell>
          <cell r="E26">
            <v>0.49134820702107285</v>
          </cell>
          <cell r="F26">
            <v>0.37024558520881207</v>
          </cell>
          <cell r="G26">
            <v>0.38058312683544004</v>
          </cell>
          <cell r="H26">
            <v>0.39906936291079975</v>
          </cell>
          <cell r="I26">
            <v>0.4</v>
          </cell>
          <cell r="J26">
            <v>0.45</v>
          </cell>
          <cell r="K26">
            <v>0.5</v>
          </cell>
        </row>
        <row r="27">
          <cell r="A27">
            <v>2</v>
          </cell>
          <cell r="B27" t="str">
            <v>GA Case (Recovery in 12 Mo)</v>
          </cell>
          <cell r="F27">
            <v>0.26431011920497505</v>
          </cell>
          <cell r="G27">
            <v>0.26574617829295427</v>
          </cell>
          <cell r="H27">
            <v>0.33646770918631053</v>
          </cell>
          <cell r="I27">
            <v>0.375</v>
          </cell>
          <cell r="J27">
            <v>0.4</v>
          </cell>
          <cell r="K27">
            <v>0.42499999999999999</v>
          </cell>
        </row>
        <row r="28">
          <cell r="A28">
            <v>3</v>
          </cell>
          <cell r="B28" t="str">
            <v>GA Case (Recovery in 24 Mo)</v>
          </cell>
          <cell r="F28">
            <v>0.26431011920497505</v>
          </cell>
          <cell r="G28">
            <v>0.18999999999999995</v>
          </cell>
          <cell r="H28">
            <v>0.22287308914647716</v>
          </cell>
          <cell r="I28">
            <v>0.3</v>
          </cell>
          <cell r="J28">
            <v>0.38</v>
          </cell>
          <cell r="K28">
            <v>0.41</v>
          </cell>
        </row>
        <row r="29">
          <cell r="A29">
            <v>4</v>
          </cell>
          <cell r="B29" t="str">
            <v>GA Case (Recovery in 36 Mo)</v>
          </cell>
          <cell r="F29">
            <v>0.26431011920497505</v>
          </cell>
          <cell r="G29">
            <v>0.18999999999999995</v>
          </cell>
          <cell r="H29">
            <v>0.17365642190555425</v>
          </cell>
          <cell r="I29">
            <v>0.2</v>
          </cell>
          <cell r="J29">
            <v>0.27500000000000002</v>
          </cell>
          <cell r="K29">
            <v>0.35</v>
          </cell>
        </row>
        <row r="31">
          <cell r="B31" t="str">
            <v>Monthly Revenue per Paid Listing Growth</v>
          </cell>
        </row>
        <row r="32">
          <cell r="C32">
            <v>2006</v>
          </cell>
          <cell r="D32">
            <v>2007</v>
          </cell>
          <cell r="E32">
            <v>2008</v>
          </cell>
          <cell r="F32">
            <v>2009</v>
          </cell>
          <cell r="G32">
            <v>2010</v>
          </cell>
          <cell r="H32">
            <v>2011</v>
          </cell>
          <cell r="I32">
            <v>2012</v>
          </cell>
          <cell r="J32">
            <v>2013</v>
          </cell>
          <cell r="K32">
            <v>2014</v>
          </cell>
        </row>
        <row r="33">
          <cell r="A33">
            <v>1</v>
          </cell>
          <cell r="B33" t="str">
            <v>Management Case</v>
          </cell>
          <cell r="F33">
            <v>0.22829454939750238</v>
          </cell>
          <cell r="G33">
            <v>7.1903920895249218E-2</v>
          </cell>
          <cell r="H33">
            <v>0.11029090324976565</v>
          </cell>
          <cell r="I33">
            <v>0.06</v>
          </cell>
          <cell r="J33">
            <v>0.04</v>
          </cell>
          <cell r="K33">
            <v>0.03</v>
          </cell>
        </row>
        <row r="34">
          <cell r="A34">
            <v>2</v>
          </cell>
          <cell r="B34" t="str">
            <v>GA Case (Recovery in 12 Mo)</v>
          </cell>
          <cell r="F34">
            <v>0.22565987023011425</v>
          </cell>
          <cell r="G34">
            <v>4.7488788691510964E-2</v>
          </cell>
          <cell r="H34">
            <v>5.2556718293336191E-2</v>
          </cell>
          <cell r="I34">
            <v>0.06</v>
          </cell>
          <cell r="J34">
            <v>0.05</v>
          </cell>
          <cell r="K34">
            <v>0.04</v>
          </cell>
        </row>
        <row r="35">
          <cell r="A35">
            <v>3</v>
          </cell>
          <cell r="B35" t="str">
            <v>GA Case (Recovery in 24 Mo)</v>
          </cell>
          <cell r="F35">
            <v>0.19910056155882172</v>
          </cell>
          <cell r="G35">
            <v>0</v>
          </cell>
          <cell r="H35">
            <v>1.2792976467328687E-2</v>
          </cell>
          <cell r="I35">
            <v>0.06</v>
          </cell>
          <cell r="J35">
            <v>0.04</v>
          </cell>
          <cell r="K35">
            <v>0.03</v>
          </cell>
        </row>
        <row r="36">
          <cell r="A36">
            <v>4</v>
          </cell>
          <cell r="B36" t="str">
            <v>GA Case (Recovery in 36 Mo)</v>
          </cell>
          <cell r="F36">
            <v>0.19910056155882172</v>
          </cell>
          <cell r="G36">
            <v>0</v>
          </cell>
          <cell r="H36">
            <v>1.2040752653433184E-2</v>
          </cell>
          <cell r="I36">
            <v>0.02</v>
          </cell>
          <cell r="J36">
            <v>0.04</v>
          </cell>
          <cell r="K36">
            <v>0.03</v>
          </cell>
        </row>
        <row r="38">
          <cell r="B38" t="str">
            <v>Premium Searchers Growth Rate</v>
          </cell>
        </row>
        <row r="39">
          <cell r="C39">
            <v>2006</v>
          </cell>
          <cell r="D39">
            <v>2007</v>
          </cell>
          <cell r="E39">
            <v>2008</v>
          </cell>
          <cell r="F39">
            <v>2009</v>
          </cell>
          <cell r="G39">
            <v>2010</v>
          </cell>
          <cell r="H39">
            <v>2011</v>
          </cell>
          <cell r="I39">
            <v>2012</v>
          </cell>
          <cell r="J39">
            <v>2013</v>
          </cell>
          <cell r="K39">
            <v>2014</v>
          </cell>
        </row>
        <row r="40">
          <cell r="A40">
            <v>1</v>
          </cell>
          <cell r="B40" t="str">
            <v>Management Case</v>
          </cell>
          <cell r="F40">
            <v>-7.2009334164449476E-2</v>
          </cell>
          <cell r="G40">
            <v>6.6917452711611772E-2</v>
          </cell>
          <cell r="H40">
            <v>0.10462212541120453</v>
          </cell>
          <cell r="I40">
            <v>0.05</v>
          </cell>
          <cell r="J40">
            <v>0.04</v>
          </cell>
          <cell r="K40">
            <v>0.03</v>
          </cell>
        </row>
        <row r="41">
          <cell r="A41">
            <v>2</v>
          </cell>
          <cell r="B41" t="str">
            <v>GA Case (Recovery in 12 Mo)</v>
          </cell>
          <cell r="F41">
            <v>-7.2009334164449476E-2</v>
          </cell>
          <cell r="G41">
            <v>6.6917452711611772E-2</v>
          </cell>
          <cell r="H41">
            <v>0.10462212541120453</v>
          </cell>
          <cell r="I41">
            <v>7.0000000000000007E-2</v>
          </cell>
          <cell r="J41">
            <v>0.05</v>
          </cell>
          <cell r="K41">
            <v>0.04</v>
          </cell>
        </row>
        <row r="42">
          <cell r="A42">
            <v>3</v>
          </cell>
          <cell r="B42" t="str">
            <v>GA Case (Recovery in 24 Mo)</v>
          </cell>
          <cell r="F42">
            <v>-7.2009334164449476E-2</v>
          </cell>
          <cell r="G42">
            <v>0</v>
          </cell>
          <cell r="H42">
            <v>3.2975284148085073E-2</v>
          </cell>
          <cell r="I42">
            <v>0.08</v>
          </cell>
          <cell r="J42">
            <v>0.06</v>
          </cell>
          <cell r="K42">
            <v>0.04</v>
          </cell>
        </row>
        <row r="43">
          <cell r="A43">
            <v>4</v>
          </cell>
          <cell r="B43" t="str">
            <v>GA Case (Recovery in 36 Mo)</v>
          </cell>
          <cell r="F43">
            <v>-7.2009334164449476E-2</v>
          </cell>
          <cell r="G43">
            <v>0</v>
          </cell>
          <cell r="H43">
            <v>0</v>
          </cell>
          <cell r="I43">
            <v>0.03</v>
          </cell>
          <cell r="J43">
            <v>0.08</v>
          </cell>
          <cell r="K43">
            <v>0.06</v>
          </cell>
        </row>
        <row r="45">
          <cell r="B45" t="str">
            <v>Monthly Revenue per Premium Searcher</v>
          </cell>
        </row>
        <row r="46">
          <cell r="C46">
            <v>2006</v>
          </cell>
          <cell r="D46">
            <v>2007</v>
          </cell>
          <cell r="E46">
            <v>2008</v>
          </cell>
          <cell r="F46">
            <v>2009</v>
          </cell>
          <cell r="G46">
            <v>2010</v>
          </cell>
          <cell r="H46">
            <v>2011</v>
          </cell>
          <cell r="I46">
            <v>2012</v>
          </cell>
          <cell r="J46">
            <v>2013</v>
          </cell>
          <cell r="K46">
            <v>2014</v>
          </cell>
        </row>
        <row r="47">
          <cell r="A47">
            <v>1</v>
          </cell>
          <cell r="B47" t="str">
            <v>Management Case</v>
          </cell>
          <cell r="F47">
            <v>-6.6021244968186288E-3</v>
          </cell>
          <cell r="G47">
            <v>3.9795469810874895E-2</v>
          </cell>
          <cell r="H47">
            <v>6.1054676736224778E-2</v>
          </cell>
          <cell r="I47">
            <v>0.05</v>
          </cell>
          <cell r="J47">
            <v>0.05</v>
          </cell>
          <cell r="K47">
            <v>0.05</v>
          </cell>
        </row>
        <row r="48">
          <cell r="A48">
            <v>2</v>
          </cell>
          <cell r="B48" t="str">
            <v>GA Case (Recovery in 12 Mo)</v>
          </cell>
          <cell r="F48">
            <v>-6.6021244968186288E-3</v>
          </cell>
          <cell r="G48">
            <v>1.9644526263893125E-2</v>
          </cell>
          <cell r="H48">
            <v>3.8136291519114351E-2</v>
          </cell>
          <cell r="I48">
            <v>0.06</v>
          </cell>
          <cell r="J48">
            <v>0.05</v>
          </cell>
          <cell r="K48">
            <v>0.04</v>
          </cell>
        </row>
        <row r="49">
          <cell r="A49">
            <v>3</v>
          </cell>
          <cell r="B49" t="str">
            <v>GA Case (Recovery in 24 Mo)</v>
          </cell>
          <cell r="F49">
            <v>-6.6021244968186288E-3</v>
          </cell>
          <cell r="G49">
            <v>-6.0304425389956506E-6</v>
          </cell>
          <cell r="H49">
            <v>9.6860268404568295E-3</v>
          </cell>
          <cell r="I49">
            <v>0.05</v>
          </cell>
          <cell r="J49">
            <v>4.4999999999999998E-2</v>
          </cell>
          <cell r="K49">
            <v>0.03</v>
          </cell>
        </row>
        <row r="50">
          <cell r="A50">
            <v>4</v>
          </cell>
          <cell r="B50" t="str">
            <v>GA Case (Recovery in 36 Mo)</v>
          </cell>
          <cell r="F50">
            <v>-6.6021244968186288E-3</v>
          </cell>
          <cell r="G50">
            <v>-6.0304425389956506E-6</v>
          </cell>
          <cell r="H50">
            <v>0</v>
          </cell>
          <cell r="I50">
            <v>0.02</v>
          </cell>
          <cell r="J50">
            <v>0.05</v>
          </cell>
          <cell r="K50">
            <v>0.03</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SA001"/>
      <sheetName val="FSA002"/>
      <sheetName val="FSA003"/>
      <sheetName val="FSA004"/>
      <sheetName val="FSA005"/>
      <sheetName val="FSA006"/>
      <sheetName val="FSA007"/>
      <sheetName val="FSA008"/>
      <sheetName val="FSA009"/>
      <sheetName val="FSA010"/>
      <sheetName val="FSA011"/>
      <sheetName val="FSA012"/>
      <sheetName val="FSA013"/>
      <sheetName val="FSA014"/>
      <sheetName val="FSA015"/>
      <sheetName val="FSA016"/>
      <sheetName val="FSA017"/>
      <sheetName val="FSA018"/>
      <sheetName val="FSA019"/>
      <sheetName val="FSA020"/>
      <sheetName val="FSA021"/>
      <sheetName val="FSA022"/>
      <sheetName val="FSA023"/>
      <sheetName val="FSA024"/>
      <sheetName val="FSA025"/>
      <sheetName val="FSA026"/>
      <sheetName val="FSA028"/>
      <sheetName val="FSA029"/>
      <sheetName val="FSA030"/>
      <sheetName val="FSA033"/>
      <sheetName val="FSA034"/>
      <sheetName val="FSA035"/>
      <sheetName val="FSA036"/>
      <sheetName val="FSA037"/>
      <sheetName val="FSA038"/>
      <sheetName val="FSA039"/>
      <sheetName val="FSA040"/>
      <sheetName val="FSA041"/>
      <sheetName val="FSA042"/>
      <sheetName val="FSA043"/>
      <sheetName val="FSA044"/>
    </sheetNames>
    <sheetDataSet>
      <sheetData sheetId="0" refreshError="1"/>
      <sheetData sheetId="1">
        <row r="1">
          <cell r="A1" t="str">
            <v>FSA002</v>
          </cell>
        </row>
      </sheetData>
      <sheetData sheetId="2" refreshError="1"/>
      <sheetData sheetId="3">
        <row r="1">
          <cell r="A1" t="str">
            <v>FSA004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Sheet - PSG"/>
      <sheetName val="Contracts"/>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s>
    <sheetDataSet>
      <sheetData sheetId="0">
        <row r="18">
          <cell r="A18" t="str">
            <v>401C</v>
          </cell>
          <cell r="B18" t="str">
            <v>GRAPHIC ARTS REMODEL</v>
          </cell>
          <cell r="C18">
            <v>16480</v>
          </cell>
          <cell r="D18">
            <v>11610</v>
          </cell>
          <cell r="E18">
            <v>4870</v>
          </cell>
          <cell r="F18">
            <v>16480</v>
          </cell>
          <cell r="G18">
            <v>10059.709999999999</v>
          </cell>
          <cell r="I18">
            <v>10059.709999999999</v>
          </cell>
          <cell r="J18">
            <v>6420.2900000000009</v>
          </cell>
          <cell r="K18">
            <v>0.86646942291128326</v>
          </cell>
          <cell r="L18">
            <v>1</v>
          </cell>
          <cell r="M18">
            <v>4219.7060895779496</v>
          </cell>
          <cell r="N18">
            <v>0</v>
          </cell>
          <cell r="O18">
            <v>-2200.5839104220504</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
      <sheetName val="Rank"/>
      <sheetName val="Worksheet 2010"/>
      <sheetName val="Data 2010"/>
      <sheetName val="Perf Score 2010"/>
      <sheetName val="Worksheet 2009"/>
      <sheetName val="Data 2009"/>
      <sheetName val="Perf Score 2009"/>
      <sheetName val="Worksheet 2008"/>
      <sheetName val="Data 2008"/>
      <sheetName val="Perf Score 2008"/>
    </sheetNames>
    <sheetDataSet>
      <sheetData sheetId="0"/>
      <sheetData sheetId="1"/>
      <sheetData sheetId="2"/>
      <sheetData sheetId="3"/>
      <sheetData sheetId="4">
        <row r="2">
          <cell r="F2">
            <v>0</v>
          </cell>
          <cell r="G2">
            <v>0</v>
          </cell>
          <cell r="H2">
            <v>0</v>
          </cell>
          <cell r="I2">
            <v>0</v>
          </cell>
          <cell r="J2">
            <v>0</v>
          </cell>
          <cell r="K2">
            <v>0</v>
          </cell>
        </row>
        <row r="3">
          <cell r="F3">
            <v>0</v>
          </cell>
          <cell r="G3">
            <v>0</v>
          </cell>
          <cell r="H3">
            <v>0</v>
          </cell>
          <cell r="I3">
            <v>0</v>
          </cell>
          <cell r="J3">
            <v>0</v>
          </cell>
          <cell r="K3">
            <v>0</v>
          </cell>
        </row>
        <row r="4">
          <cell r="F4">
            <v>0</v>
          </cell>
          <cell r="G4">
            <v>0</v>
          </cell>
          <cell r="H4">
            <v>0</v>
          </cell>
          <cell r="I4">
            <v>0</v>
          </cell>
          <cell r="J4">
            <v>0</v>
          </cell>
          <cell r="K4">
            <v>0</v>
          </cell>
        </row>
        <row r="5">
          <cell r="F5">
            <v>1</v>
          </cell>
          <cell r="G5">
            <v>2</v>
          </cell>
          <cell r="H5">
            <v>3</v>
          </cell>
          <cell r="I5">
            <v>4</v>
          </cell>
          <cell r="J5">
            <v>5</v>
          </cell>
          <cell r="K5">
            <v>6</v>
          </cell>
          <cell r="L5">
            <v>7</v>
          </cell>
          <cell r="M5">
            <v>8</v>
          </cell>
          <cell r="N5">
            <v>9</v>
          </cell>
          <cell r="O5">
            <v>10</v>
          </cell>
          <cell r="P5">
            <v>11</v>
          </cell>
          <cell r="Q5">
            <v>12</v>
          </cell>
          <cell r="R5">
            <v>13</v>
          </cell>
          <cell r="S5">
            <v>14</v>
          </cell>
          <cell r="T5">
            <v>15</v>
          </cell>
        </row>
        <row r="6">
          <cell r="F6">
            <v>0</v>
          </cell>
          <cell r="G6">
            <v>0</v>
          </cell>
          <cell r="H6">
            <v>0</v>
          </cell>
          <cell r="I6">
            <v>0</v>
          </cell>
          <cell r="J6">
            <v>0</v>
          </cell>
          <cell r="K6">
            <v>0</v>
          </cell>
        </row>
        <row r="7">
          <cell r="H7" t="str">
            <v>Based Upon</v>
          </cell>
          <cell r="I7">
            <v>0</v>
          </cell>
          <cell r="J7">
            <v>0</v>
          </cell>
          <cell r="K7">
            <v>0</v>
          </cell>
        </row>
        <row r="8">
          <cell r="H8">
            <v>0</v>
          </cell>
          <cell r="I8">
            <v>0</v>
          </cell>
          <cell r="J8">
            <v>0</v>
          </cell>
          <cell r="K8">
            <v>0</v>
          </cell>
        </row>
        <row r="9">
          <cell r="F9">
            <v>670360.25000000012</v>
          </cell>
          <cell r="H9" t="str">
            <v>EOP RMR for Trailing 4 QTRS</v>
          </cell>
          <cell r="I9">
            <v>0</v>
          </cell>
          <cell r="J9">
            <v>0</v>
          </cell>
          <cell r="K9">
            <v>0</v>
          </cell>
        </row>
        <row r="10">
          <cell r="F10">
            <v>0.49129618587871665</v>
          </cell>
          <cell r="H10" t="str">
            <v>Net Margin for Trailing 4 QTRS</v>
          </cell>
          <cell r="I10">
            <v>0</v>
          </cell>
          <cell r="J10">
            <v>0</v>
          </cell>
          <cell r="K10">
            <v>0</v>
          </cell>
          <cell r="L10">
            <v>0</v>
          </cell>
          <cell r="M10">
            <v>0</v>
          </cell>
          <cell r="N10">
            <v>0</v>
          </cell>
          <cell r="O10">
            <v>0</v>
          </cell>
          <cell r="P10">
            <v>0</v>
          </cell>
          <cell r="Q10">
            <v>0</v>
          </cell>
          <cell r="R10">
            <v>0</v>
          </cell>
          <cell r="S10">
            <v>0</v>
          </cell>
          <cell r="T10">
            <v>0</v>
          </cell>
        </row>
        <row r="11">
          <cell r="F11">
            <v>0.31331516991856795</v>
          </cell>
          <cell r="H11" t="str">
            <v>T&amp;M Revenue % for Trailing 4 QTRS</v>
          </cell>
          <cell r="I11">
            <v>0</v>
          </cell>
          <cell r="J11">
            <v>0</v>
          </cell>
          <cell r="K11">
            <v>0</v>
          </cell>
          <cell r="L11">
            <v>0</v>
          </cell>
          <cell r="M11">
            <v>0</v>
          </cell>
          <cell r="N11">
            <v>0</v>
          </cell>
          <cell r="O11">
            <v>0</v>
          </cell>
          <cell r="P11">
            <v>0</v>
          </cell>
          <cell r="Q11">
            <v>0</v>
          </cell>
          <cell r="R11">
            <v>0</v>
          </cell>
          <cell r="S11">
            <v>0</v>
          </cell>
          <cell r="T11">
            <v>0</v>
          </cell>
        </row>
        <row r="12">
          <cell r="F12">
            <v>0.1106898500797128</v>
          </cell>
          <cell r="H12" t="str">
            <v>Gross Attrition for Trailing 4 QTRS</v>
          </cell>
          <cell r="I12">
            <v>0</v>
          </cell>
          <cell r="J12">
            <v>0</v>
          </cell>
          <cell r="K12">
            <v>0</v>
          </cell>
          <cell r="L12">
            <v>0</v>
          </cell>
          <cell r="M12">
            <v>0</v>
          </cell>
          <cell r="N12">
            <v>0</v>
          </cell>
          <cell r="O12">
            <v>0</v>
          </cell>
          <cell r="P12">
            <v>0</v>
          </cell>
          <cell r="Q12">
            <v>0</v>
          </cell>
          <cell r="R12">
            <v>0</v>
          </cell>
          <cell r="S12">
            <v>0</v>
          </cell>
          <cell r="T12">
            <v>0</v>
          </cell>
        </row>
        <row r="13">
          <cell r="F13">
            <v>2.8000000000000001E-2</v>
          </cell>
          <cell r="H13" t="str">
            <v>Net Growth % for Trailing 4 QTRS</v>
          </cell>
          <cell r="I13">
            <v>0</v>
          </cell>
          <cell r="J13">
            <v>0</v>
          </cell>
          <cell r="K13">
            <v>0</v>
          </cell>
        </row>
        <row r="14">
          <cell r="F14">
            <v>23.132252676591825</v>
          </cell>
          <cell r="H14" t="str">
            <v>Net Multiple for Trailing 4 QTRS</v>
          </cell>
          <cell r="I14">
            <v>0</v>
          </cell>
          <cell r="J14">
            <v>0</v>
          </cell>
          <cell r="K14">
            <v>0</v>
          </cell>
          <cell r="L14">
            <v>0</v>
          </cell>
          <cell r="M14">
            <v>0</v>
          </cell>
          <cell r="N14">
            <v>0</v>
          </cell>
          <cell r="O14">
            <v>0</v>
          </cell>
          <cell r="P14">
            <v>0</v>
          </cell>
          <cell r="Q14">
            <v>0</v>
          </cell>
          <cell r="R14">
            <v>0</v>
          </cell>
          <cell r="S14">
            <v>0</v>
          </cell>
          <cell r="T14">
            <v>0</v>
          </cell>
        </row>
        <row r="15">
          <cell r="F15">
            <v>84.391347767425088</v>
          </cell>
          <cell r="H15" t="str">
            <v>Install Revenue to RMR Added for Trailing 4 QTRS</v>
          </cell>
          <cell r="I15">
            <v>0</v>
          </cell>
          <cell r="J15">
            <v>0</v>
          </cell>
          <cell r="K15">
            <v>0</v>
          </cell>
        </row>
        <row r="16">
          <cell r="F16">
            <v>0.39</v>
          </cell>
          <cell r="H16" t="str">
            <v>FIXED ASSUMPTION</v>
          </cell>
          <cell r="I16">
            <v>0</v>
          </cell>
          <cell r="J16">
            <v>0</v>
          </cell>
          <cell r="K16">
            <v>0</v>
          </cell>
          <cell r="L16">
            <v>0</v>
          </cell>
          <cell r="M16">
            <v>0</v>
          </cell>
          <cell r="N16">
            <v>0</v>
          </cell>
          <cell r="O16">
            <v>0</v>
          </cell>
          <cell r="P16">
            <v>0</v>
          </cell>
          <cell r="Q16">
            <v>0</v>
          </cell>
          <cell r="R16">
            <v>0</v>
          </cell>
          <cell r="S16">
            <v>0</v>
          </cell>
          <cell r="T16">
            <v>0</v>
          </cell>
        </row>
        <row r="17">
          <cell r="F17">
            <v>0.125</v>
          </cell>
          <cell r="H17" t="str">
            <v>FIXED ASSUMPTION</v>
          </cell>
          <cell r="I17">
            <v>0</v>
          </cell>
          <cell r="J17">
            <v>0</v>
          </cell>
          <cell r="K17">
            <v>0</v>
          </cell>
        </row>
        <row r="18">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row>
        <row r="22">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4">
          <cell r="B24" t="str">
            <v>Beginning</v>
          </cell>
          <cell r="F24">
            <v>670360.25000000012</v>
          </cell>
          <cell r="G24">
            <v>689130.33700000017</v>
          </cell>
          <cell r="H24">
            <v>705931.72346739029</v>
          </cell>
          <cell r="I24">
            <v>720970.89655308763</v>
          </cell>
          <cell r="J24">
            <v>734432.68600365182</v>
          </cell>
          <cell r="K24">
            <v>746482.53569809184</v>
          </cell>
          <cell r="L24">
            <v>757268.53693454061</v>
          </cell>
          <cell r="M24">
            <v>766923.24845566042</v>
          </cell>
          <cell r="N24">
            <v>775565.32558068912</v>
          </cell>
          <cell r="O24">
            <v>783300.97846597398</v>
          </cell>
          <cell r="P24">
            <v>790225.27741585369</v>
          </cell>
          <cell r="Q24">
            <v>796423.32128601125</v>
          </cell>
          <cell r="R24">
            <v>801971.28333884315</v>
          </cell>
          <cell r="S24">
            <v>806937.34740429174</v>
          </cell>
          <cell r="T24">
            <v>811382.54585144971</v>
          </cell>
          <cell r="U24">
            <v>815361.5096695153</v>
          </cell>
          <cell r="V24">
            <v>818923.13987650804</v>
          </cell>
          <cell r="W24">
            <v>822111.20850728301</v>
          </cell>
          <cell r="X24">
            <v>824964.896566918</v>
          </cell>
          <cell r="Y24">
            <v>827519.27556086238</v>
          </cell>
          <cell r="Z24">
            <v>829805.73851979477</v>
          </cell>
          <cell r="AA24">
            <v>831852.3858164429</v>
          </cell>
          <cell r="AB24">
            <v>833684.37051600334</v>
          </cell>
          <cell r="AC24">
            <v>835324.20750448748</v>
          </cell>
          <cell r="AD24">
            <v>836792.05019413715</v>
          </cell>
          <cell r="AE24">
            <v>838105.9382065977</v>
          </cell>
          <cell r="AF24">
            <v>839282.01907783805</v>
          </cell>
          <cell r="AG24">
            <v>840334.74670955434</v>
          </cell>
          <cell r="AH24">
            <v>841277.05900599505</v>
          </cell>
          <cell r="AI24">
            <v>842120.5368793516</v>
          </cell>
          <cell r="AJ24">
            <v>842875.54657786561</v>
          </cell>
          <cell r="AK24">
            <v>843551.36708585604</v>
          </cell>
          <cell r="AL24">
            <v>844156.3041613918</v>
          </cell>
          <cell r="AM24">
            <v>844697.79241312621</v>
          </cell>
          <cell r="AN24">
            <v>845182.48667080002</v>
          </cell>
          <cell r="AO24">
            <v>845616.34377235244</v>
          </cell>
          <cell r="AP24">
            <v>846004.69577278802</v>
          </cell>
          <cell r="AQ24">
            <v>846352.31547453511</v>
          </cell>
          <cell r="AR24">
            <v>846663.47508464905</v>
          </cell>
          <cell r="AS24">
            <v>846941.99871975929</v>
          </cell>
          <cell r="AT24">
            <v>847191.30940402939</v>
          </cell>
          <cell r="AU24">
            <v>847414.47113774333</v>
          </cell>
          <cell r="AV24">
            <v>847614.22655352007</v>
          </cell>
          <cell r="AW24">
            <v>847793.03062296472</v>
          </cell>
          <cell r="AX24">
            <v>847953.0808279888</v>
          </cell>
          <cell r="AY24">
            <v>848096.34416762099</v>
          </cell>
          <cell r="AZ24">
            <v>848224.58133219869</v>
          </cell>
          <cell r="BA24">
            <v>848339.3683420599</v>
          </cell>
          <cell r="BB24">
            <v>848442.11591665039</v>
          </cell>
          <cell r="BC24">
            <v>848534.0868121126</v>
          </cell>
        </row>
        <row r="25">
          <cell r="B25" t="str">
            <v>Added - Internal</v>
          </cell>
          <cell r="F25">
            <v>94010.991629905388</v>
          </cell>
          <cell r="G25">
            <v>94010.991629905388</v>
          </cell>
          <cell r="H25">
            <v>94010.991629905388</v>
          </cell>
          <cell r="I25">
            <v>94010.991629905388</v>
          </cell>
          <cell r="J25">
            <v>94010.991629905388</v>
          </cell>
          <cell r="K25">
            <v>94010.991629905388</v>
          </cell>
          <cell r="L25">
            <v>94010.991629905388</v>
          </cell>
          <cell r="M25">
            <v>94010.991629905388</v>
          </cell>
          <cell r="N25">
            <v>94010.991629905388</v>
          </cell>
          <cell r="O25">
            <v>94010.991629905388</v>
          </cell>
          <cell r="P25">
            <v>94010.991629905388</v>
          </cell>
          <cell r="Q25">
            <v>94010.991629905388</v>
          </cell>
          <cell r="R25">
            <v>94010.991629905388</v>
          </cell>
          <cell r="S25">
            <v>94010.991629905388</v>
          </cell>
          <cell r="T25">
            <v>94010.991629905388</v>
          </cell>
          <cell r="U25">
            <v>94010.991629905388</v>
          </cell>
          <cell r="V25">
            <v>94010.991629905388</v>
          </cell>
          <cell r="W25">
            <v>94010.991629905388</v>
          </cell>
          <cell r="X25">
            <v>94010.991629905388</v>
          </cell>
          <cell r="Y25">
            <v>94010.991629905388</v>
          </cell>
          <cell r="Z25">
            <v>94010.991629905388</v>
          </cell>
          <cell r="AA25">
            <v>94010.991629905388</v>
          </cell>
          <cell r="AB25">
            <v>94010.991629905388</v>
          </cell>
          <cell r="AC25">
            <v>94010.991629905388</v>
          </cell>
          <cell r="AD25">
            <v>94010.991629905388</v>
          </cell>
          <cell r="AE25">
            <v>94010.991629905388</v>
          </cell>
          <cell r="AF25">
            <v>94010.991629905388</v>
          </cell>
          <cell r="AG25">
            <v>94010.991629905388</v>
          </cell>
          <cell r="AH25">
            <v>94010.991629905388</v>
          </cell>
          <cell r="AI25">
            <v>94010.991629905388</v>
          </cell>
          <cell r="AJ25">
            <v>94010.991629905388</v>
          </cell>
          <cell r="AK25">
            <v>94010.991629905388</v>
          </cell>
          <cell r="AL25">
            <v>94010.991629905388</v>
          </cell>
          <cell r="AM25">
            <v>94010.991629905388</v>
          </cell>
          <cell r="AN25">
            <v>94010.991629905388</v>
          </cell>
          <cell r="AO25">
            <v>94010.991629905388</v>
          </cell>
          <cell r="AP25">
            <v>94010.991629905388</v>
          </cell>
          <cell r="AQ25">
            <v>94010.991629905388</v>
          </cell>
          <cell r="AR25">
            <v>94010.991629905388</v>
          </cell>
          <cell r="AS25">
            <v>94010.991629905388</v>
          </cell>
          <cell r="AT25">
            <v>94010.991629905388</v>
          </cell>
          <cell r="AU25">
            <v>94010.991629905388</v>
          </cell>
          <cell r="AV25">
            <v>94010.991629905388</v>
          </cell>
          <cell r="AW25">
            <v>94010.991629905388</v>
          </cell>
          <cell r="AX25">
            <v>94010.991629905388</v>
          </cell>
          <cell r="AY25">
            <v>94010.991629905388</v>
          </cell>
          <cell r="AZ25">
            <v>94010.991629905388</v>
          </cell>
          <cell r="BA25">
            <v>94010.991629905388</v>
          </cell>
          <cell r="BB25">
            <v>94010.991629905388</v>
          </cell>
          <cell r="BC25">
            <v>94010.991629905388</v>
          </cell>
        </row>
        <row r="26">
          <cell r="B26" t="str">
            <v>Lost</v>
          </cell>
          <cell r="F26">
            <v>75240.904629905388</v>
          </cell>
          <cell r="G26">
            <v>77209.605162515334</v>
          </cell>
          <cell r="H26">
            <v>78971.818544208058</v>
          </cell>
          <cell r="I26">
            <v>80549.202179341199</v>
          </cell>
          <cell r="J26">
            <v>81961.141935465319</v>
          </cell>
          <cell r="K26">
            <v>83224.990393456697</v>
          </cell>
          <cell r="L26">
            <v>84356.280108785562</v>
          </cell>
          <cell r="M26">
            <v>85368.914504876753</v>
          </cell>
          <cell r="N26">
            <v>86275.33874462056</v>
          </cell>
          <cell r="O26">
            <v>87086.692680025662</v>
          </cell>
          <cell r="P26">
            <v>87812.947759747913</v>
          </cell>
          <cell r="Q26">
            <v>88463.029577073466</v>
          </cell>
          <cell r="R26">
            <v>89044.927564456797</v>
          </cell>
          <cell r="S26">
            <v>89565.793182747409</v>
          </cell>
          <cell r="T26">
            <v>90032.027811839798</v>
          </cell>
          <cell r="U26">
            <v>90449.361422912654</v>
          </cell>
          <cell r="V26">
            <v>90822.922999130504</v>
          </cell>
          <cell r="W26">
            <v>91157.303570270291</v>
          </cell>
          <cell r="X26">
            <v>91456.612635961166</v>
          </cell>
          <cell r="Y26">
            <v>91724.528670972926</v>
          </cell>
          <cell r="Z26">
            <v>91964.344333257453</v>
          </cell>
          <cell r="AA26">
            <v>92179.006930344811</v>
          </cell>
          <cell r="AB26">
            <v>92371.154641421381</v>
          </cell>
          <cell r="AC26">
            <v>92543.148940255589</v>
          </cell>
          <cell r="AD26">
            <v>92697.103617444955</v>
          </cell>
          <cell r="AE26">
            <v>92834.910758664933</v>
          </cell>
          <cell r="AF26">
            <v>92958.263998189272</v>
          </cell>
          <cell r="AG26">
            <v>93068.679333464635</v>
          </cell>
          <cell r="AH26">
            <v>93167.513756548986</v>
          </cell>
          <cell r="AI26">
            <v>93255.981931391303</v>
          </cell>
          <cell r="AJ26">
            <v>93335.17112191506</v>
          </cell>
          <cell r="AK26">
            <v>93406.054554369533</v>
          </cell>
          <cell r="AL26">
            <v>93469.503378171095</v>
          </cell>
          <cell r="AM26">
            <v>93526.297372231507</v>
          </cell>
          <cell r="AN26">
            <v>93577.134528353141</v>
          </cell>
          <cell r="AO26">
            <v>93622.639629469762</v>
          </cell>
          <cell r="AP26">
            <v>93663.371928158507</v>
          </cell>
          <cell r="AQ26">
            <v>93699.832019791269</v>
          </cell>
          <cell r="AR26">
            <v>93732.467994795457</v>
          </cell>
          <cell r="AS26">
            <v>93761.680945635031</v>
          </cell>
          <cell r="AT26">
            <v>93787.829896191761</v>
          </cell>
          <cell r="AU26">
            <v>93811.236214128381</v>
          </cell>
          <cell r="AV26">
            <v>93832.187560461098</v>
          </cell>
          <cell r="AW26">
            <v>93850.941424880992</v>
          </cell>
          <cell r="AX26">
            <v>93867.728290273575</v>
          </cell>
          <cell r="AY26">
            <v>93882.754465327351</v>
          </cell>
          <cell r="AZ26">
            <v>93896.204620044533</v>
          </cell>
          <cell r="BA26">
            <v>93908.244055314615</v>
          </cell>
          <cell r="BB26">
            <v>93919.020734443548</v>
          </cell>
          <cell r="BC26">
            <v>93928.667101606377</v>
          </cell>
          <cell r="BD26">
            <v>0</v>
          </cell>
        </row>
        <row r="27">
          <cell r="B27" t="str">
            <v>Ending</v>
          </cell>
          <cell r="F27">
            <v>689130.33700000017</v>
          </cell>
          <cell r="G27">
            <v>705931.72346739029</v>
          </cell>
          <cell r="H27">
            <v>720970.89655308763</v>
          </cell>
          <cell r="I27">
            <v>734432.68600365182</v>
          </cell>
          <cell r="J27">
            <v>746482.53569809196</v>
          </cell>
          <cell r="K27">
            <v>757268.53693454061</v>
          </cell>
          <cell r="L27">
            <v>766923.24845566042</v>
          </cell>
          <cell r="M27">
            <v>775565.32558068912</v>
          </cell>
          <cell r="N27">
            <v>783300.97846597398</v>
          </cell>
          <cell r="O27">
            <v>790225.27741585369</v>
          </cell>
          <cell r="P27">
            <v>796423.32128601125</v>
          </cell>
          <cell r="Q27">
            <v>801971.28333884315</v>
          </cell>
          <cell r="R27">
            <v>806937.34740429174</v>
          </cell>
          <cell r="S27">
            <v>811382.54585144971</v>
          </cell>
          <cell r="T27">
            <v>815361.5096695153</v>
          </cell>
          <cell r="U27">
            <v>818923.13987650804</v>
          </cell>
          <cell r="V27">
            <v>822111.20850728289</v>
          </cell>
          <cell r="W27">
            <v>824964.89656691812</v>
          </cell>
          <cell r="X27">
            <v>827519.27556086227</v>
          </cell>
          <cell r="Y27">
            <v>829805.73851979489</v>
          </cell>
          <cell r="Z27">
            <v>831852.38581644278</v>
          </cell>
          <cell r="AA27">
            <v>833684.37051600346</v>
          </cell>
          <cell r="AB27">
            <v>835324.20750448736</v>
          </cell>
          <cell r="AC27">
            <v>836792.05019413726</v>
          </cell>
          <cell r="AD27">
            <v>838105.93820659758</v>
          </cell>
          <cell r="AE27">
            <v>839282.01907783817</v>
          </cell>
          <cell r="AF27">
            <v>840334.74670955422</v>
          </cell>
          <cell r="AG27">
            <v>841277.05900599516</v>
          </cell>
          <cell r="AH27">
            <v>842120.53687935148</v>
          </cell>
          <cell r="AI27">
            <v>842875.54657786572</v>
          </cell>
          <cell r="AJ27">
            <v>843551.36708585592</v>
          </cell>
          <cell r="AK27">
            <v>844156.30416139192</v>
          </cell>
          <cell r="AL27">
            <v>844697.7924131261</v>
          </cell>
          <cell r="AM27">
            <v>845182.48667080014</v>
          </cell>
          <cell r="AN27">
            <v>845616.34377235232</v>
          </cell>
          <cell r="AO27">
            <v>846004.69577278814</v>
          </cell>
          <cell r="AP27">
            <v>846352.31547453487</v>
          </cell>
          <cell r="AQ27">
            <v>846663.47508464928</v>
          </cell>
          <cell r="AR27">
            <v>846941.99871975905</v>
          </cell>
          <cell r="AS27">
            <v>847191.30940402963</v>
          </cell>
          <cell r="AT27">
            <v>847414.47113774309</v>
          </cell>
          <cell r="AU27">
            <v>847614.22655352042</v>
          </cell>
          <cell r="AV27">
            <v>847793.03062296438</v>
          </cell>
          <cell r="AW27">
            <v>847953.08082798915</v>
          </cell>
          <cell r="AX27">
            <v>848096.34416762064</v>
          </cell>
          <cell r="AY27">
            <v>848224.58133219904</v>
          </cell>
          <cell r="AZ27">
            <v>848339.36834205955</v>
          </cell>
          <cell r="BA27">
            <v>848442.11591665074</v>
          </cell>
          <cell r="BB27">
            <v>848534.08681211225</v>
          </cell>
          <cell r="BC27">
            <v>848616.41134041164</v>
          </cell>
          <cell r="BD27">
            <v>0</v>
          </cell>
        </row>
        <row r="28">
          <cell r="F28">
            <v>0.1106898500797128</v>
          </cell>
          <cell r="G28">
            <v>0.1106898500797128</v>
          </cell>
          <cell r="H28">
            <v>0.1106898500797128</v>
          </cell>
          <cell r="I28">
            <v>0.1106898500797128</v>
          </cell>
          <cell r="J28">
            <v>0.11068985007971278</v>
          </cell>
          <cell r="K28">
            <v>0.1106898500797128</v>
          </cell>
          <cell r="L28">
            <v>0.1106898500797128</v>
          </cell>
          <cell r="M28">
            <v>0.1106898500797128</v>
          </cell>
          <cell r="N28">
            <v>0.1106898500797128</v>
          </cell>
          <cell r="O28">
            <v>0.1106898500797128</v>
          </cell>
          <cell r="P28">
            <v>0.1106898500797128</v>
          </cell>
          <cell r="Q28">
            <v>0.11068985007971278</v>
          </cell>
          <cell r="R28">
            <v>0.1106898500797128</v>
          </cell>
          <cell r="S28">
            <v>0.1106898500797128</v>
          </cell>
          <cell r="T28">
            <v>0.11068985007971278</v>
          </cell>
        </row>
        <row r="29">
          <cell r="F29">
            <v>2.800000000000008E-2</v>
          </cell>
          <cell r="G29">
            <v>2.4380564263839843E-2</v>
          </cell>
          <cell r="H29">
            <v>2.1304005168981562E-2</v>
          </cell>
          <cell r="I29">
            <v>1.8671751543542298E-2</v>
          </cell>
          <cell r="J29">
            <v>1.6407017176765775E-2</v>
          </cell>
          <cell r="K29">
            <v>1.4449100575892193E-2</v>
          </cell>
          <cell r="L29">
            <v>1.2749389483686389E-2</v>
          </cell>
          <cell r="M29">
            <v>1.1268503259525777E-2</v>
          </cell>
          <cell r="N29">
            <v>9.9742118814981073E-3</v>
          </cell>
          <cell r="O29">
            <v>8.8398956981265882E-3</v>
          </cell>
          <cell r="P29">
            <v>7.8433885213416935E-3</v>
          </cell>
          <cell r="Q29">
            <v>6.9660969292981182E-3</v>
          </cell>
          <cell r="R29">
            <v>6.1923215564195768E-3</v>
          </cell>
          <cell r="S29">
            <v>5.508728108144987E-3</v>
          </cell>
          <cell r="T29">
            <v>4.9039307517887744E-3</v>
          </cell>
        </row>
        <row r="31">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4">
          <cell r="F34">
            <v>8156943.5220000017</v>
          </cell>
          <cell r="G34">
            <v>8370372.3628043421</v>
          </cell>
          <cell r="H34">
            <v>8561415.7201228682</v>
          </cell>
          <cell r="I34">
            <v>8732421.4953404367</v>
          </cell>
          <cell r="J34">
            <v>8885491.3302104622</v>
          </cell>
          <cell r="K34">
            <v>9022506.4357957952</v>
          </cell>
          <cell r="L34">
            <v>9145150.7123412061</v>
          </cell>
          <cell r="M34">
            <v>9254931.4442180973</v>
          </cell>
          <cell r="N34">
            <v>9353197.8242799789</v>
          </cell>
          <cell r="O34">
            <v>9441157.5352909677</v>
          </cell>
          <cell r="P34">
            <v>9519891.5922111906</v>
          </cell>
          <cell r="Q34">
            <v>9590367.6277491264</v>
          </cell>
          <cell r="R34">
            <v>9653451.7844588086</v>
          </cell>
          <cell r="S34">
            <v>9709919.359534448</v>
          </cell>
          <cell r="T34">
            <v>9760464.3331257906</v>
          </cell>
        </row>
        <row r="35">
          <cell r="F35">
            <v>2555694.1456115926</v>
          </cell>
          <cell r="G35">
            <v>2622564.6391337276</v>
          </cell>
          <cell r="H35">
            <v>2682421.4210937954</v>
          </cell>
          <cell r="I35">
            <v>2736000.124613144</v>
          </cell>
          <cell r="J35">
            <v>2783959.2259348533</v>
          </cell>
          <cell r="K35">
            <v>2826888.1370227323</v>
          </cell>
          <cell r="L35">
            <v>2865314.4493680978</v>
          </cell>
          <cell r="M35">
            <v>2899710.4180298904</v>
          </cell>
          <cell r="N35">
            <v>2930498.7655962617</v>
          </cell>
          <cell r="O35">
            <v>2958057.8773976578</v>
          </cell>
          <cell r="P35">
            <v>2982726.4518199954</v>
          </cell>
          <cell r="Q35">
            <v>3004807.662869751</v>
          </cell>
          <cell r="R35">
            <v>3024572.8861484146</v>
          </cell>
          <cell r="S35">
            <v>3042265.0340281283</v>
          </cell>
          <cell r="T35">
            <v>3058101.541017429</v>
          </cell>
        </row>
        <row r="36">
          <cell r="F36">
            <v>10712637.667611595</v>
          </cell>
          <cell r="G36">
            <v>10992937.001938069</v>
          </cell>
          <cell r="H36">
            <v>11243837.141216664</v>
          </cell>
          <cell r="I36">
            <v>11468421.61995358</v>
          </cell>
          <cell r="J36">
            <v>11669450.556145316</v>
          </cell>
          <cell r="K36">
            <v>11849394.572818527</v>
          </cell>
          <cell r="L36">
            <v>12010465.161709305</v>
          </cell>
          <cell r="M36">
            <v>12154641.862247989</v>
          </cell>
          <cell r="N36">
            <v>12283696.58987624</v>
          </cell>
          <cell r="O36">
            <v>12399215.412688626</v>
          </cell>
          <cell r="P36">
            <v>12502618.044031186</v>
          </cell>
          <cell r="Q36">
            <v>12595175.290618878</v>
          </cell>
          <cell r="R36">
            <v>12678024.670607224</v>
          </cell>
          <cell r="S36">
            <v>12752184.393562576</v>
          </cell>
          <cell r="T36">
            <v>12818565.87414322</v>
          </cell>
        </row>
        <row r="37">
          <cell r="F37">
            <v>5449559.6408133479</v>
          </cell>
          <cell r="G37">
            <v>5592148.9812808819</v>
          </cell>
          <cell r="H37">
            <v>5719782.839095464</v>
          </cell>
          <cell r="I37">
            <v>5834029.8200213742</v>
          </cell>
          <cell r="J37">
            <v>5936294.0066108545</v>
          </cell>
          <cell r="K37">
            <v>6027832.21422082</v>
          </cell>
          <cell r="L37">
            <v>6109769.4371323204</v>
          </cell>
          <cell r="M37">
            <v>6183112.6746037705</v>
          </cell>
          <cell r="N37">
            <v>6248763.3067786461</v>
          </cell>
          <cell r="O37">
            <v>6307528.1725461073</v>
          </cell>
          <cell r="P37">
            <v>6360129.4855002444</v>
          </cell>
          <cell r="Q37">
            <v>6407213.7098639673</v>
          </cell>
          <cell r="R37">
            <v>6449359.505461623</v>
          </cell>
          <cell r="S37">
            <v>6487084.8393831877</v>
          </cell>
          <cell r="T37">
            <v>6520853.3517415794</v>
          </cell>
        </row>
        <row r="38">
          <cell r="F38">
            <v>5263078.0267982474</v>
          </cell>
          <cell r="G38">
            <v>5400788.0206571873</v>
          </cell>
          <cell r="H38">
            <v>5524054.3021211997</v>
          </cell>
          <cell r="I38">
            <v>5634391.799932206</v>
          </cell>
          <cell r="J38">
            <v>5733156.5495344615</v>
          </cell>
          <cell r="K38">
            <v>5821562.358597707</v>
          </cell>
          <cell r="L38">
            <v>5900695.7245769845</v>
          </cell>
          <cell r="M38">
            <v>5971529.1876442181</v>
          </cell>
          <cell r="N38">
            <v>6034933.283097594</v>
          </cell>
          <cell r="O38">
            <v>6091687.2401425187</v>
          </cell>
          <cell r="P38">
            <v>6142488.5585309416</v>
          </cell>
          <cell r="Q38">
            <v>6187961.5807549106</v>
          </cell>
          <cell r="R38">
            <v>6228665.1651456011</v>
          </cell>
          <cell r="S38">
            <v>6265099.5541793881</v>
          </cell>
          <cell r="T38">
            <v>6297712.5224016411</v>
          </cell>
        </row>
        <row r="39">
          <cell r="F39">
            <v>0.4912961858787166</v>
          </cell>
          <cell r="G39">
            <v>0.4912961858787166</v>
          </cell>
          <cell r="H39">
            <v>0.4912961858787166</v>
          </cell>
          <cell r="I39">
            <v>0.4912961858787166</v>
          </cell>
          <cell r="J39">
            <v>0.49129618587871654</v>
          </cell>
          <cell r="K39">
            <v>0.49129618587871665</v>
          </cell>
          <cell r="L39">
            <v>0.4912961858787166</v>
          </cell>
          <cell r="M39">
            <v>0.4912961858787166</v>
          </cell>
          <cell r="N39">
            <v>0.49129618587871654</v>
          </cell>
          <cell r="O39">
            <v>0.4912961858787166</v>
          </cell>
          <cell r="P39">
            <v>0.4912961858787166</v>
          </cell>
          <cell r="Q39">
            <v>0.4912961858787166</v>
          </cell>
          <cell r="R39">
            <v>0.49129618587871654</v>
          </cell>
          <cell r="S39">
            <v>0.4912961858787166</v>
          </cell>
          <cell r="T39">
            <v>0.4912961858787166</v>
          </cell>
        </row>
        <row r="42">
          <cell r="F42">
            <v>7933714.2885998348</v>
          </cell>
          <cell r="G42">
            <v>7933714.2885998348</v>
          </cell>
          <cell r="H42">
            <v>7933714.2885998348</v>
          </cell>
          <cell r="I42">
            <v>7933714.2885998348</v>
          </cell>
          <cell r="J42">
            <v>7933714.2885998348</v>
          </cell>
          <cell r="K42">
            <v>7933714.2885998348</v>
          </cell>
          <cell r="L42">
            <v>7933714.2885998348</v>
          </cell>
          <cell r="M42">
            <v>7933714.2885998348</v>
          </cell>
          <cell r="N42">
            <v>7933714.2885998348</v>
          </cell>
          <cell r="O42">
            <v>7933714.2885998348</v>
          </cell>
          <cell r="P42">
            <v>7933714.2885998348</v>
          </cell>
          <cell r="Q42">
            <v>7933714.2885998348</v>
          </cell>
          <cell r="R42">
            <v>7933714.2885998348</v>
          </cell>
          <cell r="S42">
            <v>7933714.2885998348</v>
          </cell>
          <cell r="T42">
            <v>7933714.2885998348</v>
          </cell>
        </row>
        <row r="43">
          <cell r="F43">
            <v>10108400.301359765</v>
          </cell>
          <cell r="G43">
            <v>10108400.301359765</v>
          </cell>
          <cell r="H43">
            <v>10108400.301359765</v>
          </cell>
          <cell r="I43">
            <v>10108400.301359765</v>
          </cell>
          <cell r="J43">
            <v>10108400.301359765</v>
          </cell>
          <cell r="K43">
            <v>10108400.301359765</v>
          </cell>
          <cell r="L43">
            <v>10108400.301359765</v>
          </cell>
          <cell r="M43">
            <v>10108400.301359765</v>
          </cell>
          <cell r="N43">
            <v>10108400.301359765</v>
          </cell>
          <cell r="O43">
            <v>10108400.301359765</v>
          </cell>
          <cell r="P43">
            <v>10108400.301359765</v>
          </cell>
          <cell r="Q43">
            <v>10108400.301359765</v>
          </cell>
          <cell r="R43">
            <v>10108400.301359765</v>
          </cell>
          <cell r="S43">
            <v>10108400.301359765</v>
          </cell>
          <cell r="T43">
            <v>10108400.301359765</v>
          </cell>
        </row>
        <row r="44">
          <cell r="F44">
            <v>-2174686.0127599305</v>
          </cell>
          <cell r="G44">
            <v>-2174686.0127599305</v>
          </cell>
          <cell r="H44">
            <v>-2174686.0127599305</v>
          </cell>
          <cell r="I44">
            <v>-2174686.0127599305</v>
          </cell>
          <cell r="J44">
            <v>-2174686.0127599305</v>
          </cell>
          <cell r="K44">
            <v>-2174686.0127599305</v>
          </cell>
          <cell r="L44">
            <v>-2174686.0127599305</v>
          </cell>
          <cell r="M44">
            <v>-2174686.0127599305</v>
          </cell>
          <cell r="N44">
            <v>-2174686.0127599305</v>
          </cell>
          <cell r="O44">
            <v>-2174686.0127599305</v>
          </cell>
          <cell r="P44">
            <v>-2174686.0127599305</v>
          </cell>
          <cell r="Q44">
            <v>-2174686.0127599305</v>
          </cell>
          <cell r="R44">
            <v>-2174686.0127599305</v>
          </cell>
          <cell r="S44">
            <v>-2174686.0127599305</v>
          </cell>
          <cell r="T44">
            <v>-2174686.0127599305</v>
          </cell>
        </row>
        <row r="45">
          <cell r="F45">
            <v>23.132252676591825</v>
          </cell>
          <cell r="G45">
            <v>23.132252676591825</v>
          </cell>
          <cell r="H45">
            <v>23.132252676591825</v>
          </cell>
          <cell r="I45">
            <v>23.132252676591825</v>
          </cell>
          <cell r="J45">
            <v>23.132252676591825</v>
          </cell>
          <cell r="K45">
            <v>23.132252676591825</v>
          </cell>
          <cell r="L45">
            <v>23.132252676591825</v>
          </cell>
          <cell r="M45">
            <v>23.132252676591825</v>
          </cell>
          <cell r="N45">
            <v>23.132252676591825</v>
          </cell>
          <cell r="O45">
            <v>23.132252676591825</v>
          </cell>
          <cell r="P45">
            <v>23.132252676591825</v>
          </cell>
          <cell r="Q45">
            <v>23.132252676591825</v>
          </cell>
          <cell r="R45">
            <v>23.132252676591825</v>
          </cell>
          <cell r="S45">
            <v>23.132252676591825</v>
          </cell>
          <cell r="T45">
            <v>23.132252676591825</v>
          </cell>
        </row>
        <row r="46">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9">
          <cell r="B49" t="str">
            <v>Total Revenue</v>
          </cell>
          <cell r="F49">
            <v>18646351.956211429</v>
          </cell>
          <cell r="G49">
            <v>18926651.290537905</v>
          </cell>
          <cell r="H49">
            <v>19177551.429816499</v>
          </cell>
          <cell r="I49">
            <v>19402135.908553414</v>
          </cell>
          <cell r="J49">
            <v>19603164.844745152</v>
          </cell>
          <cell r="K49">
            <v>19783108.861418363</v>
          </cell>
          <cell r="L49">
            <v>19944179.450309139</v>
          </cell>
          <cell r="M49">
            <v>20088356.150847822</v>
          </cell>
          <cell r="N49">
            <v>20217410.878476076</v>
          </cell>
          <cell r="O49">
            <v>20332929.701288462</v>
          </cell>
          <cell r="P49">
            <v>20436332.332631022</v>
          </cell>
          <cell r="Q49">
            <v>20528889.579218712</v>
          </cell>
          <cell r="R49">
            <v>20611738.959207058</v>
          </cell>
          <cell r="S49">
            <v>20685898.682162412</v>
          </cell>
          <cell r="T49">
            <v>20752280.162743054</v>
          </cell>
          <cell r="U49">
            <v>20811699.221882895</v>
          </cell>
          <cell r="V49">
            <v>20864886.113139022</v>
          </cell>
          <cell r="W49">
            <v>20912494.497425862</v>
          </cell>
          <cell r="X49">
            <v>20955109.476434272</v>
          </cell>
          <cell r="Y49">
            <v>20993254.783465624</v>
          </cell>
          <cell r="Z49">
            <v>21027399.220055126</v>
          </cell>
          <cell r="AA49">
            <v>21057962.417490039</v>
          </cell>
          <cell r="AB49">
            <v>21085319.994031005</v>
          </cell>
          <cell r="AC49">
            <v>21109808.17121825</v>
          </cell>
          <cell r="AD49">
            <v>21131727.905996505</v>
          </cell>
          <cell r="AE49">
            <v>21151348.589442044</v>
          </cell>
          <cell r="AF49">
            <v>21168911.357548703</v>
          </cell>
          <cell r="AG49">
            <v>21184632.054762155</v>
          </cell>
          <cell r="AH49">
            <v>21198703.88668387</v>
          </cell>
          <cell r="AI49">
            <v>21211299.794546254</v>
          </cell>
          <cell r="AJ49">
            <v>21222574.580640934</v>
          </cell>
          <cell r="AK49">
            <v>21232666.810821537</v>
          </cell>
          <cell r="AL49">
            <v>21241700.517462429</v>
          </cell>
          <cell r="AM49">
            <v>21249786.723802697</v>
          </cell>
          <cell r="AN49">
            <v>21257024.808409221</v>
          </cell>
          <cell r="AO49">
            <v>21263503.726528138</v>
          </cell>
          <cell r="AP49">
            <v>21269303.103334781</v>
          </cell>
          <cell r="AQ49">
            <v>21274494.212518159</v>
          </cell>
          <cell r="AR49">
            <v>21279140.852226552</v>
          </cell>
          <cell r="AS49">
            <v>21283300.129139632</v>
          </cell>
          <cell r="AT49">
            <v>21287023.160303067</v>
          </cell>
          <cell r="AU49">
            <v>21290355.701351341</v>
          </cell>
          <cell r="AV49">
            <v>21293338.708839282</v>
          </cell>
          <cell r="AW49">
            <v>21296008.843593597</v>
          </cell>
          <cell r="AX49">
            <v>21298398.921270225</v>
          </cell>
          <cell r="AY49">
            <v>21300538.315655146</v>
          </cell>
          <cell r="AZ49">
            <v>21302453.319664825</v>
          </cell>
          <cell r="BA49">
            <v>21304167.468483288</v>
          </cell>
          <cell r="BB49">
            <v>21305701.82880678</v>
          </cell>
          <cell r="BC49">
            <v>21307075.257751223</v>
          </cell>
        </row>
        <row r="50">
          <cell r="B50" t="str">
            <v>Total Expense</v>
          </cell>
          <cell r="F50">
            <v>15557959.942173112</v>
          </cell>
          <cell r="G50">
            <v>15700549.282640647</v>
          </cell>
          <cell r="H50">
            <v>15828183.140455229</v>
          </cell>
          <cell r="I50">
            <v>15942430.121381139</v>
          </cell>
          <cell r="J50">
            <v>16044694.307970621</v>
          </cell>
          <cell r="K50">
            <v>16136232.515580585</v>
          </cell>
          <cell r="L50">
            <v>16218169.738492087</v>
          </cell>
          <cell r="M50">
            <v>16291512.975963537</v>
          </cell>
          <cell r="N50">
            <v>16357163.608138412</v>
          </cell>
          <cell r="O50">
            <v>16415928.473905873</v>
          </cell>
          <cell r="P50">
            <v>16468529.78686001</v>
          </cell>
          <cell r="Q50">
            <v>16515614.011223733</v>
          </cell>
          <cell r="R50">
            <v>16557759.806821387</v>
          </cell>
          <cell r="S50">
            <v>16595485.140742954</v>
          </cell>
          <cell r="T50">
            <v>16629253.653101344</v>
          </cell>
          <cell r="U50">
            <v>16659480.35511728</v>
          </cell>
          <cell r="V50">
            <v>16686536.729560526</v>
          </cell>
          <cell r="W50">
            <v>16710755.296231393</v>
          </cell>
          <cell r="X50">
            <v>16732433.698591668</v>
          </cell>
          <cell r="Y50">
            <v>16751838.361769345</v>
          </cell>
          <cell r="Z50">
            <v>16769207.766893446</v>
          </cell>
          <cell r="AA50">
            <v>16784755.382000331</v>
          </cell>
          <cell r="AB50">
            <v>16798672.285531834</v>
          </cell>
          <cell r="AC50">
            <v>16811129.514667861</v>
          </cell>
          <cell r="AD50">
            <v>16822280.167354088</v>
          </cell>
          <cell r="AE50">
            <v>16832261.2838585</v>
          </cell>
          <cell r="AF50">
            <v>16841195.530980885</v>
          </cell>
          <cell r="AG50">
            <v>16849192.709614016</v>
          </cell>
          <cell r="AH50">
            <v>16856351.104184262</v>
          </cell>
          <cell r="AI50">
            <v>16862758.69055618</v>
          </cell>
          <cell r="AJ50">
            <v>16868494.217245944</v>
          </cell>
          <cell r="AK50">
            <v>16873628.173231807</v>
          </cell>
          <cell r="AL50">
            <v>16878223.654255681</v>
          </cell>
          <cell r="AM50">
            <v>16882337.138262749</v>
          </cell>
          <cell r="AN50">
            <v>16886019.179509021</v>
          </cell>
          <cell r="AO50">
            <v>16889315.029867493</v>
          </cell>
          <cell r="AP50">
            <v>16892265.194968559</v>
          </cell>
          <cell r="AQ50">
            <v>16894905.93200966</v>
          </cell>
          <cell r="AR50">
            <v>16897269.695352167</v>
          </cell>
          <cell r="AS50">
            <v>16899385.535381839</v>
          </cell>
          <cell r="AT50">
            <v>16901279.455534771</v>
          </cell>
          <cell r="AU50">
            <v>16902974.731876742</v>
          </cell>
          <cell r="AV50">
            <v>16904492.199163411</v>
          </cell>
          <cell r="AW50">
            <v>16905850.506897151</v>
          </cell>
          <cell r="AX50">
            <v>16907066.348527297</v>
          </cell>
          <cell r="AY50">
            <v>16908154.666610815</v>
          </cell>
          <cell r="AZ50">
            <v>16909128.836454596</v>
          </cell>
          <cell r="BA50">
            <v>16910000.83049652</v>
          </cell>
          <cell r="BB50">
            <v>16910781.365445316</v>
          </cell>
          <cell r="BC50">
            <v>16911480.033987779</v>
          </cell>
        </row>
        <row r="51">
          <cell r="B51" t="str">
            <v>Net Operating Cash Flow</v>
          </cell>
          <cell r="F51">
            <v>3088392.0140383169</v>
          </cell>
          <cell r="G51">
            <v>3226102.0078972578</v>
          </cell>
          <cell r="H51">
            <v>3349368.2893612701</v>
          </cell>
          <cell r="I51">
            <v>3459705.7871722747</v>
          </cell>
          <cell r="J51">
            <v>3558470.536774531</v>
          </cell>
          <cell r="K51">
            <v>3646876.3458377775</v>
          </cell>
          <cell r="L51">
            <v>3726009.7118170522</v>
          </cell>
          <cell r="M51">
            <v>3796843.1748842858</v>
          </cell>
          <cell r="N51">
            <v>3860247.2703376636</v>
          </cell>
          <cell r="O51">
            <v>3917001.2273825891</v>
          </cell>
          <cell r="P51">
            <v>3967802.5457710121</v>
          </cell>
          <cell r="Q51">
            <v>4013275.5679949783</v>
          </cell>
          <cell r="R51">
            <v>4053979.1523856707</v>
          </cell>
          <cell r="S51">
            <v>4090413.5414194576</v>
          </cell>
          <cell r="T51">
            <v>4123026.5096417107</v>
          </cell>
          <cell r="U51">
            <v>4152218.8667656146</v>
          </cell>
          <cell r="V51">
            <v>4178349.3835784961</v>
          </cell>
          <cell r="W51">
            <v>4201739.2011944689</v>
          </cell>
          <cell r="X51">
            <v>4222675.7778426036</v>
          </cell>
          <cell r="Y51">
            <v>4241416.4216962792</v>
          </cell>
          <cell r="Z51">
            <v>4258191.4531616792</v>
          </cell>
          <cell r="AA51">
            <v>4273207.0354897082</v>
          </cell>
          <cell r="AB51">
            <v>4286647.7084991708</v>
          </cell>
          <cell r="AC51">
            <v>4298678.6565503888</v>
          </cell>
          <cell r="AD51">
            <v>4309447.7386424169</v>
          </cell>
          <cell r="AE51">
            <v>4319087.3055835441</v>
          </cell>
          <cell r="AF51">
            <v>4327715.8265678175</v>
          </cell>
          <cell r="AG51">
            <v>4335439.3451481387</v>
          </cell>
          <cell r="AH51">
            <v>4342352.7824996077</v>
          </cell>
          <cell r="AI51">
            <v>4348541.1039900742</v>
          </cell>
          <cell r="AJ51">
            <v>4354080.3633949906</v>
          </cell>
          <cell r="AK51">
            <v>4359038.6375897303</v>
          </cell>
          <cell r="AL51">
            <v>4363476.8632067479</v>
          </cell>
          <cell r="AM51">
            <v>4367449.5855399482</v>
          </cell>
          <cell r="AN51">
            <v>4371005.6289002001</v>
          </cell>
          <cell r="AO51">
            <v>4374188.6966606453</v>
          </cell>
          <cell r="AP51">
            <v>4377037.9083662219</v>
          </cell>
          <cell r="AQ51">
            <v>4379588.2805084996</v>
          </cell>
          <cell r="AR51">
            <v>4381871.1568743847</v>
          </cell>
          <cell r="AS51">
            <v>4383914.5937577933</v>
          </cell>
          <cell r="AT51">
            <v>4385743.7047682963</v>
          </cell>
          <cell r="AU51">
            <v>4387380.9694745988</v>
          </cell>
          <cell r="AV51">
            <v>4388846.5096758716</v>
          </cell>
          <cell r="AW51">
            <v>4390158.3366964459</v>
          </cell>
          <cell r="AX51">
            <v>4391332.5727429278</v>
          </cell>
          <cell r="AY51">
            <v>4392383.6490443312</v>
          </cell>
          <cell r="AZ51">
            <v>4393324.4832102284</v>
          </cell>
          <cell r="BA51">
            <v>4394166.637986768</v>
          </cell>
          <cell r="BB51">
            <v>4394920.4633614644</v>
          </cell>
          <cell r="BC51">
            <v>4395595.2237634435</v>
          </cell>
        </row>
        <row r="52">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6">
          <cell r="F56">
            <v>0</v>
          </cell>
          <cell r="G56" t="str">
            <v>After-Tax</v>
          </cell>
          <cell r="H56" t="str">
            <v>After-Tax</v>
          </cell>
          <cell r="J56" t="str">
            <v>Face</v>
          </cell>
          <cell r="K56" t="str">
            <v>NOL</v>
          </cell>
          <cell r="L56" t="str">
            <v>NOL</v>
          </cell>
          <cell r="M56" t="str">
            <v>Ending</v>
          </cell>
        </row>
        <row r="57">
          <cell r="F57" t="str">
            <v>Taxes</v>
          </cell>
          <cell r="G57" t="str">
            <v>NOCF</v>
          </cell>
          <cell r="H57" t="str">
            <v>Cash Flows</v>
          </cell>
          <cell r="J57" t="str">
            <v>Taxes</v>
          </cell>
          <cell r="K57" t="str">
            <v>Addition</v>
          </cell>
          <cell r="L57" t="str">
            <v>Utilization</v>
          </cell>
          <cell r="M57" t="str">
            <v>NOL</v>
          </cell>
        </row>
        <row r="58">
          <cell r="F58">
            <v>0</v>
          </cell>
          <cell r="G58">
            <v>0</v>
          </cell>
          <cell r="H58">
            <v>0</v>
          </cell>
          <cell r="J58">
            <v>0</v>
          </cell>
          <cell r="K58">
            <v>0</v>
          </cell>
          <cell r="L58">
            <v>0</v>
          </cell>
          <cell r="M58">
            <v>0</v>
          </cell>
        </row>
        <row r="59">
          <cell r="F59">
            <v>640979.88874155423</v>
          </cell>
          <cell r="G59">
            <v>2447412.1252967627</v>
          </cell>
          <cell r="H59">
            <v>2175477.4447082337</v>
          </cell>
          <cell r="J59">
            <v>640979.88874155411</v>
          </cell>
          <cell r="K59">
            <v>0</v>
          </cell>
          <cell r="L59">
            <v>0</v>
          </cell>
          <cell r="M59">
            <v>0</v>
          </cell>
        </row>
        <row r="60">
          <cell r="F60">
            <v>694686.78634654125</v>
          </cell>
          <cell r="G60">
            <v>2531415.2215507166</v>
          </cell>
          <cell r="H60">
            <v>2000130.5454227885</v>
          </cell>
          <cell r="J60">
            <v>694686.78634654114</v>
          </cell>
          <cell r="K60">
            <v>0</v>
          </cell>
          <cell r="L60">
            <v>0</v>
          </cell>
          <cell r="M60">
            <v>0</v>
          </cell>
        </row>
        <row r="61">
          <cell r="F61">
            <v>742760.63611750596</v>
          </cell>
          <cell r="G61">
            <v>2606607.6532437643</v>
          </cell>
          <cell r="H61">
            <v>1830703.8662013819</v>
          </cell>
          <cell r="J61">
            <v>742760.63611750596</v>
          </cell>
          <cell r="K61">
            <v>0</v>
          </cell>
          <cell r="L61">
            <v>0</v>
          </cell>
          <cell r="M61">
            <v>0</v>
          </cell>
        </row>
        <row r="62">
          <cell r="F62">
            <v>785792.26026379783</v>
          </cell>
          <cell r="G62">
            <v>2673913.5269084768</v>
          </cell>
          <cell r="H62">
            <v>1669311.0510923825</v>
          </cell>
          <cell r="J62">
            <v>785792.26026379771</v>
          </cell>
          <cell r="K62">
            <v>0</v>
          </cell>
          <cell r="L62">
            <v>0</v>
          </cell>
          <cell r="M62">
            <v>0</v>
          </cell>
        </row>
        <row r="63">
          <cell r="F63">
            <v>824310.51260867773</v>
          </cell>
          <cell r="G63">
            <v>2734160.0241658534</v>
          </cell>
          <cell r="H63">
            <v>1517264.5713198646</v>
          </cell>
          <cell r="J63">
            <v>824310.51260867761</v>
          </cell>
          <cell r="K63">
            <v>0</v>
          </cell>
          <cell r="L63">
            <v>0</v>
          </cell>
          <cell r="M63">
            <v>0</v>
          </cell>
        </row>
        <row r="64">
          <cell r="F64">
            <v>858788.77814334386</v>
          </cell>
          <cell r="G64">
            <v>2788087.5676944335</v>
          </cell>
          <cell r="H64">
            <v>1375280.4682847005</v>
          </cell>
          <cell r="J64">
            <v>858788.77814334375</v>
          </cell>
          <cell r="K64">
            <v>0</v>
          </cell>
          <cell r="L64">
            <v>0</v>
          </cell>
          <cell r="M64">
            <v>0</v>
          </cell>
        </row>
        <row r="65">
          <cell r="F65">
            <v>889650.79087526107</v>
          </cell>
          <cell r="G65">
            <v>2836358.920941791</v>
          </cell>
          <cell r="H65">
            <v>1243636.700085432</v>
          </cell>
          <cell r="J65">
            <v>889650.79087526083</v>
          </cell>
          <cell r="K65">
            <v>0</v>
          </cell>
          <cell r="L65">
            <v>0</v>
          </cell>
          <cell r="M65">
            <v>0</v>
          </cell>
        </row>
        <row r="66">
          <cell r="F66">
            <v>917275.84147148207</v>
          </cell>
          <cell r="G66">
            <v>2879567.3334128037</v>
          </cell>
          <cell r="H66">
            <v>1122295.0788565434</v>
          </cell>
          <cell r="J66">
            <v>917275.84147148195</v>
          </cell>
          <cell r="K66">
            <v>0</v>
          </cell>
          <cell r="L66">
            <v>0</v>
          </cell>
          <cell r="M66">
            <v>0</v>
          </cell>
        </row>
        <row r="67">
          <cell r="F67">
            <v>942003.43869829946</v>
          </cell>
          <cell r="G67">
            <v>2918243.8316393644</v>
          </cell>
          <cell r="H67">
            <v>1010994.6891132286</v>
          </cell>
          <cell r="J67">
            <v>942003.43869829923</v>
          </cell>
          <cell r="K67">
            <v>0</v>
          </cell>
          <cell r="L67">
            <v>0</v>
          </cell>
          <cell r="M67">
            <v>0</v>
          </cell>
        </row>
        <row r="68">
          <cell r="F68">
            <v>964137.48194582039</v>
          </cell>
          <cell r="G68">
            <v>2952863.745436769</v>
          </cell>
          <cell r="H68">
            <v>909323.01496456878</v>
          </cell>
          <cell r="J68">
            <v>964137.48194582027</v>
          </cell>
          <cell r="K68">
            <v>0</v>
          </cell>
          <cell r="L68">
            <v>0</v>
          </cell>
          <cell r="M68">
            <v>0</v>
          </cell>
        </row>
        <row r="69">
          <cell r="F69">
            <v>983949.99611730536</v>
          </cell>
          <cell r="G69">
            <v>2983852.5496537066</v>
          </cell>
          <cell r="H69">
            <v>816769.68697216478</v>
          </cell>
          <cell r="J69">
            <v>983949.99611730524</v>
          </cell>
          <cell r="K69">
            <v>0</v>
          </cell>
          <cell r="L69">
            <v>0</v>
          </cell>
          <cell r="M69">
            <v>0</v>
          </cell>
        </row>
        <row r="70">
          <cell r="F70">
            <v>1001684.4747846522</v>
          </cell>
          <cell r="G70">
            <v>3011591.093210326</v>
          </cell>
          <cell r="H70">
            <v>732766.71642356494</v>
          </cell>
          <cell r="J70">
            <v>1001684.474784652</v>
          </cell>
          <cell r="K70">
            <v>0</v>
          </cell>
          <cell r="L70">
            <v>0</v>
          </cell>
          <cell r="M70">
            <v>0</v>
          </cell>
        </row>
        <row r="71">
          <cell r="F71">
            <v>1017558.8726970223</v>
          </cell>
          <cell r="G71">
            <v>3036420.2796886484</v>
          </cell>
          <cell r="H71">
            <v>656718.2593046769</v>
          </cell>
          <cell r="J71">
            <v>1017558.872697022</v>
          </cell>
          <cell r="K71">
            <v>0</v>
          </cell>
          <cell r="L71">
            <v>0</v>
          </cell>
          <cell r="M71">
            <v>0</v>
          </cell>
        </row>
        <row r="72">
          <cell r="F72">
            <v>1031768.2844201991</v>
          </cell>
          <cell r="G72">
            <v>3058645.2569992584</v>
          </cell>
          <cell r="H72">
            <v>588022.29935574764</v>
          </cell>
          <cell r="J72">
            <v>1031768.284420199</v>
          </cell>
          <cell r="K72">
            <v>0</v>
          </cell>
          <cell r="L72">
            <v>0</v>
          </cell>
          <cell r="M72">
            <v>0</v>
          </cell>
        </row>
        <row r="73">
          <cell r="F73">
            <v>1044487.3420268778</v>
          </cell>
          <cell r="G73">
            <v>3078539.167614833</v>
          </cell>
          <cell r="H73">
            <v>526086.12358112587</v>
          </cell>
          <cell r="J73">
            <v>1044487.3420268777</v>
          </cell>
          <cell r="K73">
            <v>0</v>
          </cell>
          <cell r="L73">
            <v>0</v>
          </cell>
          <cell r="M73">
            <v>0</v>
          </cell>
        </row>
        <row r="74">
          <cell r="F74">
            <v>1619365.3580385898</v>
          </cell>
          <cell r="G74">
            <v>2532853.5087270248</v>
          </cell>
          <cell r="H74">
            <v>384742.10193154332</v>
          </cell>
          <cell r="J74">
            <v>1619365.3580385898</v>
          </cell>
          <cell r="K74">
            <v>0</v>
          </cell>
          <cell r="L74">
            <v>0</v>
          </cell>
          <cell r="M74">
            <v>0</v>
          </cell>
        </row>
        <row r="75">
          <cell r="F75">
            <v>1629556.2595956142</v>
          </cell>
          <cell r="G75">
            <v>2548793.1239828821</v>
          </cell>
          <cell r="H75">
            <v>344145.19101999374</v>
          </cell>
          <cell r="J75">
            <v>1629556.2595956135</v>
          </cell>
          <cell r="K75">
            <v>0</v>
          </cell>
          <cell r="L75">
            <v>0</v>
          </cell>
          <cell r="M75">
            <v>0</v>
          </cell>
        </row>
        <row r="76">
          <cell r="F76">
            <v>1638678.2884658428</v>
          </cell>
          <cell r="G76">
            <v>2563060.9127286263</v>
          </cell>
          <cell r="H76">
            <v>307619.26030605589</v>
          </cell>
          <cell r="J76">
            <v>1638678.2884658428</v>
          </cell>
          <cell r="K76">
            <v>0</v>
          </cell>
          <cell r="L76">
            <v>0</v>
          </cell>
          <cell r="M76">
            <v>0</v>
          </cell>
        </row>
        <row r="77">
          <cell r="F77">
            <v>1646843.5533586154</v>
          </cell>
          <cell r="G77">
            <v>2575832.2244839882</v>
          </cell>
          <cell r="H77">
            <v>274801.84584791161</v>
          </cell>
          <cell r="J77">
            <v>1646843.5533586154</v>
          </cell>
          <cell r="K77">
            <v>0</v>
          </cell>
          <cell r="L77">
            <v>0</v>
          </cell>
          <cell r="M77">
            <v>0</v>
          </cell>
        </row>
        <row r="78">
          <cell r="F78">
            <v>1654152.4044615489</v>
          </cell>
          <cell r="G78">
            <v>2587264.0172347305</v>
          </cell>
          <cell r="H78">
            <v>245352.39381367265</v>
          </cell>
          <cell r="J78">
            <v>1654152.4044615489</v>
          </cell>
          <cell r="K78">
            <v>0</v>
          </cell>
          <cell r="L78">
            <v>0</v>
          </cell>
          <cell r="M78">
            <v>0</v>
          </cell>
        </row>
        <row r="79">
          <cell r="F79">
            <v>1660694.6667330549</v>
          </cell>
          <cell r="G79">
            <v>2597496.7864286243</v>
          </cell>
          <cell r="H79">
            <v>218953.57849605803</v>
          </cell>
          <cell r="J79">
            <v>1660694.6667330549</v>
          </cell>
          <cell r="K79">
            <v>0</v>
          </cell>
          <cell r="L79">
            <v>0</v>
          </cell>
          <cell r="M79">
            <v>0</v>
          </cell>
        </row>
        <row r="80">
          <cell r="F80">
            <v>1666550.7438409862</v>
          </cell>
          <cell r="G80">
            <v>2606656.2916487223</v>
          </cell>
          <cell r="H80">
            <v>195311.70709267538</v>
          </cell>
          <cell r="J80">
            <v>1666550.7438409862</v>
          </cell>
          <cell r="K80">
            <v>0</v>
          </cell>
          <cell r="L80">
            <v>0</v>
          </cell>
          <cell r="M80">
            <v>0</v>
          </cell>
        </row>
        <row r="81">
          <cell r="F81">
            <v>1671792.6063146766</v>
          </cell>
          <cell r="G81">
            <v>2614855.102184494</v>
          </cell>
          <cell r="H81">
            <v>174156.4694096173</v>
          </cell>
          <cell r="J81">
            <v>1671792.6063146766</v>
          </cell>
          <cell r="K81">
            <v>0</v>
          </cell>
          <cell r="L81">
            <v>0</v>
          </cell>
          <cell r="M81">
            <v>0</v>
          </cell>
        </row>
        <row r="82">
          <cell r="F82">
            <v>1676484.6760546502</v>
          </cell>
          <cell r="G82">
            <v>2622193.9804957388</v>
          </cell>
          <cell r="H82">
            <v>155240.22994408701</v>
          </cell>
          <cell r="J82">
            <v>1676484.6760546516</v>
          </cell>
          <cell r="K82">
            <v>0</v>
          </cell>
          <cell r="L82">
            <v>0</v>
          </cell>
          <cell r="M82">
            <v>0</v>
          </cell>
        </row>
        <row r="83">
          <cell r="F83">
            <v>1680684.6180705442</v>
          </cell>
          <cell r="G83">
            <v>2628763.1205718727</v>
          </cell>
          <cell r="H83">
            <v>138337.01238701286</v>
          </cell>
          <cell r="J83">
            <v>1680684.6180705426</v>
          </cell>
          <cell r="K83">
            <v>0</v>
          </cell>
          <cell r="L83">
            <v>0</v>
          </cell>
          <cell r="M83">
            <v>0</v>
          </cell>
        </row>
        <row r="84">
          <cell r="F84">
            <v>1684444.0491775821</v>
          </cell>
          <cell r="G84">
            <v>2634643.2564059617</v>
          </cell>
          <cell r="H84">
            <v>123241.28964584119</v>
          </cell>
          <cell r="J84">
            <v>1684444.0491775821</v>
          </cell>
          <cell r="K84">
            <v>0</v>
          </cell>
          <cell r="L84">
            <v>0</v>
          </cell>
          <cell r="M84">
            <v>0</v>
          </cell>
        </row>
        <row r="85">
          <cell r="F85">
            <v>1687809.1723614489</v>
          </cell>
          <cell r="G85">
            <v>2639906.6542063686</v>
          </cell>
          <cell r="H85">
            <v>109766.66379336157</v>
          </cell>
          <cell r="J85">
            <v>1687809.1723614489</v>
          </cell>
          <cell r="K85">
            <v>0</v>
          </cell>
          <cell r="L85">
            <v>0</v>
          </cell>
          <cell r="M85">
            <v>0</v>
          </cell>
        </row>
        <row r="86">
          <cell r="F86">
            <v>1690821.3446077742</v>
          </cell>
          <cell r="G86">
            <v>2644618.0005403645</v>
          </cell>
          <cell r="H86">
            <v>97744.498137931674</v>
          </cell>
          <cell r="J86">
            <v>1690821.3446077742</v>
          </cell>
          <cell r="K86">
            <v>0</v>
          </cell>
          <cell r="L86">
            <v>0</v>
          </cell>
          <cell r="M86">
            <v>0</v>
          </cell>
        </row>
        <row r="87">
          <cell r="F87">
            <v>1693517.5851748469</v>
          </cell>
          <cell r="G87">
            <v>2648835.1973247607</v>
          </cell>
          <cell r="H87">
            <v>87022.546489913919</v>
          </cell>
          <cell r="J87">
            <v>1693517.5851748469</v>
          </cell>
          <cell r="K87">
            <v>0</v>
          </cell>
          <cell r="L87">
            <v>0</v>
          </cell>
          <cell r="M87">
            <v>0</v>
          </cell>
        </row>
        <row r="88">
          <cell r="F88">
            <v>1695931.0305561291</v>
          </cell>
          <cell r="G88">
            <v>2652610.073433945</v>
          </cell>
          <cell r="H88">
            <v>77463.611567213433</v>
          </cell>
          <cell r="J88">
            <v>1695931.0305561291</v>
          </cell>
          <cell r="K88">
            <v>0</v>
          </cell>
          <cell r="L88">
            <v>0</v>
          </cell>
          <cell r="M88">
            <v>0</v>
          </cell>
        </row>
        <row r="89">
          <cell r="F89">
            <v>1698091.3417240463</v>
          </cell>
          <cell r="G89">
            <v>2655989.0216709441</v>
          </cell>
          <cell r="H89">
            <v>68944.254469973705</v>
          </cell>
          <cell r="J89">
            <v>1698091.3417240463</v>
          </cell>
          <cell r="K89">
            <v>0</v>
          </cell>
          <cell r="L89">
            <v>0</v>
          </cell>
          <cell r="M89">
            <v>0</v>
          </cell>
        </row>
        <row r="90">
          <cell r="F90">
            <v>1700025.068659995</v>
          </cell>
          <cell r="G90">
            <v>2659013.5689297356</v>
          </cell>
          <cell r="H90">
            <v>61353.569574979803</v>
          </cell>
          <cell r="J90">
            <v>1700025.068659995</v>
          </cell>
          <cell r="K90">
            <v>0</v>
          </cell>
          <cell r="L90">
            <v>0</v>
          </cell>
          <cell r="M90">
            <v>0</v>
          </cell>
        </row>
        <row r="91">
          <cell r="F91">
            <v>1701755.9766506318</v>
          </cell>
          <cell r="G91">
            <v>2661720.8865561159</v>
          </cell>
          <cell r="H91">
            <v>54592.033513884868</v>
          </cell>
          <cell r="J91">
            <v>1701755.9766506318</v>
          </cell>
          <cell r="K91">
            <v>0</v>
          </cell>
          <cell r="L91">
            <v>0</v>
          </cell>
          <cell r="M91">
            <v>0</v>
          </cell>
        </row>
        <row r="92">
          <cell r="F92">
            <v>1703305.3383605799</v>
          </cell>
          <cell r="G92">
            <v>2664144.2471793685</v>
          </cell>
          <cell r="H92">
            <v>48570.432680914346</v>
          </cell>
          <cell r="J92">
            <v>1703305.3383605799</v>
          </cell>
          <cell r="K92">
            <v>0</v>
          </cell>
          <cell r="L92">
            <v>0</v>
          </cell>
          <cell r="M92">
            <v>0</v>
          </cell>
        </row>
        <row r="93">
          <cell r="F93">
            <v>1704692.1952710797</v>
          </cell>
          <cell r="G93">
            <v>2666313.4336291207</v>
          </cell>
          <cell r="H93">
            <v>43208.87063125609</v>
          </cell>
          <cell r="J93">
            <v>1704692.195271078</v>
          </cell>
          <cell r="K93">
            <v>0</v>
          </cell>
          <cell r="L93">
            <v>0</v>
          </cell>
          <cell r="M93">
            <v>0</v>
          </cell>
        </row>
        <row r="94">
          <cell r="F94">
            <v>1705933.5916976517</v>
          </cell>
          <cell r="G94">
            <v>2668255.1049629934</v>
          </cell>
          <cell r="H94">
            <v>38435.854518960776</v>
          </cell>
          <cell r="J94">
            <v>1705933.5916976517</v>
          </cell>
          <cell r="K94">
            <v>0</v>
          </cell>
          <cell r="L94">
            <v>0</v>
          </cell>
          <cell r="M94">
            <v>0</v>
          </cell>
        </row>
        <row r="95">
          <cell r="F95">
            <v>1707044.7842628281</v>
          </cell>
          <cell r="G95">
            <v>2669993.1241033939</v>
          </cell>
          <cell r="H95">
            <v>34187.458177787332</v>
          </cell>
          <cell r="J95">
            <v>1707044.7842628267</v>
          </cell>
          <cell r="K95">
            <v>0</v>
          </cell>
          <cell r="L95">
            <v>0</v>
          </cell>
          <cell r="M95">
            <v>0</v>
          </cell>
        </row>
        <row r="96">
          <cell r="F96">
            <v>1708039.429398312</v>
          </cell>
          <cell r="G96">
            <v>2671548.8511101874</v>
          </cell>
          <cell r="H96">
            <v>30406.558409868023</v>
          </cell>
          <cell r="J96">
            <v>1708039.4293983148</v>
          </cell>
          <cell r="K96">
            <v>0</v>
          </cell>
          <cell r="L96">
            <v>0</v>
          </cell>
          <cell r="M96">
            <v>0</v>
          </cell>
        </row>
        <row r="97">
          <cell r="F97">
            <v>1708929.7511810102</v>
          </cell>
          <cell r="G97">
            <v>2672941.4056933746</v>
          </cell>
          <cell r="H97">
            <v>27042.140390531473</v>
          </cell>
          <cell r="J97">
            <v>1708929.7511810102</v>
          </cell>
          <cell r="K97">
            <v>0</v>
          </cell>
          <cell r="L97">
            <v>0</v>
          </cell>
          <cell r="M97">
            <v>0</v>
          </cell>
        </row>
        <row r="98">
          <cell r="F98">
            <v>1709726.6915655381</v>
          </cell>
          <cell r="G98">
            <v>2674187.9021922555</v>
          </cell>
          <cell r="H98">
            <v>24048.6677261939</v>
          </cell>
          <cell r="J98">
            <v>1709726.6915655395</v>
          </cell>
          <cell r="K98">
            <v>0</v>
          </cell>
          <cell r="L98">
            <v>0</v>
          </cell>
          <cell r="M98">
            <v>0</v>
          </cell>
        </row>
        <row r="99">
          <cell r="F99">
            <v>1710440.044859637</v>
          </cell>
          <cell r="G99">
            <v>2675303.6599086593</v>
          </cell>
          <cell r="H99">
            <v>21385.512540858886</v>
          </cell>
          <cell r="J99">
            <v>1710440.0448596356</v>
          </cell>
          <cell r="K99">
            <v>0</v>
          </cell>
          <cell r="L99">
            <v>0</v>
          </cell>
          <cell r="M99">
            <v>0</v>
          </cell>
        </row>
        <row r="100">
          <cell r="F100">
            <v>1711078.5780950922</v>
          </cell>
          <cell r="G100">
            <v>2676302.3913795063</v>
          </cell>
          <cell r="H100">
            <v>19016.440957644794</v>
          </cell>
          <cell r="J100">
            <v>1711078.5780950936</v>
          </cell>
          <cell r="K100">
            <v>0</v>
          </cell>
          <cell r="L100">
            <v>0</v>
          </cell>
          <cell r="M100">
            <v>0</v>
          </cell>
        </row>
        <row r="101">
          <cell r="F101">
            <v>1711650.1387735915</v>
          </cell>
          <cell r="G101">
            <v>2677196.3709022803</v>
          </cell>
          <cell r="H101">
            <v>16909.149440501693</v>
          </cell>
          <cell r="J101">
            <v>1711650.1387735899</v>
          </cell>
          <cell r="K101">
            <v>0</v>
          </cell>
          <cell r="L101">
            <v>0</v>
          </cell>
          <cell r="M101">
            <v>0</v>
          </cell>
        </row>
        <row r="102">
          <cell r="F102">
            <v>1712161.7513116139</v>
          </cell>
          <cell r="G102">
            <v>2677996.5853848318</v>
          </cell>
          <cell r="H102">
            <v>15034.847634086373</v>
          </cell>
          <cell r="J102">
            <v>1712161.7513116139</v>
          </cell>
          <cell r="K102">
            <v>0</v>
          </cell>
          <cell r="L102">
            <v>0</v>
          </cell>
          <cell r="M102">
            <v>0</v>
          </cell>
        </row>
        <row r="103">
          <cell r="F103">
            <v>1712619.7033697434</v>
          </cell>
          <cell r="G103">
            <v>2678712.8693731846</v>
          </cell>
          <cell r="H103">
            <v>13367.88356101315</v>
          </cell>
          <cell r="J103">
            <v>1712619.7033697418</v>
          </cell>
          <cell r="K103">
            <v>0</v>
          </cell>
          <cell r="L103">
            <v>0</v>
          </cell>
          <cell r="M103">
            <v>0</v>
          </cell>
        </row>
        <row r="104">
          <cell r="F104">
            <v>1713029.6231272877</v>
          </cell>
          <cell r="G104">
            <v>2679354.0259170434</v>
          </cell>
          <cell r="H104">
            <v>11885.407286198131</v>
          </cell>
          <cell r="J104">
            <v>1713029.6231272891</v>
          </cell>
          <cell r="K104">
            <v>0</v>
          </cell>
          <cell r="L104">
            <v>0</v>
          </cell>
          <cell r="M104">
            <v>0</v>
          </cell>
        </row>
        <row r="105">
          <cell r="F105">
            <v>1713396.5484519906</v>
          </cell>
          <cell r="G105">
            <v>2679927.9347582376</v>
          </cell>
          <cell r="H105">
            <v>10567.069423503946</v>
          </cell>
          <cell r="J105">
            <v>1713396.5484519892</v>
          </cell>
          <cell r="K105">
            <v>0</v>
          </cell>
          <cell r="L105">
            <v>0</v>
          </cell>
          <cell r="M105">
            <v>0</v>
          </cell>
        </row>
        <row r="106">
          <cell r="F106">
            <v>1713724.9888148382</v>
          </cell>
          <cell r="G106">
            <v>2680441.6491719298</v>
          </cell>
          <cell r="H106">
            <v>9394.7511299632206</v>
          </cell>
          <cell r="J106">
            <v>1713724.9888148396</v>
          </cell>
          <cell r="K106">
            <v>0</v>
          </cell>
          <cell r="L106">
            <v>0</v>
          </cell>
          <cell r="M106">
            <v>0</v>
          </cell>
        </row>
        <row r="107">
          <cell r="F107">
            <v>1714018.9807109712</v>
          </cell>
          <cell r="G107">
            <v>2680901.4826504933</v>
          </cell>
          <cell r="H107">
            <v>8352.3225000316706</v>
          </cell>
          <cell r="J107">
            <v>1714018.9807109712</v>
          </cell>
          <cell r="K107">
            <v>0</v>
          </cell>
          <cell r="L107">
            <v>0</v>
          </cell>
          <cell r="M107">
            <v>0</v>
          </cell>
        </row>
        <row r="108">
          <cell r="F108">
            <v>1714282.137267743</v>
          </cell>
          <cell r="G108">
            <v>2681313.0864957003</v>
          </cell>
          <cell r="H108">
            <v>7425.4265313857441</v>
          </cell>
          <cell r="J108">
            <v>1714282.137267743</v>
          </cell>
          <cell r="K108">
            <v>0</v>
          </cell>
          <cell r="L108">
            <v>0</v>
          </cell>
          <cell r="M108">
            <v>0</v>
          </cell>
        </row>
        <row r="109">
          <cell r="F109">
            <v>0</v>
          </cell>
          <cell r="G109">
            <v>0</v>
          </cell>
          <cell r="H109">
            <v>0</v>
          </cell>
        </row>
        <row r="110">
          <cell r="F110">
            <v>0</v>
          </cell>
          <cell r="G110">
            <v>0</v>
          </cell>
          <cell r="H110">
            <v>21672807.566668823</v>
          </cell>
          <cell r="I110">
            <v>0</v>
          </cell>
        </row>
        <row r="111">
          <cell r="F111">
            <v>0</v>
          </cell>
          <cell r="G111">
            <v>0</v>
          </cell>
          <cell r="H111">
            <v>32.330090524712375</v>
          </cell>
        </row>
      </sheetData>
      <sheetData sheetId="5"/>
      <sheetData sheetId="6"/>
      <sheetData sheetId="7"/>
      <sheetData sheetId="8"/>
      <sheetData sheetId="9"/>
      <sheetData sheetId="10"/>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ructural Analysis"/>
      <sheetName val="IS Data - Expanded"/>
      <sheetName val="IS Data - As Reported"/>
      <sheetName val="BS Data - As Reported"/>
      <sheetName val="Presentation Formatting I"/>
      <sheetName val="Presentation Formatting II"/>
      <sheetName val="Model"/>
      <sheetName val="Opening Balance Sheet"/>
      <sheetName val="Revenue Schedule"/>
      <sheetName val="COGS Schedule"/>
      <sheetName val="Operating Expense Schedule"/>
      <sheetName val="Sheet1"/>
      <sheetName val="Debt Schedule"/>
      <sheetName val="Preferred Stock Schedule"/>
      <sheetName val="Capex &amp; Depreciation Schedule"/>
      <sheetName val="Intangibles Amort Schedule"/>
      <sheetName val="Diluted Share Schedule"/>
      <sheetName val="Lease Schedule"/>
      <sheetName val="Goodwill Calculation Schedule"/>
      <sheetName val="NOL Schedule"/>
      <sheetName val="Deferred Tax Schedule"/>
    </sheetNames>
    <sheetDataSet>
      <sheetData sheetId="0" refreshError="1"/>
      <sheetData sheetId="1" refreshError="1"/>
      <sheetData sheetId="2" refreshError="1"/>
      <sheetData sheetId="3" refreshError="1"/>
      <sheetData sheetId="4" refreshError="1"/>
      <sheetData sheetId="5" refreshError="1"/>
      <sheetData sheetId="6" refreshError="1">
        <row r="14">
          <cell r="E14">
            <v>1</v>
          </cell>
        </row>
        <row r="17">
          <cell r="E17" t="str">
            <v>Project Flame</v>
          </cell>
        </row>
        <row r="27">
          <cell r="E27">
            <v>0.35</v>
          </cell>
        </row>
        <row r="29">
          <cell r="E29">
            <v>1</v>
          </cell>
        </row>
        <row r="33">
          <cell r="E33" t="str">
            <v>thousands</v>
          </cell>
        </row>
        <row r="35">
          <cell r="E35">
            <v>0</v>
          </cell>
        </row>
        <row r="510">
          <cell r="N510" t="str">
            <v>None</v>
          </cell>
        </row>
      </sheetData>
      <sheetData sheetId="7" refreshError="1"/>
      <sheetData sheetId="8"/>
      <sheetData sheetId="9"/>
      <sheetData sheetId="10" refreshError="1"/>
      <sheetData sheetId="11" refreshError="1"/>
      <sheetData sheetId="12"/>
      <sheetData sheetId="13" refreshError="1">
        <row r="17">
          <cell r="C17">
            <v>0</v>
          </cell>
        </row>
      </sheetData>
      <sheetData sheetId="14" refreshError="1"/>
      <sheetData sheetId="15" refreshError="1"/>
      <sheetData sheetId="16" refreshError="1"/>
      <sheetData sheetId="17" refreshError="1"/>
      <sheetData sheetId="18" refreshError="1">
        <row r="16">
          <cell r="C16">
            <v>0</v>
          </cell>
        </row>
      </sheetData>
      <sheetData sheetId="19" refreshError="1"/>
      <sheetData sheetId="2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Detail"/>
      <sheetName val="Sheet3"/>
    </sheetNames>
    <sheetDataSet>
      <sheetData sheetId="0" refreshError="1"/>
      <sheetData sheetId="1" refreshError="1">
        <row r="12">
          <cell r="D12" t="str">
            <v>100% Treasury</v>
          </cell>
          <cell r="E12">
            <v>8.0000000000000004E-4</v>
          </cell>
          <cell r="F12">
            <v>473.84199999999998</v>
          </cell>
          <cell r="I12">
            <v>473.84199999999998</v>
          </cell>
          <cell r="J12">
            <v>-473.8</v>
          </cell>
          <cell r="K12">
            <v>4.199999999997317E-2</v>
          </cell>
        </row>
        <row r="13">
          <cell r="D13" t="str">
            <v>MMDA</v>
          </cell>
          <cell r="E13">
            <v>1.5E-3</v>
          </cell>
          <cell r="F13">
            <v>0</v>
          </cell>
          <cell r="G13">
            <v>0</v>
          </cell>
          <cell r="I13">
            <v>0</v>
          </cell>
          <cell r="K13">
            <v>0</v>
          </cell>
        </row>
        <row r="14">
          <cell r="D14" t="str">
            <v>Government</v>
          </cell>
          <cell r="E14">
            <v>4.7999999999999996E-3</v>
          </cell>
          <cell r="G14">
            <v>491275.78899999999</v>
          </cell>
          <cell r="I14">
            <v>491275.78899999999</v>
          </cell>
          <cell r="J14">
            <v>-300000</v>
          </cell>
          <cell r="K14">
            <v>191275.78899999999</v>
          </cell>
        </row>
        <row r="15">
          <cell r="D15" t="str">
            <v>GSO Fidelity Government Fund</v>
          </cell>
          <cell r="E15">
            <v>6.1000000000000004E-3</v>
          </cell>
          <cell r="G15">
            <v>22843.84563</v>
          </cell>
          <cell r="I15">
            <v>22843.84563</v>
          </cell>
          <cell r="K15">
            <v>22843.84563</v>
          </cell>
        </row>
        <row r="16">
          <cell r="D16" t="str">
            <v>Uninvested (a)</v>
          </cell>
          <cell r="E16" t="str">
            <v>-</v>
          </cell>
          <cell r="F16">
            <v>52456.663</v>
          </cell>
          <cell r="I16">
            <v>52456.663</v>
          </cell>
          <cell r="J16">
            <v>-10000</v>
          </cell>
          <cell r="K16">
            <v>42456.663</v>
          </cell>
        </row>
        <row r="17">
          <cell r="D17" t="str">
            <v>Park Hill Time Deposits - B of A</v>
          </cell>
          <cell r="E17">
            <v>1.24E-2</v>
          </cell>
          <cell r="H17">
            <v>18394.809000000001</v>
          </cell>
          <cell r="I17">
            <v>18394.809000000001</v>
          </cell>
          <cell r="K17">
            <v>18394.809000000001</v>
          </cell>
        </row>
        <row r="18">
          <cell r="D18" t="str">
            <v>Citibank Mumbai - Time Deposits</v>
          </cell>
          <cell r="E18">
            <v>0.1</v>
          </cell>
          <cell r="G18">
            <v>1163.279</v>
          </cell>
          <cell r="I18">
            <v>1163.279</v>
          </cell>
          <cell r="K18">
            <v>1163.279</v>
          </cell>
        </row>
        <row r="19">
          <cell r="D19" t="str">
            <v xml:space="preserve">BGIL &amp; JPM London Accounts </v>
          </cell>
          <cell r="E19">
            <v>1.5E-3</v>
          </cell>
          <cell r="F19">
            <v>67558.448999999993</v>
          </cell>
          <cell r="I19">
            <v>67558.448999999993</v>
          </cell>
          <cell r="J19">
            <v>-20000</v>
          </cell>
          <cell r="K19">
            <v>47558.448999999993</v>
          </cell>
        </row>
        <row r="20">
          <cell r="D20" t="str">
            <v>Prime</v>
          </cell>
          <cell r="E20">
            <v>7.4999999999999997E-3</v>
          </cell>
          <cell r="H20">
            <v>93273.814999999988</v>
          </cell>
          <cell r="I20">
            <v>93273.814999999988</v>
          </cell>
          <cell r="J20">
            <v>330473.8</v>
          </cell>
          <cell r="K20">
            <v>423747.61499999999</v>
          </cell>
        </row>
        <row r="30">
          <cell r="D30" t="str">
            <v>Blackrock Treasury Fund</v>
          </cell>
          <cell r="E30">
            <v>1E-3</v>
          </cell>
          <cell r="F30">
            <v>26520.562000000002</v>
          </cell>
          <cell r="I30">
            <v>26520.562000000002</v>
          </cell>
          <cell r="J30">
            <v>-16000</v>
          </cell>
          <cell r="K30">
            <v>10520.562000000002</v>
          </cell>
        </row>
        <row r="31">
          <cell r="D31" t="str">
            <v>JPM Sweep</v>
          </cell>
          <cell r="E31">
            <v>1.5E-3</v>
          </cell>
          <cell r="F31">
            <v>1180492.159</v>
          </cell>
          <cell r="I31">
            <v>1180492.159</v>
          </cell>
          <cell r="J31">
            <v>-1180492.2</v>
          </cell>
          <cell r="K31">
            <v>-4.0999999968335032E-2</v>
          </cell>
        </row>
        <row r="32">
          <cell r="D32" t="str">
            <v>Blackrock Temp Fund (b)</v>
          </cell>
          <cell r="E32">
            <v>6.674633432629147E-3</v>
          </cell>
          <cell r="I32">
            <v>0</v>
          </cell>
          <cell r="J32">
            <v>1196492.2</v>
          </cell>
          <cell r="K32">
            <v>1196492.2</v>
          </cell>
        </row>
        <row r="35">
          <cell r="D35" t="str">
            <v>100% Treasury</v>
          </cell>
          <cell r="E35">
            <v>8.0000000000000004E-4</v>
          </cell>
          <cell r="F35">
            <v>24638.063109999999</v>
          </cell>
          <cell r="I35">
            <v>24638.063109999999</v>
          </cell>
          <cell r="J35">
            <v>-12.973000000000001</v>
          </cell>
          <cell r="K35">
            <v>24625.090109999997</v>
          </cell>
        </row>
        <row r="36">
          <cell r="D36" t="str">
            <v>Uninvested (a)</v>
          </cell>
          <cell r="E36" t="str">
            <v>-</v>
          </cell>
          <cell r="F36">
            <v>79422.428</v>
          </cell>
          <cell r="I36">
            <v>79422.428</v>
          </cell>
          <cell r="J36">
            <v>-8128.4709999999995</v>
          </cell>
          <cell r="K36">
            <v>71293.956999999995</v>
          </cell>
        </row>
        <row r="37">
          <cell r="D37" t="str">
            <v>Government</v>
          </cell>
          <cell r="E37">
            <v>4.7999999999999996E-3</v>
          </cell>
          <cell r="G37">
            <v>18762.594000000001</v>
          </cell>
          <cell r="I37">
            <v>18762.594000000001</v>
          </cell>
          <cell r="K37">
            <v>18762.594000000001</v>
          </cell>
        </row>
        <row r="38">
          <cell r="D38" t="str">
            <v>Prime</v>
          </cell>
          <cell r="E38">
            <v>7.4999999999999997E-3</v>
          </cell>
          <cell r="H38">
            <v>2535.9351200000001</v>
          </cell>
          <cell r="I38">
            <v>2535.9351200000001</v>
          </cell>
          <cell r="J38">
            <v>8141.4439999999995</v>
          </cell>
          <cell r="K38">
            <v>10677.37912</v>
          </cell>
        </row>
        <row r="41">
          <cell r="D41" t="str">
            <v>100% Treasury</v>
          </cell>
          <cell r="E41">
            <v>8.0000000000000004E-4</v>
          </cell>
          <cell r="F41">
            <v>256.10996999999998</v>
          </cell>
          <cell r="I41">
            <v>256.10996999999998</v>
          </cell>
          <cell r="K41">
            <v>256.10996999999998</v>
          </cell>
        </row>
        <row r="42">
          <cell r="D42" t="str">
            <v>Uninvested (a)</v>
          </cell>
          <cell r="E42" t="str">
            <v>-</v>
          </cell>
          <cell r="F42">
            <v>89321.442999999999</v>
          </cell>
          <cell r="I42">
            <v>89321.442999999999</v>
          </cell>
          <cell r="J42">
            <v>-81451.760999999999</v>
          </cell>
          <cell r="K42">
            <v>7869.6820000000007</v>
          </cell>
        </row>
        <row r="43">
          <cell r="D43" t="str">
            <v>Prime</v>
          </cell>
          <cell r="E43">
            <v>7.4999999999999997E-3</v>
          </cell>
          <cell r="J43">
            <v>81451.760999999999</v>
          </cell>
          <cell r="K43">
            <v>81451.760999999999</v>
          </cell>
        </row>
        <row r="46">
          <cell r="D46" t="str">
            <v>100% Treasury</v>
          </cell>
          <cell r="E46">
            <v>8.0000000000000004E-4</v>
          </cell>
          <cell r="F46">
            <v>74330.441000000006</v>
          </cell>
          <cell r="I46">
            <v>74330.441000000006</v>
          </cell>
          <cell r="J46">
            <v>-21714.440999999999</v>
          </cell>
          <cell r="K46">
            <v>52616.000000000007</v>
          </cell>
        </row>
        <row r="47">
          <cell r="D47" t="str">
            <v>Uninvested (a)</v>
          </cell>
          <cell r="E47" t="str">
            <v>-</v>
          </cell>
          <cell r="F47">
            <v>172958.41121419999</v>
          </cell>
          <cell r="I47">
            <v>172958.41121419999</v>
          </cell>
          <cell r="J47">
            <v>-81078.877000000008</v>
          </cell>
          <cell r="K47">
            <v>91879.534214199986</v>
          </cell>
        </row>
        <row r="48">
          <cell r="D48" t="str">
            <v>MMDA</v>
          </cell>
          <cell r="E48">
            <v>1.5E-3</v>
          </cell>
          <cell r="F48">
            <v>44.585999999999999</v>
          </cell>
          <cell r="I48">
            <v>44.585999999999999</v>
          </cell>
          <cell r="J48">
            <v>-44.585999999999999</v>
          </cell>
          <cell r="K48">
            <v>0</v>
          </cell>
        </row>
        <row r="49">
          <cell r="D49" t="str">
            <v>Government</v>
          </cell>
          <cell r="E49">
            <v>4.7999999999999996E-3</v>
          </cell>
          <cell r="G49">
            <v>428318.69500000007</v>
          </cell>
          <cell r="I49">
            <v>428318.69500000007</v>
          </cell>
          <cell r="J49">
            <v>-300000</v>
          </cell>
          <cell r="K49">
            <v>128318.69500000007</v>
          </cell>
        </row>
        <row r="50">
          <cell r="D50" t="str">
            <v>Prime</v>
          </cell>
          <cell r="E50">
            <v>7.4999999999999997E-3</v>
          </cell>
          <cell r="H50">
            <v>64645.271000000001</v>
          </cell>
          <cell r="I50">
            <v>64645.271000000001</v>
          </cell>
          <cell r="J50">
            <v>402837.90399999998</v>
          </cell>
          <cell r="K50">
            <v>467483.17499999999</v>
          </cell>
        </row>
        <row r="53">
          <cell r="D53" t="str">
            <v>100% Treasury</v>
          </cell>
          <cell r="E53">
            <v>8.0000000000000004E-4</v>
          </cell>
          <cell r="F53">
            <v>126882.323</v>
          </cell>
          <cell r="I53">
            <v>126882.323</v>
          </cell>
          <cell r="J53">
            <v>-80000</v>
          </cell>
          <cell r="K53">
            <v>46882.323000000004</v>
          </cell>
        </row>
        <row r="54">
          <cell r="D54" t="str">
            <v>MMDA</v>
          </cell>
          <cell r="E54">
            <v>1.5E-3</v>
          </cell>
          <cell r="F54">
            <v>12792.946250000001</v>
          </cell>
          <cell r="I54">
            <v>12792.946250000001</v>
          </cell>
          <cell r="J54">
            <v>-12792.9</v>
          </cell>
          <cell r="K54">
            <v>4.6250000001236913E-2</v>
          </cell>
        </row>
        <row r="55">
          <cell r="D55" t="str">
            <v>Government</v>
          </cell>
          <cell r="E55">
            <v>4.7999999999999996E-3</v>
          </cell>
          <cell r="G55">
            <v>14558.245999999999</v>
          </cell>
          <cell r="I55">
            <v>14558.245999999999</v>
          </cell>
          <cell r="K55">
            <v>14558.245999999999</v>
          </cell>
        </row>
        <row r="56">
          <cell r="D56" t="str">
            <v>Uninvested (a)</v>
          </cell>
          <cell r="E56" t="str">
            <v>-</v>
          </cell>
          <cell r="F56">
            <v>13329.189</v>
          </cell>
          <cell r="I56">
            <v>13329.189</v>
          </cell>
          <cell r="J56">
            <v>-8000</v>
          </cell>
          <cell r="K56">
            <v>5329.1890000000003</v>
          </cell>
        </row>
        <row r="57">
          <cell r="D57" t="str">
            <v>Prime</v>
          </cell>
          <cell r="E57">
            <v>7.4999999999999997E-3</v>
          </cell>
          <cell r="H57">
            <v>828.43543</v>
          </cell>
          <cell r="I57">
            <v>828.43543</v>
          </cell>
          <cell r="J57">
            <v>100792.9</v>
          </cell>
          <cell r="K57">
            <v>101621.33542999999</v>
          </cell>
        </row>
      </sheetData>
      <sheetData sheetId="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ient Info"/>
      <sheetName val="Efficiency Analysis"/>
      <sheetName val="Property Net Book Value Recast"/>
      <sheetName val="Historical Balance Sheets"/>
      <sheetName val="Summary Balance Sheets"/>
      <sheetName val="Detailed Recast Income Stmts"/>
      <sheetName val="Presentation Formatting I"/>
      <sheetName val="Detail Recast Inc Stmt - Split"/>
      <sheetName val="Summary Recast Reconciliation"/>
      <sheetName val="Summary Recast Forecast"/>
      <sheetName val="Investment Overview Chart"/>
      <sheetName val="Recast Detail"/>
      <sheetName val="Summary Financials I"/>
      <sheetName val="Industry Benchmark Summary"/>
    </sheetNames>
    <sheetDataSet>
      <sheetData sheetId="0">
        <row r="2">
          <cell r="B2" t="str">
            <v>Kevah Konner, Inc.</v>
          </cell>
        </row>
        <row r="5">
          <cell r="B5" t="str">
            <v>December 31</v>
          </cell>
        </row>
        <row r="6">
          <cell r="B6" t="str">
            <v>September 30</v>
          </cell>
        </row>
        <row r="7">
          <cell r="B7">
            <v>2009</v>
          </cell>
        </row>
        <row r="8">
          <cell r="B8">
            <v>2006</v>
          </cell>
        </row>
        <row r="9">
          <cell r="B9" t="str">
            <v>Adjustment</v>
          </cell>
        </row>
        <row r="10">
          <cell r="B10" t="str">
            <v>Adjustment</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ancial Summary"/>
      <sheetName val="GTCR Mini Model"/>
      <sheetName val="Runoff Scenario"/>
      <sheetName val="Summary for IC"/>
      <sheetName val="Summary Output"/>
      <sheetName val="Top Charts"/>
      <sheetName val="Top Sales Execs"/>
      <sheetName val="Sales &amp; Marketing Details"/>
      <sheetName val="Account IRR"/>
      <sheetName val="RMR by Vertical"/>
      <sheetName val="Cap Table"/>
      <sheetName val="Sales and ARPU"/>
      <sheetName val="Attrition Data"/>
      <sheetName val="Backup Data &gt;&gt;&gt;"/>
      <sheetName val="Op ScoreCard"/>
      <sheetName val="OngoingServ GM"/>
      <sheetName val="New Backup Data"/>
      <sheetName val="Op ScoreCard (2)"/>
      <sheetName val="OngoingServ Margin"/>
      <sheetName val="Metric Summary"/>
      <sheetName val="Valuation Summary"/>
      <sheetName val="VintagePool-ByAccount"/>
      <sheetName val="VintagePool-ByRMR"/>
    </sheetNames>
    <sheetDataSet>
      <sheetData sheetId="0"/>
      <sheetData sheetId="1">
        <row r="3">
          <cell r="F3">
            <v>0</v>
          </cell>
        </row>
        <row r="4">
          <cell r="F4">
            <v>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 Summary"/>
      <sheetName val="RET Matrix"/>
      <sheetName val="Debt Summary"/>
      <sheetName val="S&amp;U Summary"/>
      <sheetName val="Inputs"/>
      <sheetName val="RET"/>
      <sheetName val="S&amp;U"/>
      <sheetName val="Ratios"/>
      <sheetName val="IS"/>
      <sheetName val="Closing BS"/>
      <sheetName val="BS"/>
      <sheetName val="WC"/>
      <sheetName val="CF"/>
      <sheetName val="DEBT"/>
      <sheetName val="DEP"/>
      <sheetName val="TAX"/>
      <sheetName val="Tax Presentation"/>
      <sheetName val="AMORT"/>
      <sheetName val="Summary"/>
      <sheetName val="CUST ACQ COSTS"/>
      <sheetName val="OLTI&amp;MI"/>
      <sheetName val="SE"/>
    </sheetNames>
    <sheetDataSet>
      <sheetData sheetId="0" refreshError="1"/>
      <sheetData sheetId="1" refreshError="1"/>
      <sheetData sheetId="2" refreshError="1"/>
      <sheetData sheetId="3" refreshError="1"/>
      <sheetData sheetId="4">
        <row r="3">
          <cell r="F3" t="str">
            <v>Vivint</v>
          </cell>
          <cell r="N3">
            <v>1</v>
          </cell>
        </row>
        <row r="5">
          <cell r="F5" t="str">
            <v>Dollars in thousands, except per share</v>
          </cell>
          <cell r="N5" t="str">
            <v>LBO Analysis | July 25, 2011</v>
          </cell>
        </row>
        <row r="9">
          <cell r="F9">
            <v>365</v>
          </cell>
        </row>
        <row r="11">
          <cell r="F11" t="str">
            <v>Morgan Keegan Projections</v>
          </cell>
        </row>
        <row r="13">
          <cell r="F13" t="str">
            <v>NA</v>
          </cell>
        </row>
        <row r="15">
          <cell r="F15" t="str">
            <v>NA</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idation"/>
      <sheetName val="HEADER"/>
      <sheetName val="Section A"/>
      <sheetName val="Section B"/>
      <sheetName val="Section C"/>
      <sheetName val="Section D1"/>
      <sheetName val="Section D2"/>
      <sheetName val="Section E1"/>
      <sheetName val="Section E2"/>
      <sheetName val="Section F1"/>
      <sheetName val="Section F2"/>
      <sheetName val="Section G1"/>
      <sheetName val="Section G2"/>
      <sheetName val="Section H1"/>
      <sheetName val="Section H2"/>
      <sheetName val="Section J"/>
      <sheetName val="Drop Down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
          <cell r="H1" t="str">
            <v>Thornton Securities</v>
          </cell>
        </row>
        <row r="3">
          <cell r="H3">
            <v>2005</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mplate"/>
      <sheetName val="Cover"/>
      <sheetName val="Incomplete Submissions"/>
      <sheetName val="SNA_Refs"/>
      <sheetName val="SNA_Scratch"/>
      <sheetName val="Submission Status"/>
      <sheetName val="Contents 1"/>
      <sheetName val="Contents 2"/>
      <sheetName val="Contents 3"/>
      <sheetName val="Co Profile Cover"/>
      <sheetName val="Co Profile Data"/>
      <sheetName val="Co Profile by RMR Customer"/>
      <sheetName val="Overall cover"/>
      <sheetName val="Performance Score"/>
      <sheetName val="NM on Stabilized Ops"/>
      <sheetName val="Qtr Int Grwth RMR"/>
      <sheetName val="Prob ROI  Invest Int Grwth RMR"/>
      <sheetName val="Rev per Emp"/>
      <sheetName val="Mon Svc Cover"/>
      <sheetName val="GM MonitorSvc Rev"/>
      <sheetName val="NM MonitorServ Rev"/>
      <sheetName val="T&amp;M Svc Rev to Recur Rev"/>
      <sheetName val="T&amp;M Svc Rev per Svc Call"/>
      <sheetName val="No Sys Mon per CSE"/>
      <sheetName val="Mo Dir Exp Sys Mon"/>
      <sheetName val="No Sys Serv Serv Tech Incl Sub"/>
      <sheetName val="Sys Serv by Serv Dept Emp"/>
      <sheetName val="ServCalls Serv Tech Day"/>
      <sheetName val="ServCalls Serv Emp Day"/>
      <sheetName val="Svc Calls per 100 Accts Svc'ed"/>
      <sheetName val="Dispatch Reduction"/>
      <sheetName val="Sls Inst Cover"/>
      <sheetName val="GM on Install Rev before Sales "/>
      <sheetName val="GM on Install Rev after Sales"/>
      <sheetName val="S&amp;I Direct Ex. Summary"/>
      <sheetName val="NM Install Rev"/>
      <sheetName val="Install Rev to Eqpt Install'd"/>
      <sheetName val="RMR Add to Eqpt Install'd"/>
      <sheetName val="Sales Exp to Eqpt Installed"/>
      <sheetName val="Install Labor to Equip Installe"/>
      <sheetName val="Instal Other to Equip Installed"/>
      <sheetName val="Allocated GA to Equip Installed"/>
      <sheetName val="Install Rev to RMR Add"/>
      <sheetName val="Install Rev to Total RMR Add"/>
      <sheetName val="M1-GM1 to Create RMR"/>
      <sheetName val="M1-GM2 to Create RMR"/>
      <sheetName val="M1-NM to Create RMR"/>
      <sheetName val="M2-GM1 to Create RMR"/>
      <sheetName val="M2-GM2 to Create RMR"/>
      <sheetName val="M2-NM to Create RMR"/>
      <sheetName val="M3-GM1 to Create RMR"/>
      <sheetName val="M3-GM2 to Create RMR"/>
      <sheetName val="M3-NM to Create RMR"/>
      <sheetName val="Mo Equip Install Installer"/>
      <sheetName val="Mo Eqp Instlld Dpt Emp"/>
      <sheetName val="Inventory Turns per Year"/>
      <sheetName val="G&amp;A Cover"/>
      <sheetName val="G &amp; A Exp to Ttl Rev"/>
      <sheetName val="Mo G &amp; A Exp Sys"/>
      <sheetName val="Qtr G &amp; A Exp NA Emp"/>
      <sheetName val="Avg of Accts Rec Rev"/>
      <sheetName val="Avg of Accts Rec by Bill"/>
      <sheetName val="RMR base cover"/>
      <sheetName val="Rate Increase %"/>
      <sheetName val="Gross Annual Attrition Rate"/>
      <sheetName val="Less Resigns"/>
      <sheetName val="Net Attrition 1"/>
      <sheetName val="Less Rate Increases"/>
      <sheetName val="Net Attrition 2"/>
      <sheetName val="Resign Recovery %"/>
      <sheetName val="Attrition Comp."/>
      <sheetName val="Product Purchases"/>
      <sheetName val="Definitions"/>
    </sheetNames>
    <sheetDataSet>
      <sheetData sheetId="0"/>
      <sheetData sheetId="1"/>
      <sheetData sheetId="2"/>
      <sheetData sheetId="3">
        <row r="1">
          <cell r="A1" t="str">
            <v>Company</v>
          </cell>
        </row>
        <row r="2">
          <cell r="A2" t="str">
            <v>Alert Holdings Group, Inc.</v>
          </cell>
        </row>
        <row r="3">
          <cell r="A3" t="str">
            <v>American Alarm &amp; Communications, Inc.</v>
          </cell>
        </row>
        <row r="4">
          <cell r="A4" t="str">
            <v>Alarm Detection Systems, Inc.</v>
          </cell>
        </row>
        <row r="5">
          <cell r="A5" t="str">
            <v>Bay Alarm Company</v>
          </cell>
        </row>
        <row r="6">
          <cell r="A6" t="str">
            <v>Washington Alarm, Inc.</v>
          </cell>
        </row>
        <row r="7">
          <cell r="A7" t="str">
            <v>Atlas Security, Inc.</v>
          </cell>
        </row>
        <row r="8">
          <cell r="A8" t="str">
            <v>Supreme Security Systems</v>
          </cell>
        </row>
        <row r="9">
          <cell r="A9" t="str">
            <v>Guardian Alarm</v>
          </cell>
        </row>
        <row r="10">
          <cell r="A10" t="str">
            <v>Doyle Security Systems, Inc.</v>
          </cell>
        </row>
        <row r="11">
          <cell r="A11" t="str">
            <v>Peak Alarm</v>
          </cell>
        </row>
        <row r="12">
          <cell r="A12" t="str">
            <v>Per Mar Security Services</v>
          </cell>
        </row>
        <row r="13">
          <cell r="A13" t="str">
            <v>SDA Security Systems</v>
          </cell>
        </row>
        <row r="14">
          <cell r="A14" t="str">
            <v>Central Alarm</v>
          </cell>
        </row>
        <row r="15">
          <cell r="A15" t="str">
            <v>ADS Security, L.P.</v>
          </cell>
        </row>
        <row r="16">
          <cell r="A16" t="str">
            <v>Safeguard Security Services, Inc.</v>
          </cell>
        </row>
        <row r="17">
          <cell r="A17" t="str">
            <v>Trans-American Security Services</v>
          </cell>
        </row>
        <row r="18">
          <cell r="A18" t="str">
            <v>Sentry Watch, Inc.</v>
          </cell>
        </row>
        <row r="19">
          <cell r="A19" t="str">
            <v>DGA Security Systems, Inc.</v>
          </cell>
        </row>
        <row r="20">
          <cell r="A20" t="str">
            <v>Safe Systems</v>
          </cell>
        </row>
        <row r="21">
          <cell r="A21" t="str">
            <v>UAS</v>
          </cell>
        </row>
        <row r="22">
          <cell r="A22" t="str">
            <v>Security Equipment, Inc.</v>
          </cell>
        </row>
        <row r="23">
          <cell r="A23" t="str">
            <v>Acme Security Group</v>
          </cell>
        </row>
        <row r="24">
          <cell r="A24" t="str">
            <v>A-Com Protection Services, Inc.</v>
          </cell>
        </row>
        <row r="25">
          <cell r="A25" t="str">
            <v>Lowitt Alarms &amp; Security</v>
          </cell>
        </row>
        <row r="26">
          <cell r="A26" t="str">
            <v>George Alarm Company</v>
          </cell>
        </row>
        <row r="27">
          <cell r="A27" t="str">
            <v>Engineered Protection Systems, Inc.</v>
          </cell>
        </row>
        <row r="28">
          <cell r="A28" t="str">
            <v>Alarme Sentinelle/Sentinel Alarm</v>
          </cell>
        </row>
        <row r="29">
          <cell r="A29" t="str">
            <v>Gillmore Security Systems, Inc.</v>
          </cell>
        </row>
        <row r="30">
          <cell r="A30" t="str">
            <v>Damar Security</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ortization"/>
    </sheetNames>
    <sheetDataSet>
      <sheetData sheetId="0">
        <row r="6">
          <cell r="D6">
            <v>180</v>
          </cell>
        </row>
        <row r="12">
          <cell r="B12" t="str">
            <v>Period</v>
          </cell>
          <cell r="E12" t="str">
            <v>Cumulative Interest</v>
          </cell>
          <cell r="G12" t="str">
            <v>Principal Paid</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PI"/>
      <sheetName val="P&amp;L"/>
      <sheetName val="Forecast"/>
      <sheetName val="Summary"/>
      <sheetName val="Countermeasures"/>
      <sheetName val="Bridges"/>
      <sheetName val="Prior Yr"/>
      <sheetName val="Plan"/>
      <sheetName val="Actual"/>
      <sheetName val="Fcast"/>
      <sheetName val="Pfcast1"/>
      <sheetName val="Current"/>
      <sheetName val="PPM"/>
      <sheetName val="Fcst S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bined Mgmnt Reporting Model"/>
      <sheetName val="PRP_10"/>
      <sheetName val="PRP_10a"/>
      <sheetName val="DSO-DPO"/>
      <sheetName val="dlg_mc_mes_box"/>
      <sheetName val="dlg_prp_select_1"/>
      <sheetName val="dlg_prp_select_2"/>
      <sheetName val="dlg_inp_select_1"/>
      <sheetName val="dlg_inp_select_2"/>
      <sheetName val="dlg_inp_select_3"/>
      <sheetName val="dlg_inp_select_4"/>
      <sheetName val="Graph Details"/>
      <sheetName val="Details"/>
      <sheetName val="Dlg_Front"/>
      <sheetName val="Dlg_about_PRP"/>
      <sheetName val="dlg_company_details"/>
      <sheetName val="dlg_paper_typ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B2" t="str">
            <v>March</v>
          </cell>
        </row>
        <row r="5">
          <cell r="B5" t="str">
            <v>Automation Systems</v>
          </cell>
        </row>
        <row r="6">
          <cell r="B6" t="str">
            <v>Rexnord Group</v>
          </cell>
        </row>
        <row r="7">
          <cell r="B7" t="str">
            <v>LB Bearing - Indy</v>
          </cell>
        </row>
        <row r="8">
          <cell r="B8" t="str">
            <v>5324</v>
          </cell>
        </row>
        <row r="9">
          <cell r="B9" t="str">
            <v>USD</v>
          </cell>
        </row>
        <row r="10">
          <cell r="B10" t="str">
            <v>000</v>
          </cell>
        </row>
        <row r="16">
          <cell r="B16">
            <v>4</v>
          </cell>
        </row>
        <row r="53">
          <cell r="G53" t="str">
            <v>2001</v>
          </cell>
        </row>
      </sheetData>
      <sheetData sheetId="13" refreshError="1"/>
      <sheetData sheetId="14" refreshError="1"/>
      <sheetData sheetId="15" refreshError="1"/>
      <sheetData sheetId="16"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s"/>
      <sheetName val="IS"/>
      <sheetName val="Provided Financials"/>
      <sheetName val="DAK OpModel"/>
      <sheetName val="PB_CACHE"/>
      <sheetName val="DCF Analysis"/>
      <sheetName val="LBO Analysis"/>
      <sheetName val="LBO Source"/>
      <sheetName val="Football Field"/>
      <sheetName val="Public Comps"/>
      <sheetName val="M&amp;A Comps"/>
      <sheetName val="M&amp;A Comps ALL"/>
    </sheetNames>
    <sheetDataSet>
      <sheetData sheetId="0" refreshError="1"/>
      <sheetData sheetId="1" refreshError="1"/>
      <sheetData sheetId="2" refreshError="1"/>
      <sheetData sheetId="3">
        <row r="3">
          <cell r="A3" t="str">
            <v>$'s in millions</v>
          </cell>
        </row>
        <row r="5">
          <cell r="C5">
            <v>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heet2"/>
    </sheetNames>
    <sheetDataSet>
      <sheetData sheetId="0" refreshError="1"/>
      <sheetData sheetId="1">
        <row r="1">
          <cell r="B1" t="str">
            <v>Item</v>
          </cell>
          <cell r="C1" t="str">
            <v>Type</v>
          </cell>
          <cell r="D1" t="str">
            <v>Date</v>
          </cell>
          <cell r="E1" t="str">
            <v>Month</v>
          </cell>
          <cell r="F1" t="str">
            <v>Num</v>
          </cell>
          <cell r="G1" t="str">
            <v>Name</v>
          </cell>
          <cell r="H1" t="str">
            <v>Qty</v>
          </cell>
        </row>
        <row r="2">
          <cell r="B2" t="str">
            <v>SWC1020-1095</v>
          </cell>
          <cell r="C2" t="str">
            <v>Credit Memo</v>
          </cell>
          <cell r="D2">
            <v>38505</v>
          </cell>
          <cell r="F2" t="str">
            <v>CR6006</v>
          </cell>
          <cell r="G2" t="str">
            <v>Techno Satellite</v>
          </cell>
          <cell r="H2">
            <v>-30</v>
          </cell>
        </row>
        <row r="3">
          <cell r="B3" t="str">
            <v>TIMER</v>
          </cell>
          <cell r="C3" t="str">
            <v>Credit Memo</v>
          </cell>
          <cell r="D3">
            <v>38615</v>
          </cell>
          <cell r="F3" t="str">
            <v>7698C</v>
          </cell>
          <cell r="G3" t="str">
            <v>Muzak, LLC:Food Lion #0531 (Bloom Stores)</v>
          </cell>
          <cell r="H3">
            <v>-15</v>
          </cell>
        </row>
        <row r="4">
          <cell r="B4" t="str">
            <v>MNT1000</v>
          </cell>
          <cell r="C4" t="str">
            <v>Credit Memo</v>
          </cell>
          <cell r="D4">
            <v>38615</v>
          </cell>
          <cell r="F4" t="str">
            <v>7698C</v>
          </cell>
          <cell r="G4" t="str">
            <v>Muzak, LLC:Food Lion #0531 (Bloom Stores)</v>
          </cell>
          <cell r="H4">
            <v>-12</v>
          </cell>
        </row>
        <row r="5">
          <cell r="B5" t="str">
            <v>PS12DC-1300</v>
          </cell>
          <cell r="C5" t="str">
            <v>Credit Memo</v>
          </cell>
          <cell r="D5">
            <v>38615</v>
          </cell>
          <cell r="F5" t="str">
            <v>7698C</v>
          </cell>
          <cell r="G5" t="str">
            <v>Muzak, LLC:Food Lion #0531 (Bloom Stores)</v>
          </cell>
          <cell r="H5">
            <v>-7</v>
          </cell>
        </row>
        <row r="6">
          <cell r="B6" t="str">
            <v>0713</v>
          </cell>
          <cell r="C6" t="str">
            <v>Credit Memo</v>
          </cell>
          <cell r="D6">
            <v>38616</v>
          </cell>
          <cell r="F6" t="str">
            <v>CR5211</v>
          </cell>
          <cell r="G6" t="str">
            <v>Saddle Ranch</v>
          </cell>
          <cell r="H6">
            <v>-6</v>
          </cell>
        </row>
        <row r="7">
          <cell r="B7" t="str">
            <v>MNT-TA-AXTS3</v>
          </cell>
          <cell r="C7" t="str">
            <v>Credit Memo</v>
          </cell>
          <cell r="D7">
            <v>38615</v>
          </cell>
          <cell r="F7" t="str">
            <v>7698C</v>
          </cell>
          <cell r="G7" t="str">
            <v>Muzak, LLC:Food Lion #0531 (Bloom Stores)</v>
          </cell>
          <cell r="H7">
            <v>-5</v>
          </cell>
        </row>
        <row r="8">
          <cell r="B8" t="str">
            <v>SPC500-0848</v>
          </cell>
          <cell r="C8" t="str">
            <v>Credit Memo</v>
          </cell>
          <cell r="D8">
            <v>38524</v>
          </cell>
          <cell r="F8" t="str">
            <v>CR5361</v>
          </cell>
          <cell r="G8" t="str">
            <v>Promotool</v>
          </cell>
          <cell r="H8">
            <v>-5</v>
          </cell>
        </row>
        <row r="9">
          <cell r="B9" t="str">
            <v>SWD1000B</v>
          </cell>
          <cell r="C9" t="str">
            <v>Credit Memo</v>
          </cell>
          <cell r="D9">
            <v>38615</v>
          </cell>
          <cell r="F9" t="str">
            <v>7698C</v>
          </cell>
          <cell r="G9" t="str">
            <v>Muzak, LLC:Food Lion #0531 (Bloom Stores)</v>
          </cell>
          <cell r="H9">
            <v>-5</v>
          </cell>
        </row>
        <row r="10">
          <cell r="B10" t="str">
            <v>ESS - SCENT SERVICE</v>
          </cell>
          <cell r="C10" t="str">
            <v>Credit Memo</v>
          </cell>
          <cell r="D10">
            <v>38589</v>
          </cell>
          <cell r="F10" t="str">
            <v>CR6041</v>
          </cell>
          <cell r="G10" t="str">
            <v>Wickes Furniture:Wickes-001</v>
          </cell>
          <cell r="H10">
            <v>-4</v>
          </cell>
        </row>
        <row r="11">
          <cell r="B11" t="str">
            <v>ESS - SCENT SERVICE</v>
          </cell>
          <cell r="C11" t="str">
            <v>Credit Memo</v>
          </cell>
          <cell r="D11">
            <v>38589</v>
          </cell>
          <cell r="F11" t="str">
            <v>CR6042</v>
          </cell>
          <cell r="G11" t="str">
            <v>Wickes Furniture:Wickes-001</v>
          </cell>
          <cell r="H11">
            <v>-4</v>
          </cell>
        </row>
        <row r="12">
          <cell r="B12" t="str">
            <v>SPC500-0275</v>
          </cell>
          <cell r="C12" t="str">
            <v>Credit Memo</v>
          </cell>
          <cell r="D12">
            <v>38552</v>
          </cell>
          <cell r="F12" t="str">
            <v>CR6019A</v>
          </cell>
          <cell r="G12" t="str">
            <v>Strategic Operations Inc.</v>
          </cell>
          <cell r="H12">
            <v>-4</v>
          </cell>
        </row>
        <row r="13">
          <cell r="B13" t="str">
            <v>SPC500-0996</v>
          </cell>
          <cell r="C13" t="str">
            <v>Credit Memo</v>
          </cell>
          <cell r="D13">
            <v>38524</v>
          </cell>
          <cell r="F13" t="str">
            <v>CR5361</v>
          </cell>
          <cell r="G13" t="str">
            <v>Promotool</v>
          </cell>
          <cell r="H13">
            <v>-4</v>
          </cell>
        </row>
        <row r="14">
          <cell r="B14" t="str">
            <v>SPC500-1050</v>
          </cell>
          <cell r="C14" t="str">
            <v>Credit Memo</v>
          </cell>
          <cell r="D14">
            <v>38552</v>
          </cell>
          <cell r="F14" t="str">
            <v>CR6019A</v>
          </cell>
          <cell r="G14" t="str">
            <v>Strategic Operations Inc.</v>
          </cell>
          <cell r="H14">
            <v>-4</v>
          </cell>
        </row>
        <row r="15">
          <cell r="B15" t="str">
            <v>SPC500-1176</v>
          </cell>
          <cell r="C15" t="str">
            <v>Credit Memo</v>
          </cell>
          <cell r="D15">
            <v>38552</v>
          </cell>
          <cell r="F15" t="str">
            <v>CR6019A</v>
          </cell>
          <cell r="G15" t="str">
            <v>Strategic Operations Inc.</v>
          </cell>
          <cell r="H15">
            <v>-4</v>
          </cell>
        </row>
        <row r="16">
          <cell r="B16" t="str">
            <v>SPC500-1287</v>
          </cell>
          <cell r="C16" t="str">
            <v>Credit Memo</v>
          </cell>
          <cell r="D16">
            <v>38552</v>
          </cell>
          <cell r="F16" t="str">
            <v>CR6019A</v>
          </cell>
          <cell r="G16" t="str">
            <v>Strategic Operations Inc.</v>
          </cell>
          <cell r="H16">
            <v>-4</v>
          </cell>
        </row>
        <row r="17">
          <cell r="B17" t="str">
            <v>Credit - Refunds &amp; Returns</v>
          </cell>
          <cell r="C17" t="str">
            <v>Credit Memo</v>
          </cell>
          <cell r="D17">
            <v>38618</v>
          </cell>
          <cell r="F17" t="str">
            <v>CR6118</v>
          </cell>
          <cell r="G17" t="str">
            <v>Videotronic Benelux BV</v>
          </cell>
          <cell r="H17">
            <v>-3</v>
          </cell>
        </row>
        <row r="18">
          <cell r="B18" t="str">
            <v>Credit - Refunds &amp; Returns</v>
          </cell>
          <cell r="C18" t="str">
            <v>Credit Memo</v>
          </cell>
          <cell r="D18">
            <v>38618</v>
          </cell>
          <cell r="F18" t="str">
            <v>CR6118</v>
          </cell>
          <cell r="G18" t="str">
            <v>Videotronic Benelux BV</v>
          </cell>
          <cell r="H18">
            <v>-3</v>
          </cell>
        </row>
        <row r="19">
          <cell r="B19" t="str">
            <v>Credit - Refunds &amp; Returns</v>
          </cell>
          <cell r="C19" t="str">
            <v>Credit Memo</v>
          </cell>
          <cell r="D19">
            <v>38618</v>
          </cell>
          <cell r="F19" t="str">
            <v>CR6141</v>
          </cell>
          <cell r="G19" t="str">
            <v>Videotronic Benelux BV</v>
          </cell>
          <cell r="H19">
            <v>-3</v>
          </cell>
        </row>
        <row r="20">
          <cell r="B20" t="str">
            <v>MNTPLATE1000B</v>
          </cell>
          <cell r="C20" t="str">
            <v>Credit Memo</v>
          </cell>
          <cell r="D20">
            <v>38615</v>
          </cell>
          <cell r="F20" t="str">
            <v>7698C</v>
          </cell>
          <cell r="G20" t="str">
            <v>Muzak, LLC:Food Lion #0531 (Bloom Stores)</v>
          </cell>
          <cell r="H20">
            <v>-3</v>
          </cell>
        </row>
        <row r="21">
          <cell r="B21" t="str">
            <v>SPD510</v>
          </cell>
          <cell r="C21" t="str">
            <v>Credit Memo</v>
          </cell>
          <cell r="D21">
            <v>38456</v>
          </cell>
          <cell r="F21" t="str">
            <v>CR5600</v>
          </cell>
          <cell r="G21" t="str">
            <v>Techno Satellite</v>
          </cell>
          <cell r="H21">
            <v>-3</v>
          </cell>
        </row>
        <row r="22">
          <cell r="B22" t="str">
            <v>SWD1000B</v>
          </cell>
          <cell r="C22" t="str">
            <v>Credit Memo</v>
          </cell>
          <cell r="D22">
            <v>38456</v>
          </cell>
          <cell r="F22" t="str">
            <v>CR5600</v>
          </cell>
          <cell r="G22" t="str">
            <v>Techno Satellite</v>
          </cell>
          <cell r="H22">
            <v>-3</v>
          </cell>
        </row>
        <row r="23">
          <cell r="B23" t="str">
            <v>SWD1000B</v>
          </cell>
          <cell r="C23" t="str">
            <v>Credit Memo</v>
          </cell>
          <cell r="D23">
            <v>38589</v>
          </cell>
          <cell r="F23" t="str">
            <v>CR6046</v>
          </cell>
          <cell r="G23" t="str">
            <v>Wickes Furniture:Wickes-001</v>
          </cell>
          <cell r="H23">
            <v>-3</v>
          </cell>
        </row>
        <row r="24">
          <cell r="B24" t="str">
            <v>Credit - Refunds &amp; Returns</v>
          </cell>
          <cell r="C24" t="str">
            <v>Credit Memo</v>
          </cell>
          <cell r="D24">
            <v>38623</v>
          </cell>
          <cell r="F24" t="str">
            <v>CR7130</v>
          </cell>
          <cell r="G24" t="str">
            <v>Promotool</v>
          </cell>
          <cell r="H24">
            <v>-2</v>
          </cell>
        </row>
        <row r="25">
          <cell r="B25" t="str">
            <v>Credit - Refunds &amp; Returns</v>
          </cell>
          <cell r="C25" t="str">
            <v>Credit Memo</v>
          </cell>
          <cell r="D25">
            <v>38626</v>
          </cell>
          <cell r="F25" t="str">
            <v>CR6145</v>
          </cell>
          <cell r="G25" t="str">
            <v>Carolina Sound Communications:CSC Piggly Wiggly</v>
          </cell>
          <cell r="H25">
            <v>-2</v>
          </cell>
        </row>
        <row r="26">
          <cell r="B26" t="str">
            <v>ESS - SCENT SERVICE</v>
          </cell>
          <cell r="C26" t="str">
            <v>Credit Memo</v>
          </cell>
          <cell r="D26">
            <v>38589</v>
          </cell>
          <cell r="F26" t="str">
            <v>CR5582</v>
          </cell>
          <cell r="G26" t="str">
            <v>Florida Aquarium</v>
          </cell>
          <cell r="H26">
            <v>-2</v>
          </cell>
        </row>
        <row r="27">
          <cell r="B27" t="str">
            <v>SPD510</v>
          </cell>
          <cell r="C27" t="str">
            <v>Credit Memo</v>
          </cell>
          <cell r="D27">
            <v>38524</v>
          </cell>
          <cell r="F27" t="str">
            <v>CR5361</v>
          </cell>
          <cell r="G27" t="str">
            <v>Promotool</v>
          </cell>
          <cell r="H27">
            <v>-2</v>
          </cell>
        </row>
        <row r="28">
          <cell r="B28" t="str">
            <v>Credit - Refunds &amp; Returns</v>
          </cell>
          <cell r="C28" t="str">
            <v>Credit Memo</v>
          </cell>
          <cell r="D28">
            <v>38365</v>
          </cell>
          <cell r="F28" t="str">
            <v>2</v>
          </cell>
          <cell r="G28" t="str">
            <v>Cafe Aroma</v>
          </cell>
          <cell r="H28">
            <v>-1</v>
          </cell>
        </row>
        <row r="29">
          <cell r="B29" t="str">
            <v>Credit - Refunds &amp; Returns</v>
          </cell>
          <cell r="C29" t="str">
            <v>Credit Memo</v>
          </cell>
          <cell r="D29">
            <v>38623</v>
          </cell>
          <cell r="F29" t="str">
            <v>CR7134</v>
          </cell>
          <cell r="G29" t="str">
            <v>Sioux Land Heritage Museum</v>
          </cell>
          <cell r="H29">
            <v>-1</v>
          </cell>
        </row>
        <row r="30">
          <cell r="B30" t="str">
            <v>ESS - SCENT SERVICE</v>
          </cell>
          <cell r="C30" t="str">
            <v>Credit Memo</v>
          </cell>
          <cell r="D30">
            <v>38511</v>
          </cell>
          <cell r="F30" t="str">
            <v>6148</v>
          </cell>
          <cell r="G30" t="str">
            <v>Hustler Hollywood - Monroe, OH</v>
          </cell>
          <cell r="H30">
            <v>-1</v>
          </cell>
        </row>
        <row r="31">
          <cell r="B31" t="str">
            <v>ESS - SCENT SERVICE</v>
          </cell>
          <cell r="C31" t="str">
            <v>Credit Memo</v>
          </cell>
          <cell r="D31">
            <v>38542</v>
          </cell>
          <cell r="F31" t="str">
            <v>CR6137</v>
          </cell>
          <cell r="G31" t="str">
            <v>Muzak, LLC:Dunkin Donuts - Raleigh(Capital Blvd)</v>
          </cell>
          <cell r="H31">
            <v>-1</v>
          </cell>
        </row>
        <row r="32">
          <cell r="B32" t="str">
            <v>ESS - SCENT SERVICE</v>
          </cell>
          <cell r="C32" t="str">
            <v>Credit Memo</v>
          </cell>
          <cell r="D32">
            <v>38542</v>
          </cell>
          <cell r="F32" t="str">
            <v>CR6137</v>
          </cell>
          <cell r="G32" t="str">
            <v>Muzak, LLC:Dunkin Donuts - Raleigh(Capital Blvd)</v>
          </cell>
          <cell r="H32">
            <v>-1</v>
          </cell>
        </row>
        <row r="33">
          <cell r="B33" t="str">
            <v>ESS - SCENT SERVICE</v>
          </cell>
          <cell r="C33" t="str">
            <v>Credit Memo</v>
          </cell>
          <cell r="D33">
            <v>38594</v>
          </cell>
          <cell r="F33" t="str">
            <v>CR6377</v>
          </cell>
          <cell r="G33" t="str">
            <v>Muzak, LLC:USA Baby</v>
          </cell>
          <cell r="H33">
            <v>-1</v>
          </cell>
        </row>
        <row r="34">
          <cell r="B34" t="str">
            <v>Freight - Chg fr.Vendors</v>
          </cell>
          <cell r="C34" t="str">
            <v>Credit Memo</v>
          </cell>
          <cell r="D34">
            <v>38589</v>
          </cell>
          <cell r="F34" t="str">
            <v>CR6041</v>
          </cell>
          <cell r="G34" t="str">
            <v>Wickes Furniture:Wickes-001</v>
          </cell>
          <cell r="H34">
            <v>-1</v>
          </cell>
        </row>
        <row r="35">
          <cell r="B35" t="str">
            <v>Freight - Pd by Customer</v>
          </cell>
          <cell r="C35" t="str">
            <v>Credit Memo</v>
          </cell>
          <cell r="D35">
            <v>38471</v>
          </cell>
          <cell r="F35" t="str">
            <v>CR5608</v>
          </cell>
          <cell r="G35" t="str">
            <v>Arrc Technologies</v>
          </cell>
          <cell r="H35">
            <v>-1</v>
          </cell>
        </row>
        <row r="36">
          <cell r="B36" t="str">
            <v>Freight - Pd by Customer</v>
          </cell>
          <cell r="C36" t="str">
            <v>Credit Memo</v>
          </cell>
          <cell r="D36">
            <v>38474</v>
          </cell>
          <cell r="F36" t="str">
            <v>CR6018</v>
          </cell>
          <cell r="G36" t="str">
            <v>Cafe Aroma</v>
          </cell>
          <cell r="H36">
            <v>-1</v>
          </cell>
        </row>
        <row r="37">
          <cell r="B37" t="str">
            <v>Freight - Pd by Customer</v>
          </cell>
          <cell r="C37" t="str">
            <v>Credit Memo</v>
          </cell>
          <cell r="D37">
            <v>38481</v>
          </cell>
          <cell r="F37" t="str">
            <v>CR5477</v>
          </cell>
          <cell r="G37" t="str">
            <v>Kirk Larson, DDS</v>
          </cell>
          <cell r="H37">
            <v>-1</v>
          </cell>
        </row>
        <row r="38">
          <cell r="B38" t="str">
            <v>Freight - Pd by Customer</v>
          </cell>
          <cell r="C38" t="str">
            <v>Credit Memo</v>
          </cell>
          <cell r="D38">
            <v>38511</v>
          </cell>
          <cell r="F38" t="str">
            <v>6148</v>
          </cell>
          <cell r="G38" t="str">
            <v>Hustler Hollywood - Monroe, OH</v>
          </cell>
          <cell r="H38">
            <v>-1</v>
          </cell>
        </row>
        <row r="39">
          <cell r="B39" t="str">
            <v>Freight - Pd by Customer</v>
          </cell>
          <cell r="C39" t="str">
            <v>Credit Memo</v>
          </cell>
          <cell r="D39">
            <v>38532</v>
          </cell>
          <cell r="F39" t="str">
            <v>CR5057</v>
          </cell>
          <cell r="G39" t="str">
            <v>Christian Science Reading Room</v>
          </cell>
          <cell r="H39">
            <v>-1</v>
          </cell>
        </row>
        <row r="40">
          <cell r="B40" t="str">
            <v>Freight - Pd by Customer</v>
          </cell>
          <cell r="C40" t="str">
            <v>Credit Memo</v>
          </cell>
          <cell r="D40">
            <v>38540</v>
          </cell>
          <cell r="F40" t="str">
            <v>CR5309</v>
          </cell>
          <cell r="G40" t="str">
            <v>Klipsch Audio Technologies</v>
          </cell>
          <cell r="H40">
            <v>-1</v>
          </cell>
        </row>
        <row r="41">
          <cell r="B41" t="str">
            <v>Freight - Pd by Customer</v>
          </cell>
          <cell r="C41" t="str">
            <v>Credit Memo</v>
          </cell>
          <cell r="D41">
            <v>38559</v>
          </cell>
          <cell r="F41" t="str">
            <v>CR4990</v>
          </cell>
          <cell r="G41" t="str">
            <v>NBC Experience Store</v>
          </cell>
          <cell r="H41">
            <v>-1</v>
          </cell>
        </row>
        <row r="42">
          <cell r="B42" t="str">
            <v>Freight - Pd by Customer</v>
          </cell>
          <cell r="C42" t="str">
            <v>Credit Memo</v>
          </cell>
          <cell r="D42">
            <v>38562</v>
          </cell>
          <cell r="F42" t="str">
            <v>CR6032</v>
          </cell>
          <cell r="G42" t="str">
            <v>Franklin Covey</v>
          </cell>
          <cell r="H42">
            <v>-1</v>
          </cell>
        </row>
        <row r="43">
          <cell r="B43" t="str">
            <v>Freight - Pd by Customer</v>
          </cell>
          <cell r="C43" t="str">
            <v>Credit Memo</v>
          </cell>
          <cell r="D43">
            <v>38576</v>
          </cell>
          <cell r="F43" t="str">
            <v>CR7169</v>
          </cell>
          <cell r="G43" t="str">
            <v>Arlies</v>
          </cell>
          <cell r="H43">
            <v>-1</v>
          </cell>
        </row>
        <row r="44">
          <cell r="B44" t="str">
            <v>Freight - Pd by Customer</v>
          </cell>
          <cell r="C44" t="str">
            <v>Credit Memo</v>
          </cell>
          <cell r="D44">
            <v>38589</v>
          </cell>
          <cell r="F44" t="str">
            <v>CR6046</v>
          </cell>
          <cell r="G44" t="str">
            <v>Wickes Furniture:Wickes-001</v>
          </cell>
          <cell r="H44">
            <v>-1</v>
          </cell>
        </row>
        <row r="45">
          <cell r="B45" t="str">
            <v>Freight - Pd by Customer</v>
          </cell>
          <cell r="C45" t="str">
            <v>Credit Memo</v>
          </cell>
          <cell r="D45">
            <v>38590</v>
          </cell>
          <cell r="F45" t="str">
            <v>CR6000</v>
          </cell>
          <cell r="G45" t="str">
            <v>Sioux Land Heritage Museum</v>
          </cell>
          <cell r="H45">
            <v>-1</v>
          </cell>
        </row>
        <row r="46">
          <cell r="B46" t="str">
            <v>Freight - Pd by Customer</v>
          </cell>
          <cell r="C46" t="str">
            <v>Credit Memo</v>
          </cell>
          <cell r="D46">
            <v>38594</v>
          </cell>
          <cell r="F46" t="str">
            <v>CR7044</v>
          </cell>
          <cell r="G46" t="str">
            <v>Western Sizzlin Corporate:Great American Steak - Waldorf</v>
          </cell>
          <cell r="H46">
            <v>-1</v>
          </cell>
        </row>
        <row r="47">
          <cell r="B47" t="str">
            <v>Freight - Pd by Customer</v>
          </cell>
          <cell r="C47" t="str">
            <v>Credit Memo</v>
          </cell>
          <cell r="D47">
            <v>38595</v>
          </cell>
          <cell r="F47" t="str">
            <v>CR4716</v>
          </cell>
          <cell r="G47" t="str">
            <v>Universal Halloween Events</v>
          </cell>
          <cell r="H47">
            <v>-1</v>
          </cell>
        </row>
        <row r="48">
          <cell r="B48" t="str">
            <v>Freight - Pd by Customer</v>
          </cell>
          <cell r="C48" t="str">
            <v>Credit Memo</v>
          </cell>
          <cell r="D48">
            <v>38616</v>
          </cell>
          <cell r="F48" t="str">
            <v>CR5211</v>
          </cell>
          <cell r="G48" t="str">
            <v>Saddle Ranch</v>
          </cell>
          <cell r="H48">
            <v>-1</v>
          </cell>
        </row>
        <row r="49">
          <cell r="B49" t="str">
            <v>MSS</v>
          </cell>
          <cell r="C49" t="str">
            <v>Credit Memo</v>
          </cell>
          <cell r="D49">
            <v>38532</v>
          </cell>
          <cell r="F49" t="str">
            <v>CR5063</v>
          </cell>
          <cell r="G49" t="str">
            <v>Frescos</v>
          </cell>
          <cell r="H49">
            <v>-1</v>
          </cell>
        </row>
        <row r="50">
          <cell r="B50" t="str">
            <v>POP-PUSH BUTTON</v>
          </cell>
          <cell r="C50" t="str">
            <v>Credit Memo</v>
          </cell>
          <cell r="D50">
            <v>38468</v>
          </cell>
          <cell r="F50" t="str">
            <v>CR5497</v>
          </cell>
          <cell r="G50" t="str">
            <v>Raytheon</v>
          </cell>
          <cell r="H50">
            <v>-1</v>
          </cell>
        </row>
        <row r="51">
          <cell r="B51" t="str">
            <v>PS12DC-1000B</v>
          </cell>
          <cell r="C51" t="str">
            <v>Credit Memo</v>
          </cell>
          <cell r="D51">
            <v>38471</v>
          </cell>
          <cell r="F51" t="str">
            <v>CR5608</v>
          </cell>
          <cell r="G51" t="str">
            <v>Arrc Technologies</v>
          </cell>
          <cell r="H51">
            <v>-1</v>
          </cell>
        </row>
        <row r="52">
          <cell r="B52" t="str">
            <v>SA20</v>
          </cell>
          <cell r="C52" t="str">
            <v>Credit Memo</v>
          </cell>
          <cell r="D52">
            <v>38532</v>
          </cell>
          <cell r="F52" t="str">
            <v>CR5063</v>
          </cell>
          <cell r="G52" t="str">
            <v>Frescos</v>
          </cell>
          <cell r="H52">
            <v>-1</v>
          </cell>
        </row>
        <row r="53">
          <cell r="B53" t="str">
            <v>SAC</v>
          </cell>
          <cell r="C53" t="str">
            <v>Credit Memo</v>
          </cell>
          <cell r="D53">
            <v>38532</v>
          </cell>
          <cell r="F53" t="str">
            <v>CR5057</v>
          </cell>
          <cell r="G53" t="str">
            <v>Christian Science Reading Room</v>
          </cell>
          <cell r="H53">
            <v>-1</v>
          </cell>
        </row>
        <row r="54">
          <cell r="B54" t="str">
            <v>SAC</v>
          </cell>
          <cell r="C54" t="str">
            <v>Credit Memo</v>
          </cell>
          <cell r="D54">
            <v>38532</v>
          </cell>
          <cell r="F54" t="str">
            <v>CR5063</v>
          </cell>
          <cell r="G54" t="str">
            <v>Frescos</v>
          </cell>
          <cell r="H54">
            <v>-1</v>
          </cell>
        </row>
        <row r="55">
          <cell r="B55" t="str">
            <v>SAC</v>
          </cell>
          <cell r="C55" t="str">
            <v>Credit Memo</v>
          </cell>
          <cell r="D55">
            <v>38558</v>
          </cell>
          <cell r="F55" t="str">
            <v>CR4923</v>
          </cell>
          <cell r="G55" t="str">
            <v>ShopRite</v>
          </cell>
          <cell r="H55">
            <v>-1</v>
          </cell>
        </row>
        <row r="56">
          <cell r="B56" t="str">
            <v>SCENTSAMPLES</v>
          </cell>
          <cell r="C56" t="str">
            <v>Credit Memo</v>
          </cell>
          <cell r="D56">
            <v>38468</v>
          </cell>
          <cell r="F56" t="str">
            <v>CR5497</v>
          </cell>
          <cell r="G56" t="str">
            <v>Raytheon</v>
          </cell>
          <cell r="H56">
            <v>-1</v>
          </cell>
        </row>
        <row r="57">
          <cell r="B57" t="str">
            <v>SPC500-0493</v>
          </cell>
          <cell r="C57" t="str">
            <v>Invoice</v>
          </cell>
          <cell r="D57">
            <v>38428</v>
          </cell>
          <cell r="F57" t="str">
            <v>5470</v>
          </cell>
          <cell r="G57" t="str">
            <v>Dixie Narco</v>
          </cell>
          <cell r="H57">
            <v>-1</v>
          </cell>
        </row>
        <row r="58">
          <cell r="B58" t="str">
            <v>SPC500-0794</v>
          </cell>
          <cell r="C58" t="str">
            <v>Invoice</v>
          </cell>
          <cell r="D58">
            <v>38428</v>
          </cell>
          <cell r="F58" t="str">
            <v>5470</v>
          </cell>
          <cell r="G58" t="str">
            <v>Dixie Narco</v>
          </cell>
          <cell r="H58">
            <v>-1</v>
          </cell>
        </row>
        <row r="59">
          <cell r="B59" t="str">
            <v>SPD510</v>
          </cell>
          <cell r="C59" t="str">
            <v>Invoice</v>
          </cell>
          <cell r="D59">
            <v>38428</v>
          </cell>
          <cell r="F59" t="str">
            <v>5470</v>
          </cell>
          <cell r="G59" t="str">
            <v>Dixie Narco</v>
          </cell>
          <cell r="H59">
            <v>-1</v>
          </cell>
        </row>
        <row r="60">
          <cell r="B60" t="str">
            <v>SPOP-C</v>
          </cell>
          <cell r="C60" t="str">
            <v>Credit Memo</v>
          </cell>
          <cell r="D60">
            <v>38495</v>
          </cell>
          <cell r="F60" t="str">
            <v>CR5040</v>
          </cell>
          <cell r="G60" t="str">
            <v>Lee-Moore Oil Company:Exxon OTR - 42</v>
          </cell>
          <cell r="H60">
            <v>-1</v>
          </cell>
        </row>
        <row r="61">
          <cell r="B61" t="str">
            <v>SWC-1000</v>
          </cell>
          <cell r="C61" t="str">
            <v>Credit Memo</v>
          </cell>
          <cell r="D61">
            <v>38540</v>
          </cell>
          <cell r="F61" t="str">
            <v>CR5309</v>
          </cell>
          <cell r="G61" t="str">
            <v>Klipsch Audio Technologies</v>
          </cell>
          <cell r="H61">
            <v>-1</v>
          </cell>
        </row>
        <row r="62">
          <cell r="B62" t="str">
            <v>SWC-1000</v>
          </cell>
          <cell r="C62" t="str">
            <v>Credit Memo</v>
          </cell>
          <cell r="D62">
            <v>38540</v>
          </cell>
          <cell r="F62" t="str">
            <v>CR5309</v>
          </cell>
          <cell r="G62" t="str">
            <v>Klipsch Audio Technologies</v>
          </cell>
          <cell r="H62">
            <v>-1</v>
          </cell>
        </row>
        <row r="63">
          <cell r="B63" t="str">
            <v>SWC1000-0851</v>
          </cell>
          <cell r="C63" t="str">
            <v>Credit Memo</v>
          </cell>
          <cell r="D63">
            <v>38481</v>
          </cell>
          <cell r="F63" t="str">
            <v>CR5477</v>
          </cell>
          <cell r="G63" t="str">
            <v>Kirk Larson, DDS</v>
          </cell>
          <cell r="H63">
            <v>-1</v>
          </cell>
        </row>
        <row r="64">
          <cell r="B64" t="str">
            <v>SWC1000-0913</v>
          </cell>
          <cell r="C64" t="str">
            <v>Credit Memo</v>
          </cell>
          <cell r="D64">
            <v>38506</v>
          </cell>
          <cell r="F64" t="str">
            <v>CR5674</v>
          </cell>
          <cell r="G64" t="str">
            <v>H.H. Gregg, Inc.</v>
          </cell>
          <cell r="H64">
            <v>-1</v>
          </cell>
        </row>
        <row r="65">
          <cell r="B65" t="str">
            <v>SWC1020-0402</v>
          </cell>
          <cell r="C65" t="str">
            <v>Credit Memo</v>
          </cell>
          <cell r="D65">
            <v>38562</v>
          </cell>
          <cell r="F65" t="str">
            <v>CR6032</v>
          </cell>
          <cell r="G65" t="str">
            <v>Franklin Covey</v>
          </cell>
          <cell r="H65">
            <v>-1</v>
          </cell>
        </row>
        <row r="66">
          <cell r="B66" t="str">
            <v>SWC1020-0402</v>
          </cell>
          <cell r="C66" t="str">
            <v>Credit Memo</v>
          </cell>
          <cell r="D66">
            <v>38589</v>
          </cell>
          <cell r="F66" t="str">
            <v>CR6042</v>
          </cell>
          <cell r="G66" t="str">
            <v>Wickes Furniture:Wickes-001</v>
          </cell>
          <cell r="H66">
            <v>-1</v>
          </cell>
        </row>
        <row r="67">
          <cell r="B67" t="str">
            <v>SWC1020-0828</v>
          </cell>
          <cell r="C67" t="str">
            <v>Credit Memo</v>
          </cell>
          <cell r="D67">
            <v>38527</v>
          </cell>
          <cell r="F67" t="str">
            <v>CR6084</v>
          </cell>
          <cell r="G67" t="str">
            <v>Bonterra Builders</v>
          </cell>
          <cell r="H67">
            <v>-1</v>
          </cell>
        </row>
        <row r="68">
          <cell r="B68" t="str">
            <v>SWC1020-0912</v>
          </cell>
          <cell r="C68" t="str">
            <v>Credit Memo</v>
          </cell>
          <cell r="D68">
            <v>38589</v>
          </cell>
          <cell r="F68" t="str">
            <v>CR6042</v>
          </cell>
          <cell r="G68" t="str">
            <v>Wickes Furniture:Wickes-001</v>
          </cell>
          <cell r="H68">
            <v>-1</v>
          </cell>
        </row>
        <row r="69">
          <cell r="B69" t="str">
            <v>SWC1020-0913</v>
          </cell>
          <cell r="C69" t="str">
            <v>Credit Memo</v>
          </cell>
          <cell r="D69">
            <v>38538</v>
          </cell>
          <cell r="F69" t="str">
            <v>CR6146</v>
          </cell>
          <cell r="G69" t="str">
            <v>Hard Rock Hotel</v>
          </cell>
          <cell r="H69">
            <v>-1</v>
          </cell>
        </row>
        <row r="70">
          <cell r="B70" t="str">
            <v>SWC1020-1105</v>
          </cell>
          <cell r="C70" t="str">
            <v>Credit Memo</v>
          </cell>
          <cell r="D70">
            <v>38589</v>
          </cell>
          <cell r="F70" t="str">
            <v>CR6042</v>
          </cell>
          <cell r="G70" t="str">
            <v>Wickes Furniture:Wickes-001</v>
          </cell>
          <cell r="H70">
            <v>-1</v>
          </cell>
        </row>
        <row r="71">
          <cell r="B71" t="str">
            <v>SWC1040-0153</v>
          </cell>
          <cell r="C71" t="str">
            <v>Credit Memo</v>
          </cell>
          <cell r="D71">
            <v>38594</v>
          </cell>
          <cell r="F71" t="str">
            <v>CR6377</v>
          </cell>
          <cell r="G71" t="str">
            <v>Muzak, LLC:USA Baby</v>
          </cell>
          <cell r="H71">
            <v>-1</v>
          </cell>
        </row>
        <row r="72">
          <cell r="B72" t="str">
            <v>SWC1040-0794</v>
          </cell>
          <cell r="C72" t="str">
            <v>Credit Memo</v>
          </cell>
          <cell r="D72">
            <v>38604</v>
          </cell>
          <cell r="F72" t="str">
            <v>CR7444</v>
          </cell>
          <cell r="G72" t="str">
            <v>Muzak, LLC:Muzak (Demo)</v>
          </cell>
          <cell r="H72">
            <v>-1</v>
          </cell>
        </row>
        <row r="73">
          <cell r="B73" t="str">
            <v>SWC1040-0849</v>
          </cell>
          <cell r="C73" t="str">
            <v>Credit Memo</v>
          </cell>
          <cell r="D73">
            <v>38604</v>
          </cell>
          <cell r="F73" t="str">
            <v>CR7085</v>
          </cell>
          <cell r="G73" t="str">
            <v>Muzak, LLC:Central Dermatology Center</v>
          </cell>
          <cell r="H73">
            <v>-1</v>
          </cell>
        </row>
        <row r="74">
          <cell r="B74" t="str">
            <v>SWC1040-0913</v>
          </cell>
          <cell r="C74" t="str">
            <v>Credit Memo</v>
          </cell>
          <cell r="D74">
            <v>38594</v>
          </cell>
          <cell r="F74" t="str">
            <v>CR7044</v>
          </cell>
          <cell r="G74" t="str">
            <v>Western Sizzlin Corporate:Great American Steak - Waldorf</v>
          </cell>
          <cell r="H74">
            <v>-1</v>
          </cell>
        </row>
        <row r="75">
          <cell r="B75" t="str">
            <v>SWC1040-1035</v>
          </cell>
          <cell r="C75" t="str">
            <v>Credit Memo</v>
          </cell>
          <cell r="D75">
            <v>38604</v>
          </cell>
          <cell r="F75" t="str">
            <v>CR7121</v>
          </cell>
          <cell r="G75" t="str">
            <v>Muzak, LLC:Sleep to Live - Durham</v>
          </cell>
          <cell r="H75">
            <v>-1</v>
          </cell>
        </row>
        <row r="76">
          <cell r="B76" t="str">
            <v>SWC1040-1341</v>
          </cell>
          <cell r="C76" t="str">
            <v>Credit Memo</v>
          </cell>
          <cell r="D76">
            <v>38607</v>
          </cell>
          <cell r="F76" t="str">
            <v>CR7179</v>
          </cell>
          <cell r="G76" t="str">
            <v>Ameristar Casinos, Inc.:Ameristar Casinos, Inc. St. Charles</v>
          </cell>
          <cell r="H76">
            <v>-1</v>
          </cell>
        </row>
        <row r="77">
          <cell r="B77" t="str">
            <v>SWD1000B</v>
          </cell>
          <cell r="C77" t="str">
            <v>Credit Memo</v>
          </cell>
          <cell r="D77">
            <v>38491</v>
          </cell>
          <cell r="F77" t="str">
            <v>CR5298</v>
          </cell>
          <cell r="G77" t="str">
            <v>Parigi International</v>
          </cell>
          <cell r="H77">
            <v>-1</v>
          </cell>
        </row>
        <row r="78">
          <cell r="B78" t="str">
            <v>SWD1000B</v>
          </cell>
          <cell r="C78" t="str">
            <v>Credit Memo</v>
          </cell>
          <cell r="D78">
            <v>38527</v>
          </cell>
          <cell r="F78" t="str">
            <v>CR6084</v>
          </cell>
          <cell r="G78" t="str">
            <v>Bonterra Builders</v>
          </cell>
          <cell r="H78">
            <v>-1</v>
          </cell>
        </row>
        <row r="79">
          <cell r="B79" t="str">
            <v>SWD1000B</v>
          </cell>
          <cell r="C79" t="str">
            <v>Credit Memo</v>
          </cell>
          <cell r="D79">
            <v>38540</v>
          </cell>
          <cell r="F79" t="str">
            <v>CR5309</v>
          </cell>
          <cell r="G79" t="str">
            <v>Klipsch Audio Technologies</v>
          </cell>
          <cell r="H79">
            <v>-1</v>
          </cell>
        </row>
        <row r="80">
          <cell r="B80" t="str">
            <v>SWD1000B</v>
          </cell>
          <cell r="C80" t="str">
            <v>Credit Memo</v>
          </cell>
          <cell r="D80">
            <v>38562</v>
          </cell>
          <cell r="F80" t="str">
            <v>CR6032</v>
          </cell>
          <cell r="G80" t="str">
            <v>Franklin Covey</v>
          </cell>
          <cell r="H80">
            <v>-1</v>
          </cell>
        </row>
        <row r="81">
          <cell r="B81" t="str">
            <v>SWD1000B</v>
          </cell>
          <cell r="C81" t="str">
            <v>Credit Memo</v>
          </cell>
          <cell r="D81">
            <v>38615</v>
          </cell>
          <cell r="F81" t="str">
            <v>CR6333</v>
          </cell>
          <cell r="G81" t="str">
            <v>GMR Marketing</v>
          </cell>
          <cell r="H81">
            <v>-1</v>
          </cell>
        </row>
        <row r="82">
          <cell r="B82" t="str">
            <v>WriteOff Charge</v>
          </cell>
          <cell r="C82" t="str">
            <v>Credit Memo</v>
          </cell>
          <cell r="D82">
            <v>38533</v>
          </cell>
          <cell r="F82" t="str">
            <v>CR5293</v>
          </cell>
          <cell r="G82" t="str">
            <v>GrupoBiz-Aeropuerto</v>
          </cell>
          <cell r="H82">
            <v>-1</v>
          </cell>
        </row>
        <row r="83">
          <cell r="B83" t="str">
            <v>WriteOff Charge</v>
          </cell>
          <cell r="C83" t="str">
            <v>Credit Memo</v>
          </cell>
          <cell r="D83">
            <v>38533</v>
          </cell>
          <cell r="F83" t="str">
            <v>CR5283</v>
          </cell>
          <cell r="G83" t="str">
            <v>Grupobiz-Integradora De Espartaculos</v>
          </cell>
          <cell r="H83">
            <v>-1</v>
          </cell>
        </row>
        <row r="84">
          <cell r="B84" t="str">
            <v>WriteOff Charge</v>
          </cell>
          <cell r="C84" t="str">
            <v>Credit Memo</v>
          </cell>
          <cell r="D84">
            <v>38533</v>
          </cell>
          <cell r="F84" t="str">
            <v>CR5364</v>
          </cell>
          <cell r="G84" t="str">
            <v>Grupobiz-Integradora De Espartaculos</v>
          </cell>
          <cell r="H84">
            <v>-1</v>
          </cell>
        </row>
        <row r="85">
          <cell r="B85" t="str">
            <v>WriteOff Charge</v>
          </cell>
          <cell r="C85" t="str">
            <v>Credit Memo</v>
          </cell>
          <cell r="D85">
            <v>38533</v>
          </cell>
          <cell r="F85" t="str">
            <v>CR4593</v>
          </cell>
          <cell r="G85" t="str">
            <v>AroMarketing:AroMarketing - Guadalajara</v>
          </cell>
          <cell r="H85">
            <v>-1</v>
          </cell>
        </row>
        <row r="86">
          <cell r="B86" t="str">
            <v>WriteOff Charge</v>
          </cell>
          <cell r="C86" t="str">
            <v>Credit Memo</v>
          </cell>
          <cell r="D86">
            <v>38533</v>
          </cell>
          <cell r="F86" t="str">
            <v>CR4997B</v>
          </cell>
          <cell r="G86" t="str">
            <v>AroMarketing:AroMarketing - Guadalajara</v>
          </cell>
          <cell r="H86">
            <v>-1</v>
          </cell>
        </row>
        <row r="87">
          <cell r="B87" t="str">
            <v>WriteOff Charge</v>
          </cell>
          <cell r="C87" t="str">
            <v>Credit Memo</v>
          </cell>
          <cell r="D87">
            <v>38558</v>
          </cell>
          <cell r="F87" t="str">
            <v>CR5574</v>
          </cell>
          <cell r="G87" t="str">
            <v>Canadian Tire Corp</v>
          </cell>
          <cell r="H87">
            <v>-1</v>
          </cell>
        </row>
        <row r="88">
          <cell r="B88" t="str">
            <v>WriteOff Charge</v>
          </cell>
          <cell r="C88" t="str">
            <v>Credit Memo</v>
          </cell>
          <cell r="D88">
            <v>38595</v>
          </cell>
          <cell r="F88" t="str">
            <v>CR4716</v>
          </cell>
          <cell r="G88" t="str">
            <v>Universal Halloween Events</v>
          </cell>
          <cell r="H88">
            <v>-1</v>
          </cell>
        </row>
        <row r="89">
          <cell r="B89" t="str">
            <v>WriteOff Charge</v>
          </cell>
          <cell r="C89" t="str">
            <v>Credit Memo</v>
          </cell>
          <cell r="D89">
            <v>38625</v>
          </cell>
          <cell r="F89" t="str">
            <v>CR4623</v>
          </cell>
          <cell r="G89" t="str">
            <v>Promotool</v>
          </cell>
          <cell r="H89">
            <v>-1</v>
          </cell>
        </row>
        <row r="90">
          <cell r="B90" t="str">
            <v>WriteOff Charge</v>
          </cell>
          <cell r="C90" t="str">
            <v>Credit Memo</v>
          </cell>
          <cell r="D90">
            <v>38625</v>
          </cell>
          <cell r="F90" t="str">
            <v>CR4306</v>
          </cell>
          <cell r="G90" t="str">
            <v>Promotool</v>
          </cell>
          <cell r="H90">
            <v>-1</v>
          </cell>
        </row>
        <row r="91">
          <cell r="B91" t="str">
            <v>0109</v>
          </cell>
          <cell r="C91" t="str">
            <v>Invoice</v>
          </cell>
          <cell r="D91">
            <v>38442</v>
          </cell>
          <cell r="F91" t="str">
            <v>5571</v>
          </cell>
          <cell r="G91" t="str">
            <v>ScentAir Australia Pty Ltd.</v>
          </cell>
          <cell r="H91">
            <v>1</v>
          </cell>
        </row>
        <row r="92">
          <cell r="B92" t="str">
            <v>0133</v>
          </cell>
          <cell r="C92" t="str">
            <v>Invoice</v>
          </cell>
          <cell r="D92">
            <v>38442</v>
          </cell>
          <cell r="F92" t="str">
            <v>5571</v>
          </cell>
          <cell r="G92" t="str">
            <v>ScentAir Australia Pty Ltd.</v>
          </cell>
          <cell r="H92">
            <v>1</v>
          </cell>
        </row>
        <row r="93">
          <cell r="B93" t="str">
            <v>0142</v>
          </cell>
          <cell r="C93" t="str">
            <v>Invoice</v>
          </cell>
          <cell r="D93">
            <v>38442</v>
          </cell>
          <cell r="F93" t="str">
            <v>5571</v>
          </cell>
          <cell r="G93" t="str">
            <v>ScentAir Australia Pty Ltd.</v>
          </cell>
          <cell r="H93">
            <v>1</v>
          </cell>
        </row>
        <row r="94">
          <cell r="B94" t="str">
            <v>0153</v>
          </cell>
          <cell r="C94" t="str">
            <v>Invoice</v>
          </cell>
          <cell r="D94">
            <v>38442</v>
          </cell>
          <cell r="F94" t="str">
            <v>5571</v>
          </cell>
          <cell r="G94" t="str">
            <v>ScentAir Australia Pty Ltd.</v>
          </cell>
          <cell r="H94">
            <v>1</v>
          </cell>
        </row>
        <row r="95">
          <cell r="B95" t="str">
            <v>0160</v>
          </cell>
          <cell r="C95" t="str">
            <v>Invoice</v>
          </cell>
          <cell r="D95">
            <v>38442</v>
          </cell>
          <cell r="F95" t="str">
            <v>5571</v>
          </cell>
          <cell r="G95" t="str">
            <v>ScentAir Australia Pty Ltd.</v>
          </cell>
          <cell r="H95">
            <v>1</v>
          </cell>
        </row>
        <row r="96">
          <cell r="B96" t="str">
            <v>0174</v>
          </cell>
          <cell r="C96" t="str">
            <v>Invoice</v>
          </cell>
          <cell r="D96">
            <v>38442</v>
          </cell>
          <cell r="F96" t="str">
            <v>5571</v>
          </cell>
          <cell r="G96" t="str">
            <v>ScentAir Australia Pty Ltd.</v>
          </cell>
          <cell r="H96">
            <v>1</v>
          </cell>
        </row>
        <row r="97">
          <cell r="B97" t="str">
            <v>0190</v>
          </cell>
          <cell r="C97" t="str">
            <v>Invoice</v>
          </cell>
          <cell r="D97">
            <v>38442</v>
          </cell>
          <cell r="F97" t="str">
            <v>5571</v>
          </cell>
          <cell r="G97" t="str">
            <v>ScentAir Australia Pty Ltd.</v>
          </cell>
          <cell r="H97">
            <v>1</v>
          </cell>
        </row>
        <row r="98">
          <cell r="B98" t="str">
            <v>0231</v>
          </cell>
          <cell r="C98" t="str">
            <v>Invoice</v>
          </cell>
          <cell r="D98">
            <v>38442</v>
          </cell>
          <cell r="F98" t="str">
            <v>5571</v>
          </cell>
          <cell r="G98" t="str">
            <v>ScentAir Australia Pty Ltd.</v>
          </cell>
          <cell r="H98">
            <v>1</v>
          </cell>
        </row>
        <row r="99">
          <cell r="B99" t="str">
            <v>0234</v>
          </cell>
          <cell r="C99" t="str">
            <v>Invoice</v>
          </cell>
          <cell r="D99">
            <v>38442</v>
          </cell>
          <cell r="F99" t="str">
            <v>5571</v>
          </cell>
          <cell r="G99" t="str">
            <v>ScentAir Australia Pty Ltd.</v>
          </cell>
          <cell r="H99">
            <v>1</v>
          </cell>
        </row>
        <row r="100">
          <cell r="B100" t="str">
            <v>0297</v>
          </cell>
          <cell r="C100" t="str">
            <v>Invoice</v>
          </cell>
          <cell r="D100">
            <v>38442</v>
          </cell>
          <cell r="F100" t="str">
            <v>5571</v>
          </cell>
          <cell r="G100" t="str">
            <v>ScentAir Australia Pty Ltd.</v>
          </cell>
          <cell r="H100">
            <v>1</v>
          </cell>
        </row>
        <row r="101">
          <cell r="B101" t="str">
            <v>0375</v>
          </cell>
          <cell r="C101" t="str">
            <v>Invoice</v>
          </cell>
          <cell r="D101">
            <v>38442</v>
          </cell>
          <cell r="F101" t="str">
            <v>5571</v>
          </cell>
          <cell r="G101" t="str">
            <v>ScentAir Australia Pty Ltd.</v>
          </cell>
          <cell r="H101">
            <v>1</v>
          </cell>
        </row>
        <row r="102">
          <cell r="B102" t="str">
            <v>0402</v>
          </cell>
          <cell r="C102" t="str">
            <v>Invoice</v>
          </cell>
          <cell r="D102">
            <v>38442</v>
          </cell>
          <cell r="F102" t="str">
            <v>5571</v>
          </cell>
          <cell r="G102" t="str">
            <v>ScentAir Australia Pty Ltd.</v>
          </cell>
          <cell r="H102">
            <v>1</v>
          </cell>
        </row>
        <row r="103">
          <cell r="B103" t="str">
            <v>0496</v>
          </cell>
          <cell r="C103" t="str">
            <v>Invoice</v>
          </cell>
          <cell r="D103">
            <v>38442</v>
          </cell>
          <cell r="F103" t="str">
            <v>5571</v>
          </cell>
          <cell r="G103" t="str">
            <v>ScentAir Australia Pty Ltd.</v>
          </cell>
          <cell r="H103">
            <v>1</v>
          </cell>
        </row>
        <row r="104">
          <cell r="B104" t="str">
            <v>0521</v>
          </cell>
          <cell r="C104" t="str">
            <v>Invoice</v>
          </cell>
          <cell r="D104">
            <v>38442</v>
          </cell>
          <cell r="F104" t="str">
            <v>5571</v>
          </cell>
          <cell r="G104" t="str">
            <v>ScentAir Australia Pty Ltd.</v>
          </cell>
          <cell r="H104">
            <v>1</v>
          </cell>
        </row>
        <row r="105">
          <cell r="B105" t="str">
            <v>0729</v>
          </cell>
          <cell r="C105" t="str">
            <v>Invoice</v>
          </cell>
          <cell r="D105">
            <v>38442</v>
          </cell>
          <cell r="F105" t="str">
            <v>5571</v>
          </cell>
          <cell r="G105" t="str">
            <v>ScentAir Australia Pty Ltd.</v>
          </cell>
          <cell r="H105">
            <v>1</v>
          </cell>
        </row>
        <row r="106">
          <cell r="B106" t="str">
            <v>0766</v>
          </cell>
          <cell r="C106" t="str">
            <v>Invoice</v>
          </cell>
          <cell r="D106">
            <v>38442</v>
          </cell>
          <cell r="F106" t="str">
            <v>5571</v>
          </cell>
          <cell r="G106" t="str">
            <v>ScentAir Australia Pty Ltd.</v>
          </cell>
          <cell r="H106">
            <v>1</v>
          </cell>
        </row>
        <row r="107">
          <cell r="B107" t="str">
            <v>0782</v>
          </cell>
          <cell r="C107" t="str">
            <v>Invoice</v>
          </cell>
          <cell r="D107">
            <v>38442</v>
          </cell>
          <cell r="F107" t="str">
            <v>5571</v>
          </cell>
          <cell r="G107" t="str">
            <v>ScentAir Australia Pty Ltd.</v>
          </cell>
          <cell r="H107">
            <v>1</v>
          </cell>
        </row>
        <row r="108">
          <cell r="B108" t="str">
            <v>0783</v>
          </cell>
          <cell r="C108" t="str">
            <v>Invoice</v>
          </cell>
          <cell r="D108">
            <v>38442</v>
          </cell>
          <cell r="F108" t="str">
            <v>5571</v>
          </cell>
          <cell r="G108" t="str">
            <v>ScentAir Australia Pty Ltd.</v>
          </cell>
          <cell r="H108">
            <v>1</v>
          </cell>
        </row>
        <row r="109">
          <cell r="B109" t="str">
            <v>0794</v>
          </cell>
          <cell r="C109" t="str">
            <v>Invoice</v>
          </cell>
          <cell r="D109">
            <v>38442</v>
          </cell>
          <cell r="F109" t="str">
            <v>5571</v>
          </cell>
          <cell r="G109" t="str">
            <v>ScentAir Australia Pty Ltd.</v>
          </cell>
          <cell r="H109">
            <v>1</v>
          </cell>
        </row>
        <row r="110">
          <cell r="B110" t="str">
            <v>0824</v>
          </cell>
          <cell r="C110" t="str">
            <v>Invoice</v>
          </cell>
          <cell r="D110">
            <v>38442</v>
          </cell>
          <cell r="F110" t="str">
            <v>5571</v>
          </cell>
          <cell r="G110" t="str">
            <v>ScentAir Australia Pty Ltd.</v>
          </cell>
          <cell r="H110">
            <v>1</v>
          </cell>
        </row>
        <row r="111">
          <cell r="B111" t="str">
            <v>0828</v>
          </cell>
          <cell r="C111" t="str">
            <v>Invoice</v>
          </cell>
          <cell r="D111">
            <v>38442</v>
          </cell>
          <cell r="F111" t="str">
            <v>5571</v>
          </cell>
          <cell r="G111" t="str">
            <v>ScentAir Australia Pty Ltd.</v>
          </cell>
          <cell r="H111">
            <v>1</v>
          </cell>
        </row>
        <row r="112">
          <cell r="B112" t="str">
            <v>0831</v>
          </cell>
          <cell r="C112" t="str">
            <v>Invoice</v>
          </cell>
          <cell r="D112">
            <v>38442</v>
          </cell>
          <cell r="F112" t="str">
            <v>5571</v>
          </cell>
          <cell r="G112" t="str">
            <v>ScentAir Australia Pty Ltd.</v>
          </cell>
          <cell r="H112">
            <v>1</v>
          </cell>
        </row>
        <row r="113">
          <cell r="B113" t="str">
            <v>0834</v>
          </cell>
          <cell r="C113" t="str">
            <v>Invoice</v>
          </cell>
          <cell r="D113">
            <v>38442</v>
          </cell>
          <cell r="F113" t="str">
            <v>5571</v>
          </cell>
          <cell r="G113" t="str">
            <v>ScentAir Australia Pty Ltd.</v>
          </cell>
          <cell r="H113">
            <v>1</v>
          </cell>
        </row>
        <row r="114">
          <cell r="B114" t="str">
            <v>0836</v>
          </cell>
          <cell r="C114" t="str">
            <v>Invoice</v>
          </cell>
          <cell r="D114">
            <v>38442</v>
          </cell>
          <cell r="F114" t="str">
            <v>5571</v>
          </cell>
          <cell r="G114" t="str">
            <v>ScentAir Australia Pty Ltd.</v>
          </cell>
          <cell r="H114">
            <v>1</v>
          </cell>
        </row>
        <row r="115">
          <cell r="B115" t="str">
            <v>0837</v>
          </cell>
          <cell r="C115" t="str">
            <v>Invoice</v>
          </cell>
          <cell r="D115">
            <v>38442</v>
          </cell>
          <cell r="F115" t="str">
            <v>5571</v>
          </cell>
          <cell r="G115" t="str">
            <v>ScentAir Australia Pty Ltd.</v>
          </cell>
          <cell r="H115">
            <v>1</v>
          </cell>
        </row>
        <row r="116">
          <cell r="B116" t="str">
            <v>0838</v>
          </cell>
          <cell r="C116" t="str">
            <v>Invoice</v>
          </cell>
          <cell r="D116">
            <v>38442</v>
          </cell>
          <cell r="F116" t="str">
            <v>5571</v>
          </cell>
          <cell r="G116" t="str">
            <v>ScentAir Australia Pty Ltd.</v>
          </cell>
          <cell r="H116">
            <v>1</v>
          </cell>
        </row>
        <row r="117">
          <cell r="B117" t="str">
            <v>0839</v>
          </cell>
          <cell r="C117" t="str">
            <v>Invoice</v>
          </cell>
          <cell r="D117">
            <v>38442</v>
          </cell>
          <cell r="F117" t="str">
            <v>5571</v>
          </cell>
          <cell r="G117" t="str">
            <v>ScentAir Australia Pty Ltd.</v>
          </cell>
          <cell r="H117">
            <v>1</v>
          </cell>
        </row>
        <row r="118">
          <cell r="B118" t="str">
            <v>0841</v>
          </cell>
          <cell r="C118" t="str">
            <v>Invoice</v>
          </cell>
          <cell r="D118">
            <v>38442</v>
          </cell>
          <cell r="F118" t="str">
            <v>5571</v>
          </cell>
          <cell r="G118" t="str">
            <v>ScentAir Australia Pty Ltd.</v>
          </cell>
          <cell r="H118">
            <v>1</v>
          </cell>
        </row>
        <row r="119">
          <cell r="B119" t="str">
            <v>0847</v>
          </cell>
          <cell r="C119" t="str">
            <v>Invoice</v>
          </cell>
          <cell r="D119">
            <v>38442</v>
          </cell>
          <cell r="F119" t="str">
            <v>5571</v>
          </cell>
          <cell r="G119" t="str">
            <v>ScentAir Australia Pty Ltd.</v>
          </cell>
          <cell r="H119">
            <v>1</v>
          </cell>
        </row>
        <row r="120">
          <cell r="B120" t="str">
            <v>0848</v>
          </cell>
          <cell r="C120" t="str">
            <v>Invoice</v>
          </cell>
          <cell r="D120">
            <v>38442</v>
          </cell>
          <cell r="F120" t="str">
            <v>5571</v>
          </cell>
          <cell r="G120" t="str">
            <v>ScentAir Australia Pty Ltd.</v>
          </cell>
          <cell r="H120">
            <v>1</v>
          </cell>
        </row>
        <row r="121">
          <cell r="B121" t="str">
            <v>0849</v>
          </cell>
          <cell r="C121" t="str">
            <v>Invoice</v>
          </cell>
          <cell r="D121">
            <v>38442</v>
          </cell>
          <cell r="F121" t="str">
            <v>5571</v>
          </cell>
          <cell r="G121" t="str">
            <v>ScentAir Australia Pty Ltd.</v>
          </cell>
          <cell r="H121">
            <v>1</v>
          </cell>
        </row>
        <row r="122">
          <cell r="B122" t="str">
            <v>0849</v>
          </cell>
          <cell r="C122" t="str">
            <v>Invoice</v>
          </cell>
          <cell r="D122">
            <v>38468</v>
          </cell>
          <cell r="F122" t="str">
            <v>5384</v>
          </cell>
          <cell r="G122" t="str">
            <v>Bank of America (Cust)</v>
          </cell>
          <cell r="H122">
            <v>1</v>
          </cell>
        </row>
        <row r="123">
          <cell r="B123" t="str">
            <v>0851</v>
          </cell>
          <cell r="C123" t="str">
            <v>Invoice</v>
          </cell>
          <cell r="D123">
            <v>38442</v>
          </cell>
          <cell r="F123" t="str">
            <v>5571</v>
          </cell>
          <cell r="G123" t="str">
            <v>ScentAir Australia Pty Ltd.</v>
          </cell>
          <cell r="H123">
            <v>1</v>
          </cell>
        </row>
        <row r="124">
          <cell r="B124" t="str">
            <v>0861</v>
          </cell>
          <cell r="C124" t="str">
            <v>Invoice</v>
          </cell>
          <cell r="D124">
            <v>38442</v>
          </cell>
          <cell r="F124" t="str">
            <v>5571</v>
          </cell>
          <cell r="G124" t="str">
            <v>ScentAir Australia Pty Ltd.</v>
          </cell>
          <cell r="H124">
            <v>1</v>
          </cell>
        </row>
        <row r="125">
          <cell r="B125" t="str">
            <v>0871</v>
          </cell>
          <cell r="C125" t="str">
            <v>Invoice</v>
          </cell>
          <cell r="D125">
            <v>38442</v>
          </cell>
          <cell r="F125" t="str">
            <v>5571</v>
          </cell>
          <cell r="G125" t="str">
            <v>ScentAir Australia Pty Ltd.</v>
          </cell>
          <cell r="H125">
            <v>1</v>
          </cell>
        </row>
        <row r="126">
          <cell r="B126" t="str">
            <v>0873</v>
          </cell>
          <cell r="C126" t="str">
            <v>Invoice</v>
          </cell>
          <cell r="D126">
            <v>38442</v>
          </cell>
          <cell r="F126" t="str">
            <v>5571</v>
          </cell>
          <cell r="G126" t="str">
            <v>ScentAir Australia Pty Ltd.</v>
          </cell>
          <cell r="H126">
            <v>1</v>
          </cell>
        </row>
        <row r="127">
          <cell r="B127" t="str">
            <v>0874</v>
          </cell>
          <cell r="C127" t="str">
            <v>Invoice</v>
          </cell>
          <cell r="D127">
            <v>38442</v>
          </cell>
          <cell r="F127" t="str">
            <v>5571</v>
          </cell>
          <cell r="G127" t="str">
            <v>ScentAir Australia Pty Ltd.</v>
          </cell>
          <cell r="H127">
            <v>1</v>
          </cell>
        </row>
        <row r="128">
          <cell r="B128" t="str">
            <v>0888</v>
          </cell>
          <cell r="C128" t="str">
            <v>Invoice</v>
          </cell>
          <cell r="D128">
            <v>38442</v>
          </cell>
          <cell r="F128" t="str">
            <v>5571</v>
          </cell>
          <cell r="G128" t="str">
            <v>ScentAir Australia Pty Ltd.</v>
          </cell>
          <cell r="H128">
            <v>1</v>
          </cell>
        </row>
        <row r="129">
          <cell r="B129" t="str">
            <v>0892</v>
          </cell>
          <cell r="C129" t="str">
            <v>Invoice</v>
          </cell>
          <cell r="D129">
            <v>38442</v>
          </cell>
          <cell r="F129" t="str">
            <v>5571</v>
          </cell>
          <cell r="G129" t="str">
            <v>ScentAir Australia Pty Ltd.</v>
          </cell>
          <cell r="H129">
            <v>1</v>
          </cell>
        </row>
        <row r="130">
          <cell r="B130" t="str">
            <v>0894</v>
          </cell>
          <cell r="C130" t="str">
            <v>Invoice</v>
          </cell>
          <cell r="D130">
            <v>38442</v>
          </cell>
          <cell r="F130" t="str">
            <v>5571</v>
          </cell>
          <cell r="G130" t="str">
            <v>ScentAir Australia Pty Ltd.</v>
          </cell>
          <cell r="H130">
            <v>1</v>
          </cell>
        </row>
        <row r="131">
          <cell r="B131" t="str">
            <v>0895</v>
          </cell>
          <cell r="C131" t="str">
            <v>Invoice</v>
          </cell>
          <cell r="D131">
            <v>38442</v>
          </cell>
          <cell r="F131" t="str">
            <v>5571</v>
          </cell>
          <cell r="G131" t="str">
            <v>ScentAir Australia Pty Ltd.</v>
          </cell>
          <cell r="H131">
            <v>1</v>
          </cell>
        </row>
        <row r="132">
          <cell r="B132" t="str">
            <v>0897</v>
          </cell>
          <cell r="C132" t="str">
            <v>Invoice</v>
          </cell>
          <cell r="D132">
            <v>38442</v>
          </cell>
          <cell r="F132" t="str">
            <v>5571</v>
          </cell>
          <cell r="G132" t="str">
            <v>ScentAir Australia Pty Ltd.</v>
          </cell>
          <cell r="H132">
            <v>1</v>
          </cell>
        </row>
        <row r="133">
          <cell r="B133" t="str">
            <v>0913</v>
          </cell>
          <cell r="C133" t="str">
            <v>Invoice</v>
          </cell>
          <cell r="D133">
            <v>38442</v>
          </cell>
          <cell r="F133" t="str">
            <v>5571</v>
          </cell>
          <cell r="G133" t="str">
            <v>ScentAir Australia Pty Ltd.</v>
          </cell>
          <cell r="H133">
            <v>1</v>
          </cell>
        </row>
        <row r="134">
          <cell r="B134" t="str">
            <v>0947</v>
          </cell>
          <cell r="C134" t="str">
            <v>Invoice</v>
          </cell>
          <cell r="D134">
            <v>38442</v>
          </cell>
          <cell r="F134" t="str">
            <v>5571</v>
          </cell>
          <cell r="G134" t="str">
            <v>ScentAir Australia Pty Ltd.</v>
          </cell>
          <cell r="H134">
            <v>1</v>
          </cell>
        </row>
        <row r="135">
          <cell r="B135" t="str">
            <v>0953</v>
          </cell>
          <cell r="C135" t="str">
            <v>Invoice</v>
          </cell>
          <cell r="D135">
            <v>38442</v>
          </cell>
          <cell r="F135" t="str">
            <v>5571</v>
          </cell>
          <cell r="G135" t="str">
            <v>ScentAir Australia Pty Ltd.</v>
          </cell>
          <cell r="H135">
            <v>1</v>
          </cell>
        </row>
        <row r="136">
          <cell r="B136" t="str">
            <v>0961</v>
          </cell>
          <cell r="C136" t="str">
            <v>Invoice</v>
          </cell>
          <cell r="D136">
            <v>38442</v>
          </cell>
          <cell r="F136" t="str">
            <v>5571</v>
          </cell>
          <cell r="G136" t="str">
            <v>ScentAir Australia Pty Ltd.</v>
          </cell>
          <cell r="H136">
            <v>1</v>
          </cell>
        </row>
        <row r="137">
          <cell r="B137" t="str">
            <v>0963</v>
          </cell>
          <cell r="C137" t="str">
            <v>Invoice</v>
          </cell>
          <cell r="D137">
            <v>38442</v>
          </cell>
          <cell r="F137" t="str">
            <v>5571</v>
          </cell>
          <cell r="G137" t="str">
            <v>ScentAir Australia Pty Ltd.</v>
          </cell>
          <cell r="H137">
            <v>1</v>
          </cell>
        </row>
        <row r="138">
          <cell r="B138" t="str">
            <v>0976</v>
          </cell>
          <cell r="C138" t="str">
            <v>Invoice</v>
          </cell>
          <cell r="D138">
            <v>38442</v>
          </cell>
          <cell r="F138" t="str">
            <v>5571</v>
          </cell>
          <cell r="G138" t="str">
            <v>ScentAir Australia Pty Ltd.</v>
          </cell>
          <cell r="H138">
            <v>1</v>
          </cell>
        </row>
        <row r="139">
          <cell r="B139" t="str">
            <v>0996</v>
          </cell>
          <cell r="C139" t="str">
            <v>Invoice</v>
          </cell>
          <cell r="D139">
            <v>38442</v>
          </cell>
          <cell r="F139" t="str">
            <v>5571</v>
          </cell>
          <cell r="G139" t="str">
            <v>ScentAir Australia Pty Ltd.</v>
          </cell>
          <cell r="H139">
            <v>1</v>
          </cell>
        </row>
        <row r="140">
          <cell r="B140" t="str">
            <v>1031</v>
          </cell>
          <cell r="C140" t="str">
            <v>Invoice</v>
          </cell>
          <cell r="D140">
            <v>38442</v>
          </cell>
          <cell r="F140" t="str">
            <v>5571</v>
          </cell>
          <cell r="G140" t="str">
            <v>ScentAir Australia Pty Ltd.</v>
          </cell>
          <cell r="H140">
            <v>1</v>
          </cell>
        </row>
        <row r="141">
          <cell r="B141" t="str">
            <v>1034</v>
          </cell>
          <cell r="C141" t="str">
            <v>Invoice</v>
          </cell>
          <cell r="D141">
            <v>38442</v>
          </cell>
          <cell r="F141" t="str">
            <v>5571</v>
          </cell>
          <cell r="G141" t="str">
            <v>ScentAir Australia Pty Ltd.</v>
          </cell>
          <cell r="H141">
            <v>1</v>
          </cell>
        </row>
        <row r="142">
          <cell r="B142" t="str">
            <v>1035</v>
          </cell>
          <cell r="C142" t="str">
            <v>Invoice</v>
          </cell>
          <cell r="D142">
            <v>38442</v>
          </cell>
          <cell r="F142" t="str">
            <v>5571</v>
          </cell>
          <cell r="G142" t="str">
            <v>ScentAir Australia Pty Ltd.</v>
          </cell>
          <cell r="H142">
            <v>1</v>
          </cell>
        </row>
        <row r="143">
          <cell r="B143" t="str">
            <v>1047</v>
          </cell>
          <cell r="C143" t="str">
            <v>Invoice</v>
          </cell>
          <cell r="D143">
            <v>38442</v>
          </cell>
          <cell r="F143" t="str">
            <v>5571</v>
          </cell>
          <cell r="G143" t="str">
            <v>ScentAir Australia Pty Ltd.</v>
          </cell>
          <cell r="H143">
            <v>1</v>
          </cell>
        </row>
        <row r="144">
          <cell r="B144" t="str">
            <v>1062</v>
          </cell>
          <cell r="C144" t="str">
            <v>Invoice</v>
          </cell>
          <cell r="D144">
            <v>38442</v>
          </cell>
          <cell r="F144" t="str">
            <v>5571</v>
          </cell>
          <cell r="G144" t="str">
            <v>ScentAir Australia Pty Ltd.</v>
          </cell>
          <cell r="H144">
            <v>1</v>
          </cell>
        </row>
        <row r="145">
          <cell r="B145" t="str">
            <v>1099</v>
          </cell>
          <cell r="C145" t="str">
            <v>Invoice</v>
          </cell>
          <cell r="D145">
            <v>38442</v>
          </cell>
          <cell r="F145" t="str">
            <v>5571</v>
          </cell>
          <cell r="G145" t="str">
            <v>ScentAir Australia Pty Ltd.</v>
          </cell>
          <cell r="H145">
            <v>1</v>
          </cell>
        </row>
        <row r="146">
          <cell r="B146" t="str">
            <v>1303</v>
          </cell>
          <cell r="C146" t="str">
            <v>Invoice</v>
          </cell>
          <cell r="D146">
            <v>38442</v>
          </cell>
          <cell r="F146" t="str">
            <v>5571</v>
          </cell>
          <cell r="G146" t="str">
            <v>ScentAir Australia Pty Ltd.</v>
          </cell>
          <cell r="H146">
            <v>1</v>
          </cell>
        </row>
        <row r="147">
          <cell r="B147" t="str">
            <v>1311</v>
          </cell>
          <cell r="C147" t="str">
            <v>Invoice</v>
          </cell>
          <cell r="D147">
            <v>38442</v>
          </cell>
          <cell r="F147" t="str">
            <v>5571</v>
          </cell>
          <cell r="G147" t="str">
            <v>ScentAir Australia Pty Ltd.</v>
          </cell>
          <cell r="H147">
            <v>1</v>
          </cell>
        </row>
        <row r="148">
          <cell r="B148" t="str">
            <v>2ounce</v>
          </cell>
          <cell r="C148" t="str">
            <v>Invoice</v>
          </cell>
          <cell r="D148">
            <v>38383</v>
          </cell>
          <cell r="F148" t="str">
            <v>5001A</v>
          </cell>
          <cell r="G148" t="str">
            <v>AroMarketing:AroMarketing - Guadalajara</v>
          </cell>
          <cell r="H148">
            <v>1</v>
          </cell>
        </row>
        <row r="149">
          <cell r="B149" t="str">
            <v>BATT</v>
          </cell>
          <cell r="C149" t="str">
            <v>Invoice</v>
          </cell>
          <cell r="D149">
            <v>38520</v>
          </cell>
          <cell r="F149" t="str">
            <v>6267</v>
          </cell>
          <cell r="G149" t="str">
            <v>Techno Satellite</v>
          </cell>
          <cell r="H149">
            <v>1</v>
          </cell>
        </row>
        <row r="150">
          <cell r="B150" t="str">
            <v>BTNLOCKING</v>
          </cell>
          <cell r="C150" t="str">
            <v>Invoice</v>
          </cell>
          <cell r="D150">
            <v>38614</v>
          </cell>
          <cell r="F150" t="str">
            <v>7991</v>
          </cell>
          <cell r="G150" t="str">
            <v>Andrew Snyder Catalyst, Ltd.</v>
          </cell>
          <cell r="H150">
            <v>1</v>
          </cell>
        </row>
        <row r="151">
          <cell r="B151" t="str">
            <v>BTNMOMENTARY</v>
          </cell>
          <cell r="C151" t="str">
            <v>Invoice</v>
          </cell>
          <cell r="D151">
            <v>38434</v>
          </cell>
          <cell r="F151" t="str">
            <v>5497</v>
          </cell>
          <cell r="G151" t="str">
            <v>Raytheon</v>
          </cell>
          <cell r="H151">
            <v>1</v>
          </cell>
        </row>
        <row r="152">
          <cell r="B152" t="str">
            <v>BTNMOMENTARY</v>
          </cell>
          <cell r="C152" t="str">
            <v>Invoice</v>
          </cell>
          <cell r="D152">
            <v>38461</v>
          </cell>
          <cell r="F152" t="str">
            <v>5637</v>
          </cell>
          <cell r="G152" t="str">
            <v>US Navy NSWC</v>
          </cell>
          <cell r="H152">
            <v>1</v>
          </cell>
        </row>
        <row r="153">
          <cell r="B153" t="str">
            <v>CHRG</v>
          </cell>
          <cell r="C153" t="str">
            <v>Invoice</v>
          </cell>
          <cell r="D153">
            <v>38520</v>
          </cell>
          <cell r="F153" t="str">
            <v>6267</v>
          </cell>
          <cell r="G153" t="str">
            <v>Techno Satellite</v>
          </cell>
          <cell r="H153">
            <v>1</v>
          </cell>
        </row>
        <row r="154">
          <cell r="B154" t="str">
            <v>Demo-SA20</v>
          </cell>
          <cell r="C154" t="str">
            <v>Invoice</v>
          </cell>
          <cell r="D154">
            <v>38378</v>
          </cell>
          <cell r="F154" t="str">
            <v>5137</v>
          </cell>
          <cell r="G154" t="str">
            <v>Shay Bustenay</v>
          </cell>
          <cell r="H154">
            <v>1</v>
          </cell>
        </row>
        <row r="155">
          <cell r="B155" t="str">
            <v>DRUM-25</v>
          </cell>
          <cell r="C155" t="str">
            <v>Invoice</v>
          </cell>
          <cell r="D155">
            <v>38495</v>
          </cell>
          <cell r="F155" t="str">
            <v>6133</v>
          </cell>
          <cell r="G155" t="str">
            <v>ScentAir Australia Pty Ltd.</v>
          </cell>
          <cell r="H155">
            <v>1</v>
          </cell>
        </row>
        <row r="156">
          <cell r="B156" t="str">
            <v>ESS - SCENT SERVICE</v>
          </cell>
          <cell r="C156" t="str">
            <v>Invoice</v>
          </cell>
          <cell r="D156">
            <v>38428</v>
          </cell>
          <cell r="F156" t="str">
            <v>5465</v>
          </cell>
          <cell r="G156" t="str">
            <v>Cynthia A. Hickman</v>
          </cell>
          <cell r="H156">
            <v>1</v>
          </cell>
        </row>
        <row r="157">
          <cell r="B157" t="str">
            <v>ESS - SCENT SERVICE</v>
          </cell>
          <cell r="C157" t="str">
            <v>Invoice</v>
          </cell>
          <cell r="D157">
            <v>38447</v>
          </cell>
          <cell r="F157" t="str">
            <v>5578</v>
          </cell>
          <cell r="G157" t="str">
            <v>Arrc Technologies</v>
          </cell>
          <cell r="H157">
            <v>1</v>
          </cell>
        </row>
        <row r="158">
          <cell r="B158" t="str">
            <v>ESS - SCENT SERVICE</v>
          </cell>
          <cell r="C158" t="str">
            <v>Invoice</v>
          </cell>
          <cell r="D158">
            <v>38449</v>
          </cell>
          <cell r="F158" t="str">
            <v>5463</v>
          </cell>
          <cell r="G158" t="str">
            <v>Car's The Star</v>
          </cell>
          <cell r="H158">
            <v>1</v>
          </cell>
        </row>
        <row r="159">
          <cell r="B159" t="str">
            <v>ESS - SCENT SERVICE</v>
          </cell>
          <cell r="C159" t="str">
            <v>Invoice</v>
          </cell>
          <cell r="D159">
            <v>38482</v>
          </cell>
          <cell r="F159" t="str">
            <v>6034</v>
          </cell>
          <cell r="G159" t="str">
            <v>Pyramid Title Company</v>
          </cell>
          <cell r="H159">
            <v>1</v>
          </cell>
        </row>
        <row r="160">
          <cell r="B160" t="str">
            <v>ESS - SCENT SERVICE</v>
          </cell>
          <cell r="C160" t="str">
            <v>Invoice</v>
          </cell>
          <cell r="D160">
            <v>38496</v>
          </cell>
          <cell r="F160" t="str">
            <v>6135</v>
          </cell>
          <cell r="G160" t="str">
            <v>Muzak, LLC:Sleep to Live - Durham</v>
          </cell>
          <cell r="H160">
            <v>1</v>
          </cell>
        </row>
        <row r="161">
          <cell r="B161" t="str">
            <v>ESS - SCENT SERVICE</v>
          </cell>
          <cell r="C161" t="str">
            <v>Invoice</v>
          </cell>
          <cell r="D161">
            <v>38496</v>
          </cell>
          <cell r="F161" t="str">
            <v>6134</v>
          </cell>
          <cell r="G161" t="str">
            <v>Muzak, LLC:Dunkin Donuts - Raleigh(Capital Blvd)</v>
          </cell>
          <cell r="H161">
            <v>1</v>
          </cell>
        </row>
        <row r="162">
          <cell r="B162" t="str">
            <v>ESS - SCENT SERVICE</v>
          </cell>
          <cell r="C162" t="str">
            <v>Invoice</v>
          </cell>
          <cell r="D162">
            <v>38496</v>
          </cell>
          <cell r="F162" t="str">
            <v>6134</v>
          </cell>
          <cell r="G162" t="str">
            <v>Muzak, LLC:Dunkin Donuts - Raleigh(Capital Blvd)</v>
          </cell>
          <cell r="H162">
            <v>1</v>
          </cell>
        </row>
        <row r="163">
          <cell r="B163" t="str">
            <v>ESS - SCENT SERVICE</v>
          </cell>
          <cell r="C163" t="str">
            <v>Invoice</v>
          </cell>
          <cell r="D163">
            <v>38498</v>
          </cell>
          <cell r="F163" t="str">
            <v>6155</v>
          </cell>
          <cell r="G163" t="str">
            <v>Sony Style #52</v>
          </cell>
          <cell r="H163">
            <v>1</v>
          </cell>
        </row>
        <row r="164">
          <cell r="B164" t="str">
            <v>ESS - SCENT SERVICE</v>
          </cell>
          <cell r="C164" t="str">
            <v>Invoice</v>
          </cell>
          <cell r="D164">
            <v>38498</v>
          </cell>
          <cell r="F164" t="str">
            <v>6151</v>
          </cell>
          <cell r="G164" t="str">
            <v>Busch Gardens - Tampa</v>
          </cell>
          <cell r="H164">
            <v>1</v>
          </cell>
        </row>
        <row r="165">
          <cell r="B165" t="str">
            <v>ESS - SCENT SERVICE</v>
          </cell>
          <cell r="C165" t="str">
            <v>Invoice</v>
          </cell>
          <cell r="D165">
            <v>38503</v>
          </cell>
          <cell r="F165" t="str">
            <v>6150</v>
          </cell>
          <cell r="G165" t="str">
            <v>Hustler Hollywood - Lexington, KY</v>
          </cell>
          <cell r="H165">
            <v>1</v>
          </cell>
        </row>
        <row r="166">
          <cell r="B166" t="str">
            <v>ESS - SCENT SERVICE</v>
          </cell>
          <cell r="C166" t="str">
            <v>Invoice</v>
          </cell>
          <cell r="D166">
            <v>38503</v>
          </cell>
          <cell r="F166" t="str">
            <v>6148</v>
          </cell>
          <cell r="G166" t="str">
            <v>Hustler Hollywood - Monroe, OH</v>
          </cell>
          <cell r="H166">
            <v>1</v>
          </cell>
        </row>
        <row r="167">
          <cell r="B167" t="str">
            <v>ESS - SCENT SERVICE</v>
          </cell>
          <cell r="C167" t="str">
            <v>Invoice</v>
          </cell>
          <cell r="D167">
            <v>38504</v>
          </cell>
          <cell r="F167" t="str">
            <v>6219</v>
          </cell>
          <cell r="G167" t="str">
            <v>Muzak, LLC:Quick Chek - 20</v>
          </cell>
          <cell r="H167">
            <v>1</v>
          </cell>
        </row>
        <row r="168">
          <cell r="B168" t="str">
            <v>ESS - SCENT SERVICE</v>
          </cell>
          <cell r="C168" t="str">
            <v>Invoice</v>
          </cell>
          <cell r="D168">
            <v>38504</v>
          </cell>
          <cell r="F168" t="str">
            <v>6220</v>
          </cell>
          <cell r="G168" t="str">
            <v>Muzak, LLC:Quick Chek - 09</v>
          </cell>
          <cell r="H168">
            <v>1</v>
          </cell>
        </row>
        <row r="169">
          <cell r="B169" t="str">
            <v>ESS - SCENT SERVICE</v>
          </cell>
          <cell r="C169" t="str">
            <v>Invoice</v>
          </cell>
          <cell r="D169">
            <v>38504</v>
          </cell>
          <cell r="F169" t="str">
            <v>6221</v>
          </cell>
          <cell r="G169" t="str">
            <v>Muzak, LLC:Quick Chek - 31</v>
          </cell>
          <cell r="H169">
            <v>1</v>
          </cell>
        </row>
        <row r="170">
          <cell r="B170" t="str">
            <v>ESS - SCENT SERVICE</v>
          </cell>
          <cell r="C170" t="str">
            <v>Invoice</v>
          </cell>
          <cell r="D170">
            <v>38505</v>
          </cell>
          <cell r="F170" t="str">
            <v>6227</v>
          </cell>
          <cell r="G170" t="str">
            <v>Muzak, LLC:C. Mini Mart - 147</v>
          </cell>
          <cell r="H170">
            <v>1</v>
          </cell>
        </row>
        <row r="171">
          <cell r="B171" t="str">
            <v>ESS - SCENT SERVICE</v>
          </cell>
          <cell r="C171" t="str">
            <v>Invoice</v>
          </cell>
          <cell r="D171">
            <v>38505</v>
          </cell>
          <cell r="F171" t="str">
            <v>5569A</v>
          </cell>
          <cell r="G171" t="str">
            <v>Muzak, LLC:Anytime Fitness</v>
          </cell>
          <cell r="H171">
            <v>1</v>
          </cell>
        </row>
        <row r="172">
          <cell r="B172" t="str">
            <v>ESS - SCENT SERVICE</v>
          </cell>
          <cell r="C172" t="str">
            <v>Invoice</v>
          </cell>
          <cell r="D172">
            <v>38508</v>
          </cell>
          <cell r="F172" t="str">
            <v>6254</v>
          </cell>
          <cell r="G172" t="str">
            <v>Muzak, LLC:USA Baby</v>
          </cell>
          <cell r="H172">
            <v>1</v>
          </cell>
        </row>
        <row r="173">
          <cell r="B173" t="str">
            <v>ESS - SCENT SERVICE</v>
          </cell>
          <cell r="C173" t="str">
            <v>Invoice</v>
          </cell>
          <cell r="D173">
            <v>38509</v>
          </cell>
          <cell r="F173" t="str">
            <v>6247</v>
          </cell>
          <cell r="G173" t="str">
            <v>Muzak, LLC:Central Dermatology Center</v>
          </cell>
          <cell r="H173">
            <v>1</v>
          </cell>
        </row>
        <row r="174">
          <cell r="B174" t="str">
            <v>ESS - SCENT SERVICE</v>
          </cell>
          <cell r="C174" t="str">
            <v>Invoice</v>
          </cell>
          <cell r="D174">
            <v>38509</v>
          </cell>
          <cell r="F174" t="str">
            <v>6252</v>
          </cell>
          <cell r="G174" t="str">
            <v>Muzak, LLC:Finley YMCA</v>
          </cell>
          <cell r="H174">
            <v>1</v>
          </cell>
        </row>
        <row r="175">
          <cell r="B175" t="str">
            <v>ESS - SCENT SERVICE</v>
          </cell>
          <cell r="C175" t="str">
            <v>Invoice</v>
          </cell>
          <cell r="D175">
            <v>38510</v>
          </cell>
          <cell r="F175" t="str">
            <v>6251</v>
          </cell>
          <cell r="G175" t="str">
            <v>Muzak, LLC:Sleep to Live - Mebane</v>
          </cell>
          <cell r="H175">
            <v>1</v>
          </cell>
        </row>
        <row r="176">
          <cell r="B176" t="str">
            <v>ESS - SCENT SERVICE</v>
          </cell>
          <cell r="C176" t="str">
            <v>Invoice</v>
          </cell>
          <cell r="D176">
            <v>38510</v>
          </cell>
          <cell r="F176" t="str">
            <v>6253</v>
          </cell>
          <cell r="G176" t="str">
            <v>Muzak, LLC:Dunkin Donuts - Charlotte</v>
          </cell>
          <cell r="H176">
            <v>1</v>
          </cell>
        </row>
        <row r="177">
          <cell r="B177" t="str">
            <v>ESS - SCENT SERVICE</v>
          </cell>
          <cell r="C177" t="str">
            <v>Invoice</v>
          </cell>
          <cell r="D177">
            <v>38511</v>
          </cell>
          <cell r="F177" t="str">
            <v>6286</v>
          </cell>
          <cell r="G177" t="str">
            <v>Muzak, LLC:Spink - 191</v>
          </cell>
          <cell r="H177">
            <v>1</v>
          </cell>
        </row>
        <row r="178">
          <cell r="B178" t="str">
            <v>ESS - SCENT SERVICE</v>
          </cell>
          <cell r="C178" t="str">
            <v>Invoice</v>
          </cell>
          <cell r="D178">
            <v>38511</v>
          </cell>
          <cell r="F178" t="str">
            <v>6285</v>
          </cell>
          <cell r="G178" t="str">
            <v>Muzak, LLC:Spinx - 100</v>
          </cell>
          <cell r="H178">
            <v>1</v>
          </cell>
        </row>
        <row r="179">
          <cell r="B179" t="str">
            <v>ESS - SCENT SERVICE</v>
          </cell>
          <cell r="C179" t="str">
            <v>Invoice</v>
          </cell>
          <cell r="D179">
            <v>38512</v>
          </cell>
          <cell r="F179" t="str">
            <v>6256</v>
          </cell>
          <cell r="G179" t="str">
            <v>Muzak, LLC:Arbys - Simpsonville</v>
          </cell>
          <cell r="H179">
            <v>1</v>
          </cell>
        </row>
        <row r="180">
          <cell r="B180" t="str">
            <v>ESS - SCENT SERVICE</v>
          </cell>
          <cell r="C180" t="str">
            <v>Invoice</v>
          </cell>
          <cell r="D180">
            <v>38512</v>
          </cell>
          <cell r="F180" t="str">
            <v>6194</v>
          </cell>
          <cell r="G180" t="str">
            <v>Hershey's, Inc.:Hershey's Chicago</v>
          </cell>
          <cell r="H180">
            <v>1</v>
          </cell>
        </row>
        <row r="181">
          <cell r="B181" t="str">
            <v>ESS - SCENT SERVICE</v>
          </cell>
          <cell r="C181" t="str">
            <v>Invoice</v>
          </cell>
          <cell r="D181">
            <v>38512</v>
          </cell>
          <cell r="F181" t="str">
            <v>6319</v>
          </cell>
          <cell r="G181" t="str">
            <v>Muzak, LLC:Triangle Stop Food Store - 215</v>
          </cell>
          <cell r="H181">
            <v>1</v>
          </cell>
        </row>
        <row r="182">
          <cell r="B182" t="str">
            <v>ESS - SCENT SERVICE</v>
          </cell>
          <cell r="C182" t="str">
            <v>Invoice</v>
          </cell>
          <cell r="D182">
            <v>38512</v>
          </cell>
          <cell r="F182" t="str">
            <v>6318</v>
          </cell>
          <cell r="G182" t="str">
            <v>Muzak, LLC:One Stop Food Store</v>
          </cell>
          <cell r="H182">
            <v>1</v>
          </cell>
        </row>
        <row r="183">
          <cell r="B183" t="str">
            <v>ESS - SCENT SERVICE</v>
          </cell>
          <cell r="C183" t="str">
            <v>Invoice</v>
          </cell>
          <cell r="D183">
            <v>38512</v>
          </cell>
          <cell r="F183" t="str">
            <v>6250</v>
          </cell>
          <cell r="G183" t="str">
            <v>Muzak, LLC:Highwoods Properties</v>
          </cell>
          <cell r="H183">
            <v>1</v>
          </cell>
        </row>
        <row r="184">
          <cell r="B184" t="str">
            <v>ESS - SCENT SERVICE</v>
          </cell>
          <cell r="C184" t="str">
            <v>Invoice</v>
          </cell>
          <cell r="D184">
            <v>38513</v>
          </cell>
          <cell r="F184" t="str">
            <v>5553A</v>
          </cell>
          <cell r="G184" t="str">
            <v>Muzak, LLC:Doctor's Urgent Care</v>
          </cell>
          <cell r="H184">
            <v>1</v>
          </cell>
        </row>
        <row r="185">
          <cell r="B185" t="str">
            <v>ESS - SCENT SERVICE</v>
          </cell>
          <cell r="C185" t="str">
            <v>Invoice</v>
          </cell>
          <cell r="D185">
            <v>38516</v>
          </cell>
          <cell r="F185" t="str">
            <v>6350</v>
          </cell>
          <cell r="G185" t="str">
            <v>Bark Avenue Bakery</v>
          </cell>
          <cell r="H185">
            <v>1</v>
          </cell>
        </row>
        <row r="186">
          <cell r="B186" t="str">
            <v>ESS - SCENT SERVICE</v>
          </cell>
          <cell r="C186" t="str">
            <v>Invoice</v>
          </cell>
          <cell r="D186">
            <v>38516</v>
          </cell>
          <cell r="F186" t="str">
            <v>6315</v>
          </cell>
          <cell r="G186" t="str">
            <v>Disney Worldwide:Goofy's Candy Company</v>
          </cell>
          <cell r="H186">
            <v>1</v>
          </cell>
        </row>
        <row r="187">
          <cell r="B187" t="str">
            <v>ESS - SCENT SERVICE</v>
          </cell>
          <cell r="C187" t="str">
            <v>Invoice</v>
          </cell>
          <cell r="D187">
            <v>38517</v>
          </cell>
          <cell r="F187" t="str">
            <v>6243</v>
          </cell>
          <cell r="G187" t="str">
            <v>Starwood Hotels:The Essex Hotel</v>
          </cell>
          <cell r="H187">
            <v>1</v>
          </cell>
        </row>
        <row r="188">
          <cell r="B188" t="str">
            <v>ESS - SCENT SERVICE</v>
          </cell>
          <cell r="C188" t="str">
            <v>Invoice</v>
          </cell>
          <cell r="D188">
            <v>38518</v>
          </cell>
          <cell r="F188" t="str">
            <v>6263</v>
          </cell>
          <cell r="G188" t="str">
            <v>Hershey's, Inc.:Hershey's Chicago</v>
          </cell>
          <cell r="H188">
            <v>1</v>
          </cell>
        </row>
        <row r="189">
          <cell r="B189" t="str">
            <v>ESS - SCENT SERVICE</v>
          </cell>
          <cell r="C189" t="str">
            <v>Invoice</v>
          </cell>
          <cell r="D189">
            <v>38519</v>
          </cell>
          <cell r="F189" t="str">
            <v>6314</v>
          </cell>
          <cell r="G189" t="str">
            <v>Harry and David #564</v>
          </cell>
          <cell r="H189">
            <v>1</v>
          </cell>
        </row>
        <row r="190">
          <cell r="B190" t="str">
            <v>ESS - SCENT SERVICE</v>
          </cell>
          <cell r="C190" t="str">
            <v>Invoice</v>
          </cell>
          <cell r="D190">
            <v>38520</v>
          </cell>
          <cell r="F190" t="str">
            <v>5576-I</v>
          </cell>
          <cell r="G190" t="str">
            <v>Jimmy Choo (Corporate Office):Jimmy Choo (Coral Gables)</v>
          </cell>
          <cell r="H190">
            <v>1</v>
          </cell>
        </row>
        <row r="191">
          <cell r="B191" t="str">
            <v>ESS - SCENT SERVICE</v>
          </cell>
          <cell r="C191" t="str">
            <v>Invoice</v>
          </cell>
          <cell r="D191">
            <v>38520</v>
          </cell>
          <cell r="F191" t="str">
            <v>6366</v>
          </cell>
          <cell r="G191" t="str">
            <v>Jimmy Choo (Corporate Office):Jimmy Choo (Palm Beach Gardens)</v>
          </cell>
          <cell r="H191">
            <v>1</v>
          </cell>
        </row>
        <row r="192">
          <cell r="B192" t="str">
            <v>ESS - SCENT SERVICE</v>
          </cell>
          <cell r="C192" t="str">
            <v>Invoice</v>
          </cell>
          <cell r="D192">
            <v>38520</v>
          </cell>
          <cell r="F192" t="str">
            <v>6364</v>
          </cell>
          <cell r="G192" t="str">
            <v>Jimmy Choo (Corporate Office):Jimmy Choo (Dallas)</v>
          </cell>
          <cell r="H192">
            <v>1</v>
          </cell>
        </row>
        <row r="193">
          <cell r="B193" t="str">
            <v>ESS - SCENT SERVICE</v>
          </cell>
          <cell r="C193" t="str">
            <v>Invoice</v>
          </cell>
          <cell r="D193">
            <v>38520</v>
          </cell>
          <cell r="F193" t="str">
            <v>6365</v>
          </cell>
          <cell r="G193" t="str">
            <v>Jimmy Choo (Corporate Office):Jimmy Choo (Madison Ave.)</v>
          </cell>
          <cell r="H193">
            <v>1</v>
          </cell>
        </row>
        <row r="194">
          <cell r="B194" t="str">
            <v>ESS - SCENT SERVICE</v>
          </cell>
          <cell r="C194" t="str">
            <v>Invoice</v>
          </cell>
          <cell r="D194">
            <v>38520</v>
          </cell>
          <cell r="F194" t="str">
            <v>6375</v>
          </cell>
          <cell r="G194" t="str">
            <v>Lucky Brand Jeans:Lucky Brand Jeans SF</v>
          </cell>
          <cell r="H194">
            <v>1</v>
          </cell>
        </row>
        <row r="195">
          <cell r="B195" t="str">
            <v>ESS - SCENT SERVICE</v>
          </cell>
          <cell r="C195" t="str">
            <v>Invoice</v>
          </cell>
          <cell r="D195">
            <v>38520</v>
          </cell>
          <cell r="F195" t="str">
            <v>6367</v>
          </cell>
          <cell r="G195" t="str">
            <v>Muzak, LLC:City Range Steakhouse &amp; Grill</v>
          </cell>
          <cell r="H195">
            <v>1</v>
          </cell>
        </row>
        <row r="196">
          <cell r="B196" t="str">
            <v>ESS - SCENT SERVICE</v>
          </cell>
          <cell r="C196" t="str">
            <v>Invoice</v>
          </cell>
          <cell r="D196">
            <v>38520</v>
          </cell>
          <cell r="F196" t="str">
            <v>5575-I</v>
          </cell>
          <cell r="G196" t="str">
            <v>Jimmy Choo (Corporate Office):Jimmy Choo (51st street)</v>
          </cell>
          <cell r="H196">
            <v>1</v>
          </cell>
        </row>
        <row r="197">
          <cell r="B197" t="str">
            <v>ESS - SCENT SERVICE</v>
          </cell>
          <cell r="C197" t="str">
            <v>Invoice</v>
          </cell>
          <cell r="D197">
            <v>38520</v>
          </cell>
          <cell r="F197" t="str">
            <v>5571-I</v>
          </cell>
          <cell r="G197" t="str">
            <v>Muzak, LLC:Gate City Chop House</v>
          </cell>
          <cell r="H197">
            <v>1</v>
          </cell>
        </row>
        <row r="198">
          <cell r="B198" t="str">
            <v>ESS - SCENT SERVICE</v>
          </cell>
          <cell r="C198" t="str">
            <v>Invoice</v>
          </cell>
          <cell r="D198">
            <v>38520</v>
          </cell>
          <cell r="F198" t="str">
            <v>6373</v>
          </cell>
          <cell r="G198" t="str">
            <v>Muzak, LLC:Eastern Mountain Sports:EMS - Nashua</v>
          </cell>
          <cell r="H198">
            <v>1</v>
          </cell>
        </row>
        <row r="199">
          <cell r="B199" t="str">
            <v>ESS - SCENT SERVICE</v>
          </cell>
          <cell r="C199" t="str">
            <v>Invoice</v>
          </cell>
          <cell r="D199">
            <v>38524</v>
          </cell>
          <cell r="F199" t="str">
            <v>6249</v>
          </cell>
          <cell r="G199" t="str">
            <v>Muzak, LLC:Central Dermatology Center</v>
          </cell>
          <cell r="H199">
            <v>1</v>
          </cell>
        </row>
        <row r="200">
          <cell r="B200" t="str">
            <v>ESS - SCENT SERVICE</v>
          </cell>
          <cell r="C200" t="str">
            <v>Invoice</v>
          </cell>
          <cell r="D200">
            <v>38525</v>
          </cell>
          <cell r="F200" t="str">
            <v>6323</v>
          </cell>
          <cell r="G200" t="str">
            <v>Busch Gardens - Tampa</v>
          </cell>
          <cell r="H200">
            <v>1</v>
          </cell>
        </row>
        <row r="201">
          <cell r="B201" t="str">
            <v>ESS - SCENT SERVICE</v>
          </cell>
          <cell r="C201" t="str">
            <v>Invoice</v>
          </cell>
          <cell r="D201">
            <v>38525</v>
          </cell>
          <cell r="F201" t="str">
            <v>6189</v>
          </cell>
          <cell r="G201" t="str">
            <v>Lee-Moore Oil Company:Exxon OTR - 21</v>
          </cell>
          <cell r="H201">
            <v>1</v>
          </cell>
        </row>
        <row r="202">
          <cell r="B202" t="str">
            <v>ESS - SCENT SERVICE</v>
          </cell>
          <cell r="C202" t="str">
            <v>Invoice</v>
          </cell>
          <cell r="D202">
            <v>38525</v>
          </cell>
          <cell r="F202" t="str">
            <v>6182</v>
          </cell>
          <cell r="G202" t="str">
            <v>Lee-Moore Oil Company:Exxon OTR - 70</v>
          </cell>
          <cell r="H202">
            <v>1</v>
          </cell>
        </row>
        <row r="203">
          <cell r="B203" t="str">
            <v>ESS - SCENT SERVICE</v>
          </cell>
          <cell r="C203" t="str">
            <v>Invoice</v>
          </cell>
          <cell r="D203">
            <v>38525</v>
          </cell>
          <cell r="F203" t="str">
            <v>6188</v>
          </cell>
          <cell r="G203" t="str">
            <v>Lee-Moore Oil Company:Exxon OTR - 37</v>
          </cell>
          <cell r="H203">
            <v>1</v>
          </cell>
        </row>
        <row r="204">
          <cell r="B204" t="str">
            <v>ESS - SCENT SERVICE</v>
          </cell>
          <cell r="C204" t="str">
            <v>Invoice</v>
          </cell>
          <cell r="D204">
            <v>38525</v>
          </cell>
          <cell r="F204" t="str">
            <v>6122</v>
          </cell>
          <cell r="G204" t="str">
            <v>Lee-Moore Oil Company:Exxon OTR - 22</v>
          </cell>
          <cell r="H204">
            <v>1</v>
          </cell>
        </row>
        <row r="205">
          <cell r="B205" t="str">
            <v>ESS - SCENT SERVICE</v>
          </cell>
          <cell r="C205" t="str">
            <v>Invoice</v>
          </cell>
          <cell r="D205">
            <v>38525</v>
          </cell>
          <cell r="F205" t="str">
            <v>6183</v>
          </cell>
          <cell r="G205" t="str">
            <v>Lee-Moore Oil Company:Exxon OTR - 42</v>
          </cell>
          <cell r="H205">
            <v>1</v>
          </cell>
        </row>
        <row r="206">
          <cell r="B206" t="str">
            <v>ESS - SCENT SERVICE</v>
          </cell>
          <cell r="C206" t="str">
            <v>Invoice</v>
          </cell>
          <cell r="D206">
            <v>38525</v>
          </cell>
          <cell r="F206" t="str">
            <v>6184</v>
          </cell>
          <cell r="G206" t="str">
            <v>Lee-Moore Oil Company:Exxon OTR - 41</v>
          </cell>
          <cell r="H206">
            <v>1</v>
          </cell>
        </row>
        <row r="207">
          <cell r="B207" t="str">
            <v>ESS - SCENT SERVICE</v>
          </cell>
          <cell r="C207" t="str">
            <v>Invoice</v>
          </cell>
          <cell r="D207">
            <v>38525</v>
          </cell>
          <cell r="F207" t="str">
            <v>6176</v>
          </cell>
          <cell r="G207" t="str">
            <v>Lee-Moore Oil Company:Exxon OTR - 36</v>
          </cell>
          <cell r="H207">
            <v>1</v>
          </cell>
        </row>
        <row r="208">
          <cell r="B208" t="str">
            <v>ESS - SCENT SERVICE</v>
          </cell>
          <cell r="C208" t="str">
            <v>Invoice</v>
          </cell>
          <cell r="D208">
            <v>38525</v>
          </cell>
          <cell r="F208" t="str">
            <v>6181</v>
          </cell>
          <cell r="G208" t="str">
            <v>Lee-Moore Oil Company:Exxon OTR - 71</v>
          </cell>
          <cell r="H208">
            <v>1</v>
          </cell>
        </row>
        <row r="209">
          <cell r="B209" t="str">
            <v>ESS - SCENT SERVICE</v>
          </cell>
          <cell r="C209" t="str">
            <v>Invoice</v>
          </cell>
          <cell r="D209">
            <v>38525</v>
          </cell>
          <cell r="F209" t="str">
            <v>6187</v>
          </cell>
          <cell r="G209" t="str">
            <v>Lee-Moore Oil Company:Exxon OTR - 20</v>
          </cell>
          <cell r="H209">
            <v>1</v>
          </cell>
        </row>
        <row r="210">
          <cell r="B210" t="str">
            <v>ESS - SCENT SERVICE</v>
          </cell>
          <cell r="C210" t="str">
            <v>Invoice</v>
          </cell>
          <cell r="D210">
            <v>38525</v>
          </cell>
          <cell r="F210" t="str">
            <v>6185</v>
          </cell>
          <cell r="G210" t="str">
            <v>Lee-Moore Oil Company:Exxon OTR - 30</v>
          </cell>
          <cell r="H210">
            <v>1</v>
          </cell>
        </row>
        <row r="211">
          <cell r="B211" t="str">
            <v>ESS - SCENT SERVICE</v>
          </cell>
          <cell r="C211" t="str">
            <v>Invoice</v>
          </cell>
          <cell r="D211">
            <v>38525</v>
          </cell>
          <cell r="F211" t="str">
            <v>6186</v>
          </cell>
          <cell r="G211" t="str">
            <v>Lee-Moore Oil Company:Exxon OTR - 29</v>
          </cell>
          <cell r="H211">
            <v>1</v>
          </cell>
        </row>
        <row r="212">
          <cell r="B212" t="str">
            <v>ESS - SCENT SERVICE</v>
          </cell>
          <cell r="C212" t="str">
            <v>Invoice</v>
          </cell>
          <cell r="D212">
            <v>38527</v>
          </cell>
          <cell r="F212" t="str">
            <v>6136</v>
          </cell>
          <cell r="G212" t="str">
            <v>Muzak, LLC:Sleep to Live - Durham</v>
          </cell>
          <cell r="H212">
            <v>1</v>
          </cell>
        </row>
        <row r="213">
          <cell r="B213" t="str">
            <v>ESS - SCENT SERVICE</v>
          </cell>
          <cell r="C213" t="str">
            <v>Invoice</v>
          </cell>
          <cell r="D213">
            <v>38527</v>
          </cell>
          <cell r="F213" t="str">
            <v>6137</v>
          </cell>
          <cell r="G213" t="str">
            <v>Muzak, LLC:Dunkin Donuts - Raleigh(Capital Blvd)</v>
          </cell>
          <cell r="H213">
            <v>1</v>
          </cell>
        </row>
        <row r="214">
          <cell r="B214" t="str">
            <v>ESS - SCENT SERVICE</v>
          </cell>
          <cell r="C214" t="str">
            <v>Invoice</v>
          </cell>
          <cell r="D214">
            <v>38527</v>
          </cell>
          <cell r="F214" t="str">
            <v>6137</v>
          </cell>
          <cell r="G214" t="str">
            <v>Muzak, LLC:Dunkin Donuts - Raleigh(Capital Blvd)</v>
          </cell>
          <cell r="H214">
            <v>1</v>
          </cell>
        </row>
        <row r="215">
          <cell r="B215" t="str">
            <v>ESS - SCENT SERVICE</v>
          </cell>
          <cell r="C215" t="str">
            <v>Invoice</v>
          </cell>
          <cell r="D215">
            <v>38530</v>
          </cell>
          <cell r="F215" t="str">
            <v>5589</v>
          </cell>
          <cell r="G215" t="str">
            <v>Muzak, LLC:Round The Clock</v>
          </cell>
          <cell r="H215">
            <v>1</v>
          </cell>
        </row>
        <row r="216">
          <cell r="B216" t="str">
            <v>ESS - SCENT SERVICE</v>
          </cell>
          <cell r="C216" t="str">
            <v>Invoice</v>
          </cell>
          <cell r="D216">
            <v>38530</v>
          </cell>
          <cell r="F216" t="str">
            <v>6036</v>
          </cell>
          <cell r="G216" t="str">
            <v>Southern Kitchen and Bath</v>
          </cell>
          <cell r="H216">
            <v>1</v>
          </cell>
        </row>
        <row r="217">
          <cell r="B217" t="str">
            <v>ESS - SCENT SERVICE</v>
          </cell>
          <cell r="C217" t="str">
            <v>Invoice</v>
          </cell>
          <cell r="D217">
            <v>38530</v>
          </cell>
          <cell r="F217" t="str">
            <v>6305</v>
          </cell>
          <cell r="G217" t="str">
            <v>Hustler Hollywood - Lexington, KY</v>
          </cell>
          <cell r="H217">
            <v>1</v>
          </cell>
        </row>
        <row r="218">
          <cell r="B218" t="str">
            <v>ESS - SCENT SERVICE</v>
          </cell>
          <cell r="C218" t="str">
            <v>Invoice</v>
          </cell>
          <cell r="D218">
            <v>38531</v>
          </cell>
          <cell r="F218" t="str">
            <v>6131</v>
          </cell>
          <cell r="G218" t="str">
            <v>Western Sizzlin Corporate:Great American Steak Buffet</v>
          </cell>
          <cell r="H218">
            <v>1</v>
          </cell>
        </row>
        <row r="219">
          <cell r="B219" t="str">
            <v>ESS - SCENT SERVICE</v>
          </cell>
          <cell r="C219" t="str">
            <v>Invoice</v>
          </cell>
          <cell r="D219">
            <v>38531</v>
          </cell>
          <cell r="F219" t="str">
            <v>6129</v>
          </cell>
          <cell r="G219" t="str">
            <v>Western Sizzlin Corporate:Westin Sizzlin HQ - Roanoke</v>
          </cell>
          <cell r="H219">
            <v>1</v>
          </cell>
        </row>
        <row r="220">
          <cell r="B220" t="str">
            <v>ESS - SCENT SERVICE</v>
          </cell>
          <cell r="C220" t="str">
            <v>Invoice</v>
          </cell>
          <cell r="D220">
            <v>38532</v>
          </cell>
          <cell r="F220" t="str">
            <v>6237</v>
          </cell>
          <cell r="G220" t="str">
            <v>Muzak, LLC:Quick Chek - 09</v>
          </cell>
          <cell r="H220">
            <v>1</v>
          </cell>
        </row>
        <row r="221">
          <cell r="B221" t="str">
            <v>ESS - SCENT SERVICE</v>
          </cell>
          <cell r="C221" t="str">
            <v>Invoice</v>
          </cell>
          <cell r="D221">
            <v>38532</v>
          </cell>
          <cell r="F221" t="str">
            <v>6232</v>
          </cell>
          <cell r="G221" t="str">
            <v>Muzak, LLC:Quick Chek - 20</v>
          </cell>
          <cell r="H221">
            <v>1</v>
          </cell>
        </row>
        <row r="222">
          <cell r="B222" t="str">
            <v>ESS - SCENT SERVICE</v>
          </cell>
          <cell r="C222" t="str">
            <v>Invoice</v>
          </cell>
          <cell r="D222">
            <v>38533</v>
          </cell>
          <cell r="F222" t="str">
            <v>6230</v>
          </cell>
          <cell r="G222" t="str">
            <v>Muzak, LLC:C. Mini Mart - 147</v>
          </cell>
          <cell r="H222">
            <v>1</v>
          </cell>
        </row>
        <row r="223">
          <cell r="B223" t="str">
            <v>ESS - SCENT SERVICE</v>
          </cell>
          <cell r="C223" t="str">
            <v>Invoice</v>
          </cell>
          <cell r="D223">
            <v>38533</v>
          </cell>
          <cell r="F223" t="str">
            <v>6356</v>
          </cell>
          <cell r="G223" t="str">
            <v>Wayside Cleaners</v>
          </cell>
          <cell r="H223">
            <v>1</v>
          </cell>
        </row>
        <row r="224">
          <cell r="B224" t="str">
            <v>ESS - SCENT SERVICE</v>
          </cell>
          <cell r="C224" t="str">
            <v>Invoice</v>
          </cell>
          <cell r="D224">
            <v>38533</v>
          </cell>
          <cell r="F224" t="str">
            <v>7024</v>
          </cell>
          <cell r="G224" t="str">
            <v>Dr Horton Homebuilders</v>
          </cell>
          <cell r="H224">
            <v>1</v>
          </cell>
        </row>
        <row r="225">
          <cell r="B225" t="str">
            <v>ESS - SCENT SERVICE</v>
          </cell>
          <cell r="C225" t="str">
            <v>Invoice</v>
          </cell>
          <cell r="D225">
            <v>38533</v>
          </cell>
          <cell r="F225" t="str">
            <v>7022</v>
          </cell>
          <cell r="G225" t="str">
            <v>Cumberland Farms, Inc.:Cumberland Farms #3508</v>
          </cell>
          <cell r="H225">
            <v>1</v>
          </cell>
        </row>
        <row r="226">
          <cell r="B226" t="str">
            <v>ESS - SCENT SERVICE</v>
          </cell>
          <cell r="C226" t="str">
            <v>Invoice</v>
          </cell>
          <cell r="D226">
            <v>38533</v>
          </cell>
          <cell r="F226" t="str">
            <v>7020</v>
          </cell>
          <cell r="G226" t="str">
            <v>Cumberland Farms, Inc.:Cumberland Farms #0202</v>
          </cell>
          <cell r="H226">
            <v>1</v>
          </cell>
        </row>
        <row r="227">
          <cell r="B227" t="str">
            <v>ESS - SCENT SERVICE</v>
          </cell>
          <cell r="C227" t="str">
            <v>Invoice</v>
          </cell>
          <cell r="D227">
            <v>38533</v>
          </cell>
          <cell r="F227" t="str">
            <v>7017</v>
          </cell>
          <cell r="G227" t="str">
            <v>Cumberland Farms, Inc.:Cumberland Farms #0131</v>
          </cell>
          <cell r="H227">
            <v>1</v>
          </cell>
        </row>
        <row r="228">
          <cell r="B228" t="str">
            <v>ESS - SCENT SERVICE</v>
          </cell>
          <cell r="C228" t="str">
            <v>Invoice</v>
          </cell>
          <cell r="D228">
            <v>38533</v>
          </cell>
          <cell r="F228" t="str">
            <v>7021</v>
          </cell>
          <cell r="G228" t="str">
            <v>Cumberland Farms, Inc.:Cumberland Farms #2312</v>
          </cell>
          <cell r="H228">
            <v>1</v>
          </cell>
        </row>
        <row r="229">
          <cell r="B229" t="str">
            <v>ESS - SCENT SERVICE</v>
          </cell>
          <cell r="C229" t="str">
            <v>Invoice</v>
          </cell>
          <cell r="D229">
            <v>38533</v>
          </cell>
          <cell r="F229" t="str">
            <v>7019</v>
          </cell>
          <cell r="G229" t="str">
            <v>Cumberland Farms, Inc.:Cumberland Farms #0187</v>
          </cell>
          <cell r="H229">
            <v>1</v>
          </cell>
        </row>
        <row r="230">
          <cell r="B230" t="str">
            <v>ESS - SCENT SERVICE</v>
          </cell>
          <cell r="C230" t="str">
            <v>Invoice</v>
          </cell>
          <cell r="D230">
            <v>38533</v>
          </cell>
          <cell r="F230" t="str">
            <v>7005</v>
          </cell>
          <cell r="G230" t="str">
            <v>Exxon DDB Worldwide:ExxonMobil #20432</v>
          </cell>
          <cell r="H230">
            <v>1</v>
          </cell>
        </row>
        <row r="231">
          <cell r="B231" t="str">
            <v>ESS - SCENT SERVICE</v>
          </cell>
          <cell r="C231" t="str">
            <v>Invoice</v>
          </cell>
          <cell r="D231">
            <v>38533</v>
          </cell>
          <cell r="F231" t="str">
            <v>7006</v>
          </cell>
          <cell r="G231" t="str">
            <v>Exxon DDB Worldwide:ExxonMobil #25329</v>
          </cell>
          <cell r="H231">
            <v>1</v>
          </cell>
        </row>
        <row r="232">
          <cell r="B232" t="str">
            <v>ESS - SCENT SERVICE</v>
          </cell>
          <cell r="C232" t="str">
            <v>Invoice</v>
          </cell>
          <cell r="D232">
            <v>38533</v>
          </cell>
          <cell r="F232" t="str">
            <v>7007</v>
          </cell>
          <cell r="G232" t="str">
            <v>Exxon DDB Worldwide:ExxonMobil #27925</v>
          </cell>
          <cell r="H232">
            <v>1</v>
          </cell>
        </row>
        <row r="233">
          <cell r="B233" t="str">
            <v>ESS - SCENT SERVICE</v>
          </cell>
          <cell r="C233" t="str">
            <v>Invoice</v>
          </cell>
          <cell r="D233">
            <v>38533</v>
          </cell>
          <cell r="F233" t="str">
            <v>7011</v>
          </cell>
          <cell r="G233" t="str">
            <v>Exxon DDB Worldwide:ExxonMobil #60121</v>
          </cell>
          <cell r="H233">
            <v>1</v>
          </cell>
        </row>
        <row r="234">
          <cell r="B234" t="str">
            <v>ESS - SCENT SERVICE</v>
          </cell>
          <cell r="C234" t="str">
            <v>Invoice</v>
          </cell>
          <cell r="D234">
            <v>38533</v>
          </cell>
          <cell r="F234" t="str">
            <v>7012</v>
          </cell>
          <cell r="G234" t="str">
            <v>Exxon DDB Worldwide:ExxonMobil #62065</v>
          </cell>
          <cell r="H234">
            <v>1</v>
          </cell>
        </row>
        <row r="235">
          <cell r="B235" t="str">
            <v>ESS - SCENT SERVICE</v>
          </cell>
          <cell r="C235" t="str">
            <v>Invoice</v>
          </cell>
          <cell r="D235">
            <v>38533</v>
          </cell>
          <cell r="F235" t="str">
            <v>7013</v>
          </cell>
          <cell r="G235" t="str">
            <v>Exxon DDB Worldwide:ExxonMobil #80158</v>
          </cell>
          <cell r="H235">
            <v>1</v>
          </cell>
        </row>
        <row r="236">
          <cell r="B236" t="str">
            <v>ESS - SCENT SERVICE</v>
          </cell>
          <cell r="C236" t="str">
            <v>Invoice</v>
          </cell>
          <cell r="D236">
            <v>38533</v>
          </cell>
          <cell r="F236" t="str">
            <v>7008</v>
          </cell>
          <cell r="G236" t="str">
            <v>Exxon DDB Worldwide:ExxonMobil #40595</v>
          </cell>
          <cell r="H236">
            <v>1</v>
          </cell>
        </row>
        <row r="237">
          <cell r="B237" t="str">
            <v>ESS - SCENT SERVICE</v>
          </cell>
          <cell r="C237" t="str">
            <v>Invoice</v>
          </cell>
          <cell r="D237">
            <v>38533</v>
          </cell>
          <cell r="F237" t="str">
            <v>7009</v>
          </cell>
          <cell r="G237" t="str">
            <v>Exxon DDB Worldwide:ExxonMobil #40600</v>
          </cell>
          <cell r="H237">
            <v>1</v>
          </cell>
        </row>
        <row r="238">
          <cell r="B238" t="str">
            <v>ESS - SCENT SERVICE</v>
          </cell>
          <cell r="C238" t="str">
            <v>Invoice</v>
          </cell>
          <cell r="D238">
            <v>38533</v>
          </cell>
          <cell r="F238" t="str">
            <v>7010</v>
          </cell>
          <cell r="G238" t="str">
            <v>Exxon DDB Worldwide:ExxonMobil #47373</v>
          </cell>
          <cell r="H238">
            <v>1</v>
          </cell>
        </row>
        <row r="239">
          <cell r="B239" t="str">
            <v>ESS - SCENT SERVICE</v>
          </cell>
          <cell r="C239" t="str">
            <v>Invoice</v>
          </cell>
          <cell r="D239">
            <v>38534</v>
          </cell>
          <cell r="F239" t="str">
            <v>6231</v>
          </cell>
          <cell r="G239" t="str">
            <v>Muzak, LLC:Quick Chek - 31</v>
          </cell>
          <cell r="H239">
            <v>1</v>
          </cell>
        </row>
        <row r="240">
          <cell r="B240" t="str">
            <v>ESS - SCENT SERVICE</v>
          </cell>
          <cell r="C240" t="str">
            <v>Invoice</v>
          </cell>
          <cell r="D240">
            <v>38534</v>
          </cell>
          <cell r="F240" t="str">
            <v>7058</v>
          </cell>
          <cell r="G240" t="str">
            <v>Muzak, LLC:Just Fresh Bakery Cafe &amp; Mkt. - Durham</v>
          </cell>
          <cell r="H240">
            <v>1</v>
          </cell>
        </row>
        <row r="241">
          <cell r="B241" t="str">
            <v>ESS - SCENT SERVICE</v>
          </cell>
          <cell r="C241" t="str">
            <v>Invoice</v>
          </cell>
          <cell r="D241">
            <v>38538</v>
          </cell>
          <cell r="F241" t="str">
            <v>7004</v>
          </cell>
          <cell r="G241" t="str">
            <v>Muzak, LLC:McDonald's - Raleigh</v>
          </cell>
          <cell r="H241">
            <v>1</v>
          </cell>
        </row>
        <row r="242">
          <cell r="B242" t="str">
            <v>ESS - SCENT SERVICE</v>
          </cell>
          <cell r="C242" t="str">
            <v>Invoice</v>
          </cell>
          <cell r="D242">
            <v>38538</v>
          </cell>
          <cell r="F242" t="str">
            <v>7003</v>
          </cell>
          <cell r="G242" t="str">
            <v>Muzak, LLC:Atlanta Bread Company</v>
          </cell>
          <cell r="H242">
            <v>1</v>
          </cell>
        </row>
        <row r="243">
          <cell r="B243" t="str">
            <v>ESS - SCENT SERVICE</v>
          </cell>
          <cell r="C243" t="str">
            <v>Invoice</v>
          </cell>
          <cell r="D243">
            <v>38539</v>
          </cell>
          <cell r="F243" t="str">
            <v>7038</v>
          </cell>
          <cell r="G243" t="str">
            <v>Muzak, LLC:Dunkin Donuts/B. Robbins - Fuquay</v>
          </cell>
          <cell r="H243">
            <v>1</v>
          </cell>
        </row>
        <row r="244">
          <cell r="B244" t="str">
            <v>ESS - SCENT SERVICE</v>
          </cell>
          <cell r="C244" t="str">
            <v>Invoice</v>
          </cell>
          <cell r="D244">
            <v>38540</v>
          </cell>
          <cell r="F244" t="str">
            <v>6259</v>
          </cell>
          <cell r="G244" t="str">
            <v>Muzak, LLC:Dunkin Donuts - Charlotte</v>
          </cell>
          <cell r="H244">
            <v>1</v>
          </cell>
        </row>
        <row r="245">
          <cell r="B245" t="str">
            <v>ESS - SCENT SERVICE</v>
          </cell>
          <cell r="C245" t="str">
            <v>Invoice</v>
          </cell>
          <cell r="D245">
            <v>38540</v>
          </cell>
          <cell r="F245" t="str">
            <v>6308</v>
          </cell>
          <cell r="G245" t="str">
            <v>Muzak, LLC:Spink - 191</v>
          </cell>
          <cell r="H245">
            <v>1</v>
          </cell>
        </row>
        <row r="246">
          <cell r="B246" t="str">
            <v>ESS - SCENT SERVICE</v>
          </cell>
          <cell r="C246" t="str">
            <v>Invoice</v>
          </cell>
          <cell r="D246">
            <v>38540</v>
          </cell>
          <cell r="F246" t="str">
            <v>6310</v>
          </cell>
          <cell r="G246" t="str">
            <v>Muzak, LLC:Spinx - 100</v>
          </cell>
          <cell r="H246">
            <v>1</v>
          </cell>
        </row>
        <row r="247">
          <cell r="B247" t="str">
            <v>ESS - SCENT SERVICE</v>
          </cell>
          <cell r="C247" t="str">
            <v>Invoice</v>
          </cell>
          <cell r="D247">
            <v>38540</v>
          </cell>
          <cell r="F247" t="str">
            <v>6261</v>
          </cell>
          <cell r="G247" t="str">
            <v>Muzak, LLC:Sleep to Live - Mebane</v>
          </cell>
          <cell r="H247">
            <v>1</v>
          </cell>
        </row>
        <row r="248">
          <cell r="B248" t="str">
            <v>ESS - SCENT SERVICE</v>
          </cell>
          <cell r="C248" t="str">
            <v>Invoice</v>
          </cell>
          <cell r="D248">
            <v>38542</v>
          </cell>
          <cell r="F248" t="str">
            <v>6035-I</v>
          </cell>
          <cell r="G248" t="str">
            <v>Bark Avenue Bakery</v>
          </cell>
          <cell r="H248">
            <v>1</v>
          </cell>
        </row>
        <row r="249">
          <cell r="B249" t="str">
            <v>ESS - SCENT SERVICE</v>
          </cell>
          <cell r="C249" t="str">
            <v>Invoice</v>
          </cell>
          <cell r="D249">
            <v>38542</v>
          </cell>
          <cell r="F249" t="str">
            <v>6322</v>
          </cell>
          <cell r="G249" t="str">
            <v>Disney Worldwide:Goofy's Candy Company</v>
          </cell>
          <cell r="H249">
            <v>1</v>
          </cell>
        </row>
        <row r="250">
          <cell r="B250" t="str">
            <v>ESS - SCENT SERVICE</v>
          </cell>
          <cell r="C250" t="str">
            <v>Invoice</v>
          </cell>
          <cell r="D250">
            <v>38542</v>
          </cell>
          <cell r="F250" t="str">
            <v>6400</v>
          </cell>
          <cell r="G250" t="str">
            <v>Muzak, LLC:Doctor's Urgent Care</v>
          </cell>
          <cell r="H250">
            <v>1</v>
          </cell>
        </row>
        <row r="251">
          <cell r="B251" t="str">
            <v>ESS - SCENT SERVICE</v>
          </cell>
          <cell r="C251" t="str">
            <v>Invoice</v>
          </cell>
          <cell r="D251">
            <v>38542</v>
          </cell>
          <cell r="F251" t="str">
            <v>7089</v>
          </cell>
          <cell r="G251" t="str">
            <v>Muzak, LLC:One Stop Food Store</v>
          </cell>
          <cell r="H251">
            <v>1</v>
          </cell>
        </row>
        <row r="252">
          <cell r="B252" t="str">
            <v>ESS - SCENT SERVICE</v>
          </cell>
          <cell r="C252" t="str">
            <v>Invoice</v>
          </cell>
          <cell r="D252">
            <v>38542</v>
          </cell>
          <cell r="F252" t="str">
            <v>7091</v>
          </cell>
          <cell r="G252" t="str">
            <v>Muzak, LLC:Savvy Salon and Day Spa</v>
          </cell>
          <cell r="H252">
            <v>1</v>
          </cell>
        </row>
        <row r="253">
          <cell r="B253" t="str">
            <v>ESS - SCENT SERVICE</v>
          </cell>
          <cell r="C253" t="str">
            <v>Invoice</v>
          </cell>
          <cell r="D253">
            <v>38542</v>
          </cell>
          <cell r="F253" t="str">
            <v>6258</v>
          </cell>
          <cell r="G253" t="str">
            <v>Muzak, LLC:USA Baby</v>
          </cell>
          <cell r="H253">
            <v>1</v>
          </cell>
        </row>
        <row r="254">
          <cell r="B254" t="str">
            <v>ESS - SCENT SERVICE</v>
          </cell>
          <cell r="C254" t="str">
            <v>Invoice</v>
          </cell>
          <cell r="D254">
            <v>38542</v>
          </cell>
          <cell r="F254" t="str">
            <v>6257</v>
          </cell>
          <cell r="G254" t="str">
            <v>Muzak, LLC:Arbys - Simpsonville</v>
          </cell>
          <cell r="H254">
            <v>1</v>
          </cell>
        </row>
        <row r="255">
          <cell r="B255" t="str">
            <v>ESS - SCENT SERVICE</v>
          </cell>
          <cell r="C255" t="str">
            <v>Invoice</v>
          </cell>
          <cell r="D255">
            <v>38542</v>
          </cell>
          <cell r="F255" t="str">
            <v>6262</v>
          </cell>
          <cell r="G255" t="str">
            <v>Muzak, LLC:Highwoods Properties</v>
          </cell>
          <cell r="H255">
            <v>1</v>
          </cell>
        </row>
        <row r="256">
          <cell r="B256" t="str">
            <v>ESS - SCENT SERVICE</v>
          </cell>
          <cell r="C256" t="str">
            <v>Invoice</v>
          </cell>
          <cell r="D256">
            <v>38544</v>
          </cell>
          <cell r="F256" t="str">
            <v>7037</v>
          </cell>
          <cell r="G256" t="str">
            <v>Muzak, LLC:Anytime Fitness</v>
          </cell>
          <cell r="H256">
            <v>1</v>
          </cell>
        </row>
        <row r="257">
          <cell r="B257" t="str">
            <v>ESS - SCENT SERVICE</v>
          </cell>
          <cell r="C257" t="str">
            <v>Invoice</v>
          </cell>
          <cell r="D257">
            <v>38545</v>
          </cell>
          <cell r="F257" t="str">
            <v>6376</v>
          </cell>
          <cell r="G257" t="str">
            <v>Lucky Brand Jeans:Lucky Brand Jeans SF</v>
          </cell>
          <cell r="H257">
            <v>1</v>
          </cell>
        </row>
        <row r="258">
          <cell r="B258" t="str">
            <v>ESS - SCENT SERVICE</v>
          </cell>
          <cell r="C258" t="str">
            <v>Invoice</v>
          </cell>
          <cell r="D258">
            <v>38547</v>
          </cell>
          <cell r="F258" t="str">
            <v>6325</v>
          </cell>
          <cell r="G258" t="str">
            <v>Harry and David #564</v>
          </cell>
          <cell r="H258">
            <v>1</v>
          </cell>
        </row>
        <row r="259">
          <cell r="B259" t="str">
            <v>ESS - SCENT SERVICE</v>
          </cell>
          <cell r="C259" t="str">
            <v>Invoice</v>
          </cell>
          <cell r="D259">
            <v>38548</v>
          </cell>
          <cell r="F259" t="str">
            <v>7142</v>
          </cell>
          <cell r="G259" t="str">
            <v>Muzak, LLC:Schnuck Markets, Inc. #180</v>
          </cell>
          <cell r="H259">
            <v>1</v>
          </cell>
        </row>
        <row r="260">
          <cell r="B260" t="str">
            <v>ESS - SCENT SERVICE</v>
          </cell>
          <cell r="C260" t="str">
            <v>Invoice</v>
          </cell>
          <cell r="D260">
            <v>38548</v>
          </cell>
          <cell r="F260" t="str">
            <v>6412</v>
          </cell>
          <cell r="G260" t="str">
            <v>Jimmy Choo (Corporate Office):Jimmy Choo (51st street)</v>
          </cell>
          <cell r="H260">
            <v>1</v>
          </cell>
        </row>
        <row r="261">
          <cell r="B261" t="str">
            <v>ESS - SCENT SERVICE</v>
          </cell>
          <cell r="C261" t="str">
            <v>Invoice</v>
          </cell>
          <cell r="D261">
            <v>38548</v>
          </cell>
          <cell r="F261" t="str">
            <v>6414</v>
          </cell>
          <cell r="G261" t="str">
            <v>Jimmy Choo (Corporate Office):Jimmy Choo (Dallas)</v>
          </cell>
          <cell r="H261">
            <v>1</v>
          </cell>
        </row>
        <row r="262">
          <cell r="B262" t="str">
            <v>ESS - SCENT SERVICE</v>
          </cell>
          <cell r="C262" t="str">
            <v>Invoice</v>
          </cell>
          <cell r="D262">
            <v>38548</v>
          </cell>
          <cell r="F262" t="str">
            <v>6416</v>
          </cell>
          <cell r="G262" t="str">
            <v>Jimmy Choo (Corporate Office):Jimmy Choo (Madison Ave.)</v>
          </cell>
          <cell r="H262">
            <v>1</v>
          </cell>
        </row>
        <row r="263">
          <cell r="B263" t="str">
            <v>ESS - SCENT SERVICE</v>
          </cell>
          <cell r="C263" t="str">
            <v>Invoice</v>
          </cell>
          <cell r="D263">
            <v>38548</v>
          </cell>
          <cell r="F263" t="str">
            <v>6418</v>
          </cell>
          <cell r="G263" t="str">
            <v>Jimmy Choo (Corporate Office):Jimmy Choo (Palm Beach Gardens)</v>
          </cell>
          <cell r="H263">
            <v>1</v>
          </cell>
        </row>
        <row r="264">
          <cell r="B264" t="str">
            <v>ESS - SCENT SERVICE</v>
          </cell>
          <cell r="C264" t="str">
            <v>Invoice</v>
          </cell>
          <cell r="D264">
            <v>38548</v>
          </cell>
          <cell r="F264" t="str">
            <v>6410</v>
          </cell>
          <cell r="G264" t="str">
            <v>Jimmy Choo (Corporate Office):Jimmy Choo (Coral Gables)</v>
          </cell>
          <cell r="H264">
            <v>1</v>
          </cell>
        </row>
        <row r="265">
          <cell r="B265" t="str">
            <v>ESS - SCENT SERVICE</v>
          </cell>
          <cell r="C265" t="str">
            <v>Invoice</v>
          </cell>
          <cell r="D265">
            <v>38551</v>
          </cell>
          <cell r="F265" t="str">
            <v>7086</v>
          </cell>
          <cell r="G265" t="str">
            <v>Muzak, LLC:City Range Steakhouse &amp; Grill</v>
          </cell>
          <cell r="H265">
            <v>1</v>
          </cell>
        </row>
        <row r="266">
          <cell r="B266" t="str">
            <v>ESS - SCENT SERVICE</v>
          </cell>
          <cell r="C266" t="str">
            <v>Invoice</v>
          </cell>
          <cell r="D266">
            <v>38552</v>
          </cell>
          <cell r="F266" t="str">
            <v>6214</v>
          </cell>
          <cell r="G266" t="str">
            <v>Lee-Moore Oil Company:Exxon OTR - 22</v>
          </cell>
          <cell r="H266">
            <v>1</v>
          </cell>
        </row>
        <row r="267">
          <cell r="B267" t="str">
            <v>ESS - SCENT SERVICE</v>
          </cell>
          <cell r="C267" t="str">
            <v>Invoice</v>
          </cell>
          <cell r="D267">
            <v>38552</v>
          </cell>
          <cell r="F267" t="str">
            <v>6206</v>
          </cell>
          <cell r="G267" t="str">
            <v>Lee-Moore Oil Company:Exxon OTR - 42</v>
          </cell>
          <cell r="H267">
            <v>1</v>
          </cell>
        </row>
        <row r="268">
          <cell r="B268" t="str">
            <v>ESS - SCENT SERVICE</v>
          </cell>
          <cell r="C268" t="str">
            <v>Invoice</v>
          </cell>
          <cell r="D268">
            <v>38552</v>
          </cell>
          <cell r="F268" t="str">
            <v>6210</v>
          </cell>
          <cell r="G268" t="str">
            <v>Lee-Moore Oil Company:Exxon OTR - 20</v>
          </cell>
          <cell r="H268">
            <v>1</v>
          </cell>
        </row>
        <row r="269">
          <cell r="B269" t="str">
            <v>ESS - SCENT SERVICE</v>
          </cell>
          <cell r="C269" t="str">
            <v>Invoice</v>
          </cell>
          <cell r="D269">
            <v>38552</v>
          </cell>
          <cell r="F269" t="str">
            <v>6211</v>
          </cell>
          <cell r="G269" t="str">
            <v>Lee-Moore Oil Company:Exxon OTR - 37</v>
          </cell>
          <cell r="H269">
            <v>1</v>
          </cell>
        </row>
        <row r="270">
          <cell r="B270" t="str">
            <v>ESS - SCENT SERVICE</v>
          </cell>
          <cell r="C270" t="str">
            <v>Invoice</v>
          </cell>
          <cell r="D270">
            <v>38552</v>
          </cell>
          <cell r="F270" t="str">
            <v>6213</v>
          </cell>
          <cell r="G270" t="str">
            <v>Lee-Moore Oil Company:Exxon OTR - 21</v>
          </cell>
          <cell r="H270">
            <v>1</v>
          </cell>
        </row>
        <row r="271">
          <cell r="B271" t="str">
            <v>ESS - SCENT SERVICE</v>
          </cell>
          <cell r="C271" t="str">
            <v>Invoice</v>
          </cell>
          <cell r="D271">
            <v>38552</v>
          </cell>
          <cell r="F271" t="str">
            <v>6212</v>
          </cell>
          <cell r="G271" t="str">
            <v>Lee-Moore Oil Company:Exxon OTR - 36</v>
          </cell>
          <cell r="H271">
            <v>1</v>
          </cell>
        </row>
        <row r="272">
          <cell r="B272" t="str">
            <v>ESS - SCENT SERVICE</v>
          </cell>
          <cell r="C272" t="str">
            <v>Invoice</v>
          </cell>
          <cell r="D272">
            <v>38552</v>
          </cell>
          <cell r="F272" t="str">
            <v>6207</v>
          </cell>
          <cell r="G272" t="str">
            <v>Lee-Moore Oil Company:Exxon OTR - 41</v>
          </cell>
          <cell r="H272">
            <v>1</v>
          </cell>
        </row>
        <row r="273">
          <cell r="B273" t="str">
            <v>ESS - SCENT SERVICE</v>
          </cell>
          <cell r="C273" t="str">
            <v>Invoice</v>
          </cell>
          <cell r="D273">
            <v>38552</v>
          </cell>
          <cell r="F273" t="str">
            <v>6208</v>
          </cell>
          <cell r="G273" t="str">
            <v>Lee-Moore Oil Company:Exxon OTR - 30</v>
          </cell>
          <cell r="H273">
            <v>1</v>
          </cell>
        </row>
        <row r="274">
          <cell r="B274" t="str">
            <v>ESS - SCENT SERVICE</v>
          </cell>
          <cell r="C274" t="str">
            <v>Invoice</v>
          </cell>
          <cell r="D274">
            <v>38552</v>
          </cell>
          <cell r="F274" t="str">
            <v>6205</v>
          </cell>
          <cell r="G274" t="str">
            <v>Lee-Moore Oil Company:Exxon OTR - 70</v>
          </cell>
          <cell r="H274">
            <v>1</v>
          </cell>
        </row>
        <row r="275">
          <cell r="B275" t="str">
            <v>ESS - SCENT SERVICE</v>
          </cell>
          <cell r="C275" t="str">
            <v>Invoice</v>
          </cell>
          <cell r="D275">
            <v>38552</v>
          </cell>
          <cell r="F275" t="str">
            <v>6209</v>
          </cell>
          <cell r="G275" t="str">
            <v>Lee-Moore Oil Company:Exxon OTR - 29</v>
          </cell>
          <cell r="H275">
            <v>1</v>
          </cell>
        </row>
        <row r="276">
          <cell r="B276" t="str">
            <v>ESS - SCENT SERVICE</v>
          </cell>
          <cell r="C276" t="str">
            <v>Invoice</v>
          </cell>
          <cell r="D276">
            <v>38552</v>
          </cell>
          <cell r="F276" t="str">
            <v>6204</v>
          </cell>
          <cell r="G276" t="str">
            <v>Lee-Moore Oil Company:Exxon OTR - 71</v>
          </cell>
          <cell r="H276">
            <v>1</v>
          </cell>
        </row>
        <row r="277">
          <cell r="B277" t="str">
            <v>ESS - SCENT SERVICE</v>
          </cell>
          <cell r="C277" t="str">
            <v>Invoice</v>
          </cell>
          <cell r="D277">
            <v>38552</v>
          </cell>
          <cell r="F277" t="str">
            <v>6324</v>
          </cell>
          <cell r="G277" t="str">
            <v>Busch Gardens - Tampa</v>
          </cell>
          <cell r="H277">
            <v>1</v>
          </cell>
        </row>
        <row r="278">
          <cell r="B278" t="str">
            <v>ESS - SCENT SERVICE</v>
          </cell>
          <cell r="C278" t="str">
            <v>Invoice</v>
          </cell>
          <cell r="D278">
            <v>38552</v>
          </cell>
          <cell r="F278" t="str">
            <v>7161</v>
          </cell>
          <cell r="G278" t="str">
            <v>Carson Pirie Scott &amp; Co..</v>
          </cell>
          <cell r="H278">
            <v>1</v>
          </cell>
        </row>
        <row r="279">
          <cell r="B279" t="str">
            <v>ESS - SCENT SERVICE</v>
          </cell>
          <cell r="C279" t="str">
            <v>Invoice</v>
          </cell>
          <cell r="D279">
            <v>38553</v>
          </cell>
          <cell r="F279" t="str">
            <v>7171</v>
          </cell>
          <cell r="G279" t="str">
            <v>Hotel Hershey</v>
          </cell>
          <cell r="H279">
            <v>1</v>
          </cell>
        </row>
        <row r="280">
          <cell r="B280" t="str">
            <v>ESS - SCENT SERVICE</v>
          </cell>
          <cell r="C280" t="str">
            <v>Invoice</v>
          </cell>
          <cell r="D280">
            <v>38554</v>
          </cell>
          <cell r="F280" t="str">
            <v>7178</v>
          </cell>
          <cell r="G280" t="str">
            <v>Ameristar Casinos, Inc.:Ameristar Casinos, Inc. St. Charles</v>
          </cell>
          <cell r="H280">
            <v>1</v>
          </cell>
        </row>
        <row r="281">
          <cell r="B281" t="str">
            <v>ESS - SCENT SERVICE</v>
          </cell>
          <cell r="C281" t="str">
            <v>Invoice</v>
          </cell>
          <cell r="D281">
            <v>38554</v>
          </cell>
          <cell r="F281" t="str">
            <v>7085</v>
          </cell>
          <cell r="G281" t="str">
            <v>Muzak, LLC:Central Dermatology Center</v>
          </cell>
          <cell r="H281">
            <v>1</v>
          </cell>
        </row>
        <row r="282">
          <cell r="B282" t="str">
            <v>ESS - SCENT SERVICE</v>
          </cell>
          <cell r="C282" t="str">
            <v>Invoice</v>
          </cell>
          <cell r="D282">
            <v>38555</v>
          </cell>
          <cell r="F282" t="str">
            <v>5551-I</v>
          </cell>
          <cell r="G282" t="str">
            <v>Muzak, LLC:Sleep to Live - Durham</v>
          </cell>
          <cell r="H282">
            <v>1</v>
          </cell>
        </row>
        <row r="283">
          <cell r="B283" t="str">
            <v>ESS - SCENT SERVICE</v>
          </cell>
          <cell r="C283" t="str">
            <v>Invoice</v>
          </cell>
          <cell r="D283">
            <v>38558</v>
          </cell>
          <cell r="F283" t="str">
            <v>CR4924</v>
          </cell>
          <cell r="G283" t="str">
            <v>Hotel Hershey</v>
          </cell>
          <cell r="H283">
            <v>1</v>
          </cell>
        </row>
        <row r="284">
          <cell r="B284" t="str">
            <v>ESS - SCENT SERVICE</v>
          </cell>
          <cell r="C284" t="str">
            <v>Invoice</v>
          </cell>
          <cell r="D284">
            <v>38558</v>
          </cell>
          <cell r="F284" t="str">
            <v>6328</v>
          </cell>
          <cell r="G284" t="str">
            <v>Hustler Hollywood - Lexington, KY</v>
          </cell>
          <cell r="H284">
            <v>1</v>
          </cell>
        </row>
        <row r="285">
          <cell r="B285" t="str">
            <v>ESS - SCENT SERVICE</v>
          </cell>
          <cell r="C285" t="str">
            <v>Invoice</v>
          </cell>
          <cell r="D285">
            <v>38558</v>
          </cell>
          <cell r="F285" t="str">
            <v>5563-I</v>
          </cell>
          <cell r="G285" t="str">
            <v>Southern Kitchen and Bath</v>
          </cell>
          <cell r="H285">
            <v>1</v>
          </cell>
        </row>
        <row r="286">
          <cell r="B286" t="str">
            <v>ESS - SCENT SERVICE</v>
          </cell>
          <cell r="C286" t="str">
            <v>Invoice</v>
          </cell>
          <cell r="D286">
            <v>38558</v>
          </cell>
          <cell r="F286" t="str">
            <v>7183</v>
          </cell>
          <cell r="G286" t="str">
            <v>Muzak, LLC:Greenville Hilton</v>
          </cell>
          <cell r="H286">
            <v>1</v>
          </cell>
        </row>
        <row r="287">
          <cell r="B287" t="str">
            <v>ESS - SCENT SERVICE</v>
          </cell>
          <cell r="C287" t="str">
            <v>Invoice</v>
          </cell>
          <cell r="D287">
            <v>38559</v>
          </cell>
          <cell r="F287" t="str">
            <v>6130</v>
          </cell>
          <cell r="G287" t="str">
            <v>Western Sizzlin Corporate:Westin Sizzlin HQ - Roanoke</v>
          </cell>
          <cell r="H287">
            <v>1</v>
          </cell>
        </row>
        <row r="288">
          <cell r="B288" t="str">
            <v>ESS - SCENT SERVICE</v>
          </cell>
          <cell r="C288" t="str">
            <v>Invoice</v>
          </cell>
          <cell r="D288">
            <v>38559</v>
          </cell>
          <cell r="F288" t="str">
            <v>7202</v>
          </cell>
          <cell r="G288" t="str">
            <v>Pacific Pets Inc.</v>
          </cell>
          <cell r="H288">
            <v>1</v>
          </cell>
        </row>
        <row r="289">
          <cell r="B289" t="str">
            <v>ESS - SCENT SERVICE</v>
          </cell>
          <cell r="C289" t="str">
            <v>Invoice</v>
          </cell>
          <cell r="D289">
            <v>38559</v>
          </cell>
          <cell r="F289" t="str">
            <v>5531-I</v>
          </cell>
          <cell r="G289" t="str">
            <v>Western Sizzlin Corporate:Great American Steak Buffet</v>
          </cell>
          <cell r="H289">
            <v>1</v>
          </cell>
        </row>
        <row r="290">
          <cell r="B290" t="str">
            <v>ESS - SCENT SERVICE</v>
          </cell>
          <cell r="C290" t="str">
            <v>Invoice</v>
          </cell>
          <cell r="D290">
            <v>38561</v>
          </cell>
          <cell r="F290" t="str">
            <v>7177</v>
          </cell>
          <cell r="G290" t="str">
            <v>Muzak, LLC:Just Fresh Bakery Cafe &amp; Mkt. - Durham</v>
          </cell>
          <cell r="H290">
            <v>1</v>
          </cell>
        </row>
        <row r="291">
          <cell r="B291" t="str">
            <v>ESS - SCENT SERVICE</v>
          </cell>
          <cell r="C291" t="str">
            <v>Invoice</v>
          </cell>
          <cell r="D291">
            <v>38562</v>
          </cell>
          <cell r="F291" t="str">
            <v>7223</v>
          </cell>
          <cell r="G291" t="str">
            <v>Muzak, LLC:Mina's Studio</v>
          </cell>
          <cell r="H291">
            <v>1</v>
          </cell>
        </row>
        <row r="292">
          <cell r="B292" t="str">
            <v>ESS - SCENT SERVICE</v>
          </cell>
          <cell r="C292" t="str">
            <v>Invoice</v>
          </cell>
          <cell r="D292">
            <v>38565</v>
          </cell>
          <cell r="F292" t="str">
            <v>6398</v>
          </cell>
          <cell r="G292" t="str">
            <v>Muzak, LLC:Gate City Chop House</v>
          </cell>
          <cell r="H292">
            <v>1</v>
          </cell>
        </row>
        <row r="293">
          <cell r="B293" t="str">
            <v>ESS - SCENT SERVICE</v>
          </cell>
          <cell r="C293" t="str">
            <v>Invoice</v>
          </cell>
          <cell r="D293">
            <v>38565</v>
          </cell>
          <cell r="F293" t="str">
            <v>7239</v>
          </cell>
          <cell r="G293" t="str">
            <v>Muzak, LLC:Muzak (Demo)</v>
          </cell>
          <cell r="H293">
            <v>1</v>
          </cell>
        </row>
        <row r="294">
          <cell r="B294" t="str">
            <v>ESS - SCENT SERVICE</v>
          </cell>
          <cell r="C294" t="str">
            <v>Invoice</v>
          </cell>
          <cell r="D294">
            <v>38565</v>
          </cell>
          <cell r="F294" t="str">
            <v>6387</v>
          </cell>
          <cell r="G294" t="str">
            <v>Muzak, LLC:C. Mini Mart - 147</v>
          </cell>
          <cell r="H294">
            <v>1</v>
          </cell>
        </row>
        <row r="295">
          <cell r="B295" t="str">
            <v>ESS - SCENT SERVICE</v>
          </cell>
          <cell r="C295" t="str">
            <v>Invoice</v>
          </cell>
          <cell r="D295">
            <v>38566</v>
          </cell>
          <cell r="F295" t="str">
            <v>7245</v>
          </cell>
          <cell r="G295" t="str">
            <v>Exxon DDB Worldwide:ExxonMobil #60121</v>
          </cell>
          <cell r="H295">
            <v>1</v>
          </cell>
        </row>
        <row r="296">
          <cell r="B296" t="str">
            <v>ESS - SCENT SERVICE</v>
          </cell>
          <cell r="C296" t="str">
            <v>Invoice</v>
          </cell>
          <cell r="D296">
            <v>38566</v>
          </cell>
          <cell r="F296" t="str">
            <v>7247</v>
          </cell>
          <cell r="G296" t="str">
            <v>Exxon DDB Worldwide:ExxonMobil #80158</v>
          </cell>
          <cell r="H296">
            <v>1</v>
          </cell>
        </row>
        <row r="297">
          <cell r="B297" t="str">
            <v>ESS - SCENT SERVICE</v>
          </cell>
          <cell r="C297" t="str">
            <v>Invoice</v>
          </cell>
          <cell r="D297">
            <v>38566</v>
          </cell>
          <cell r="F297" t="str">
            <v>7244</v>
          </cell>
          <cell r="G297" t="str">
            <v>Exxon DDB Worldwide:ExxonMobil #27925</v>
          </cell>
          <cell r="H297">
            <v>1</v>
          </cell>
        </row>
        <row r="298">
          <cell r="B298" t="str">
            <v>ESS - SCENT SERVICE</v>
          </cell>
          <cell r="C298" t="str">
            <v>Invoice</v>
          </cell>
          <cell r="D298">
            <v>38566</v>
          </cell>
          <cell r="F298" t="str">
            <v>7243</v>
          </cell>
          <cell r="G298" t="str">
            <v>Exxon DDB Worldwide:ExxonMobil #25329</v>
          </cell>
          <cell r="H298">
            <v>1</v>
          </cell>
        </row>
        <row r="299">
          <cell r="B299" t="str">
            <v>ESS - SCENT SERVICE</v>
          </cell>
          <cell r="C299" t="str">
            <v>Invoice</v>
          </cell>
          <cell r="D299">
            <v>38566</v>
          </cell>
          <cell r="F299" t="str">
            <v>7246</v>
          </cell>
          <cell r="G299" t="str">
            <v>Exxon DDB Worldwide:ExxonMobil #62065</v>
          </cell>
          <cell r="H299">
            <v>1</v>
          </cell>
        </row>
        <row r="300">
          <cell r="B300" t="str">
            <v>ESS - SCENT SERVICE</v>
          </cell>
          <cell r="C300" t="str">
            <v>Invoice</v>
          </cell>
          <cell r="D300">
            <v>38566</v>
          </cell>
          <cell r="F300" t="str">
            <v>7241</v>
          </cell>
          <cell r="G300" t="str">
            <v>Exxon DDB Worldwide:ExxonMobil #20432</v>
          </cell>
          <cell r="H300">
            <v>1</v>
          </cell>
        </row>
        <row r="301">
          <cell r="B301" t="str">
            <v>ESS - SCENT SERVICE</v>
          </cell>
          <cell r="C301" t="str">
            <v>Invoice</v>
          </cell>
          <cell r="D301">
            <v>38568</v>
          </cell>
          <cell r="F301" t="str">
            <v>7187</v>
          </cell>
          <cell r="G301" t="str">
            <v>Muzak, LLC:Dunkin Donuts/B. Robbins - Fuquay</v>
          </cell>
          <cell r="H301">
            <v>1</v>
          </cell>
        </row>
        <row r="302">
          <cell r="B302" t="str">
            <v>ESS - SCENT SERVICE</v>
          </cell>
          <cell r="C302" t="str">
            <v>Invoice</v>
          </cell>
          <cell r="D302">
            <v>38569</v>
          </cell>
          <cell r="F302" t="str">
            <v>5583</v>
          </cell>
          <cell r="G302" t="str">
            <v>Bark Avenue Bakery</v>
          </cell>
          <cell r="H302">
            <v>1</v>
          </cell>
        </row>
        <row r="303">
          <cell r="B303" t="str">
            <v>ESS - SCENT SERVICE</v>
          </cell>
          <cell r="C303" t="str">
            <v>Invoice</v>
          </cell>
          <cell r="D303">
            <v>38569</v>
          </cell>
          <cell r="F303" t="str">
            <v>6309</v>
          </cell>
          <cell r="G303" t="str">
            <v>Muzak, LLC:Spink - 191</v>
          </cell>
          <cell r="H303">
            <v>1</v>
          </cell>
        </row>
        <row r="304">
          <cell r="B304" t="str">
            <v>ESS - SCENT SERVICE</v>
          </cell>
          <cell r="C304" t="str">
            <v>Invoice</v>
          </cell>
          <cell r="D304">
            <v>38569</v>
          </cell>
          <cell r="F304" t="str">
            <v>5585-I</v>
          </cell>
          <cell r="G304" t="str">
            <v>Muzak, LLC:Spinx - 100</v>
          </cell>
          <cell r="H304">
            <v>1</v>
          </cell>
        </row>
        <row r="305">
          <cell r="B305" t="str">
            <v>ESS - SCENT SERVICE</v>
          </cell>
          <cell r="C305" t="str">
            <v>Invoice</v>
          </cell>
          <cell r="D305">
            <v>38569</v>
          </cell>
          <cell r="F305" t="str">
            <v>5588</v>
          </cell>
          <cell r="G305" t="str">
            <v>Muzak, LLC:Highwoods Properties</v>
          </cell>
          <cell r="H305">
            <v>1</v>
          </cell>
        </row>
        <row r="306">
          <cell r="B306" t="str">
            <v>ESS - SCENT SERVICE</v>
          </cell>
          <cell r="C306" t="str">
            <v>Invoice</v>
          </cell>
          <cell r="D306">
            <v>38569</v>
          </cell>
          <cell r="F306" t="str">
            <v>6377</v>
          </cell>
          <cell r="G306" t="str">
            <v>Muzak, LLC:USA Baby</v>
          </cell>
          <cell r="H306">
            <v>1</v>
          </cell>
        </row>
        <row r="307">
          <cell r="B307" t="str">
            <v>ESS - SCENT SERVICE</v>
          </cell>
          <cell r="C307" t="str">
            <v>Invoice</v>
          </cell>
          <cell r="D307">
            <v>38569</v>
          </cell>
          <cell r="F307" t="str">
            <v>5586-I</v>
          </cell>
          <cell r="G307" t="str">
            <v>Muzak, LLC:Arbys - Simpsonville</v>
          </cell>
          <cell r="H307">
            <v>1</v>
          </cell>
        </row>
        <row r="308">
          <cell r="B308" t="str">
            <v>ESS - SCENT SERVICE</v>
          </cell>
          <cell r="C308" t="str">
            <v>Invoice</v>
          </cell>
          <cell r="D308">
            <v>38569</v>
          </cell>
          <cell r="F308" t="str">
            <v>5576-III</v>
          </cell>
          <cell r="G308" t="str">
            <v>Muzak, LLC:Sleep to Live - Mebane</v>
          </cell>
          <cell r="H308">
            <v>1</v>
          </cell>
        </row>
        <row r="309">
          <cell r="B309" t="str">
            <v>ESS - SCENT SERVICE</v>
          </cell>
          <cell r="C309" t="str">
            <v>Invoice</v>
          </cell>
          <cell r="D309">
            <v>38571</v>
          </cell>
          <cell r="F309" t="str">
            <v>5575-II</v>
          </cell>
          <cell r="G309" t="str">
            <v>Muzak, LLC:Dunkin Donuts - Charlotte</v>
          </cell>
          <cell r="H309">
            <v>1</v>
          </cell>
        </row>
        <row r="310">
          <cell r="B310" t="str">
            <v>ESS - SCENT SERVICE</v>
          </cell>
          <cell r="C310" t="str">
            <v>Invoice</v>
          </cell>
          <cell r="D310">
            <v>38572</v>
          </cell>
          <cell r="F310" t="str">
            <v>7333</v>
          </cell>
          <cell r="G310" t="str">
            <v>Diesel USA, Inc.</v>
          </cell>
          <cell r="H310">
            <v>1</v>
          </cell>
        </row>
        <row r="311">
          <cell r="B311" t="str">
            <v>ESS - SCENT SERVICE</v>
          </cell>
          <cell r="C311" t="str">
            <v>Invoice</v>
          </cell>
          <cell r="D311">
            <v>38572</v>
          </cell>
          <cell r="F311" t="str">
            <v>7272</v>
          </cell>
          <cell r="G311" t="str">
            <v>Lucky Brand Jeans:Lucky Brand Jeans - #604</v>
          </cell>
          <cell r="H311">
            <v>1</v>
          </cell>
        </row>
        <row r="312">
          <cell r="B312" t="str">
            <v>ESS - SCENT SERVICE</v>
          </cell>
          <cell r="C312" t="str">
            <v>Invoice</v>
          </cell>
          <cell r="D312">
            <v>38572</v>
          </cell>
          <cell r="F312" t="str">
            <v>7271</v>
          </cell>
          <cell r="G312" t="str">
            <v>Lucky Brand Jeans:Lucky Brand Jeans - #603</v>
          </cell>
          <cell r="H312">
            <v>1</v>
          </cell>
        </row>
        <row r="313">
          <cell r="B313" t="str">
            <v>ESS - SCENT SERVICE</v>
          </cell>
          <cell r="C313" t="str">
            <v>Invoice</v>
          </cell>
          <cell r="D313">
            <v>38572</v>
          </cell>
          <cell r="F313" t="str">
            <v>7273</v>
          </cell>
          <cell r="G313" t="str">
            <v>Lucky Brand Jeans:Lucky Brand Jeans - #606</v>
          </cell>
          <cell r="H313">
            <v>1</v>
          </cell>
        </row>
        <row r="314">
          <cell r="B314" t="str">
            <v>ESS - SCENT SERVICE</v>
          </cell>
          <cell r="C314" t="str">
            <v>Invoice</v>
          </cell>
          <cell r="D314">
            <v>38572</v>
          </cell>
          <cell r="F314" t="str">
            <v>7278</v>
          </cell>
          <cell r="G314" t="str">
            <v>Lucky Brand Jeans:Lucky Brand Jeans - #643</v>
          </cell>
          <cell r="H314">
            <v>1</v>
          </cell>
        </row>
        <row r="315">
          <cell r="B315" t="str">
            <v>ESS - SCENT SERVICE</v>
          </cell>
          <cell r="C315" t="str">
            <v>Invoice</v>
          </cell>
          <cell r="D315">
            <v>38572</v>
          </cell>
          <cell r="F315" t="str">
            <v>7277</v>
          </cell>
          <cell r="G315" t="str">
            <v>Lucky Brand Jeans:Lucky Brand Jeans - #641</v>
          </cell>
          <cell r="H315">
            <v>1</v>
          </cell>
        </row>
        <row r="316">
          <cell r="B316" t="str">
            <v>ESS - SCENT SERVICE</v>
          </cell>
          <cell r="C316" t="str">
            <v>Invoice</v>
          </cell>
          <cell r="D316">
            <v>38572</v>
          </cell>
          <cell r="F316" t="str">
            <v>7274</v>
          </cell>
          <cell r="G316" t="str">
            <v>Lucky Brand Jeans:Lucky Brand Jeans - #613</v>
          </cell>
          <cell r="H316">
            <v>1</v>
          </cell>
        </row>
        <row r="317">
          <cell r="B317" t="str">
            <v>ESS - SCENT SERVICE</v>
          </cell>
          <cell r="C317" t="str">
            <v>Invoice</v>
          </cell>
          <cell r="D317">
            <v>38572</v>
          </cell>
          <cell r="F317" t="str">
            <v>7275</v>
          </cell>
          <cell r="G317" t="str">
            <v>Lucky Brand Jeans:Lucky Brand Jeans - #640</v>
          </cell>
          <cell r="H317">
            <v>1</v>
          </cell>
        </row>
        <row r="318">
          <cell r="B318" t="str">
            <v>ESS - SCENT SERVICE</v>
          </cell>
          <cell r="C318" t="str">
            <v>Invoice</v>
          </cell>
          <cell r="D318">
            <v>38572</v>
          </cell>
          <cell r="F318" t="str">
            <v>7280</v>
          </cell>
          <cell r="G318" t="str">
            <v>Lucky Brand Jeans:Lucky Brand Jeans - #668</v>
          </cell>
          <cell r="H318">
            <v>1</v>
          </cell>
        </row>
        <row r="319">
          <cell r="B319" t="str">
            <v>ESS - SCENT SERVICE</v>
          </cell>
          <cell r="C319" t="str">
            <v>Invoice</v>
          </cell>
          <cell r="D319">
            <v>38572</v>
          </cell>
          <cell r="F319" t="str">
            <v>7281</v>
          </cell>
          <cell r="G319" t="str">
            <v>Lucky Brand Jeans:Lucky Brand Jeans - #697</v>
          </cell>
          <cell r="H319">
            <v>1</v>
          </cell>
        </row>
        <row r="320">
          <cell r="B320" t="str">
            <v>ESS - SCENT SERVICE</v>
          </cell>
          <cell r="C320" t="str">
            <v>Invoice</v>
          </cell>
          <cell r="D320">
            <v>38572</v>
          </cell>
          <cell r="F320" t="str">
            <v>7279</v>
          </cell>
          <cell r="G320" t="str">
            <v>Lucky Brand Jeans:Lucky Brand Jeans - #648</v>
          </cell>
          <cell r="H320">
            <v>1</v>
          </cell>
        </row>
        <row r="321">
          <cell r="B321" t="str">
            <v>ESS - SCENT SERVICE</v>
          </cell>
          <cell r="C321" t="str">
            <v>Invoice</v>
          </cell>
          <cell r="D321">
            <v>38573</v>
          </cell>
          <cell r="F321" t="str">
            <v>5593-I</v>
          </cell>
          <cell r="G321" t="str">
            <v>Muzak, LLC:Doctor's Urgent Care</v>
          </cell>
          <cell r="H321">
            <v>1</v>
          </cell>
        </row>
        <row r="322">
          <cell r="B322" t="str">
            <v>ESS - SCENT SERVICE</v>
          </cell>
          <cell r="C322" t="str">
            <v>Invoice</v>
          </cell>
          <cell r="D322">
            <v>38573</v>
          </cell>
          <cell r="F322" t="str">
            <v>5595-I</v>
          </cell>
          <cell r="G322" t="str">
            <v>Disney Worldwide:Goofy's Candy Company</v>
          </cell>
          <cell r="H322">
            <v>1</v>
          </cell>
        </row>
        <row r="323">
          <cell r="B323" t="str">
            <v>ESS - SCENT SERVICE</v>
          </cell>
          <cell r="C323" t="str">
            <v>Invoice</v>
          </cell>
          <cell r="D323">
            <v>38573</v>
          </cell>
          <cell r="F323" t="str">
            <v>7340</v>
          </cell>
          <cell r="G323" t="str">
            <v>Access Artisans Greenwhich Village</v>
          </cell>
          <cell r="H323">
            <v>1</v>
          </cell>
        </row>
        <row r="324">
          <cell r="B324" t="str">
            <v>ESS - SCENT SERVICE</v>
          </cell>
          <cell r="C324" t="str">
            <v>Invoice</v>
          </cell>
          <cell r="D324">
            <v>38573</v>
          </cell>
          <cell r="F324" t="str">
            <v>7314</v>
          </cell>
          <cell r="G324" t="str">
            <v>Muzak, LLC:Petland</v>
          </cell>
          <cell r="H324">
            <v>1</v>
          </cell>
        </row>
        <row r="325">
          <cell r="B325" t="str">
            <v>ESS - SCENT SERVICE</v>
          </cell>
          <cell r="C325" t="str">
            <v>Invoice</v>
          </cell>
          <cell r="D325">
            <v>38573</v>
          </cell>
          <cell r="F325" t="str">
            <v>6342</v>
          </cell>
          <cell r="G325" t="str">
            <v>Kryshak - Jim Kryshak Jewelers</v>
          </cell>
          <cell r="H325">
            <v>1</v>
          </cell>
        </row>
        <row r="326">
          <cell r="B326" t="str">
            <v>ESS - SCENT SERVICE</v>
          </cell>
          <cell r="C326" t="str">
            <v>Invoice</v>
          </cell>
          <cell r="D326">
            <v>38573</v>
          </cell>
          <cell r="F326" t="str">
            <v>7090</v>
          </cell>
          <cell r="G326" t="str">
            <v>Muzak, LLC:One Stop Food Store</v>
          </cell>
          <cell r="H326">
            <v>1</v>
          </cell>
        </row>
        <row r="327">
          <cell r="B327" t="str">
            <v>ESS - SCENT SERVICE</v>
          </cell>
          <cell r="C327" t="str">
            <v>Invoice</v>
          </cell>
          <cell r="D327">
            <v>38573</v>
          </cell>
          <cell r="F327" t="str">
            <v>6334</v>
          </cell>
          <cell r="G327" t="str">
            <v>Kryshak - Avenue Jewelers</v>
          </cell>
          <cell r="H327">
            <v>1</v>
          </cell>
        </row>
        <row r="328">
          <cell r="B328" t="str">
            <v>ESS - SCENT SERVICE</v>
          </cell>
          <cell r="C328" t="str">
            <v>Invoice</v>
          </cell>
          <cell r="D328">
            <v>38574</v>
          </cell>
          <cell r="F328" t="str">
            <v>7347</v>
          </cell>
          <cell r="G328" t="str">
            <v>Exxon DDB Worldwide:ExxonMobil #47373</v>
          </cell>
          <cell r="H328">
            <v>1</v>
          </cell>
        </row>
        <row r="329">
          <cell r="B329" t="str">
            <v>ESS - SCENT SERVICE</v>
          </cell>
          <cell r="C329" t="str">
            <v>Invoice</v>
          </cell>
          <cell r="D329">
            <v>38574</v>
          </cell>
          <cell r="F329" t="str">
            <v>7346</v>
          </cell>
          <cell r="G329" t="str">
            <v>Exxon DDB Worldwide:ExxonMobil #40600</v>
          </cell>
          <cell r="H329">
            <v>1</v>
          </cell>
        </row>
        <row r="330">
          <cell r="B330" t="str">
            <v>ESS - SCENT SERVICE</v>
          </cell>
          <cell r="C330" t="str">
            <v>Invoice</v>
          </cell>
          <cell r="D330">
            <v>38574</v>
          </cell>
          <cell r="F330" t="str">
            <v>7345</v>
          </cell>
          <cell r="G330" t="str">
            <v>Exxon DDB Worldwide:ExxonMobil #40595</v>
          </cell>
          <cell r="H330">
            <v>1</v>
          </cell>
        </row>
        <row r="331">
          <cell r="B331" t="str">
            <v>ESS - SCENT SERVICE</v>
          </cell>
          <cell r="C331" t="str">
            <v>Invoice</v>
          </cell>
          <cell r="D331">
            <v>38575</v>
          </cell>
          <cell r="F331" t="str">
            <v>7042</v>
          </cell>
          <cell r="G331" t="str">
            <v>Muzak, LLC:Round The Clock</v>
          </cell>
          <cell r="H331">
            <v>1</v>
          </cell>
        </row>
        <row r="332">
          <cell r="B332" t="str">
            <v>ESS - SCENT SERVICE</v>
          </cell>
          <cell r="C332" t="str">
            <v>Invoice</v>
          </cell>
          <cell r="D332">
            <v>38575</v>
          </cell>
          <cell r="F332" t="str">
            <v>7023</v>
          </cell>
          <cell r="G332" t="str">
            <v>Muzak, LLC:Anytime Fitness</v>
          </cell>
          <cell r="H332">
            <v>1</v>
          </cell>
        </row>
        <row r="333">
          <cell r="B333" t="str">
            <v>ESS - SCENT SERVICE</v>
          </cell>
          <cell r="C333" t="str">
            <v>Invoice</v>
          </cell>
          <cell r="D333">
            <v>38575</v>
          </cell>
          <cell r="F333" t="str">
            <v>7031</v>
          </cell>
          <cell r="G333" t="str">
            <v>Muzak, LLC:McDonald's - Raleigh</v>
          </cell>
          <cell r="H333">
            <v>1</v>
          </cell>
        </row>
        <row r="334">
          <cell r="B334" t="str">
            <v>ESS - SCENT SERVICE</v>
          </cell>
          <cell r="C334" t="str">
            <v>Invoice</v>
          </cell>
          <cell r="D334">
            <v>38575</v>
          </cell>
          <cell r="F334" t="str">
            <v>7437</v>
          </cell>
          <cell r="G334" t="str">
            <v>Muzak, LLC:Giant Eagle #229</v>
          </cell>
          <cell r="H334">
            <v>1</v>
          </cell>
        </row>
        <row r="335">
          <cell r="B335" t="str">
            <v>ESS - SCENT SERVICE</v>
          </cell>
          <cell r="C335" t="str">
            <v>Invoice</v>
          </cell>
          <cell r="D335">
            <v>38575</v>
          </cell>
          <cell r="F335" t="str">
            <v>7395</v>
          </cell>
          <cell r="G335" t="str">
            <v>Muzak, LLC:Exceptional Urgent Care</v>
          </cell>
          <cell r="H335">
            <v>1</v>
          </cell>
        </row>
        <row r="336">
          <cell r="B336" t="str">
            <v>ESS - SCENT SERVICE</v>
          </cell>
          <cell r="C336" t="str">
            <v>Invoice</v>
          </cell>
          <cell r="D336">
            <v>38576</v>
          </cell>
          <cell r="F336" t="str">
            <v>7055</v>
          </cell>
          <cell r="G336" t="str">
            <v>Harry and David #564</v>
          </cell>
          <cell r="H336">
            <v>1</v>
          </cell>
        </row>
        <row r="337">
          <cell r="B337" t="str">
            <v>ESS - SCENT SERVICE</v>
          </cell>
          <cell r="C337" t="str">
            <v>Invoice</v>
          </cell>
          <cell r="D337">
            <v>38576</v>
          </cell>
          <cell r="F337" t="str">
            <v>7443</v>
          </cell>
          <cell r="G337" t="str">
            <v>Muzak, LLC:Amergy Bank of Texas</v>
          </cell>
          <cell r="H337">
            <v>1</v>
          </cell>
        </row>
        <row r="338">
          <cell r="B338" t="str">
            <v>ESS - SCENT SERVICE</v>
          </cell>
          <cell r="C338" t="str">
            <v>Invoice</v>
          </cell>
          <cell r="D338">
            <v>38576</v>
          </cell>
          <cell r="F338" t="str">
            <v>6357</v>
          </cell>
          <cell r="G338" t="str">
            <v>Wayside Cleaners</v>
          </cell>
          <cell r="H338">
            <v>1</v>
          </cell>
        </row>
        <row r="339">
          <cell r="B339" t="str">
            <v>ESS - SCENT SERVICE</v>
          </cell>
          <cell r="C339" t="str">
            <v>Invoice</v>
          </cell>
          <cell r="D339">
            <v>38576</v>
          </cell>
          <cell r="F339" t="str">
            <v>7147</v>
          </cell>
          <cell r="G339" t="str">
            <v>Lucky Brand Jeans:Lucky Brand Jeans SF</v>
          </cell>
          <cell r="H339">
            <v>1</v>
          </cell>
        </row>
        <row r="340">
          <cell r="B340" t="str">
            <v>ESS - SCENT SERVICE</v>
          </cell>
          <cell r="C340" t="str">
            <v>Invoice</v>
          </cell>
          <cell r="D340">
            <v>38576</v>
          </cell>
          <cell r="F340" t="str">
            <v>7051</v>
          </cell>
          <cell r="G340" t="str">
            <v>Muzak, LLC:Atlanta Bread Company</v>
          </cell>
          <cell r="H340">
            <v>1</v>
          </cell>
        </row>
        <row r="341">
          <cell r="B341" t="str">
            <v>ESS - SCENT SERVICE</v>
          </cell>
          <cell r="C341" t="str">
            <v>Invoice</v>
          </cell>
          <cell r="D341">
            <v>38579</v>
          </cell>
          <cell r="F341" t="str">
            <v>6419</v>
          </cell>
          <cell r="G341" t="str">
            <v>Jimmy Choo (Corporate Office):Jimmy Choo (Palm Beach Gardens)</v>
          </cell>
          <cell r="H341">
            <v>1</v>
          </cell>
        </row>
        <row r="342">
          <cell r="B342" t="str">
            <v>ESS - SCENT SERVICE</v>
          </cell>
          <cell r="C342" t="str">
            <v>Invoice</v>
          </cell>
          <cell r="D342">
            <v>38579</v>
          </cell>
          <cell r="F342" t="str">
            <v>6415</v>
          </cell>
          <cell r="G342" t="str">
            <v>Jimmy Choo (Corporate Office):Jimmy Choo (Dallas)</v>
          </cell>
          <cell r="H342">
            <v>1</v>
          </cell>
        </row>
        <row r="343">
          <cell r="B343" t="str">
            <v>ESS - SCENT SERVICE</v>
          </cell>
          <cell r="C343" t="str">
            <v>Invoice</v>
          </cell>
          <cell r="D343">
            <v>38579</v>
          </cell>
          <cell r="F343" t="str">
            <v>6411</v>
          </cell>
          <cell r="G343" t="str">
            <v>Jimmy Choo (Corporate Office):Jimmy Choo (Coral Gables)</v>
          </cell>
          <cell r="H343">
            <v>1</v>
          </cell>
        </row>
        <row r="344">
          <cell r="B344" t="str">
            <v>ESS - SCENT SERVICE</v>
          </cell>
          <cell r="C344" t="str">
            <v>Invoice</v>
          </cell>
          <cell r="D344">
            <v>38580</v>
          </cell>
          <cell r="F344" t="str">
            <v>7069</v>
          </cell>
          <cell r="G344" t="str">
            <v>Lee-Moore Oil Company:Exxon OTR - 37</v>
          </cell>
          <cell r="H344">
            <v>1</v>
          </cell>
        </row>
        <row r="345">
          <cell r="B345" t="str">
            <v>ESS - SCENT SERVICE</v>
          </cell>
          <cell r="C345" t="str">
            <v>Invoice</v>
          </cell>
          <cell r="D345">
            <v>38580</v>
          </cell>
          <cell r="F345" t="str">
            <v>7068</v>
          </cell>
          <cell r="G345" t="str">
            <v>Lee-Moore Oil Company:Exxon OTR - 20</v>
          </cell>
          <cell r="H345">
            <v>1</v>
          </cell>
        </row>
        <row r="346">
          <cell r="B346" t="str">
            <v>ESS - SCENT SERVICE</v>
          </cell>
          <cell r="C346" t="str">
            <v>Invoice</v>
          </cell>
          <cell r="D346">
            <v>38580</v>
          </cell>
          <cell r="F346" t="str">
            <v>7067</v>
          </cell>
          <cell r="G346" t="str">
            <v>Lee-Moore Oil Company:Exxon OTR - 29</v>
          </cell>
          <cell r="H346">
            <v>1</v>
          </cell>
        </row>
        <row r="347">
          <cell r="B347" t="str">
            <v>ESS - SCENT SERVICE</v>
          </cell>
          <cell r="C347" t="str">
            <v>Invoice</v>
          </cell>
          <cell r="D347">
            <v>38580</v>
          </cell>
          <cell r="F347" t="str">
            <v>7066</v>
          </cell>
          <cell r="G347" t="str">
            <v>Lee-Moore Oil Company:Exxon OTR - 30</v>
          </cell>
          <cell r="H347">
            <v>1</v>
          </cell>
        </row>
        <row r="348">
          <cell r="B348" t="str">
            <v>ESS - SCENT SERVICE</v>
          </cell>
          <cell r="C348" t="str">
            <v>Invoice</v>
          </cell>
          <cell r="D348">
            <v>38580</v>
          </cell>
          <cell r="F348" t="str">
            <v>7071</v>
          </cell>
          <cell r="G348" t="str">
            <v>Lee-Moore Oil Company:Exxon OTR - 21</v>
          </cell>
          <cell r="H348">
            <v>1</v>
          </cell>
        </row>
        <row r="349">
          <cell r="B349" t="str">
            <v>ESS - SCENT SERVICE</v>
          </cell>
          <cell r="C349" t="str">
            <v>Invoice</v>
          </cell>
          <cell r="D349">
            <v>38580</v>
          </cell>
          <cell r="F349" t="str">
            <v>7062</v>
          </cell>
          <cell r="G349" t="str">
            <v>Lee-Moore Oil Company:Exxon OTR - 71</v>
          </cell>
          <cell r="H349">
            <v>1</v>
          </cell>
        </row>
        <row r="350">
          <cell r="B350" t="str">
            <v>ESS - SCENT SERVICE</v>
          </cell>
          <cell r="C350" t="str">
            <v>Invoice</v>
          </cell>
          <cell r="D350">
            <v>38580</v>
          </cell>
          <cell r="F350" t="str">
            <v>7070</v>
          </cell>
          <cell r="G350" t="str">
            <v>Lee-Moore Oil Company:Exxon OTR - 36</v>
          </cell>
          <cell r="H350">
            <v>1</v>
          </cell>
        </row>
        <row r="351">
          <cell r="B351" t="str">
            <v>ESS - SCENT SERVICE</v>
          </cell>
          <cell r="C351" t="str">
            <v>Invoice</v>
          </cell>
          <cell r="D351">
            <v>38580</v>
          </cell>
          <cell r="F351" t="str">
            <v>7072</v>
          </cell>
          <cell r="G351" t="str">
            <v>Lee-Moore Oil Company:Exxon OTR - 22</v>
          </cell>
          <cell r="H351">
            <v>1</v>
          </cell>
        </row>
        <row r="352">
          <cell r="B352" t="str">
            <v>ESS - SCENT SERVICE</v>
          </cell>
          <cell r="C352" t="str">
            <v>Invoice</v>
          </cell>
          <cell r="D352">
            <v>38580</v>
          </cell>
          <cell r="F352" t="str">
            <v>7063</v>
          </cell>
          <cell r="G352" t="str">
            <v>Lee-Moore Oil Company:Exxon OTR - 70</v>
          </cell>
          <cell r="H352">
            <v>1</v>
          </cell>
        </row>
        <row r="353">
          <cell r="B353" t="str">
            <v>ESS - SCENT SERVICE</v>
          </cell>
          <cell r="C353" t="str">
            <v>Invoice</v>
          </cell>
          <cell r="D353">
            <v>38580</v>
          </cell>
          <cell r="F353" t="str">
            <v>7065</v>
          </cell>
          <cell r="G353" t="str">
            <v>Lee-Moore Oil Company:Exxon OTR - 41</v>
          </cell>
          <cell r="H353">
            <v>1</v>
          </cell>
        </row>
        <row r="354">
          <cell r="B354" t="str">
            <v>ESS - SCENT SERVICE</v>
          </cell>
          <cell r="C354" t="str">
            <v>Invoice</v>
          </cell>
          <cell r="D354">
            <v>38580</v>
          </cell>
          <cell r="F354" t="str">
            <v>7064</v>
          </cell>
          <cell r="G354" t="str">
            <v>Lee-Moore Oil Company:Exxon OTR - 42</v>
          </cell>
          <cell r="H354">
            <v>1</v>
          </cell>
        </row>
        <row r="355">
          <cell r="B355" t="str">
            <v>ESS - SCENT SERVICE</v>
          </cell>
          <cell r="C355" t="str">
            <v>Invoice</v>
          </cell>
          <cell r="D355">
            <v>38580</v>
          </cell>
          <cell r="F355" t="str">
            <v>7490</v>
          </cell>
          <cell r="G355" t="str">
            <v>Muzak, LLC:McDonald's - Lakewood</v>
          </cell>
          <cell r="H355">
            <v>1</v>
          </cell>
        </row>
        <row r="356">
          <cell r="B356" t="str">
            <v>ESS - SCENT SERVICE</v>
          </cell>
          <cell r="C356" t="str">
            <v>Invoice</v>
          </cell>
          <cell r="D356">
            <v>38580</v>
          </cell>
          <cell r="F356" t="str">
            <v>6413</v>
          </cell>
          <cell r="G356" t="str">
            <v>Jimmy Choo (Corporate Office):Jimmy Choo (51st street)</v>
          </cell>
          <cell r="H356">
            <v>1</v>
          </cell>
        </row>
        <row r="357">
          <cell r="B357" t="str">
            <v>ESS - SCENT SERVICE</v>
          </cell>
          <cell r="C357" t="str">
            <v>Invoice</v>
          </cell>
          <cell r="D357">
            <v>38580</v>
          </cell>
          <cell r="F357" t="str">
            <v>6417</v>
          </cell>
          <cell r="G357" t="str">
            <v>Jimmy Choo (Corporate Office):Jimmy Choo (Madison Ave.)</v>
          </cell>
          <cell r="H357">
            <v>1</v>
          </cell>
        </row>
        <row r="358">
          <cell r="B358" t="str">
            <v>ESS - SCENT SERVICE</v>
          </cell>
          <cell r="C358" t="str">
            <v>Invoice</v>
          </cell>
          <cell r="D358">
            <v>38580</v>
          </cell>
          <cell r="F358" t="str">
            <v>7482</v>
          </cell>
          <cell r="G358" t="str">
            <v>Muzak, LLC:Burger King - #2771</v>
          </cell>
          <cell r="H358">
            <v>1</v>
          </cell>
        </row>
        <row r="359">
          <cell r="B359" t="str">
            <v>ESS - SCENT SERVICE</v>
          </cell>
          <cell r="C359" t="str">
            <v>Invoice</v>
          </cell>
          <cell r="D359">
            <v>38580</v>
          </cell>
          <cell r="F359" t="str">
            <v>7512</v>
          </cell>
          <cell r="G359" t="str">
            <v>Global Services Network</v>
          </cell>
          <cell r="H359">
            <v>1</v>
          </cell>
        </row>
        <row r="360">
          <cell r="B360" t="str">
            <v>ESS - SCENT SERVICE</v>
          </cell>
          <cell r="C360" t="str">
            <v>Invoice</v>
          </cell>
          <cell r="D360">
            <v>38580</v>
          </cell>
          <cell r="F360" t="str">
            <v>7060</v>
          </cell>
          <cell r="G360" t="str">
            <v>Busch Gardens - Tampa</v>
          </cell>
          <cell r="H360">
            <v>1</v>
          </cell>
        </row>
        <row r="361">
          <cell r="B361" t="str">
            <v>ESS - SCENT SERVICE</v>
          </cell>
          <cell r="C361" t="str">
            <v>Invoice</v>
          </cell>
          <cell r="D361">
            <v>38581</v>
          </cell>
          <cell r="F361" t="str">
            <v>7506</v>
          </cell>
          <cell r="G361" t="str">
            <v>Muzak, LLC:Radisson - Atlanta</v>
          </cell>
          <cell r="H361">
            <v>1</v>
          </cell>
        </row>
        <row r="362">
          <cell r="B362" t="str">
            <v>ESS - SCENT SERVICE</v>
          </cell>
          <cell r="C362" t="str">
            <v>Invoice</v>
          </cell>
          <cell r="D362">
            <v>38581</v>
          </cell>
          <cell r="F362" t="str">
            <v>7487</v>
          </cell>
          <cell r="G362" t="str">
            <v>Muzak, LLC:Royal Sonesta Hotel</v>
          </cell>
          <cell r="H362">
            <v>1</v>
          </cell>
        </row>
        <row r="363">
          <cell r="B363" t="str">
            <v>ESS - SCENT SERVICE</v>
          </cell>
          <cell r="C363" t="str">
            <v>Invoice</v>
          </cell>
          <cell r="D363">
            <v>38581</v>
          </cell>
          <cell r="F363" t="str">
            <v>7172</v>
          </cell>
          <cell r="G363" t="str">
            <v>Hotel Hershey</v>
          </cell>
          <cell r="H363">
            <v>1</v>
          </cell>
        </row>
        <row r="364">
          <cell r="B364" t="str">
            <v>ESS - SCENT SERVICE</v>
          </cell>
          <cell r="C364" t="str">
            <v>Invoice</v>
          </cell>
          <cell r="D364">
            <v>38582</v>
          </cell>
          <cell r="F364" t="str">
            <v>7061</v>
          </cell>
          <cell r="G364" t="str">
            <v>Hershey's, Inc.:Hershey's Chicago</v>
          </cell>
          <cell r="H364">
            <v>1</v>
          </cell>
        </row>
        <row r="365">
          <cell r="B365" t="str">
            <v>ESS - SCENT SERVICE</v>
          </cell>
          <cell r="C365" t="str">
            <v>Invoice</v>
          </cell>
          <cell r="D365">
            <v>38582</v>
          </cell>
          <cell r="F365" t="str">
            <v>7179</v>
          </cell>
          <cell r="G365" t="str">
            <v>Ameristar Casinos, Inc.:Ameristar Casinos, Inc. St. Charles</v>
          </cell>
          <cell r="H365">
            <v>1</v>
          </cell>
        </row>
        <row r="366">
          <cell r="B366" t="str">
            <v>ESS - SCENT SERVICE</v>
          </cell>
          <cell r="C366" t="str">
            <v>Invoice</v>
          </cell>
          <cell r="D366">
            <v>38583</v>
          </cell>
          <cell r="F366" t="str">
            <v>7636</v>
          </cell>
          <cell r="G366" t="str">
            <v>Muzak, LLC:TT New York</v>
          </cell>
          <cell r="H366">
            <v>1</v>
          </cell>
        </row>
        <row r="367">
          <cell r="B367" t="str">
            <v>ESS - SCENT SERVICE</v>
          </cell>
          <cell r="C367" t="str">
            <v>Invoice</v>
          </cell>
          <cell r="D367">
            <v>38583</v>
          </cell>
          <cell r="F367" t="str">
            <v>7629</v>
          </cell>
          <cell r="G367" t="str">
            <v>Muzak, LLC:Carr's Barber Club - 1032 Town Park Ave.</v>
          </cell>
          <cell r="H367">
            <v>1</v>
          </cell>
        </row>
        <row r="368">
          <cell r="B368" t="str">
            <v>ESS - SCENT SERVICE</v>
          </cell>
          <cell r="C368" t="str">
            <v>Invoice</v>
          </cell>
          <cell r="D368">
            <v>38583</v>
          </cell>
          <cell r="F368" t="str">
            <v>7630</v>
          </cell>
          <cell r="G368" t="str">
            <v>Muzak, LLC:Carr's Barber Club - 2401 E. 434</v>
          </cell>
          <cell r="H368">
            <v>1</v>
          </cell>
        </row>
        <row r="369">
          <cell r="B369" t="str">
            <v>ESS - SCENT SERVICE</v>
          </cell>
          <cell r="C369" t="str">
            <v>Invoice</v>
          </cell>
          <cell r="D369">
            <v>38583</v>
          </cell>
          <cell r="F369" t="str">
            <v>7635</v>
          </cell>
          <cell r="G369" t="str">
            <v>Muzak, LLC:Carr's Barber Club - 7600 Dr. Phillips</v>
          </cell>
          <cell r="H369">
            <v>1</v>
          </cell>
        </row>
        <row r="370">
          <cell r="B370" t="str">
            <v>ESS - SCENT SERVICE</v>
          </cell>
          <cell r="C370" t="str">
            <v>Invoice</v>
          </cell>
          <cell r="D370">
            <v>38583</v>
          </cell>
          <cell r="F370" t="str">
            <v>7634</v>
          </cell>
          <cell r="G370" t="str">
            <v>Muzak, LLC:Carr's Barber Club - 715 Bloom St.</v>
          </cell>
          <cell r="H370">
            <v>1</v>
          </cell>
        </row>
        <row r="371">
          <cell r="B371" t="str">
            <v>ESS - SCENT SERVICE</v>
          </cell>
          <cell r="C371" t="str">
            <v>Invoice</v>
          </cell>
          <cell r="D371">
            <v>38583</v>
          </cell>
          <cell r="F371" t="str">
            <v>7633</v>
          </cell>
          <cell r="G371" t="str">
            <v>Muzak, LLC:Carr's Barber Club - 701 E. Washington</v>
          </cell>
          <cell r="H371">
            <v>1</v>
          </cell>
        </row>
        <row r="372">
          <cell r="B372" t="str">
            <v>ESS - SCENT SERVICE</v>
          </cell>
          <cell r="C372" t="str">
            <v>Invoice</v>
          </cell>
          <cell r="D372">
            <v>38583</v>
          </cell>
          <cell r="F372" t="str">
            <v>7632</v>
          </cell>
          <cell r="G372" t="str">
            <v>Muzak, LLC:Carr's Barber Club - 4800 New Broad St.</v>
          </cell>
          <cell r="H372">
            <v>1</v>
          </cell>
        </row>
        <row r="373">
          <cell r="B373" t="str">
            <v>ESS - SCENT SERVICE</v>
          </cell>
          <cell r="C373" t="str">
            <v>Invoice</v>
          </cell>
          <cell r="D373">
            <v>38583</v>
          </cell>
          <cell r="F373" t="str">
            <v>7631</v>
          </cell>
          <cell r="G373" t="str">
            <v>Muzak, LLC:Carr's Barber Club - 346 Park Ave.</v>
          </cell>
          <cell r="H373">
            <v>1</v>
          </cell>
        </row>
        <row r="374">
          <cell r="B374" t="str">
            <v>ESS - SCENT SERVICE</v>
          </cell>
          <cell r="C374" t="str">
            <v>Invoice</v>
          </cell>
          <cell r="D374">
            <v>38583</v>
          </cell>
          <cell r="F374" t="str">
            <v>7637</v>
          </cell>
          <cell r="G374" t="str">
            <v>Muzak, LLC:Sell's Mobil</v>
          </cell>
          <cell r="H374">
            <v>1</v>
          </cell>
        </row>
        <row r="375">
          <cell r="B375" t="str">
            <v>ESS - SCENT SERVICE</v>
          </cell>
          <cell r="C375" t="str">
            <v>Invoice</v>
          </cell>
          <cell r="D375">
            <v>38583</v>
          </cell>
          <cell r="F375" t="str">
            <v>7100</v>
          </cell>
          <cell r="G375" t="str">
            <v>Muzak, LLC:City Range Steakhouse &amp; Grill</v>
          </cell>
          <cell r="H375">
            <v>1</v>
          </cell>
        </row>
        <row r="376">
          <cell r="B376" t="str">
            <v>ESS - SCENT SERVICE</v>
          </cell>
          <cell r="C376" t="str">
            <v>Invoice</v>
          </cell>
          <cell r="D376">
            <v>38586</v>
          </cell>
          <cell r="F376" t="str">
            <v>7647</v>
          </cell>
          <cell r="G376" t="str">
            <v>Muzak, LLC:Freshens - Cambridge</v>
          </cell>
          <cell r="H376">
            <v>1</v>
          </cell>
        </row>
        <row r="377">
          <cell r="B377" t="str">
            <v>ESS - SCENT SERVICE</v>
          </cell>
          <cell r="C377" t="str">
            <v>Invoice</v>
          </cell>
          <cell r="D377">
            <v>38586</v>
          </cell>
          <cell r="F377" t="str">
            <v>7641</v>
          </cell>
          <cell r="G377" t="str">
            <v>Muzak, LLC:Citgo &amp; Market Place</v>
          </cell>
          <cell r="H377">
            <v>1</v>
          </cell>
        </row>
        <row r="378">
          <cell r="B378" t="str">
            <v>ESS - SCENT SERVICE</v>
          </cell>
          <cell r="C378" t="str">
            <v>Invoice</v>
          </cell>
          <cell r="D378">
            <v>38586</v>
          </cell>
          <cell r="F378" t="str">
            <v>7642</v>
          </cell>
          <cell r="G378" t="str">
            <v>Muzak, LLC:Oakland Center Chevron</v>
          </cell>
          <cell r="H378">
            <v>1</v>
          </cell>
        </row>
        <row r="379">
          <cell r="B379" t="str">
            <v>ESS - SCENT SERVICE</v>
          </cell>
          <cell r="C379" t="str">
            <v>Invoice</v>
          </cell>
          <cell r="D379">
            <v>38586</v>
          </cell>
          <cell r="F379" t="str">
            <v>7649</v>
          </cell>
          <cell r="G379" t="str">
            <v>Muzak, LLC:Freshens - Hyannis</v>
          </cell>
          <cell r="H379">
            <v>1</v>
          </cell>
        </row>
        <row r="380">
          <cell r="B380" t="str">
            <v>ESS - SCENT SERVICE</v>
          </cell>
          <cell r="C380" t="str">
            <v>Invoice</v>
          </cell>
          <cell r="D380">
            <v>38586</v>
          </cell>
          <cell r="F380" t="str">
            <v>7645</v>
          </cell>
          <cell r="G380" t="str">
            <v>Sea World Orlando</v>
          </cell>
          <cell r="H380">
            <v>1</v>
          </cell>
        </row>
        <row r="381">
          <cell r="B381" t="str">
            <v>ESS - SCENT SERVICE</v>
          </cell>
          <cell r="C381" t="str">
            <v>Invoice</v>
          </cell>
          <cell r="D381">
            <v>38586</v>
          </cell>
          <cell r="F381" t="str">
            <v>7092</v>
          </cell>
          <cell r="G381" t="str">
            <v>Muzak, LLC:Savvy Salon and Day Spa</v>
          </cell>
          <cell r="H381">
            <v>1</v>
          </cell>
        </row>
        <row r="382">
          <cell r="B382" t="str">
            <v>ESS - SCENT SERVICE</v>
          </cell>
          <cell r="C382" t="str">
            <v>Invoice</v>
          </cell>
          <cell r="D382">
            <v>38587</v>
          </cell>
          <cell r="F382" t="str">
            <v>7670</v>
          </cell>
          <cell r="G382" t="str">
            <v>Muzak, LLC:Bluebird Tavern</v>
          </cell>
          <cell r="H382">
            <v>1</v>
          </cell>
        </row>
        <row r="383">
          <cell r="B383" t="str">
            <v>ESS - SCENT SERVICE</v>
          </cell>
          <cell r="C383" t="str">
            <v>Invoice</v>
          </cell>
          <cell r="D383">
            <v>38587</v>
          </cell>
          <cell r="F383" t="str">
            <v>7644</v>
          </cell>
          <cell r="G383" t="str">
            <v>Muzak, LLC:McDonald's - Garner</v>
          </cell>
          <cell r="H383">
            <v>1</v>
          </cell>
        </row>
        <row r="384">
          <cell r="B384" t="str">
            <v>ESS - SCENT SERVICE</v>
          </cell>
          <cell r="C384" t="str">
            <v>Invoice</v>
          </cell>
          <cell r="D384">
            <v>38587</v>
          </cell>
          <cell r="F384" t="str">
            <v>7672</v>
          </cell>
          <cell r="G384" t="str">
            <v>Muzak, LLC:Lee Nails &amp; Day Spa - 031611</v>
          </cell>
          <cell r="H384">
            <v>1</v>
          </cell>
        </row>
        <row r="385">
          <cell r="B385" t="str">
            <v>ESS - SCENT SERVICE</v>
          </cell>
          <cell r="C385" t="str">
            <v>Invoice</v>
          </cell>
          <cell r="D385">
            <v>38587</v>
          </cell>
          <cell r="F385" t="str">
            <v>7673</v>
          </cell>
          <cell r="G385" t="str">
            <v>Muzak, LLC:Lee Nails &amp; Day Spa - 039000</v>
          </cell>
          <cell r="H385">
            <v>1</v>
          </cell>
        </row>
        <row r="386">
          <cell r="B386" t="str">
            <v>ESS - SCENT SERVICE</v>
          </cell>
          <cell r="C386" t="str">
            <v>Invoice</v>
          </cell>
          <cell r="D386">
            <v>38587</v>
          </cell>
          <cell r="F386" t="str">
            <v>7185</v>
          </cell>
          <cell r="G386" t="str">
            <v>Muzak, LLC:Greenville Hilton</v>
          </cell>
          <cell r="H386">
            <v>1</v>
          </cell>
        </row>
        <row r="387">
          <cell r="B387" t="str">
            <v>ESS - SCENT SERVICE</v>
          </cell>
          <cell r="C387" t="str">
            <v>Invoice</v>
          </cell>
          <cell r="D387">
            <v>38587</v>
          </cell>
          <cell r="F387" t="str">
            <v>7118</v>
          </cell>
          <cell r="G387" t="str">
            <v>Hustler Hollywood - Lexington, KY</v>
          </cell>
          <cell r="H387">
            <v>1</v>
          </cell>
        </row>
        <row r="388">
          <cell r="B388" t="str">
            <v>ESS - SCENT SERVICE</v>
          </cell>
          <cell r="C388" t="str">
            <v>Invoice</v>
          </cell>
          <cell r="D388">
            <v>38588</v>
          </cell>
          <cell r="F388" t="str">
            <v>7203</v>
          </cell>
          <cell r="G388" t="str">
            <v>Pacific Pets Inc.</v>
          </cell>
          <cell r="H388">
            <v>1</v>
          </cell>
        </row>
        <row r="389">
          <cell r="B389" t="str">
            <v>ESS - SCENT SERVICE</v>
          </cell>
          <cell r="C389" t="str">
            <v>Invoice</v>
          </cell>
          <cell r="D389">
            <v>38588</v>
          </cell>
          <cell r="F389" t="str">
            <v>7121</v>
          </cell>
          <cell r="G389" t="str">
            <v>Muzak, LLC:Sleep to Live - Durham</v>
          </cell>
          <cell r="H389">
            <v>1</v>
          </cell>
        </row>
        <row r="390">
          <cell r="B390" t="str">
            <v>ESS - SCENT SERVICE</v>
          </cell>
          <cell r="C390" t="str">
            <v>Invoice</v>
          </cell>
          <cell r="D390">
            <v>38588</v>
          </cell>
          <cell r="F390" t="str">
            <v>7679</v>
          </cell>
          <cell r="G390" t="str">
            <v>Muzak, LLC:Axel Bloom LLC</v>
          </cell>
          <cell r="H390">
            <v>1</v>
          </cell>
        </row>
        <row r="391">
          <cell r="B391" t="str">
            <v>ESS - SCENT SERVICE</v>
          </cell>
          <cell r="C391" t="str">
            <v>Invoice</v>
          </cell>
          <cell r="D391">
            <v>38588</v>
          </cell>
          <cell r="F391" t="str">
            <v>7689</v>
          </cell>
          <cell r="G391" t="str">
            <v>Muzak, LLC:Parker's SSI</v>
          </cell>
          <cell r="H391">
            <v>1</v>
          </cell>
        </row>
        <row r="392">
          <cell r="B392" t="str">
            <v>ESS - SCENT SERVICE</v>
          </cell>
          <cell r="C392" t="str">
            <v>Invoice</v>
          </cell>
          <cell r="D392">
            <v>38588</v>
          </cell>
          <cell r="F392" t="str">
            <v>7690</v>
          </cell>
          <cell r="G392" t="str">
            <v>Muzak, LLC:Parker's  - Brunswick</v>
          </cell>
          <cell r="H392">
            <v>1</v>
          </cell>
        </row>
        <row r="393">
          <cell r="B393" t="str">
            <v>ESS - SCENT SERVICE</v>
          </cell>
          <cell r="C393" t="str">
            <v>Invoice</v>
          </cell>
          <cell r="D393">
            <v>38588</v>
          </cell>
          <cell r="F393" t="str">
            <v>7687</v>
          </cell>
          <cell r="G393" t="str">
            <v>Muzak, LLC:Folks</v>
          </cell>
          <cell r="H393">
            <v>1</v>
          </cell>
        </row>
        <row r="394">
          <cell r="B394" t="str">
            <v>ESS - SCENT SERVICE</v>
          </cell>
          <cell r="C394" t="str">
            <v>Invoice</v>
          </cell>
          <cell r="D394">
            <v>38588</v>
          </cell>
          <cell r="F394" t="str">
            <v>7688</v>
          </cell>
          <cell r="G394" t="str">
            <v>Muzak, LLC:Life Care Center</v>
          </cell>
          <cell r="H394">
            <v>1</v>
          </cell>
        </row>
        <row r="395">
          <cell r="B395" t="str">
            <v>ESS - SCENT SERVICE</v>
          </cell>
          <cell r="C395" t="str">
            <v>Invoice</v>
          </cell>
          <cell r="D395">
            <v>38588</v>
          </cell>
          <cell r="F395" t="str">
            <v>7683</v>
          </cell>
          <cell r="G395" t="str">
            <v>Muzak, LLC:American Enterprise Bank</v>
          </cell>
          <cell r="H395">
            <v>1</v>
          </cell>
        </row>
        <row r="396">
          <cell r="B396" t="str">
            <v>ESS - SCENT SERVICE</v>
          </cell>
          <cell r="C396" t="str">
            <v>Invoice</v>
          </cell>
          <cell r="D396">
            <v>38589</v>
          </cell>
          <cell r="F396" t="str">
            <v>7128</v>
          </cell>
          <cell r="G396" t="str">
            <v>Southern Kitchen and Bath</v>
          </cell>
          <cell r="H396">
            <v>1</v>
          </cell>
        </row>
        <row r="397">
          <cell r="B397" t="str">
            <v>ESS - SCENT SERVICE</v>
          </cell>
          <cell r="C397" t="str">
            <v>Invoice</v>
          </cell>
          <cell r="D397">
            <v>38589</v>
          </cell>
          <cell r="F397" t="str">
            <v>7692</v>
          </cell>
          <cell r="G397" t="str">
            <v>Muzak, LLC:Turquoise Day Spa</v>
          </cell>
          <cell r="H397">
            <v>1</v>
          </cell>
        </row>
        <row r="398">
          <cell r="B398" t="str">
            <v>ESS - SCENT SERVICE</v>
          </cell>
          <cell r="C398" t="str">
            <v>Invoice</v>
          </cell>
          <cell r="D398">
            <v>38589</v>
          </cell>
          <cell r="F398" t="str">
            <v>7691</v>
          </cell>
          <cell r="G398" t="str">
            <v>Muzak, LLC:Red 74</v>
          </cell>
          <cell r="H398">
            <v>1</v>
          </cell>
        </row>
        <row r="399">
          <cell r="B399" t="str">
            <v>ESS - SCENT SERVICE</v>
          </cell>
          <cell r="C399" t="str">
            <v>Invoice</v>
          </cell>
          <cell r="D399">
            <v>38590</v>
          </cell>
          <cell r="F399" t="str">
            <v>7135</v>
          </cell>
          <cell r="G399" t="str">
            <v>Western Sizzlin Corporate:Great American Steak Buffet</v>
          </cell>
          <cell r="H399">
            <v>1</v>
          </cell>
        </row>
        <row r="400">
          <cell r="B400" t="str">
            <v>ESS - SCENT SERVICE</v>
          </cell>
          <cell r="C400" t="str">
            <v>Invoice</v>
          </cell>
          <cell r="D400">
            <v>38590</v>
          </cell>
          <cell r="F400" t="str">
            <v>7710</v>
          </cell>
          <cell r="G400" t="str">
            <v>Global Services Network</v>
          </cell>
          <cell r="H400">
            <v>1</v>
          </cell>
        </row>
        <row r="401">
          <cell r="B401" t="str">
            <v>ESS - SCENT SERVICE</v>
          </cell>
          <cell r="C401" t="str">
            <v>Invoice</v>
          </cell>
          <cell r="D401">
            <v>38590</v>
          </cell>
          <cell r="F401" t="str">
            <v>7707</v>
          </cell>
          <cell r="G401" t="str">
            <v>Muzak, LLC:Dr Geeta Bhat DDS</v>
          </cell>
          <cell r="H401">
            <v>1</v>
          </cell>
        </row>
        <row r="402">
          <cell r="B402" t="str">
            <v>ESS - SCENT SERVICE</v>
          </cell>
          <cell r="C402" t="str">
            <v>Invoice</v>
          </cell>
          <cell r="D402">
            <v>38593</v>
          </cell>
          <cell r="F402" t="str">
            <v>7706</v>
          </cell>
          <cell r="G402" t="str">
            <v>Muzak, LLC:Mattress Barn - 043074</v>
          </cell>
          <cell r="H402">
            <v>1</v>
          </cell>
        </row>
        <row r="403">
          <cell r="B403" t="str">
            <v>ESS - SCENT SERVICE</v>
          </cell>
          <cell r="C403" t="str">
            <v>Invoice</v>
          </cell>
          <cell r="D403">
            <v>38593</v>
          </cell>
          <cell r="F403" t="str">
            <v>7720</v>
          </cell>
          <cell r="G403" t="str">
            <v>Muzak, LLC:Ultimate Exposure - Park Rd</v>
          </cell>
          <cell r="H403">
            <v>1</v>
          </cell>
        </row>
        <row r="404">
          <cell r="B404" t="str">
            <v>ESS - SCENT SERVICE</v>
          </cell>
          <cell r="C404" t="str">
            <v>Invoice</v>
          </cell>
          <cell r="D404">
            <v>38594</v>
          </cell>
          <cell r="F404" t="str">
            <v>7725</v>
          </cell>
          <cell r="G404" t="str">
            <v>Muzak, LLC:Blue Ridge Mall</v>
          </cell>
          <cell r="H404">
            <v>1</v>
          </cell>
        </row>
        <row r="405">
          <cell r="B405" t="str">
            <v>ESS - SCENT SERVICE</v>
          </cell>
          <cell r="C405" t="str">
            <v>Invoice</v>
          </cell>
          <cell r="D405">
            <v>38594</v>
          </cell>
          <cell r="F405" t="str">
            <v>7722</v>
          </cell>
          <cell r="G405" t="str">
            <v>Muzak, LLC:Ultimate Exposure - Broadway</v>
          </cell>
          <cell r="H405">
            <v>1</v>
          </cell>
        </row>
        <row r="406">
          <cell r="B406" t="str">
            <v>ESS - SCENT SERVICE</v>
          </cell>
          <cell r="C406" t="str">
            <v>Invoice</v>
          </cell>
          <cell r="D406">
            <v>38594</v>
          </cell>
          <cell r="F406" t="str">
            <v>7723</v>
          </cell>
          <cell r="G406" t="str">
            <v>Muzak, LLC:Carolina's Diner</v>
          </cell>
          <cell r="H406">
            <v>1</v>
          </cell>
        </row>
        <row r="407">
          <cell r="B407" t="str">
            <v>ESS - SCENT SERVICE</v>
          </cell>
          <cell r="C407" t="str">
            <v>Invoice</v>
          </cell>
          <cell r="D407">
            <v>38594</v>
          </cell>
          <cell r="F407" t="str">
            <v>7081</v>
          </cell>
          <cell r="G407" t="str">
            <v>Muzak, LLC:Anderson Food Shops #168</v>
          </cell>
          <cell r="H407">
            <v>1</v>
          </cell>
        </row>
        <row r="408">
          <cell r="B408" t="str">
            <v>ESS - SCENT SERVICE</v>
          </cell>
          <cell r="C408" t="str">
            <v>Invoice</v>
          </cell>
          <cell r="D408">
            <v>38595</v>
          </cell>
          <cell r="F408" t="str">
            <v>7734</v>
          </cell>
          <cell r="G408" t="str">
            <v>Muzak, LLC:Mill's Squeegee #2</v>
          </cell>
          <cell r="H408">
            <v>1</v>
          </cell>
        </row>
        <row r="409">
          <cell r="B409" t="str">
            <v>ESS - SCENT SERVICE</v>
          </cell>
          <cell r="C409" t="str">
            <v>Invoice</v>
          </cell>
          <cell r="D409">
            <v>38595</v>
          </cell>
          <cell r="F409" t="str">
            <v>7703</v>
          </cell>
          <cell r="G409" t="str">
            <v>Muzak, LLC:Just Fresh Bakery Cafe &amp; Mkt. - Durham</v>
          </cell>
          <cell r="H409">
            <v>1</v>
          </cell>
        </row>
        <row r="410">
          <cell r="B410" t="str">
            <v>ESS - SCENT SERVICE</v>
          </cell>
          <cell r="C410" t="str">
            <v>Invoice</v>
          </cell>
          <cell r="D410">
            <v>38595</v>
          </cell>
          <cell r="F410" t="str">
            <v>7740</v>
          </cell>
          <cell r="G410" t="str">
            <v>Muzak, LLC:Chevron</v>
          </cell>
          <cell r="H410">
            <v>1</v>
          </cell>
        </row>
        <row r="411">
          <cell r="B411" t="str">
            <v>ESS - SCENT SERVICE</v>
          </cell>
          <cell r="C411" t="str">
            <v>Invoice</v>
          </cell>
          <cell r="D411">
            <v>38595</v>
          </cell>
          <cell r="F411" t="str">
            <v>7739</v>
          </cell>
          <cell r="G411" t="str">
            <v>Muzak, LLC:Renaissance Asheville Hotel</v>
          </cell>
          <cell r="H411">
            <v>1</v>
          </cell>
        </row>
        <row r="412">
          <cell r="B412" t="str">
            <v>ESS - SCENT SERVICE</v>
          </cell>
          <cell r="C412" t="str">
            <v>Invoice</v>
          </cell>
          <cell r="D412">
            <v>38595</v>
          </cell>
          <cell r="F412" t="str">
            <v>7737</v>
          </cell>
          <cell r="G412" t="str">
            <v>Muzak, LLC:Candy Time</v>
          </cell>
          <cell r="H412">
            <v>1</v>
          </cell>
        </row>
        <row r="413">
          <cell r="B413" t="str">
            <v>ESS - SCENT SERVICE</v>
          </cell>
          <cell r="C413" t="str">
            <v>Invoice</v>
          </cell>
          <cell r="D413">
            <v>38596</v>
          </cell>
          <cell r="F413" t="str">
            <v>7752</v>
          </cell>
          <cell r="G413" t="str">
            <v>Muzak, LLC:Mattress Zone 042896</v>
          </cell>
          <cell r="H413">
            <v>1</v>
          </cell>
        </row>
        <row r="414">
          <cell r="B414" t="str">
            <v>ESS - SCENT SERVICE</v>
          </cell>
          <cell r="C414" t="str">
            <v>Invoice</v>
          </cell>
          <cell r="D414">
            <v>38596</v>
          </cell>
          <cell r="F414" t="str">
            <v>7753</v>
          </cell>
          <cell r="G414" t="str">
            <v>Muzak, LLC:Mattress Zone 042807</v>
          </cell>
          <cell r="H414">
            <v>1</v>
          </cell>
        </row>
        <row r="415">
          <cell r="B415" t="str">
            <v>ESS - SCENT SERVICE</v>
          </cell>
          <cell r="C415" t="str">
            <v>Invoice</v>
          </cell>
          <cell r="D415">
            <v>38596</v>
          </cell>
          <cell r="F415" t="str">
            <v>7754</v>
          </cell>
          <cell r="G415" t="str">
            <v>Muzak, LLC:Mattress Zone 042804</v>
          </cell>
          <cell r="H415">
            <v>1</v>
          </cell>
        </row>
        <row r="416">
          <cell r="B416" t="str">
            <v>ESS - SCENT SERVICE</v>
          </cell>
          <cell r="C416" t="str">
            <v>Invoice</v>
          </cell>
          <cell r="D416">
            <v>38596</v>
          </cell>
          <cell r="F416" t="str">
            <v>7744</v>
          </cell>
          <cell r="G416" t="str">
            <v>Muzak, LLC:Mobil on the Run</v>
          </cell>
          <cell r="H416">
            <v>1</v>
          </cell>
        </row>
        <row r="417">
          <cell r="B417" t="str">
            <v>ESS - SCENT SERVICE</v>
          </cell>
          <cell r="C417" t="str">
            <v>Invoice</v>
          </cell>
          <cell r="D417">
            <v>38596</v>
          </cell>
          <cell r="F417" t="str">
            <v>7756</v>
          </cell>
          <cell r="G417" t="str">
            <v>Muzak, LLC:Mattress Barn - 043695</v>
          </cell>
          <cell r="H417">
            <v>1</v>
          </cell>
        </row>
        <row r="418">
          <cell r="B418" t="str">
            <v>ESS - SCENT SERVICE</v>
          </cell>
          <cell r="C418" t="str">
            <v>Invoice</v>
          </cell>
          <cell r="D418">
            <v>38597</v>
          </cell>
          <cell r="F418" t="str">
            <v>6399</v>
          </cell>
          <cell r="G418" t="str">
            <v>Muzak, LLC:Gate City Chop House</v>
          </cell>
          <cell r="H418">
            <v>1</v>
          </cell>
        </row>
        <row r="419">
          <cell r="B419" t="str">
            <v>ESS - SCENT SERVICE</v>
          </cell>
          <cell r="C419" t="str">
            <v>Invoice</v>
          </cell>
          <cell r="D419">
            <v>38597</v>
          </cell>
          <cell r="F419" t="str">
            <v>7153</v>
          </cell>
          <cell r="G419" t="str">
            <v>Muzak, LLC:C. Mini Mart - 147</v>
          </cell>
          <cell r="H419">
            <v>1</v>
          </cell>
        </row>
        <row r="420">
          <cell r="B420" t="str">
            <v>ESS - SCENT SERVICE</v>
          </cell>
          <cell r="C420" t="str">
            <v>Invoice</v>
          </cell>
          <cell r="D420">
            <v>38597</v>
          </cell>
          <cell r="F420" t="str">
            <v>7335</v>
          </cell>
          <cell r="G420" t="str">
            <v>Diesel USA, Inc.</v>
          </cell>
          <cell r="H420">
            <v>1</v>
          </cell>
        </row>
        <row r="421">
          <cell r="B421" t="str">
            <v>ESS - SCENT SERVICE</v>
          </cell>
          <cell r="C421" t="str">
            <v>Invoice</v>
          </cell>
          <cell r="D421">
            <v>38597</v>
          </cell>
          <cell r="F421" t="str">
            <v>7088</v>
          </cell>
          <cell r="G421" t="str">
            <v>Muzak, LLC:Dunkin Donuts/B. Robbins - Fuquay</v>
          </cell>
          <cell r="H421">
            <v>1</v>
          </cell>
        </row>
        <row r="422">
          <cell r="B422" t="str">
            <v>ESS - SCENT SERVICE</v>
          </cell>
          <cell r="C422" t="str">
            <v>Invoice</v>
          </cell>
          <cell r="D422">
            <v>38597</v>
          </cell>
          <cell r="F422" t="str">
            <v>7807</v>
          </cell>
          <cell r="G422" t="str">
            <v>Muzak, LLC:Setzer's Appliances</v>
          </cell>
          <cell r="H422">
            <v>1</v>
          </cell>
        </row>
        <row r="423">
          <cell r="B423" t="str">
            <v>ESS - SCENT SERVICE</v>
          </cell>
          <cell r="C423" t="str">
            <v>Invoice</v>
          </cell>
          <cell r="D423">
            <v>38597</v>
          </cell>
          <cell r="F423" t="str">
            <v>7816</v>
          </cell>
          <cell r="G423" t="str">
            <v>Muzak, LLC:T Darin Moerton</v>
          </cell>
          <cell r="H423">
            <v>1</v>
          </cell>
        </row>
        <row r="424">
          <cell r="B424" t="str">
            <v>ESS - SCENT SERVICE</v>
          </cell>
          <cell r="C424" t="str">
            <v>Invoice</v>
          </cell>
          <cell r="D424">
            <v>38597</v>
          </cell>
          <cell r="F424" t="str">
            <v>7810</v>
          </cell>
          <cell r="G424" t="str">
            <v>Muzak, LLC:St Johns Seafood &amp; Steaks 026607</v>
          </cell>
          <cell r="H424">
            <v>1</v>
          </cell>
        </row>
        <row r="425">
          <cell r="B425" t="str">
            <v>ESS - SCENT SERVICE</v>
          </cell>
          <cell r="C425" t="str">
            <v>Invoice</v>
          </cell>
          <cell r="D425">
            <v>38597</v>
          </cell>
          <cell r="F425" t="str">
            <v>7811</v>
          </cell>
          <cell r="G425" t="str">
            <v>Muzak, LLC:St Johns Seafood &amp; Steaks 030037</v>
          </cell>
          <cell r="H425">
            <v>1</v>
          </cell>
        </row>
        <row r="426">
          <cell r="B426" t="str">
            <v>ESS - SCENT SERVICE</v>
          </cell>
          <cell r="C426" t="str">
            <v>Invoice</v>
          </cell>
          <cell r="D426">
            <v>38597</v>
          </cell>
          <cell r="F426" t="str">
            <v>7812</v>
          </cell>
          <cell r="G426" t="str">
            <v>Muzak, LLC:St Johns Seafood &amp; Steaks 030046</v>
          </cell>
          <cell r="H426">
            <v>1</v>
          </cell>
        </row>
        <row r="427">
          <cell r="B427" t="str">
            <v>ESS - SCENT SERVICE</v>
          </cell>
          <cell r="C427" t="str">
            <v>Invoice</v>
          </cell>
          <cell r="D427">
            <v>38597</v>
          </cell>
          <cell r="F427" t="str">
            <v>7814</v>
          </cell>
          <cell r="G427" t="str">
            <v>Muzak, LLC:McDonald's - West Hills</v>
          </cell>
          <cell r="H427">
            <v>1</v>
          </cell>
        </row>
        <row r="428">
          <cell r="B428" t="str">
            <v>ESS - SCENT SERVICE</v>
          </cell>
          <cell r="C428" t="str">
            <v>Invoice</v>
          </cell>
          <cell r="D428">
            <v>38597</v>
          </cell>
          <cell r="F428" t="str">
            <v>7817</v>
          </cell>
          <cell r="G428" t="str">
            <v>Muzak, LLC:Dessert Gallery</v>
          </cell>
          <cell r="H428">
            <v>1</v>
          </cell>
        </row>
        <row r="429">
          <cell r="B429" t="str">
            <v>ESS - SCENT SERVICE</v>
          </cell>
          <cell r="C429" t="str">
            <v>Invoice</v>
          </cell>
          <cell r="D429">
            <v>38597</v>
          </cell>
          <cell r="F429" t="str">
            <v>7808</v>
          </cell>
          <cell r="G429" t="str">
            <v>Muzak, LLC:Capital Partners</v>
          </cell>
          <cell r="H429">
            <v>1</v>
          </cell>
        </row>
        <row r="430">
          <cell r="B430" t="str">
            <v>ESS - SCENT SERVICE</v>
          </cell>
          <cell r="C430" t="str">
            <v>Invoice</v>
          </cell>
          <cell r="D430">
            <v>38601</v>
          </cell>
          <cell r="F430" t="str">
            <v>7194</v>
          </cell>
          <cell r="G430" t="str">
            <v>Muzak, LLC:Dunkin Donuts - Charlotte</v>
          </cell>
          <cell r="H430">
            <v>1</v>
          </cell>
        </row>
        <row r="431">
          <cell r="B431" t="str">
            <v>ESS - SCENT SERVICE</v>
          </cell>
          <cell r="C431" t="str">
            <v>Invoice</v>
          </cell>
          <cell r="D431">
            <v>38601</v>
          </cell>
          <cell r="F431" t="str">
            <v>7751</v>
          </cell>
          <cell r="G431" t="str">
            <v>Muzak, IA:Soundcom LLC of Florida - Palm Beach:Mattress Zone - Jensen Beach</v>
          </cell>
          <cell r="H431">
            <v>1</v>
          </cell>
        </row>
        <row r="432">
          <cell r="B432" t="str">
            <v>ESS - SCENT SERVICE</v>
          </cell>
          <cell r="C432" t="str">
            <v>Invoice</v>
          </cell>
          <cell r="D432">
            <v>38601</v>
          </cell>
          <cell r="F432" t="str">
            <v>7809</v>
          </cell>
          <cell r="G432" t="str">
            <v>Muzak, LLC:Mossfire Grill</v>
          </cell>
          <cell r="H432">
            <v>1</v>
          </cell>
        </row>
        <row r="433">
          <cell r="B433" t="str">
            <v>ESS - SCENT SERVICE</v>
          </cell>
          <cell r="C433" t="str">
            <v>Invoice</v>
          </cell>
          <cell r="D433">
            <v>38602</v>
          </cell>
          <cell r="F433" t="str">
            <v>7843</v>
          </cell>
          <cell r="G433" t="str">
            <v>Muzak, LLC:Bucky's Express</v>
          </cell>
          <cell r="H433">
            <v>1</v>
          </cell>
        </row>
        <row r="434">
          <cell r="B434" t="str">
            <v>ESS - SCENT SERVICE</v>
          </cell>
          <cell r="C434" t="str">
            <v>Invoice</v>
          </cell>
          <cell r="D434">
            <v>38602</v>
          </cell>
          <cell r="F434" t="str">
            <v>7844</v>
          </cell>
          <cell r="G434" t="str">
            <v>Muzak, LLC:Fantasy's</v>
          </cell>
          <cell r="H434">
            <v>1</v>
          </cell>
        </row>
        <row r="435">
          <cell r="B435" t="str">
            <v>ESS - SCENT SERVICE</v>
          </cell>
          <cell r="C435" t="str">
            <v>Invoice</v>
          </cell>
          <cell r="D435">
            <v>38602</v>
          </cell>
          <cell r="F435" t="str">
            <v>7839</v>
          </cell>
          <cell r="G435" t="str">
            <v>Muzak, LLC:El Torro</v>
          </cell>
          <cell r="H435">
            <v>1</v>
          </cell>
        </row>
        <row r="436">
          <cell r="B436" t="str">
            <v>ESS - SCENT SERVICE</v>
          </cell>
          <cell r="C436" t="str">
            <v>Invoice</v>
          </cell>
          <cell r="D436">
            <v>38602</v>
          </cell>
          <cell r="F436" t="str">
            <v>7341</v>
          </cell>
          <cell r="G436" t="str">
            <v>Access Artisans Greenwhich Village</v>
          </cell>
          <cell r="H436">
            <v>1</v>
          </cell>
        </row>
        <row r="437">
          <cell r="B437" t="str">
            <v>ESS - SCENT SERVICE</v>
          </cell>
          <cell r="C437" t="str">
            <v>Invoice</v>
          </cell>
          <cell r="D437">
            <v>38602</v>
          </cell>
          <cell r="F437" t="str">
            <v>7285</v>
          </cell>
          <cell r="G437" t="str">
            <v>Lucky Brand Jeans:Lucky Brand Jeans - #648</v>
          </cell>
          <cell r="H437">
            <v>1</v>
          </cell>
        </row>
        <row r="438">
          <cell r="B438" t="str">
            <v>ESS - SCENT SERVICE</v>
          </cell>
          <cell r="C438" t="str">
            <v>Invoice</v>
          </cell>
          <cell r="D438">
            <v>38602</v>
          </cell>
          <cell r="F438" t="str">
            <v>7286</v>
          </cell>
          <cell r="G438" t="str">
            <v>Lucky Brand Jeans:Lucky Brand Jeans - #643</v>
          </cell>
          <cell r="H438">
            <v>1</v>
          </cell>
        </row>
        <row r="439">
          <cell r="B439" t="str">
            <v>ESS - SCENT SERVICE</v>
          </cell>
          <cell r="C439" t="str">
            <v>Invoice</v>
          </cell>
          <cell r="D439">
            <v>38602</v>
          </cell>
          <cell r="F439" t="str">
            <v>7287</v>
          </cell>
          <cell r="G439" t="str">
            <v>Lucky Brand Jeans:Lucky Brand Jeans - #641</v>
          </cell>
          <cell r="H439">
            <v>1</v>
          </cell>
        </row>
        <row r="440">
          <cell r="B440" t="str">
            <v>ESS - SCENT SERVICE</v>
          </cell>
          <cell r="C440" t="str">
            <v>Invoice</v>
          </cell>
          <cell r="D440">
            <v>38602</v>
          </cell>
          <cell r="F440" t="str">
            <v>7289</v>
          </cell>
          <cell r="G440" t="str">
            <v>Lucky Brand Jeans:Lucky Brand Jeans - #613</v>
          </cell>
          <cell r="H440">
            <v>1</v>
          </cell>
        </row>
        <row r="441">
          <cell r="B441" t="str">
            <v>ESS - SCENT SERVICE</v>
          </cell>
          <cell r="C441" t="str">
            <v>Invoice</v>
          </cell>
          <cell r="D441">
            <v>38602</v>
          </cell>
          <cell r="F441" t="str">
            <v>7288</v>
          </cell>
          <cell r="G441" t="str">
            <v>Lucky Brand Jeans:Lucky Brand Jeans - #640</v>
          </cell>
          <cell r="H441">
            <v>1</v>
          </cell>
        </row>
        <row r="442">
          <cell r="B442" t="str">
            <v>ESS - SCENT SERVICE</v>
          </cell>
          <cell r="C442" t="str">
            <v>Invoice</v>
          </cell>
          <cell r="D442">
            <v>38602</v>
          </cell>
          <cell r="F442" t="str">
            <v>7284</v>
          </cell>
          <cell r="G442" t="str">
            <v>Lucky Brand Jeans:Lucky Brand Jeans - #668</v>
          </cell>
          <cell r="H442">
            <v>1</v>
          </cell>
        </row>
        <row r="443">
          <cell r="B443" t="str">
            <v>ESS - SCENT SERVICE</v>
          </cell>
          <cell r="C443" t="str">
            <v>Invoice</v>
          </cell>
          <cell r="D443">
            <v>38602</v>
          </cell>
          <cell r="F443" t="str">
            <v>7291</v>
          </cell>
          <cell r="G443" t="str">
            <v>Lucky Brand Jeans:Lucky Brand Jeans - #604</v>
          </cell>
          <cell r="H443">
            <v>1</v>
          </cell>
        </row>
        <row r="444">
          <cell r="B444" t="str">
            <v>ESS - SCENT SERVICE</v>
          </cell>
          <cell r="C444" t="str">
            <v>Invoice</v>
          </cell>
          <cell r="D444">
            <v>38602</v>
          </cell>
          <cell r="F444" t="str">
            <v>7283</v>
          </cell>
          <cell r="G444" t="str">
            <v>Lucky Brand Jeans:Lucky Brand Jeans - #697</v>
          </cell>
          <cell r="H444">
            <v>1</v>
          </cell>
        </row>
        <row r="445">
          <cell r="B445" t="str">
            <v>ESS - SCENT SERVICE</v>
          </cell>
          <cell r="C445" t="str">
            <v>Invoice</v>
          </cell>
          <cell r="D445">
            <v>38602</v>
          </cell>
          <cell r="F445" t="str">
            <v>7196</v>
          </cell>
          <cell r="G445" t="str">
            <v>Muzak, LLC:Highwoods Properties</v>
          </cell>
          <cell r="H445">
            <v>1</v>
          </cell>
        </row>
        <row r="446">
          <cell r="B446" t="str">
            <v>ESS - SCENT SERVICE</v>
          </cell>
          <cell r="C446" t="str">
            <v>Invoice</v>
          </cell>
          <cell r="D446">
            <v>38602</v>
          </cell>
          <cell r="F446" t="str">
            <v>7484</v>
          </cell>
          <cell r="G446" t="str">
            <v>Lucky Brand Jeans:Lucky Brand Jeans SF</v>
          </cell>
          <cell r="H446">
            <v>1</v>
          </cell>
        </row>
        <row r="447">
          <cell r="B447" t="str">
            <v>ESS - SCENT SERVICE</v>
          </cell>
          <cell r="C447" t="str">
            <v>Invoice</v>
          </cell>
          <cell r="D447">
            <v>38602</v>
          </cell>
          <cell r="F447" t="str">
            <v>7292</v>
          </cell>
          <cell r="G447" t="str">
            <v>Lucky Brand Jeans:Lucky Brand Jeans - #603</v>
          </cell>
          <cell r="H447">
            <v>1</v>
          </cell>
        </row>
        <row r="448">
          <cell r="B448" t="str">
            <v>ESS - SCENT SERVICE</v>
          </cell>
          <cell r="C448" t="str">
            <v>Invoice</v>
          </cell>
          <cell r="D448">
            <v>38602</v>
          </cell>
          <cell r="F448" t="str">
            <v>7189</v>
          </cell>
          <cell r="G448" t="str">
            <v>Bark Avenue Bakery</v>
          </cell>
          <cell r="H448">
            <v>1</v>
          </cell>
        </row>
        <row r="449">
          <cell r="B449" t="str">
            <v>ESS - SCENT SERVICE</v>
          </cell>
          <cell r="C449" t="str">
            <v>Invoice</v>
          </cell>
          <cell r="D449">
            <v>38602</v>
          </cell>
          <cell r="F449" t="str">
            <v>7192</v>
          </cell>
          <cell r="G449" t="str">
            <v>Muzak, LLC:Arbys - Simpsonville</v>
          </cell>
          <cell r="H449">
            <v>1</v>
          </cell>
        </row>
        <row r="450">
          <cell r="B450" t="str">
            <v>ESS - SCENT SERVICE</v>
          </cell>
          <cell r="C450" t="str">
            <v>Invoice</v>
          </cell>
          <cell r="D450">
            <v>38602</v>
          </cell>
          <cell r="F450" t="str">
            <v>7829</v>
          </cell>
          <cell r="G450" t="str">
            <v>Exxon DDB Worldwide:ExxonMobil #60121</v>
          </cell>
          <cell r="H450">
            <v>1</v>
          </cell>
        </row>
        <row r="451">
          <cell r="B451" t="str">
            <v>ESS - SCENT SERVICE</v>
          </cell>
          <cell r="C451" t="str">
            <v>Invoice</v>
          </cell>
          <cell r="D451">
            <v>38602</v>
          </cell>
          <cell r="F451" t="str">
            <v>7830</v>
          </cell>
          <cell r="G451" t="str">
            <v>Exxon DDB Worldwide:ExxonMobil #62065</v>
          </cell>
          <cell r="H451">
            <v>1</v>
          </cell>
        </row>
        <row r="452">
          <cell r="B452" t="str">
            <v>ESS - SCENT SERVICE</v>
          </cell>
          <cell r="C452" t="str">
            <v>Invoice</v>
          </cell>
          <cell r="D452">
            <v>38602</v>
          </cell>
          <cell r="F452" t="str">
            <v>7831</v>
          </cell>
          <cell r="G452" t="str">
            <v>Exxon DDB Worldwide:ExxonMobil #80158</v>
          </cell>
          <cell r="H452">
            <v>1</v>
          </cell>
        </row>
        <row r="453">
          <cell r="B453" t="str">
            <v>ESS - SCENT SERVICE</v>
          </cell>
          <cell r="C453" t="str">
            <v>Invoice</v>
          </cell>
          <cell r="D453">
            <v>38602</v>
          </cell>
          <cell r="F453" t="str">
            <v>7826</v>
          </cell>
          <cell r="G453" t="str">
            <v>Exxon DDB Worldwide:ExxonMobil #20432</v>
          </cell>
          <cell r="H453">
            <v>1</v>
          </cell>
        </row>
        <row r="454">
          <cell r="B454" t="str">
            <v>ESS - SCENT SERVICE</v>
          </cell>
          <cell r="C454" t="str">
            <v>Invoice</v>
          </cell>
          <cell r="D454">
            <v>38602</v>
          </cell>
          <cell r="F454" t="str">
            <v>7827</v>
          </cell>
          <cell r="G454" t="str">
            <v>Exxon DDB Worldwide:ExxonMobil #25329</v>
          </cell>
          <cell r="H454">
            <v>1</v>
          </cell>
        </row>
        <row r="455">
          <cell r="B455" t="str">
            <v>ESS - SCENT SERVICE</v>
          </cell>
          <cell r="C455" t="str">
            <v>Invoice</v>
          </cell>
          <cell r="D455">
            <v>38602</v>
          </cell>
          <cell r="F455" t="str">
            <v>7828</v>
          </cell>
          <cell r="G455" t="str">
            <v>Exxon DDB Worldwide:ExxonMobil #27925</v>
          </cell>
          <cell r="H455">
            <v>1</v>
          </cell>
        </row>
        <row r="456">
          <cell r="B456" t="str">
            <v>ESS - SCENT SERVICE</v>
          </cell>
          <cell r="C456" t="str">
            <v>Invoice</v>
          </cell>
          <cell r="D456">
            <v>38602</v>
          </cell>
          <cell r="F456" t="str">
            <v>7290</v>
          </cell>
          <cell r="G456" t="str">
            <v>Lucky Brand Jeans:Lucky Brand Jeans - #606</v>
          </cell>
          <cell r="H456">
            <v>1</v>
          </cell>
        </row>
        <row r="457">
          <cell r="B457" t="str">
            <v>ESS - SCENT SERVICE</v>
          </cell>
          <cell r="C457" t="str">
            <v>Invoice</v>
          </cell>
          <cell r="D457">
            <v>38603</v>
          </cell>
          <cell r="F457" t="str">
            <v>7884</v>
          </cell>
          <cell r="G457" t="str">
            <v>Muzak, LLC:McDonald's - New Castle</v>
          </cell>
          <cell r="H457">
            <v>1</v>
          </cell>
        </row>
        <row r="458">
          <cell r="B458" t="str">
            <v>ESS - SCENT SERVICE</v>
          </cell>
          <cell r="C458" t="str">
            <v>Invoice</v>
          </cell>
          <cell r="D458">
            <v>38603</v>
          </cell>
          <cell r="F458" t="str">
            <v>7855</v>
          </cell>
          <cell r="G458" t="str">
            <v>Muzak, LLC:The Daily Bagel</v>
          </cell>
          <cell r="H458">
            <v>1</v>
          </cell>
        </row>
        <row r="459">
          <cell r="B459" t="str">
            <v>ESS - SCENT SERVICE</v>
          </cell>
          <cell r="C459" t="str">
            <v>Invoice</v>
          </cell>
          <cell r="D459">
            <v>38603</v>
          </cell>
          <cell r="F459" t="str">
            <v>7879</v>
          </cell>
          <cell r="G459" t="str">
            <v>Muzak, LLC:The Palms Tanning Resort - Greenwood Vill</v>
          </cell>
          <cell r="H459">
            <v>1</v>
          </cell>
        </row>
        <row r="460">
          <cell r="B460" t="str">
            <v>ESS - SCENT SERVICE</v>
          </cell>
          <cell r="C460" t="str">
            <v>Invoice</v>
          </cell>
          <cell r="D460">
            <v>38603</v>
          </cell>
          <cell r="F460" t="str">
            <v>7881</v>
          </cell>
          <cell r="G460" t="str">
            <v>Muzak, LLC:Burger King - #14440</v>
          </cell>
          <cell r="H460">
            <v>1</v>
          </cell>
        </row>
        <row r="461">
          <cell r="B461" t="str">
            <v>ESS - SCENT SERVICE</v>
          </cell>
          <cell r="C461" t="str">
            <v>Invoice</v>
          </cell>
          <cell r="D461">
            <v>38603</v>
          </cell>
          <cell r="F461" t="str">
            <v>7840</v>
          </cell>
          <cell r="G461" t="str">
            <v>Muzak, LLC:Arby's - Mission Hills</v>
          </cell>
          <cell r="H461">
            <v>1</v>
          </cell>
        </row>
        <row r="462">
          <cell r="B462" t="str">
            <v>ESS - SCENT SERVICE</v>
          </cell>
          <cell r="C462" t="str">
            <v>Invoice</v>
          </cell>
          <cell r="D462">
            <v>38603</v>
          </cell>
          <cell r="F462" t="str">
            <v>7880</v>
          </cell>
          <cell r="G462" t="str">
            <v>Muzak, LLC:Salon Rebecca</v>
          </cell>
          <cell r="H462">
            <v>1</v>
          </cell>
        </row>
        <row r="463">
          <cell r="B463" t="str">
            <v>ESS - SCENT SERVICE</v>
          </cell>
          <cell r="C463" t="str">
            <v>Invoice</v>
          </cell>
          <cell r="D463">
            <v>38603</v>
          </cell>
          <cell r="F463" t="str">
            <v>7863</v>
          </cell>
          <cell r="G463" t="str">
            <v>Muzak, LLC:McDonald's - Kokomo</v>
          </cell>
          <cell r="H463">
            <v>1</v>
          </cell>
        </row>
        <row r="464">
          <cell r="B464" t="str">
            <v>ESS - SCENT SERVICE</v>
          </cell>
          <cell r="C464" t="str">
            <v>Invoice</v>
          </cell>
          <cell r="D464">
            <v>38603</v>
          </cell>
          <cell r="F464" t="str">
            <v>7882</v>
          </cell>
          <cell r="G464" t="str">
            <v>Muzak, LLC:McDonald's - Kansas City</v>
          </cell>
          <cell r="H464">
            <v>1</v>
          </cell>
        </row>
        <row r="465">
          <cell r="B465" t="str">
            <v>ESS - SCENT SERVICE</v>
          </cell>
          <cell r="C465" t="str">
            <v>Invoice</v>
          </cell>
          <cell r="D465">
            <v>38603</v>
          </cell>
          <cell r="F465" t="str">
            <v>7835</v>
          </cell>
          <cell r="G465" t="str">
            <v>Exxon DDB Worldwide:ExxonMobil #40595</v>
          </cell>
          <cell r="H465">
            <v>1</v>
          </cell>
        </row>
        <row r="466">
          <cell r="B466" t="str">
            <v>ESS - SCENT SERVICE</v>
          </cell>
          <cell r="C466" t="str">
            <v>Invoice</v>
          </cell>
          <cell r="D466">
            <v>38603</v>
          </cell>
          <cell r="F466" t="str">
            <v>7836</v>
          </cell>
          <cell r="G466" t="str">
            <v>Exxon DDB Worldwide:ExxonMobil #40600</v>
          </cell>
          <cell r="H466">
            <v>1</v>
          </cell>
        </row>
        <row r="467">
          <cell r="B467" t="str">
            <v>ESS - SCENT SERVICE</v>
          </cell>
          <cell r="C467" t="str">
            <v>Invoice</v>
          </cell>
          <cell r="D467">
            <v>38603</v>
          </cell>
          <cell r="F467" t="str">
            <v>7837</v>
          </cell>
          <cell r="G467" t="str">
            <v>Exxon DDB Worldwide:ExxonMobil #47373</v>
          </cell>
          <cell r="H467">
            <v>1</v>
          </cell>
        </row>
        <row r="468">
          <cell r="B468" t="str">
            <v>ESS - SCENT SERVICE</v>
          </cell>
          <cell r="C468" t="str">
            <v>Invoice</v>
          </cell>
          <cell r="D468">
            <v>38604</v>
          </cell>
          <cell r="F468" t="str">
            <v>7210</v>
          </cell>
          <cell r="G468" t="str">
            <v>Muzak, LLC:Doctor's Urgent Care</v>
          </cell>
          <cell r="H468">
            <v>1</v>
          </cell>
        </row>
        <row r="469">
          <cell r="B469" t="str">
            <v>ESS - SCENT SERVICE</v>
          </cell>
          <cell r="C469" t="str">
            <v>Invoice</v>
          </cell>
          <cell r="D469">
            <v>38604</v>
          </cell>
          <cell r="F469" t="str">
            <v>7032</v>
          </cell>
          <cell r="G469" t="str">
            <v>Muzak, LLC:McDonald's - Raleigh</v>
          </cell>
          <cell r="H469">
            <v>1</v>
          </cell>
        </row>
        <row r="470">
          <cell r="B470" t="str">
            <v>ESS - SCENT SERVICE</v>
          </cell>
          <cell r="C470" t="str">
            <v>Invoice</v>
          </cell>
          <cell r="D470">
            <v>38604</v>
          </cell>
          <cell r="F470" t="str">
            <v>7224</v>
          </cell>
          <cell r="G470" t="str">
            <v>Muzak, LLC:Anytime Fitness</v>
          </cell>
          <cell r="H470">
            <v>1</v>
          </cell>
        </row>
        <row r="471">
          <cell r="B471" t="str">
            <v>ESS - SCENT SERVICE</v>
          </cell>
          <cell r="C471" t="str">
            <v>Invoice</v>
          </cell>
          <cell r="D471">
            <v>38604</v>
          </cell>
          <cell r="F471" t="str">
            <v>7184</v>
          </cell>
          <cell r="G471" t="str">
            <v>Muzak, LLC:Round The Clock</v>
          </cell>
          <cell r="H471">
            <v>1</v>
          </cell>
        </row>
        <row r="472">
          <cell r="B472" t="str">
            <v>ESS - SCENT SERVICE</v>
          </cell>
          <cell r="C472" t="str">
            <v>Invoice</v>
          </cell>
          <cell r="D472">
            <v>38607</v>
          </cell>
          <cell r="F472" t="str">
            <v>7894</v>
          </cell>
          <cell r="G472" t="str">
            <v>Muzak, LLC:Xtension Food Mart</v>
          </cell>
          <cell r="H472">
            <v>1</v>
          </cell>
        </row>
        <row r="473">
          <cell r="B473" t="str">
            <v>ESS - SCENT SERVICE</v>
          </cell>
          <cell r="C473" t="str">
            <v>Invoice</v>
          </cell>
          <cell r="D473">
            <v>38607</v>
          </cell>
          <cell r="F473" t="str">
            <v>7895</v>
          </cell>
          <cell r="G473" t="str">
            <v>Muzak, LLC:Inside Out - Overland Park</v>
          </cell>
          <cell r="H473">
            <v>1</v>
          </cell>
        </row>
        <row r="474">
          <cell r="B474" t="str">
            <v>ESS - SCENT SERVICE</v>
          </cell>
          <cell r="C474" t="str">
            <v>Invoice</v>
          </cell>
          <cell r="D474">
            <v>38608</v>
          </cell>
          <cell r="F474" t="str">
            <v>7912</v>
          </cell>
          <cell r="G474" t="str">
            <v>Muzak, LLC:Amergy Bank of Texas</v>
          </cell>
          <cell r="H474">
            <v>1</v>
          </cell>
        </row>
        <row r="475">
          <cell r="B475" t="str">
            <v>ESS - SCENT SERVICE</v>
          </cell>
          <cell r="C475" t="str">
            <v>Invoice</v>
          </cell>
          <cell r="D475">
            <v>38608</v>
          </cell>
          <cell r="F475" t="str">
            <v>7927</v>
          </cell>
          <cell r="G475" t="str">
            <v>Muzak, LLC:Heritage at Lake Forest</v>
          </cell>
          <cell r="H475">
            <v>1</v>
          </cell>
        </row>
        <row r="476">
          <cell r="B476" t="str">
            <v>ESS - SCENT SERVICE</v>
          </cell>
          <cell r="C476" t="str">
            <v>Invoice</v>
          </cell>
          <cell r="D476">
            <v>38608</v>
          </cell>
          <cell r="F476" t="str">
            <v>7928</v>
          </cell>
          <cell r="G476" t="str">
            <v>Muzak, LLC:Spa Nail Tan Palace</v>
          </cell>
          <cell r="H476">
            <v>1</v>
          </cell>
        </row>
        <row r="477">
          <cell r="B477" t="str">
            <v>ESS - SCENT SERVICE</v>
          </cell>
          <cell r="C477" t="str">
            <v>Invoice</v>
          </cell>
          <cell r="D477">
            <v>38608</v>
          </cell>
          <cell r="F477" t="str">
            <v>7929</v>
          </cell>
          <cell r="G477" t="str">
            <v>Muzak, LLC:Oakland Center Chevron</v>
          </cell>
          <cell r="H477">
            <v>1</v>
          </cell>
        </row>
        <row r="478">
          <cell r="B478" t="str">
            <v>ESS - SCENT SERVICE</v>
          </cell>
          <cell r="C478" t="str">
            <v>Invoice</v>
          </cell>
          <cell r="D478">
            <v>38609</v>
          </cell>
          <cell r="F478" t="str">
            <v>7236</v>
          </cell>
          <cell r="G478" t="str">
            <v>Harry and David #564</v>
          </cell>
          <cell r="H478">
            <v>1</v>
          </cell>
        </row>
        <row r="479">
          <cell r="B479" t="str">
            <v>ESS - SCENT SERVICE</v>
          </cell>
          <cell r="C479" t="str">
            <v>Invoice</v>
          </cell>
          <cell r="D479">
            <v>38609</v>
          </cell>
          <cell r="F479" t="str">
            <v>7939</v>
          </cell>
          <cell r="G479" t="str">
            <v>Muzak, LLC:Prime Lending</v>
          </cell>
          <cell r="H479">
            <v>1</v>
          </cell>
        </row>
        <row r="480">
          <cell r="B480" t="str">
            <v>ESS - SCENT SERVICE</v>
          </cell>
          <cell r="C480" t="str">
            <v>Invoice</v>
          </cell>
          <cell r="D480">
            <v>38609</v>
          </cell>
          <cell r="F480" t="str">
            <v>7932</v>
          </cell>
          <cell r="G480" t="str">
            <v>Muzak, LLC:Sheraton Hotel</v>
          </cell>
          <cell r="H480">
            <v>1</v>
          </cell>
        </row>
        <row r="481">
          <cell r="B481" t="str">
            <v>ESS - SCENT SERVICE</v>
          </cell>
          <cell r="C481" t="str">
            <v>Invoice</v>
          </cell>
          <cell r="D481">
            <v>38610</v>
          </cell>
          <cell r="F481" t="str">
            <v>7251</v>
          </cell>
          <cell r="G481" t="str">
            <v>Jimmy Choo (Corporate Office):Jimmy Choo (Coral Gables)</v>
          </cell>
          <cell r="H481">
            <v>1</v>
          </cell>
        </row>
        <row r="482">
          <cell r="B482" t="str">
            <v>ESS - SCENT SERVICE</v>
          </cell>
          <cell r="C482" t="str">
            <v>Invoice</v>
          </cell>
          <cell r="D482">
            <v>38610</v>
          </cell>
          <cell r="F482" t="str">
            <v>7249</v>
          </cell>
          <cell r="G482" t="str">
            <v>Jimmy Choo (Corporate Office):Jimmy Choo (Palm Beach Gardens)</v>
          </cell>
          <cell r="H482">
            <v>1</v>
          </cell>
        </row>
        <row r="483">
          <cell r="B483" t="str">
            <v>ESS - SCENT SERVICE</v>
          </cell>
          <cell r="C483" t="str">
            <v>Invoice</v>
          </cell>
          <cell r="D483">
            <v>38610</v>
          </cell>
          <cell r="F483" t="str">
            <v>7250</v>
          </cell>
          <cell r="G483" t="str">
            <v>Jimmy Choo (Corporate Office):Jimmy Choo (Madison Ave.)</v>
          </cell>
          <cell r="H483">
            <v>1</v>
          </cell>
        </row>
        <row r="484">
          <cell r="B484" t="str">
            <v>ESS - SCENT SERVICE</v>
          </cell>
          <cell r="C484" t="str">
            <v>Invoice</v>
          </cell>
          <cell r="D484">
            <v>38610</v>
          </cell>
          <cell r="F484" t="str">
            <v>7252</v>
          </cell>
          <cell r="G484" t="str">
            <v>Lee-Moore Oil Company:Exxon OTR - 71</v>
          </cell>
          <cell r="H484">
            <v>1</v>
          </cell>
        </row>
        <row r="485">
          <cell r="B485" t="str">
            <v>ESS - SCENT SERVICE</v>
          </cell>
          <cell r="C485" t="str">
            <v>Invoice</v>
          </cell>
          <cell r="D485">
            <v>38610</v>
          </cell>
          <cell r="F485" t="str">
            <v>7253</v>
          </cell>
          <cell r="G485" t="str">
            <v>Lee-Moore Oil Company:Exxon OTR - 70</v>
          </cell>
          <cell r="H485">
            <v>1</v>
          </cell>
        </row>
        <row r="486">
          <cell r="B486" t="str">
            <v>ESS - SCENT SERVICE</v>
          </cell>
          <cell r="C486" t="str">
            <v>Invoice</v>
          </cell>
          <cell r="D486">
            <v>38610</v>
          </cell>
          <cell r="F486" t="str">
            <v>7254</v>
          </cell>
          <cell r="G486" t="str">
            <v>Lee-Moore Oil Company:Exxon OTR - 42</v>
          </cell>
          <cell r="H486">
            <v>1</v>
          </cell>
        </row>
        <row r="487">
          <cell r="B487" t="str">
            <v>ESS - SCENT SERVICE</v>
          </cell>
          <cell r="C487" t="str">
            <v>Invoice</v>
          </cell>
          <cell r="D487">
            <v>38610</v>
          </cell>
          <cell r="F487" t="str">
            <v>7255</v>
          </cell>
          <cell r="G487" t="str">
            <v>Lee-Moore Oil Company:Exxon OTR - 41</v>
          </cell>
          <cell r="H487">
            <v>1</v>
          </cell>
        </row>
        <row r="488">
          <cell r="B488" t="str">
            <v>ESS - SCENT SERVICE</v>
          </cell>
          <cell r="C488" t="str">
            <v>Invoice</v>
          </cell>
          <cell r="D488">
            <v>38610</v>
          </cell>
          <cell r="F488" t="str">
            <v>7256</v>
          </cell>
          <cell r="G488" t="str">
            <v>Lee-Moore Oil Company:Exxon OTR - 30</v>
          </cell>
          <cell r="H488">
            <v>1</v>
          </cell>
        </row>
        <row r="489">
          <cell r="B489" t="str">
            <v>ESS - SCENT SERVICE</v>
          </cell>
          <cell r="C489" t="str">
            <v>Invoice</v>
          </cell>
          <cell r="D489">
            <v>38610</v>
          </cell>
          <cell r="F489" t="str">
            <v>7257</v>
          </cell>
          <cell r="G489" t="str">
            <v>Lee-Moore Oil Company:Exxon OTR - 29</v>
          </cell>
          <cell r="H489">
            <v>1</v>
          </cell>
        </row>
        <row r="490">
          <cell r="B490" t="str">
            <v>ESS - SCENT SERVICE</v>
          </cell>
          <cell r="C490" t="str">
            <v>Invoice</v>
          </cell>
          <cell r="D490">
            <v>38610</v>
          </cell>
          <cell r="F490" t="str">
            <v>7258</v>
          </cell>
          <cell r="G490" t="str">
            <v>Lee-Moore Oil Company:Exxon OTR - 20</v>
          </cell>
          <cell r="H490">
            <v>1</v>
          </cell>
        </row>
        <row r="491">
          <cell r="B491" t="str">
            <v>ESS - SCENT SERVICE</v>
          </cell>
          <cell r="C491" t="str">
            <v>Invoice</v>
          </cell>
          <cell r="D491">
            <v>38610</v>
          </cell>
          <cell r="F491" t="str">
            <v>7259</v>
          </cell>
          <cell r="G491" t="str">
            <v>Lee-Moore Oil Company:Exxon OTR - 37</v>
          </cell>
          <cell r="H491">
            <v>1</v>
          </cell>
        </row>
        <row r="492">
          <cell r="B492" t="str">
            <v>ESS - SCENT SERVICE</v>
          </cell>
          <cell r="C492" t="str">
            <v>Invoice</v>
          </cell>
          <cell r="D492">
            <v>38610</v>
          </cell>
          <cell r="F492" t="str">
            <v>7260</v>
          </cell>
          <cell r="G492" t="str">
            <v>Lee-Moore Oil Company:Exxon OTR - 36</v>
          </cell>
          <cell r="H492">
            <v>1</v>
          </cell>
        </row>
        <row r="493">
          <cell r="B493" t="str">
            <v>ESS - SCENT SERVICE</v>
          </cell>
          <cell r="C493" t="str">
            <v>Invoice</v>
          </cell>
          <cell r="D493">
            <v>38610</v>
          </cell>
          <cell r="F493" t="str">
            <v>7261</v>
          </cell>
          <cell r="G493" t="str">
            <v>Lee-Moore Oil Company:Exxon OTR - 21</v>
          </cell>
          <cell r="H493">
            <v>1</v>
          </cell>
        </row>
        <row r="494">
          <cell r="B494" t="str">
            <v>ESS - SCENT SERVICE</v>
          </cell>
          <cell r="C494" t="str">
            <v>Invoice</v>
          </cell>
          <cell r="D494">
            <v>38610</v>
          </cell>
          <cell r="F494" t="str">
            <v>7262</v>
          </cell>
          <cell r="G494" t="str">
            <v>Lee-Moore Oil Company:Exxon OTR - 22</v>
          </cell>
          <cell r="H494">
            <v>1</v>
          </cell>
        </row>
        <row r="495">
          <cell r="B495" t="str">
            <v>ESS - SCENT SERVICE</v>
          </cell>
          <cell r="C495" t="str">
            <v>Invoice</v>
          </cell>
          <cell r="D495">
            <v>38610</v>
          </cell>
          <cell r="F495" t="str">
            <v>7959</v>
          </cell>
          <cell r="G495" t="str">
            <v>Muzak, LLC:Wingate Inn - Greenville</v>
          </cell>
          <cell r="H495">
            <v>1</v>
          </cell>
        </row>
        <row r="496">
          <cell r="B496" t="str">
            <v>ESS - SCENT SERVICE</v>
          </cell>
          <cell r="C496" t="str">
            <v>Invoice</v>
          </cell>
          <cell r="D496">
            <v>38610</v>
          </cell>
          <cell r="F496" t="str">
            <v>7960</v>
          </cell>
          <cell r="G496" t="str">
            <v>Muzak, LLC:Piccasso's</v>
          </cell>
          <cell r="H496">
            <v>1</v>
          </cell>
        </row>
        <row r="497">
          <cell r="B497" t="str">
            <v>ESS - SCENT SERVICE</v>
          </cell>
          <cell r="C497" t="str">
            <v>Invoice</v>
          </cell>
          <cell r="D497">
            <v>38610</v>
          </cell>
          <cell r="F497" t="str">
            <v>7961</v>
          </cell>
          <cell r="G497" t="str">
            <v>Muzak, LLC:McDonald's - Van Nuys</v>
          </cell>
          <cell r="H497">
            <v>1</v>
          </cell>
        </row>
        <row r="498">
          <cell r="B498" t="str">
            <v>ESS - SCENT SERVICE</v>
          </cell>
          <cell r="C498" t="str">
            <v>Invoice</v>
          </cell>
          <cell r="D498">
            <v>38610</v>
          </cell>
          <cell r="F498" t="str">
            <v>7962</v>
          </cell>
          <cell r="G498" t="str">
            <v>Muzak, LLC:Nyack Hospital</v>
          </cell>
          <cell r="H498">
            <v>1</v>
          </cell>
        </row>
        <row r="499">
          <cell r="B499" t="str">
            <v>ESS - SCENT SERVICE</v>
          </cell>
          <cell r="C499" t="str">
            <v>Invoice</v>
          </cell>
          <cell r="D499">
            <v>38611</v>
          </cell>
          <cell r="F499" t="str">
            <v>7306</v>
          </cell>
          <cell r="G499" t="str">
            <v>Busch Gardens - Tampa</v>
          </cell>
          <cell r="H499">
            <v>1</v>
          </cell>
        </row>
        <row r="500">
          <cell r="B500" t="str">
            <v>ESS - SCENT SERVICE</v>
          </cell>
          <cell r="C500" t="str">
            <v>Invoice</v>
          </cell>
          <cell r="D500">
            <v>38611</v>
          </cell>
          <cell r="F500" t="str">
            <v>7294</v>
          </cell>
          <cell r="G500" t="str">
            <v>Jimmy Choo (Corporate Office):Jimmy Choo (51st street)</v>
          </cell>
          <cell r="H500">
            <v>1</v>
          </cell>
        </row>
        <row r="501">
          <cell r="B501" t="str">
            <v>ESS - SCENT SERVICE</v>
          </cell>
          <cell r="C501" t="str">
            <v>Invoice</v>
          </cell>
          <cell r="D501">
            <v>38614</v>
          </cell>
          <cell r="F501" t="str">
            <v>7307</v>
          </cell>
          <cell r="G501" t="str">
            <v>Hershey's, Inc.:Hershey's Chicago</v>
          </cell>
          <cell r="H501">
            <v>1</v>
          </cell>
        </row>
        <row r="502">
          <cell r="B502" t="str">
            <v>ESS - SCENT SERVICE</v>
          </cell>
          <cell r="C502" t="str">
            <v>Invoice</v>
          </cell>
          <cell r="D502">
            <v>38614</v>
          </cell>
          <cell r="F502" t="str">
            <v>7293</v>
          </cell>
          <cell r="G502" t="str">
            <v>Hotel Hershey</v>
          </cell>
          <cell r="H502">
            <v>1</v>
          </cell>
        </row>
        <row r="503">
          <cell r="B503" t="str">
            <v>ESS - SCENT SERVICE</v>
          </cell>
          <cell r="C503" t="str">
            <v>Invoice</v>
          </cell>
          <cell r="D503">
            <v>38614</v>
          </cell>
          <cell r="F503" t="str">
            <v>7983</v>
          </cell>
          <cell r="G503" t="str">
            <v>Muzak, LLC:Firehouse Bar &amp; Grill</v>
          </cell>
          <cell r="H503">
            <v>1</v>
          </cell>
        </row>
        <row r="504">
          <cell r="B504" t="str">
            <v>ESS - SCENT SERVICE</v>
          </cell>
          <cell r="C504" t="str">
            <v>Invoice</v>
          </cell>
          <cell r="D504">
            <v>38614</v>
          </cell>
          <cell r="F504" t="str">
            <v>7984</v>
          </cell>
          <cell r="G504" t="str">
            <v>Muzak, LLC:Clubs of Kingwood Golf Proshop</v>
          </cell>
          <cell r="H504">
            <v>1</v>
          </cell>
        </row>
        <row r="505">
          <cell r="B505" t="str">
            <v>ESS - SCENT SERVICE</v>
          </cell>
          <cell r="C505" t="str">
            <v>Invoice</v>
          </cell>
          <cell r="D505">
            <v>38614</v>
          </cell>
          <cell r="F505" t="str">
            <v>8000</v>
          </cell>
          <cell r="G505" t="str">
            <v>Muzak, LLC:Red 74</v>
          </cell>
          <cell r="H505">
            <v>1</v>
          </cell>
        </row>
        <row r="506">
          <cell r="B506" t="str">
            <v>ESS - SCENT SERVICE</v>
          </cell>
          <cell r="C506" t="str">
            <v>Invoice</v>
          </cell>
          <cell r="D506">
            <v>38614</v>
          </cell>
          <cell r="F506" t="str">
            <v>7977</v>
          </cell>
          <cell r="G506" t="str">
            <v>Muzak, LLC:Pollywogs Inc</v>
          </cell>
          <cell r="H506">
            <v>1</v>
          </cell>
        </row>
        <row r="507">
          <cell r="B507" t="str">
            <v>ESS - SCENT SERVICE</v>
          </cell>
          <cell r="C507" t="str">
            <v>Invoice</v>
          </cell>
          <cell r="D507">
            <v>38615</v>
          </cell>
          <cell r="F507" t="str">
            <v>7986</v>
          </cell>
          <cell r="G507" t="str">
            <v>Muzak, LLC:Budwey's Supermarket - Tonewanda</v>
          </cell>
          <cell r="H507">
            <v>1</v>
          </cell>
        </row>
        <row r="508">
          <cell r="B508" t="str">
            <v>ESS - SCENT SERVICE</v>
          </cell>
          <cell r="C508" t="str">
            <v>Invoice</v>
          </cell>
          <cell r="D508">
            <v>38615</v>
          </cell>
          <cell r="F508" t="str">
            <v>7985</v>
          </cell>
          <cell r="G508" t="str">
            <v>Muzak, IA:Avcom Texas Wired:Trois Estate</v>
          </cell>
          <cell r="H508">
            <v>1</v>
          </cell>
        </row>
        <row r="509">
          <cell r="B509" t="str">
            <v>ESS - SCENT SERVICE</v>
          </cell>
          <cell r="C509" t="str">
            <v>Invoice</v>
          </cell>
          <cell r="D509">
            <v>38615</v>
          </cell>
          <cell r="F509" t="str">
            <v>8010</v>
          </cell>
          <cell r="G509" t="str">
            <v>Muzak, LLC:Jekyll Island Club Hotel</v>
          </cell>
          <cell r="H509">
            <v>1</v>
          </cell>
        </row>
        <row r="510">
          <cell r="B510" t="str">
            <v>ESS - SCENT SERVICE</v>
          </cell>
          <cell r="C510" t="str">
            <v>Invoice</v>
          </cell>
          <cell r="D510">
            <v>38615</v>
          </cell>
          <cell r="F510" t="str">
            <v>8009</v>
          </cell>
          <cell r="G510" t="str">
            <v>Muzak, LLC:Benny's Steak &amp; Seafood</v>
          </cell>
          <cell r="H510">
            <v>1</v>
          </cell>
        </row>
        <row r="511">
          <cell r="B511" t="str">
            <v>ESS - SCENT SERVICE</v>
          </cell>
          <cell r="C511" t="str">
            <v>Invoice</v>
          </cell>
          <cell r="D511">
            <v>38615</v>
          </cell>
          <cell r="F511" t="str">
            <v>8005</v>
          </cell>
          <cell r="G511" t="str">
            <v>Muzak, LLC:Kindercare Learning Center</v>
          </cell>
          <cell r="H511">
            <v>1</v>
          </cell>
        </row>
        <row r="512">
          <cell r="B512" t="str">
            <v>ESS - SCENT SERVICE</v>
          </cell>
          <cell r="C512" t="str">
            <v>Invoice</v>
          </cell>
          <cell r="D512">
            <v>38615</v>
          </cell>
          <cell r="F512" t="str">
            <v>8014</v>
          </cell>
          <cell r="G512" t="str">
            <v>Muzak, LLC:Hunt Real Estate - 432 Dick Road</v>
          </cell>
          <cell r="H512">
            <v>1</v>
          </cell>
        </row>
        <row r="513">
          <cell r="B513" t="str">
            <v>ESS - SCENT SERVICE</v>
          </cell>
          <cell r="C513" t="str">
            <v>Invoice</v>
          </cell>
          <cell r="D513">
            <v>38615</v>
          </cell>
          <cell r="F513" t="str">
            <v>8015</v>
          </cell>
          <cell r="G513" t="str">
            <v>Muzak, LLC:Hunt Real Estate - 430 Dick Road</v>
          </cell>
          <cell r="H513">
            <v>1</v>
          </cell>
        </row>
        <row r="514">
          <cell r="B514" t="str">
            <v>ESS - SCENT SERVICE</v>
          </cell>
          <cell r="C514" t="str">
            <v>Invoice</v>
          </cell>
          <cell r="D514">
            <v>38615</v>
          </cell>
          <cell r="F514" t="str">
            <v>8011</v>
          </cell>
          <cell r="G514" t="str">
            <v>Muzak, LLC:Parker's-Altama</v>
          </cell>
          <cell r="H514">
            <v>1</v>
          </cell>
        </row>
        <row r="515">
          <cell r="B515" t="str">
            <v>ESS - SCENT SERVICE</v>
          </cell>
          <cell r="C515" t="str">
            <v>Invoice</v>
          </cell>
          <cell r="D515">
            <v>38616</v>
          </cell>
          <cell r="F515" t="str">
            <v>8026</v>
          </cell>
          <cell r="G515" t="str">
            <v>Muzak, LLC:McDonald's #6317/2675</v>
          </cell>
          <cell r="H515">
            <v>1</v>
          </cell>
        </row>
        <row r="516">
          <cell r="B516" t="str">
            <v>ESS - SCENT SERVICE</v>
          </cell>
          <cell r="C516" t="str">
            <v>Invoice</v>
          </cell>
          <cell r="D516">
            <v>38616</v>
          </cell>
          <cell r="F516" t="str">
            <v>8030</v>
          </cell>
          <cell r="G516" t="str">
            <v>Muzak, LLC:McDonald's #4679</v>
          </cell>
          <cell r="H516">
            <v>1</v>
          </cell>
        </row>
        <row r="517">
          <cell r="B517" t="str">
            <v>ESS - SCENT SERVICE</v>
          </cell>
          <cell r="C517" t="str">
            <v>Invoice</v>
          </cell>
          <cell r="D517">
            <v>38616</v>
          </cell>
          <cell r="F517" t="str">
            <v>8031</v>
          </cell>
          <cell r="G517" t="str">
            <v>Muzak, LLC:McDonald's #3371/16858</v>
          </cell>
          <cell r="H517">
            <v>1</v>
          </cell>
        </row>
        <row r="518">
          <cell r="B518" t="str">
            <v>ESS - SCENT SERVICE</v>
          </cell>
          <cell r="C518" t="str">
            <v>Invoice</v>
          </cell>
          <cell r="D518">
            <v>38616</v>
          </cell>
          <cell r="F518" t="str">
            <v>8032</v>
          </cell>
          <cell r="G518" t="str">
            <v>Muzak, LLC:McDonald's #6679/4392</v>
          </cell>
          <cell r="H518">
            <v>1</v>
          </cell>
        </row>
        <row r="519">
          <cell r="B519" t="str">
            <v>ESS - SCENT SERVICE</v>
          </cell>
          <cell r="C519" t="str">
            <v>Invoice</v>
          </cell>
          <cell r="D519">
            <v>38616</v>
          </cell>
          <cell r="F519" t="str">
            <v>8029</v>
          </cell>
          <cell r="G519" t="str">
            <v>Muzak, LLC:McDonald's #3875/28390</v>
          </cell>
          <cell r="H519">
            <v>1</v>
          </cell>
        </row>
        <row r="520">
          <cell r="B520" t="str">
            <v>ESS - SCENT SERVICE</v>
          </cell>
          <cell r="C520" t="str">
            <v>Invoice</v>
          </cell>
          <cell r="D520">
            <v>38616</v>
          </cell>
          <cell r="F520" t="str">
            <v>8027</v>
          </cell>
          <cell r="G520" t="str">
            <v>Muzak, LLC:McDonald's #6762/4764</v>
          </cell>
          <cell r="H520">
            <v>1</v>
          </cell>
        </row>
        <row r="521">
          <cell r="B521" t="str">
            <v>ESS - SCENT SERVICE</v>
          </cell>
          <cell r="C521" t="str">
            <v>Invoice</v>
          </cell>
          <cell r="D521">
            <v>38616</v>
          </cell>
          <cell r="F521" t="str">
            <v>8025</v>
          </cell>
          <cell r="G521" t="str">
            <v>Muzak, LLC:McDonald's #6615/25238</v>
          </cell>
          <cell r="H521">
            <v>1</v>
          </cell>
        </row>
        <row r="522">
          <cell r="B522" t="str">
            <v>ESS - SCENT SERVICE</v>
          </cell>
          <cell r="C522" t="str">
            <v>Invoice</v>
          </cell>
          <cell r="D522">
            <v>38616</v>
          </cell>
          <cell r="F522" t="str">
            <v>8024</v>
          </cell>
          <cell r="G522" t="str">
            <v>Muzak, LLC:McDonald's #6949/3955</v>
          </cell>
          <cell r="H522">
            <v>1</v>
          </cell>
        </row>
        <row r="523">
          <cell r="B523" t="str">
            <v>ESS - SCENT SERVICE</v>
          </cell>
          <cell r="C523" t="str">
            <v>Invoice</v>
          </cell>
          <cell r="D523">
            <v>38616</v>
          </cell>
          <cell r="F523" t="str">
            <v>8023</v>
          </cell>
          <cell r="G523" t="str">
            <v>Muzak, LLC:McDonald's #7276/6015</v>
          </cell>
          <cell r="H523">
            <v>1</v>
          </cell>
        </row>
        <row r="524">
          <cell r="B524" t="str">
            <v>ESS - SCENT SERVICE</v>
          </cell>
          <cell r="C524" t="str">
            <v>Invoice</v>
          </cell>
          <cell r="D524">
            <v>38616</v>
          </cell>
          <cell r="F524" t="str">
            <v>8021</v>
          </cell>
          <cell r="G524" t="str">
            <v>Muzak, LLC:McDonald's #2018/11465</v>
          </cell>
          <cell r="H524">
            <v>1</v>
          </cell>
        </row>
        <row r="525">
          <cell r="B525" t="str">
            <v>ESS - SCENT SERVICE</v>
          </cell>
          <cell r="C525" t="str">
            <v>Invoice</v>
          </cell>
          <cell r="D525">
            <v>38616</v>
          </cell>
          <cell r="F525" t="str">
            <v>8028</v>
          </cell>
          <cell r="G525" t="str">
            <v>Muzak, LLC:McDonald's #6149/11572</v>
          </cell>
          <cell r="H525">
            <v>1</v>
          </cell>
        </row>
        <row r="526">
          <cell r="B526" t="str">
            <v>ESS - SCENT SERVICE</v>
          </cell>
          <cell r="C526" t="str">
            <v>Invoice</v>
          </cell>
          <cell r="D526">
            <v>38616</v>
          </cell>
          <cell r="F526" t="str">
            <v>8047</v>
          </cell>
          <cell r="G526" t="str">
            <v>Muzak, LLC:Peterbrooke Chocolatier 043749</v>
          </cell>
          <cell r="H526">
            <v>1</v>
          </cell>
        </row>
        <row r="527">
          <cell r="B527" t="str">
            <v>ESS - SCENT SERVICE</v>
          </cell>
          <cell r="C527" t="str">
            <v>Invoice</v>
          </cell>
          <cell r="D527">
            <v>38616</v>
          </cell>
          <cell r="F527" t="str">
            <v>8045</v>
          </cell>
          <cell r="G527" t="str">
            <v>Muzak, LLC:Peterbrooke Chocolatier 043747</v>
          </cell>
          <cell r="H527">
            <v>1</v>
          </cell>
        </row>
        <row r="528">
          <cell r="B528" t="str">
            <v>ESS - SCENT SERVICE</v>
          </cell>
          <cell r="C528" t="str">
            <v>Invoice</v>
          </cell>
          <cell r="D528">
            <v>38616</v>
          </cell>
          <cell r="F528" t="str">
            <v>8044</v>
          </cell>
          <cell r="G528" t="str">
            <v>Muzak, LLC:Peterbrooke Chocolatier 043746</v>
          </cell>
          <cell r="H528">
            <v>1</v>
          </cell>
        </row>
        <row r="529">
          <cell r="B529" t="str">
            <v>ESS - SCENT SERVICE</v>
          </cell>
          <cell r="C529" t="str">
            <v>Invoice</v>
          </cell>
          <cell r="D529">
            <v>38616</v>
          </cell>
          <cell r="F529" t="str">
            <v>8043</v>
          </cell>
          <cell r="G529" t="str">
            <v>Muzak, LLC:Peterbrooke Chocolatier 043745</v>
          </cell>
          <cell r="H529">
            <v>1</v>
          </cell>
        </row>
        <row r="530">
          <cell r="B530" t="str">
            <v>ESS - SCENT SERVICE</v>
          </cell>
          <cell r="C530" t="str">
            <v>Invoice</v>
          </cell>
          <cell r="D530">
            <v>38616</v>
          </cell>
          <cell r="F530" t="str">
            <v>8042</v>
          </cell>
          <cell r="G530" t="str">
            <v>Muzak, LLC:Peterbrooke Chocolatier 043744</v>
          </cell>
          <cell r="H530">
            <v>1</v>
          </cell>
        </row>
        <row r="531">
          <cell r="B531" t="str">
            <v>ESS - SCENT SERVICE</v>
          </cell>
          <cell r="C531" t="str">
            <v>Invoice</v>
          </cell>
          <cell r="D531">
            <v>38616</v>
          </cell>
          <cell r="F531" t="str">
            <v>8040</v>
          </cell>
          <cell r="G531" t="str">
            <v>Muzak, LLC:Peterbrooke Chocolatier 043742</v>
          </cell>
          <cell r="H531">
            <v>1</v>
          </cell>
        </row>
        <row r="532">
          <cell r="B532" t="str">
            <v>ESS - SCENT SERVICE</v>
          </cell>
          <cell r="C532" t="str">
            <v>Invoice</v>
          </cell>
          <cell r="D532">
            <v>38616</v>
          </cell>
          <cell r="F532" t="str">
            <v>8041</v>
          </cell>
          <cell r="G532" t="str">
            <v>Muzak, LLC:Peterbrooke Chocolatier 043743</v>
          </cell>
          <cell r="H532">
            <v>1</v>
          </cell>
        </row>
        <row r="533">
          <cell r="B533" t="str">
            <v>ESS - SCENT SERVICE</v>
          </cell>
          <cell r="C533" t="str">
            <v>Invoice</v>
          </cell>
          <cell r="D533">
            <v>38616</v>
          </cell>
          <cell r="F533" t="str">
            <v>8048</v>
          </cell>
          <cell r="G533" t="str">
            <v>Muzak, LLC:Peterbrooke Chocolatier 043750</v>
          </cell>
          <cell r="H533">
            <v>1</v>
          </cell>
        </row>
        <row r="534">
          <cell r="B534" t="str">
            <v>ESS - SCENT SERVICE</v>
          </cell>
          <cell r="C534" t="str">
            <v>Invoice</v>
          </cell>
          <cell r="D534">
            <v>38616</v>
          </cell>
          <cell r="F534" t="str">
            <v>8046</v>
          </cell>
          <cell r="G534" t="str">
            <v>Muzak, LLC:Peterbrooke Chocolatier 043748</v>
          </cell>
          <cell r="H534">
            <v>1</v>
          </cell>
        </row>
        <row r="535">
          <cell r="B535" t="str">
            <v>ESS - SCENT SERVICE</v>
          </cell>
          <cell r="C535" t="str">
            <v>Invoice</v>
          </cell>
          <cell r="D535">
            <v>38616</v>
          </cell>
          <cell r="F535" t="str">
            <v>8056</v>
          </cell>
          <cell r="G535" t="str">
            <v>Muzak, LLC:Goodwill - Eastern Ave</v>
          </cell>
          <cell r="H535">
            <v>1</v>
          </cell>
        </row>
        <row r="536">
          <cell r="B536" t="str">
            <v>ESS - SCENT SERVICE</v>
          </cell>
          <cell r="C536" t="str">
            <v>Invoice</v>
          </cell>
          <cell r="D536">
            <v>38616</v>
          </cell>
          <cell r="F536" t="str">
            <v>8050</v>
          </cell>
          <cell r="G536" t="str">
            <v>Muzak, LLC:Arco AMPM</v>
          </cell>
          <cell r="H536">
            <v>1</v>
          </cell>
        </row>
        <row r="537">
          <cell r="B537" t="str">
            <v>ESS - SCENT SERVICE</v>
          </cell>
          <cell r="C537" t="str">
            <v>Invoice</v>
          </cell>
          <cell r="D537">
            <v>38616</v>
          </cell>
          <cell r="F537" t="str">
            <v>8049</v>
          </cell>
          <cell r="G537" t="str">
            <v>Muzak, LLC:McDonald's - El Monte</v>
          </cell>
          <cell r="H537">
            <v>1</v>
          </cell>
        </row>
        <row r="538">
          <cell r="B538" t="str">
            <v>ESS - SCENT SERVICE</v>
          </cell>
          <cell r="C538" t="str">
            <v>Invoice</v>
          </cell>
          <cell r="D538">
            <v>38616</v>
          </cell>
          <cell r="F538" t="str">
            <v>7337</v>
          </cell>
          <cell r="G538" t="str">
            <v>Muzak, LLC:Savvy Salon and Day Spa</v>
          </cell>
          <cell r="H538">
            <v>1</v>
          </cell>
        </row>
        <row r="539">
          <cell r="B539" t="str">
            <v>ESS - SCENT SERVICE</v>
          </cell>
          <cell r="C539" t="str">
            <v>Invoice</v>
          </cell>
          <cell r="D539">
            <v>38616</v>
          </cell>
          <cell r="F539" t="str">
            <v>8016</v>
          </cell>
          <cell r="G539" t="str">
            <v>Muzak, LLC:Royal Sonesta Hotel</v>
          </cell>
          <cell r="H539">
            <v>1</v>
          </cell>
        </row>
        <row r="540">
          <cell r="B540" t="str">
            <v>ESS - SCENT SERVICE</v>
          </cell>
          <cell r="C540" t="str">
            <v>Invoice</v>
          </cell>
          <cell r="D540">
            <v>38617</v>
          </cell>
          <cell r="F540" t="str">
            <v>8066</v>
          </cell>
          <cell r="G540" t="str">
            <v>Muzak, LLC:Just Fresh Bakery Cafe &amp; Mkt. - Raleigh</v>
          </cell>
          <cell r="H540">
            <v>1</v>
          </cell>
        </row>
        <row r="541">
          <cell r="B541" t="str">
            <v>ESS - SCENT SERVICE</v>
          </cell>
          <cell r="C541" t="str">
            <v>Invoice</v>
          </cell>
          <cell r="D541">
            <v>38617</v>
          </cell>
          <cell r="F541" t="str">
            <v>7350</v>
          </cell>
          <cell r="G541" t="str">
            <v>Muzak, LLC:Greenville Hilton</v>
          </cell>
          <cell r="H541">
            <v>1</v>
          </cell>
        </row>
        <row r="542">
          <cell r="B542" t="str">
            <v>ESS - SCENT SERVICE</v>
          </cell>
          <cell r="C542" t="str">
            <v>Invoice</v>
          </cell>
          <cell r="D542">
            <v>38617</v>
          </cell>
          <cell r="F542" t="str">
            <v>7315</v>
          </cell>
          <cell r="G542" t="str">
            <v>Muzak, LLC:Petland</v>
          </cell>
          <cell r="H542">
            <v>1</v>
          </cell>
        </row>
        <row r="543">
          <cell r="B543" t="str">
            <v>ESS - SCENT SERVICE</v>
          </cell>
          <cell r="C543" t="str">
            <v>Invoice</v>
          </cell>
          <cell r="D543">
            <v>38617</v>
          </cell>
          <cell r="F543" t="str">
            <v>8033-I</v>
          </cell>
          <cell r="G543" t="str">
            <v>Ethel M Chocolates, Inc.:Ethel's Chocolate Lounge-Armitage</v>
          </cell>
          <cell r="H543">
            <v>1</v>
          </cell>
        </row>
        <row r="544">
          <cell r="B544" t="str">
            <v>ESS - SCENT SERVICE</v>
          </cell>
          <cell r="C544" t="str">
            <v>Invoice</v>
          </cell>
          <cell r="D544">
            <v>38617</v>
          </cell>
          <cell r="F544" t="str">
            <v>8078</v>
          </cell>
          <cell r="G544" t="str">
            <v>Muzak, IA:Soundcom LLC of Florida - Palm Beach:Mattress Zone - Stuart</v>
          </cell>
          <cell r="H544">
            <v>1</v>
          </cell>
        </row>
        <row r="545">
          <cell r="B545" t="str">
            <v>ESS - SCENT SERVICE</v>
          </cell>
          <cell r="C545" t="str">
            <v>Invoice</v>
          </cell>
          <cell r="D545">
            <v>38617</v>
          </cell>
          <cell r="F545" t="str">
            <v>8034</v>
          </cell>
          <cell r="G545" t="str">
            <v>Ethel M Chocolates, Inc.:Ethel M- Cactus Garden</v>
          </cell>
          <cell r="H545">
            <v>1</v>
          </cell>
        </row>
        <row r="546">
          <cell r="B546" t="str">
            <v>ESS - SCENT SERVICE</v>
          </cell>
          <cell r="C546" t="str">
            <v>Invoice</v>
          </cell>
          <cell r="D546">
            <v>38617</v>
          </cell>
          <cell r="F546" t="str">
            <v>7365</v>
          </cell>
          <cell r="G546" t="str">
            <v>Hustler Hollywood - Lexington, KY</v>
          </cell>
          <cell r="H546">
            <v>1</v>
          </cell>
        </row>
        <row r="547">
          <cell r="B547" t="str">
            <v>ESS - SCENT SERVICE</v>
          </cell>
          <cell r="C547" t="str">
            <v>Invoice</v>
          </cell>
          <cell r="D547">
            <v>38618</v>
          </cell>
          <cell r="F547" t="str">
            <v>8061</v>
          </cell>
          <cell r="G547" t="str">
            <v>Muzak, LLC:Hilton Saint Augustine</v>
          </cell>
          <cell r="H547">
            <v>1</v>
          </cell>
        </row>
        <row r="548">
          <cell r="B548" t="str">
            <v>ESS - SCENT SERVICE</v>
          </cell>
          <cell r="C548" t="str">
            <v>Invoice</v>
          </cell>
          <cell r="D548">
            <v>38618</v>
          </cell>
          <cell r="F548" t="str">
            <v>8059</v>
          </cell>
          <cell r="G548" t="str">
            <v>Muzak, LLC:Cabana Club</v>
          </cell>
          <cell r="H548">
            <v>1</v>
          </cell>
        </row>
        <row r="549">
          <cell r="B549" t="str">
            <v>ESS - SCENT SERVICE</v>
          </cell>
          <cell r="C549" t="str">
            <v>Invoice</v>
          </cell>
          <cell r="D549">
            <v>38618</v>
          </cell>
          <cell r="F549" t="str">
            <v>8062</v>
          </cell>
          <cell r="G549" t="str">
            <v>Muzak, LLC:Merchant Resource Group</v>
          </cell>
          <cell r="H549">
            <v>1</v>
          </cell>
        </row>
        <row r="550">
          <cell r="B550" t="str">
            <v>ESS - SCENT SERVICE</v>
          </cell>
          <cell r="C550" t="str">
            <v>Invoice</v>
          </cell>
          <cell r="D550">
            <v>38618</v>
          </cell>
          <cell r="F550" t="str">
            <v>8060</v>
          </cell>
          <cell r="G550" t="str">
            <v>Muzak, LLC:Casa Monica Hotel</v>
          </cell>
          <cell r="H550">
            <v>1</v>
          </cell>
        </row>
        <row r="551">
          <cell r="B551" t="str">
            <v>ESS - SCENT SERVICE</v>
          </cell>
          <cell r="C551" t="str">
            <v>Invoice</v>
          </cell>
          <cell r="D551">
            <v>38618</v>
          </cell>
          <cell r="F551" t="str">
            <v>7449</v>
          </cell>
          <cell r="G551" t="str">
            <v>Muzak, LLC:Exceptional Urgent Care</v>
          </cell>
          <cell r="H551">
            <v>1</v>
          </cell>
        </row>
        <row r="552">
          <cell r="B552" t="str">
            <v>ESS - SCENT SERVICE</v>
          </cell>
          <cell r="C552" t="str">
            <v>Invoice</v>
          </cell>
          <cell r="D552">
            <v>38618</v>
          </cell>
          <cell r="F552" t="str">
            <v>7204</v>
          </cell>
          <cell r="G552" t="str">
            <v>Pacific Pets Inc.</v>
          </cell>
          <cell r="H552">
            <v>1</v>
          </cell>
        </row>
        <row r="553">
          <cell r="B553" t="str">
            <v>ESS - SCENT SERVICE</v>
          </cell>
          <cell r="C553" t="str">
            <v>Invoice</v>
          </cell>
          <cell r="D553">
            <v>38618</v>
          </cell>
          <cell r="F553" t="str">
            <v>7469</v>
          </cell>
          <cell r="G553" t="str">
            <v>Southern Kitchen and Bath</v>
          </cell>
          <cell r="H553">
            <v>1</v>
          </cell>
        </row>
        <row r="554">
          <cell r="B554" t="str">
            <v>ESS - SCENT SERVICE</v>
          </cell>
          <cell r="C554" t="str">
            <v>Invoice</v>
          </cell>
          <cell r="D554">
            <v>38621</v>
          </cell>
          <cell r="F554" t="str">
            <v>7486</v>
          </cell>
          <cell r="G554" t="str">
            <v>Western Sizzlin Corporate:Great American Steak Buffet</v>
          </cell>
          <cell r="H554">
            <v>1</v>
          </cell>
        </row>
        <row r="555">
          <cell r="B555" t="str">
            <v>ESS - SCENT SERVICE</v>
          </cell>
          <cell r="C555" t="str">
            <v>Invoice</v>
          </cell>
          <cell r="D555">
            <v>38622</v>
          </cell>
          <cell r="F555" t="str">
            <v>8132</v>
          </cell>
          <cell r="G555" t="str">
            <v>Global Services Network</v>
          </cell>
          <cell r="H555">
            <v>1</v>
          </cell>
        </row>
        <row r="556">
          <cell r="B556" t="str">
            <v>ESS - SCENT SERVICE</v>
          </cell>
          <cell r="C556" t="str">
            <v>Invoice</v>
          </cell>
          <cell r="D556">
            <v>38622</v>
          </cell>
          <cell r="F556" t="str">
            <v>8100</v>
          </cell>
          <cell r="G556" t="str">
            <v>Muzak, LLC:M Salon</v>
          </cell>
          <cell r="H556">
            <v>1</v>
          </cell>
        </row>
        <row r="557">
          <cell r="B557" t="str">
            <v>ESS - SCENT SERVICE</v>
          </cell>
          <cell r="C557" t="str">
            <v>Invoice</v>
          </cell>
          <cell r="D557">
            <v>38622</v>
          </cell>
          <cell r="F557" t="str">
            <v>8101</v>
          </cell>
          <cell r="G557" t="str">
            <v>Muzak, LLC:Trage Brothers</v>
          </cell>
          <cell r="H557">
            <v>1</v>
          </cell>
        </row>
        <row r="558">
          <cell r="B558" t="str">
            <v>ESS - SCENT SERVICE</v>
          </cell>
          <cell r="C558" t="str">
            <v>Invoice</v>
          </cell>
          <cell r="D558">
            <v>38622</v>
          </cell>
          <cell r="F558" t="str">
            <v>8099</v>
          </cell>
          <cell r="G558" t="str">
            <v>Muzak, LLC:Coggins</v>
          </cell>
          <cell r="H558">
            <v>1</v>
          </cell>
        </row>
        <row r="559">
          <cell r="B559" t="str">
            <v>ESS - SCENT SERVICE</v>
          </cell>
          <cell r="C559" t="str">
            <v>Invoice</v>
          </cell>
          <cell r="D559">
            <v>38622</v>
          </cell>
          <cell r="F559" t="str">
            <v>8102</v>
          </cell>
          <cell r="G559" t="str">
            <v>Muzak, LLC:McDonald's 4584/ 2682</v>
          </cell>
          <cell r="H559">
            <v>1</v>
          </cell>
        </row>
        <row r="560">
          <cell r="B560" t="str">
            <v>ESS - SCENT SERVICE</v>
          </cell>
          <cell r="C560" t="str">
            <v>Invoice</v>
          </cell>
          <cell r="D560">
            <v>38622</v>
          </cell>
          <cell r="F560" t="str">
            <v>8112</v>
          </cell>
          <cell r="G560" t="str">
            <v>Muzak, LLC:Koja Sushi Inc</v>
          </cell>
          <cell r="H560">
            <v>1</v>
          </cell>
        </row>
        <row r="561">
          <cell r="B561" t="str">
            <v>ESS - SCENT SERVICE</v>
          </cell>
          <cell r="C561" t="str">
            <v>Invoice</v>
          </cell>
          <cell r="D561">
            <v>38623</v>
          </cell>
          <cell r="F561" t="str">
            <v>8147</v>
          </cell>
          <cell r="G561" t="str">
            <v>Muzak, LLC:Inside Out - Chesterfield</v>
          </cell>
          <cell r="H561">
            <v>1</v>
          </cell>
        </row>
        <row r="562">
          <cell r="B562" t="str">
            <v>ESS - SCENT SERVICE</v>
          </cell>
          <cell r="C562" t="str">
            <v>Invoice</v>
          </cell>
          <cell r="D562">
            <v>38623</v>
          </cell>
          <cell r="F562" t="str">
            <v>8109</v>
          </cell>
          <cell r="G562" t="str">
            <v>Exxon DDB Worldwide:ExxonMobil #60121</v>
          </cell>
          <cell r="H562">
            <v>1</v>
          </cell>
        </row>
        <row r="563">
          <cell r="B563" t="str">
            <v>ESS - SCENT SERVICE</v>
          </cell>
          <cell r="C563" t="str">
            <v>Invoice</v>
          </cell>
          <cell r="D563">
            <v>38623</v>
          </cell>
          <cell r="F563" t="str">
            <v>8105</v>
          </cell>
          <cell r="G563" t="str">
            <v>Exxon DDB Worldwide:ExxonMobil #27925</v>
          </cell>
          <cell r="H563">
            <v>1</v>
          </cell>
        </row>
        <row r="564">
          <cell r="B564" t="str">
            <v>ESS - SCENT SERVICE</v>
          </cell>
          <cell r="C564" t="str">
            <v>Invoice</v>
          </cell>
          <cell r="D564">
            <v>38623</v>
          </cell>
          <cell r="F564" t="str">
            <v>8107</v>
          </cell>
          <cell r="G564" t="str">
            <v>Exxon DDB Worldwide:ExxonMobil #40600</v>
          </cell>
          <cell r="H564">
            <v>1</v>
          </cell>
        </row>
        <row r="565">
          <cell r="B565" t="str">
            <v>ESS - SCENT SERVICE</v>
          </cell>
          <cell r="C565" t="str">
            <v>Invoice</v>
          </cell>
          <cell r="D565">
            <v>38623</v>
          </cell>
          <cell r="F565" t="str">
            <v>8106</v>
          </cell>
          <cell r="G565" t="str">
            <v>Exxon DDB Worldwide:ExxonMobil #40595</v>
          </cell>
          <cell r="H565">
            <v>1</v>
          </cell>
        </row>
        <row r="566">
          <cell r="B566" t="str">
            <v>ESS - SCENT SERVICE</v>
          </cell>
          <cell r="C566" t="str">
            <v>Invoice</v>
          </cell>
          <cell r="D566">
            <v>38623</v>
          </cell>
          <cell r="F566" t="str">
            <v>8108</v>
          </cell>
          <cell r="G566" t="str">
            <v>Exxon DDB Worldwide:ExxonMobil #47373</v>
          </cell>
          <cell r="H566">
            <v>1</v>
          </cell>
        </row>
        <row r="567">
          <cell r="B567" t="str">
            <v>ESS - SCENT SERVICE</v>
          </cell>
          <cell r="C567" t="str">
            <v>Invoice</v>
          </cell>
          <cell r="D567">
            <v>38623</v>
          </cell>
          <cell r="F567" t="str">
            <v>8118</v>
          </cell>
          <cell r="G567" t="str">
            <v>Muzak, LLC:McDonald's - Lakewood</v>
          </cell>
          <cell r="H567">
            <v>1</v>
          </cell>
        </row>
        <row r="568">
          <cell r="B568" t="str">
            <v>ESS - SCENT SERVICE</v>
          </cell>
          <cell r="C568" t="str">
            <v>Invoice</v>
          </cell>
          <cell r="D568">
            <v>38623</v>
          </cell>
          <cell r="F568" t="str">
            <v>8111</v>
          </cell>
          <cell r="G568" t="str">
            <v>Exxon DDB Worldwide:ExxonMobil #80158</v>
          </cell>
          <cell r="H568">
            <v>1</v>
          </cell>
        </row>
        <row r="569">
          <cell r="B569" t="str">
            <v>ESS - SCENT SERVICE</v>
          </cell>
          <cell r="C569" t="str">
            <v>Invoice</v>
          </cell>
          <cell r="D569">
            <v>38623</v>
          </cell>
          <cell r="F569" t="str">
            <v>8110</v>
          </cell>
          <cell r="G569" t="str">
            <v>Exxon DDB Worldwide:ExxonMobil #62065</v>
          </cell>
          <cell r="H569">
            <v>1</v>
          </cell>
        </row>
        <row r="570">
          <cell r="B570" t="str">
            <v>ESS - SCENT SERVICE</v>
          </cell>
          <cell r="C570" t="str">
            <v>Invoice</v>
          </cell>
          <cell r="D570">
            <v>38623</v>
          </cell>
          <cell r="F570" t="str">
            <v>8103</v>
          </cell>
          <cell r="G570" t="str">
            <v>Exxon DDB Worldwide:ExxonMobil #20432</v>
          </cell>
          <cell r="H570">
            <v>1</v>
          </cell>
        </row>
        <row r="571">
          <cell r="B571" t="str">
            <v>ESS - SCENT SERVICE</v>
          </cell>
          <cell r="C571" t="str">
            <v>Invoice</v>
          </cell>
          <cell r="D571">
            <v>38623</v>
          </cell>
          <cell r="F571" t="str">
            <v>8104</v>
          </cell>
          <cell r="G571" t="str">
            <v>Exxon DDB Worldwide:ExxonMobil #25329</v>
          </cell>
          <cell r="H571">
            <v>1</v>
          </cell>
        </row>
        <row r="572">
          <cell r="B572" t="str">
            <v>ESS - SCENT SERVICE</v>
          </cell>
          <cell r="C572" t="str">
            <v>Invoice</v>
          </cell>
          <cell r="D572">
            <v>38623</v>
          </cell>
          <cell r="F572" t="str">
            <v>8158</v>
          </cell>
          <cell r="G572" t="str">
            <v>Muzak, LLC:Michele Pastry Cafe</v>
          </cell>
          <cell r="H572">
            <v>1</v>
          </cell>
        </row>
        <row r="573">
          <cell r="B573" t="str">
            <v>ESS - SCENT SERVICE</v>
          </cell>
          <cell r="C573" t="str">
            <v>Invoice</v>
          </cell>
          <cell r="D573">
            <v>38624</v>
          </cell>
          <cell r="F573" t="str">
            <v>8142</v>
          </cell>
          <cell r="G573" t="str">
            <v>Muzak, IA:Towner Communications:Inside Outlet - Columbia</v>
          </cell>
          <cell r="H573">
            <v>1</v>
          </cell>
        </row>
        <row r="574">
          <cell r="B574" t="str">
            <v>ESS - SCENT SERVICE</v>
          </cell>
          <cell r="C574" t="str">
            <v>Invoice</v>
          </cell>
          <cell r="D574">
            <v>38624</v>
          </cell>
          <cell r="F574" t="str">
            <v>8157</v>
          </cell>
          <cell r="G574" t="str">
            <v>Muzak, LLC:McDonald's OKE201</v>
          </cell>
          <cell r="H574">
            <v>1</v>
          </cell>
        </row>
        <row r="575">
          <cell r="B575" t="str">
            <v>ESS - SCENT SERVICE</v>
          </cell>
          <cell r="C575" t="str">
            <v>Invoice</v>
          </cell>
          <cell r="D575">
            <v>38624</v>
          </cell>
          <cell r="F575" t="str">
            <v>7650</v>
          </cell>
          <cell r="G575" t="str">
            <v>Muzak, LLC:Freshens - Cambridge</v>
          </cell>
          <cell r="H575">
            <v>1</v>
          </cell>
        </row>
        <row r="576">
          <cell r="B576" t="str">
            <v>ESS - SCENT SERVICE</v>
          </cell>
          <cell r="C576" t="str">
            <v>Invoice</v>
          </cell>
          <cell r="D576">
            <v>38624</v>
          </cell>
          <cell r="F576" t="str">
            <v>6358</v>
          </cell>
          <cell r="G576" t="str">
            <v>Wayside Cleaners</v>
          </cell>
          <cell r="H576">
            <v>1</v>
          </cell>
        </row>
        <row r="577">
          <cell r="B577" t="str">
            <v>ESS - SCENT SERVICE</v>
          </cell>
          <cell r="C577" t="str">
            <v>Invoice</v>
          </cell>
          <cell r="D577">
            <v>38624</v>
          </cell>
          <cell r="F577" t="str">
            <v>7653</v>
          </cell>
          <cell r="G577" t="str">
            <v>Muzak, LLC:Freshens - Hyannis</v>
          </cell>
          <cell r="H577">
            <v>1</v>
          </cell>
        </row>
        <row r="578">
          <cell r="B578" t="str">
            <v>ESS - SCENT SERVICE</v>
          </cell>
          <cell r="C578" t="str">
            <v>Invoice</v>
          </cell>
          <cell r="D578">
            <v>38624</v>
          </cell>
          <cell r="F578" t="str">
            <v>7741</v>
          </cell>
          <cell r="G578" t="str">
            <v>Muzak, LLC:Chevron</v>
          </cell>
          <cell r="H578">
            <v>1</v>
          </cell>
        </row>
        <row r="579">
          <cell r="B579" t="str">
            <v>ESS - SCENT SERVICE</v>
          </cell>
          <cell r="C579" t="str">
            <v>Invoice</v>
          </cell>
          <cell r="D579">
            <v>38626</v>
          </cell>
          <cell r="F579" t="str">
            <v>7558</v>
          </cell>
          <cell r="G579" t="str">
            <v>Muzak, LLC:Atlanta Bread Company</v>
          </cell>
          <cell r="H579">
            <v>1</v>
          </cell>
        </row>
        <row r="580">
          <cell r="B580" t="str">
            <v>ESS - SCENT SERVICE</v>
          </cell>
          <cell r="C580" t="str">
            <v>Invoice</v>
          </cell>
          <cell r="D580">
            <v>38626</v>
          </cell>
          <cell r="F580" t="str">
            <v>7499</v>
          </cell>
          <cell r="G580" t="str">
            <v>Muzak, LLC:Gate City Chop House</v>
          </cell>
          <cell r="H580">
            <v>1</v>
          </cell>
        </row>
        <row r="581">
          <cell r="B581" t="str">
            <v>ESS - SCENT SERVICE</v>
          </cell>
          <cell r="C581" t="str">
            <v>Invoice</v>
          </cell>
          <cell r="D581">
            <v>38626</v>
          </cell>
          <cell r="F581" t="str">
            <v>8164</v>
          </cell>
          <cell r="G581" t="str">
            <v>Muzak, LLC:Handy Dandy #39</v>
          </cell>
          <cell r="H581">
            <v>1</v>
          </cell>
        </row>
        <row r="582">
          <cell r="B582" t="str">
            <v>ESS - SCENT SERVICE</v>
          </cell>
          <cell r="C582" t="str">
            <v>Invoice</v>
          </cell>
          <cell r="D582">
            <v>38626</v>
          </cell>
          <cell r="F582" t="str">
            <v>7760-I</v>
          </cell>
          <cell r="G582" t="str">
            <v>Brown's Country Store</v>
          </cell>
          <cell r="H582">
            <v>1</v>
          </cell>
        </row>
        <row r="583">
          <cell r="B583" t="str">
            <v>ESS - SCENT SERVICE</v>
          </cell>
          <cell r="C583" t="str">
            <v>Invoice</v>
          </cell>
          <cell r="D583">
            <v>38626</v>
          </cell>
          <cell r="F583" t="str">
            <v>8179</v>
          </cell>
          <cell r="G583" t="str">
            <v>Muzak, LLC:TT New York</v>
          </cell>
          <cell r="H583">
            <v>1</v>
          </cell>
        </row>
        <row r="584">
          <cell r="B584" t="str">
            <v>ESS - SCENT SERVICE</v>
          </cell>
          <cell r="C584" t="str">
            <v>Invoice</v>
          </cell>
          <cell r="D584">
            <v>38628</v>
          </cell>
          <cell r="F584" t="str">
            <v>8178</v>
          </cell>
          <cell r="G584" t="str">
            <v>Muzak, LLC:Sell's Mobil</v>
          </cell>
          <cell r="H584">
            <v>1</v>
          </cell>
        </row>
        <row r="585">
          <cell r="B585" t="str">
            <v>ESS - SCENT SERVICE</v>
          </cell>
          <cell r="C585" t="str">
            <v>Invoice</v>
          </cell>
          <cell r="D585">
            <v>38628</v>
          </cell>
          <cell r="F585" t="str">
            <v>7504</v>
          </cell>
          <cell r="G585" t="str">
            <v>Muzak, LLC:C. Mini Mart - 147</v>
          </cell>
          <cell r="H585">
            <v>1</v>
          </cell>
        </row>
        <row r="586">
          <cell r="B586" t="str">
            <v>ESS - SCENT SERVICE</v>
          </cell>
          <cell r="C586" t="str">
            <v>Invoice</v>
          </cell>
          <cell r="D586">
            <v>38628</v>
          </cell>
          <cell r="F586" t="str">
            <v>7954</v>
          </cell>
          <cell r="G586" t="str">
            <v>Muzak, LLC:Mattress Zone 042804</v>
          </cell>
          <cell r="H586">
            <v>1</v>
          </cell>
        </row>
        <row r="587">
          <cell r="B587" t="str">
            <v>ESS - SCENT SERVICE</v>
          </cell>
          <cell r="C587" t="str">
            <v>Invoice</v>
          </cell>
          <cell r="D587">
            <v>38628</v>
          </cell>
          <cell r="F587" t="str">
            <v>7704</v>
          </cell>
          <cell r="G587" t="str">
            <v>Muzak, LLC:Just Fresh Bakery Cafe &amp; Mkt. - Durham</v>
          </cell>
          <cell r="H587">
            <v>1</v>
          </cell>
        </row>
        <row r="588">
          <cell r="B588" t="str">
            <v>ESS - SCENT SERVICE</v>
          </cell>
          <cell r="C588" t="str">
            <v>Invoice</v>
          </cell>
          <cell r="D588">
            <v>38628</v>
          </cell>
          <cell r="F588" t="str">
            <v>8190</v>
          </cell>
          <cell r="G588" t="str">
            <v>Muzak, LLC:Jim Mullen</v>
          </cell>
          <cell r="H588">
            <v>1</v>
          </cell>
        </row>
        <row r="589">
          <cell r="B589" t="str">
            <v>ESS - SCENT SERVICE</v>
          </cell>
          <cell r="C589" t="str">
            <v>Invoice</v>
          </cell>
          <cell r="D589">
            <v>38629</v>
          </cell>
          <cell r="F589" t="str">
            <v>8311</v>
          </cell>
          <cell r="G589" t="str">
            <v>Muzak, LLC:McDonald's - Valencia</v>
          </cell>
          <cell r="H589">
            <v>1</v>
          </cell>
        </row>
        <row r="590">
          <cell r="B590" t="str">
            <v>ESS - SCENT SERVICE</v>
          </cell>
          <cell r="C590" t="str">
            <v>Invoice</v>
          </cell>
          <cell r="D590">
            <v>38629</v>
          </cell>
          <cell r="F590" t="str">
            <v>8312</v>
          </cell>
          <cell r="G590" t="str">
            <v>Muzak, LLC:McDonald's - Canyon Country</v>
          </cell>
          <cell r="H590">
            <v>1</v>
          </cell>
        </row>
        <row r="591">
          <cell r="B591" t="str">
            <v>ESS - SCENT SERVICE</v>
          </cell>
          <cell r="C591" t="str">
            <v>Invoice</v>
          </cell>
          <cell r="D591">
            <v>38629</v>
          </cell>
          <cell r="F591" t="str">
            <v>8310</v>
          </cell>
          <cell r="G591" t="str">
            <v>Muzak, LLC:McDonald's - N McBean Pkwy</v>
          </cell>
          <cell r="H591">
            <v>1</v>
          </cell>
        </row>
        <row r="592">
          <cell r="B592" t="str">
            <v>ESS - SCENT SERVICE</v>
          </cell>
          <cell r="C592" t="str">
            <v>Invoice</v>
          </cell>
          <cell r="D592">
            <v>38629</v>
          </cell>
          <cell r="F592" t="str">
            <v>8309</v>
          </cell>
          <cell r="G592" t="str">
            <v>Muzak, LLC:McDonald's - McBean Pkwy</v>
          </cell>
          <cell r="H592">
            <v>1</v>
          </cell>
        </row>
        <row r="593">
          <cell r="B593" t="str">
            <v>ESS - SCENT SERVICE</v>
          </cell>
          <cell r="C593" t="str">
            <v>Invoice</v>
          </cell>
          <cell r="D593">
            <v>38629</v>
          </cell>
          <cell r="F593" t="str">
            <v>8308</v>
          </cell>
          <cell r="G593" t="str">
            <v>Muzak, LLC:McDonald's - Sierra Hwy</v>
          </cell>
          <cell r="H593">
            <v>1</v>
          </cell>
        </row>
        <row r="594">
          <cell r="B594" t="str">
            <v>ESS - SCENT SERVICE</v>
          </cell>
          <cell r="C594" t="str">
            <v>Invoice</v>
          </cell>
          <cell r="D594">
            <v>38629</v>
          </cell>
          <cell r="F594" t="str">
            <v>8242</v>
          </cell>
          <cell r="G594" t="str">
            <v>Muzak, LLC:Anderson Food Shops #168</v>
          </cell>
          <cell r="H594">
            <v>1</v>
          </cell>
        </row>
        <row r="595">
          <cell r="B595" t="str">
            <v>ESS - SCENT SERVICE</v>
          </cell>
          <cell r="C595" t="str">
            <v>Invoice</v>
          </cell>
          <cell r="D595">
            <v>38629</v>
          </cell>
          <cell r="F595" t="str">
            <v>7538</v>
          </cell>
          <cell r="G595" t="str">
            <v>Diesel USA, Inc.</v>
          </cell>
          <cell r="H595">
            <v>1</v>
          </cell>
        </row>
        <row r="596">
          <cell r="B596" t="str">
            <v>ESS - SCENT SERVICE</v>
          </cell>
          <cell r="C596" t="str">
            <v>Invoice</v>
          </cell>
          <cell r="D596">
            <v>38629</v>
          </cell>
          <cell r="F596" t="str">
            <v>8287</v>
          </cell>
          <cell r="G596" t="str">
            <v>Muzak, LLC:Mattress Zone 042896</v>
          </cell>
          <cell r="H596">
            <v>1</v>
          </cell>
        </row>
        <row r="597">
          <cell r="B597" t="str">
            <v>ESS - SCENT SERVICE</v>
          </cell>
          <cell r="C597" t="str">
            <v>Invoice</v>
          </cell>
          <cell r="D597">
            <v>38629</v>
          </cell>
          <cell r="F597" t="str">
            <v>8266</v>
          </cell>
          <cell r="G597" t="str">
            <v>Muzak, LLC:Mattress Zone 042807</v>
          </cell>
          <cell r="H597">
            <v>1</v>
          </cell>
        </row>
        <row r="598">
          <cell r="B598" t="str">
            <v>ESS - SCENT SERVICE</v>
          </cell>
          <cell r="C598" t="str">
            <v>Invoice</v>
          </cell>
          <cell r="D598">
            <v>38630</v>
          </cell>
          <cell r="F598" t="str">
            <v>8319</v>
          </cell>
          <cell r="G598" t="str">
            <v>Muzak, LLC:Candy Time</v>
          </cell>
          <cell r="H598">
            <v>1</v>
          </cell>
        </row>
        <row r="599">
          <cell r="B599" t="str">
            <v>ESS - SCENT SERVICE</v>
          </cell>
          <cell r="C599" t="str">
            <v>Invoice</v>
          </cell>
          <cell r="D599">
            <v>38630</v>
          </cell>
          <cell r="F599" t="str">
            <v>8251</v>
          </cell>
          <cell r="G599" t="str">
            <v>Muzak, LLC:Carr's Barber Club - 715 Bloom St.</v>
          </cell>
          <cell r="H599">
            <v>1</v>
          </cell>
        </row>
        <row r="600">
          <cell r="B600" t="str">
            <v>ESS - SCENT SERVICE</v>
          </cell>
          <cell r="C600" t="str">
            <v>Invoice</v>
          </cell>
          <cell r="D600">
            <v>38630</v>
          </cell>
          <cell r="F600" t="str">
            <v>8252</v>
          </cell>
          <cell r="G600" t="str">
            <v>Muzak, LLC:Carr's Barber Club - 7600 Dr. Phillips</v>
          </cell>
          <cell r="H600">
            <v>1</v>
          </cell>
        </row>
        <row r="601">
          <cell r="B601" t="str">
            <v>ESS - SCENT SERVICE</v>
          </cell>
          <cell r="C601" t="str">
            <v>Invoice</v>
          </cell>
          <cell r="D601">
            <v>38630</v>
          </cell>
          <cell r="F601" t="str">
            <v>8250</v>
          </cell>
          <cell r="G601" t="str">
            <v>Muzak, LLC:Carr's Barber Club - 701 E. Washington</v>
          </cell>
          <cell r="H601">
            <v>1</v>
          </cell>
        </row>
        <row r="602">
          <cell r="B602" t="str">
            <v>ESS - SCENT SERVICE</v>
          </cell>
          <cell r="C602" t="str">
            <v>Invoice</v>
          </cell>
          <cell r="D602">
            <v>38630</v>
          </cell>
          <cell r="F602" t="str">
            <v>8249</v>
          </cell>
          <cell r="G602" t="str">
            <v>Muzak, LLC:Carr's Barber Club - 4800 New Broad St.</v>
          </cell>
          <cell r="H602">
            <v>1</v>
          </cell>
        </row>
        <row r="603">
          <cell r="B603" t="str">
            <v>ESS - SCENT SERVICE</v>
          </cell>
          <cell r="C603" t="str">
            <v>Invoice</v>
          </cell>
          <cell r="D603">
            <v>38630</v>
          </cell>
          <cell r="F603" t="str">
            <v>8247</v>
          </cell>
          <cell r="G603" t="str">
            <v>Muzak, LLC:Carr's Barber Club - 2401 E. 434</v>
          </cell>
          <cell r="H603">
            <v>1</v>
          </cell>
        </row>
        <row r="604">
          <cell r="B604" t="str">
            <v>ESS - SCENT SERVICE</v>
          </cell>
          <cell r="C604" t="str">
            <v>Invoice</v>
          </cell>
          <cell r="D604">
            <v>38630</v>
          </cell>
          <cell r="F604" t="str">
            <v>8248</v>
          </cell>
          <cell r="G604" t="str">
            <v>Muzak, LLC:Carr's Barber Club - 346 Park Ave.</v>
          </cell>
          <cell r="H604">
            <v>1</v>
          </cell>
        </row>
        <row r="605">
          <cell r="B605" t="str">
            <v>ESS - SCENT SERVICE</v>
          </cell>
          <cell r="C605" t="str">
            <v>Invoice</v>
          </cell>
          <cell r="D605">
            <v>38630</v>
          </cell>
          <cell r="F605" t="str">
            <v>8177</v>
          </cell>
          <cell r="G605" t="str">
            <v>Muzak, LLC:Carr's Barber Club - 1032 Town Park Ave.</v>
          </cell>
          <cell r="H605">
            <v>1</v>
          </cell>
        </row>
        <row r="606">
          <cell r="B606" t="str">
            <v>FAN8040DC</v>
          </cell>
          <cell r="C606" t="str">
            <v>Invoice</v>
          </cell>
          <cell r="D606">
            <v>38553</v>
          </cell>
          <cell r="F606" t="str">
            <v>7168</v>
          </cell>
          <cell r="G606" t="str">
            <v>Promotool</v>
          </cell>
          <cell r="H606">
            <v>1</v>
          </cell>
        </row>
        <row r="607">
          <cell r="B607" t="str">
            <v>Freight - Chg fr.Vendors</v>
          </cell>
          <cell r="C607" t="str">
            <v>Invoice</v>
          </cell>
          <cell r="D607">
            <v>38443</v>
          </cell>
          <cell r="F607" t="str">
            <v>6023</v>
          </cell>
          <cell r="G607" t="str">
            <v>Jimmy Choo (Corporate Office):Jimmy Choo (Palm Beach Gardens)</v>
          </cell>
          <cell r="H607">
            <v>1</v>
          </cell>
        </row>
        <row r="608">
          <cell r="B608" t="str">
            <v>Freight - Chg fr.Vendors</v>
          </cell>
          <cell r="C608" t="str">
            <v>Invoice</v>
          </cell>
          <cell r="D608">
            <v>38505</v>
          </cell>
          <cell r="F608" t="str">
            <v>5574A</v>
          </cell>
          <cell r="G608" t="str">
            <v>Muzak, LLC:Doctor's Urgent Care</v>
          </cell>
          <cell r="H608">
            <v>1</v>
          </cell>
        </row>
        <row r="609">
          <cell r="B609" t="str">
            <v>Freight - Chg fr.Vendors</v>
          </cell>
          <cell r="C609" t="str">
            <v>Invoice</v>
          </cell>
          <cell r="D609">
            <v>38511</v>
          </cell>
          <cell r="F609" t="str">
            <v>6270</v>
          </cell>
          <cell r="G609" t="str">
            <v>Aritza</v>
          </cell>
          <cell r="H609">
            <v>1</v>
          </cell>
        </row>
        <row r="610">
          <cell r="B610" t="str">
            <v>Freight - Chg fr.Vendors</v>
          </cell>
          <cell r="C610" t="str">
            <v>Invoice</v>
          </cell>
          <cell r="D610">
            <v>38516</v>
          </cell>
          <cell r="F610" t="str">
            <v>5532A</v>
          </cell>
          <cell r="G610" t="str">
            <v>Sony Style #xx (Kenwood Ctr)</v>
          </cell>
          <cell r="H610">
            <v>1</v>
          </cell>
        </row>
        <row r="611">
          <cell r="B611" t="str">
            <v>Freight - Chg fr.Vendors</v>
          </cell>
          <cell r="C611" t="str">
            <v>Invoice</v>
          </cell>
          <cell r="D611">
            <v>38516</v>
          </cell>
          <cell r="F611" t="str">
            <v>5533A</v>
          </cell>
          <cell r="G611" t="str">
            <v>S &amp; M Amusements</v>
          </cell>
          <cell r="H611">
            <v>1</v>
          </cell>
        </row>
        <row r="612">
          <cell r="B612" t="str">
            <v>Freight - Chg fr.Vendors</v>
          </cell>
          <cell r="C612" t="str">
            <v>Invoice</v>
          </cell>
          <cell r="D612">
            <v>38523</v>
          </cell>
          <cell r="F612" t="str">
            <v>6379</v>
          </cell>
          <cell r="G612" t="str">
            <v>Promotool</v>
          </cell>
          <cell r="H612">
            <v>1</v>
          </cell>
        </row>
        <row r="613">
          <cell r="B613" t="str">
            <v>Freight - Chg fr.Vendors</v>
          </cell>
          <cell r="C613" t="str">
            <v>Invoice</v>
          </cell>
          <cell r="D613">
            <v>38531</v>
          </cell>
          <cell r="F613" t="str">
            <v>6424</v>
          </cell>
          <cell r="G613" t="str">
            <v>Saks Fifth Avenue-Santa Barbara</v>
          </cell>
          <cell r="H613">
            <v>1</v>
          </cell>
        </row>
        <row r="614">
          <cell r="B614" t="str">
            <v>Freight - Chg fr.Vendors</v>
          </cell>
          <cell r="C614" t="str">
            <v>Invoice</v>
          </cell>
          <cell r="D614">
            <v>38531</v>
          </cell>
          <cell r="F614" t="str">
            <v>6423</v>
          </cell>
          <cell r="G614" t="str">
            <v>Bob Bullock Texas State Historical Museum</v>
          </cell>
          <cell r="H614">
            <v>1</v>
          </cell>
        </row>
        <row r="615">
          <cell r="B615" t="str">
            <v>Freight - Chg fr.Vendors</v>
          </cell>
          <cell r="C615" t="str">
            <v>Invoice</v>
          </cell>
          <cell r="D615">
            <v>38538</v>
          </cell>
          <cell r="F615" t="str">
            <v>7080</v>
          </cell>
          <cell r="G615" t="str">
            <v>Macy's Florida</v>
          </cell>
          <cell r="H615">
            <v>1</v>
          </cell>
        </row>
        <row r="616">
          <cell r="B616" t="str">
            <v>Freight - Chg fr.Vendors</v>
          </cell>
          <cell r="C616" t="str">
            <v>Invoice</v>
          </cell>
          <cell r="D616">
            <v>38541</v>
          </cell>
          <cell r="F616" t="str">
            <v>7101</v>
          </cell>
          <cell r="G616" t="str">
            <v>ScentAir Australia Pty Ltd.</v>
          </cell>
          <cell r="H616">
            <v>1</v>
          </cell>
        </row>
        <row r="617">
          <cell r="B617" t="str">
            <v>Freight - Chg fr.Vendors</v>
          </cell>
          <cell r="C617" t="str">
            <v>Invoice</v>
          </cell>
          <cell r="D617">
            <v>38542</v>
          </cell>
          <cell r="F617" t="str">
            <v>7098</v>
          </cell>
          <cell r="G617" t="str">
            <v>Nutraceutical/Fresh Organics</v>
          </cell>
          <cell r="H617">
            <v>1</v>
          </cell>
        </row>
        <row r="618">
          <cell r="B618" t="str">
            <v>Freight - Chg fr.Vendors</v>
          </cell>
          <cell r="C618" t="str">
            <v>Invoice</v>
          </cell>
          <cell r="D618">
            <v>38545</v>
          </cell>
          <cell r="F618" t="str">
            <v>7132</v>
          </cell>
          <cell r="G618" t="str">
            <v>Digital Tech Frontier</v>
          </cell>
          <cell r="H618">
            <v>1</v>
          </cell>
        </row>
        <row r="619">
          <cell r="B619" t="str">
            <v>Freight - Chg fr.Vendors</v>
          </cell>
          <cell r="C619" t="str">
            <v>Invoice</v>
          </cell>
          <cell r="D619">
            <v>38554</v>
          </cell>
          <cell r="F619" t="str">
            <v>7176</v>
          </cell>
          <cell r="G619" t="str">
            <v>American Solutions Inc.</v>
          </cell>
          <cell r="H619">
            <v>1</v>
          </cell>
        </row>
        <row r="620">
          <cell r="B620" t="str">
            <v>Freight - Chg fr.Vendors</v>
          </cell>
          <cell r="C620" t="str">
            <v>Invoice</v>
          </cell>
          <cell r="D620">
            <v>38604</v>
          </cell>
          <cell r="F620" t="str">
            <v>7887</v>
          </cell>
          <cell r="G620" t="str">
            <v>Muzak, LLC:Muzak (Demo)</v>
          </cell>
          <cell r="H620">
            <v>1</v>
          </cell>
        </row>
        <row r="621">
          <cell r="B621" t="str">
            <v>Freight - Chg fr.Vendors</v>
          </cell>
          <cell r="C621" t="str">
            <v>Invoice</v>
          </cell>
          <cell r="D621">
            <v>38609</v>
          </cell>
          <cell r="F621" t="str">
            <v>7943</v>
          </cell>
          <cell r="G621" t="str">
            <v>Muzak, LLC:Muzak (Demo)</v>
          </cell>
          <cell r="H621">
            <v>1</v>
          </cell>
        </row>
        <row r="622">
          <cell r="B622" t="str">
            <v>Freight - Chg fr.Vendors</v>
          </cell>
          <cell r="C622" t="str">
            <v>Invoice</v>
          </cell>
          <cell r="D622">
            <v>38615</v>
          </cell>
          <cell r="F622" t="str">
            <v>7976</v>
          </cell>
          <cell r="G622" t="str">
            <v>Promotool</v>
          </cell>
          <cell r="H622">
            <v>1</v>
          </cell>
        </row>
        <row r="623">
          <cell r="B623" t="str">
            <v>Freight - Chg fr.Vendors</v>
          </cell>
          <cell r="C623" t="str">
            <v>Invoice</v>
          </cell>
          <cell r="D623">
            <v>38617</v>
          </cell>
          <cell r="F623" t="str">
            <v>8075</v>
          </cell>
          <cell r="G623" t="str">
            <v>Muzak, LLC:Muzak (Demo)</v>
          </cell>
          <cell r="H623">
            <v>1</v>
          </cell>
        </row>
        <row r="624">
          <cell r="B624" t="str">
            <v>Freight - Chg fr.Vendors</v>
          </cell>
          <cell r="C624" t="str">
            <v>Invoice</v>
          </cell>
          <cell r="D624">
            <v>38617</v>
          </cell>
          <cell r="F624" t="str">
            <v>8078</v>
          </cell>
          <cell r="G624" t="str">
            <v>Muzak, IA:Soundcom LLC of Florida - Palm Beach:Mattress Zone - Stuart</v>
          </cell>
          <cell r="H624">
            <v>1</v>
          </cell>
        </row>
        <row r="625">
          <cell r="B625" t="str">
            <v>Freight - Chg fr.Vendors</v>
          </cell>
          <cell r="C625" t="str">
            <v>Invoice</v>
          </cell>
          <cell r="D625">
            <v>38628</v>
          </cell>
          <cell r="F625" t="str">
            <v>8192</v>
          </cell>
          <cell r="G625" t="str">
            <v>Car's The Star</v>
          </cell>
          <cell r="H625">
            <v>1</v>
          </cell>
        </row>
        <row r="626">
          <cell r="B626" t="str">
            <v>Freight - Pd by Customer</v>
          </cell>
          <cell r="C626" t="str">
            <v>Invoice</v>
          </cell>
          <cell r="D626">
            <v>38355</v>
          </cell>
          <cell r="F626" t="str">
            <v>5138</v>
          </cell>
          <cell r="G626" t="str">
            <v>Guckenheimer - Wexner Commons</v>
          </cell>
          <cell r="H626">
            <v>1</v>
          </cell>
        </row>
        <row r="627">
          <cell r="B627" t="str">
            <v>Freight - Pd by Customer</v>
          </cell>
          <cell r="C627" t="str">
            <v>Invoice</v>
          </cell>
          <cell r="D627">
            <v>38355</v>
          </cell>
          <cell r="F627" t="str">
            <v>4997B</v>
          </cell>
          <cell r="G627" t="str">
            <v>AroMarketing:AroMarketing - Guadalajara</v>
          </cell>
          <cell r="H627">
            <v>1</v>
          </cell>
        </row>
        <row r="628">
          <cell r="B628" t="str">
            <v>Freight - Pd by Customer</v>
          </cell>
          <cell r="C628" t="str">
            <v>Invoice</v>
          </cell>
          <cell r="D628">
            <v>38355</v>
          </cell>
          <cell r="F628" t="str">
            <v>4997B</v>
          </cell>
          <cell r="G628" t="str">
            <v>AroMarketing:AroMarketing - Guadalajara</v>
          </cell>
          <cell r="H628">
            <v>1</v>
          </cell>
        </row>
        <row r="629">
          <cell r="B629" t="str">
            <v>Freight - Pd by Customer</v>
          </cell>
          <cell r="C629" t="str">
            <v>Invoice</v>
          </cell>
          <cell r="D629">
            <v>38362</v>
          </cell>
          <cell r="F629" t="str">
            <v>5165</v>
          </cell>
          <cell r="G629" t="str">
            <v>Ecko Unlimited</v>
          </cell>
          <cell r="H629">
            <v>1</v>
          </cell>
        </row>
        <row r="630">
          <cell r="B630" t="str">
            <v>Freight - Pd by Customer</v>
          </cell>
          <cell r="C630" t="str">
            <v>Invoice</v>
          </cell>
          <cell r="D630">
            <v>38362</v>
          </cell>
          <cell r="F630" t="str">
            <v>5168</v>
          </cell>
          <cell r="G630" t="str">
            <v>Ecko Unlimited</v>
          </cell>
          <cell r="H630">
            <v>1</v>
          </cell>
        </row>
        <row r="631">
          <cell r="B631" t="str">
            <v>Freight - Pd by Customer</v>
          </cell>
          <cell r="C631" t="str">
            <v>Invoice</v>
          </cell>
          <cell r="D631">
            <v>38362</v>
          </cell>
          <cell r="F631" t="str">
            <v>5165A</v>
          </cell>
          <cell r="G631" t="str">
            <v>Ecko Unlimited</v>
          </cell>
          <cell r="H631">
            <v>1</v>
          </cell>
        </row>
        <row r="632">
          <cell r="B632" t="str">
            <v>Freight - Pd by Customer</v>
          </cell>
          <cell r="C632" t="str">
            <v>Invoice</v>
          </cell>
          <cell r="D632">
            <v>38362</v>
          </cell>
          <cell r="F632" t="str">
            <v>5170A</v>
          </cell>
          <cell r="G632" t="str">
            <v>ALL Lee County Insurance</v>
          </cell>
          <cell r="H632">
            <v>1</v>
          </cell>
        </row>
        <row r="633">
          <cell r="B633" t="str">
            <v>Freight - Pd by Customer</v>
          </cell>
          <cell r="C633" t="str">
            <v>Invoice</v>
          </cell>
          <cell r="D633">
            <v>38362</v>
          </cell>
          <cell r="F633" t="str">
            <v>5151</v>
          </cell>
          <cell r="G633" t="str">
            <v>Harry and David #564</v>
          </cell>
          <cell r="H633">
            <v>1</v>
          </cell>
        </row>
        <row r="634">
          <cell r="B634" t="str">
            <v>Freight - Pd by Customer</v>
          </cell>
          <cell r="C634" t="str">
            <v>Invoice</v>
          </cell>
          <cell r="D634">
            <v>38364</v>
          </cell>
          <cell r="F634" t="str">
            <v>5156</v>
          </cell>
          <cell r="G634" t="str">
            <v>We-Ko-Pa Golf Club</v>
          </cell>
          <cell r="H634">
            <v>1</v>
          </cell>
        </row>
        <row r="635">
          <cell r="B635" t="str">
            <v>Freight - Pd by Customer</v>
          </cell>
          <cell r="C635" t="str">
            <v>Invoice</v>
          </cell>
          <cell r="D635">
            <v>38364</v>
          </cell>
          <cell r="F635" t="str">
            <v>5176A</v>
          </cell>
          <cell r="G635" t="str">
            <v>ScentAir Australia Pty Ltd.</v>
          </cell>
          <cell r="H635">
            <v>1</v>
          </cell>
        </row>
        <row r="636">
          <cell r="B636" t="str">
            <v>Freight - Pd by Customer</v>
          </cell>
          <cell r="C636" t="str">
            <v>Invoice</v>
          </cell>
          <cell r="D636">
            <v>38364</v>
          </cell>
          <cell r="F636" t="str">
            <v>5183</v>
          </cell>
          <cell r="G636" t="str">
            <v>American Solutions Inc.</v>
          </cell>
          <cell r="H636">
            <v>1</v>
          </cell>
        </row>
        <row r="637">
          <cell r="B637" t="str">
            <v>Freight - Pd by Customer</v>
          </cell>
          <cell r="C637" t="str">
            <v>Invoice</v>
          </cell>
          <cell r="D637">
            <v>38365</v>
          </cell>
          <cell r="F637" t="str">
            <v>5184</v>
          </cell>
          <cell r="G637" t="str">
            <v>Busch Gardens - Williamsburg</v>
          </cell>
          <cell r="H637">
            <v>1</v>
          </cell>
        </row>
        <row r="638">
          <cell r="B638" t="str">
            <v>Freight - Pd by Customer</v>
          </cell>
          <cell r="C638" t="str">
            <v>Invoice</v>
          </cell>
          <cell r="D638">
            <v>38371</v>
          </cell>
          <cell r="F638" t="str">
            <v>5210</v>
          </cell>
          <cell r="G638" t="str">
            <v>Sony Style #55</v>
          </cell>
          <cell r="H638">
            <v>1</v>
          </cell>
        </row>
        <row r="639">
          <cell r="B639" t="str">
            <v>Freight - Pd by Customer</v>
          </cell>
          <cell r="C639" t="str">
            <v>Invoice</v>
          </cell>
          <cell r="D639">
            <v>38371</v>
          </cell>
          <cell r="F639" t="str">
            <v>5228</v>
          </cell>
          <cell r="G639" t="str">
            <v>Bootlegger</v>
          </cell>
          <cell r="H639">
            <v>1</v>
          </cell>
        </row>
        <row r="640">
          <cell r="B640" t="str">
            <v>Freight - Pd by Customer</v>
          </cell>
          <cell r="C640" t="str">
            <v>Invoice</v>
          </cell>
          <cell r="D640">
            <v>38371</v>
          </cell>
          <cell r="F640" t="str">
            <v>5229</v>
          </cell>
          <cell r="G640" t="str">
            <v>Christian Science Reading Room</v>
          </cell>
          <cell r="H640">
            <v>1</v>
          </cell>
        </row>
        <row r="641">
          <cell r="B641" t="str">
            <v>Freight - Pd by Customer</v>
          </cell>
          <cell r="C641" t="str">
            <v>Invoice</v>
          </cell>
          <cell r="D641">
            <v>38371</v>
          </cell>
          <cell r="F641" t="str">
            <v>5211A</v>
          </cell>
          <cell r="G641" t="str">
            <v>Saddle Ranch</v>
          </cell>
          <cell r="H641">
            <v>1</v>
          </cell>
        </row>
        <row r="642">
          <cell r="B642" t="str">
            <v>Freight - Pd by Customer</v>
          </cell>
          <cell r="C642" t="str">
            <v>Invoice</v>
          </cell>
          <cell r="D642">
            <v>38371</v>
          </cell>
          <cell r="F642" t="str">
            <v>5207</v>
          </cell>
          <cell r="G642" t="str">
            <v>South Pacific Elixir Company Inc.</v>
          </cell>
          <cell r="H642">
            <v>1</v>
          </cell>
        </row>
        <row r="643">
          <cell r="B643" t="str">
            <v>Freight - Pd by Customer</v>
          </cell>
          <cell r="C643" t="str">
            <v>Invoice</v>
          </cell>
          <cell r="D643">
            <v>38371</v>
          </cell>
          <cell r="F643" t="str">
            <v>5206</v>
          </cell>
          <cell r="G643" t="str">
            <v>NBC Experience Store</v>
          </cell>
          <cell r="H643">
            <v>1</v>
          </cell>
        </row>
        <row r="644">
          <cell r="B644" t="str">
            <v>Freight - Pd by Customer</v>
          </cell>
          <cell r="C644" t="str">
            <v>Invoice</v>
          </cell>
          <cell r="D644">
            <v>38371</v>
          </cell>
          <cell r="F644" t="str">
            <v>5205</v>
          </cell>
          <cell r="G644" t="str">
            <v>Kryshak - Avenue Jewelers</v>
          </cell>
          <cell r="H644">
            <v>1</v>
          </cell>
        </row>
        <row r="645">
          <cell r="B645" t="str">
            <v>Freight - Pd by Customer</v>
          </cell>
          <cell r="C645" t="str">
            <v>Invoice</v>
          </cell>
          <cell r="D645">
            <v>38371</v>
          </cell>
          <cell r="F645" t="str">
            <v>5204</v>
          </cell>
          <cell r="G645" t="str">
            <v>Kryshak - Avenue Jewelers</v>
          </cell>
          <cell r="H645">
            <v>1</v>
          </cell>
        </row>
        <row r="646">
          <cell r="B646" t="str">
            <v>Freight - Pd by Customer</v>
          </cell>
          <cell r="C646" t="str">
            <v>Invoice</v>
          </cell>
          <cell r="D646">
            <v>38371</v>
          </cell>
          <cell r="F646" t="str">
            <v>5203</v>
          </cell>
          <cell r="G646" t="str">
            <v>Andrew &amp; Andrew</v>
          </cell>
          <cell r="H646">
            <v>1</v>
          </cell>
        </row>
        <row r="647">
          <cell r="B647" t="str">
            <v>Freight - Pd by Customer</v>
          </cell>
          <cell r="C647" t="str">
            <v>Invoice</v>
          </cell>
          <cell r="D647">
            <v>38371</v>
          </cell>
          <cell r="F647" t="str">
            <v>5202</v>
          </cell>
          <cell r="G647" t="str">
            <v>Andrew &amp; Andrew</v>
          </cell>
          <cell r="H647">
            <v>1</v>
          </cell>
        </row>
        <row r="648">
          <cell r="B648" t="str">
            <v>Freight - Pd by Customer</v>
          </cell>
          <cell r="C648" t="str">
            <v>Invoice</v>
          </cell>
          <cell r="D648">
            <v>38371</v>
          </cell>
          <cell r="F648" t="str">
            <v>5219</v>
          </cell>
          <cell r="G648" t="str">
            <v>Sony Style #54</v>
          </cell>
          <cell r="H648">
            <v>1</v>
          </cell>
        </row>
        <row r="649">
          <cell r="B649" t="str">
            <v>Freight - Pd by Customer</v>
          </cell>
          <cell r="C649" t="str">
            <v>Invoice</v>
          </cell>
          <cell r="D649">
            <v>38371</v>
          </cell>
          <cell r="F649" t="str">
            <v>5213</v>
          </cell>
          <cell r="G649" t="str">
            <v>Sony Style #50</v>
          </cell>
          <cell r="H649">
            <v>1</v>
          </cell>
        </row>
        <row r="650">
          <cell r="B650" t="str">
            <v>Freight - Pd by Customer</v>
          </cell>
          <cell r="C650" t="str">
            <v>Invoice</v>
          </cell>
          <cell r="D650">
            <v>38371</v>
          </cell>
          <cell r="F650" t="str">
            <v>5214</v>
          </cell>
          <cell r="G650" t="str">
            <v>Sony Style #51</v>
          </cell>
          <cell r="H650">
            <v>1</v>
          </cell>
        </row>
        <row r="651">
          <cell r="B651" t="str">
            <v>Freight - Pd by Customer</v>
          </cell>
          <cell r="C651" t="str">
            <v>Invoice</v>
          </cell>
          <cell r="D651">
            <v>38371</v>
          </cell>
          <cell r="F651" t="str">
            <v>5218</v>
          </cell>
          <cell r="G651" t="str">
            <v>Sony Style #52</v>
          </cell>
          <cell r="H651">
            <v>1</v>
          </cell>
        </row>
        <row r="652">
          <cell r="B652" t="str">
            <v>Freight - Pd by Customer</v>
          </cell>
          <cell r="C652" t="str">
            <v>Invoice</v>
          </cell>
          <cell r="D652">
            <v>38371</v>
          </cell>
          <cell r="F652" t="str">
            <v>5217</v>
          </cell>
          <cell r="G652" t="str">
            <v>Sony Style #53</v>
          </cell>
          <cell r="H652">
            <v>1</v>
          </cell>
        </row>
        <row r="653">
          <cell r="B653" t="str">
            <v>Freight - Pd by Customer</v>
          </cell>
          <cell r="C653" t="str">
            <v>Invoice</v>
          </cell>
          <cell r="D653">
            <v>38371</v>
          </cell>
          <cell r="F653" t="str">
            <v>5220A</v>
          </cell>
          <cell r="G653" t="str">
            <v>Sony Style #56</v>
          </cell>
          <cell r="H653">
            <v>1</v>
          </cell>
        </row>
        <row r="654">
          <cell r="B654" t="str">
            <v>Freight - Pd by Customer</v>
          </cell>
          <cell r="C654" t="str">
            <v>Invoice</v>
          </cell>
          <cell r="D654">
            <v>38371</v>
          </cell>
          <cell r="F654" t="str">
            <v>5221</v>
          </cell>
          <cell r="G654" t="str">
            <v>Sony Style #57</v>
          </cell>
          <cell r="H654">
            <v>1</v>
          </cell>
        </row>
        <row r="655">
          <cell r="B655" t="str">
            <v>Freight - Pd by Customer</v>
          </cell>
          <cell r="C655" t="str">
            <v>Invoice</v>
          </cell>
          <cell r="D655">
            <v>38371</v>
          </cell>
          <cell r="F655" t="str">
            <v>5222</v>
          </cell>
          <cell r="G655" t="str">
            <v>Sony Style #58</v>
          </cell>
          <cell r="H655">
            <v>1</v>
          </cell>
        </row>
        <row r="656">
          <cell r="B656" t="str">
            <v>Freight - Pd by Customer</v>
          </cell>
          <cell r="C656" t="str">
            <v>Invoice</v>
          </cell>
          <cell r="D656">
            <v>38371</v>
          </cell>
          <cell r="F656" t="str">
            <v>5223</v>
          </cell>
          <cell r="G656" t="str">
            <v>Sony Style #60</v>
          </cell>
          <cell r="H656">
            <v>1</v>
          </cell>
        </row>
        <row r="657">
          <cell r="B657" t="str">
            <v>Freight - Pd by Customer</v>
          </cell>
          <cell r="C657" t="str">
            <v>Invoice</v>
          </cell>
          <cell r="D657">
            <v>38371</v>
          </cell>
          <cell r="F657" t="str">
            <v>5224</v>
          </cell>
          <cell r="G657" t="str">
            <v>Sony Style #61</v>
          </cell>
          <cell r="H657">
            <v>1</v>
          </cell>
        </row>
        <row r="658">
          <cell r="B658" t="str">
            <v>Freight - Pd by Customer</v>
          </cell>
          <cell r="C658" t="str">
            <v>Invoice</v>
          </cell>
          <cell r="D658">
            <v>38372</v>
          </cell>
          <cell r="F658" t="str">
            <v>5231</v>
          </cell>
          <cell r="G658" t="str">
            <v>Ashley Furniture HomeStore</v>
          </cell>
          <cell r="H658">
            <v>1</v>
          </cell>
        </row>
        <row r="659">
          <cell r="B659" t="str">
            <v>Freight - Pd by Customer</v>
          </cell>
          <cell r="C659" t="str">
            <v>Invoice</v>
          </cell>
          <cell r="D659">
            <v>38377</v>
          </cell>
          <cell r="F659" t="str">
            <v>5281</v>
          </cell>
          <cell r="G659" t="str">
            <v>ScentAir Australia Pty Ltd.</v>
          </cell>
          <cell r="H659">
            <v>1</v>
          </cell>
        </row>
        <row r="660">
          <cell r="B660" t="str">
            <v>Freight - Pd by Customer</v>
          </cell>
          <cell r="C660" t="str">
            <v>Invoice</v>
          </cell>
          <cell r="D660">
            <v>38377</v>
          </cell>
          <cell r="F660" t="str">
            <v>5174A</v>
          </cell>
          <cell r="G660" t="str">
            <v>Lee-Moore Oil Company:Exxon OTR - 41</v>
          </cell>
          <cell r="H660">
            <v>1</v>
          </cell>
        </row>
        <row r="661">
          <cell r="B661" t="str">
            <v>Freight - Pd by Customer</v>
          </cell>
          <cell r="C661" t="str">
            <v>Invoice</v>
          </cell>
          <cell r="D661">
            <v>38378</v>
          </cell>
          <cell r="F661" t="str">
            <v>5273</v>
          </cell>
          <cell r="G661" t="str">
            <v>Exxon DDB Worldwide# 2431</v>
          </cell>
          <cell r="H661">
            <v>1</v>
          </cell>
        </row>
        <row r="662">
          <cell r="B662" t="str">
            <v>Freight - Pd by Customer</v>
          </cell>
          <cell r="C662" t="str">
            <v>Invoice</v>
          </cell>
          <cell r="D662">
            <v>38378</v>
          </cell>
          <cell r="F662" t="str">
            <v>5274</v>
          </cell>
          <cell r="G662" t="str">
            <v>Exxon DDB Worldwide# 25329</v>
          </cell>
          <cell r="H662">
            <v>1</v>
          </cell>
        </row>
        <row r="663">
          <cell r="B663" t="str">
            <v>Freight - Pd by Customer</v>
          </cell>
          <cell r="C663" t="str">
            <v>Invoice</v>
          </cell>
          <cell r="D663">
            <v>38378</v>
          </cell>
          <cell r="F663" t="str">
            <v>5275</v>
          </cell>
          <cell r="G663" t="str">
            <v>Exxon DDB Worldwide:Exxon DDB Worldwide #26308</v>
          </cell>
          <cell r="H663">
            <v>1</v>
          </cell>
        </row>
        <row r="664">
          <cell r="B664" t="str">
            <v>Freight - Pd by Customer</v>
          </cell>
          <cell r="C664" t="str">
            <v>Invoice</v>
          </cell>
          <cell r="D664">
            <v>38378</v>
          </cell>
          <cell r="F664" t="str">
            <v>5286</v>
          </cell>
          <cell r="G664" t="str">
            <v>Southern Kitchen and Bath</v>
          </cell>
          <cell r="H664">
            <v>1</v>
          </cell>
        </row>
        <row r="665">
          <cell r="B665" t="str">
            <v>Freight - Pd by Customer</v>
          </cell>
          <cell r="C665" t="str">
            <v>Invoice</v>
          </cell>
          <cell r="D665">
            <v>38378</v>
          </cell>
          <cell r="F665" t="str">
            <v>5230</v>
          </cell>
          <cell r="G665" t="str">
            <v>Silks By Mu-Mu Manufactuteres</v>
          </cell>
          <cell r="H665">
            <v>1</v>
          </cell>
        </row>
        <row r="666">
          <cell r="B666" t="str">
            <v>Freight - Pd by Customer</v>
          </cell>
          <cell r="C666" t="str">
            <v>Invoice</v>
          </cell>
          <cell r="D666">
            <v>38378</v>
          </cell>
          <cell r="F666" t="str">
            <v>5270</v>
          </cell>
          <cell r="G666" t="str">
            <v>Exxon DDB Worldwide:Exxon DDB Worldwide #15022</v>
          </cell>
          <cell r="H666">
            <v>1</v>
          </cell>
        </row>
        <row r="667">
          <cell r="B667" t="str">
            <v>Freight - Pd by Customer</v>
          </cell>
          <cell r="C667" t="str">
            <v>Invoice</v>
          </cell>
          <cell r="D667">
            <v>38378</v>
          </cell>
          <cell r="F667" t="str">
            <v>5272</v>
          </cell>
          <cell r="G667" t="str">
            <v>Exxon DDB Worldwide:Exxon DDB Worldwide #24239</v>
          </cell>
          <cell r="H667">
            <v>1</v>
          </cell>
        </row>
        <row r="668">
          <cell r="B668" t="str">
            <v>Freight - Pd by Customer</v>
          </cell>
          <cell r="C668" t="str">
            <v>Invoice</v>
          </cell>
          <cell r="D668">
            <v>38378</v>
          </cell>
          <cell r="F668" t="str">
            <v>5276</v>
          </cell>
          <cell r="G668" t="str">
            <v>Exxon DDB Worldwide:Exxon DDB Worldwide #30618</v>
          </cell>
          <cell r="H668">
            <v>1</v>
          </cell>
        </row>
        <row r="669">
          <cell r="B669" t="str">
            <v>Freight - Pd by Customer</v>
          </cell>
          <cell r="C669" t="str">
            <v>Invoice</v>
          </cell>
          <cell r="D669">
            <v>38378</v>
          </cell>
          <cell r="F669" t="str">
            <v>5268</v>
          </cell>
          <cell r="G669" t="str">
            <v>Exxon DDB Worldwide:Exxon DDB Worldwide #11644</v>
          </cell>
          <cell r="H669">
            <v>1</v>
          </cell>
        </row>
        <row r="670">
          <cell r="B670" t="str">
            <v>Freight - Pd by Customer</v>
          </cell>
          <cell r="C670" t="str">
            <v>Invoice</v>
          </cell>
          <cell r="D670">
            <v>38378</v>
          </cell>
          <cell r="F670" t="str">
            <v>5271</v>
          </cell>
          <cell r="G670" t="str">
            <v>Exxon DDB Worldwide:Exxon DDB Worldwide #20407</v>
          </cell>
          <cell r="H670">
            <v>1</v>
          </cell>
        </row>
        <row r="671">
          <cell r="B671" t="str">
            <v>Freight - Pd by Customer</v>
          </cell>
          <cell r="C671" t="str">
            <v>Invoice</v>
          </cell>
          <cell r="D671">
            <v>38378</v>
          </cell>
          <cell r="F671" t="str">
            <v>5267</v>
          </cell>
          <cell r="G671" t="str">
            <v>Exxon DDB Worldwide#11640</v>
          </cell>
          <cell r="H671">
            <v>1</v>
          </cell>
        </row>
        <row r="672">
          <cell r="B672" t="str">
            <v>Freight - Pd by Customer</v>
          </cell>
          <cell r="C672" t="str">
            <v>Invoice</v>
          </cell>
          <cell r="D672">
            <v>38378</v>
          </cell>
          <cell r="F672" t="str">
            <v>5251</v>
          </cell>
          <cell r="G672" t="str">
            <v>Fine Nails</v>
          </cell>
          <cell r="H672">
            <v>1</v>
          </cell>
        </row>
        <row r="673">
          <cell r="B673" t="str">
            <v>Freight - Pd by Customer</v>
          </cell>
          <cell r="C673" t="str">
            <v>Invoice</v>
          </cell>
          <cell r="D673">
            <v>38378</v>
          </cell>
          <cell r="F673" t="str">
            <v>5279</v>
          </cell>
          <cell r="G673" t="str">
            <v>The Funplex</v>
          </cell>
          <cell r="H673">
            <v>1</v>
          </cell>
        </row>
        <row r="674">
          <cell r="B674" t="str">
            <v>Freight - Pd by Customer</v>
          </cell>
          <cell r="C674" t="str">
            <v>Invoice</v>
          </cell>
          <cell r="D674">
            <v>38378</v>
          </cell>
          <cell r="F674" t="str">
            <v>5259</v>
          </cell>
          <cell r="G674" t="str">
            <v>PartyLand Utah</v>
          </cell>
          <cell r="H674">
            <v>1</v>
          </cell>
        </row>
        <row r="675">
          <cell r="B675" t="str">
            <v>Freight - Pd by Customer</v>
          </cell>
          <cell r="C675" t="str">
            <v>Invoice</v>
          </cell>
          <cell r="D675">
            <v>38378</v>
          </cell>
          <cell r="F675" t="str">
            <v>5188</v>
          </cell>
          <cell r="G675" t="str">
            <v>Hot Stuff</v>
          </cell>
          <cell r="H675">
            <v>1</v>
          </cell>
        </row>
        <row r="676">
          <cell r="B676" t="str">
            <v>Freight - Pd by Customer</v>
          </cell>
          <cell r="C676" t="str">
            <v>Invoice</v>
          </cell>
          <cell r="D676">
            <v>38378</v>
          </cell>
          <cell r="F676" t="str">
            <v>5181</v>
          </cell>
          <cell r="G676" t="str">
            <v>MLS Homes</v>
          </cell>
          <cell r="H676">
            <v>1</v>
          </cell>
        </row>
        <row r="677">
          <cell r="B677" t="str">
            <v>Freight - Pd by Customer</v>
          </cell>
          <cell r="C677" t="str">
            <v>Invoice</v>
          </cell>
          <cell r="D677">
            <v>38378</v>
          </cell>
          <cell r="F677" t="str">
            <v>5137</v>
          </cell>
          <cell r="G677" t="str">
            <v>Shay Bustenay</v>
          </cell>
          <cell r="H677">
            <v>1</v>
          </cell>
        </row>
        <row r="678">
          <cell r="B678" t="str">
            <v>Freight - Pd by Customer</v>
          </cell>
          <cell r="C678" t="str">
            <v>Invoice</v>
          </cell>
          <cell r="D678">
            <v>38378</v>
          </cell>
          <cell r="F678" t="str">
            <v>5166</v>
          </cell>
          <cell r="G678" t="str">
            <v>The Grace Museum</v>
          </cell>
          <cell r="H678">
            <v>1</v>
          </cell>
        </row>
        <row r="679">
          <cell r="B679" t="str">
            <v>Freight - Pd by Customer</v>
          </cell>
          <cell r="C679" t="str">
            <v>Invoice</v>
          </cell>
          <cell r="D679">
            <v>38378</v>
          </cell>
          <cell r="F679" t="str">
            <v>5167</v>
          </cell>
          <cell r="G679" t="str">
            <v>KaBloom! Stephen Chin</v>
          </cell>
          <cell r="H679">
            <v>1</v>
          </cell>
        </row>
        <row r="680">
          <cell r="B680" t="str">
            <v>Freight - Pd by Customer</v>
          </cell>
          <cell r="C680" t="str">
            <v>Invoice</v>
          </cell>
          <cell r="D680">
            <v>38378</v>
          </cell>
          <cell r="F680" t="str">
            <v>5135</v>
          </cell>
          <cell r="G680" t="str">
            <v>Venetian Hotel-Simone Ripamonti</v>
          </cell>
          <cell r="H680">
            <v>1</v>
          </cell>
        </row>
        <row r="681">
          <cell r="B681" t="str">
            <v>Freight - Pd by Customer</v>
          </cell>
          <cell r="C681" t="str">
            <v>Invoice</v>
          </cell>
          <cell r="D681">
            <v>38378</v>
          </cell>
          <cell r="F681" t="str">
            <v>5141</v>
          </cell>
          <cell r="G681" t="str">
            <v>Arkitectura Urbana</v>
          </cell>
          <cell r="H681">
            <v>1</v>
          </cell>
        </row>
        <row r="682">
          <cell r="B682" t="str">
            <v>Freight - Pd by Customer</v>
          </cell>
          <cell r="C682" t="str">
            <v>Invoice</v>
          </cell>
          <cell r="D682">
            <v>38378</v>
          </cell>
          <cell r="F682" t="str">
            <v>5197</v>
          </cell>
          <cell r="G682" t="str">
            <v>Arkitectura Urbana</v>
          </cell>
          <cell r="H682">
            <v>1</v>
          </cell>
        </row>
        <row r="683">
          <cell r="B683" t="str">
            <v>Freight - Pd by Customer</v>
          </cell>
          <cell r="C683" t="str">
            <v>Invoice</v>
          </cell>
          <cell r="D683">
            <v>38379</v>
          </cell>
          <cell r="F683" t="str">
            <v>5133</v>
          </cell>
          <cell r="G683" t="str">
            <v>Lee-Moore Oil Company:Exxon OTR - 42</v>
          </cell>
          <cell r="H683">
            <v>1</v>
          </cell>
        </row>
        <row r="684">
          <cell r="B684" t="str">
            <v>Freight - Pd by Customer</v>
          </cell>
          <cell r="C684" t="str">
            <v>Invoice</v>
          </cell>
          <cell r="D684">
            <v>38382</v>
          </cell>
          <cell r="F684" t="str">
            <v>5211</v>
          </cell>
          <cell r="G684" t="str">
            <v>Saddle Ranch</v>
          </cell>
          <cell r="H684">
            <v>1</v>
          </cell>
        </row>
        <row r="685">
          <cell r="B685" t="str">
            <v>Freight - Pd by Customer</v>
          </cell>
          <cell r="C685" t="str">
            <v>Invoice</v>
          </cell>
          <cell r="D685">
            <v>38383</v>
          </cell>
          <cell r="F685" t="str">
            <v>5261</v>
          </cell>
          <cell r="G685" t="str">
            <v>Boca by Design</v>
          </cell>
          <cell r="H685">
            <v>1</v>
          </cell>
        </row>
        <row r="686">
          <cell r="B686" t="str">
            <v>Freight - Pd by Customer</v>
          </cell>
          <cell r="C686" t="str">
            <v>Invoice</v>
          </cell>
          <cell r="D686">
            <v>38383</v>
          </cell>
          <cell r="F686" t="str">
            <v>5269</v>
          </cell>
          <cell r="G686" t="str">
            <v>I &amp; M Engineering, Inc.</v>
          </cell>
          <cell r="H686">
            <v>1</v>
          </cell>
        </row>
        <row r="687">
          <cell r="B687" t="str">
            <v>Freight - Pd by Customer</v>
          </cell>
          <cell r="C687" t="str">
            <v>Invoice</v>
          </cell>
          <cell r="D687">
            <v>38383</v>
          </cell>
          <cell r="F687" t="str">
            <v>5262</v>
          </cell>
          <cell r="G687" t="str">
            <v>Arometrics/ Valvoline</v>
          </cell>
          <cell r="H687">
            <v>1</v>
          </cell>
        </row>
        <row r="688">
          <cell r="B688" t="str">
            <v>Freight - Pd by Customer</v>
          </cell>
          <cell r="C688" t="str">
            <v>Invoice</v>
          </cell>
          <cell r="D688">
            <v>38383</v>
          </cell>
          <cell r="F688" t="str">
            <v>5215</v>
          </cell>
          <cell r="G688" t="str">
            <v>Sony Style Denver (Old)</v>
          </cell>
          <cell r="H688">
            <v>1</v>
          </cell>
        </row>
        <row r="689">
          <cell r="B689" t="str">
            <v>Freight - Pd by Customer</v>
          </cell>
          <cell r="C689" t="str">
            <v>Invoice</v>
          </cell>
          <cell r="D689">
            <v>38383</v>
          </cell>
          <cell r="F689" t="str">
            <v>5225</v>
          </cell>
          <cell r="G689" t="str">
            <v>Sony Style #65</v>
          </cell>
          <cell r="H689">
            <v>1</v>
          </cell>
        </row>
        <row r="690">
          <cell r="B690" t="str">
            <v>Freight - Pd by Customer</v>
          </cell>
          <cell r="C690" t="str">
            <v>Invoice</v>
          </cell>
          <cell r="D690">
            <v>38383</v>
          </cell>
          <cell r="F690" t="str">
            <v>5001B</v>
          </cell>
          <cell r="G690" t="str">
            <v>AroMarketing:AroMarketing - Guadalajara</v>
          </cell>
          <cell r="H690">
            <v>1</v>
          </cell>
        </row>
        <row r="691">
          <cell r="B691" t="str">
            <v>Freight - Pd by Customer</v>
          </cell>
          <cell r="C691" t="str">
            <v>Invoice</v>
          </cell>
          <cell r="D691">
            <v>38383</v>
          </cell>
          <cell r="F691" t="str">
            <v>4963C</v>
          </cell>
          <cell r="G691" t="str">
            <v>AroMarketing:AroMarketing - Guadalajara</v>
          </cell>
          <cell r="H691">
            <v>1</v>
          </cell>
        </row>
        <row r="692">
          <cell r="B692" t="str">
            <v>Freight - Pd by Customer</v>
          </cell>
          <cell r="C692" t="str">
            <v>Invoice</v>
          </cell>
          <cell r="D692">
            <v>38383</v>
          </cell>
          <cell r="F692" t="str">
            <v>4963C</v>
          </cell>
          <cell r="G692" t="str">
            <v>AroMarketing:AroMarketing - Guadalajara</v>
          </cell>
          <cell r="H692">
            <v>1</v>
          </cell>
        </row>
        <row r="693">
          <cell r="B693" t="str">
            <v>Freight - Pd by Customer</v>
          </cell>
          <cell r="C693" t="str">
            <v>Invoice</v>
          </cell>
          <cell r="D693">
            <v>38383</v>
          </cell>
          <cell r="F693" t="str">
            <v>5201</v>
          </cell>
          <cell r="G693" t="str">
            <v>Andrew &amp; Andrew</v>
          </cell>
          <cell r="H693">
            <v>1</v>
          </cell>
        </row>
        <row r="694">
          <cell r="B694" t="str">
            <v>Freight - Pd by Customer</v>
          </cell>
          <cell r="C694" t="str">
            <v>Invoice</v>
          </cell>
          <cell r="D694">
            <v>38385</v>
          </cell>
          <cell r="F694" t="str">
            <v>5290</v>
          </cell>
          <cell r="G694" t="str">
            <v>GMR Marketing</v>
          </cell>
          <cell r="H694">
            <v>1</v>
          </cell>
        </row>
        <row r="695">
          <cell r="B695" t="str">
            <v>Freight - Pd by Customer</v>
          </cell>
          <cell r="C695" t="str">
            <v>Invoice</v>
          </cell>
          <cell r="D695">
            <v>38385</v>
          </cell>
          <cell r="F695" t="str">
            <v>5289</v>
          </cell>
          <cell r="G695" t="str">
            <v>Yakima Valley Museum</v>
          </cell>
          <cell r="H695">
            <v>1</v>
          </cell>
        </row>
        <row r="696">
          <cell r="B696" t="str">
            <v>Freight - Pd by Customer</v>
          </cell>
          <cell r="C696" t="str">
            <v>Invoice</v>
          </cell>
          <cell r="D696">
            <v>38385</v>
          </cell>
          <cell r="F696" t="str">
            <v>5131</v>
          </cell>
          <cell r="G696" t="str">
            <v>Universal Studios Orlando</v>
          </cell>
          <cell r="H696">
            <v>1</v>
          </cell>
        </row>
        <row r="697">
          <cell r="B697" t="str">
            <v>Freight - Pd by Customer</v>
          </cell>
          <cell r="C697" t="str">
            <v>Invoice</v>
          </cell>
          <cell r="D697">
            <v>38391</v>
          </cell>
          <cell r="F697" t="str">
            <v>5238</v>
          </cell>
          <cell r="G697" t="str">
            <v>Harry and David #564</v>
          </cell>
          <cell r="H697">
            <v>1</v>
          </cell>
        </row>
        <row r="698">
          <cell r="B698" t="str">
            <v>Freight - Pd by Customer</v>
          </cell>
          <cell r="C698" t="str">
            <v>Invoice</v>
          </cell>
          <cell r="D698">
            <v>38391</v>
          </cell>
          <cell r="F698" t="str">
            <v>5198</v>
          </cell>
          <cell r="G698" t="str">
            <v>Wayside Cleaners</v>
          </cell>
          <cell r="H698">
            <v>1</v>
          </cell>
        </row>
        <row r="699">
          <cell r="B699" t="str">
            <v>Freight - Pd by Customer</v>
          </cell>
          <cell r="C699" t="str">
            <v>Invoice</v>
          </cell>
          <cell r="D699">
            <v>38391</v>
          </cell>
          <cell r="F699" t="str">
            <v>5292</v>
          </cell>
          <cell r="G699" t="str">
            <v>Walton's Florist</v>
          </cell>
          <cell r="H699">
            <v>1</v>
          </cell>
        </row>
        <row r="700">
          <cell r="B700" t="str">
            <v>Freight - Pd by Customer</v>
          </cell>
          <cell r="C700" t="str">
            <v>Invoice</v>
          </cell>
          <cell r="D700">
            <v>38391</v>
          </cell>
          <cell r="F700" t="str">
            <v>5291</v>
          </cell>
          <cell r="G700" t="str">
            <v>Scent Events, LLC</v>
          </cell>
          <cell r="H700">
            <v>1</v>
          </cell>
        </row>
        <row r="701">
          <cell r="B701" t="str">
            <v>Freight - Pd by Customer</v>
          </cell>
          <cell r="C701" t="str">
            <v>Invoice</v>
          </cell>
          <cell r="D701">
            <v>38391</v>
          </cell>
          <cell r="F701" t="str">
            <v>5293</v>
          </cell>
          <cell r="G701" t="str">
            <v>GrupoBiz-Aeropuerto</v>
          </cell>
          <cell r="H701">
            <v>1</v>
          </cell>
        </row>
        <row r="702">
          <cell r="B702" t="str">
            <v>Freight - Pd by Customer</v>
          </cell>
          <cell r="C702" t="str">
            <v>Invoice</v>
          </cell>
          <cell r="D702">
            <v>38393</v>
          </cell>
          <cell r="F702" t="str">
            <v>5283</v>
          </cell>
          <cell r="G702" t="str">
            <v>Grupobiz-Integradora De Espartaculos</v>
          </cell>
          <cell r="H702">
            <v>1</v>
          </cell>
        </row>
        <row r="703">
          <cell r="B703" t="str">
            <v>Freight - Pd by Customer</v>
          </cell>
          <cell r="C703" t="str">
            <v>Invoice</v>
          </cell>
          <cell r="D703">
            <v>38393</v>
          </cell>
          <cell r="F703" t="str">
            <v>5283</v>
          </cell>
          <cell r="G703" t="str">
            <v>Grupobiz-Integradora De Espartaculos</v>
          </cell>
          <cell r="H703">
            <v>1</v>
          </cell>
        </row>
        <row r="704">
          <cell r="B704" t="str">
            <v>Freight - Pd by Customer</v>
          </cell>
          <cell r="C704" t="str">
            <v>Invoice</v>
          </cell>
          <cell r="D704">
            <v>38393</v>
          </cell>
          <cell r="F704" t="str">
            <v>5283</v>
          </cell>
          <cell r="G704" t="str">
            <v>Grupobiz-Integradora De Espartaculos</v>
          </cell>
          <cell r="H704">
            <v>1</v>
          </cell>
        </row>
        <row r="705">
          <cell r="B705" t="str">
            <v>Freight - Pd by Customer</v>
          </cell>
          <cell r="C705" t="str">
            <v>Invoice</v>
          </cell>
          <cell r="D705">
            <v>38393</v>
          </cell>
          <cell r="F705" t="str">
            <v>5297</v>
          </cell>
          <cell r="G705" t="str">
            <v>LindyLazar Marketing Communications,LLC</v>
          </cell>
          <cell r="H705">
            <v>1</v>
          </cell>
        </row>
        <row r="706">
          <cell r="B706" t="str">
            <v>Freight - Pd by Customer</v>
          </cell>
          <cell r="C706" t="str">
            <v>Invoice</v>
          </cell>
          <cell r="D706">
            <v>38393</v>
          </cell>
          <cell r="F706" t="str">
            <v>5298</v>
          </cell>
          <cell r="G706" t="str">
            <v>Parigi International</v>
          </cell>
          <cell r="H706">
            <v>1</v>
          </cell>
        </row>
        <row r="707">
          <cell r="B707" t="str">
            <v>Freight - Pd by Customer</v>
          </cell>
          <cell r="C707" t="str">
            <v>Invoice</v>
          </cell>
          <cell r="D707">
            <v>38393</v>
          </cell>
          <cell r="F707" t="str">
            <v>5309</v>
          </cell>
          <cell r="G707" t="str">
            <v>Klipsch Audio Technologies</v>
          </cell>
          <cell r="H707">
            <v>1</v>
          </cell>
        </row>
        <row r="708">
          <cell r="B708" t="str">
            <v>Freight - Pd by Customer</v>
          </cell>
          <cell r="C708" t="str">
            <v>Invoice</v>
          </cell>
          <cell r="D708">
            <v>38393</v>
          </cell>
          <cell r="F708" t="str">
            <v>5301</v>
          </cell>
          <cell r="G708" t="str">
            <v>Bryant Sons Ltd</v>
          </cell>
          <cell r="H708">
            <v>1</v>
          </cell>
        </row>
        <row r="709">
          <cell r="B709" t="str">
            <v>Freight - Pd by Customer</v>
          </cell>
          <cell r="C709" t="str">
            <v>Invoice</v>
          </cell>
          <cell r="D709">
            <v>38393</v>
          </cell>
          <cell r="F709" t="str">
            <v>5302</v>
          </cell>
          <cell r="G709" t="str">
            <v>Maltbie Associates</v>
          </cell>
          <cell r="H709">
            <v>1</v>
          </cell>
        </row>
        <row r="710">
          <cell r="B710" t="str">
            <v>Freight - Pd by Customer</v>
          </cell>
          <cell r="C710" t="str">
            <v>Invoice</v>
          </cell>
          <cell r="D710">
            <v>38398</v>
          </cell>
          <cell r="F710" t="str">
            <v>5302A</v>
          </cell>
          <cell r="G710" t="str">
            <v>ScentAir Australia Pty Ltd.</v>
          </cell>
          <cell r="H710">
            <v>1</v>
          </cell>
        </row>
        <row r="711">
          <cell r="B711" t="str">
            <v>Freight - Pd by Customer</v>
          </cell>
          <cell r="C711" t="str">
            <v>Invoice</v>
          </cell>
          <cell r="D711">
            <v>38398</v>
          </cell>
          <cell r="F711" t="str">
            <v>5305</v>
          </cell>
          <cell r="G711" t="str">
            <v>Arkitectura Urbana</v>
          </cell>
          <cell r="H711">
            <v>1</v>
          </cell>
        </row>
        <row r="712">
          <cell r="B712" t="str">
            <v>Freight - Pd by Customer</v>
          </cell>
          <cell r="C712" t="str">
            <v>Invoice</v>
          </cell>
          <cell r="D712">
            <v>38398</v>
          </cell>
          <cell r="F712" t="str">
            <v>5313</v>
          </cell>
          <cell r="G712" t="str">
            <v>Craftsman Industries</v>
          </cell>
          <cell r="H712">
            <v>1</v>
          </cell>
        </row>
        <row r="713">
          <cell r="B713" t="str">
            <v>Freight - Pd by Customer</v>
          </cell>
          <cell r="C713" t="str">
            <v>Invoice</v>
          </cell>
          <cell r="D713">
            <v>38398</v>
          </cell>
          <cell r="F713" t="str">
            <v>5314</v>
          </cell>
          <cell r="G713" t="str">
            <v>Weird and Wonderful</v>
          </cell>
          <cell r="H713">
            <v>1</v>
          </cell>
        </row>
        <row r="714">
          <cell r="B714" t="str">
            <v>Freight - Pd by Customer</v>
          </cell>
          <cell r="C714" t="str">
            <v>Invoice</v>
          </cell>
          <cell r="D714">
            <v>38399</v>
          </cell>
          <cell r="F714" t="str">
            <v>5232</v>
          </cell>
          <cell r="G714" t="str">
            <v>Ashley Furniture HomeStore</v>
          </cell>
          <cell r="H714">
            <v>1</v>
          </cell>
        </row>
        <row r="715">
          <cell r="B715" t="str">
            <v>Freight - Pd by Customer</v>
          </cell>
          <cell r="C715" t="str">
            <v>Invoice</v>
          </cell>
          <cell r="D715">
            <v>38399</v>
          </cell>
          <cell r="F715" t="str">
            <v>5216</v>
          </cell>
          <cell r="G715" t="str">
            <v>Sony Style #52</v>
          </cell>
          <cell r="H715">
            <v>1</v>
          </cell>
        </row>
        <row r="716">
          <cell r="B716" t="str">
            <v>Freight - Pd by Customer</v>
          </cell>
          <cell r="C716" t="str">
            <v>Invoice</v>
          </cell>
          <cell r="D716">
            <v>38399</v>
          </cell>
          <cell r="F716" t="str">
            <v>5316</v>
          </cell>
          <cell r="G716" t="str">
            <v>Sony  Style # 62</v>
          </cell>
          <cell r="H716">
            <v>1</v>
          </cell>
        </row>
        <row r="717">
          <cell r="B717" t="str">
            <v>Freight - Pd by Customer</v>
          </cell>
          <cell r="C717" t="str">
            <v>Invoice</v>
          </cell>
          <cell r="D717">
            <v>38405</v>
          </cell>
          <cell r="F717" t="str">
            <v>5338</v>
          </cell>
          <cell r="G717" t="str">
            <v>Universal Exhibits</v>
          </cell>
          <cell r="H717">
            <v>1</v>
          </cell>
        </row>
        <row r="718">
          <cell r="B718" t="str">
            <v>Freight - Pd by Customer</v>
          </cell>
          <cell r="C718" t="str">
            <v>Invoice</v>
          </cell>
          <cell r="D718">
            <v>38405</v>
          </cell>
          <cell r="F718" t="str">
            <v>5341</v>
          </cell>
          <cell r="G718" t="str">
            <v>St. Andrews Golf Shop</v>
          </cell>
          <cell r="H718">
            <v>1</v>
          </cell>
        </row>
        <row r="719">
          <cell r="B719" t="str">
            <v>Freight - Pd by Customer</v>
          </cell>
          <cell r="C719" t="str">
            <v>Invoice</v>
          </cell>
          <cell r="D719">
            <v>38405</v>
          </cell>
          <cell r="F719" t="str">
            <v>5349</v>
          </cell>
          <cell r="G719" t="str">
            <v>Shop Rite</v>
          </cell>
          <cell r="H719">
            <v>1</v>
          </cell>
        </row>
        <row r="720">
          <cell r="B720" t="str">
            <v>Freight - Pd by Customer</v>
          </cell>
          <cell r="C720" t="str">
            <v>Invoice</v>
          </cell>
          <cell r="D720">
            <v>38405</v>
          </cell>
          <cell r="F720" t="str">
            <v>5359</v>
          </cell>
          <cell r="G720" t="str">
            <v>Piggly Wiggly</v>
          </cell>
          <cell r="H720">
            <v>1</v>
          </cell>
        </row>
        <row r="721">
          <cell r="B721" t="str">
            <v>Freight - Pd by Customer</v>
          </cell>
          <cell r="C721" t="str">
            <v>Invoice</v>
          </cell>
          <cell r="D721">
            <v>38405</v>
          </cell>
          <cell r="F721" t="str">
            <v>5358</v>
          </cell>
          <cell r="G721" t="str">
            <v>Andrew &amp; Andrew</v>
          </cell>
          <cell r="H721">
            <v>1</v>
          </cell>
        </row>
        <row r="722">
          <cell r="B722" t="str">
            <v>Freight - Pd by Customer</v>
          </cell>
          <cell r="C722" t="str">
            <v>Invoice</v>
          </cell>
          <cell r="D722">
            <v>38405</v>
          </cell>
          <cell r="F722" t="str">
            <v>5360</v>
          </cell>
          <cell r="G722" t="str">
            <v>M &amp; M World</v>
          </cell>
          <cell r="H722">
            <v>1</v>
          </cell>
        </row>
        <row r="723">
          <cell r="B723" t="str">
            <v>Freight - Pd by Customer</v>
          </cell>
          <cell r="C723" t="str">
            <v>Invoice</v>
          </cell>
          <cell r="D723">
            <v>38406</v>
          </cell>
          <cell r="F723" t="str">
            <v>5352</v>
          </cell>
          <cell r="G723" t="str">
            <v>Exxon DDB Worldwide:Exxon DDB Worldwide #20407</v>
          </cell>
          <cell r="H723">
            <v>1</v>
          </cell>
        </row>
        <row r="724">
          <cell r="B724" t="str">
            <v>Freight - Pd by Customer</v>
          </cell>
          <cell r="C724" t="str">
            <v>Invoice</v>
          </cell>
          <cell r="D724">
            <v>38406</v>
          </cell>
          <cell r="F724" t="str">
            <v>5353</v>
          </cell>
          <cell r="G724" t="str">
            <v>Exxon DDB Worldwide:Exxon DDB Worldwide #24239</v>
          </cell>
          <cell r="H724">
            <v>1</v>
          </cell>
        </row>
        <row r="725">
          <cell r="B725" t="str">
            <v>Freight - Pd by Customer</v>
          </cell>
          <cell r="C725" t="str">
            <v>Invoice</v>
          </cell>
          <cell r="D725">
            <v>38406</v>
          </cell>
          <cell r="F725" t="str">
            <v>5350</v>
          </cell>
          <cell r="G725" t="str">
            <v>Exxon DDB Worldwide:Exxon DDB Worldwide #15022</v>
          </cell>
          <cell r="H725">
            <v>1</v>
          </cell>
        </row>
        <row r="726">
          <cell r="B726" t="str">
            <v>Freight - Pd by Customer</v>
          </cell>
          <cell r="C726" t="str">
            <v>Invoice</v>
          </cell>
          <cell r="D726">
            <v>38406</v>
          </cell>
          <cell r="F726" t="str">
            <v>5354</v>
          </cell>
          <cell r="G726" t="str">
            <v>Exxon DDB Worldwide# 2431</v>
          </cell>
          <cell r="H726">
            <v>1</v>
          </cell>
        </row>
        <row r="727">
          <cell r="B727" t="str">
            <v>Freight - Pd by Customer</v>
          </cell>
          <cell r="C727" t="str">
            <v>Invoice</v>
          </cell>
          <cell r="D727">
            <v>38406</v>
          </cell>
          <cell r="F727" t="str">
            <v>5356</v>
          </cell>
          <cell r="G727" t="str">
            <v>Exxon DDB Worldwide:Exxon DDB Worldwide #26308</v>
          </cell>
          <cell r="H727">
            <v>1</v>
          </cell>
        </row>
        <row r="728">
          <cell r="B728" t="str">
            <v>Freight - Pd by Customer</v>
          </cell>
          <cell r="C728" t="str">
            <v>Invoice</v>
          </cell>
          <cell r="D728">
            <v>38406</v>
          </cell>
          <cell r="F728" t="str">
            <v>5357</v>
          </cell>
          <cell r="G728" t="str">
            <v>Exxon DDB Worldwide:Exxon DDB Worldwide #30618</v>
          </cell>
          <cell r="H728">
            <v>1</v>
          </cell>
        </row>
        <row r="729">
          <cell r="B729" t="str">
            <v>Freight - Pd by Customer</v>
          </cell>
          <cell r="C729" t="str">
            <v>Invoice</v>
          </cell>
          <cell r="D729">
            <v>38406</v>
          </cell>
          <cell r="F729" t="str">
            <v>5346</v>
          </cell>
          <cell r="G729" t="str">
            <v>Exxon DDB Worldwide#11640</v>
          </cell>
          <cell r="H729">
            <v>1</v>
          </cell>
        </row>
        <row r="730">
          <cell r="B730" t="str">
            <v>Freight - Pd by Customer</v>
          </cell>
          <cell r="C730" t="str">
            <v>Invoice</v>
          </cell>
          <cell r="D730">
            <v>38406</v>
          </cell>
          <cell r="F730" t="str">
            <v>5355</v>
          </cell>
          <cell r="G730" t="str">
            <v>Exxon DDB Worldwide# 25329</v>
          </cell>
          <cell r="H730">
            <v>1</v>
          </cell>
        </row>
        <row r="731">
          <cell r="B731" t="str">
            <v>Freight - Pd by Customer</v>
          </cell>
          <cell r="C731" t="str">
            <v>Invoice</v>
          </cell>
          <cell r="D731">
            <v>38407</v>
          </cell>
          <cell r="F731" t="str">
            <v>5345</v>
          </cell>
          <cell r="G731" t="str">
            <v>Exxon DDB Worldwide#10241</v>
          </cell>
          <cell r="H731">
            <v>1</v>
          </cell>
        </row>
        <row r="732">
          <cell r="B732" t="str">
            <v>Freight - Pd by Customer</v>
          </cell>
          <cell r="C732" t="str">
            <v>Invoice</v>
          </cell>
          <cell r="D732">
            <v>38407</v>
          </cell>
          <cell r="F732" t="str">
            <v>5347</v>
          </cell>
          <cell r="G732" t="str">
            <v>Exxon DDB Worldwide:Exxon DDB Worldwide #11644</v>
          </cell>
          <cell r="H732">
            <v>1</v>
          </cell>
        </row>
        <row r="733">
          <cell r="B733" t="str">
            <v>Freight - Pd by Customer</v>
          </cell>
          <cell r="C733" t="str">
            <v>Invoice</v>
          </cell>
          <cell r="D733">
            <v>38411</v>
          </cell>
          <cell r="F733" t="str">
            <v>5364</v>
          </cell>
          <cell r="G733" t="str">
            <v>Grupobiz-Integradora De Espartaculos</v>
          </cell>
          <cell r="H733">
            <v>1</v>
          </cell>
        </row>
        <row r="734">
          <cell r="B734" t="str">
            <v>Freight - Pd by Customer</v>
          </cell>
          <cell r="C734" t="str">
            <v>Invoice</v>
          </cell>
          <cell r="D734">
            <v>38411</v>
          </cell>
          <cell r="F734" t="str">
            <v>5344</v>
          </cell>
          <cell r="G734" t="str">
            <v>Videotronic Benelux BV</v>
          </cell>
          <cell r="H734">
            <v>1</v>
          </cell>
        </row>
        <row r="735">
          <cell r="B735" t="str">
            <v>Freight - Pd by Customer</v>
          </cell>
          <cell r="C735" t="str">
            <v>Invoice</v>
          </cell>
          <cell r="D735">
            <v>38411</v>
          </cell>
          <cell r="F735" t="str">
            <v>5366</v>
          </cell>
          <cell r="G735" t="str">
            <v>Pyramid Title Company</v>
          </cell>
          <cell r="H735">
            <v>1</v>
          </cell>
        </row>
        <row r="736">
          <cell r="B736" t="str">
            <v>Freight - Pd by Customer</v>
          </cell>
          <cell r="C736" t="str">
            <v>Invoice</v>
          </cell>
          <cell r="D736">
            <v>38411</v>
          </cell>
          <cell r="F736" t="str">
            <v>5372</v>
          </cell>
          <cell r="G736" t="str">
            <v>ScentAir Australia Pty Ltd.</v>
          </cell>
          <cell r="H736">
            <v>1</v>
          </cell>
        </row>
        <row r="737">
          <cell r="B737" t="str">
            <v>Freight - Pd by Customer</v>
          </cell>
          <cell r="C737" t="str">
            <v>Invoice</v>
          </cell>
          <cell r="D737">
            <v>38411</v>
          </cell>
          <cell r="F737" t="str">
            <v>5393</v>
          </cell>
          <cell r="G737" t="str">
            <v>H.H. Gregg, Inc.</v>
          </cell>
          <cell r="H737">
            <v>1</v>
          </cell>
        </row>
        <row r="738">
          <cell r="B738" t="str">
            <v>Freight - Pd by Customer</v>
          </cell>
          <cell r="C738" t="str">
            <v>Invoice</v>
          </cell>
          <cell r="D738">
            <v>38411</v>
          </cell>
          <cell r="F738" t="str">
            <v>5392</v>
          </cell>
          <cell r="G738" t="str">
            <v>H.H. Gregg, Inc.</v>
          </cell>
          <cell r="H738">
            <v>1</v>
          </cell>
        </row>
        <row r="739">
          <cell r="B739" t="str">
            <v>Freight - Pd by Customer</v>
          </cell>
          <cell r="C739" t="str">
            <v>Invoice</v>
          </cell>
          <cell r="D739">
            <v>38411</v>
          </cell>
          <cell r="F739" t="str">
            <v>5383</v>
          </cell>
          <cell r="G739" t="str">
            <v>Bark Avenue Bakery</v>
          </cell>
          <cell r="H739">
            <v>1</v>
          </cell>
        </row>
        <row r="740">
          <cell r="B740" t="str">
            <v>Freight - Pd by Customer</v>
          </cell>
          <cell r="C740" t="str">
            <v>Invoice</v>
          </cell>
          <cell r="D740">
            <v>38411</v>
          </cell>
          <cell r="F740" t="str">
            <v>5380</v>
          </cell>
          <cell r="G740" t="str">
            <v>Harry and David #564</v>
          </cell>
          <cell r="H740">
            <v>1</v>
          </cell>
        </row>
        <row r="741">
          <cell r="B741" t="str">
            <v>Freight - Pd by Customer</v>
          </cell>
          <cell r="C741" t="str">
            <v>Invoice</v>
          </cell>
          <cell r="D741">
            <v>38411</v>
          </cell>
          <cell r="F741" t="str">
            <v>5379</v>
          </cell>
          <cell r="G741" t="str">
            <v>Hot Stuff</v>
          </cell>
          <cell r="H741">
            <v>1</v>
          </cell>
        </row>
        <row r="742">
          <cell r="B742" t="str">
            <v>Freight - Pd by Customer</v>
          </cell>
          <cell r="C742" t="str">
            <v>Invoice</v>
          </cell>
          <cell r="D742">
            <v>38411</v>
          </cell>
          <cell r="F742" t="str">
            <v>5382</v>
          </cell>
          <cell r="G742" t="str">
            <v>Dylan's Candy Bar</v>
          </cell>
          <cell r="H742">
            <v>1</v>
          </cell>
        </row>
        <row r="743">
          <cell r="B743" t="str">
            <v>Freight - Pd by Customer</v>
          </cell>
          <cell r="C743" t="str">
            <v>Invoice</v>
          </cell>
          <cell r="D743">
            <v>38411</v>
          </cell>
          <cell r="F743" t="str">
            <v>5375</v>
          </cell>
          <cell r="G743" t="str">
            <v>Southern Kitchen and Bath</v>
          </cell>
          <cell r="H743">
            <v>1</v>
          </cell>
        </row>
        <row r="744">
          <cell r="B744" t="str">
            <v>Freight - Pd by Customer</v>
          </cell>
          <cell r="C744" t="str">
            <v>Invoice</v>
          </cell>
          <cell r="D744">
            <v>38411</v>
          </cell>
          <cell r="F744" t="str">
            <v>5373</v>
          </cell>
          <cell r="G744" t="str">
            <v>Silks By Mu-Mu Manufactuteres</v>
          </cell>
          <cell r="H744">
            <v>1</v>
          </cell>
        </row>
        <row r="745">
          <cell r="B745" t="str">
            <v>Freight - Pd by Customer</v>
          </cell>
          <cell r="C745" t="str">
            <v>Invoice</v>
          </cell>
          <cell r="D745">
            <v>38411</v>
          </cell>
          <cell r="F745" t="str">
            <v>5394</v>
          </cell>
          <cell r="G745" t="str">
            <v>H.H. Gregg, Inc.</v>
          </cell>
          <cell r="H745">
            <v>1</v>
          </cell>
        </row>
        <row r="746">
          <cell r="B746" t="str">
            <v>Freight - Pd by Customer</v>
          </cell>
          <cell r="C746" t="str">
            <v>Invoice</v>
          </cell>
          <cell r="D746">
            <v>38411</v>
          </cell>
          <cell r="F746" t="str">
            <v>5391</v>
          </cell>
          <cell r="G746" t="str">
            <v>H.H. Gregg, Inc.</v>
          </cell>
          <cell r="H746">
            <v>1</v>
          </cell>
        </row>
        <row r="747">
          <cell r="B747" t="str">
            <v>Freight - Pd by Customer</v>
          </cell>
          <cell r="C747" t="str">
            <v>Invoice</v>
          </cell>
          <cell r="D747">
            <v>38411</v>
          </cell>
          <cell r="F747" t="str">
            <v>5381</v>
          </cell>
          <cell r="G747" t="str">
            <v>General Growth Properties-Market Place</v>
          </cell>
          <cell r="H747">
            <v>1</v>
          </cell>
        </row>
        <row r="748">
          <cell r="B748" t="str">
            <v>Freight - Pd by Customer</v>
          </cell>
          <cell r="C748" t="str">
            <v>Invoice</v>
          </cell>
          <cell r="D748">
            <v>38411</v>
          </cell>
          <cell r="F748" t="str">
            <v>5396</v>
          </cell>
          <cell r="G748" t="str">
            <v>South Pacific Elixir Company Inc.</v>
          </cell>
          <cell r="H748">
            <v>1</v>
          </cell>
        </row>
        <row r="749">
          <cell r="B749" t="str">
            <v>Freight - Pd by Customer</v>
          </cell>
          <cell r="C749" t="str">
            <v>Invoice</v>
          </cell>
          <cell r="D749">
            <v>38411</v>
          </cell>
          <cell r="F749" t="str">
            <v>5390</v>
          </cell>
          <cell r="G749" t="str">
            <v>Sea World Orlando</v>
          </cell>
          <cell r="H749">
            <v>1</v>
          </cell>
        </row>
        <row r="750">
          <cell r="B750" t="str">
            <v>Freight - Pd by Customer</v>
          </cell>
          <cell r="C750" t="str">
            <v>Invoice</v>
          </cell>
          <cell r="D750">
            <v>38411</v>
          </cell>
          <cell r="F750" t="str">
            <v>5385</v>
          </cell>
          <cell r="G750" t="str">
            <v>Celebration Hotel</v>
          </cell>
          <cell r="H750">
            <v>1</v>
          </cell>
        </row>
        <row r="751">
          <cell r="B751" t="str">
            <v>Freight - Pd by Customer</v>
          </cell>
          <cell r="C751" t="str">
            <v>Invoice</v>
          </cell>
          <cell r="D751">
            <v>38411</v>
          </cell>
          <cell r="F751" t="str">
            <v>5412</v>
          </cell>
          <cell r="G751" t="str">
            <v>Sony Style #58</v>
          </cell>
          <cell r="H751">
            <v>1</v>
          </cell>
        </row>
        <row r="752">
          <cell r="B752" t="str">
            <v>Freight - Pd by Customer</v>
          </cell>
          <cell r="C752" t="str">
            <v>Invoice</v>
          </cell>
          <cell r="D752">
            <v>38411</v>
          </cell>
          <cell r="F752" t="str">
            <v>5414</v>
          </cell>
          <cell r="G752" t="str">
            <v>Sony Style #56</v>
          </cell>
          <cell r="H752">
            <v>1</v>
          </cell>
        </row>
        <row r="753">
          <cell r="B753" t="str">
            <v>Freight - Pd by Customer</v>
          </cell>
          <cell r="C753" t="str">
            <v>Invoice</v>
          </cell>
          <cell r="D753">
            <v>38411</v>
          </cell>
          <cell r="F753" t="str">
            <v>5410</v>
          </cell>
          <cell r="G753" t="str">
            <v>Sony Style #54</v>
          </cell>
          <cell r="H753">
            <v>1</v>
          </cell>
        </row>
        <row r="754">
          <cell r="B754" t="str">
            <v>Freight - Pd by Customer</v>
          </cell>
          <cell r="C754" t="str">
            <v>Invoice</v>
          </cell>
          <cell r="D754">
            <v>38411</v>
          </cell>
          <cell r="F754" t="str">
            <v>5411</v>
          </cell>
          <cell r="G754" t="str">
            <v>Sony Style #61</v>
          </cell>
          <cell r="H754">
            <v>1</v>
          </cell>
        </row>
        <row r="755">
          <cell r="B755" t="str">
            <v>Freight - Pd by Customer</v>
          </cell>
          <cell r="C755" t="str">
            <v>Invoice</v>
          </cell>
          <cell r="D755">
            <v>38411</v>
          </cell>
          <cell r="F755" t="str">
            <v>5413</v>
          </cell>
          <cell r="G755" t="str">
            <v>Sony Style #57</v>
          </cell>
          <cell r="H755">
            <v>1</v>
          </cell>
        </row>
        <row r="756">
          <cell r="B756" t="str">
            <v>Freight - Pd by Customer</v>
          </cell>
          <cell r="C756" t="str">
            <v>Invoice</v>
          </cell>
          <cell r="D756">
            <v>38411</v>
          </cell>
          <cell r="F756" t="str">
            <v>5415</v>
          </cell>
          <cell r="G756" t="str">
            <v>Sony Style #55</v>
          </cell>
          <cell r="H756">
            <v>1</v>
          </cell>
        </row>
        <row r="757">
          <cell r="B757" t="str">
            <v>Freight - Pd by Customer</v>
          </cell>
          <cell r="C757" t="str">
            <v>Invoice</v>
          </cell>
          <cell r="D757">
            <v>38411</v>
          </cell>
          <cell r="F757" t="str">
            <v>5416</v>
          </cell>
          <cell r="G757" t="str">
            <v>Sony Style #53</v>
          </cell>
          <cell r="H757">
            <v>1</v>
          </cell>
        </row>
        <row r="758">
          <cell r="B758" t="str">
            <v>Freight - Pd by Customer</v>
          </cell>
          <cell r="C758" t="str">
            <v>Invoice</v>
          </cell>
          <cell r="D758">
            <v>38411</v>
          </cell>
          <cell r="F758" t="str">
            <v>5417</v>
          </cell>
          <cell r="G758" t="str">
            <v>Sony Style #52</v>
          </cell>
          <cell r="H758">
            <v>1</v>
          </cell>
        </row>
        <row r="759">
          <cell r="B759" t="str">
            <v>Freight - Pd by Customer</v>
          </cell>
          <cell r="C759" t="str">
            <v>Invoice</v>
          </cell>
          <cell r="D759">
            <v>38411</v>
          </cell>
          <cell r="F759" t="str">
            <v>5418</v>
          </cell>
          <cell r="G759" t="str">
            <v>Sony Style #51</v>
          </cell>
          <cell r="H759">
            <v>1</v>
          </cell>
        </row>
        <row r="760">
          <cell r="B760" t="str">
            <v>Freight - Pd by Customer</v>
          </cell>
          <cell r="C760" t="str">
            <v>Invoice</v>
          </cell>
          <cell r="D760">
            <v>38411</v>
          </cell>
          <cell r="F760" t="str">
            <v>5419</v>
          </cell>
          <cell r="G760" t="str">
            <v>Sony Style #60</v>
          </cell>
          <cell r="H760">
            <v>1</v>
          </cell>
        </row>
        <row r="761">
          <cell r="B761" t="str">
            <v>Freight - Pd by Customer</v>
          </cell>
          <cell r="C761" t="str">
            <v>Invoice</v>
          </cell>
          <cell r="D761">
            <v>38411</v>
          </cell>
          <cell r="F761" t="str">
            <v>5365</v>
          </cell>
          <cell r="G761" t="str">
            <v>American Solutions Inc.</v>
          </cell>
          <cell r="H761">
            <v>1</v>
          </cell>
        </row>
        <row r="762">
          <cell r="B762" t="str">
            <v>Freight - Pd by Customer</v>
          </cell>
          <cell r="C762" t="str">
            <v>Invoice</v>
          </cell>
          <cell r="D762">
            <v>38411</v>
          </cell>
          <cell r="F762" t="str">
            <v>5365</v>
          </cell>
          <cell r="G762" t="str">
            <v>American Solutions Inc.</v>
          </cell>
          <cell r="H762">
            <v>1</v>
          </cell>
        </row>
        <row r="763">
          <cell r="B763" t="str">
            <v>Freight - Pd by Customer</v>
          </cell>
          <cell r="C763" t="str">
            <v>Invoice</v>
          </cell>
          <cell r="D763">
            <v>38420</v>
          </cell>
          <cell r="F763" t="str">
            <v>5386</v>
          </cell>
          <cell r="G763" t="str">
            <v>Celebration Health</v>
          </cell>
          <cell r="H763">
            <v>1</v>
          </cell>
        </row>
        <row r="764">
          <cell r="B764" t="str">
            <v>Freight - Pd by Customer</v>
          </cell>
          <cell r="C764" t="str">
            <v>Invoice</v>
          </cell>
          <cell r="D764">
            <v>38420</v>
          </cell>
          <cell r="F764" t="str">
            <v>5395</v>
          </cell>
          <cell r="G764" t="str">
            <v>Kroger</v>
          </cell>
          <cell r="H764">
            <v>1</v>
          </cell>
        </row>
        <row r="765">
          <cell r="B765" t="str">
            <v>Freight - Pd by Customer</v>
          </cell>
          <cell r="C765" t="str">
            <v>Invoice</v>
          </cell>
          <cell r="D765">
            <v>38420</v>
          </cell>
          <cell r="F765" t="str">
            <v>5387</v>
          </cell>
          <cell r="G765" t="str">
            <v>Hard Rock Hotel</v>
          </cell>
          <cell r="H765">
            <v>1</v>
          </cell>
        </row>
        <row r="766">
          <cell r="B766" t="str">
            <v>Freight - Pd by Customer</v>
          </cell>
          <cell r="C766" t="str">
            <v>Invoice</v>
          </cell>
          <cell r="D766">
            <v>38420</v>
          </cell>
          <cell r="F766" t="str">
            <v>5449</v>
          </cell>
          <cell r="G766" t="str">
            <v>Bloomingdale's #20</v>
          </cell>
          <cell r="H766">
            <v>1</v>
          </cell>
        </row>
        <row r="767">
          <cell r="B767" t="str">
            <v>Freight - Pd by Customer</v>
          </cell>
          <cell r="C767" t="str">
            <v>Invoice</v>
          </cell>
          <cell r="D767">
            <v>38420</v>
          </cell>
          <cell r="F767" t="str">
            <v>5448</v>
          </cell>
          <cell r="G767" t="str">
            <v>WDW Disney's Decorating Support</v>
          </cell>
          <cell r="H767">
            <v>1</v>
          </cell>
        </row>
        <row r="768">
          <cell r="B768" t="str">
            <v>Freight - Pd by Customer</v>
          </cell>
          <cell r="C768" t="str">
            <v>Invoice</v>
          </cell>
          <cell r="D768">
            <v>38421</v>
          </cell>
          <cell r="F768" t="str">
            <v>5420</v>
          </cell>
          <cell r="G768" t="str">
            <v>Dylan's Candy Bar - NYC</v>
          </cell>
          <cell r="H768">
            <v>1</v>
          </cell>
        </row>
        <row r="769">
          <cell r="B769" t="str">
            <v>Freight - Pd by Customer</v>
          </cell>
          <cell r="C769" t="str">
            <v>Invoice</v>
          </cell>
          <cell r="D769">
            <v>38421</v>
          </cell>
          <cell r="F769" t="str">
            <v>5424</v>
          </cell>
          <cell r="G769" t="str">
            <v>ScentAir Australia Pty Ltd.</v>
          </cell>
          <cell r="H769">
            <v>1</v>
          </cell>
        </row>
        <row r="770">
          <cell r="B770" t="str">
            <v>Freight - Pd by Customer</v>
          </cell>
          <cell r="C770" t="str">
            <v>Invoice</v>
          </cell>
          <cell r="D770">
            <v>38421</v>
          </cell>
          <cell r="F770" t="str">
            <v>5452</v>
          </cell>
          <cell r="G770" t="str">
            <v>Bloomingdale's #20</v>
          </cell>
          <cell r="H770">
            <v>1</v>
          </cell>
        </row>
        <row r="771">
          <cell r="B771" t="str">
            <v>Freight - Pd by Customer</v>
          </cell>
          <cell r="C771" t="str">
            <v>Invoice</v>
          </cell>
          <cell r="D771">
            <v>38421</v>
          </cell>
          <cell r="F771" t="str">
            <v>5430</v>
          </cell>
          <cell r="G771" t="str">
            <v>South Pacific Elixir Company Inc.</v>
          </cell>
          <cell r="H771">
            <v>1</v>
          </cell>
        </row>
        <row r="772">
          <cell r="B772" t="str">
            <v>Freight - Pd by Customer</v>
          </cell>
          <cell r="C772" t="str">
            <v>Invoice</v>
          </cell>
          <cell r="D772">
            <v>38421</v>
          </cell>
          <cell r="F772" t="str">
            <v>5423</v>
          </cell>
          <cell r="G772" t="str">
            <v>University of Arizona Bookstore</v>
          </cell>
          <cell r="H772">
            <v>1</v>
          </cell>
        </row>
        <row r="773">
          <cell r="B773" t="str">
            <v>Freight - Pd by Customer</v>
          </cell>
          <cell r="C773" t="str">
            <v>Invoice</v>
          </cell>
          <cell r="D773">
            <v>38421</v>
          </cell>
          <cell r="F773" t="str">
            <v>5454</v>
          </cell>
          <cell r="G773" t="str">
            <v>Weird and Wonderful</v>
          </cell>
          <cell r="H773">
            <v>1</v>
          </cell>
        </row>
        <row r="774">
          <cell r="B774" t="str">
            <v>Freight - Pd by Customer</v>
          </cell>
          <cell r="C774" t="str">
            <v>Invoice</v>
          </cell>
          <cell r="D774">
            <v>38422</v>
          </cell>
          <cell r="F774" t="str">
            <v>5427</v>
          </cell>
          <cell r="G774" t="str">
            <v>Innomark Communications</v>
          </cell>
          <cell r="H774">
            <v>1</v>
          </cell>
        </row>
        <row r="775">
          <cell r="B775" t="str">
            <v>Freight - Pd by Customer</v>
          </cell>
          <cell r="C775" t="str">
            <v>Invoice</v>
          </cell>
          <cell r="D775">
            <v>38422</v>
          </cell>
          <cell r="F775" t="str">
            <v>5444</v>
          </cell>
          <cell r="G775" t="str">
            <v>Bingeman's</v>
          </cell>
          <cell r="H775">
            <v>1</v>
          </cell>
        </row>
        <row r="776">
          <cell r="B776" t="str">
            <v>Freight - Pd by Customer</v>
          </cell>
          <cell r="C776" t="str">
            <v>Invoice</v>
          </cell>
          <cell r="D776">
            <v>38422</v>
          </cell>
          <cell r="F776" t="str">
            <v>5434</v>
          </cell>
          <cell r="G776" t="str">
            <v>Best Buy</v>
          </cell>
          <cell r="H776">
            <v>1</v>
          </cell>
        </row>
        <row r="777">
          <cell r="B777" t="str">
            <v>Freight - Pd by Customer</v>
          </cell>
          <cell r="C777" t="str">
            <v>Invoice</v>
          </cell>
          <cell r="D777">
            <v>38422</v>
          </cell>
          <cell r="F777" t="str">
            <v>5440</v>
          </cell>
          <cell r="G777" t="str">
            <v>Car's The Star</v>
          </cell>
          <cell r="H777">
            <v>1</v>
          </cell>
        </row>
        <row r="778">
          <cell r="B778" t="str">
            <v>Freight - Pd by Customer</v>
          </cell>
          <cell r="C778" t="str">
            <v>Invoice</v>
          </cell>
          <cell r="D778">
            <v>38427</v>
          </cell>
          <cell r="F778" t="str">
            <v>5466</v>
          </cell>
          <cell r="G778" t="str">
            <v>Weird and Wonderful</v>
          </cell>
          <cell r="H778">
            <v>1</v>
          </cell>
        </row>
        <row r="779">
          <cell r="B779" t="str">
            <v>Freight - Pd by Customer</v>
          </cell>
          <cell r="C779" t="str">
            <v>Invoice</v>
          </cell>
          <cell r="D779">
            <v>38427</v>
          </cell>
          <cell r="F779" t="str">
            <v>5407</v>
          </cell>
          <cell r="G779" t="str">
            <v>Arkitectura Urbana</v>
          </cell>
          <cell r="H779">
            <v>1</v>
          </cell>
        </row>
        <row r="780">
          <cell r="B780" t="str">
            <v>Freight - Pd by Customer</v>
          </cell>
          <cell r="C780" t="str">
            <v>Invoice</v>
          </cell>
          <cell r="D780">
            <v>38427</v>
          </cell>
          <cell r="F780" t="str">
            <v>5428</v>
          </cell>
          <cell r="G780" t="str">
            <v>Raytheon Technical Services Company</v>
          </cell>
          <cell r="H780">
            <v>1</v>
          </cell>
        </row>
        <row r="781">
          <cell r="B781" t="str">
            <v>Freight - Pd by Customer</v>
          </cell>
          <cell r="C781" t="str">
            <v>Invoice</v>
          </cell>
          <cell r="D781">
            <v>38427</v>
          </cell>
          <cell r="F781" t="str">
            <v>5455</v>
          </cell>
          <cell r="G781" t="str">
            <v>San Jorge Children's Hospital</v>
          </cell>
          <cell r="H781">
            <v>1</v>
          </cell>
        </row>
        <row r="782">
          <cell r="B782" t="str">
            <v>Freight - Pd by Customer</v>
          </cell>
          <cell r="C782" t="str">
            <v>Invoice</v>
          </cell>
          <cell r="D782">
            <v>38427</v>
          </cell>
          <cell r="F782" t="str">
            <v>5456</v>
          </cell>
          <cell r="G782" t="str">
            <v>Children's Museaum of Indianapolis</v>
          </cell>
          <cell r="H782">
            <v>1</v>
          </cell>
        </row>
        <row r="783">
          <cell r="B783" t="str">
            <v>Freight - Pd by Customer</v>
          </cell>
          <cell r="C783" t="str">
            <v>Invoice</v>
          </cell>
          <cell r="D783">
            <v>38427</v>
          </cell>
          <cell r="F783" t="str">
            <v>5450</v>
          </cell>
          <cell r="G783" t="str">
            <v>Hard Rock Hotel</v>
          </cell>
          <cell r="H783">
            <v>1</v>
          </cell>
        </row>
        <row r="784">
          <cell r="B784" t="str">
            <v>Freight - Pd by Customer</v>
          </cell>
          <cell r="C784" t="str">
            <v>Invoice</v>
          </cell>
          <cell r="D784">
            <v>38427</v>
          </cell>
          <cell r="F784" t="str">
            <v>5461</v>
          </cell>
          <cell r="G784" t="str">
            <v>Pyramid Title Company</v>
          </cell>
          <cell r="H784">
            <v>1</v>
          </cell>
        </row>
        <row r="785">
          <cell r="B785" t="str">
            <v>Freight - Pd by Customer</v>
          </cell>
          <cell r="C785" t="str">
            <v>Invoice</v>
          </cell>
          <cell r="D785">
            <v>38427</v>
          </cell>
          <cell r="F785" t="str">
            <v>5312</v>
          </cell>
          <cell r="G785" t="str">
            <v>Craftsman Industries</v>
          </cell>
          <cell r="H785">
            <v>1</v>
          </cell>
        </row>
        <row r="786">
          <cell r="B786" t="str">
            <v>Freight - Pd by Customer</v>
          </cell>
          <cell r="C786" t="str">
            <v>Invoice</v>
          </cell>
          <cell r="D786">
            <v>38427</v>
          </cell>
          <cell r="F786" t="str">
            <v>5464</v>
          </cell>
          <cell r="G786" t="str">
            <v>Cumberland Farms, Inc.</v>
          </cell>
          <cell r="H786">
            <v>1</v>
          </cell>
        </row>
        <row r="787">
          <cell r="B787" t="str">
            <v>Freight - Pd by Customer</v>
          </cell>
          <cell r="C787" t="str">
            <v>Invoice</v>
          </cell>
          <cell r="D787">
            <v>38427</v>
          </cell>
          <cell r="F787" t="str">
            <v>5467</v>
          </cell>
          <cell r="G787" t="str">
            <v>Grupobiz-Integradora De Espartaculos</v>
          </cell>
          <cell r="H787">
            <v>1</v>
          </cell>
        </row>
        <row r="788">
          <cell r="B788" t="str">
            <v>Freight - Pd by Customer</v>
          </cell>
          <cell r="C788" t="str">
            <v>Invoice</v>
          </cell>
          <cell r="D788">
            <v>38428</v>
          </cell>
          <cell r="F788" t="str">
            <v>5465</v>
          </cell>
          <cell r="G788" t="str">
            <v>Cynthia A. Hickman</v>
          </cell>
          <cell r="H788">
            <v>1</v>
          </cell>
        </row>
        <row r="789">
          <cell r="B789" t="str">
            <v>Freight - Pd by Customer</v>
          </cell>
          <cell r="C789" t="str">
            <v>Invoice</v>
          </cell>
          <cell r="D789">
            <v>38434</v>
          </cell>
          <cell r="F789" t="str">
            <v>5472</v>
          </cell>
          <cell r="G789" t="str">
            <v>Jimmy Choo (Corporate Office)</v>
          </cell>
          <cell r="H789">
            <v>1</v>
          </cell>
        </row>
        <row r="790">
          <cell r="B790" t="str">
            <v>Freight - Pd by Customer</v>
          </cell>
          <cell r="C790" t="str">
            <v>Invoice</v>
          </cell>
          <cell r="D790">
            <v>38434</v>
          </cell>
          <cell r="F790" t="str">
            <v>5496</v>
          </cell>
          <cell r="G790" t="str">
            <v>Rytheon Technical ServicesCompanies</v>
          </cell>
          <cell r="H790">
            <v>1</v>
          </cell>
        </row>
        <row r="791">
          <cell r="B791" t="str">
            <v>Freight - Pd by Customer</v>
          </cell>
          <cell r="C791" t="str">
            <v>Invoice</v>
          </cell>
          <cell r="D791">
            <v>38434</v>
          </cell>
          <cell r="F791" t="str">
            <v>5485</v>
          </cell>
          <cell r="G791" t="str">
            <v>Saddle Ranch</v>
          </cell>
          <cell r="H791">
            <v>1</v>
          </cell>
        </row>
        <row r="792">
          <cell r="B792" t="str">
            <v>Freight - Pd by Customer</v>
          </cell>
          <cell r="C792" t="str">
            <v>Invoice</v>
          </cell>
          <cell r="D792">
            <v>38434</v>
          </cell>
          <cell r="F792" t="str">
            <v>5515</v>
          </cell>
          <cell r="G792" t="str">
            <v>Scent Events, LLC</v>
          </cell>
          <cell r="H792">
            <v>1</v>
          </cell>
        </row>
        <row r="793">
          <cell r="B793" t="str">
            <v>Freight - Pd by Customer</v>
          </cell>
          <cell r="C793" t="str">
            <v>Invoice</v>
          </cell>
          <cell r="D793">
            <v>38435</v>
          </cell>
          <cell r="F793" t="str">
            <v>5484</v>
          </cell>
          <cell r="G793" t="str">
            <v>Lee-Moore Oil Company:Exxon OTR - 41</v>
          </cell>
          <cell r="H793">
            <v>1</v>
          </cell>
        </row>
        <row r="794">
          <cell r="B794" t="str">
            <v>Freight - Pd by Customer</v>
          </cell>
          <cell r="C794" t="str">
            <v>Invoice</v>
          </cell>
          <cell r="D794">
            <v>38435</v>
          </cell>
          <cell r="F794" t="str">
            <v>5489</v>
          </cell>
          <cell r="G794" t="str">
            <v>Lee-Moore Oil Company:Exxon OTR - 41</v>
          </cell>
          <cell r="H794">
            <v>1</v>
          </cell>
        </row>
        <row r="795">
          <cell r="B795" t="str">
            <v>Freight - Pd by Customer</v>
          </cell>
          <cell r="C795" t="str">
            <v>Invoice</v>
          </cell>
          <cell r="D795">
            <v>38435</v>
          </cell>
          <cell r="F795" t="str">
            <v>5491</v>
          </cell>
          <cell r="G795" t="str">
            <v>Lee-Moore Oil Company:Exxon OTR - 41</v>
          </cell>
          <cell r="H795">
            <v>1</v>
          </cell>
        </row>
        <row r="796">
          <cell r="B796" t="str">
            <v>Freight - Pd by Customer</v>
          </cell>
          <cell r="C796" t="str">
            <v>Invoice</v>
          </cell>
          <cell r="D796">
            <v>38435</v>
          </cell>
          <cell r="F796" t="str">
            <v>5483</v>
          </cell>
          <cell r="G796" t="str">
            <v>Lee-Moore Oil Company:Exxon OTR - 41</v>
          </cell>
          <cell r="H796">
            <v>1</v>
          </cell>
        </row>
        <row r="797">
          <cell r="B797" t="str">
            <v>Freight - Pd by Customer</v>
          </cell>
          <cell r="C797" t="str">
            <v>Invoice</v>
          </cell>
          <cell r="D797">
            <v>38435</v>
          </cell>
          <cell r="F797" t="str">
            <v>5480</v>
          </cell>
          <cell r="G797" t="str">
            <v>Lee-Moore Oil Company:Exxon OTR - 41</v>
          </cell>
          <cell r="H797">
            <v>1</v>
          </cell>
        </row>
        <row r="798">
          <cell r="B798" t="str">
            <v>Freight - Pd by Customer</v>
          </cell>
          <cell r="C798" t="str">
            <v>Invoice</v>
          </cell>
          <cell r="D798">
            <v>38435</v>
          </cell>
          <cell r="F798" t="str">
            <v>5493</v>
          </cell>
          <cell r="G798" t="str">
            <v>Lee-Moore Oil Company:Exxon OTR - 41</v>
          </cell>
          <cell r="H798">
            <v>1</v>
          </cell>
        </row>
        <row r="799">
          <cell r="B799" t="str">
            <v>Freight - Pd by Customer</v>
          </cell>
          <cell r="C799" t="str">
            <v>Invoice</v>
          </cell>
          <cell r="D799">
            <v>38435</v>
          </cell>
          <cell r="F799" t="str">
            <v>5479</v>
          </cell>
          <cell r="G799" t="str">
            <v>Lee-Moore Oil Company:Exxon OTR - 41</v>
          </cell>
          <cell r="H799">
            <v>1</v>
          </cell>
        </row>
        <row r="800">
          <cell r="B800" t="str">
            <v>Freight - Pd by Customer</v>
          </cell>
          <cell r="C800" t="str">
            <v>Invoice</v>
          </cell>
          <cell r="D800">
            <v>38435</v>
          </cell>
          <cell r="F800" t="str">
            <v>5490</v>
          </cell>
          <cell r="G800" t="str">
            <v>Lee-Moore Oil Company:Exxon OTR - 41</v>
          </cell>
          <cell r="H800">
            <v>1</v>
          </cell>
        </row>
        <row r="801">
          <cell r="B801" t="str">
            <v>Freight - Pd by Customer</v>
          </cell>
          <cell r="C801" t="str">
            <v>Invoice</v>
          </cell>
          <cell r="D801">
            <v>38435</v>
          </cell>
          <cell r="F801" t="str">
            <v>5494</v>
          </cell>
          <cell r="G801" t="str">
            <v>Lee-Moore Oil Company:Exxon OTR - 41</v>
          </cell>
          <cell r="H801">
            <v>1</v>
          </cell>
        </row>
        <row r="802">
          <cell r="B802" t="str">
            <v>Freight - Pd by Customer</v>
          </cell>
          <cell r="C802" t="str">
            <v>Invoice</v>
          </cell>
          <cell r="D802">
            <v>38435</v>
          </cell>
          <cell r="F802" t="str">
            <v>5475</v>
          </cell>
          <cell r="G802" t="str">
            <v>Chocolat</v>
          </cell>
          <cell r="H802">
            <v>1</v>
          </cell>
        </row>
        <row r="803">
          <cell r="B803" t="str">
            <v>Freight - Pd by Customer</v>
          </cell>
          <cell r="C803" t="str">
            <v>Invoice</v>
          </cell>
          <cell r="D803">
            <v>38435</v>
          </cell>
          <cell r="F803" t="str">
            <v>5503</v>
          </cell>
          <cell r="G803" t="str">
            <v>OPD Corp</v>
          </cell>
          <cell r="H803">
            <v>1</v>
          </cell>
        </row>
        <row r="804">
          <cell r="B804" t="str">
            <v>Freight - Pd by Customer</v>
          </cell>
          <cell r="C804" t="str">
            <v>Invoice</v>
          </cell>
          <cell r="D804">
            <v>38435</v>
          </cell>
          <cell r="F804" t="str">
            <v>5468</v>
          </cell>
          <cell r="G804" t="str">
            <v>Hallmark Cards - Kansas City, MO</v>
          </cell>
          <cell r="H804">
            <v>1</v>
          </cell>
        </row>
        <row r="805">
          <cell r="B805" t="str">
            <v>Freight - Pd by Customer</v>
          </cell>
          <cell r="C805" t="str">
            <v>Invoice</v>
          </cell>
          <cell r="D805">
            <v>38435</v>
          </cell>
          <cell r="F805" t="str">
            <v>5476</v>
          </cell>
          <cell r="G805" t="str">
            <v>Wayside Cleaners</v>
          </cell>
          <cell r="H805">
            <v>1</v>
          </cell>
        </row>
        <row r="806">
          <cell r="B806" t="str">
            <v>Freight - Pd by Customer</v>
          </cell>
          <cell r="C806" t="str">
            <v>Invoice</v>
          </cell>
          <cell r="D806">
            <v>38435</v>
          </cell>
          <cell r="F806" t="str">
            <v>5477</v>
          </cell>
          <cell r="G806" t="str">
            <v>Kirk Larson, DDS</v>
          </cell>
          <cell r="H806">
            <v>1</v>
          </cell>
        </row>
        <row r="807">
          <cell r="B807" t="str">
            <v>Freight - Pd by Customer</v>
          </cell>
          <cell r="C807" t="str">
            <v>Invoice</v>
          </cell>
          <cell r="D807">
            <v>38435</v>
          </cell>
          <cell r="F807" t="str">
            <v>5481</v>
          </cell>
          <cell r="G807" t="str">
            <v>Lee-Moore Oil Company:Exxon OTR - 29</v>
          </cell>
          <cell r="H807">
            <v>1</v>
          </cell>
        </row>
        <row r="808">
          <cell r="B808" t="str">
            <v>Freight - Pd by Customer</v>
          </cell>
          <cell r="C808" t="str">
            <v>Invoice</v>
          </cell>
          <cell r="D808">
            <v>38435</v>
          </cell>
          <cell r="F808" t="str">
            <v>5482</v>
          </cell>
          <cell r="G808" t="str">
            <v>Lee-Moore Oil Company:Exxon OTR - 30</v>
          </cell>
          <cell r="H808">
            <v>1</v>
          </cell>
        </row>
        <row r="809">
          <cell r="B809" t="str">
            <v>Freight - Pd by Customer</v>
          </cell>
          <cell r="C809" t="str">
            <v>Invoice</v>
          </cell>
          <cell r="D809">
            <v>38440</v>
          </cell>
          <cell r="F809" t="str">
            <v>5546</v>
          </cell>
          <cell r="G809" t="str">
            <v>G. Raymond Brow</v>
          </cell>
          <cell r="H809">
            <v>1</v>
          </cell>
        </row>
        <row r="810">
          <cell r="B810" t="str">
            <v>Freight - Pd by Customer</v>
          </cell>
          <cell r="C810" t="str">
            <v>Invoice</v>
          </cell>
          <cell r="D810">
            <v>38440</v>
          </cell>
          <cell r="F810" t="str">
            <v>5520</v>
          </cell>
          <cell r="G810" t="str">
            <v>Shop Rite</v>
          </cell>
          <cell r="H810">
            <v>1</v>
          </cell>
        </row>
        <row r="811">
          <cell r="B811" t="str">
            <v>Freight - Pd by Customer</v>
          </cell>
          <cell r="C811" t="str">
            <v>Invoice</v>
          </cell>
          <cell r="D811">
            <v>38440</v>
          </cell>
          <cell r="F811" t="str">
            <v>5521</v>
          </cell>
          <cell r="G811" t="str">
            <v>Shop Rite</v>
          </cell>
          <cell r="H811">
            <v>1</v>
          </cell>
        </row>
        <row r="812">
          <cell r="B812" t="str">
            <v>Freight - Pd by Customer</v>
          </cell>
          <cell r="C812" t="str">
            <v>Invoice</v>
          </cell>
          <cell r="D812">
            <v>38440</v>
          </cell>
          <cell r="F812" t="str">
            <v>5498</v>
          </cell>
          <cell r="G812" t="str">
            <v>Silks By Mu-Mu Manufactuteres</v>
          </cell>
          <cell r="H812">
            <v>1</v>
          </cell>
        </row>
        <row r="813">
          <cell r="B813" t="str">
            <v>Freight - Pd by Customer</v>
          </cell>
          <cell r="C813" t="str">
            <v>Invoice</v>
          </cell>
          <cell r="D813">
            <v>38440</v>
          </cell>
          <cell r="F813" t="str">
            <v>5516</v>
          </cell>
          <cell r="G813" t="str">
            <v>Ashley Furniture HomeStore</v>
          </cell>
          <cell r="H813">
            <v>1</v>
          </cell>
        </row>
        <row r="814">
          <cell r="B814" t="str">
            <v>Freight - Pd by Customer</v>
          </cell>
          <cell r="C814" t="str">
            <v>Invoice</v>
          </cell>
          <cell r="D814">
            <v>38440</v>
          </cell>
          <cell r="F814" t="str">
            <v>5502</v>
          </cell>
          <cell r="G814" t="str">
            <v>Florida Aquarium</v>
          </cell>
          <cell r="H814">
            <v>1</v>
          </cell>
        </row>
        <row r="815">
          <cell r="B815" t="str">
            <v>Freight - Pd by Customer</v>
          </cell>
          <cell r="C815" t="str">
            <v>Invoice</v>
          </cell>
          <cell r="D815">
            <v>38440</v>
          </cell>
          <cell r="F815" t="str">
            <v>5499</v>
          </cell>
          <cell r="G815" t="str">
            <v>Southern Kitchen and Bath</v>
          </cell>
          <cell r="H815">
            <v>1</v>
          </cell>
        </row>
        <row r="816">
          <cell r="B816" t="str">
            <v>Freight - Pd by Customer</v>
          </cell>
          <cell r="C816" t="str">
            <v>Invoice</v>
          </cell>
          <cell r="D816">
            <v>38440</v>
          </cell>
          <cell r="F816" t="str">
            <v>5500</v>
          </cell>
          <cell r="G816" t="str">
            <v>Harry and David #564</v>
          </cell>
          <cell r="H816">
            <v>1</v>
          </cell>
        </row>
        <row r="817">
          <cell r="B817" t="str">
            <v>Freight - Pd by Customer</v>
          </cell>
          <cell r="C817" t="str">
            <v>Invoice</v>
          </cell>
          <cell r="D817">
            <v>38440</v>
          </cell>
          <cell r="F817" t="str">
            <v>5535</v>
          </cell>
          <cell r="G817" t="str">
            <v>Owlfie's Flowers and Gifts</v>
          </cell>
          <cell r="H817">
            <v>1</v>
          </cell>
        </row>
        <row r="818">
          <cell r="B818" t="str">
            <v>Freight - Pd by Customer</v>
          </cell>
          <cell r="C818" t="str">
            <v>Invoice</v>
          </cell>
          <cell r="D818">
            <v>38440</v>
          </cell>
          <cell r="F818" t="str">
            <v>5536</v>
          </cell>
          <cell r="G818" t="str">
            <v>Dylan's Candy Bar</v>
          </cell>
          <cell r="H818">
            <v>1</v>
          </cell>
        </row>
        <row r="819">
          <cell r="B819" t="str">
            <v>Freight - Pd by Customer</v>
          </cell>
          <cell r="C819" t="str">
            <v>Invoice</v>
          </cell>
          <cell r="D819">
            <v>38440</v>
          </cell>
          <cell r="F819" t="str">
            <v>5550</v>
          </cell>
          <cell r="G819" t="str">
            <v>Arkitectura Urbana</v>
          </cell>
          <cell r="H819">
            <v>1</v>
          </cell>
        </row>
        <row r="820">
          <cell r="B820" t="str">
            <v>Freight - Pd by Customer</v>
          </cell>
          <cell r="C820" t="str">
            <v>Invoice</v>
          </cell>
          <cell r="D820">
            <v>38440</v>
          </cell>
          <cell r="F820" t="str">
            <v>5555</v>
          </cell>
          <cell r="G820" t="str">
            <v>Snowmasters</v>
          </cell>
          <cell r="H820">
            <v>1</v>
          </cell>
        </row>
        <row r="821">
          <cell r="B821" t="str">
            <v>Freight - Pd by Customer</v>
          </cell>
          <cell r="C821" t="str">
            <v>Invoice</v>
          </cell>
          <cell r="D821">
            <v>38440</v>
          </cell>
          <cell r="F821" t="str">
            <v>5508</v>
          </cell>
          <cell r="G821" t="str">
            <v>Sony Style #55</v>
          </cell>
          <cell r="H821">
            <v>1</v>
          </cell>
        </row>
        <row r="822">
          <cell r="B822" t="str">
            <v>Freight - Pd by Customer</v>
          </cell>
          <cell r="C822" t="str">
            <v>Invoice</v>
          </cell>
          <cell r="D822">
            <v>38440</v>
          </cell>
          <cell r="F822" t="str">
            <v>5509</v>
          </cell>
          <cell r="G822" t="str">
            <v>Sony Style #53</v>
          </cell>
          <cell r="H822">
            <v>1</v>
          </cell>
        </row>
        <row r="823">
          <cell r="B823" t="str">
            <v>Freight - Pd by Customer</v>
          </cell>
          <cell r="C823" t="str">
            <v>Invoice</v>
          </cell>
          <cell r="D823">
            <v>38440</v>
          </cell>
          <cell r="F823" t="str">
            <v>5510</v>
          </cell>
          <cell r="G823" t="str">
            <v>Sony Style #52</v>
          </cell>
          <cell r="H823">
            <v>1</v>
          </cell>
        </row>
        <row r="824">
          <cell r="B824" t="str">
            <v>Freight - Pd by Customer</v>
          </cell>
          <cell r="C824" t="str">
            <v>Invoice</v>
          </cell>
          <cell r="D824">
            <v>38440</v>
          </cell>
          <cell r="F824" t="str">
            <v>5511</v>
          </cell>
          <cell r="G824" t="str">
            <v>Sony Style #51</v>
          </cell>
          <cell r="H824">
            <v>1</v>
          </cell>
        </row>
        <row r="825">
          <cell r="B825" t="str">
            <v>Freight - Pd by Customer</v>
          </cell>
          <cell r="C825" t="str">
            <v>Invoice</v>
          </cell>
          <cell r="D825">
            <v>38440</v>
          </cell>
          <cell r="F825" t="str">
            <v>5512</v>
          </cell>
          <cell r="G825" t="str">
            <v>Sony Style #60</v>
          </cell>
          <cell r="H825">
            <v>1</v>
          </cell>
        </row>
        <row r="826">
          <cell r="B826" t="str">
            <v>Freight - Pd by Customer</v>
          </cell>
          <cell r="C826" t="str">
            <v>Invoice</v>
          </cell>
          <cell r="D826">
            <v>38440</v>
          </cell>
          <cell r="F826" t="str">
            <v>5505</v>
          </cell>
          <cell r="G826" t="str">
            <v>Sony Style #58</v>
          </cell>
          <cell r="H826">
            <v>1</v>
          </cell>
        </row>
        <row r="827">
          <cell r="B827" t="str">
            <v>Freight - Pd by Customer</v>
          </cell>
          <cell r="C827" t="str">
            <v>Invoice</v>
          </cell>
          <cell r="D827">
            <v>38440</v>
          </cell>
          <cell r="F827" t="str">
            <v>5504</v>
          </cell>
          <cell r="G827" t="str">
            <v>Sony Style #61</v>
          </cell>
          <cell r="H827">
            <v>1</v>
          </cell>
        </row>
        <row r="828">
          <cell r="B828" t="str">
            <v>Freight - Pd by Customer</v>
          </cell>
          <cell r="C828" t="str">
            <v>Invoice</v>
          </cell>
          <cell r="D828">
            <v>38440</v>
          </cell>
          <cell r="F828" t="str">
            <v>5506</v>
          </cell>
          <cell r="G828" t="str">
            <v>Sony Style #57</v>
          </cell>
          <cell r="H828">
            <v>1</v>
          </cell>
        </row>
        <row r="829">
          <cell r="B829" t="str">
            <v>Freight - Pd by Customer</v>
          </cell>
          <cell r="C829" t="str">
            <v>Invoice</v>
          </cell>
          <cell r="D829">
            <v>38440</v>
          </cell>
          <cell r="F829" t="str">
            <v>5513</v>
          </cell>
          <cell r="G829" t="str">
            <v>Sony Style #54</v>
          </cell>
          <cell r="H829">
            <v>1</v>
          </cell>
        </row>
        <row r="830">
          <cell r="B830" t="str">
            <v>Freight - Pd by Customer</v>
          </cell>
          <cell r="C830" t="str">
            <v>Invoice</v>
          </cell>
          <cell r="D830">
            <v>38440</v>
          </cell>
          <cell r="F830" t="str">
            <v>5507</v>
          </cell>
          <cell r="G830" t="str">
            <v>Sony Style #56</v>
          </cell>
          <cell r="H830">
            <v>1</v>
          </cell>
        </row>
        <row r="831">
          <cell r="B831" t="str">
            <v>Freight - Pd by Customer</v>
          </cell>
          <cell r="C831" t="str">
            <v>Invoice</v>
          </cell>
          <cell r="D831">
            <v>38440</v>
          </cell>
          <cell r="F831" t="str">
            <v>5537</v>
          </cell>
          <cell r="G831" t="str">
            <v>Dylan's Candy Bar:Dylan's Candy Bar NY#1</v>
          </cell>
          <cell r="H831">
            <v>1</v>
          </cell>
        </row>
        <row r="832">
          <cell r="B832" t="str">
            <v>Freight - Pd by Customer</v>
          </cell>
          <cell r="C832" t="str">
            <v>Invoice</v>
          </cell>
          <cell r="D832">
            <v>38440</v>
          </cell>
          <cell r="F832" t="str">
            <v>5558</v>
          </cell>
          <cell r="G832" t="str">
            <v>Bryant Sons Ltd</v>
          </cell>
          <cell r="H832">
            <v>1</v>
          </cell>
        </row>
        <row r="833">
          <cell r="B833" t="str">
            <v>Freight - Pd by Customer</v>
          </cell>
          <cell r="C833" t="str">
            <v>Invoice</v>
          </cell>
          <cell r="D833">
            <v>38440</v>
          </cell>
          <cell r="F833" t="str">
            <v>5542</v>
          </cell>
          <cell r="G833" t="str">
            <v>Hard Rock Hotel</v>
          </cell>
          <cell r="H833">
            <v>1</v>
          </cell>
        </row>
        <row r="834">
          <cell r="B834" t="str">
            <v>Freight - Pd by Customer</v>
          </cell>
          <cell r="C834" t="str">
            <v>Invoice</v>
          </cell>
          <cell r="D834">
            <v>38440</v>
          </cell>
          <cell r="F834" t="str">
            <v>5540</v>
          </cell>
          <cell r="G834" t="str">
            <v>Celebration Hotel</v>
          </cell>
          <cell r="H834">
            <v>1</v>
          </cell>
        </row>
        <row r="835">
          <cell r="B835" t="str">
            <v>Freight - Pd by Customer</v>
          </cell>
          <cell r="C835" t="str">
            <v>Invoice</v>
          </cell>
          <cell r="D835">
            <v>38440</v>
          </cell>
          <cell r="F835" t="str">
            <v>5519</v>
          </cell>
          <cell r="G835" t="str">
            <v>Exxon DDB Worldwide:Exxon DDB Worldwide #15022</v>
          </cell>
          <cell r="H835">
            <v>1</v>
          </cell>
        </row>
        <row r="836">
          <cell r="B836" t="str">
            <v>Freight - Pd by Customer</v>
          </cell>
          <cell r="C836" t="str">
            <v>Invoice</v>
          </cell>
          <cell r="D836">
            <v>38440</v>
          </cell>
          <cell r="F836" t="str">
            <v>5523</v>
          </cell>
          <cell r="G836" t="str">
            <v>Exxon DDB Worldwide:Exxon DDB Worldwide #20407</v>
          </cell>
          <cell r="H836">
            <v>1</v>
          </cell>
        </row>
        <row r="837">
          <cell r="B837" t="str">
            <v>Freight - Pd by Customer</v>
          </cell>
          <cell r="C837" t="str">
            <v>Invoice</v>
          </cell>
          <cell r="D837">
            <v>38440</v>
          </cell>
          <cell r="F837" t="str">
            <v>5525</v>
          </cell>
          <cell r="G837" t="str">
            <v>Exxon DDB Worldwide:Exxon DDB Worldwide #24239</v>
          </cell>
          <cell r="H837">
            <v>1</v>
          </cell>
        </row>
        <row r="838">
          <cell r="B838" t="str">
            <v>Freight - Pd by Customer</v>
          </cell>
          <cell r="C838" t="str">
            <v>Invoice</v>
          </cell>
          <cell r="D838">
            <v>38440</v>
          </cell>
          <cell r="F838" t="str">
            <v>5527</v>
          </cell>
          <cell r="G838" t="str">
            <v>Exxon DDB Worldwide:Exxon DDB Worldwide #24239</v>
          </cell>
          <cell r="H838">
            <v>1</v>
          </cell>
        </row>
        <row r="839">
          <cell r="B839" t="str">
            <v>Freight - Pd by Customer</v>
          </cell>
          <cell r="C839" t="str">
            <v>Invoice</v>
          </cell>
          <cell r="D839">
            <v>38440</v>
          </cell>
          <cell r="F839" t="str">
            <v>5526</v>
          </cell>
          <cell r="G839" t="str">
            <v>Exxon DDB Worldwide# 2431</v>
          </cell>
          <cell r="H839">
            <v>1</v>
          </cell>
        </row>
        <row r="840">
          <cell r="B840" t="str">
            <v>Freight - Pd by Customer</v>
          </cell>
          <cell r="C840" t="str">
            <v>Invoice</v>
          </cell>
          <cell r="D840">
            <v>38440</v>
          </cell>
          <cell r="F840" t="str">
            <v>5524</v>
          </cell>
          <cell r="G840" t="str">
            <v>Exxon DDB Worldwide:Exxon DDB Worldwide #26308</v>
          </cell>
          <cell r="H840">
            <v>1</v>
          </cell>
        </row>
        <row r="841">
          <cell r="B841" t="str">
            <v>Freight - Pd by Customer</v>
          </cell>
          <cell r="C841" t="str">
            <v>Invoice</v>
          </cell>
          <cell r="D841">
            <v>38440</v>
          </cell>
          <cell r="F841" t="str">
            <v>5514</v>
          </cell>
          <cell r="G841" t="str">
            <v>Exxon DDB Worldwide#10241</v>
          </cell>
          <cell r="H841">
            <v>1</v>
          </cell>
        </row>
        <row r="842">
          <cell r="B842" t="str">
            <v>Freight - Pd by Customer</v>
          </cell>
          <cell r="C842" t="str">
            <v>Invoice</v>
          </cell>
          <cell r="D842">
            <v>38440</v>
          </cell>
          <cell r="F842" t="str">
            <v>5517</v>
          </cell>
          <cell r="G842" t="str">
            <v>Exxon DDB Worldwide#11640</v>
          </cell>
          <cell r="H842">
            <v>1</v>
          </cell>
        </row>
        <row r="843">
          <cell r="B843" t="str">
            <v>Freight - Pd by Customer</v>
          </cell>
          <cell r="C843" t="str">
            <v>Invoice</v>
          </cell>
          <cell r="D843">
            <v>38440</v>
          </cell>
          <cell r="F843" t="str">
            <v>5518</v>
          </cell>
          <cell r="G843" t="str">
            <v>Exxon DDB Worldwide:Exxon DDB Worldwide #11644</v>
          </cell>
          <cell r="H843">
            <v>1</v>
          </cell>
        </row>
        <row r="844">
          <cell r="B844" t="str">
            <v>Freight - Pd by Customer</v>
          </cell>
          <cell r="C844" t="str">
            <v>Invoice</v>
          </cell>
          <cell r="D844">
            <v>38442</v>
          </cell>
          <cell r="F844" t="str">
            <v>5561-I</v>
          </cell>
          <cell r="G844" t="str">
            <v>Hard Rock Hotel</v>
          </cell>
          <cell r="H844">
            <v>1</v>
          </cell>
        </row>
        <row r="845">
          <cell r="B845" t="str">
            <v>Freight - Pd by Customer</v>
          </cell>
          <cell r="C845" t="str">
            <v>Invoice</v>
          </cell>
          <cell r="D845">
            <v>38442</v>
          </cell>
          <cell r="F845" t="str">
            <v>5567</v>
          </cell>
          <cell r="G845" t="str">
            <v>American Solutions Inc.</v>
          </cell>
          <cell r="H845">
            <v>1</v>
          </cell>
        </row>
        <row r="846">
          <cell r="B846" t="str">
            <v>Freight - Pd by Customer</v>
          </cell>
          <cell r="C846" t="str">
            <v>Invoice</v>
          </cell>
          <cell r="D846">
            <v>38442</v>
          </cell>
          <cell r="F846" t="str">
            <v>5560A</v>
          </cell>
          <cell r="G846" t="str">
            <v>Kryshak - Avenue Jewelers</v>
          </cell>
          <cell r="H846">
            <v>1</v>
          </cell>
        </row>
        <row r="847">
          <cell r="B847" t="str">
            <v>Freight - Pd by Customer</v>
          </cell>
          <cell r="C847" t="str">
            <v>Invoice</v>
          </cell>
          <cell r="D847">
            <v>38442</v>
          </cell>
          <cell r="F847" t="str">
            <v>5545</v>
          </cell>
          <cell r="G847" t="str">
            <v>Sea World Orlando</v>
          </cell>
          <cell r="H847">
            <v>1</v>
          </cell>
        </row>
        <row r="848">
          <cell r="B848" t="str">
            <v>Freight - Pd by Customer</v>
          </cell>
          <cell r="C848" t="str">
            <v>Invoice</v>
          </cell>
          <cell r="D848">
            <v>38442</v>
          </cell>
          <cell r="F848" t="str">
            <v>5486</v>
          </cell>
          <cell r="G848" t="str">
            <v>Arkitectura Urbana</v>
          </cell>
          <cell r="H848">
            <v>1</v>
          </cell>
        </row>
        <row r="849">
          <cell r="B849" t="str">
            <v>Freight - Pd by Customer</v>
          </cell>
          <cell r="C849" t="str">
            <v>Invoice</v>
          </cell>
          <cell r="D849">
            <v>38442</v>
          </cell>
          <cell r="F849" t="str">
            <v>5501</v>
          </cell>
          <cell r="G849" t="str">
            <v>Pacific Pets Inc.</v>
          </cell>
          <cell r="H849">
            <v>1</v>
          </cell>
        </row>
        <row r="850">
          <cell r="B850" t="str">
            <v>Freight - Pd by Customer</v>
          </cell>
          <cell r="C850" t="str">
            <v>Invoice</v>
          </cell>
          <cell r="D850">
            <v>38442</v>
          </cell>
          <cell r="F850" t="str">
            <v>5445</v>
          </cell>
          <cell r="G850" t="str">
            <v>Grupobiz-Integradora De Espartaculos</v>
          </cell>
          <cell r="H850">
            <v>1</v>
          </cell>
        </row>
        <row r="851">
          <cell r="B851" t="str">
            <v>Freight - Pd by Customer</v>
          </cell>
          <cell r="C851" t="str">
            <v>Invoice</v>
          </cell>
          <cell r="D851">
            <v>38442</v>
          </cell>
          <cell r="F851" t="str">
            <v>5445</v>
          </cell>
          <cell r="G851" t="str">
            <v>Grupobiz-Integradora De Espartaculos</v>
          </cell>
          <cell r="H851">
            <v>1</v>
          </cell>
        </row>
        <row r="852">
          <cell r="B852" t="str">
            <v>Freight - Pd by Customer</v>
          </cell>
          <cell r="C852" t="str">
            <v>Invoice</v>
          </cell>
          <cell r="D852">
            <v>38442</v>
          </cell>
          <cell r="F852" t="str">
            <v>5318</v>
          </cell>
          <cell r="G852" t="str">
            <v>Sony Style #63</v>
          </cell>
          <cell r="H852">
            <v>1</v>
          </cell>
        </row>
        <row r="853">
          <cell r="B853" t="str">
            <v>Freight - Pd by Customer</v>
          </cell>
          <cell r="C853" t="str">
            <v>Invoice</v>
          </cell>
          <cell r="D853">
            <v>38442</v>
          </cell>
          <cell r="F853" t="str">
            <v>5522</v>
          </cell>
          <cell r="G853" t="str">
            <v>Exxon DDB Worldwide:Exxon DDB Worldwide #30618</v>
          </cell>
          <cell r="H853">
            <v>1</v>
          </cell>
        </row>
        <row r="854">
          <cell r="B854" t="str">
            <v>Freight - Pd by Customer</v>
          </cell>
          <cell r="C854" t="str">
            <v>Invoice</v>
          </cell>
          <cell r="D854">
            <v>38442</v>
          </cell>
          <cell r="F854" t="str">
            <v>5579</v>
          </cell>
          <cell r="G854" t="str">
            <v>VendMax International Inc.</v>
          </cell>
          <cell r="H854">
            <v>1</v>
          </cell>
        </row>
        <row r="855">
          <cell r="B855" t="str">
            <v>Freight - Pd by Customer</v>
          </cell>
          <cell r="C855" t="str">
            <v>Invoice</v>
          </cell>
          <cell r="D855">
            <v>38442</v>
          </cell>
          <cell r="F855" t="str">
            <v>5568</v>
          </cell>
          <cell r="G855" t="str">
            <v>Pinch A Penny Pool Patio Spa</v>
          </cell>
          <cell r="H855">
            <v>1</v>
          </cell>
        </row>
        <row r="856">
          <cell r="B856" t="str">
            <v>Freight - Pd by Customer</v>
          </cell>
          <cell r="C856" t="str">
            <v>Invoice</v>
          </cell>
          <cell r="D856">
            <v>38442</v>
          </cell>
          <cell r="F856" t="str">
            <v>5570</v>
          </cell>
          <cell r="G856" t="str">
            <v>ScentAir Australia Pty Ltd.</v>
          </cell>
          <cell r="H856">
            <v>1</v>
          </cell>
        </row>
        <row r="857">
          <cell r="B857" t="str">
            <v>Freight - Pd by Customer</v>
          </cell>
          <cell r="C857" t="str">
            <v>Invoice</v>
          </cell>
          <cell r="D857">
            <v>38442</v>
          </cell>
          <cell r="F857" t="str">
            <v>5584</v>
          </cell>
          <cell r="G857" t="str">
            <v>AroMarketing:AroMarketing - Texas</v>
          </cell>
          <cell r="H857">
            <v>1</v>
          </cell>
        </row>
        <row r="858">
          <cell r="B858" t="str">
            <v>Freight - Pd by Customer</v>
          </cell>
          <cell r="C858" t="str">
            <v>Invoice</v>
          </cell>
          <cell r="D858">
            <v>38442</v>
          </cell>
          <cell r="F858" t="str">
            <v>5584</v>
          </cell>
          <cell r="G858" t="str">
            <v>AroMarketing:AroMarketing - Texas</v>
          </cell>
          <cell r="H858">
            <v>1</v>
          </cell>
        </row>
        <row r="859">
          <cell r="B859" t="str">
            <v>Freight - Pd by Customer</v>
          </cell>
          <cell r="C859" t="str">
            <v>Invoice</v>
          </cell>
          <cell r="D859">
            <v>38442</v>
          </cell>
          <cell r="F859" t="str">
            <v>5584</v>
          </cell>
          <cell r="G859" t="str">
            <v>AroMarketing:AroMarketing - Texas</v>
          </cell>
          <cell r="H859">
            <v>1</v>
          </cell>
        </row>
        <row r="860">
          <cell r="B860" t="str">
            <v>Freight - Pd by Customer</v>
          </cell>
          <cell r="C860" t="str">
            <v>Invoice</v>
          </cell>
          <cell r="D860">
            <v>38447</v>
          </cell>
          <cell r="F860" t="str">
            <v>5566-I</v>
          </cell>
          <cell r="G860" t="str">
            <v>Birthday Mania</v>
          </cell>
          <cell r="H860">
            <v>1</v>
          </cell>
        </row>
        <row r="861">
          <cell r="B861" t="str">
            <v>Freight - Pd by Customer</v>
          </cell>
          <cell r="C861" t="str">
            <v>Invoice</v>
          </cell>
          <cell r="D861">
            <v>38447</v>
          </cell>
          <cell r="F861" t="str">
            <v>5569-I</v>
          </cell>
          <cell r="G861" t="str">
            <v>Ralph Jones Display</v>
          </cell>
          <cell r="H861">
            <v>1</v>
          </cell>
        </row>
        <row r="862">
          <cell r="B862" t="str">
            <v>Freight - Pd by Customer</v>
          </cell>
          <cell r="C862" t="str">
            <v>Invoice</v>
          </cell>
          <cell r="D862">
            <v>38447</v>
          </cell>
          <cell r="F862" t="str">
            <v>5578</v>
          </cell>
          <cell r="G862" t="str">
            <v>Arrc Technologies</v>
          </cell>
          <cell r="H862">
            <v>1</v>
          </cell>
        </row>
        <row r="863">
          <cell r="B863" t="str">
            <v>Freight - Pd by Customer</v>
          </cell>
          <cell r="C863" t="str">
            <v>Invoice</v>
          </cell>
          <cell r="D863">
            <v>38447</v>
          </cell>
          <cell r="F863" t="str">
            <v>5591</v>
          </cell>
          <cell r="G863" t="str">
            <v>Grupobiz-Integradora De Espartaculos</v>
          </cell>
          <cell r="H863">
            <v>1</v>
          </cell>
        </row>
        <row r="864">
          <cell r="B864" t="str">
            <v>Freight - Pd by Customer</v>
          </cell>
          <cell r="C864" t="str">
            <v>Invoice</v>
          </cell>
          <cell r="D864">
            <v>38448</v>
          </cell>
          <cell r="F864" t="str">
            <v>5559-I</v>
          </cell>
          <cell r="G864" t="str">
            <v>Kryshak - Avenue Jewelers</v>
          </cell>
          <cell r="H864">
            <v>1</v>
          </cell>
        </row>
        <row r="865">
          <cell r="B865" t="str">
            <v>Freight - Pd by Customer</v>
          </cell>
          <cell r="C865" t="str">
            <v>Invoice</v>
          </cell>
          <cell r="D865">
            <v>38448</v>
          </cell>
          <cell r="F865" t="str">
            <v>5585</v>
          </cell>
          <cell r="G865" t="str">
            <v>The Eleven Agency</v>
          </cell>
          <cell r="H865">
            <v>1</v>
          </cell>
        </row>
        <row r="866">
          <cell r="B866" t="str">
            <v>Freight - Pd by Customer</v>
          </cell>
          <cell r="C866" t="str">
            <v>Invoice</v>
          </cell>
          <cell r="D866">
            <v>38448</v>
          </cell>
          <cell r="F866" t="str">
            <v>5541</v>
          </cell>
          <cell r="G866" t="str">
            <v>Celebration Health</v>
          </cell>
          <cell r="H866">
            <v>1</v>
          </cell>
        </row>
        <row r="867">
          <cell r="B867" t="str">
            <v>Freight - Pd by Customer</v>
          </cell>
          <cell r="C867" t="str">
            <v>Invoice</v>
          </cell>
          <cell r="D867">
            <v>38448</v>
          </cell>
          <cell r="F867" t="str">
            <v>5592</v>
          </cell>
          <cell r="G867" t="str">
            <v>Epcot Event Group</v>
          </cell>
          <cell r="H867">
            <v>1</v>
          </cell>
        </row>
        <row r="868">
          <cell r="B868" t="str">
            <v>Freight - Pd by Customer</v>
          </cell>
          <cell r="C868" t="str">
            <v>Invoice</v>
          </cell>
          <cell r="D868">
            <v>38449</v>
          </cell>
          <cell r="F868" t="str">
            <v>5586</v>
          </cell>
          <cell r="G868" t="str">
            <v>ScentAir Australia Pty Ltd.</v>
          </cell>
          <cell r="H868">
            <v>1</v>
          </cell>
        </row>
        <row r="869">
          <cell r="B869" t="str">
            <v>Freight - Pd by Customer</v>
          </cell>
          <cell r="C869" t="str">
            <v>Invoice</v>
          </cell>
          <cell r="D869">
            <v>38449</v>
          </cell>
          <cell r="F869" t="str">
            <v>5463</v>
          </cell>
          <cell r="G869" t="str">
            <v>Car's The Star</v>
          </cell>
          <cell r="H869">
            <v>1</v>
          </cell>
        </row>
        <row r="870">
          <cell r="B870" t="str">
            <v>Freight - Pd by Customer</v>
          </cell>
          <cell r="C870" t="str">
            <v>Invoice</v>
          </cell>
          <cell r="D870">
            <v>38449</v>
          </cell>
          <cell r="F870" t="str">
            <v>5594</v>
          </cell>
          <cell r="G870" t="str">
            <v>OPD Corp</v>
          </cell>
          <cell r="H870">
            <v>1</v>
          </cell>
        </row>
        <row r="871">
          <cell r="B871" t="str">
            <v>Freight - Pd by Customer</v>
          </cell>
          <cell r="C871" t="str">
            <v>Invoice</v>
          </cell>
          <cell r="D871">
            <v>38449</v>
          </cell>
          <cell r="F871" t="str">
            <v>5577</v>
          </cell>
          <cell r="G871" t="str">
            <v>Murphy Catton</v>
          </cell>
          <cell r="H871">
            <v>1</v>
          </cell>
        </row>
        <row r="872">
          <cell r="B872" t="str">
            <v>Freight - Pd by Customer</v>
          </cell>
          <cell r="C872" t="str">
            <v>Invoice</v>
          </cell>
          <cell r="D872">
            <v>38455</v>
          </cell>
          <cell r="F872" t="str">
            <v>5610</v>
          </cell>
          <cell r="G872" t="str">
            <v>Tracy Locke Partnership</v>
          </cell>
          <cell r="H872">
            <v>1</v>
          </cell>
        </row>
        <row r="873">
          <cell r="B873" t="str">
            <v>Freight - Pd by Customer</v>
          </cell>
          <cell r="C873" t="str">
            <v>Invoice</v>
          </cell>
          <cell r="D873">
            <v>38455</v>
          </cell>
          <cell r="F873" t="str">
            <v>5608</v>
          </cell>
          <cell r="G873" t="str">
            <v>Arrc Technologies</v>
          </cell>
          <cell r="H873">
            <v>1</v>
          </cell>
        </row>
        <row r="874">
          <cell r="B874" t="str">
            <v>Freight - Pd by Customer</v>
          </cell>
          <cell r="C874" t="str">
            <v>Invoice</v>
          </cell>
          <cell r="D874">
            <v>38455</v>
          </cell>
          <cell r="F874" t="str">
            <v>5601</v>
          </cell>
          <cell r="G874" t="str">
            <v>Hustler Hollywood - Lexington, KY</v>
          </cell>
          <cell r="H874">
            <v>1</v>
          </cell>
        </row>
        <row r="875">
          <cell r="B875" t="str">
            <v>Freight - Pd by Customer</v>
          </cell>
          <cell r="C875" t="str">
            <v>Invoice</v>
          </cell>
          <cell r="D875">
            <v>38455</v>
          </cell>
          <cell r="F875" t="str">
            <v>5600</v>
          </cell>
          <cell r="G875" t="str">
            <v>Techno Satellite</v>
          </cell>
          <cell r="H875">
            <v>1</v>
          </cell>
        </row>
        <row r="876">
          <cell r="B876" t="str">
            <v>Freight - Pd by Customer</v>
          </cell>
          <cell r="C876" t="str">
            <v>Invoice</v>
          </cell>
          <cell r="D876">
            <v>38455</v>
          </cell>
          <cell r="F876" t="str">
            <v>5618</v>
          </cell>
          <cell r="G876" t="str">
            <v>Jo Ann Stores</v>
          </cell>
          <cell r="H876">
            <v>1</v>
          </cell>
        </row>
        <row r="877">
          <cell r="B877" t="str">
            <v>Freight - Pd by Customer</v>
          </cell>
          <cell r="C877" t="str">
            <v>Invoice</v>
          </cell>
          <cell r="D877">
            <v>38455</v>
          </cell>
          <cell r="F877" t="str">
            <v>5613</v>
          </cell>
          <cell r="G877" t="str">
            <v>Children's Museaum of Indianapolis</v>
          </cell>
          <cell r="H877">
            <v>1</v>
          </cell>
        </row>
        <row r="878">
          <cell r="B878" t="str">
            <v>Freight - Pd by Customer</v>
          </cell>
          <cell r="C878" t="str">
            <v>Invoice</v>
          </cell>
          <cell r="D878">
            <v>38455</v>
          </cell>
          <cell r="F878" t="str">
            <v>5616</v>
          </cell>
          <cell r="G878" t="str">
            <v>Pure Beauty-Encino</v>
          </cell>
          <cell r="H878">
            <v>1</v>
          </cell>
        </row>
        <row r="879">
          <cell r="B879" t="str">
            <v>Freight - Pd by Customer</v>
          </cell>
          <cell r="C879" t="str">
            <v>Invoice</v>
          </cell>
          <cell r="D879">
            <v>38456</v>
          </cell>
          <cell r="F879" t="str">
            <v>5619</v>
          </cell>
          <cell r="G879" t="str">
            <v>ScentAir Australia Pty Ltd.</v>
          </cell>
          <cell r="H879">
            <v>1</v>
          </cell>
        </row>
        <row r="880">
          <cell r="B880" t="str">
            <v>Freight - Pd by Customer</v>
          </cell>
          <cell r="C880" t="str">
            <v>Invoice</v>
          </cell>
          <cell r="D880">
            <v>38456</v>
          </cell>
          <cell r="F880" t="str">
            <v>5609</v>
          </cell>
          <cell r="G880" t="str">
            <v>American Solutions Inc.</v>
          </cell>
          <cell r="H880">
            <v>1</v>
          </cell>
        </row>
        <row r="881">
          <cell r="B881" t="str">
            <v>Freight - Pd by Customer</v>
          </cell>
          <cell r="C881" t="str">
            <v>Invoice</v>
          </cell>
          <cell r="D881">
            <v>38461</v>
          </cell>
          <cell r="F881" t="str">
            <v>5673</v>
          </cell>
          <cell r="G881" t="str">
            <v>Hot Stuff</v>
          </cell>
          <cell r="H881">
            <v>1</v>
          </cell>
        </row>
        <row r="882">
          <cell r="B882" t="str">
            <v>Freight - Pd by Customer</v>
          </cell>
          <cell r="C882" t="str">
            <v>Invoice</v>
          </cell>
          <cell r="D882">
            <v>38461</v>
          </cell>
          <cell r="F882" t="str">
            <v>5692</v>
          </cell>
          <cell r="G882" t="str">
            <v>Mattel</v>
          </cell>
          <cell r="H882">
            <v>1</v>
          </cell>
        </row>
        <row r="883">
          <cell r="B883" t="str">
            <v>Freight - Pd by Customer</v>
          </cell>
          <cell r="C883" t="str">
            <v>Invoice</v>
          </cell>
          <cell r="D883">
            <v>38461</v>
          </cell>
          <cell r="F883" t="str">
            <v>5676</v>
          </cell>
          <cell r="G883" t="str">
            <v>H.H. Gregg, Inc.</v>
          </cell>
          <cell r="H883">
            <v>1</v>
          </cell>
        </row>
        <row r="884">
          <cell r="B884" t="str">
            <v>Freight - Pd by Customer</v>
          </cell>
          <cell r="C884" t="str">
            <v>Invoice</v>
          </cell>
          <cell r="D884">
            <v>38461</v>
          </cell>
          <cell r="F884" t="str">
            <v>5691</v>
          </cell>
          <cell r="G884" t="str">
            <v>Coffee Beanery</v>
          </cell>
          <cell r="H884">
            <v>1</v>
          </cell>
        </row>
        <row r="885">
          <cell r="B885" t="str">
            <v>Freight - Pd by Customer</v>
          </cell>
          <cell r="C885" t="str">
            <v>Invoice</v>
          </cell>
          <cell r="D885">
            <v>38461</v>
          </cell>
          <cell r="F885" t="str">
            <v>5672</v>
          </cell>
          <cell r="G885" t="str">
            <v>Le Chateau Stores of Canada</v>
          </cell>
          <cell r="H885">
            <v>1</v>
          </cell>
        </row>
        <row r="886">
          <cell r="B886" t="str">
            <v>Freight - Pd by Customer</v>
          </cell>
          <cell r="C886" t="str">
            <v>Invoice</v>
          </cell>
          <cell r="D886">
            <v>38461</v>
          </cell>
          <cell r="F886" t="str">
            <v>5633</v>
          </cell>
          <cell r="G886" t="str">
            <v>Starwood Hotels Corporate Office</v>
          </cell>
          <cell r="H886">
            <v>1</v>
          </cell>
        </row>
        <row r="887">
          <cell r="B887" t="str">
            <v>Freight - Pd by Customer</v>
          </cell>
          <cell r="C887" t="str">
            <v>Invoice</v>
          </cell>
          <cell r="D887">
            <v>38461</v>
          </cell>
          <cell r="F887" t="str">
            <v>5697</v>
          </cell>
          <cell r="G887" t="str">
            <v>Disney Worldwide:Goofy's Candy Company</v>
          </cell>
          <cell r="H887">
            <v>1</v>
          </cell>
        </row>
        <row r="888">
          <cell r="B888" t="str">
            <v>Freight - Pd by Customer</v>
          </cell>
          <cell r="C888" t="str">
            <v>Invoice</v>
          </cell>
          <cell r="D888">
            <v>38461</v>
          </cell>
          <cell r="F888" t="str">
            <v>5637</v>
          </cell>
          <cell r="G888" t="str">
            <v>US Navy NSWC</v>
          </cell>
          <cell r="H888">
            <v>1</v>
          </cell>
        </row>
        <row r="889">
          <cell r="B889" t="str">
            <v>Freight - Pd by Customer</v>
          </cell>
          <cell r="C889" t="str">
            <v>Invoice</v>
          </cell>
          <cell r="D889">
            <v>38461</v>
          </cell>
          <cell r="F889" t="str">
            <v>5674</v>
          </cell>
          <cell r="G889" t="str">
            <v>H.H. Gregg, Inc.</v>
          </cell>
          <cell r="H889">
            <v>1</v>
          </cell>
        </row>
        <row r="890">
          <cell r="B890" t="str">
            <v>Freight - Pd by Customer</v>
          </cell>
          <cell r="C890" t="str">
            <v>Invoice</v>
          </cell>
          <cell r="D890">
            <v>38467</v>
          </cell>
          <cell r="F890" t="str">
            <v>5655</v>
          </cell>
          <cell r="G890" t="str">
            <v>Lee-Moore Oil Company:Exxon OTR - 37</v>
          </cell>
          <cell r="H890">
            <v>1</v>
          </cell>
        </row>
        <row r="891">
          <cell r="B891" t="str">
            <v>Freight - Pd by Customer</v>
          </cell>
          <cell r="C891" t="str">
            <v>Invoice</v>
          </cell>
          <cell r="D891">
            <v>38467</v>
          </cell>
          <cell r="F891" t="str">
            <v>5650</v>
          </cell>
          <cell r="G891" t="str">
            <v>Lee-Moore Oil Company:Exxon OTR - 41</v>
          </cell>
          <cell r="H891">
            <v>1</v>
          </cell>
        </row>
        <row r="892">
          <cell r="B892" t="str">
            <v>Freight - Pd by Customer</v>
          </cell>
          <cell r="C892" t="str">
            <v>Invoice</v>
          </cell>
          <cell r="D892">
            <v>38467</v>
          </cell>
          <cell r="F892" t="str">
            <v>5656</v>
          </cell>
          <cell r="G892" t="str">
            <v>Lee-Moore Oil Company:Exxon OTR - 41</v>
          </cell>
          <cell r="H892">
            <v>1</v>
          </cell>
        </row>
        <row r="893">
          <cell r="B893" t="str">
            <v>Freight - Pd by Customer</v>
          </cell>
          <cell r="C893" t="str">
            <v>Invoice</v>
          </cell>
          <cell r="D893">
            <v>38467</v>
          </cell>
          <cell r="F893" t="str">
            <v>5653</v>
          </cell>
          <cell r="G893" t="str">
            <v>Lee-Moore Oil Company:Exxon OTR - 21</v>
          </cell>
          <cell r="H893">
            <v>1</v>
          </cell>
        </row>
        <row r="894">
          <cell r="B894" t="str">
            <v>Freight - Pd by Customer</v>
          </cell>
          <cell r="C894" t="str">
            <v>Invoice</v>
          </cell>
          <cell r="D894">
            <v>38467</v>
          </cell>
          <cell r="F894" t="str">
            <v>5654</v>
          </cell>
          <cell r="G894" t="str">
            <v>Lee-Moore Oil Company:Exxon OTR - 70</v>
          </cell>
          <cell r="H894">
            <v>1</v>
          </cell>
        </row>
        <row r="895">
          <cell r="B895" t="str">
            <v>Freight - Pd by Customer</v>
          </cell>
          <cell r="C895" t="str">
            <v>Invoice</v>
          </cell>
          <cell r="D895">
            <v>38467</v>
          </cell>
          <cell r="F895" t="str">
            <v>5651</v>
          </cell>
          <cell r="G895" t="str">
            <v>Lee-Moore Oil Company:Exxon OTR - 42</v>
          </cell>
          <cell r="H895">
            <v>1</v>
          </cell>
        </row>
        <row r="896">
          <cell r="B896" t="str">
            <v>Freight - Pd by Customer</v>
          </cell>
          <cell r="C896" t="str">
            <v>Invoice</v>
          </cell>
          <cell r="D896">
            <v>38467</v>
          </cell>
          <cell r="F896" t="str">
            <v>5638</v>
          </cell>
          <cell r="G896" t="str">
            <v>Lee-Moore Oil Company:Exxon OTR - 71</v>
          </cell>
          <cell r="H896">
            <v>1</v>
          </cell>
        </row>
        <row r="897">
          <cell r="B897" t="str">
            <v>Freight - Pd by Customer</v>
          </cell>
          <cell r="C897" t="str">
            <v>Invoice</v>
          </cell>
          <cell r="D897">
            <v>38467</v>
          </cell>
          <cell r="F897" t="str">
            <v>5680</v>
          </cell>
          <cell r="G897" t="str">
            <v>Exxon DDB Worldwide:Exxon DDB Worldwide #26308</v>
          </cell>
          <cell r="H897">
            <v>1</v>
          </cell>
        </row>
        <row r="898">
          <cell r="B898" t="str">
            <v>Freight - Pd by Customer</v>
          </cell>
          <cell r="C898" t="str">
            <v>Invoice</v>
          </cell>
          <cell r="D898">
            <v>38467</v>
          </cell>
          <cell r="F898" t="str">
            <v>5685</v>
          </cell>
          <cell r="G898" t="str">
            <v>Exxon DDB Worldwide:Exxon DDB Worldwide #20407</v>
          </cell>
          <cell r="H898">
            <v>1</v>
          </cell>
        </row>
        <row r="899">
          <cell r="B899" t="str">
            <v>Freight - Pd by Customer</v>
          </cell>
          <cell r="C899" t="str">
            <v>Invoice</v>
          </cell>
          <cell r="D899">
            <v>38467</v>
          </cell>
          <cell r="F899" t="str">
            <v>5683</v>
          </cell>
          <cell r="G899" t="str">
            <v>Exxon DDB Worldwide:Exxon DDB Worldwide #24239</v>
          </cell>
          <cell r="H899">
            <v>1</v>
          </cell>
        </row>
        <row r="900">
          <cell r="B900" t="str">
            <v>Freight - Pd by Customer</v>
          </cell>
          <cell r="C900" t="str">
            <v>Invoice</v>
          </cell>
          <cell r="D900">
            <v>38467</v>
          </cell>
          <cell r="F900" t="str">
            <v>5681</v>
          </cell>
          <cell r="G900" t="str">
            <v>Exxon DDB Worldwide# 25329</v>
          </cell>
          <cell r="H900">
            <v>1</v>
          </cell>
        </row>
        <row r="901">
          <cell r="B901" t="str">
            <v>Freight - Pd by Customer</v>
          </cell>
          <cell r="C901" t="str">
            <v>Invoice</v>
          </cell>
          <cell r="D901">
            <v>38467</v>
          </cell>
          <cell r="F901" t="str">
            <v>5682</v>
          </cell>
          <cell r="G901" t="str">
            <v>Exxon DDB Worldwide# 2431</v>
          </cell>
          <cell r="H901">
            <v>1</v>
          </cell>
        </row>
        <row r="902">
          <cell r="B902" t="str">
            <v>Freight - Pd by Customer</v>
          </cell>
          <cell r="C902" t="str">
            <v>Invoice</v>
          </cell>
          <cell r="D902">
            <v>38467</v>
          </cell>
          <cell r="F902" t="str">
            <v>5689</v>
          </cell>
          <cell r="G902" t="str">
            <v>Exxon DDB Worldwide#10241</v>
          </cell>
          <cell r="H902">
            <v>1</v>
          </cell>
        </row>
        <row r="903">
          <cell r="B903" t="str">
            <v>Freight - Pd by Customer</v>
          </cell>
          <cell r="C903" t="str">
            <v>Invoice</v>
          </cell>
          <cell r="D903">
            <v>38467</v>
          </cell>
          <cell r="F903" t="str">
            <v>5687</v>
          </cell>
          <cell r="G903" t="str">
            <v>Exxon DDB Worldwide:Exxon DDB Worldwide #11644</v>
          </cell>
          <cell r="H903">
            <v>1</v>
          </cell>
        </row>
        <row r="904">
          <cell r="B904" t="str">
            <v>Freight - Pd by Customer</v>
          </cell>
          <cell r="C904" t="str">
            <v>Invoice</v>
          </cell>
          <cell r="D904">
            <v>38467</v>
          </cell>
          <cell r="F904" t="str">
            <v>5688</v>
          </cell>
          <cell r="G904" t="str">
            <v>Exxon DDB Worldwide#11640</v>
          </cell>
          <cell r="H904">
            <v>1</v>
          </cell>
        </row>
        <row r="905">
          <cell r="B905" t="str">
            <v>Freight - Pd by Customer</v>
          </cell>
          <cell r="C905" t="str">
            <v>Invoice</v>
          </cell>
          <cell r="D905">
            <v>38467</v>
          </cell>
          <cell r="F905" t="str">
            <v>5686</v>
          </cell>
          <cell r="G905" t="str">
            <v>Exxon DDB Worldwide:Exxon DDB Worldwide #15022</v>
          </cell>
          <cell r="H905">
            <v>1</v>
          </cell>
        </row>
        <row r="906">
          <cell r="B906" t="str">
            <v>Freight - Pd by Customer</v>
          </cell>
          <cell r="C906" t="str">
            <v>Invoice</v>
          </cell>
          <cell r="D906">
            <v>38467</v>
          </cell>
          <cell r="F906" t="str">
            <v>5679A</v>
          </cell>
          <cell r="G906" t="str">
            <v>Exxon DDB Worldwide</v>
          </cell>
          <cell r="H906">
            <v>1</v>
          </cell>
        </row>
        <row r="907">
          <cell r="B907" t="str">
            <v>Freight - Pd by Customer</v>
          </cell>
          <cell r="C907" t="str">
            <v>Invoice</v>
          </cell>
          <cell r="D907">
            <v>38467</v>
          </cell>
          <cell r="F907" t="str">
            <v>5679A</v>
          </cell>
          <cell r="G907" t="str">
            <v>Exxon DDB Worldwide</v>
          </cell>
          <cell r="H907">
            <v>1</v>
          </cell>
        </row>
        <row r="908">
          <cell r="B908" t="str">
            <v>Freight - Pd by Customer</v>
          </cell>
          <cell r="C908" t="str">
            <v>Invoice</v>
          </cell>
          <cell r="D908">
            <v>38467</v>
          </cell>
          <cell r="F908" t="str">
            <v>5679A</v>
          </cell>
          <cell r="G908" t="str">
            <v>Exxon DDB Worldwide</v>
          </cell>
          <cell r="H908">
            <v>1</v>
          </cell>
        </row>
        <row r="909">
          <cell r="B909" t="str">
            <v>Freight - Pd by Customer</v>
          </cell>
          <cell r="C909" t="str">
            <v>Invoice</v>
          </cell>
          <cell r="D909">
            <v>38467</v>
          </cell>
          <cell r="F909" t="str">
            <v>5679A</v>
          </cell>
          <cell r="G909" t="str">
            <v>Exxon DDB Worldwide</v>
          </cell>
          <cell r="H909">
            <v>1</v>
          </cell>
        </row>
        <row r="910">
          <cell r="B910" t="str">
            <v>Freight - Pd by Customer</v>
          </cell>
          <cell r="C910" t="str">
            <v>Invoice</v>
          </cell>
          <cell r="D910">
            <v>38467</v>
          </cell>
          <cell r="F910" t="str">
            <v>5679A</v>
          </cell>
          <cell r="G910" t="str">
            <v>Exxon DDB Worldwide</v>
          </cell>
          <cell r="H910">
            <v>1</v>
          </cell>
        </row>
        <row r="911">
          <cell r="B911" t="str">
            <v>Freight - Pd by Customer</v>
          </cell>
          <cell r="C911" t="str">
            <v>Invoice</v>
          </cell>
          <cell r="D911">
            <v>38467</v>
          </cell>
          <cell r="F911" t="str">
            <v>5679A</v>
          </cell>
          <cell r="G911" t="str">
            <v>Exxon DDB Worldwide</v>
          </cell>
          <cell r="H911">
            <v>1</v>
          </cell>
        </row>
        <row r="912">
          <cell r="B912" t="str">
            <v>Freight - Pd by Customer</v>
          </cell>
          <cell r="C912" t="str">
            <v>Invoice</v>
          </cell>
          <cell r="D912">
            <v>38467</v>
          </cell>
          <cell r="F912" t="str">
            <v>5679A</v>
          </cell>
          <cell r="G912" t="str">
            <v>Exxon DDB Worldwide</v>
          </cell>
          <cell r="H912">
            <v>1</v>
          </cell>
        </row>
        <row r="913">
          <cell r="B913" t="str">
            <v>Freight - Pd by Customer</v>
          </cell>
          <cell r="C913" t="str">
            <v>Invoice</v>
          </cell>
          <cell r="D913">
            <v>38467</v>
          </cell>
          <cell r="F913" t="str">
            <v>5679A</v>
          </cell>
          <cell r="G913" t="str">
            <v>Exxon DDB Worldwide</v>
          </cell>
          <cell r="H913">
            <v>1</v>
          </cell>
        </row>
        <row r="914">
          <cell r="B914" t="str">
            <v>Freight - Pd by Customer</v>
          </cell>
          <cell r="C914" t="str">
            <v>Invoice</v>
          </cell>
          <cell r="D914">
            <v>38467</v>
          </cell>
          <cell r="F914" t="str">
            <v>5679A</v>
          </cell>
          <cell r="G914" t="str">
            <v>Exxon DDB Worldwide</v>
          </cell>
          <cell r="H914">
            <v>1</v>
          </cell>
        </row>
        <row r="915">
          <cell r="B915" t="str">
            <v>Freight - Pd by Customer</v>
          </cell>
          <cell r="C915" t="str">
            <v>Invoice</v>
          </cell>
          <cell r="D915">
            <v>38467</v>
          </cell>
          <cell r="F915" t="str">
            <v>6000</v>
          </cell>
          <cell r="G915" t="str">
            <v>Sioux Land Heritage Museum</v>
          </cell>
          <cell r="H915">
            <v>1</v>
          </cell>
        </row>
        <row r="916">
          <cell r="B916" t="str">
            <v>Freight - Pd by Customer</v>
          </cell>
          <cell r="C916" t="str">
            <v>Invoice</v>
          </cell>
          <cell r="D916">
            <v>38467</v>
          </cell>
          <cell r="F916" t="str">
            <v>5632</v>
          </cell>
          <cell r="G916" t="str">
            <v>Silks By Mu-Mu Manufactuteres</v>
          </cell>
          <cell r="H916">
            <v>1</v>
          </cell>
        </row>
        <row r="917">
          <cell r="B917" t="str">
            <v>Freight - Pd by Customer</v>
          </cell>
          <cell r="C917" t="str">
            <v>Invoice</v>
          </cell>
          <cell r="D917">
            <v>38467</v>
          </cell>
          <cell r="F917" t="str">
            <v>5701</v>
          </cell>
          <cell r="G917" t="str">
            <v>Maryland Science Center</v>
          </cell>
          <cell r="H917">
            <v>1</v>
          </cell>
        </row>
        <row r="918">
          <cell r="B918" t="str">
            <v>Freight - Pd by Customer</v>
          </cell>
          <cell r="C918" t="str">
            <v>Invoice</v>
          </cell>
          <cell r="D918">
            <v>38467</v>
          </cell>
          <cell r="F918" t="str">
            <v>5696</v>
          </cell>
          <cell r="G918" t="str">
            <v>Cafe Aroma</v>
          </cell>
          <cell r="H918">
            <v>1</v>
          </cell>
        </row>
        <row r="919">
          <cell r="B919" t="str">
            <v>Freight - Pd by Customer</v>
          </cell>
          <cell r="C919" t="str">
            <v>Invoice</v>
          </cell>
          <cell r="D919">
            <v>38467</v>
          </cell>
          <cell r="F919" t="str">
            <v>5634</v>
          </cell>
          <cell r="G919" t="str">
            <v>DFS Guam L.P.</v>
          </cell>
          <cell r="H919">
            <v>1</v>
          </cell>
        </row>
        <row r="920">
          <cell r="B920" t="str">
            <v>Freight - Pd by Customer</v>
          </cell>
          <cell r="C920" t="str">
            <v>Invoice</v>
          </cell>
          <cell r="D920">
            <v>38467</v>
          </cell>
          <cell r="F920" t="str">
            <v>6002</v>
          </cell>
          <cell r="G920" t="str">
            <v>Freedom Station Family Fun Center</v>
          </cell>
          <cell r="H920">
            <v>1</v>
          </cell>
        </row>
        <row r="921">
          <cell r="B921" t="str">
            <v>Freight - Pd by Customer</v>
          </cell>
          <cell r="C921" t="str">
            <v>Invoice</v>
          </cell>
          <cell r="D921">
            <v>38467</v>
          </cell>
          <cell r="F921" t="str">
            <v>5715</v>
          </cell>
          <cell r="G921" t="str">
            <v>Hallmark Cards - Kansas City, MO</v>
          </cell>
          <cell r="H921">
            <v>1</v>
          </cell>
        </row>
        <row r="922">
          <cell r="B922" t="str">
            <v>Freight - Pd by Customer</v>
          </cell>
          <cell r="C922" t="str">
            <v>Invoice</v>
          </cell>
          <cell r="D922">
            <v>38467</v>
          </cell>
          <cell r="F922" t="str">
            <v>5670</v>
          </cell>
          <cell r="G922" t="str">
            <v>Sony Style #63</v>
          </cell>
          <cell r="H922">
            <v>1</v>
          </cell>
        </row>
        <row r="923">
          <cell r="B923" t="str">
            <v>Freight - Pd by Customer</v>
          </cell>
          <cell r="C923" t="str">
            <v>Invoice</v>
          </cell>
          <cell r="D923">
            <v>38467</v>
          </cell>
          <cell r="F923" t="str">
            <v>5630</v>
          </cell>
          <cell r="G923" t="str">
            <v>Florida Aquarium</v>
          </cell>
          <cell r="H923">
            <v>1</v>
          </cell>
        </row>
        <row r="924">
          <cell r="B924" t="str">
            <v>Freight - Pd by Customer</v>
          </cell>
          <cell r="C924" t="str">
            <v>Invoice</v>
          </cell>
          <cell r="D924">
            <v>38467</v>
          </cell>
          <cell r="F924" t="str">
            <v>5627</v>
          </cell>
          <cell r="G924" t="str">
            <v>Harry and David #564</v>
          </cell>
          <cell r="H924">
            <v>1</v>
          </cell>
        </row>
        <row r="925">
          <cell r="B925" t="str">
            <v>Freight - Pd by Customer</v>
          </cell>
          <cell r="C925" t="str">
            <v>Invoice</v>
          </cell>
          <cell r="D925">
            <v>38467</v>
          </cell>
          <cell r="F925" t="str">
            <v>5629</v>
          </cell>
          <cell r="G925" t="str">
            <v>Southern Kitchen and Bath</v>
          </cell>
          <cell r="H925">
            <v>1</v>
          </cell>
        </row>
        <row r="926">
          <cell r="B926" t="str">
            <v>Freight - Pd by Customer</v>
          </cell>
          <cell r="C926" t="str">
            <v>Invoice</v>
          </cell>
          <cell r="D926">
            <v>38467</v>
          </cell>
          <cell r="F926" t="str">
            <v>5657</v>
          </cell>
          <cell r="G926" t="str">
            <v>Lee-Moore Oil Company:Exxon OTR - 22</v>
          </cell>
          <cell r="H926">
            <v>1</v>
          </cell>
        </row>
        <row r="927">
          <cell r="B927" t="str">
            <v>Freight - Pd by Customer</v>
          </cell>
          <cell r="C927" t="str">
            <v>Invoice</v>
          </cell>
          <cell r="D927">
            <v>38467</v>
          </cell>
          <cell r="F927" t="str">
            <v>5669</v>
          </cell>
          <cell r="G927" t="str">
            <v>Sony Style #64</v>
          </cell>
          <cell r="H927">
            <v>1</v>
          </cell>
        </row>
        <row r="928">
          <cell r="B928" t="str">
            <v>Freight - Pd by Customer</v>
          </cell>
          <cell r="C928" t="str">
            <v>Invoice</v>
          </cell>
          <cell r="D928">
            <v>38467</v>
          </cell>
          <cell r="F928" t="str">
            <v>5704</v>
          </cell>
          <cell r="G928" t="str">
            <v>Economart</v>
          </cell>
          <cell r="H928">
            <v>1</v>
          </cell>
        </row>
        <row r="929">
          <cell r="B929" t="str">
            <v>Freight - Pd by Customer</v>
          </cell>
          <cell r="C929" t="str">
            <v>Invoice</v>
          </cell>
          <cell r="D929">
            <v>38467</v>
          </cell>
          <cell r="F929" t="str">
            <v>5639</v>
          </cell>
          <cell r="G929" t="str">
            <v>Lee-Moore Oil Company:Exxon OTR - 29</v>
          </cell>
          <cell r="H929">
            <v>1</v>
          </cell>
        </row>
        <row r="930">
          <cell r="B930" t="str">
            <v>Freight - Pd by Customer</v>
          </cell>
          <cell r="C930" t="str">
            <v>Invoice</v>
          </cell>
          <cell r="D930">
            <v>38467</v>
          </cell>
          <cell r="F930" t="str">
            <v>5640</v>
          </cell>
          <cell r="G930" t="str">
            <v>Lee-Moore Oil Company:Exxon OTR - 30</v>
          </cell>
          <cell r="H930">
            <v>1</v>
          </cell>
        </row>
        <row r="931">
          <cell r="B931" t="str">
            <v>Freight - Pd by Customer</v>
          </cell>
          <cell r="C931" t="str">
            <v>Invoice</v>
          </cell>
          <cell r="D931">
            <v>38467</v>
          </cell>
          <cell r="F931" t="str">
            <v>5636</v>
          </cell>
          <cell r="G931" t="str">
            <v>Lee-Moore Oil Company:Exxon OTR - 30</v>
          </cell>
          <cell r="H931">
            <v>1</v>
          </cell>
        </row>
        <row r="932">
          <cell r="B932" t="str">
            <v>Freight - Pd by Customer</v>
          </cell>
          <cell r="C932" t="str">
            <v>Invoice</v>
          </cell>
          <cell r="D932">
            <v>38467</v>
          </cell>
          <cell r="F932" t="str">
            <v>5647</v>
          </cell>
          <cell r="G932" t="str">
            <v>Dylan's Candy Bar:Dylan's Candy Bar Orlando #16</v>
          </cell>
          <cell r="H932">
            <v>1</v>
          </cell>
        </row>
        <row r="933">
          <cell r="B933" t="str">
            <v>Freight - Pd by Customer</v>
          </cell>
          <cell r="C933" t="str">
            <v>Invoice</v>
          </cell>
          <cell r="D933">
            <v>38467</v>
          </cell>
          <cell r="F933" t="str">
            <v>5595</v>
          </cell>
          <cell r="G933" t="str">
            <v>Hershey's, Inc.:Hershey's Chicago</v>
          </cell>
          <cell r="H933">
            <v>1</v>
          </cell>
        </row>
        <row r="934">
          <cell r="B934" t="str">
            <v>Freight - Pd by Customer</v>
          </cell>
          <cell r="C934" t="str">
            <v>Invoice</v>
          </cell>
          <cell r="D934">
            <v>38468</v>
          </cell>
          <cell r="F934" t="str">
            <v>6003</v>
          </cell>
          <cell r="G934" t="str">
            <v>Coffee Beanery</v>
          </cell>
          <cell r="H934">
            <v>1</v>
          </cell>
        </row>
        <row r="935">
          <cell r="B935" t="str">
            <v>Freight - Pd by Customer</v>
          </cell>
          <cell r="C935" t="str">
            <v>Invoice</v>
          </cell>
          <cell r="D935">
            <v>38468</v>
          </cell>
          <cell r="F935" t="str">
            <v>5706</v>
          </cell>
          <cell r="G935" t="str">
            <v>Starwood Hotels Corporate Office</v>
          </cell>
          <cell r="H935">
            <v>1</v>
          </cell>
        </row>
        <row r="936">
          <cell r="B936" t="str">
            <v>Freight - Pd by Customer</v>
          </cell>
          <cell r="C936" t="str">
            <v>Invoice</v>
          </cell>
          <cell r="D936">
            <v>38468</v>
          </cell>
          <cell r="F936" t="str">
            <v>5711</v>
          </cell>
          <cell r="G936" t="str">
            <v>Starwood Hotels Corporate Office</v>
          </cell>
          <cell r="H936">
            <v>1</v>
          </cell>
        </row>
        <row r="937">
          <cell r="B937" t="str">
            <v>Freight - Pd by Customer</v>
          </cell>
          <cell r="C937" t="str">
            <v>Invoice</v>
          </cell>
          <cell r="D937">
            <v>38468</v>
          </cell>
          <cell r="F937" t="str">
            <v>5707</v>
          </cell>
          <cell r="G937" t="str">
            <v>Starwood Hotels Corporate Office</v>
          </cell>
          <cell r="H937">
            <v>1</v>
          </cell>
        </row>
        <row r="938">
          <cell r="B938" t="str">
            <v>Freight - Pd by Customer</v>
          </cell>
          <cell r="C938" t="str">
            <v>Invoice</v>
          </cell>
          <cell r="D938">
            <v>38468</v>
          </cell>
          <cell r="F938" t="str">
            <v>5645</v>
          </cell>
          <cell r="G938" t="str">
            <v>Owlfie's Flowers and Gifts</v>
          </cell>
          <cell r="H938">
            <v>1</v>
          </cell>
        </row>
        <row r="939">
          <cell r="B939" t="str">
            <v>Freight - Pd by Customer</v>
          </cell>
          <cell r="C939" t="str">
            <v>Invoice</v>
          </cell>
          <cell r="D939">
            <v>38468</v>
          </cell>
          <cell r="F939" t="str">
            <v>5708</v>
          </cell>
          <cell r="G939" t="str">
            <v>Starwood Hotels Corporate Office</v>
          </cell>
          <cell r="H939">
            <v>1</v>
          </cell>
        </row>
        <row r="940">
          <cell r="B940" t="str">
            <v>Freight - Pd by Customer</v>
          </cell>
          <cell r="C940" t="str">
            <v>Invoice</v>
          </cell>
          <cell r="D940">
            <v>38468</v>
          </cell>
          <cell r="F940" t="str">
            <v>5709</v>
          </cell>
          <cell r="G940" t="str">
            <v>Starwood Hotels Corporate Office</v>
          </cell>
          <cell r="H940">
            <v>1</v>
          </cell>
        </row>
        <row r="941">
          <cell r="B941" t="str">
            <v>Freight - Pd by Customer</v>
          </cell>
          <cell r="C941" t="str">
            <v>Invoice</v>
          </cell>
          <cell r="D941">
            <v>38468</v>
          </cell>
          <cell r="F941" t="str">
            <v>5621</v>
          </cell>
          <cell r="G941" t="str">
            <v>Saks Fifth Avenue-Santa Barbara</v>
          </cell>
          <cell r="H941">
            <v>1</v>
          </cell>
        </row>
        <row r="942">
          <cell r="B942" t="str">
            <v>Freight - Pd by Customer</v>
          </cell>
          <cell r="C942" t="str">
            <v>Invoice</v>
          </cell>
          <cell r="D942">
            <v>38468</v>
          </cell>
          <cell r="F942" t="str">
            <v>5710</v>
          </cell>
          <cell r="G942" t="str">
            <v>Starwood Hotels Corporate Office</v>
          </cell>
          <cell r="H942">
            <v>1</v>
          </cell>
        </row>
        <row r="943">
          <cell r="B943" t="str">
            <v>Freight - Pd by Customer</v>
          </cell>
          <cell r="C943" t="str">
            <v>Invoice</v>
          </cell>
          <cell r="D943">
            <v>38468</v>
          </cell>
          <cell r="F943" t="str">
            <v>6018</v>
          </cell>
          <cell r="G943" t="str">
            <v>Cafe Aroma</v>
          </cell>
          <cell r="H943">
            <v>1</v>
          </cell>
        </row>
        <row r="944">
          <cell r="B944" t="str">
            <v>Freight - Pd by Customer</v>
          </cell>
          <cell r="C944" t="str">
            <v>Invoice</v>
          </cell>
          <cell r="D944">
            <v>38468</v>
          </cell>
          <cell r="F944" t="str">
            <v>6017</v>
          </cell>
          <cell r="G944" t="str">
            <v>Treasure Island Stores</v>
          </cell>
          <cell r="H944">
            <v>1</v>
          </cell>
        </row>
        <row r="945">
          <cell r="B945" t="str">
            <v>Freight - Pd by Customer</v>
          </cell>
          <cell r="C945" t="str">
            <v>Invoice</v>
          </cell>
          <cell r="D945">
            <v>38469</v>
          </cell>
          <cell r="F945" t="str">
            <v>6019</v>
          </cell>
          <cell r="G945" t="str">
            <v>Strategic Operations Inc.</v>
          </cell>
          <cell r="H945">
            <v>1</v>
          </cell>
        </row>
        <row r="946">
          <cell r="B946" t="str">
            <v>Freight - Pd by Customer</v>
          </cell>
          <cell r="C946" t="str">
            <v>Invoice</v>
          </cell>
          <cell r="D946">
            <v>38470</v>
          </cell>
          <cell r="F946" t="str">
            <v>5625</v>
          </cell>
          <cell r="G946" t="str">
            <v>Bark Avenue Bakery</v>
          </cell>
          <cell r="H946">
            <v>1</v>
          </cell>
        </row>
        <row r="947">
          <cell r="B947" t="str">
            <v>Freight - Pd by Customer</v>
          </cell>
          <cell r="C947" t="str">
            <v>Invoice</v>
          </cell>
          <cell r="D947">
            <v>38470</v>
          </cell>
          <cell r="F947" t="str">
            <v>5716</v>
          </cell>
          <cell r="G947" t="str">
            <v>Abercrombie &amp; Fitch..</v>
          </cell>
          <cell r="H947">
            <v>1</v>
          </cell>
        </row>
        <row r="948">
          <cell r="B948" t="str">
            <v>Freight - Pd by Customer</v>
          </cell>
          <cell r="C948" t="str">
            <v>Invoice</v>
          </cell>
          <cell r="D948">
            <v>38470</v>
          </cell>
          <cell r="F948" t="str">
            <v>6022</v>
          </cell>
          <cell r="G948" t="str">
            <v>Ralph Jones Display</v>
          </cell>
          <cell r="H948">
            <v>1</v>
          </cell>
        </row>
        <row r="949">
          <cell r="B949" t="str">
            <v>Freight - Pd by Customer</v>
          </cell>
          <cell r="C949" t="str">
            <v>Invoice</v>
          </cell>
          <cell r="D949">
            <v>38471</v>
          </cell>
          <cell r="F949" t="str">
            <v>5662</v>
          </cell>
          <cell r="G949" t="str">
            <v>Sony Style #56</v>
          </cell>
          <cell r="H949">
            <v>1</v>
          </cell>
        </row>
        <row r="950">
          <cell r="B950" t="str">
            <v>Freight - Pd by Customer</v>
          </cell>
          <cell r="C950" t="str">
            <v>Invoice</v>
          </cell>
          <cell r="D950">
            <v>38471</v>
          </cell>
          <cell r="F950" t="str">
            <v>5665</v>
          </cell>
          <cell r="G950" t="str">
            <v>Sony Style #52</v>
          </cell>
          <cell r="H950">
            <v>1</v>
          </cell>
        </row>
        <row r="951">
          <cell r="B951" t="str">
            <v>Freight - Pd by Customer</v>
          </cell>
          <cell r="C951" t="str">
            <v>Invoice</v>
          </cell>
          <cell r="D951">
            <v>38471</v>
          </cell>
          <cell r="F951" t="str">
            <v>5667</v>
          </cell>
          <cell r="G951" t="str">
            <v>Sony Style #51</v>
          </cell>
          <cell r="H951">
            <v>1</v>
          </cell>
        </row>
        <row r="952">
          <cell r="B952" t="str">
            <v>Freight - Pd by Customer</v>
          </cell>
          <cell r="C952" t="str">
            <v>Invoice</v>
          </cell>
          <cell r="D952">
            <v>38471</v>
          </cell>
          <cell r="F952" t="str">
            <v>5660</v>
          </cell>
          <cell r="G952" t="str">
            <v>Sony Style #58</v>
          </cell>
          <cell r="H952">
            <v>1</v>
          </cell>
        </row>
        <row r="953">
          <cell r="B953" t="str">
            <v>Freight - Pd by Customer</v>
          </cell>
          <cell r="C953" t="str">
            <v>Invoice</v>
          </cell>
          <cell r="D953">
            <v>38471</v>
          </cell>
          <cell r="F953" t="str">
            <v>5661</v>
          </cell>
          <cell r="G953" t="str">
            <v>Sony Style #57</v>
          </cell>
          <cell r="H953">
            <v>1</v>
          </cell>
        </row>
        <row r="954">
          <cell r="B954" t="str">
            <v>Freight - Pd by Customer</v>
          </cell>
          <cell r="C954" t="str">
            <v>Invoice</v>
          </cell>
          <cell r="D954">
            <v>38471</v>
          </cell>
          <cell r="F954" t="str">
            <v>5659</v>
          </cell>
          <cell r="G954" t="str">
            <v>Sony Style #61</v>
          </cell>
          <cell r="H954">
            <v>1</v>
          </cell>
        </row>
        <row r="955">
          <cell r="B955" t="str">
            <v>Freight - Pd by Customer</v>
          </cell>
          <cell r="C955" t="str">
            <v>Invoice</v>
          </cell>
          <cell r="D955">
            <v>38471</v>
          </cell>
          <cell r="F955" t="str">
            <v>5663</v>
          </cell>
          <cell r="G955" t="str">
            <v>Sony Style #55</v>
          </cell>
          <cell r="H955">
            <v>1</v>
          </cell>
        </row>
        <row r="956">
          <cell r="B956" t="str">
            <v>Freight - Pd by Customer</v>
          </cell>
          <cell r="C956" t="str">
            <v>Invoice</v>
          </cell>
          <cell r="D956">
            <v>38471</v>
          </cell>
          <cell r="F956" t="str">
            <v>5668</v>
          </cell>
          <cell r="G956" t="str">
            <v>Sony Style #60</v>
          </cell>
          <cell r="H956">
            <v>1</v>
          </cell>
        </row>
        <row r="957">
          <cell r="B957" t="str">
            <v>Freight - Pd by Customer</v>
          </cell>
          <cell r="C957" t="str">
            <v>Invoice</v>
          </cell>
          <cell r="D957">
            <v>38471</v>
          </cell>
          <cell r="F957" t="str">
            <v>5666</v>
          </cell>
          <cell r="G957" t="str">
            <v>Sony Style #54</v>
          </cell>
          <cell r="H957">
            <v>1</v>
          </cell>
        </row>
        <row r="958">
          <cell r="B958" t="str">
            <v>Freight - Pd by Customer</v>
          </cell>
          <cell r="C958" t="str">
            <v>Invoice</v>
          </cell>
          <cell r="D958">
            <v>38471</v>
          </cell>
          <cell r="F958" t="str">
            <v>5658</v>
          </cell>
          <cell r="G958" t="str">
            <v>Sony Style #65</v>
          </cell>
          <cell r="H958">
            <v>1</v>
          </cell>
        </row>
        <row r="959">
          <cell r="B959" t="str">
            <v>Freight - Pd by Customer</v>
          </cell>
          <cell r="C959" t="str">
            <v>Invoice</v>
          </cell>
          <cell r="D959">
            <v>38471</v>
          </cell>
          <cell r="F959" t="str">
            <v>5664</v>
          </cell>
          <cell r="G959" t="str">
            <v>Sony Style #53</v>
          </cell>
          <cell r="H959">
            <v>1</v>
          </cell>
        </row>
        <row r="960">
          <cell r="B960" t="str">
            <v>Freight - Pd by Customer</v>
          </cell>
          <cell r="C960" t="str">
            <v>Invoice</v>
          </cell>
          <cell r="D960">
            <v>38471</v>
          </cell>
          <cell r="F960" t="str">
            <v>5722</v>
          </cell>
          <cell r="G960" t="str">
            <v>M &amp; M World</v>
          </cell>
          <cell r="H960">
            <v>1</v>
          </cell>
        </row>
        <row r="961">
          <cell r="B961" t="str">
            <v>Freight - Pd by Customer</v>
          </cell>
          <cell r="C961" t="str">
            <v>Invoice</v>
          </cell>
          <cell r="D961">
            <v>38471</v>
          </cell>
          <cell r="F961" t="str">
            <v>5717</v>
          </cell>
          <cell r="G961" t="str">
            <v>The Funplex</v>
          </cell>
          <cell r="H961">
            <v>1</v>
          </cell>
        </row>
        <row r="962">
          <cell r="B962" t="str">
            <v>Freight - Pd by Customer</v>
          </cell>
          <cell r="C962" t="str">
            <v>Invoice</v>
          </cell>
          <cell r="D962">
            <v>38471</v>
          </cell>
          <cell r="F962" t="str">
            <v>6020</v>
          </cell>
          <cell r="G962" t="str">
            <v>ScentAir Australia Pty Ltd.</v>
          </cell>
          <cell r="H962">
            <v>1</v>
          </cell>
        </row>
        <row r="963">
          <cell r="B963" t="str">
            <v>Freight - Pd by Customer</v>
          </cell>
          <cell r="C963" t="str">
            <v>Invoice</v>
          </cell>
          <cell r="D963">
            <v>38471</v>
          </cell>
          <cell r="F963" t="str">
            <v>6033</v>
          </cell>
          <cell r="G963" t="str">
            <v>The Childrens Place</v>
          </cell>
          <cell r="H963">
            <v>1</v>
          </cell>
        </row>
        <row r="964">
          <cell r="B964" t="str">
            <v>Freight - Pd by Customer</v>
          </cell>
          <cell r="C964" t="str">
            <v>Invoice</v>
          </cell>
          <cell r="D964">
            <v>38471</v>
          </cell>
          <cell r="F964" t="str">
            <v>6028</v>
          </cell>
          <cell r="G964" t="str">
            <v>Radio Shack Coporation</v>
          </cell>
          <cell r="H964">
            <v>1</v>
          </cell>
        </row>
        <row r="965">
          <cell r="B965" t="str">
            <v>Freight - Pd by Customer</v>
          </cell>
          <cell r="C965" t="str">
            <v>Invoice</v>
          </cell>
          <cell r="D965">
            <v>38471</v>
          </cell>
          <cell r="F965" t="str">
            <v>6032</v>
          </cell>
          <cell r="G965" t="str">
            <v>Franklin Covey</v>
          </cell>
          <cell r="H965">
            <v>1</v>
          </cell>
        </row>
        <row r="966">
          <cell r="B966" t="str">
            <v>Freight - Pd by Customer</v>
          </cell>
          <cell r="C966" t="str">
            <v>Invoice</v>
          </cell>
          <cell r="D966">
            <v>38472</v>
          </cell>
          <cell r="F966" t="str">
            <v>5530</v>
          </cell>
          <cell r="G966" t="str">
            <v>Jimmy Choo (Corporate Office):Jimmy Choo (Palm Beach Gardens)</v>
          </cell>
          <cell r="H966">
            <v>1</v>
          </cell>
        </row>
        <row r="967">
          <cell r="B967" t="str">
            <v>Freight - Pd by Customer</v>
          </cell>
          <cell r="C967" t="str">
            <v>Invoice</v>
          </cell>
          <cell r="D967">
            <v>38472</v>
          </cell>
          <cell r="F967" t="str">
            <v>6407-I</v>
          </cell>
          <cell r="G967" t="str">
            <v>Brent Courville</v>
          </cell>
          <cell r="H967">
            <v>1</v>
          </cell>
        </row>
        <row r="968">
          <cell r="B968" t="str">
            <v>Freight - Pd by Customer</v>
          </cell>
          <cell r="C968" t="str">
            <v>Invoice</v>
          </cell>
          <cell r="D968">
            <v>38473</v>
          </cell>
          <cell r="F968" t="str">
            <v>5606</v>
          </cell>
          <cell r="G968" t="str">
            <v>Apunix Computer Services</v>
          </cell>
          <cell r="H968">
            <v>1</v>
          </cell>
        </row>
        <row r="969">
          <cell r="B969" t="str">
            <v>Freight - Pd by Customer</v>
          </cell>
          <cell r="C969" t="str">
            <v>Invoice</v>
          </cell>
          <cell r="D969">
            <v>38475</v>
          </cell>
          <cell r="F969" t="str">
            <v>5649</v>
          </cell>
          <cell r="G969" t="str">
            <v>Sea World Orlando</v>
          </cell>
          <cell r="H969">
            <v>1</v>
          </cell>
        </row>
        <row r="970">
          <cell r="B970" t="str">
            <v>Freight - Pd by Customer</v>
          </cell>
          <cell r="C970" t="str">
            <v>Invoice</v>
          </cell>
          <cell r="D970">
            <v>38475</v>
          </cell>
          <cell r="F970" t="str">
            <v>5646</v>
          </cell>
          <cell r="G970" t="str">
            <v>Dylan's Candy Bar:Dylan's Candy Bar NY#1</v>
          </cell>
          <cell r="H970">
            <v>1</v>
          </cell>
        </row>
        <row r="971">
          <cell r="B971" t="str">
            <v>Freight - Pd by Customer</v>
          </cell>
          <cell r="C971" t="str">
            <v>Invoice</v>
          </cell>
          <cell r="D971">
            <v>38475</v>
          </cell>
          <cell r="F971" t="str">
            <v>5644</v>
          </cell>
          <cell r="G971" t="str">
            <v>Hustler Hollywood - Lexington, KY</v>
          </cell>
          <cell r="H971">
            <v>1</v>
          </cell>
        </row>
        <row r="972">
          <cell r="B972" t="str">
            <v>Freight - Pd by Customer</v>
          </cell>
          <cell r="C972" t="str">
            <v>Invoice</v>
          </cell>
          <cell r="D972">
            <v>38477</v>
          </cell>
          <cell r="F972" t="str">
            <v>6037</v>
          </cell>
          <cell r="G972" t="str">
            <v>Promotool</v>
          </cell>
          <cell r="H972">
            <v>1</v>
          </cell>
        </row>
        <row r="973">
          <cell r="B973" t="str">
            <v>Freight - Pd by Customer</v>
          </cell>
          <cell r="C973" t="str">
            <v>Invoice</v>
          </cell>
          <cell r="D973">
            <v>38477</v>
          </cell>
          <cell r="F973" t="str">
            <v>6035</v>
          </cell>
          <cell r="G973" t="str">
            <v>GMR Marketing</v>
          </cell>
          <cell r="H973">
            <v>1</v>
          </cell>
        </row>
        <row r="974">
          <cell r="B974" t="str">
            <v>Freight - Pd by Customer</v>
          </cell>
          <cell r="C974" t="str">
            <v>Invoice</v>
          </cell>
          <cell r="D974">
            <v>38477</v>
          </cell>
          <cell r="F974" t="str">
            <v>6036-I</v>
          </cell>
          <cell r="G974" t="str">
            <v>GMR Marketing</v>
          </cell>
          <cell r="H974">
            <v>1</v>
          </cell>
        </row>
        <row r="975">
          <cell r="B975" t="str">
            <v>Freight - Pd by Customer</v>
          </cell>
          <cell r="C975" t="str">
            <v>Invoice</v>
          </cell>
          <cell r="D975">
            <v>38477</v>
          </cell>
          <cell r="F975" t="str">
            <v>5599</v>
          </cell>
          <cell r="G975" t="str">
            <v>ScentAir Australia Pty Ltd.</v>
          </cell>
          <cell r="H975">
            <v>1</v>
          </cell>
        </row>
        <row r="976">
          <cell r="B976" t="str">
            <v>Freight - Pd by Customer</v>
          </cell>
          <cell r="C976" t="str">
            <v>Invoice</v>
          </cell>
          <cell r="D976">
            <v>38478</v>
          </cell>
          <cell r="F976" t="str">
            <v>5723</v>
          </cell>
          <cell r="G976" t="str">
            <v>Arkitectura Urbana</v>
          </cell>
          <cell r="H976">
            <v>1</v>
          </cell>
        </row>
        <row r="977">
          <cell r="B977" t="str">
            <v>Freight - Pd by Customer</v>
          </cell>
          <cell r="C977" t="str">
            <v>Invoice</v>
          </cell>
          <cell r="D977">
            <v>38481</v>
          </cell>
          <cell r="F977" t="str">
            <v>6044</v>
          </cell>
          <cell r="G977" t="str">
            <v>American Eagle Outfitters:AEO New Concept Office</v>
          </cell>
          <cell r="H977">
            <v>1</v>
          </cell>
        </row>
        <row r="978">
          <cell r="B978" t="str">
            <v>Freight - Pd by Customer</v>
          </cell>
          <cell r="C978" t="str">
            <v>Invoice</v>
          </cell>
          <cell r="D978">
            <v>38481</v>
          </cell>
          <cell r="F978" t="str">
            <v>6045</v>
          </cell>
          <cell r="G978" t="str">
            <v>Henke Design:HD Music Land</v>
          </cell>
          <cell r="H978">
            <v>1</v>
          </cell>
        </row>
        <row r="979">
          <cell r="B979" t="str">
            <v>Freight - Pd by Customer</v>
          </cell>
          <cell r="C979" t="str">
            <v>Invoice</v>
          </cell>
          <cell r="D979">
            <v>38481</v>
          </cell>
          <cell r="F979" t="str">
            <v>6038</v>
          </cell>
          <cell r="G979" t="str">
            <v>American Solutions Inc.</v>
          </cell>
          <cell r="H979">
            <v>1</v>
          </cell>
        </row>
        <row r="980">
          <cell r="B980" t="str">
            <v>Freight - Pd by Customer</v>
          </cell>
          <cell r="C980" t="str">
            <v>Invoice</v>
          </cell>
          <cell r="D980">
            <v>38481</v>
          </cell>
          <cell r="F980" t="str">
            <v>5459</v>
          </cell>
          <cell r="G980" t="str">
            <v>Copeland Sports</v>
          </cell>
          <cell r="H980">
            <v>1</v>
          </cell>
        </row>
        <row r="981">
          <cell r="B981" t="str">
            <v>Freight - Pd by Customer</v>
          </cell>
          <cell r="C981" t="str">
            <v>Invoice</v>
          </cell>
          <cell r="D981">
            <v>38481</v>
          </cell>
          <cell r="F981" t="str">
            <v>6041</v>
          </cell>
          <cell r="G981" t="str">
            <v>Wickes Furniture:Wickes-001</v>
          </cell>
          <cell r="H981">
            <v>1</v>
          </cell>
        </row>
        <row r="982">
          <cell r="B982" t="str">
            <v>Freight - Pd by Customer</v>
          </cell>
          <cell r="C982" t="str">
            <v>Invoice</v>
          </cell>
          <cell r="D982">
            <v>38481</v>
          </cell>
          <cell r="F982" t="str">
            <v>5724</v>
          </cell>
          <cell r="G982" t="str">
            <v>7-ElevenA</v>
          </cell>
          <cell r="H982">
            <v>1</v>
          </cell>
        </row>
        <row r="983">
          <cell r="B983" t="str">
            <v>Freight - Pd by Customer</v>
          </cell>
          <cell r="C983" t="str">
            <v>Invoice</v>
          </cell>
          <cell r="D983">
            <v>38482</v>
          </cell>
          <cell r="F983" t="str">
            <v>6049</v>
          </cell>
          <cell r="G983" t="str">
            <v>Carson Pirie Scott &amp; Co..:CPS Carson's #543</v>
          </cell>
          <cell r="H983">
            <v>1</v>
          </cell>
        </row>
        <row r="984">
          <cell r="B984" t="str">
            <v>Freight - Pd by Customer</v>
          </cell>
          <cell r="C984" t="str">
            <v>Invoice</v>
          </cell>
          <cell r="D984">
            <v>38482</v>
          </cell>
          <cell r="F984" t="str">
            <v>6047</v>
          </cell>
          <cell r="G984" t="str">
            <v>Gelato Di. Roma International, Inc.:GRI Riverside</v>
          </cell>
          <cell r="H984">
            <v>1</v>
          </cell>
        </row>
        <row r="985">
          <cell r="B985" t="str">
            <v>Freight - Pd by Customer</v>
          </cell>
          <cell r="C985" t="str">
            <v>Invoice</v>
          </cell>
          <cell r="D985">
            <v>38482</v>
          </cell>
          <cell r="F985" t="str">
            <v>6048</v>
          </cell>
          <cell r="G985" t="str">
            <v>Sunkist Growers</v>
          </cell>
          <cell r="H985">
            <v>1</v>
          </cell>
        </row>
        <row r="986">
          <cell r="B986" t="str">
            <v>Freight - Pd by Customer</v>
          </cell>
          <cell r="C986" t="str">
            <v>Invoice</v>
          </cell>
          <cell r="D986">
            <v>38482</v>
          </cell>
          <cell r="F986" t="str">
            <v>6052</v>
          </cell>
          <cell r="G986" t="str">
            <v>Lucky Brand Jeans</v>
          </cell>
          <cell r="H986">
            <v>1</v>
          </cell>
        </row>
        <row r="987">
          <cell r="B987" t="str">
            <v>Freight - Pd by Customer</v>
          </cell>
          <cell r="C987" t="str">
            <v>Invoice</v>
          </cell>
          <cell r="D987">
            <v>38482</v>
          </cell>
          <cell r="F987" t="str">
            <v>6046</v>
          </cell>
          <cell r="G987" t="str">
            <v>Wickes Furniture:Wickes-001</v>
          </cell>
          <cell r="H987">
            <v>1</v>
          </cell>
        </row>
        <row r="988">
          <cell r="B988" t="str">
            <v>Freight - Pd by Customer</v>
          </cell>
          <cell r="C988" t="str">
            <v>Invoice</v>
          </cell>
          <cell r="D988">
            <v>38482</v>
          </cell>
          <cell r="F988" t="str">
            <v>6034</v>
          </cell>
          <cell r="G988" t="str">
            <v>Pyramid Title Company</v>
          </cell>
          <cell r="H988">
            <v>1</v>
          </cell>
        </row>
        <row r="989">
          <cell r="B989" t="str">
            <v>Freight - Pd by Customer</v>
          </cell>
          <cell r="C989" t="str">
            <v>Invoice</v>
          </cell>
          <cell r="D989">
            <v>38483</v>
          </cell>
          <cell r="F989" t="str">
            <v>5693</v>
          </cell>
          <cell r="G989" t="str">
            <v>Sony Style #49</v>
          </cell>
          <cell r="H989">
            <v>1</v>
          </cell>
        </row>
        <row r="990">
          <cell r="B990" t="str">
            <v>Freight - Pd by Customer</v>
          </cell>
          <cell r="C990" t="str">
            <v>Invoice</v>
          </cell>
          <cell r="D990">
            <v>38483</v>
          </cell>
          <cell r="F990" t="str">
            <v>6053</v>
          </cell>
          <cell r="G990" t="str">
            <v>AroMarketing:AroMarketing - Texas</v>
          </cell>
          <cell r="H990">
            <v>1</v>
          </cell>
        </row>
        <row r="991">
          <cell r="B991" t="str">
            <v>Freight - Pd by Customer</v>
          </cell>
          <cell r="C991" t="str">
            <v>Invoice</v>
          </cell>
          <cell r="D991">
            <v>38484</v>
          </cell>
          <cell r="F991" t="str">
            <v>6050</v>
          </cell>
          <cell r="G991" t="str">
            <v>Digital Tech Frontier</v>
          </cell>
          <cell r="H991">
            <v>1</v>
          </cell>
        </row>
        <row r="992">
          <cell r="B992" t="str">
            <v>Freight - Pd by Customer</v>
          </cell>
          <cell r="C992" t="str">
            <v>Invoice</v>
          </cell>
          <cell r="D992">
            <v>38484</v>
          </cell>
          <cell r="F992" t="str">
            <v>6141</v>
          </cell>
          <cell r="G992" t="str">
            <v>Videotronic Benelux BV</v>
          </cell>
          <cell r="H992">
            <v>1</v>
          </cell>
        </row>
        <row r="993">
          <cell r="B993" t="str">
            <v>Freight - Pd by Customer</v>
          </cell>
          <cell r="C993" t="str">
            <v>Invoice</v>
          </cell>
          <cell r="D993">
            <v>38484</v>
          </cell>
          <cell r="F993" t="str">
            <v>5562</v>
          </cell>
          <cell r="G993" t="str">
            <v>Kryshak - Avenue Jewelers</v>
          </cell>
          <cell r="H993">
            <v>1</v>
          </cell>
        </row>
        <row r="994">
          <cell r="B994" t="str">
            <v>Freight - Pd by Customer</v>
          </cell>
          <cell r="C994" t="str">
            <v>Invoice</v>
          </cell>
          <cell r="D994">
            <v>38484</v>
          </cell>
          <cell r="F994" t="str">
            <v>6170</v>
          </cell>
          <cell r="G994" t="str">
            <v>Kryshak - Avenue Jewelers</v>
          </cell>
          <cell r="H994">
            <v>1</v>
          </cell>
        </row>
        <row r="995">
          <cell r="B995" t="str">
            <v>Freight - Pd by Customer</v>
          </cell>
          <cell r="C995" t="str">
            <v>Invoice</v>
          </cell>
          <cell r="D995">
            <v>38484</v>
          </cell>
          <cell r="F995" t="str">
            <v>6016</v>
          </cell>
          <cell r="G995" t="str">
            <v>VendMax International Inc.</v>
          </cell>
          <cell r="H995">
            <v>1</v>
          </cell>
        </row>
        <row r="996">
          <cell r="B996" t="str">
            <v>Freight - Pd by Customer</v>
          </cell>
          <cell r="C996" t="str">
            <v>Invoice</v>
          </cell>
          <cell r="D996">
            <v>38484</v>
          </cell>
          <cell r="F996" t="str">
            <v>5620</v>
          </cell>
          <cell r="G996" t="str">
            <v>Videotronic Benelux BV</v>
          </cell>
          <cell r="H996">
            <v>1</v>
          </cell>
        </row>
        <row r="997">
          <cell r="B997" t="str">
            <v>Freight - Pd by Customer</v>
          </cell>
          <cell r="C997" t="str">
            <v>Invoice</v>
          </cell>
          <cell r="D997">
            <v>38485</v>
          </cell>
          <cell r="F997" t="str">
            <v>6055</v>
          </cell>
          <cell r="G997" t="str">
            <v>Vita-Mix Corporation:VMC Coporate Office</v>
          </cell>
          <cell r="H997">
            <v>1</v>
          </cell>
        </row>
        <row r="998">
          <cell r="B998" t="str">
            <v>Freight - Pd by Customer</v>
          </cell>
          <cell r="C998" t="str">
            <v>Invoice</v>
          </cell>
          <cell r="D998">
            <v>38485</v>
          </cell>
          <cell r="F998" t="str">
            <v>6057A</v>
          </cell>
          <cell r="G998" t="str">
            <v>Reeb Investiments, Inc.:Reeb Investments</v>
          </cell>
          <cell r="H998">
            <v>1</v>
          </cell>
        </row>
        <row r="999">
          <cell r="B999" t="str">
            <v>Freight - Pd by Customer</v>
          </cell>
          <cell r="C999" t="str">
            <v>Invoice</v>
          </cell>
          <cell r="D999">
            <v>38488</v>
          </cell>
          <cell r="F999" t="str">
            <v>6057</v>
          </cell>
          <cell r="G999" t="str">
            <v>Getty Guilderland Center</v>
          </cell>
          <cell r="H999">
            <v>1</v>
          </cell>
        </row>
        <row r="1000">
          <cell r="B1000" t="str">
            <v>Freight - Pd by Customer</v>
          </cell>
          <cell r="C1000" t="str">
            <v>Invoice</v>
          </cell>
          <cell r="D1000">
            <v>38488</v>
          </cell>
          <cell r="F1000" t="str">
            <v>6065</v>
          </cell>
          <cell r="G1000" t="str">
            <v>ScentAir Australia Pty Ltd.</v>
          </cell>
          <cell r="H1000">
            <v>1</v>
          </cell>
        </row>
        <row r="1001">
          <cell r="B1001" t="str">
            <v>Freight - Pd by Customer</v>
          </cell>
          <cell r="C1001" t="str">
            <v>Invoice</v>
          </cell>
          <cell r="D1001">
            <v>38489</v>
          </cell>
          <cell r="F1001" t="str">
            <v>5728</v>
          </cell>
          <cell r="G1001" t="str">
            <v>Muzak, LLC</v>
          </cell>
          <cell r="H1001">
            <v>1</v>
          </cell>
        </row>
        <row r="1002">
          <cell r="B1002" t="str">
            <v>Freight - Pd by Customer</v>
          </cell>
          <cell r="C1002" t="str">
            <v>Invoice</v>
          </cell>
          <cell r="D1002">
            <v>38489</v>
          </cell>
          <cell r="F1002" t="str">
            <v>6089</v>
          </cell>
          <cell r="G1002" t="str">
            <v>Glory Of Creation, LLC</v>
          </cell>
          <cell r="H1002">
            <v>1</v>
          </cell>
        </row>
        <row r="1003">
          <cell r="B1003" t="str">
            <v>Freight - Pd by Customer</v>
          </cell>
          <cell r="C1003" t="str">
            <v>Invoice</v>
          </cell>
          <cell r="D1003">
            <v>38489</v>
          </cell>
          <cell r="F1003" t="str">
            <v>6099</v>
          </cell>
          <cell r="G1003" t="str">
            <v>Dylan's Candy Bar:Dylan's Candy Bar Orlando #16</v>
          </cell>
          <cell r="H1003">
            <v>1</v>
          </cell>
        </row>
        <row r="1004">
          <cell r="B1004" t="str">
            <v>Freight - Pd by Customer</v>
          </cell>
          <cell r="C1004" t="str">
            <v>Invoice</v>
          </cell>
          <cell r="D1004">
            <v>38490</v>
          </cell>
          <cell r="F1004" t="str">
            <v>6081</v>
          </cell>
          <cell r="G1004" t="str">
            <v>Le Chateau Stores of Canada</v>
          </cell>
          <cell r="H1004">
            <v>1</v>
          </cell>
        </row>
        <row r="1005">
          <cell r="B1005" t="str">
            <v>Freight - Pd by Customer</v>
          </cell>
          <cell r="C1005" t="str">
            <v>Invoice</v>
          </cell>
          <cell r="D1005">
            <v>38490</v>
          </cell>
          <cell r="F1005" t="str">
            <v>6082</v>
          </cell>
          <cell r="G1005" t="str">
            <v>AroMarketing:AroMarketing - Guadalajara</v>
          </cell>
          <cell r="H1005">
            <v>1</v>
          </cell>
        </row>
        <row r="1006">
          <cell r="B1006" t="str">
            <v>Freight - Pd by Customer</v>
          </cell>
          <cell r="C1006" t="str">
            <v>Invoice</v>
          </cell>
          <cell r="D1006">
            <v>38490</v>
          </cell>
          <cell r="F1006" t="str">
            <v>6085</v>
          </cell>
          <cell r="G1006" t="str">
            <v>Muzak, LLC (superceded)</v>
          </cell>
          <cell r="H1006">
            <v>1</v>
          </cell>
        </row>
        <row r="1007">
          <cell r="B1007" t="str">
            <v>Freight - Pd by Customer</v>
          </cell>
          <cell r="C1007" t="str">
            <v>Invoice</v>
          </cell>
          <cell r="D1007">
            <v>38490</v>
          </cell>
          <cell r="F1007" t="str">
            <v>6080</v>
          </cell>
          <cell r="G1007" t="str">
            <v>Muzak, LLC (superceded)</v>
          </cell>
          <cell r="H1007">
            <v>1</v>
          </cell>
        </row>
        <row r="1008">
          <cell r="B1008" t="str">
            <v>Freight - Pd by Customer</v>
          </cell>
          <cell r="C1008" t="str">
            <v>Invoice</v>
          </cell>
          <cell r="D1008">
            <v>38491</v>
          </cell>
          <cell r="F1008" t="str">
            <v>6079</v>
          </cell>
          <cell r="G1008" t="str">
            <v>Digital Tech Frontier</v>
          </cell>
          <cell r="H1008">
            <v>1</v>
          </cell>
        </row>
        <row r="1009">
          <cell r="B1009" t="str">
            <v>Freight - Pd by Customer</v>
          </cell>
          <cell r="C1009" t="str">
            <v>Invoice</v>
          </cell>
          <cell r="D1009">
            <v>38491</v>
          </cell>
          <cell r="F1009" t="str">
            <v>6100</v>
          </cell>
          <cell r="G1009" t="str">
            <v>Carson Pirie Scott &amp; Co..:CPS Carson's #543</v>
          </cell>
          <cell r="H1009">
            <v>1</v>
          </cell>
        </row>
        <row r="1010">
          <cell r="B1010" t="str">
            <v>Freight - Pd by Customer</v>
          </cell>
          <cell r="C1010" t="str">
            <v>Invoice</v>
          </cell>
          <cell r="D1010">
            <v>38491</v>
          </cell>
          <cell r="F1010" t="str">
            <v>6081A</v>
          </cell>
          <cell r="G1010" t="str">
            <v>Ashley Furniture HomeStore</v>
          </cell>
          <cell r="H1010">
            <v>1</v>
          </cell>
        </row>
        <row r="1011">
          <cell r="B1011" t="str">
            <v>Freight - Pd by Customer</v>
          </cell>
          <cell r="C1011" t="str">
            <v>Invoice</v>
          </cell>
          <cell r="D1011">
            <v>38491</v>
          </cell>
          <cell r="F1011" t="str">
            <v>6090</v>
          </cell>
          <cell r="G1011" t="str">
            <v>Busch Gardens - Tampa</v>
          </cell>
          <cell r="H1011">
            <v>1</v>
          </cell>
        </row>
        <row r="1012">
          <cell r="B1012" t="str">
            <v>Freight - Pd by Customer</v>
          </cell>
          <cell r="C1012" t="str">
            <v>Invoice</v>
          </cell>
          <cell r="D1012">
            <v>38491</v>
          </cell>
          <cell r="F1012" t="str">
            <v>6302</v>
          </cell>
          <cell r="G1012" t="str">
            <v>Ashley Furniture HomeStore</v>
          </cell>
          <cell r="H1012">
            <v>1</v>
          </cell>
        </row>
        <row r="1013">
          <cell r="B1013" t="str">
            <v>Freight - Pd by Customer</v>
          </cell>
          <cell r="C1013" t="str">
            <v>Invoice</v>
          </cell>
          <cell r="D1013">
            <v>38491</v>
          </cell>
          <cell r="F1013" t="str">
            <v>6311</v>
          </cell>
          <cell r="G1013" t="str">
            <v>Celebration Hotel</v>
          </cell>
          <cell r="H1013">
            <v>1</v>
          </cell>
        </row>
        <row r="1014">
          <cell r="B1014" t="str">
            <v>Freight - Pd by Customer</v>
          </cell>
          <cell r="C1014" t="str">
            <v>Invoice</v>
          </cell>
          <cell r="D1014">
            <v>38495</v>
          </cell>
          <cell r="F1014" t="str">
            <v>6133</v>
          </cell>
          <cell r="G1014" t="str">
            <v>ScentAir Australia Pty Ltd.</v>
          </cell>
          <cell r="H1014">
            <v>1</v>
          </cell>
        </row>
        <row r="1015">
          <cell r="B1015" t="str">
            <v>Freight - Pd by Customer</v>
          </cell>
          <cell r="C1015" t="str">
            <v>Invoice</v>
          </cell>
          <cell r="D1015">
            <v>38495</v>
          </cell>
          <cell r="F1015" t="str">
            <v>6111</v>
          </cell>
          <cell r="G1015" t="str">
            <v>It's A Grind</v>
          </cell>
          <cell r="H1015">
            <v>1</v>
          </cell>
        </row>
        <row r="1016">
          <cell r="B1016" t="str">
            <v>Freight - Pd by Customer</v>
          </cell>
          <cell r="C1016" t="str">
            <v>Invoice</v>
          </cell>
          <cell r="D1016">
            <v>38495</v>
          </cell>
          <cell r="F1016" t="str">
            <v>6114</v>
          </cell>
          <cell r="G1016" t="str">
            <v>Imperial Palace Hotel and Casino</v>
          </cell>
          <cell r="H1016">
            <v>1</v>
          </cell>
        </row>
        <row r="1017">
          <cell r="B1017" t="str">
            <v>Freight - Pd by Customer</v>
          </cell>
          <cell r="C1017" t="str">
            <v>Invoice</v>
          </cell>
          <cell r="D1017">
            <v>38495</v>
          </cell>
          <cell r="F1017" t="str">
            <v>6123</v>
          </cell>
          <cell r="G1017" t="str">
            <v>Vita-Mix Corporation:VMC Coporate Office</v>
          </cell>
          <cell r="H1017">
            <v>1</v>
          </cell>
        </row>
        <row r="1018">
          <cell r="B1018" t="str">
            <v>Freight - Pd by Customer</v>
          </cell>
          <cell r="C1018" t="str">
            <v>Invoice</v>
          </cell>
          <cell r="D1018">
            <v>38495</v>
          </cell>
          <cell r="F1018" t="str">
            <v>6115</v>
          </cell>
          <cell r="G1018" t="str">
            <v>The Grace Museum</v>
          </cell>
          <cell r="H1018">
            <v>1</v>
          </cell>
        </row>
        <row r="1019">
          <cell r="B1019" t="str">
            <v>Freight - Pd by Customer</v>
          </cell>
          <cell r="C1019" t="str">
            <v>Invoice</v>
          </cell>
          <cell r="D1019">
            <v>38495</v>
          </cell>
          <cell r="F1019" t="str">
            <v>6110</v>
          </cell>
          <cell r="G1019" t="str">
            <v>Hot Stuff</v>
          </cell>
          <cell r="H1019">
            <v>1</v>
          </cell>
        </row>
        <row r="1020">
          <cell r="B1020" t="str">
            <v>Freight - Pd by Customer</v>
          </cell>
          <cell r="C1020" t="str">
            <v>Invoice</v>
          </cell>
          <cell r="D1020">
            <v>38495</v>
          </cell>
          <cell r="F1020" t="str">
            <v>6109</v>
          </cell>
          <cell r="G1020" t="str">
            <v>Hustler Hollywood - Monroe, OH</v>
          </cell>
          <cell r="H1020">
            <v>1</v>
          </cell>
        </row>
        <row r="1021">
          <cell r="B1021" t="str">
            <v>Freight - Pd by Customer</v>
          </cell>
          <cell r="C1021" t="str">
            <v>Invoice</v>
          </cell>
          <cell r="D1021">
            <v>38495</v>
          </cell>
          <cell r="F1021" t="str">
            <v>6108</v>
          </cell>
          <cell r="G1021" t="str">
            <v>Hustler Hollywood - Lexington, KY</v>
          </cell>
          <cell r="H1021">
            <v>1</v>
          </cell>
        </row>
        <row r="1022">
          <cell r="B1022" t="str">
            <v>Freight - Pd by Customer</v>
          </cell>
          <cell r="C1022" t="str">
            <v>Invoice</v>
          </cell>
          <cell r="D1022">
            <v>38495</v>
          </cell>
          <cell r="F1022" t="str">
            <v>6105</v>
          </cell>
          <cell r="G1022" t="str">
            <v>Harry and David #564</v>
          </cell>
          <cell r="H1022">
            <v>1</v>
          </cell>
        </row>
        <row r="1023">
          <cell r="B1023" t="str">
            <v>Freight - Pd by Customer</v>
          </cell>
          <cell r="C1023" t="str">
            <v>Invoice</v>
          </cell>
          <cell r="D1023">
            <v>38495</v>
          </cell>
          <cell r="F1023" t="str">
            <v>6118</v>
          </cell>
          <cell r="G1023" t="str">
            <v>Videotronic Benelux BV</v>
          </cell>
          <cell r="H1023">
            <v>1</v>
          </cell>
        </row>
        <row r="1024">
          <cell r="B1024" t="str">
            <v>Freight - Pd by Customer</v>
          </cell>
          <cell r="C1024" t="str">
            <v>Invoice</v>
          </cell>
          <cell r="D1024">
            <v>38495</v>
          </cell>
          <cell r="F1024" t="str">
            <v>6145</v>
          </cell>
          <cell r="G1024" t="str">
            <v>Carolina Sound Communications:CSC Piggly Wiggly</v>
          </cell>
          <cell r="H1024">
            <v>1</v>
          </cell>
        </row>
        <row r="1025">
          <cell r="B1025" t="str">
            <v>Freight - Pd by Customer</v>
          </cell>
          <cell r="C1025" t="str">
            <v>Invoice</v>
          </cell>
          <cell r="D1025">
            <v>38496</v>
          </cell>
          <cell r="F1025" t="str">
            <v>6112</v>
          </cell>
          <cell r="G1025" t="str">
            <v>Shop Rite #3:11 Agency</v>
          </cell>
          <cell r="H1025">
            <v>1</v>
          </cell>
        </row>
        <row r="1026">
          <cell r="B1026" t="str">
            <v>Freight - Pd by Customer</v>
          </cell>
          <cell r="C1026" t="str">
            <v>Invoice</v>
          </cell>
          <cell r="D1026">
            <v>38496</v>
          </cell>
          <cell r="F1026" t="str">
            <v>6119</v>
          </cell>
          <cell r="G1026" t="str">
            <v>Wayside Cleaners</v>
          </cell>
          <cell r="H1026">
            <v>1</v>
          </cell>
        </row>
        <row r="1027">
          <cell r="B1027" t="str">
            <v>Freight - Pd by Customer</v>
          </cell>
          <cell r="C1027" t="str">
            <v>Invoice</v>
          </cell>
          <cell r="D1027">
            <v>38496</v>
          </cell>
          <cell r="F1027" t="str">
            <v>5564</v>
          </cell>
          <cell r="G1027" t="str">
            <v>Kryshak - Avenue Jewelers</v>
          </cell>
          <cell r="H1027">
            <v>1</v>
          </cell>
        </row>
        <row r="1028">
          <cell r="B1028" t="str">
            <v>Freight - Pd by Customer</v>
          </cell>
          <cell r="C1028" t="str">
            <v>Invoice</v>
          </cell>
          <cell r="D1028">
            <v>38496</v>
          </cell>
          <cell r="F1028" t="str">
            <v>6101</v>
          </cell>
          <cell r="G1028" t="str">
            <v>Dylan's Candy Bar - NYC</v>
          </cell>
          <cell r="H1028">
            <v>1</v>
          </cell>
        </row>
        <row r="1029">
          <cell r="B1029" t="str">
            <v>Freight - Pd by Customer</v>
          </cell>
          <cell r="C1029" t="str">
            <v>Invoice</v>
          </cell>
          <cell r="D1029">
            <v>38497</v>
          </cell>
          <cell r="F1029" t="str">
            <v>6140</v>
          </cell>
          <cell r="G1029" t="str">
            <v>24 Hour Fitness</v>
          </cell>
          <cell r="H1029">
            <v>1</v>
          </cell>
        </row>
        <row r="1030">
          <cell r="B1030" t="str">
            <v>Freight - Pd by Customer</v>
          </cell>
          <cell r="C1030" t="str">
            <v>Invoice</v>
          </cell>
          <cell r="D1030">
            <v>38497</v>
          </cell>
          <cell r="F1030" t="str">
            <v>6139</v>
          </cell>
          <cell r="G1030" t="str">
            <v>Shay Bustenay</v>
          </cell>
          <cell r="H1030">
            <v>1</v>
          </cell>
        </row>
        <row r="1031">
          <cell r="B1031" t="str">
            <v>Freight - Pd by Customer</v>
          </cell>
          <cell r="C1031" t="str">
            <v>Invoice</v>
          </cell>
          <cell r="D1031">
            <v>38497</v>
          </cell>
          <cell r="F1031" t="str">
            <v>6106</v>
          </cell>
          <cell r="G1031" t="str">
            <v>Silks By Mu-Mu Manufactuteres</v>
          </cell>
          <cell r="H1031">
            <v>1</v>
          </cell>
        </row>
        <row r="1032">
          <cell r="B1032" t="str">
            <v>Freight - Pd by Customer</v>
          </cell>
          <cell r="C1032" t="str">
            <v>Invoice</v>
          </cell>
          <cell r="D1032">
            <v>38497</v>
          </cell>
          <cell r="F1032" t="str">
            <v>6103</v>
          </cell>
          <cell r="G1032" t="str">
            <v>Southern Kitchen and Bath</v>
          </cell>
          <cell r="H1032">
            <v>1</v>
          </cell>
        </row>
        <row r="1033">
          <cell r="B1033" t="str">
            <v>Freight - Pd by Customer</v>
          </cell>
          <cell r="C1033" t="str">
            <v>Invoice</v>
          </cell>
          <cell r="D1033">
            <v>38498</v>
          </cell>
          <cell r="F1033" t="str">
            <v>6142</v>
          </cell>
          <cell r="G1033" t="str">
            <v>Scent Events, LLC</v>
          </cell>
          <cell r="H1033">
            <v>1</v>
          </cell>
        </row>
        <row r="1034">
          <cell r="B1034" t="str">
            <v>Freight - Pd by Customer</v>
          </cell>
          <cell r="C1034" t="str">
            <v>Invoice</v>
          </cell>
          <cell r="D1034">
            <v>38499</v>
          </cell>
          <cell r="F1034" t="str">
            <v>6167</v>
          </cell>
          <cell r="G1034" t="str">
            <v>Hot Stuff</v>
          </cell>
          <cell r="H1034">
            <v>1</v>
          </cell>
        </row>
        <row r="1035">
          <cell r="B1035" t="str">
            <v>Freight - Pd by Customer</v>
          </cell>
          <cell r="C1035" t="str">
            <v>Invoice</v>
          </cell>
          <cell r="D1035">
            <v>38499</v>
          </cell>
          <cell r="F1035" t="str">
            <v>6171</v>
          </cell>
          <cell r="G1035" t="str">
            <v>Silks By Mu-Mu Manufactuteres</v>
          </cell>
          <cell r="H1035">
            <v>1</v>
          </cell>
        </row>
        <row r="1036">
          <cell r="B1036" t="str">
            <v>Freight - Pd by Customer</v>
          </cell>
          <cell r="C1036" t="str">
            <v>Invoice</v>
          </cell>
          <cell r="D1036">
            <v>38499</v>
          </cell>
          <cell r="F1036" t="str">
            <v>6175</v>
          </cell>
          <cell r="G1036" t="str">
            <v>Hustler Hollywood - Cincinnati, OH</v>
          </cell>
          <cell r="H1036">
            <v>1</v>
          </cell>
        </row>
        <row r="1037">
          <cell r="B1037" t="str">
            <v>Freight - Pd by Customer</v>
          </cell>
          <cell r="C1037" t="str">
            <v>Invoice</v>
          </cell>
          <cell r="D1037">
            <v>38499</v>
          </cell>
          <cell r="F1037" t="str">
            <v>6191</v>
          </cell>
          <cell r="G1037" t="str">
            <v>Macy's Florida</v>
          </cell>
          <cell r="H1037">
            <v>1</v>
          </cell>
        </row>
        <row r="1038">
          <cell r="B1038" t="str">
            <v>Freight - Pd by Customer</v>
          </cell>
          <cell r="C1038" t="str">
            <v>Invoice</v>
          </cell>
          <cell r="D1038">
            <v>38499</v>
          </cell>
          <cell r="F1038" t="str">
            <v>6168</v>
          </cell>
          <cell r="G1038" t="str">
            <v>Southern Kitchen and Bath</v>
          </cell>
          <cell r="H1038">
            <v>1</v>
          </cell>
        </row>
        <row r="1039">
          <cell r="B1039" t="str">
            <v>Freight - Pd by Customer</v>
          </cell>
          <cell r="C1039" t="str">
            <v>Invoice</v>
          </cell>
          <cell r="D1039">
            <v>38503</v>
          </cell>
          <cell r="F1039" t="str">
            <v>6007</v>
          </cell>
          <cell r="G1039" t="str">
            <v>Techno Satellite</v>
          </cell>
          <cell r="H1039">
            <v>1</v>
          </cell>
        </row>
        <row r="1040">
          <cell r="B1040" t="str">
            <v>Freight - Pd by Customer</v>
          </cell>
          <cell r="C1040" t="str">
            <v>Invoice</v>
          </cell>
          <cell r="D1040">
            <v>38503</v>
          </cell>
          <cell r="F1040" t="str">
            <v>6197</v>
          </cell>
          <cell r="G1040" t="str">
            <v>ScentAir Australia Pty Ltd.</v>
          </cell>
          <cell r="H1040">
            <v>1</v>
          </cell>
        </row>
        <row r="1041">
          <cell r="B1041" t="str">
            <v>Freight - Pd by Customer</v>
          </cell>
          <cell r="C1041" t="str">
            <v>Invoice</v>
          </cell>
          <cell r="D1041">
            <v>38503</v>
          </cell>
          <cell r="F1041" t="str">
            <v>6222</v>
          </cell>
          <cell r="G1041" t="str">
            <v>American Solutions Inc.</v>
          </cell>
          <cell r="H1041">
            <v>1</v>
          </cell>
        </row>
        <row r="1042">
          <cell r="B1042" t="str">
            <v>Freight - Pd by Customer</v>
          </cell>
          <cell r="C1042" t="str">
            <v>Invoice</v>
          </cell>
          <cell r="D1042">
            <v>38503</v>
          </cell>
          <cell r="F1042" t="str">
            <v>6144</v>
          </cell>
          <cell r="G1042" t="str">
            <v>Xplore Productions, Inc.</v>
          </cell>
          <cell r="H1042">
            <v>1</v>
          </cell>
        </row>
        <row r="1043">
          <cell r="B1043" t="str">
            <v>Freight - Pd by Customer</v>
          </cell>
          <cell r="C1043" t="str">
            <v>Invoice</v>
          </cell>
          <cell r="D1043">
            <v>38503</v>
          </cell>
          <cell r="F1043" t="str">
            <v>6172</v>
          </cell>
          <cell r="G1043" t="str">
            <v>Arkitectura Urbana</v>
          </cell>
          <cell r="H1043">
            <v>1</v>
          </cell>
        </row>
        <row r="1044">
          <cell r="B1044" t="str">
            <v>Freight - Pd by Customer</v>
          </cell>
          <cell r="C1044" t="str">
            <v>Invoice</v>
          </cell>
          <cell r="D1044">
            <v>38503</v>
          </cell>
          <cell r="F1044" t="str">
            <v>6150</v>
          </cell>
          <cell r="G1044" t="str">
            <v>Hustler Hollywood - Lexington, KY</v>
          </cell>
          <cell r="H1044">
            <v>1</v>
          </cell>
        </row>
        <row r="1045">
          <cell r="B1045" t="str">
            <v>Freight - Pd by Customer</v>
          </cell>
          <cell r="C1045" t="str">
            <v>Invoice</v>
          </cell>
          <cell r="D1045">
            <v>38503</v>
          </cell>
          <cell r="F1045" t="str">
            <v>6148</v>
          </cell>
          <cell r="G1045" t="str">
            <v>Hustler Hollywood - Monroe, OH</v>
          </cell>
          <cell r="H1045">
            <v>1</v>
          </cell>
        </row>
        <row r="1046">
          <cell r="B1046" t="str">
            <v>Freight - Pd by Customer</v>
          </cell>
          <cell r="C1046" t="str">
            <v>Invoice</v>
          </cell>
          <cell r="D1046">
            <v>38504</v>
          </cell>
          <cell r="F1046" t="str">
            <v>6223</v>
          </cell>
          <cell r="G1046" t="str">
            <v>RJO</v>
          </cell>
          <cell r="H1046">
            <v>1</v>
          </cell>
        </row>
        <row r="1047">
          <cell r="B1047" t="str">
            <v>Freight - Pd by Customer</v>
          </cell>
          <cell r="C1047" t="str">
            <v>Invoice</v>
          </cell>
          <cell r="D1047">
            <v>38504</v>
          </cell>
          <cell r="F1047" t="str">
            <v>5339</v>
          </cell>
          <cell r="G1047" t="str">
            <v>Universal Exhibits</v>
          </cell>
          <cell r="H1047">
            <v>1</v>
          </cell>
        </row>
        <row r="1048">
          <cell r="B1048" t="str">
            <v>Freight - Pd by Customer</v>
          </cell>
          <cell r="C1048" t="str">
            <v>Invoice</v>
          </cell>
          <cell r="D1048">
            <v>38505</v>
          </cell>
          <cell r="F1048" t="str">
            <v>6227</v>
          </cell>
          <cell r="G1048" t="str">
            <v>Muzak, LLC:C. Mini Mart - 147</v>
          </cell>
          <cell r="H1048">
            <v>1</v>
          </cell>
        </row>
        <row r="1049">
          <cell r="B1049" t="str">
            <v>Freight - Pd by Customer</v>
          </cell>
          <cell r="C1049" t="str">
            <v>Invoice</v>
          </cell>
          <cell r="D1049">
            <v>38505</v>
          </cell>
          <cell r="F1049" t="str">
            <v>6218</v>
          </cell>
          <cell r="G1049" t="str">
            <v>Tree Paad</v>
          </cell>
          <cell r="H1049">
            <v>1</v>
          </cell>
        </row>
        <row r="1050">
          <cell r="B1050" t="str">
            <v>Freight - Pd by Customer</v>
          </cell>
          <cell r="C1050" t="str">
            <v>Invoice</v>
          </cell>
          <cell r="D1050">
            <v>38505</v>
          </cell>
          <cell r="F1050" t="str">
            <v>6216</v>
          </cell>
          <cell r="G1050" t="str">
            <v>Pinocchio Marionette Theater</v>
          </cell>
          <cell r="H1050">
            <v>1</v>
          </cell>
        </row>
        <row r="1051">
          <cell r="B1051" t="str">
            <v>Freight - Pd by Customer</v>
          </cell>
          <cell r="C1051" t="str">
            <v>Invoice</v>
          </cell>
          <cell r="D1051">
            <v>38509</v>
          </cell>
          <cell r="F1051" t="str">
            <v>6245</v>
          </cell>
          <cell r="G1051" t="str">
            <v>American Solutions Inc.</v>
          </cell>
          <cell r="H1051">
            <v>1</v>
          </cell>
        </row>
        <row r="1052">
          <cell r="B1052" t="str">
            <v>Freight - Pd by Customer</v>
          </cell>
          <cell r="C1052" t="str">
            <v>Invoice</v>
          </cell>
          <cell r="D1052">
            <v>38509</v>
          </cell>
          <cell r="F1052" t="str">
            <v>6247</v>
          </cell>
          <cell r="G1052" t="str">
            <v>Muzak, LLC:Central Dermatology Center</v>
          </cell>
          <cell r="H1052">
            <v>1</v>
          </cell>
        </row>
        <row r="1053">
          <cell r="B1053" t="str">
            <v>Freight - Pd by Customer</v>
          </cell>
          <cell r="C1053" t="str">
            <v>Invoice</v>
          </cell>
          <cell r="D1053">
            <v>38509</v>
          </cell>
          <cell r="F1053" t="str">
            <v>6252</v>
          </cell>
          <cell r="G1053" t="str">
            <v>Muzak, LLC:Finley YMCA</v>
          </cell>
          <cell r="H1053">
            <v>1</v>
          </cell>
        </row>
        <row r="1054">
          <cell r="B1054" t="str">
            <v>Freight - Pd by Customer</v>
          </cell>
          <cell r="C1054" t="str">
            <v>Invoice</v>
          </cell>
          <cell r="D1054">
            <v>38510</v>
          </cell>
          <cell r="F1054" t="str">
            <v>6246</v>
          </cell>
          <cell r="G1054" t="str">
            <v>American Solutions Inc.</v>
          </cell>
          <cell r="H1054">
            <v>1</v>
          </cell>
        </row>
        <row r="1055">
          <cell r="B1055" t="str">
            <v>Freight - Pd by Customer</v>
          </cell>
          <cell r="C1055" t="str">
            <v>Invoice</v>
          </cell>
          <cell r="D1055">
            <v>38510</v>
          </cell>
          <cell r="F1055" t="str">
            <v>6268</v>
          </cell>
          <cell r="G1055" t="str">
            <v>Chromatech 3D (Pty) Ltd.</v>
          </cell>
          <cell r="H1055">
            <v>1</v>
          </cell>
        </row>
        <row r="1056">
          <cell r="B1056" t="str">
            <v>Freight - Pd by Customer</v>
          </cell>
          <cell r="C1056" t="str">
            <v>Invoice</v>
          </cell>
          <cell r="D1056">
            <v>38510</v>
          </cell>
          <cell r="F1056" t="str">
            <v>6248</v>
          </cell>
          <cell r="G1056" t="str">
            <v>Arkitectura Urbana</v>
          </cell>
          <cell r="H1056">
            <v>1</v>
          </cell>
        </row>
        <row r="1057">
          <cell r="B1057" t="str">
            <v>Freight - Pd by Customer</v>
          </cell>
          <cell r="C1057" t="str">
            <v>Invoice</v>
          </cell>
          <cell r="D1057">
            <v>38510</v>
          </cell>
          <cell r="F1057" t="str">
            <v>6241</v>
          </cell>
          <cell r="G1057" t="str">
            <v>Imperial Palace Hotel and Casino:IPHC Retail Merchandising</v>
          </cell>
          <cell r="H1057">
            <v>1</v>
          </cell>
        </row>
        <row r="1058">
          <cell r="B1058" t="str">
            <v>Freight - Pd by Customer</v>
          </cell>
          <cell r="C1058" t="str">
            <v>Invoice</v>
          </cell>
          <cell r="D1058">
            <v>38510</v>
          </cell>
          <cell r="F1058" t="str">
            <v>6146</v>
          </cell>
          <cell r="G1058" t="str">
            <v>Hard Rock Hotel</v>
          </cell>
          <cell r="H1058">
            <v>1</v>
          </cell>
        </row>
        <row r="1059">
          <cell r="B1059" t="str">
            <v>Freight - Pd by Customer</v>
          </cell>
          <cell r="C1059" t="str">
            <v>Invoice</v>
          </cell>
          <cell r="D1059">
            <v>38510</v>
          </cell>
          <cell r="F1059" t="str">
            <v>6278-I</v>
          </cell>
          <cell r="G1059" t="str">
            <v>Le Chateau Stores of Canada</v>
          </cell>
          <cell r="H1059">
            <v>1</v>
          </cell>
        </row>
        <row r="1060">
          <cell r="B1060" t="str">
            <v>Freight - Pd by Customer</v>
          </cell>
          <cell r="C1060" t="str">
            <v>Invoice</v>
          </cell>
          <cell r="D1060">
            <v>38511</v>
          </cell>
          <cell r="F1060" t="str">
            <v>6284</v>
          </cell>
          <cell r="G1060" t="str">
            <v>American Solutions Inc.</v>
          </cell>
          <cell r="H1060">
            <v>1</v>
          </cell>
        </row>
        <row r="1061">
          <cell r="B1061" t="str">
            <v>Freight - Pd by Customer</v>
          </cell>
          <cell r="C1061" t="str">
            <v>Invoice</v>
          </cell>
          <cell r="D1061">
            <v>38512</v>
          </cell>
          <cell r="F1061" t="str">
            <v>6276</v>
          </cell>
          <cell r="G1061" t="str">
            <v>Simmons</v>
          </cell>
          <cell r="H1061">
            <v>1</v>
          </cell>
        </row>
        <row r="1062">
          <cell r="B1062" t="str">
            <v>Freight - Pd by Customer</v>
          </cell>
          <cell r="C1062" t="str">
            <v>Invoice</v>
          </cell>
          <cell r="D1062">
            <v>38512</v>
          </cell>
          <cell r="F1062" t="str">
            <v>6265</v>
          </cell>
          <cell r="G1062" t="str">
            <v>Sony Style #66</v>
          </cell>
          <cell r="H1062">
            <v>1</v>
          </cell>
        </row>
        <row r="1063">
          <cell r="B1063" t="str">
            <v>Freight - Pd by Customer</v>
          </cell>
          <cell r="C1063" t="str">
            <v>Invoice</v>
          </cell>
          <cell r="D1063">
            <v>38512</v>
          </cell>
          <cell r="F1063" t="str">
            <v>6274</v>
          </cell>
          <cell r="G1063" t="str">
            <v>Ogilvy &amp; Mather</v>
          </cell>
          <cell r="H1063">
            <v>1</v>
          </cell>
        </row>
        <row r="1064">
          <cell r="B1064" t="str">
            <v>Freight - Pd by Customer</v>
          </cell>
          <cell r="C1064" t="str">
            <v>Invoice</v>
          </cell>
          <cell r="D1064">
            <v>38512</v>
          </cell>
          <cell r="F1064" t="str">
            <v>5460</v>
          </cell>
          <cell r="G1064" t="str">
            <v>Copeland Sports</v>
          </cell>
          <cell r="H1064">
            <v>1</v>
          </cell>
        </row>
        <row r="1065">
          <cell r="B1065" t="str">
            <v>Freight - Pd by Customer</v>
          </cell>
          <cell r="C1065" t="str">
            <v>Invoice</v>
          </cell>
          <cell r="D1065">
            <v>38512</v>
          </cell>
          <cell r="F1065" t="str">
            <v>6279</v>
          </cell>
          <cell r="G1065" t="str">
            <v>Promotool</v>
          </cell>
          <cell r="H1065">
            <v>1</v>
          </cell>
        </row>
        <row r="1066">
          <cell r="B1066" t="str">
            <v>Freight - Pd by Customer</v>
          </cell>
          <cell r="C1066" t="str">
            <v>Invoice</v>
          </cell>
          <cell r="D1066">
            <v>38512</v>
          </cell>
          <cell r="F1066" t="str">
            <v>6318</v>
          </cell>
          <cell r="G1066" t="str">
            <v>Muzak, LLC:One Stop Food Store</v>
          </cell>
          <cell r="H1066">
            <v>1</v>
          </cell>
        </row>
        <row r="1067">
          <cell r="B1067" t="str">
            <v>Freight - Pd by Customer</v>
          </cell>
          <cell r="C1067" t="str">
            <v>Invoice</v>
          </cell>
          <cell r="D1067">
            <v>38513</v>
          </cell>
          <cell r="F1067" t="str">
            <v>6288</v>
          </cell>
          <cell r="G1067" t="str">
            <v>Del Sol, LC</v>
          </cell>
          <cell r="H1067">
            <v>1</v>
          </cell>
        </row>
        <row r="1068">
          <cell r="B1068" t="str">
            <v>Freight - Pd by Customer</v>
          </cell>
          <cell r="C1068" t="str">
            <v>Invoice</v>
          </cell>
          <cell r="D1068">
            <v>38513</v>
          </cell>
          <cell r="F1068" t="str">
            <v>6282</v>
          </cell>
          <cell r="G1068" t="str">
            <v>Le Gourmet Chef</v>
          </cell>
          <cell r="H1068">
            <v>1</v>
          </cell>
        </row>
        <row r="1069">
          <cell r="B1069" t="str">
            <v>Freight - Pd by Customer</v>
          </cell>
          <cell r="C1069" t="str">
            <v>Invoice</v>
          </cell>
          <cell r="D1069">
            <v>38513</v>
          </cell>
          <cell r="F1069" t="str">
            <v>5560</v>
          </cell>
          <cell r="G1069" t="str">
            <v>AroMarketing:AroMarketing - Guadalajara</v>
          </cell>
          <cell r="H1069">
            <v>1</v>
          </cell>
        </row>
        <row r="1070">
          <cell r="B1070" t="str">
            <v>Freight - Pd by Customer</v>
          </cell>
          <cell r="C1070" t="str">
            <v>Invoice</v>
          </cell>
          <cell r="D1070">
            <v>38513</v>
          </cell>
          <cell r="F1070" t="str">
            <v>5534A</v>
          </cell>
          <cell r="G1070" t="str">
            <v>Aritza</v>
          </cell>
          <cell r="H1070">
            <v>1</v>
          </cell>
        </row>
        <row r="1071">
          <cell r="B1071" t="str">
            <v>Freight - Pd by Customer</v>
          </cell>
          <cell r="C1071" t="str">
            <v>Invoice</v>
          </cell>
          <cell r="D1071">
            <v>38516</v>
          </cell>
          <cell r="F1071" t="str">
            <v>6333</v>
          </cell>
          <cell r="G1071" t="str">
            <v>GMR Marketing</v>
          </cell>
          <cell r="H1071">
            <v>1</v>
          </cell>
        </row>
        <row r="1072">
          <cell r="B1072" t="str">
            <v>Freight - Pd by Customer</v>
          </cell>
          <cell r="C1072" t="str">
            <v>Invoice</v>
          </cell>
          <cell r="D1072">
            <v>38516</v>
          </cell>
          <cell r="F1072" t="str">
            <v>6316</v>
          </cell>
          <cell r="G1072" t="str">
            <v>Disney Worldwide:Main Street Confectionary</v>
          </cell>
          <cell r="H1072">
            <v>1</v>
          </cell>
        </row>
        <row r="1073">
          <cell r="B1073" t="str">
            <v>Freight - Pd by Customer</v>
          </cell>
          <cell r="C1073" t="str">
            <v>Invoice</v>
          </cell>
          <cell r="D1073">
            <v>38516</v>
          </cell>
          <cell r="F1073" t="str">
            <v>6317</v>
          </cell>
          <cell r="G1073" t="str">
            <v>Disney Worldwide:Ye Olde Christmas Shop</v>
          </cell>
          <cell r="H1073">
            <v>1</v>
          </cell>
        </row>
        <row r="1074">
          <cell r="B1074" t="str">
            <v>Freight - Pd by Customer</v>
          </cell>
          <cell r="C1074" t="str">
            <v>Invoice</v>
          </cell>
          <cell r="D1074">
            <v>38516</v>
          </cell>
          <cell r="F1074" t="str">
            <v>6287</v>
          </cell>
          <cell r="G1074" t="str">
            <v>Nutraceutical/Fresh Organics</v>
          </cell>
          <cell r="H1074">
            <v>1</v>
          </cell>
        </row>
        <row r="1075">
          <cell r="B1075" t="str">
            <v>Freight - Pd by Customer</v>
          </cell>
          <cell r="C1075" t="str">
            <v>Invoice</v>
          </cell>
          <cell r="D1075">
            <v>38516</v>
          </cell>
          <cell r="F1075" t="str">
            <v>6332</v>
          </cell>
          <cell r="G1075" t="str">
            <v>Videotronic Benelux BV</v>
          </cell>
          <cell r="H1075">
            <v>1</v>
          </cell>
        </row>
        <row r="1076">
          <cell r="B1076" t="str">
            <v>Freight - Pd by Customer</v>
          </cell>
          <cell r="C1076" t="str">
            <v>Invoice</v>
          </cell>
          <cell r="D1076">
            <v>38516</v>
          </cell>
          <cell r="F1076" t="str">
            <v>6315</v>
          </cell>
          <cell r="G1076" t="str">
            <v>Disney Worldwide:Goofy's Candy Company</v>
          </cell>
          <cell r="H1076">
            <v>1</v>
          </cell>
        </row>
        <row r="1077">
          <cell r="B1077" t="str">
            <v>Freight - Pd by Customer</v>
          </cell>
          <cell r="C1077" t="str">
            <v>Invoice</v>
          </cell>
          <cell r="D1077">
            <v>38516</v>
          </cell>
          <cell r="F1077" t="str">
            <v>6242</v>
          </cell>
          <cell r="G1077" t="str">
            <v>Saddle Ranch</v>
          </cell>
          <cell r="H1077">
            <v>1</v>
          </cell>
        </row>
        <row r="1078">
          <cell r="B1078" t="str">
            <v>Freight - Pd by Customer</v>
          </cell>
          <cell r="C1078" t="str">
            <v>Invoice</v>
          </cell>
          <cell r="D1078">
            <v>38516</v>
          </cell>
          <cell r="F1078" t="str">
            <v>5566A</v>
          </cell>
          <cell r="G1078" t="str">
            <v>Starwood Hotels:Westin Stamford</v>
          </cell>
          <cell r="H1078">
            <v>1</v>
          </cell>
        </row>
        <row r="1079">
          <cell r="B1079" t="str">
            <v>Freight - Pd by Customer</v>
          </cell>
          <cell r="C1079" t="str">
            <v>Invoice</v>
          </cell>
          <cell r="D1079">
            <v>38517</v>
          </cell>
          <cell r="F1079" t="str">
            <v>6243</v>
          </cell>
          <cell r="G1079" t="str">
            <v>Starwood Hotels:The Essex Hotel</v>
          </cell>
          <cell r="H1079">
            <v>1</v>
          </cell>
        </row>
        <row r="1080">
          <cell r="B1080" t="str">
            <v>Freight - Pd by Customer</v>
          </cell>
          <cell r="C1080" t="str">
            <v>Invoice</v>
          </cell>
          <cell r="D1080">
            <v>38519</v>
          </cell>
          <cell r="F1080" t="str">
            <v>6291</v>
          </cell>
          <cell r="G1080" t="str">
            <v>Celebration Health</v>
          </cell>
          <cell r="H1080">
            <v>1</v>
          </cell>
        </row>
        <row r="1081">
          <cell r="B1081" t="str">
            <v>Freight - Pd by Customer</v>
          </cell>
          <cell r="C1081" t="str">
            <v>Invoice</v>
          </cell>
          <cell r="D1081">
            <v>38519</v>
          </cell>
          <cell r="F1081" t="str">
            <v>6363</v>
          </cell>
          <cell r="G1081" t="str">
            <v>Bob Bullock Texas State Historical Museum</v>
          </cell>
          <cell r="H1081">
            <v>1</v>
          </cell>
        </row>
        <row r="1082">
          <cell r="B1082" t="str">
            <v>Freight - Pd by Customer</v>
          </cell>
          <cell r="C1082" t="str">
            <v>Invoice</v>
          </cell>
          <cell r="D1082">
            <v>38519</v>
          </cell>
          <cell r="F1082" t="str">
            <v>6312</v>
          </cell>
          <cell r="G1082" t="str">
            <v>Dylan's Candy Bar - NYC</v>
          </cell>
          <cell r="H1082">
            <v>1</v>
          </cell>
        </row>
        <row r="1083">
          <cell r="B1083" t="str">
            <v>Freight - Pd by Customer</v>
          </cell>
          <cell r="C1083" t="str">
            <v>Invoice</v>
          </cell>
          <cell r="D1083">
            <v>38520</v>
          </cell>
          <cell r="F1083" t="str">
            <v>6371</v>
          </cell>
          <cell r="G1083" t="str">
            <v>Ingle's Markets</v>
          </cell>
          <cell r="H1083">
            <v>1</v>
          </cell>
        </row>
        <row r="1084">
          <cell r="B1084" t="str">
            <v>Freight - Pd by Customer</v>
          </cell>
          <cell r="C1084" t="str">
            <v>Invoice</v>
          </cell>
          <cell r="D1084">
            <v>38520</v>
          </cell>
          <cell r="F1084" t="str">
            <v>6380</v>
          </cell>
          <cell r="G1084" t="str">
            <v>VendMax International Inc.</v>
          </cell>
          <cell r="H1084">
            <v>1</v>
          </cell>
        </row>
        <row r="1085">
          <cell r="B1085" t="str">
            <v>Freight - Pd by Customer</v>
          </cell>
          <cell r="C1085" t="str">
            <v>Invoice</v>
          </cell>
          <cell r="D1085">
            <v>38520</v>
          </cell>
          <cell r="F1085" t="str">
            <v>6372</v>
          </cell>
          <cell r="G1085" t="str">
            <v>American Solutions Inc.</v>
          </cell>
          <cell r="H1085">
            <v>1</v>
          </cell>
        </row>
        <row r="1086">
          <cell r="B1086" t="str">
            <v>Freight - Pd by Customer</v>
          </cell>
          <cell r="C1086" t="str">
            <v>Invoice</v>
          </cell>
          <cell r="D1086">
            <v>38520</v>
          </cell>
          <cell r="F1086" t="str">
            <v>6381</v>
          </cell>
          <cell r="G1086" t="str">
            <v>AroMarketing:AroMarketing - Guadalajara</v>
          </cell>
          <cell r="H1086">
            <v>1</v>
          </cell>
        </row>
        <row r="1087">
          <cell r="B1087" t="str">
            <v>Freight - Pd by Customer</v>
          </cell>
          <cell r="C1087" t="str">
            <v>Invoice</v>
          </cell>
          <cell r="D1087">
            <v>38525</v>
          </cell>
          <cell r="F1087" t="str">
            <v>6395</v>
          </cell>
          <cell r="G1087" t="str">
            <v>Hotel Hershey</v>
          </cell>
          <cell r="H1087">
            <v>1</v>
          </cell>
        </row>
        <row r="1088">
          <cell r="B1088" t="str">
            <v>Freight - Pd by Customer</v>
          </cell>
          <cell r="C1088" t="str">
            <v>Invoice</v>
          </cell>
          <cell r="D1088">
            <v>38525</v>
          </cell>
          <cell r="F1088" t="str">
            <v>5572</v>
          </cell>
          <cell r="G1088" t="str">
            <v>Busch Gardens - Williamsburg</v>
          </cell>
          <cell r="H1088">
            <v>1</v>
          </cell>
        </row>
        <row r="1089">
          <cell r="B1089" t="str">
            <v>Freight - Pd by Customer</v>
          </cell>
          <cell r="C1089" t="str">
            <v>Invoice</v>
          </cell>
          <cell r="D1089">
            <v>38525</v>
          </cell>
          <cell r="F1089" t="str">
            <v>5574-I</v>
          </cell>
          <cell r="G1089" t="str">
            <v>Muzak, LLC:Doctor's Urgent Care</v>
          </cell>
          <cell r="H1089">
            <v>1</v>
          </cell>
        </row>
        <row r="1090">
          <cell r="B1090" t="str">
            <v>Freight - Pd by Customer</v>
          </cell>
          <cell r="C1090" t="str">
            <v>Invoice</v>
          </cell>
          <cell r="D1090">
            <v>38526</v>
          </cell>
          <cell r="F1090" t="str">
            <v>6397</v>
          </cell>
          <cell r="G1090" t="str">
            <v>Scent Events, LLC</v>
          </cell>
          <cell r="H1090">
            <v>1</v>
          </cell>
        </row>
        <row r="1091">
          <cell r="B1091" t="str">
            <v>Freight - Pd by Customer</v>
          </cell>
          <cell r="C1091" t="str">
            <v>Invoice</v>
          </cell>
          <cell r="D1091">
            <v>38526</v>
          </cell>
          <cell r="F1091" t="str">
            <v>5567A</v>
          </cell>
          <cell r="G1091" t="str">
            <v>AroMarketing:AroMarketing - Texas</v>
          </cell>
          <cell r="H1091">
            <v>1</v>
          </cell>
        </row>
        <row r="1092">
          <cell r="B1092" t="str">
            <v>Freight - Pd by Customer</v>
          </cell>
          <cell r="C1092" t="str">
            <v>Invoice</v>
          </cell>
          <cell r="D1092">
            <v>38527</v>
          </cell>
          <cell r="F1092" t="str">
            <v>6406</v>
          </cell>
          <cell r="G1092" t="str">
            <v>ScentAir Australia Pty Ltd.</v>
          </cell>
          <cell r="H1092">
            <v>1</v>
          </cell>
        </row>
        <row r="1093">
          <cell r="B1093" t="str">
            <v>Freight - Pd by Customer</v>
          </cell>
          <cell r="C1093" t="str">
            <v>Invoice</v>
          </cell>
          <cell r="D1093">
            <v>38530</v>
          </cell>
          <cell r="F1093" t="str">
            <v>5591-I</v>
          </cell>
          <cell r="G1093" t="str">
            <v>Indoor Garden Systems</v>
          </cell>
          <cell r="H1093">
            <v>1</v>
          </cell>
        </row>
        <row r="1094">
          <cell r="B1094" t="str">
            <v>Freight - Pd by Customer</v>
          </cell>
          <cell r="C1094" t="str">
            <v>Invoice</v>
          </cell>
          <cell r="D1094">
            <v>38530</v>
          </cell>
          <cell r="F1094" t="str">
            <v>6402</v>
          </cell>
          <cell r="G1094" t="str">
            <v>NBC Experience Store</v>
          </cell>
          <cell r="H1094">
            <v>1</v>
          </cell>
        </row>
        <row r="1095">
          <cell r="B1095" t="str">
            <v>Freight - Pd by Customer</v>
          </cell>
          <cell r="C1095" t="str">
            <v>Invoice</v>
          </cell>
          <cell r="D1095">
            <v>38530</v>
          </cell>
          <cell r="F1095" t="str">
            <v>6036</v>
          </cell>
          <cell r="G1095" t="str">
            <v>Southern Kitchen and Bath</v>
          </cell>
          <cell r="H1095">
            <v>1</v>
          </cell>
        </row>
        <row r="1096">
          <cell r="B1096" t="str">
            <v>Freight - Pd by Customer</v>
          </cell>
          <cell r="C1096" t="str">
            <v>Invoice</v>
          </cell>
          <cell r="D1096">
            <v>38530</v>
          </cell>
          <cell r="F1096" t="str">
            <v>6404</v>
          </cell>
          <cell r="G1096" t="str">
            <v>KaBloom - Gainesville</v>
          </cell>
          <cell r="H1096">
            <v>1</v>
          </cell>
        </row>
        <row r="1097">
          <cell r="B1097" t="str">
            <v>Freight - Pd by Customer</v>
          </cell>
          <cell r="C1097" t="str">
            <v>Invoice</v>
          </cell>
          <cell r="D1097">
            <v>38530</v>
          </cell>
          <cell r="F1097" t="str">
            <v>5592-I</v>
          </cell>
          <cell r="G1097" t="str">
            <v>Aritza</v>
          </cell>
          <cell r="H1097">
            <v>1</v>
          </cell>
        </row>
        <row r="1098">
          <cell r="B1098" t="str">
            <v>Freight - Pd by Customer</v>
          </cell>
          <cell r="C1098" t="str">
            <v>Invoice</v>
          </cell>
          <cell r="D1098">
            <v>38531</v>
          </cell>
          <cell r="F1098" t="str">
            <v>5590</v>
          </cell>
          <cell r="G1098" t="str">
            <v>Jimmy Choo (Corporate Office):Jimmy Choo (Palm Beach Gardens)</v>
          </cell>
          <cell r="H1098">
            <v>1</v>
          </cell>
        </row>
        <row r="1099">
          <cell r="B1099" t="str">
            <v>Freight - Pd by Customer</v>
          </cell>
          <cell r="C1099" t="str">
            <v>Invoice</v>
          </cell>
          <cell r="D1099">
            <v>38531</v>
          </cell>
          <cell r="F1099" t="str">
            <v>6304</v>
          </cell>
          <cell r="G1099" t="str">
            <v>Hot Stuff</v>
          </cell>
          <cell r="H1099">
            <v>1</v>
          </cell>
        </row>
        <row r="1100">
          <cell r="B1100" t="str">
            <v>Freight - Pd by Customer</v>
          </cell>
          <cell r="C1100" t="str">
            <v>Invoice</v>
          </cell>
          <cell r="D1100">
            <v>38533</v>
          </cell>
          <cell r="F1100" t="str">
            <v>7027</v>
          </cell>
          <cell r="G1100" t="str">
            <v>Hustler Hollywood - Monroe, OH</v>
          </cell>
          <cell r="H1100">
            <v>1</v>
          </cell>
        </row>
        <row r="1101">
          <cell r="B1101" t="str">
            <v>Freight - Pd by Customer</v>
          </cell>
          <cell r="C1101" t="str">
            <v>Invoice</v>
          </cell>
          <cell r="D1101">
            <v>38533</v>
          </cell>
          <cell r="F1101" t="str">
            <v>7025</v>
          </cell>
          <cell r="G1101" t="str">
            <v>Longaberger Co.</v>
          </cell>
          <cell r="H1101">
            <v>1</v>
          </cell>
        </row>
        <row r="1102">
          <cell r="B1102" t="str">
            <v>Freight - Pd by Customer</v>
          </cell>
          <cell r="C1102" t="str">
            <v>Invoice</v>
          </cell>
          <cell r="D1102">
            <v>38533</v>
          </cell>
          <cell r="F1102" t="str">
            <v>6196</v>
          </cell>
          <cell r="G1102" t="str">
            <v>Hershey's, Inc.:Hershey's - Time's Square</v>
          </cell>
          <cell r="H1102">
            <v>1</v>
          </cell>
        </row>
        <row r="1103">
          <cell r="B1103" t="str">
            <v>Freight - Pd by Customer</v>
          </cell>
          <cell r="C1103" t="str">
            <v>Invoice</v>
          </cell>
          <cell r="D1103">
            <v>38533</v>
          </cell>
          <cell r="F1103" t="str">
            <v>5580-I</v>
          </cell>
          <cell r="G1103" t="str">
            <v>AroMarketing:AroMarketing - Texas</v>
          </cell>
          <cell r="H1103">
            <v>1</v>
          </cell>
        </row>
        <row r="1104">
          <cell r="B1104" t="str">
            <v>Freight - Pd by Customer</v>
          </cell>
          <cell r="C1104" t="str">
            <v>Invoice</v>
          </cell>
          <cell r="D1104">
            <v>38533</v>
          </cell>
          <cell r="F1104" t="str">
            <v>5580-I</v>
          </cell>
          <cell r="G1104" t="str">
            <v>AroMarketing:AroMarketing - Texas</v>
          </cell>
          <cell r="H1104">
            <v>1</v>
          </cell>
        </row>
        <row r="1105">
          <cell r="B1105" t="str">
            <v>Freight - Pd by Customer</v>
          </cell>
          <cell r="C1105" t="str">
            <v>Invoice</v>
          </cell>
          <cell r="D1105">
            <v>38533</v>
          </cell>
          <cell r="F1105" t="str">
            <v>7050</v>
          </cell>
          <cell r="G1105" t="str">
            <v>Scent Events, LLC</v>
          </cell>
          <cell r="H1105">
            <v>1</v>
          </cell>
        </row>
        <row r="1106">
          <cell r="B1106" t="str">
            <v>Freight - Pd by Customer</v>
          </cell>
          <cell r="C1106" t="str">
            <v>Invoice</v>
          </cell>
          <cell r="D1106">
            <v>38533</v>
          </cell>
          <cell r="F1106" t="str">
            <v>7030</v>
          </cell>
          <cell r="G1106" t="str">
            <v>Biotech Calender</v>
          </cell>
          <cell r="H1106">
            <v>1</v>
          </cell>
        </row>
        <row r="1107">
          <cell r="B1107" t="str">
            <v>Freight - Pd by Customer</v>
          </cell>
          <cell r="C1107" t="str">
            <v>Invoice</v>
          </cell>
          <cell r="D1107">
            <v>38533</v>
          </cell>
          <cell r="F1107" t="str">
            <v>7034</v>
          </cell>
          <cell r="G1107" t="str">
            <v>KaBloom-Grand Rapids</v>
          </cell>
          <cell r="H1107">
            <v>1</v>
          </cell>
        </row>
        <row r="1108">
          <cell r="B1108" t="str">
            <v>Freight - Pd by Customer</v>
          </cell>
          <cell r="C1108" t="str">
            <v>Invoice</v>
          </cell>
          <cell r="D1108">
            <v>38533</v>
          </cell>
          <cell r="F1108" t="str">
            <v>7035</v>
          </cell>
          <cell r="G1108" t="str">
            <v>Carson Pirie Scott &amp; Co..:CPS Carson's #543</v>
          </cell>
          <cell r="H1108">
            <v>1</v>
          </cell>
        </row>
        <row r="1109">
          <cell r="B1109" t="str">
            <v>Freight - Pd by Customer</v>
          </cell>
          <cell r="C1109" t="str">
            <v>Invoice</v>
          </cell>
          <cell r="D1109">
            <v>38533</v>
          </cell>
          <cell r="F1109" t="str">
            <v>7026</v>
          </cell>
          <cell r="G1109" t="str">
            <v>American Solutions Inc.</v>
          </cell>
          <cell r="H1109">
            <v>1</v>
          </cell>
        </row>
        <row r="1110">
          <cell r="B1110" t="str">
            <v>Freight - Pd by Customer</v>
          </cell>
          <cell r="C1110" t="str">
            <v>Invoice</v>
          </cell>
          <cell r="D1110">
            <v>38533</v>
          </cell>
          <cell r="F1110" t="str">
            <v>7041</v>
          </cell>
          <cell r="G1110" t="str">
            <v>Arkitectura Urbana</v>
          </cell>
          <cell r="H1110">
            <v>1</v>
          </cell>
        </row>
        <row r="1111">
          <cell r="B1111" t="str">
            <v>Freight - Pd by Customer</v>
          </cell>
          <cell r="C1111" t="str">
            <v>Invoice</v>
          </cell>
          <cell r="D1111">
            <v>38534</v>
          </cell>
          <cell r="F1111" t="str">
            <v>7056</v>
          </cell>
          <cell r="G1111" t="str">
            <v>Techno Satellite</v>
          </cell>
          <cell r="H1111">
            <v>1</v>
          </cell>
        </row>
        <row r="1112">
          <cell r="B1112" t="str">
            <v>Freight - Pd by Customer</v>
          </cell>
          <cell r="C1112" t="str">
            <v>Invoice</v>
          </cell>
          <cell r="D1112">
            <v>38539</v>
          </cell>
          <cell r="F1112" t="str">
            <v>7028-I</v>
          </cell>
          <cell r="G1112" t="str">
            <v>Raytheon</v>
          </cell>
          <cell r="H1112">
            <v>1</v>
          </cell>
        </row>
        <row r="1113">
          <cell r="B1113" t="str">
            <v>Freight - Pd by Customer</v>
          </cell>
          <cell r="C1113" t="str">
            <v>Invoice</v>
          </cell>
          <cell r="D1113">
            <v>38539</v>
          </cell>
          <cell r="F1113" t="str">
            <v>7036</v>
          </cell>
          <cell r="G1113" t="str">
            <v>MLS Homes</v>
          </cell>
          <cell r="H1113">
            <v>1</v>
          </cell>
        </row>
        <row r="1114">
          <cell r="B1114" t="str">
            <v>Freight - Pd by Customer</v>
          </cell>
          <cell r="C1114" t="str">
            <v>Invoice</v>
          </cell>
          <cell r="D1114">
            <v>38539</v>
          </cell>
          <cell r="F1114" t="str">
            <v>7074</v>
          </cell>
          <cell r="G1114" t="str">
            <v>Carter's</v>
          </cell>
          <cell r="H1114">
            <v>1</v>
          </cell>
        </row>
        <row r="1115">
          <cell r="B1115" t="str">
            <v>Freight - Pd by Customer</v>
          </cell>
          <cell r="C1115" t="str">
            <v>Invoice</v>
          </cell>
          <cell r="D1115">
            <v>38539</v>
          </cell>
          <cell r="F1115" t="str">
            <v>7075</v>
          </cell>
          <cell r="G1115" t="str">
            <v>Western Sizzlin Corporate:Great American Steak Buffet</v>
          </cell>
          <cell r="H1115">
            <v>1</v>
          </cell>
        </row>
        <row r="1116">
          <cell r="B1116" t="str">
            <v>Freight - Pd by Customer</v>
          </cell>
          <cell r="C1116" t="str">
            <v>Invoice</v>
          </cell>
          <cell r="D1116">
            <v>38539</v>
          </cell>
          <cell r="F1116" t="str">
            <v>7048</v>
          </cell>
          <cell r="G1116" t="str">
            <v>Venetian Hotel</v>
          </cell>
          <cell r="H1116">
            <v>1</v>
          </cell>
        </row>
        <row r="1117">
          <cell r="B1117" t="str">
            <v>Freight - Pd by Customer</v>
          </cell>
          <cell r="C1117" t="str">
            <v>Invoice</v>
          </cell>
          <cell r="D1117">
            <v>38539</v>
          </cell>
          <cell r="F1117" t="str">
            <v>7029</v>
          </cell>
          <cell r="G1117" t="str">
            <v>Eddie Bauer, Inc.</v>
          </cell>
          <cell r="H1117">
            <v>1</v>
          </cell>
        </row>
        <row r="1118">
          <cell r="B1118" t="str">
            <v>Freight - Pd by Customer</v>
          </cell>
          <cell r="C1118" t="str">
            <v>Invoice</v>
          </cell>
          <cell r="D1118">
            <v>38539</v>
          </cell>
          <cell r="F1118" t="str">
            <v>7083</v>
          </cell>
          <cell r="G1118" t="str">
            <v>LEGOLAND California</v>
          </cell>
          <cell r="H1118">
            <v>1</v>
          </cell>
        </row>
        <row r="1119">
          <cell r="B1119" t="str">
            <v>Freight - Pd by Customer</v>
          </cell>
          <cell r="C1119" t="str">
            <v>Invoice</v>
          </cell>
          <cell r="D1119">
            <v>38539</v>
          </cell>
          <cell r="F1119" t="str">
            <v>5581-I</v>
          </cell>
          <cell r="G1119" t="str">
            <v>Muzak, LLC:Muzak (Demo)</v>
          </cell>
          <cell r="H1119">
            <v>1</v>
          </cell>
        </row>
        <row r="1120">
          <cell r="B1120" t="str">
            <v>Freight - Pd by Customer</v>
          </cell>
          <cell r="C1120" t="str">
            <v>Invoice</v>
          </cell>
          <cell r="D1120">
            <v>38540</v>
          </cell>
          <cell r="F1120" t="str">
            <v>7093</v>
          </cell>
          <cell r="G1120" t="str">
            <v>Omni Hotels</v>
          </cell>
          <cell r="H1120">
            <v>1</v>
          </cell>
        </row>
        <row r="1121">
          <cell r="B1121" t="str">
            <v>Freight - Pd by Customer</v>
          </cell>
          <cell r="C1121" t="str">
            <v>Invoice</v>
          </cell>
          <cell r="D1121">
            <v>38541</v>
          </cell>
          <cell r="F1121" t="str">
            <v>7018</v>
          </cell>
          <cell r="G1121" t="str">
            <v>Starwood Hotels:Westin Stamford</v>
          </cell>
          <cell r="H1121">
            <v>1</v>
          </cell>
        </row>
        <row r="1122">
          <cell r="B1122" t="str">
            <v>Freight - Pd by Customer</v>
          </cell>
          <cell r="C1122" t="str">
            <v>Invoice</v>
          </cell>
          <cell r="D1122">
            <v>38542</v>
          </cell>
          <cell r="F1122" t="str">
            <v>6321</v>
          </cell>
          <cell r="G1122" t="str">
            <v>Disney Worldwide:Main Street Confectionary</v>
          </cell>
          <cell r="H1122">
            <v>1</v>
          </cell>
        </row>
        <row r="1123">
          <cell r="B1123" t="str">
            <v>Freight - Pd by Customer</v>
          </cell>
          <cell r="C1123" t="str">
            <v>Invoice</v>
          </cell>
          <cell r="D1123">
            <v>38542</v>
          </cell>
          <cell r="F1123" t="str">
            <v>6303</v>
          </cell>
          <cell r="G1123" t="str">
            <v>Ashley Furniture HomeStore</v>
          </cell>
          <cell r="H1123">
            <v>1</v>
          </cell>
        </row>
        <row r="1124">
          <cell r="B1124" t="str">
            <v>Freight - Pd by Customer</v>
          </cell>
          <cell r="C1124" t="str">
            <v>Invoice</v>
          </cell>
          <cell r="D1124">
            <v>38542</v>
          </cell>
          <cell r="F1124" t="str">
            <v>7130</v>
          </cell>
          <cell r="G1124" t="str">
            <v>Promotool</v>
          </cell>
          <cell r="H1124">
            <v>1</v>
          </cell>
        </row>
        <row r="1125">
          <cell r="B1125" t="str">
            <v>Freight - Pd by Customer</v>
          </cell>
          <cell r="C1125" t="str">
            <v>Invoice</v>
          </cell>
          <cell r="D1125">
            <v>38544</v>
          </cell>
          <cell r="F1125" t="str">
            <v>6327</v>
          </cell>
          <cell r="G1125" t="str">
            <v>Celebration Hotel</v>
          </cell>
          <cell r="H1125">
            <v>1</v>
          </cell>
        </row>
        <row r="1126">
          <cell r="B1126" t="str">
            <v>Freight - Pd by Customer</v>
          </cell>
          <cell r="C1126" t="str">
            <v>Invoice</v>
          </cell>
          <cell r="D1126">
            <v>38544</v>
          </cell>
          <cell r="F1126" t="str">
            <v>6320</v>
          </cell>
          <cell r="G1126" t="str">
            <v>Disney Worldwide:Ye Olde Christmas Shop</v>
          </cell>
          <cell r="H1126">
            <v>1</v>
          </cell>
        </row>
        <row r="1127">
          <cell r="B1127" t="str">
            <v>Freight - Pd by Customer</v>
          </cell>
          <cell r="C1127" t="str">
            <v>Invoice</v>
          </cell>
          <cell r="D1127">
            <v>38546</v>
          </cell>
          <cell r="F1127" t="str">
            <v>7000</v>
          </cell>
          <cell r="G1127" t="str">
            <v>Sioux Land Heritage Museum</v>
          </cell>
          <cell r="H1127">
            <v>1</v>
          </cell>
        </row>
        <row r="1128">
          <cell r="B1128" t="str">
            <v>Freight - Pd by Customer</v>
          </cell>
          <cell r="C1128" t="str">
            <v>Invoice</v>
          </cell>
          <cell r="D1128">
            <v>38546</v>
          </cell>
          <cell r="F1128" t="str">
            <v>7137</v>
          </cell>
          <cell r="G1128" t="str">
            <v>Mane USA/Arcade</v>
          </cell>
          <cell r="H1128">
            <v>1</v>
          </cell>
        </row>
        <row r="1129">
          <cell r="B1129" t="str">
            <v>Freight - Pd by Customer</v>
          </cell>
          <cell r="C1129" t="str">
            <v>Invoice</v>
          </cell>
          <cell r="D1129">
            <v>38546</v>
          </cell>
          <cell r="F1129" t="str">
            <v>6394</v>
          </cell>
          <cell r="G1129" t="str">
            <v>I &amp; M Engineering, Inc.</v>
          </cell>
          <cell r="H1129">
            <v>1</v>
          </cell>
        </row>
        <row r="1130">
          <cell r="B1130" t="str">
            <v>Freight - Pd by Customer</v>
          </cell>
          <cell r="C1130" t="str">
            <v>Invoice</v>
          </cell>
          <cell r="D1130">
            <v>38546</v>
          </cell>
          <cell r="F1130" t="str">
            <v>7138</v>
          </cell>
          <cell r="G1130" t="str">
            <v>Lee-Moore Oil Company</v>
          </cell>
          <cell r="H1130">
            <v>1</v>
          </cell>
        </row>
        <row r="1131">
          <cell r="B1131" t="str">
            <v>Freight - Pd by Customer</v>
          </cell>
          <cell r="C1131" t="str">
            <v>Invoice</v>
          </cell>
          <cell r="D1131">
            <v>38547</v>
          </cell>
          <cell r="F1131" t="str">
            <v>7141</v>
          </cell>
          <cell r="G1131" t="str">
            <v>Sioux Land Heritage Museum</v>
          </cell>
          <cell r="H1131">
            <v>1</v>
          </cell>
        </row>
        <row r="1132">
          <cell r="B1132" t="str">
            <v>Freight - Pd by Customer</v>
          </cell>
          <cell r="C1132" t="str">
            <v>Invoice</v>
          </cell>
          <cell r="D1132">
            <v>38547</v>
          </cell>
          <cell r="F1132" t="str">
            <v>7049</v>
          </cell>
          <cell r="G1132" t="str">
            <v>Venetian Hotel</v>
          </cell>
          <cell r="H1132">
            <v>1</v>
          </cell>
        </row>
        <row r="1133">
          <cell r="B1133" t="str">
            <v>Freight - Pd by Customer</v>
          </cell>
          <cell r="C1133" t="str">
            <v>Invoice</v>
          </cell>
          <cell r="D1133">
            <v>38547</v>
          </cell>
          <cell r="F1133" t="str">
            <v>6355</v>
          </cell>
          <cell r="G1133" t="str">
            <v>Kirk Larson, DDS</v>
          </cell>
          <cell r="H1133">
            <v>1</v>
          </cell>
        </row>
        <row r="1134">
          <cell r="B1134" t="str">
            <v>Freight - Pd by Customer</v>
          </cell>
          <cell r="C1134" t="str">
            <v>Invoice</v>
          </cell>
          <cell r="D1134">
            <v>38548</v>
          </cell>
          <cell r="F1134" t="str">
            <v>7143</v>
          </cell>
          <cell r="G1134" t="str">
            <v>Nestle</v>
          </cell>
          <cell r="H1134">
            <v>1</v>
          </cell>
        </row>
        <row r="1135">
          <cell r="B1135" t="str">
            <v>Freight - Pd by Customer</v>
          </cell>
          <cell r="C1135" t="str">
            <v>Invoice</v>
          </cell>
          <cell r="D1135">
            <v>38548</v>
          </cell>
          <cell r="F1135" t="str">
            <v>7145</v>
          </cell>
          <cell r="G1135" t="str">
            <v>Muzak, LLC:Just Fresh Bakery Cafe &amp; Mkt. - Durham</v>
          </cell>
          <cell r="H1135">
            <v>1</v>
          </cell>
        </row>
        <row r="1136">
          <cell r="B1136" t="str">
            <v>Freight - Pd by Customer</v>
          </cell>
          <cell r="C1136" t="str">
            <v>Invoice</v>
          </cell>
          <cell r="D1136">
            <v>38552</v>
          </cell>
          <cell r="F1136" t="str">
            <v>7165</v>
          </cell>
          <cell r="G1136" t="str">
            <v>MLS Homes</v>
          </cell>
          <cell r="H1136">
            <v>1</v>
          </cell>
        </row>
        <row r="1137">
          <cell r="B1137" t="str">
            <v>Freight - Pd by Customer</v>
          </cell>
          <cell r="C1137" t="str">
            <v>Invoice</v>
          </cell>
          <cell r="D1137">
            <v>38552</v>
          </cell>
          <cell r="F1137" t="str">
            <v>7161</v>
          </cell>
          <cell r="G1137" t="str">
            <v>Carson Pirie Scott &amp; Co..</v>
          </cell>
          <cell r="H1137">
            <v>1</v>
          </cell>
        </row>
        <row r="1138">
          <cell r="B1138" t="str">
            <v>Freight - Pd by Customer</v>
          </cell>
          <cell r="C1138" t="str">
            <v>Invoice</v>
          </cell>
          <cell r="D1138">
            <v>38552</v>
          </cell>
          <cell r="F1138" t="str">
            <v>7014</v>
          </cell>
          <cell r="G1138" t="str">
            <v>AroMarketing:AroMarketing - Texas</v>
          </cell>
          <cell r="H1138">
            <v>1</v>
          </cell>
        </row>
        <row r="1139">
          <cell r="B1139" t="str">
            <v>Freight - Pd by Customer</v>
          </cell>
          <cell r="C1139" t="str">
            <v>Invoice</v>
          </cell>
          <cell r="D1139">
            <v>38552</v>
          </cell>
          <cell r="F1139" t="str">
            <v>7014</v>
          </cell>
          <cell r="G1139" t="str">
            <v>AroMarketing:AroMarketing - Texas</v>
          </cell>
          <cell r="H1139">
            <v>1</v>
          </cell>
        </row>
        <row r="1140">
          <cell r="B1140" t="str">
            <v>Freight - Pd by Customer</v>
          </cell>
          <cell r="C1140" t="str">
            <v>Invoice</v>
          </cell>
          <cell r="D1140">
            <v>38552</v>
          </cell>
          <cell r="F1140" t="str">
            <v>7014</v>
          </cell>
          <cell r="G1140" t="str">
            <v>AroMarketing:AroMarketing - Texas</v>
          </cell>
          <cell r="H1140">
            <v>1</v>
          </cell>
        </row>
        <row r="1141">
          <cell r="B1141" t="str">
            <v>Freight - Pd by Customer</v>
          </cell>
          <cell r="C1141" t="str">
            <v>Invoice</v>
          </cell>
          <cell r="D1141">
            <v>38552</v>
          </cell>
          <cell r="F1141" t="str">
            <v>7014</v>
          </cell>
          <cell r="G1141" t="str">
            <v>AroMarketing:AroMarketing - Texas</v>
          </cell>
          <cell r="H1141">
            <v>1</v>
          </cell>
        </row>
        <row r="1142">
          <cell r="B1142" t="str">
            <v>Freight - Pd by Customer</v>
          </cell>
          <cell r="C1142" t="str">
            <v>Invoice</v>
          </cell>
          <cell r="D1142">
            <v>38553</v>
          </cell>
          <cell r="F1142" t="str">
            <v>7168</v>
          </cell>
          <cell r="G1142" t="str">
            <v>Promotool</v>
          </cell>
          <cell r="H1142">
            <v>1</v>
          </cell>
        </row>
        <row r="1143">
          <cell r="B1143" t="str">
            <v>Freight - Pd by Customer</v>
          </cell>
          <cell r="C1143" t="str">
            <v>Invoice</v>
          </cell>
          <cell r="D1143">
            <v>38553</v>
          </cell>
          <cell r="F1143" t="str">
            <v>7174</v>
          </cell>
          <cell r="G1143" t="str">
            <v>ScentAir - Corporate Associates</v>
          </cell>
          <cell r="H1143">
            <v>1</v>
          </cell>
        </row>
        <row r="1144">
          <cell r="B1144" t="str">
            <v>Freight - Pd by Customer</v>
          </cell>
          <cell r="C1144" t="str">
            <v>Invoice</v>
          </cell>
          <cell r="D1144">
            <v>38553</v>
          </cell>
          <cell r="F1144" t="str">
            <v>7166</v>
          </cell>
          <cell r="G1144" t="str">
            <v>Nutraceutical/Fresh Organics</v>
          </cell>
          <cell r="H1144">
            <v>1</v>
          </cell>
        </row>
        <row r="1145">
          <cell r="B1145" t="str">
            <v>Freight - Pd by Customer</v>
          </cell>
          <cell r="C1145" t="str">
            <v>Invoice</v>
          </cell>
          <cell r="D1145">
            <v>38553</v>
          </cell>
          <cell r="F1145" t="str">
            <v>7159</v>
          </cell>
          <cell r="G1145" t="str">
            <v>Arkitectura Urbana</v>
          </cell>
          <cell r="H1145">
            <v>1</v>
          </cell>
        </row>
        <row r="1146">
          <cell r="B1146" t="str">
            <v>Freight - Pd by Customer</v>
          </cell>
          <cell r="C1146" t="str">
            <v>Invoice</v>
          </cell>
          <cell r="D1146">
            <v>38553</v>
          </cell>
          <cell r="F1146" t="str">
            <v>7169</v>
          </cell>
          <cell r="G1146" t="str">
            <v>Arlies</v>
          </cell>
          <cell r="H1146">
            <v>1</v>
          </cell>
        </row>
        <row r="1147">
          <cell r="B1147" t="str">
            <v>Freight - Pd by Customer</v>
          </cell>
          <cell r="C1147" t="str">
            <v>Invoice</v>
          </cell>
          <cell r="D1147">
            <v>38554</v>
          </cell>
          <cell r="F1147" t="str">
            <v>7144</v>
          </cell>
          <cell r="G1147" t="str">
            <v>ScentAir Australia Pty Ltd.</v>
          </cell>
          <cell r="H1147">
            <v>1</v>
          </cell>
        </row>
        <row r="1148">
          <cell r="B1148" t="str">
            <v>Freight - Pd by Customer</v>
          </cell>
          <cell r="C1148" t="str">
            <v>Invoice</v>
          </cell>
          <cell r="D1148">
            <v>38554</v>
          </cell>
          <cell r="F1148" t="str">
            <v>7176</v>
          </cell>
          <cell r="G1148" t="str">
            <v>American Solutions Inc.</v>
          </cell>
          <cell r="H1148">
            <v>1</v>
          </cell>
        </row>
        <row r="1149">
          <cell r="B1149" t="str">
            <v>Freight - Pd by Customer</v>
          </cell>
          <cell r="C1149" t="str">
            <v>Invoice</v>
          </cell>
          <cell r="D1149">
            <v>38554</v>
          </cell>
          <cell r="F1149" t="str">
            <v>7178</v>
          </cell>
          <cell r="G1149" t="str">
            <v>Ameristar Casinos, Inc.:Ameristar Casinos, Inc. St. Charles</v>
          </cell>
          <cell r="H1149">
            <v>1</v>
          </cell>
        </row>
        <row r="1150">
          <cell r="B1150" t="str">
            <v>Freight - Pd by Customer</v>
          </cell>
          <cell r="C1150" t="str">
            <v>Invoice</v>
          </cell>
          <cell r="D1150">
            <v>38554</v>
          </cell>
          <cell r="F1150" t="str">
            <v>7158</v>
          </cell>
          <cell r="G1150" t="str">
            <v>Kevan Moss Design:Kevan Moss Design</v>
          </cell>
          <cell r="H1150">
            <v>1</v>
          </cell>
        </row>
        <row r="1151">
          <cell r="B1151" t="str">
            <v>Freight - Pd by Customer</v>
          </cell>
          <cell r="C1151" t="str">
            <v>Invoice</v>
          </cell>
          <cell r="D1151">
            <v>38555</v>
          </cell>
          <cell r="F1151" t="str">
            <v>5550-I</v>
          </cell>
          <cell r="G1151" t="str">
            <v>NBC Experience Store</v>
          </cell>
          <cell r="H1151">
            <v>1</v>
          </cell>
        </row>
        <row r="1152">
          <cell r="B1152" t="str">
            <v>Freight - Pd by Customer</v>
          </cell>
          <cell r="C1152" t="str">
            <v>Invoice</v>
          </cell>
          <cell r="D1152">
            <v>38555</v>
          </cell>
          <cell r="F1152" t="str">
            <v>5535-I</v>
          </cell>
          <cell r="G1152" t="str">
            <v>Sony Style #66</v>
          </cell>
          <cell r="H1152">
            <v>1</v>
          </cell>
        </row>
        <row r="1153">
          <cell r="B1153" t="str">
            <v>Freight - Pd by Customer</v>
          </cell>
          <cell r="C1153" t="str">
            <v>Invoice</v>
          </cell>
          <cell r="D1153">
            <v>38557</v>
          </cell>
          <cell r="F1153" t="str">
            <v>6425</v>
          </cell>
          <cell r="G1153" t="str">
            <v>Saks Fifth Avenue-Santa Barbara</v>
          </cell>
          <cell r="H1153">
            <v>1</v>
          </cell>
        </row>
        <row r="1154">
          <cell r="B1154" t="str">
            <v>Freight - Pd by Customer</v>
          </cell>
          <cell r="C1154" t="str">
            <v>Invoice</v>
          </cell>
          <cell r="D1154">
            <v>38559</v>
          </cell>
          <cell r="F1154" t="str">
            <v>5564-I</v>
          </cell>
          <cell r="G1154" t="str">
            <v>Hot Stuff</v>
          </cell>
          <cell r="H1154">
            <v>1</v>
          </cell>
        </row>
        <row r="1155">
          <cell r="B1155" t="str">
            <v>Freight - Pd by Customer</v>
          </cell>
          <cell r="C1155" t="str">
            <v>Invoice</v>
          </cell>
          <cell r="D1155">
            <v>38560</v>
          </cell>
          <cell r="F1155" t="str">
            <v>7217</v>
          </cell>
          <cell r="G1155" t="str">
            <v>Muzak, IA:Business Music &amp; Communications, LLC</v>
          </cell>
          <cell r="H1155">
            <v>1</v>
          </cell>
        </row>
        <row r="1156">
          <cell r="B1156" t="str">
            <v>Freight - Pd by Customer</v>
          </cell>
          <cell r="C1156" t="str">
            <v>Invoice</v>
          </cell>
          <cell r="D1156">
            <v>38561</v>
          </cell>
          <cell r="F1156" t="str">
            <v>7197</v>
          </cell>
          <cell r="G1156" t="str">
            <v>Techno Satellite</v>
          </cell>
          <cell r="H1156">
            <v>1</v>
          </cell>
        </row>
        <row r="1157">
          <cell r="B1157" t="str">
            <v>Freight - Pd by Customer</v>
          </cell>
          <cell r="C1157" t="str">
            <v>Invoice</v>
          </cell>
          <cell r="D1157">
            <v>38561</v>
          </cell>
          <cell r="F1157" t="str">
            <v>7167</v>
          </cell>
          <cell r="G1157" t="str">
            <v>Anteon</v>
          </cell>
          <cell r="H1157">
            <v>1</v>
          </cell>
        </row>
        <row r="1158">
          <cell r="B1158" t="str">
            <v>Freight - Pd by Customer</v>
          </cell>
          <cell r="C1158" t="str">
            <v>Invoice</v>
          </cell>
          <cell r="D1158">
            <v>38561</v>
          </cell>
          <cell r="F1158" t="str">
            <v>7167</v>
          </cell>
          <cell r="G1158" t="str">
            <v>Anteon</v>
          </cell>
          <cell r="H1158">
            <v>1</v>
          </cell>
        </row>
        <row r="1159">
          <cell r="B1159" t="str">
            <v>Freight - Pd by Customer</v>
          </cell>
          <cell r="C1159" t="str">
            <v>Invoice</v>
          </cell>
          <cell r="D1159">
            <v>38561</v>
          </cell>
          <cell r="F1159" t="str">
            <v>7167</v>
          </cell>
          <cell r="G1159" t="str">
            <v>Anteon</v>
          </cell>
          <cell r="H1159">
            <v>1</v>
          </cell>
        </row>
        <row r="1160">
          <cell r="B1160" t="str">
            <v>Freight - Pd by Customer</v>
          </cell>
          <cell r="C1160" t="str">
            <v>Invoice</v>
          </cell>
          <cell r="D1160">
            <v>38561</v>
          </cell>
          <cell r="F1160" t="str">
            <v>7167</v>
          </cell>
          <cell r="G1160" t="str">
            <v>Anteon</v>
          </cell>
          <cell r="H1160">
            <v>1</v>
          </cell>
        </row>
        <row r="1161">
          <cell r="B1161" t="str">
            <v>Freight - Pd by Customer</v>
          </cell>
          <cell r="C1161" t="str">
            <v>Invoice</v>
          </cell>
          <cell r="D1161">
            <v>38561</v>
          </cell>
          <cell r="F1161" t="str">
            <v>7167</v>
          </cell>
          <cell r="G1161" t="str">
            <v>Anteon</v>
          </cell>
          <cell r="H1161">
            <v>1</v>
          </cell>
        </row>
        <row r="1162">
          <cell r="B1162" t="str">
            <v>Freight - Pd by Customer</v>
          </cell>
          <cell r="C1162" t="str">
            <v>Invoice</v>
          </cell>
          <cell r="D1162">
            <v>38561</v>
          </cell>
          <cell r="F1162" t="str">
            <v>7167</v>
          </cell>
          <cell r="G1162" t="str">
            <v>Anteon</v>
          </cell>
          <cell r="H1162">
            <v>1</v>
          </cell>
        </row>
        <row r="1163">
          <cell r="B1163" t="str">
            <v>Freight - Pd by Customer</v>
          </cell>
          <cell r="C1163" t="str">
            <v>Invoice</v>
          </cell>
          <cell r="D1163">
            <v>38561</v>
          </cell>
          <cell r="F1163" t="str">
            <v>7167</v>
          </cell>
          <cell r="G1163" t="str">
            <v>Anteon</v>
          </cell>
          <cell r="H1163">
            <v>1</v>
          </cell>
        </row>
        <row r="1164">
          <cell r="B1164" t="str">
            <v>Freight - Pd by Customer</v>
          </cell>
          <cell r="C1164" t="str">
            <v>Invoice</v>
          </cell>
          <cell r="D1164">
            <v>38561</v>
          </cell>
          <cell r="F1164" t="str">
            <v>7220</v>
          </cell>
          <cell r="G1164" t="str">
            <v>Muzak, LLC:Doctor's Urgent Care</v>
          </cell>
          <cell r="H1164">
            <v>1</v>
          </cell>
        </row>
        <row r="1165">
          <cell r="B1165" t="str">
            <v>Freight - Pd by Customer</v>
          </cell>
          <cell r="C1165" t="str">
            <v>Invoice</v>
          </cell>
          <cell r="D1165">
            <v>38562</v>
          </cell>
          <cell r="F1165" t="str">
            <v>6283</v>
          </cell>
          <cell r="G1165" t="str">
            <v>Techno Satellite</v>
          </cell>
          <cell r="H1165">
            <v>1</v>
          </cell>
        </row>
        <row r="1166">
          <cell r="B1166" t="str">
            <v>Freight - Pd by Customer</v>
          </cell>
          <cell r="C1166" t="str">
            <v>Invoice</v>
          </cell>
          <cell r="D1166">
            <v>38562</v>
          </cell>
          <cell r="F1166" t="str">
            <v>6292</v>
          </cell>
          <cell r="G1166" t="str">
            <v>Celebration Health</v>
          </cell>
          <cell r="H1166">
            <v>1</v>
          </cell>
        </row>
        <row r="1167">
          <cell r="B1167" t="str">
            <v>Freight - Pd by Customer</v>
          </cell>
          <cell r="C1167" t="str">
            <v>Invoice</v>
          </cell>
          <cell r="D1167">
            <v>38562</v>
          </cell>
          <cell r="F1167" t="str">
            <v>7052</v>
          </cell>
          <cell r="G1167" t="str">
            <v>Venetian Hotel</v>
          </cell>
          <cell r="H1167">
            <v>1</v>
          </cell>
        </row>
        <row r="1168">
          <cell r="B1168" t="str">
            <v>Freight - Pd by Customer</v>
          </cell>
          <cell r="C1168" t="str">
            <v>Invoice</v>
          </cell>
          <cell r="D1168">
            <v>38562</v>
          </cell>
          <cell r="F1168" t="str">
            <v>7208</v>
          </cell>
          <cell r="G1168" t="str">
            <v>AroMarketing:AroMarketing - Texas</v>
          </cell>
          <cell r="H1168">
            <v>1</v>
          </cell>
        </row>
        <row r="1169">
          <cell r="B1169" t="str">
            <v>Freight - Pd by Customer</v>
          </cell>
          <cell r="C1169" t="str">
            <v>Invoice</v>
          </cell>
          <cell r="D1169">
            <v>38565</v>
          </cell>
          <cell r="F1169" t="str">
            <v>7222</v>
          </cell>
          <cell r="G1169" t="str">
            <v>Scent Events, LLC</v>
          </cell>
          <cell r="H1169">
            <v>1</v>
          </cell>
        </row>
        <row r="1170">
          <cell r="B1170" t="str">
            <v>Freight - Pd by Customer</v>
          </cell>
          <cell r="C1170" t="str">
            <v>Invoice</v>
          </cell>
          <cell r="D1170">
            <v>38565</v>
          </cell>
          <cell r="F1170" t="str">
            <v>7240</v>
          </cell>
          <cell r="G1170" t="str">
            <v>Muzak, LLC:Just Fresh Bakery Cafe &amp; Mkt. - Durham</v>
          </cell>
          <cell r="H1170">
            <v>1</v>
          </cell>
        </row>
        <row r="1171">
          <cell r="B1171" t="str">
            <v>Freight - Pd by Customer</v>
          </cell>
          <cell r="C1171" t="str">
            <v>Invoice</v>
          </cell>
          <cell r="D1171">
            <v>38566</v>
          </cell>
          <cell r="F1171" t="str">
            <v>7266</v>
          </cell>
          <cell r="G1171" t="str">
            <v>Muzak, LLC</v>
          </cell>
          <cell r="H1171">
            <v>1</v>
          </cell>
        </row>
        <row r="1172">
          <cell r="B1172" t="str">
            <v>Freight - Pd by Customer</v>
          </cell>
          <cell r="C1172" t="str">
            <v>Invoice</v>
          </cell>
          <cell r="D1172">
            <v>38566</v>
          </cell>
          <cell r="F1172" t="str">
            <v>7231</v>
          </cell>
          <cell r="G1172" t="str">
            <v>Access Artisans Greenwhich Village</v>
          </cell>
          <cell r="H1172">
            <v>1</v>
          </cell>
        </row>
        <row r="1173">
          <cell r="B1173" t="str">
            <v>Freight - Pd by Customer</v>
          </cell>
          <cell r="C1173" t="str">
            <v>Invoice</v>
          </cell>
          <cell r="D1173">
            <v>38568</v>
          </cell>
          <cell r="F1173" t="str">
            <v>7044</v>
          </cell>
          <cell r="G1173" t="str">
            <v>Western Sizzlin Corporate:Great American Steak - Waldorf</v>
          </cell>
          <cell r="H1173">
            <v>1</v>
          </cell>
        </row>
        <row r="1174">
          <cell r="B1174" t="str">
            <v>Freight - Pd by Customer</v>
          </cell>
          <cell r="C1174" t="str">
            <v>Invoice</v>
          </cell>
          <cell r="D1174">
            <v>38568</v>
          </cell>
          <cell r="F1174" t="str">
            <v>7296</v>
          </cell>
          <cell r="G1174" t="str">
            <v>Muzak, LLC:Muzak (Demo)</v>
          </cell>
          <cell r="H1174">
            <v>1</v>
          </cell>
        </row>
        <row r="1175">
          <cell r="B1175" t="str">
            <v>Freight - Pd by Customer</v>
          </cell>
          <cell r="C1175" t="str">
            <v>Invoice</v>
          </cell>
          <cell r="D1175">
            <v>38568</v>
          </cell>
          <cell r="F1175" t="str">
            <v>7297</v>
          </cell>
          <cell r="G1175" t="str">
            <v>ScentAir Australia Pty Ltd.</v>
          </cell>
          <cell r="H1175">
            <v>1</v>
          </cell>
        </row>
        <row r="1176">
          <cell r="B1176" t="str">
            <v>Freight - Pd by Customer</v>
          </cell>
          <cell r="C1176" t="str">
            <v>Invoice</v>
          </cell>
          <cell r="D1176">
            <v>38569</v>
          </cell>
          <cell r="F1176" t="str">
            <v>7302</v>
          </cell>
          <cell r="G1176" t="str">
            <v>Imperial Palace Hotel and Casino</v>
          </cell>
          <cell r="H1176">
            <v>1</v>
          </cell>
        </row>
        <row r="1177">
          <cell r="B1177" t="str">
            <v>Freight - Pd by Customer</v>
          </cell>
          <cell r="C1177" t="str">
            <v>Invoice</v>
          </cell>
          <cell r="D1177">
            <v>38569</v>
          </cell>
          <cell r="F1177" t="str">
            <v>7321</v>
          </cell>
          <cell r="G1177" t="str">
            <v>ScentAir Australia Pty Ltd.</v>
          </cell>
          <cell r="H1177">
            <v>1</v>
          </cell>
        </row>
        <row r="1178">
          <cell r="B1178" t="str">
            <v>Freight - Pd by Customer</v>
          </cell>
          <cell r="C1178" t="str">
            <v>Invoice</v>
          </cell>
          <cell r="D1178">
            <v>38569</v>
          </cell>
          <cell r="F1178" t="str">
            <v>7221</v>
          </cell>
          <cell r="G1178" t="str">
            <v>Sony Style #xx (Kenwood Ctr)</v>
          </cell>
          <cell r="H1178">
            <v>1</v>
          </cell>
        </row>
        <row r="1179">
          <cell r="B1179" t="str">
            <v>Freight - Pd by Customer</v>
          </cell>
          <cell r="C1179" t="str">
            <v>Invoice</v>
          </cell>
          <cell r="D1179">
            <v>38572</v>
          </cell>
          <cell r="F1179" t="str">
            <v>7299</v>
          </cell>
          <cell r="G1179" t="str">
            <v>Wickes Furniture - Murrieta</v>
          </cell>
          <cell r="H1179">
            <v>1</v>
          </cell>
        </row>
        <row r="1180">
          <cell r="B1180" t="str">
            <v>Freight - Pd by Customer</v>
          </cell>
          <cell r="C1180" t="str">
            <v>Invoice</v>
          </cell>
          <cell r="D1180">
            <v>38572</v>
          </cell>
          <cell r="F1180" t="str">
            <v>7333</v>
          </cell>
          <cell r="G1180" t="str">
            <v>Diesel USA, Inc.</v>
          </cell>
          <cell r="H1180">
            <v>1</v>
          </cell>
        </row>
        <row r="1181">
          <cell r="B1181" t="str">
            <v>Freight - Pd by Customer</v>
          </cell>
          <cell r="C1181" t="str">
            <v>Invoice</v>
          </cell>
          <cell r="D1181">
            <v>38572</v>
          </cell>
          <cell r="F1181" t="str">
            <v>7313</v>
          </cell>
          <cell r="G1181" t="str">
            <v>Canadian Niagara Hotels:The Hershey Store</v>
          </cell>
          <cell r="H1181">
            <v>1</v>
          </cell>
        </row>
        <row r="1182">
          <cell r="B1182" t="str">
            <v>Freight - Pd by Customer</v>
          </cell>
          <cell r="C1182" t="str">
            <v>Invoice</v>
          </cell>
          <cell r="D1182">
            <v>38573</v>
          </cell>
          <cell r="F1182" t="str">
            <v>7343</v>
          </cell>
          <cell r="G1182" t="str">
            <v>Design Craftsmen, Inc.</v>
          </cell>
          <cell r="H1182">
            <v>1</v>
          </cell>
        </row>
        <row r="1183">
          <cell r="B1183" t="str">
            <v>Freight - Pd by Customer</v>
          </cell>
          <cell r="C1183" t="str">
            <v>Invoice</v>
          </cell>
          <cell r="D1183">
            <v>38574</v>
          </cell>
          <cell r="F1183" t="str">
            <v>7200</v>
          </cell>
          <cell r="G1183" t="str">
            <v>Sony Style # XX San Antonio</v>
          </cell>
          <cell r="H1183">
            <v>1</v>
          </cell>
        </row>
        <row r="1184">
          <cell r="B1184" t="str">
            <v>Freight - Pd by Customer</v>
          </cell>
          <cell r="C1184" t="str">
            <v>Invoice</v>
          </cell>
          <cell r="D1184">
            <v>38574</v>
          </cell>
          <cell r="F1184" t="str">
            <v>7389</v>
          </cell>
          <cell r="G1184" t="str">
            <v>Muzak, LLC</v>
          </cell>
          <cell r="H1184">
            <v>1</v>
          </cell>
        </row>
        <row r="1185">
          <cell r="B1185" t="str">
            <v>Freight - Pd by Customer</v>
          </cell>
          <cell r="C1185" t="str">
            <v>Invoice</v>
          </cell>
          <cell r="D1185">
            <v>38574</v>
          </cell>
          <cell r="F1185" t="str">
            <v>7392</v>
          </cell>
          <cell r="G1185" t="str">
            <v>Muzak, LLC:Muzak (Demo)</v>
          </cell>
          <cell r="H1185">
            <v>1</v>
          </cell>
        </row>
        <row r="1186">
          <cell r="B1186" t="str">
            <v>Freight - Pd by Customer</v>
          </cell>
          <cell r="C1186" t="str">
            <v>Invoice</v>
          </cell>
          <cell r="D1186">
            <v>38574</v>
          </cell>
          <cell r="F1186" t="str">
            <v>7391</v>
          </cell>
          <cell r="G1186" t="str">
            <v>Muzak, LLC:Muzak (Demo)</v>
          </cell>
          <cell r="H1186">
            <v>1</v>
          </cell>
        </row>
        <row r="1187">
          <cell r="B1187" t="str">
            <v>Freight - Pd by Customer</v>
          </cell>
          <cell r="C1187" t="str">
            <v>Invoice</v>
          </cell>
          <cell r="D1187">
            <v>38574</v>
          </cell>
          <cell r="F1187" t="str">
            <v>7298</v>
          </cell>
          <cell r="G1187" t="str">
            <v>Muzak, LLC:Muzak (Demo)</v>
          </cell>
          <cell r="H1187">
            <v>1</v>
          </cell>
        </row>
        <row r="1188">
          <cell r="B1188" t="str">
            <v>Freight - Pd by Customer</v>
          </cell>
          <cell r="C1188" t="str">
            <v>Invoice</v>
          </cell>
          <cell r="D1188">
            <v>38574</v>
          </cell>
          <cell r="F1188" t="str">
            <v>7390</v>
          </cell>
          <cell r="G1188" t="str">
            <v>Muzak, LLC:Muzak (Demo)</v>
          </cell>
          <cell r="H1188">
            <v>1</v>
          </cell>
        </row>
        <row r="1189">
          <cell r="B1189" t="str">
            <v>Freight - Pd by Customer</v>
          </cell>
          <cell r="C1189" t="str">
            <v>Invoice</v>
          </cell>
          <cell r="D1189">
            <v>38574</v>
          </cell>
          <cell r="F1189" t="str">
            <v>7312</v>
          </cell>
          <cell r="G1189" t="str">
            <v>Muzak, LLC:Muzak (Demo)</v>
          </cell>
          <cell r="H1189">
            <v>1</v>
          </cell>
        </row>
        <row r="1190">
          <cell r="B1190" t="str">
            <v>Freight - Pd by Customer</v>
          </cell>
          <cell r="C1190" t="str">
            <v>Invoice</v>
          </cell>
          <cell r="D1190">
            <v>38575</v>
          </cell>
          <cell r="F1190" t="str">
            <v>7394</v>
          </cell>
          <cell r="G1190" t="str">
            <v>ScentAir Australia Pty Ltd.</v>
          </cell>
          <cell r="H1190">
            <v>1</v>
          </cell>
        </row>
        <row r="1191">
          <cell r="B1191" t="str">
            <v>Freight - Pd by Customer</v>
          </cell>
          <cell r="C1191" t="str">
            <v>Invoice</v>
          </cell>
          <cell r="D1191">
            <v>38575</v>
          </cell>
          <cell r="F1191" t="str">
            <v>7344</v>
          </cell>
          <cell r="G1191" t="str">
            <v>Colorado Prime Foods</v>
          </cell>
          <cell r="H1191">
            <v>1</v>
          </cell>
        </row>
        <row r="1192">
          <cell r="B1192" t="str">
            <v>Freight - Pd by Customer</v>
          </cell>
          <cell r="C1192" t="str">
            <v>Invoice</v>
          </cell>
          <cell r="D1192">
            <v>38575</v>
          </cell>
          <cell r="F1192" t="str">
            <v>7437</v>
          </cell>
          <cell r="G1192" t="str">
            <v>Muzak, LLC:Giant Eagle #229</v>
          </cell>
          <cell r="H1192">
            <v>1</v>
          </cell>
        </row>
        <row r="1193">
          <cell r="B1193" t="str">
            <v>Freight - Pd by Customer</v>
          </cell>
          <cell r="C1193" t="str">
            <v>Invoice</v>
          </cell>
          <cell r="D1193">
            <v>38575</v>
          </cell>
          <cell r="F1193" t="str">
            <v>7445</v>
          </cell>
          <cell r="G1193" t="str">
            <v>Muzak, LLC:Muzak (Demo)</v>
          </cell>
          <cell r="H1193">
            <v>1</v>
          </cell>
        </row>
        <row r="1194">
          <cell r="B1194" t="str">
            <v>Freight - Pd by Customer</v>
          </cell>
          <cell r="C1194" t="str">
            <v>Invoice</v>
          </cell>
          <cell r="D1194">
            <v>38575</v>
          </cell>
          <cell r="F1194" t="str">
            <v>7444</v>
          </cell>
          <cell r="G1194" t="str">
            <v>Muzak, LLC:Muzak (Demo)</v>
          </cell>
          <cell r="H1194">
            <v>1</v>
          </cell>
        </row>
        <row r="1195">
          <cell r="B1195" t="str">
            <v>Freight - Pd by Customer</v>
          </cell>
          <cell r="C1195" t="str">
            <v>Invoice</v>
          </cell>
          <cell r="D1195">
            <v>38575</v>
          </cell>
          <cell r="F1195" t="str">
            <v>7439</v>
          </cell>
          <cell r="G1195" t="str">
            <v>Muzak, LLC:Muzak (Demo)</v>
          </cell>
          <cell r="H1195">
            <v>1</v>
          </cell>
        </row>
        <row r="1196">
          <cell r="B1196" t="str">
            <v>Freight - Pd by Customer</v>
          </cell>
          <cell r="C1196" t="str">
            <v>Invoice</v>
          </cell>
          <cell r="D1196">
            <v>38575</v>
          </cell>
          <cell r="F1196" t="str">
            <v>7441</v>
          </cell>
          <cell r="G1196" t="str">
            <v>Muzak, LLC:Muzak (Demo)</v>
          </cell>
          <cell r="H1196">
            <v>1</v>
          </cell>
        </row>
        <row r="1197">
          <cell r="B1197" t="str">
            <v>Freight - Pd by Customer</v>
          </cell>
          <cell r="C1197" t="str">
            <v>Invoice</v>
          </cell>
          <cell r="D1197">
            <v>38575</v>
          </cell>
          <cell r="F1197" t="str">
            <v>7442</v>
          </cell>
          <cell r="G1197" t="str">
            <v>Muzak, LLC:Muzak (Demo)</v>
          </cell>
          <cell r="H1197">
            <v>1</v>
          </cell>
        </row>
        <row r="1198">
          <cell r="B1198" t="str">
            <v>Freight - Pd by Customer</v>
          </cell>
          <cell r="C1198" t="str">
            <v>Invoice</v>
          </cell>
          <cell r="D1198">
            <v>38576</v>
          </cell>
          <cell r="F1198" t="str">
            <v>7438</v>
          </cell>
          <cell r="G1198" t="str">
            <v>StudioProgetti</v>
          </cell>
          <cell r="H1198">
            <v>1</v>
          </cell>
        </row>
        <row r="1199">
          <cell r="B1199" t="str">
            <v>Freight - Pd by Customer</v>
          </cell>
          <cell r="C1199" t="str">
            <v>Invoice</v>
          </cell>
          <cell r="D1199">
            <v>38576</v>
          </cell>
          <cell r="F1199" t="str">
            <v>7471</v>
          </cell>
          <cell r="G1199" t="str">
            <v>Muzak, LLC:Muzak (Demo)</v>
          </cell>
          <cell r="H1199">
            <v>1</v>
          </cell>
        </row>
        <row r="1200">
          <cell r="B1200" t="str">
            <v>Freight - Pd by Customer</v>
          </cell>
          <cell r="C1200" t="str">
            <v>Invoice</v>
          </cell>
          <cell r="D1200">
            <v>38576</v>
          </cell>
          <cell r="F1200" t="str">
            <v>7474</v>
          </cell>
          <cell r="G1200" t="str">
            <v>Muzak, LLC:Muzak (Demo)</v>
          </cell>
          <cell r="H1200">
            <v>1</v>
          </cell>
        </row>
        <row r="1201">
          <cell r="B1201" t="str">
            <v>Freight - Pd by Customer</v>
          </cell>
          <cell r="C1201" t="str">
            <v>Invoice</v>
          </cell>
          <cell r="D1201">
            <v>38576</v>
          </cell>
          <cell r="F1201" t="str">
            <v>7477</v>
          </cell>
          <cell r="G1201" t="str">
            <v>Muzak, LLC:Muzak (Demo)</v>
          </cell>
          <cell r="H1201">
            <v>1</v>
          </cell>
        </row>
        <row r="1202">
          <cell r="B1202" t="str">
            <v>Freight - Pd by Customer</v>
          </cell>
          <cell r="C1202" t="str">
            <v>Invoice</v>
          </cell>
          <cell r="D1202">
            <v>38576</v>
          </cell>
          <cell r="F1202" t="str">
            <v>7447</v>
          </cell>
          <cell r="G1202" t="str">
            <v>Muzak, LLC:Muzak (Demo)</v>
          </cell>
          <cell r="H1202">
            <v>1</v>
          </cell>
        </row>
        <row r="1203">
          <cell r="B1203" t="str">
            <v>Freight - Pd by Customer</v>
          </cell>
          <cell r="C1203" t="str">
            <v>Invoice</v>
          </cell>
          <cell r="D1203">
            <v>38576</v>
          </cell>
          <cell r="F1203" t="str">
            <v>7446</v>
          </cell>
          <cell r="G1203" t="str">
            <v>Muzak, LLC:Muzak (Demo)</v>
          </cell>
          <cell r="H1203">
            <v>1</v>
          </cell>
        </row>
        <row r="1204">
          <cell r="B1204" t="str">
            <v>Freight - Pd by Customer</v>
          </cell>
          <cell r="C1204" t="str">
            <v>Invoice</v>
          </cell>
          <cell r="D1204">
            <v>38576</v>
          </cell>
          <cell r="F1204" t="str">
            <v>7476</v>
          </cell>
          <cell r="G1204" t="str">
            <v>Muzak, LLC:Muzak (Demo)</v>
          </cell>
          <cell r="H1204">
            <v>1</v>
          </cell>
        </row>
        <row r="1205">
          <cell r="B1205" t="str">
            <v>Freight - Pd by Customer</v>
          </cell>
          <cell r="C1205" t="str">
            <v>Invoice</v>
          </cell>
          <cell r="D1205">
            <v>38576</v>
          </cell>
          <cell r="F1205" t="str">
            <v>7443</v>
          </cell>
          <cell r="G1205" t="str">
            <v>Muzak, LLC:Amergy Bank of Texas</v>
          </cell>
          <cell r="H1205">
            <v>1</v>
          </cell>
        </row>
        <row r="1206">
          <cell r="B1206" t="str">
            <v>Freight - Pd by Customer</v>
          </cell>
          <cell r="C1206" t="str">
            <v>Invoice</v>
          </cell>
          <cell r="D1206">
            <v>38576</v>
          </cell>
          <cell r="F1206" t="str">
            <v>7478</v>
          </cell>
          <cell r="G1206" t="str">
            <v>Muzak, LLC:Muzak (Demo)</v>
          </cell>
          <cell r="H1206">
            <v>1</v>
          </cell>
        </row>
        <row r="1207">
          <cell r="B1207" t="str">
            <v>Freight - Pd by Customer</v>
          </cell>
          <cell r="C1207" t="str">
            <v>Invoice</v>
          </cell>
          <cell r="D1207">
            <v>38576</v>
          </cell>
          <cell r="F1207" t="str">
            <v>7475</v>
          </cell>
          <cell r="G1207" t="str">
            <v>Muzak, LLC:Muzak (Demo)</v>
          </cell>
          <cell r="H1207">
            <v>1</v>
          </cell>
        </row>
        <row r="1208">
          <cell r="B1208" t="str">
            <v>Freight - Pd by Customer</v>
          </cell>
          <cell r="C1208" t="str">
            <v>Invoice</v>
          </cell>
          <cell r="D1208">
            <v>38579</v>
          </cell>
          <cell r="F1208" t="str">
            <v>7473</v>
          </cell>
          <cell r="G1208" t="str">
            <v>Promotool</v>
          </cell>
          <cell r="H1208">
            <v>1</v>
          </cell>
        </row>
        <row r="1209">
          <cell r="B1209" t="str">
            <v>Freight - Pd by Customer</v>
          </cell>
          <cell r="C1209" t="str">
            <v>Invoice</v>
          </cell>
          <cell r="D1209">
            <v>38579</v>
          </cell>
          <cell r="F1209" t="str">
            <v>7180</v>
          </cell>
          <cell r="G1209" t="str">
            <v>Harley Davidson of Cool Springs</v>
          </cell>
          <cell r="H1209">
            <v>1</v>
          </cell>
        </row>
        <row r="1210">
          <cell r="B1210" t="str">
            <v>Freight - Pd by Customer</v>
          </cell>
          <cell r="C1210" t="str">
            <v>Invoice</v>
          </cell>
          <cell r="D1210">
            <v>38580</v>
          </cell>
          <cell r="F1210" t="str">
            <v>7492</v>
          </cell>
          <cell r="G1210" t="str">
            <v>Muzak, LLC:Muzak (Demo)</v>
          </cell>
          <cell r="H1210">
            <v>1</v>
          </cell>
        </row>
        <row r="1211">
          <cell r="B1211" t="str">
            <v>Freight - Pd by Customer</v>
          </cell>
          <cell r="C1211" t="str">
            <v>Invoice</v>
          </cell>
          <cell r="D1211">
            <v>38580</v>
          </cell>
          <cell r="F1211" t="str">
            <v>7491</v>
          </cell>
          <cell r="G1211" t="str">
            <v>Muzak, LLC:Muzak (Demo)</v>
          </cell>
          <cell r="H1211">
            <v>1</v>
          </cell>
        </row>
        <row r="1212">
          <cell r="B1212" t="str">
            <v>Freight - Pd by Customer</v>
          </cell>
          <cell r="C1212" t="str">
            <v>Invoice</v>
          </cell>
          <cell r="D1212">
            <v>38580</v>
          </cell>
          <cell r="F1212" t="str">
            <v>7388</v>
          </cell>
          <cell r="G1212" t="str">
            <v>Starwood Hotels Corporate Office</v>
          </cell>
          <cell r="H1212">
            <v>1</v>
          </cell>
        </row>
        <row r="1213">
          <cell r="B1213" t="str">
            <v>Freight - Pd by Customer</v>
          </cell>
          <cell r="C1213" t="str">
            <v>Invoice</v>
          </cell>
          <cell r="D1213">
            <v>38580</v>
          </cell>
          <cell r="F1213" t="str">
            <v>7490</v>
          </cell>
          <cell r="G1213" t="str">
            <v>Muzak, LLC:McDonald's - Lakewood</v>
          </cell>
          <cell r="H1213">
            <v>1</v>
          </cell>
        </row>
        <row r="1214">
          <cell r="B1214" t="str">
            <v>Freight - Pd by Customer</v>
          </cell>
          <cell r="C1214" t="str">
            <v>Invoice</v>
          </cell>
          <cell r="D1214">
            <v>38580</v>
          </cell>
          <cell r="F1214" t="str">
            <v>7493</v>
          </cell>
          <cell r="G1214" t="str">
            <v>Muzak, LLC:Muzak (Demo)</v>
          </cell>
          <cell r="H1214">
            <v>1</v>
          </cell>
        </row>
        <row r="1215">
          <cell r="B1215" t="str">
            <v>Freight - Pd by Customer</v>
          </cell>
          <cell r="C1215" t="str">
            <v>Invoice</v>
          </cell>
          <cell r="D1215">
            <v>38580</v>
          </cell>
          <cell r="F1215" t="str">
            <v>7483</v>
          </cell>
          <cell r="G1215" t="str">
            <v>Scent Events, LLC</v>
          </cell>
          <cell r="H1215">
            <v>1</v>
          </cell>
        </row>
        <row r="1216">
          <cell r="B1216" t="str">
            <v>Freight - Pd by Customer</v>
          </cell>
          <cell r="C1216" t="str">
            <v>Invoice</v>
          </cell>
          <cell r="D1216">
            <v>38581</v>
          </cell>
          <cell r="F1216" t="str">
            <v>7506</v>
          </cell>
          <cell r="G1216" t="str">
            <v>Muzak, LLC:Radisson - Atlanta</v>
          </cell>
          <cell r="H1216">
            <v>1</v>
          </cell>
        </row>
        <row r="1217">
          <cell r="B1217" t="str">
            <v>Freight - Pd by Customer</v>
          </cell>
          <cell r="C1217" t="str">
            <v>Invoice</v>
          </cell>
          <cell r="D1217">
            <v>38581</v>
          </cell>
          <cell r="F1217" t="str">
            <v>7507</v>
          </cell>
          <cell r="G1217" t="str">
            <v>Car's The Star</v>
          </cell>
          <cell r="H1217">
            <v>1</v>
          </cell>
        </row>
        <row r="1218">
          <cell r="B1218" t="str">
            <v>Freight - Pd by Customer</v>
          </cell>
          <cell r="C1218" t="str">
            <v>Invoice</v>
          </cell>
          <cell r="D1218">
            <v>38581</v>
          </cell>
          <cell r="F1218" t="str">
            <v>7487</v>
          </cell>
          <cell r="G1218" t="str">
            <v>Muzak, LLC:Royal Sonesta Hotel</v>
          </cell>
          <cell r="H1218">
            <v>1</v>
          </cell>
        </row>
        <row r="1219">
          <cell r="B1219" t="str">
            <v>Freight - Pd by Customer</v>
          </cell>
          <cell r="C1219" t="str">
            <v>Invoice</v>
          </cell>
          <cell r="D1219">
            <v>38581</v>
          </cell>
          <cell r="F1219" t="str">
            <v>7509</v>
          </cell>
          <cell r="G1219" t="str">
            <v>Muzak, LLC</v>
          </cell>
          <cell r="H1219">
            <v>1</v>
          </cell>
        </row>
        <row r="1220">
          <cell r="B1220" t="str">
            <v>Freight - Pd by Customer</v>
          </cell>
          <cell r="C1220" t="str">
            <v>Invoice</v>
          </cell>
          <cell r="D1220">
            <v>38582</v>
          </cell>
          <cell r="F1220" t="str">
            <v>7514</v>
          </cell>
          <cell r="G1220" t="str">
            <v>Techno Satellite</v>
          </cell>
          <cell r="H1220">
            <v>1</v>
          </cell>
        </row>
        <row r="1221">
          <cell r="B1221" t="str">
            <v>Freight - Pd by Customer</v>
          </cell>
          <cell r="C1221" t="str">
            <v>Invoice</v>
          </cell>
          <cell r="D1221">
            <v>38582</v>
          </cell>
          <cell r="F1221" t="str">
            <v>7513</v>
          </cell>
          <cell r="G1221" t="str">
            <v>Promotool</v>
          </cell>
          <cell r="H1221">
            <v>1</v>
          </cell>
        </row>
        <row r="1222">
          <cell r="B1222" t="str">
            <v>Freight - Pd by Customer</v>
          </cell>
          <cell r="C1222" t="str">
            <v>Invoice</v>
          </cell>
          <cell r="D1222">
            <v>38582</v>
          </cell>
          <cell r="F1222" t="str">
            <v>7510</v>
          </cell>
          <cell r="G1222" t="str">
            <v>Commercial Design Group</v>
          </cell>
          <cell r="H1222">
            <v>1</v>
          </cell>
        </row>
        <row r="1223">
          <cell r="B1223" t="str">
            <v>Freight - Pd by Customer</v>
          </cell>
          <cell r="C1223" t="str">
            <v>Invoice</v>
          </cell>
          <cell r="D1223">
            <v>38582</v>
          </cell>
          <cell r="F1223" t="str">
            <v>5598</v>
          </cell>
          <cell r="G1223" t="str">
            <v>Sioux Land Heritage Museum</v>
          </cell>
          <cell r="H1223">
            <v>1</v>
          </cell>
        </row>
        <row r="1224">
          <cell r="B1224" t="str">
            <v>Freight - Pd by Customer</v>
          </cell>
          <cell r="C1224" t="str">
            <v>Invoice</v>
          </cell>
          <cell r="D1224">
            <v>38583</v>
          </cell>
          <cell r="F1224" t="str">
            <v>7515</v>
          </cell>
          <cell r="G1224" t="str">
            <v>American Security Bank</v>
          </cell>
          <cell r="H1224">
            <v>1</v>
          </cell>
        </row>
        <row r="1225">
          <cell r="B1225" t="str">
            <v>Freight - Pd by Customer</v>
          </cell>
          <cell r="C1225" t="str">
            <v>Invoice</v>
          </cell>
          <cell r="D1225">
            <v>38583</v>
          </cell>
          <cell r="F1225" t="str">
            <v>7637</v>
          </cell>
          <cell r="G1225" t="str">
            <v>Muzak, LLC:Sell's Mobil</v>
          </cell>
          <cell r="H1225">
            <v>1</v>
          </cell>
        </row>
        <row r="1226">
          <cell r="B1226" t="str">
            <v>Freight - Pd by Customer</v>
          </cell>
          <cell r="C1226" t="str">
            <v>Invoice</v>
          </cell>
          <cell r="D1226">
            <v>38586</v>
          </cell>
          <cell r="F1226" t="str">
            <v>7648</v>
          </cell>
          <cell r="G1226" t="str">
            <v>Muzak, LLC:Muzak (Demo)</v>
          </cell>
          <cell r="H1226">
            <v>1</v>
          </cell>
        </row>
        <row r="1227">
          <cell r="B1227" t="str">
            <v>Freight - Pd by Customer</v>
          </cell>
          <cell r="C1227" t="str">
            <v>Invoice</v>
          </cell>
          <cell r="D1227">
            <v>38586</v>
          </cell>
          <cell r="F1227" t="str">
            <v>7647</v>
          </cell>
          <cell r="G1227" t="str">
            <v>Muzak, LLC:Freshens - Cambridge</v>
          </cell>
          <cell r="H1227">
            <v>1</v>
          </cell>
        </row>
        <row r="1228">
          <cell r="B1228" t="str">
            <v>Freight - Pd by Customer</v>
          </cell>
          <cell r="C1228" t="str">
            <v>Invoice</v>
          </cell>
          <cell r="D1228">
            <v>38586</v>
          </cell>
          <cell r="F1228" t="str">
            <v>7649</v>
          </cell>
          <cell r="G1228" t="str">
            <v>Muzak, LLC:Freshens - Hyannis</v>
          </cell>
          <cell r="H1228">
            <v>1</v>
          </cell>
        </row>
        <row r="1229">
          <cell r="B1229" t="str">
            <v>Freight - Pd by Customer</v>
          </cell>
          <cell r="C1229" t="str">
            <v>Invoice</v>
          </cell>
          <cell r="D1229">
            <v>38586</v>
          </cell>
          <cell r="F1229" t="str">
            <v>7646</v>
          </cell>
          <cell r="G1229" t="str">
            <v>Disney Worldwide:Goofy's Candy Company</v>
          </cell>
          <cell r="H1229">
            <v>1</v>
          </cell>
        </row>
        <row r="1230">
          <cell r="B1230" t="str">
            <v>Freight - Pd by Customer</v>
          </cell>
          <cell r="C1230" t="str">
            <v>Invoice</v>
          </cell>
          <cell r="D1230">
            <v>38586</v>
          </cell>
          <cell r="F1230" t="str">
            <v>7638</v>
          </cell>
          <cell r="G1230" t="str">
            <v>Muzak, LLC</v>
          </cell>
          <cell r="H1230">
            <v>1</v>
          </cell>
        </row>
        <row r="1231">
          <cell r="B1231" t="str">
            <v>Freight - Pd by Customer</v>
          </cell>
          <cell r="C1231" t="str">
            <v>Invoice</v>
          </cell>
          <cell r="D1231">
            <v>38586</v>
          </cell>
          <cell r="F1231" t="str">
            <v>7640</v>
          </cell>
          <cell r="G1231" t="str">
            <v>jaGG Classic Wholesale Inc.</v>
          </cell>
          <cell r="H1231">
            <v>1</v>
          </cell>
        </row>
        <row r="1232">
          <cell r="B1232" t="str">
            <v>Freight - Pd by Customer</v>
          </cell>
          <cell r="C1232" t="str">
            <v>Invoice</v>
          </cell>
          <cell r="D1232">
            <v>38586</v>
          </cell>
          <cell r="F1232" t="str">
            <v>7659</v>
          </cell>
          <cell r="G1232" t="str">
            <v>Starwood Hotels Corporate Office</v>
          </cell>
          <cell r="H1232">
            <v>1</v>
          </cell>
        </row>
        <row r="1233">
          <cell r="B1233" t="str">
            <v>Freight - Pd by Customer</v>
          </cell>
          <cell r="C1233" t="str">
            <v>Invoice</v>
          </cell>
          <cell r="D1233">
            <v>38587</v>
          </cell>
          <cell r="F1233" t="str">
            <v>7670</v>
          </cell>
          <cell r="G1233" t="str">
            <v>Muzak, LLC:Bluebird Tavern</v>
          </cell>
          <cell r="H1233">
            <v>1</v>
          </cell>
        </row>
        <row r="1234">
          <cell r="B1234" t="str">
            <v>Freight - Pd by Customer</v>
          </cell>
          <cell r="C1234" t="str">
            <v>Invoice</v>
          </cell>
          <cell r="D1234">
            <v>38587</v>
          </cell>
          <cell r="F1234" t="str">
            <v>7672</v>
          </cell>
          <cell r="G1234" t="str">
            <v>Muzak, LLC:Lee Nails &amp; Day Spa - 031611</v>
          </cell>
          <cell r="H1234">
            <v>1</v>
          </cell>
        </row>
        <row r="1235">
          <cell r="B1235" t="str">
            <v>Freight - Pd by Customer</v>
          </cell>
          <cell r="C1235" t="str">
            <v>Invoice</v>
          </cell>
          <cell r="D1235">
            <v>38587</v>
          </cell>
          <cell r="F1235" t="str">
            <v>7673</v>
          </cell>
          <cell r="G1235" t="str">
            <v>Muzak, LLC:Lee Nails &amp; Day Spa - 039000</v>
          </cell>
          <cell r="H1235">
            <v>1</v>
          </cell>
        </row>
        <row r="1236">
          <cell r="B1236" t="str">
            <v>Freight - Pd by Customer</v>
          </cell>
          <cell r="C1236" t="str">
            <v>Invoice</v>
          </cell>
          <cell r="D1236">
            <v>38587</v>
          </cell>
          <cell r="F1236" t="str">
            <v>7668</v>
          </cell>
          <cell r="G1236" t="str">
            <v>Muzak, LLC:Muzak (Demo)</v>
          </cell>
          <cell r="H1236">
            <v>1</v>
          </cell>
        </row>
        <row r="1237">
          <cell r="B1237" t="str">
            <v>Freight - Pd by Customer</v>
          </cell>
          <cell r="C1237" t="str">
            <v>Invoice</v>
          </cell>
          <cell r="D1237">
            <v>38587</v>
          </cell>
          <cell r="F1237" t="str">
            <v>7669</v>
          </cell>
          <cell r="G1237" t="str">
            <v>Muzak, LLC:Muzak (Demo)</v>
          </cell>
          <cell r="H1237">
            <v>1</v>
          </cell>
        </row>
        <row r="1238">
          <cell r="B1238" t="str">
            <v>Freight - Pd by Customer</v>
          </cell>
          <cell r="C1238" t="str">
            <v>Invoice</v>
          </cell>
          <cell r="D1238">
            <v>38587</v>
          </cell>
          <cell r="F1238" t="str">
            <v>7667</v>
          </cell>
          <cell r="G1238" t="str">
            <v>Muzak, LLC:Muzak (Demo)</v>
          </cell>
          <cell r="H1238">
            <v>1</v>
          </cell>
        </row>
        <row r="1239">
          <cell r="B1239" t="str">
            <v>Freight - Pd by Customer</v>
          </cell>
          <cell r="C1239" t="str">
            <v>Invoice</v>
          </cell>
          <cell r="D1239">
            <v>38588</v>
          </cell>
          <cell r="F1239" t="str">
            <v>7671</v>
          </cell>
          <cell r="G1239" t="str">
            <v>ScentAir Australia Pty Ltd.</v>
          </cell>
          <cell r="H1239">
            <v>1</v>
          </cell>
        </row>
        <row r="1240">
          <cell r="B1240" t="str">
            <v>Freight - Pd by Customer</v>
          </cell>
          <cell r="C1240" t="str">
            <v>Invoice</v>
          </cell>
          <cell r="D1240">
            <v>38588</v>
          </cell>
          <cell r="F1240" t="str">
            <v>7678</v>
          </cell>
          <cell r="G1240" t="str">
            <v>Muzak, LLC:Muzak (Demo)</v>
          </cell>
          <cell r="H1240">
            <v>1</v>
          </cell>
        </row>
        <row r="1241">
          <cell r="B1241" t="str">
            <v>Freight - Pd by Customer</v>
          </cell>
          <cell r="C1241" t="str">
            <v>Invoice</v>
          </cell>
          <cell r="D1241">
            <v>38588</v>
          </cell>
          <cell r="F1241" t="str">
            <v>7679</v>
          </cell>
          <cell r="G1241" t="str">
            <v>Muzak, LLC:Axel Bloom LLC</v>
          </cell>
          <cell r="H1241">
            <v>1</v>
          </cell>
        </row>
        <row r="1242">
          <cell r="B1242" t="str">
            <v>Freight - Pd by Customer</v>
          </cell>
          <cell r="C1242" t="str">
            <v>Invoice</v>
          </cell>
          <cell r="D1242">
            <v>38589</v>
          </cell>
          <cell r="F1242" t="str">
            <v>7694</v>
          </cell>
          <cell r="G1242" t="str">
            <v>Aritza</v>
          </cell>
          <cell r="H1242">
            <v>1</v>
          </cell>
        </row>
        <row r="1243">
          <cell r="B1243" t="str">
            <v>Freight - Pd by Customer</v>
          </cell>
          <cell r="C1243" t="str">
            <v>Invoice</v>
          </cell>
          <cell r="D1243">
            <v>38589</v>
          </cell>
          <cell r="F1243" t="str">
            <v>7695</v>
          </cell>
          <cell r="G1243" t="str">
            <v>American Solutions Inc.</v>
          </cell>
          <cell r="H1243">
            <v>1</v>
          </cell>
        </row>
        <row r="1244">
          <cell r="B1244" t="str">
            <v>Freight - Pd by Customer</v>
          </cell>
          <cell r="C1244" t="str">
            <v>Invoice</v>
          </cell>
          <cell r="D1244">
            <v>38589</v>
          </cell>
          <cell r="F1244" t="str">
            <v>7692</v>
          </cell>
          <cell r="G1244" t="str">
            <v>Muzak, LLC:Turquoise Day Spa</v>
          </cell>
          <cell r="H1244">
            <v>1</v>
          </cell>
        </row>
        <row r="1245">
          <cell r="B1245" t="str">
            <v>Freight - Pd by Customer</v>
          </cell>
          <cell r="C1245" t="str">
            <v>Invoice</v>
          </cell>
          <cell r="D1245">
            <v>38589</v>
          </cell>
          <cell r="F1245" t="str">
            <v>7696</v>
          </cell>
          <cell r="G1245" t="str">
            <v>Muzak, LLC:Muzak (Demo)</v>
          </cell>
          <cell r="H1245">
            <v>1</v>
          </cell>
        </row>
        <row r="1246">
          <cell r="B1246" t="str">
            <v>Freight - Pd by Customer</v>
          </cell>
          <cell r="C1246" t="str">
            <v>Invoice</v>
          </cell>
          <cell r="D1246">
            <v>38589</v>
          </cell>
          <cell r="F1246" t="str">
            <v>7697</v>
          </cell>
          <cell r="G1246" t="str">
            <v>Travel Centers Of America</v>
          </cell>
          <cell r="H1246">
            <v>1</v>
          </cell>
        </row>
        <row r="1247">
          <cell r="B1247" t="str">
            <v>Freight - Pd by Customer</v>
          </cell>
          <cell r="C1247" t="str">
            <v>Invoice</v>
          </cell>
          <cell r="D1247">
            <v>38590</v>
          </cell>
          <cell r="F1247" t="str">
            <v>7708</v>
          </cell>
          <cell r="G1247" t="str">
            <v>Techno Satellite</v>
          </cell>
          <cell r="H1247">
            <v>1</v>
          </cell>
        </row>
        <row r="1248">
          <cell r="B1248" t="str">
            <v>Freight - Pd by Customer</v>
          </cell>
          <cell r="C1248" t="str">
            <v>Invoice</v>
          </cell>
          <cell r="D1248">
            <v>38590</v>
          </cell>
          <cell r="F1248" t="str">
            <v>7705</v>
          </cell>
          <cell r="G1248" t="str">
            <v>Muzak, LLC:Muzak (Demo)</v>
          </cell>
          <cell r="H1248">
            <v>1</v>
          </cell>
        </row>
        <row r="1249">
          <cell r="B1249" t="str">
            <v>Freight - Pd by Customer</v>
          </cell>
          <cell r="C1249" t="str">
            <v>Invoice</v>
          </cell>
          <cell r="D1249">
            <v>38593</v>
          </cell>
          <cell r="F1249" t="str">
            <v>7713</v>
          </cell>
          <cell r="G1249" t="str">
            <v>Muzak, LLC:Muzak (Demo)</v>
          </cell>
          <cell r="H1249">
            <v>1</v>
          </cell>
        </row>
        <row r="1250">
          <cell r="B1250" t="str">
            <v>Freight - Pd by Customer</v>
          </cell>
          <cell r="C1250" t="str">
            <v>Invoice</v>
          </cell>
          <cell r="D1250">
            <v>38594</v>
          </cell>
          <cell r="F1250" t="str">
            <v>7081</v>
          </cell>
          <cell r="G1250" t="str">
            <v>Muzak, LLC:Anderson Food Shops #168</v>
          </cell>
          <cell r="H1250">
            <v>1</v>
          </cell>
        </row>
        <row r="1251">
          <cell r="B1251" t="str">
            <v>Freight - Pd by Customer</v>
          </cell>
          <cell r="C1251" t="str">
            <v>Invoice</v>
          </cell>
          <cell r="D1251">
            <v>38595</v>
          </cell>
          <cell r="F1251" t="str">
            <v>7734</v>
          </cell>
          <cell r="G1251" t="str">
            <v>Muzak, LLC:Mill's Squeegee #2</v>
          </cell>
          <cell r="H1251">
            <v>1</v>
          </cell>
        </row>
        <row r="1252">
          <cell r="B1252" t="str">
            <v>Freight - Pd by Customer</v>
          </cell>
          <cell r="C1252" t="str">
            <v>Invoice</v>
          </cell>
          <cell r="D1252">
            <v>38595</v>
          </cell>
          <cell r="F1252" t="str">
            <v>7732</v>
          </cell>
          <cell r="G1252" t="str">
            <v>Northwest Pets</v>
          </cell>
          <cell r="H1252">
            <v>1</v>
          </cell>
        </row>
        <row r="1253">
          <cell r="B1253" t="str">
            <v>Freight - Pd by Customer</v>
          </cell>
          <cell r="C1253" t="str">
            <v>Invoice</v>
          </cell>
          <cell r="D1253">
            <v>38595</v>
          </cell>
          <cell r="F1253" t="str">
            <v>7400</v>
          </cell>
          <cell r="G1253" t="str">
            <v>Sony Style # 59 (New)</v>
          </cell>
          <cell r="H1253">
            <v>1</v>
          </cell>
        </row>
        <row r="1254">
          <cell r="B1254" t="str">
            <v>Freight - Pd by Customer</v>
          </cell>
          <cell r="C1254" t="str">
            <v>Invoice</v>
          </cell>
          <cell r="D1254">
            <v>38595</v>
          </cell>
          <cell r="F1254" t="str">
            <v>7401</v>
          </cell>
          <cell r="G1254" t="str">
            <v>Sony Style # 65</v>
          </cell>
          <cell r="H1254">
            <v>1</v>
          </cell>
        </row>
        <row r="1255">
          <cell r="B1255" t="str">
            <v>Freight - Pd by Customer</v>
          </cell>
          <cell r="C1255" t="str">
            <v>Invoice</v>
          </cell>
          <cell r="D1255">
            <v>38595</v>
          </cell>
          <cell r="F1255" t="str">
            <v>7737</v>
          </cell>
          <cell r="G1255" t="str">
            <v>Muzak, LLC:Candy Time</v>
          </cell>
          <cell r="H1255">
            <v>1</v>
          </cell>
        </row>
        <row r="1256">
          <cell r="B1256" t="str">
            <v>Freight - Pd by Customer</v>
          </cell>
          <cell r="C1256" t="str">
            <v>Invoice</v>
          </cell>
          <cell r="D1256">
            <v>38595</v>
          </cell>
          <cell r="F1256" t="str">
            <v>7724</v>
          </cell>
          <cell r="G1256" t="str">
            <v>Bloomingdale's Headquarters:Bloomingdale's - 001</v>
          </cell>
          <cell r="H1256">
            <v>1</v>
          </cell>
        </row>
        <row r="1257">
          <cell r="B1257" t="str">
            <v>Freight - Pd by Customer</v>
          </cell>
          <cell r="C1257" t="str">
            <v>Invoice</v>
          </cell>
          <cell r="D1257">
            <v>38595</v>
          </cell>
          <cell r="F1257" t="str">
            <v>7404</v>
          </cell>
          <cell r="G1257" t="str">
            <v>Bloomingdale's Headquarters:Bloomingdale's - 002</v>
          </cell>
          <cell r="H1257">
            <v>1</v>
          </cell>
        </row>
        <row r="1258">
          <cell r="B1258" t="str">
            <v>Freight - Pd by Customer</v>
          </cell>
          <cell r="C1258" t="str">
            <v>Invoice</v>
          </cell>
          <cell r="D1258">
            <v>38595</v>
          </cell>
          <cell r="F1258" t="str">
            <v>7405</v>
          </cell>
          <cell r="G1258" t="str">
            <v>Bloomingdale's Headquarters:Bloomingdale's - 003</v>
          </cell>
          <cell r="H1258">
            <v>1</v>
          </cell>
        </row>
        <row r="1259">
          <cell r="B1259" t="str">
            <v>Freight - Pd by Customer</v>
          </cell>
          <cell r="C1259" t="str">
            <v>Invoice</v>
          </cell>
          <cell r="D1259">
            <v>38595</v>
          </cell>
          <cell r="F1259" t="str">
            <v>7406</v>
          </cell>
          <cell r="G1259" t="str">
            <v>Bloomingdale's Headquarters:Bloomingdale's - 004</v>
          </cell>
          <cell r="H1259">
            <v>1</v>
          </cell>
        </row>
        <row r="1260">
          <cell r="B1260" t="str">
            <v>Freight - Pd by Customer</v>
          </cell>
          <cell r="C1260" t="str">
            <v>Invoice</v>
          </cell>
          <cell r="D1260">
            <v>38595</v>
          </cell>
          <cell r="F1260" t="str">
            <v>7408</v>
          </cell>
          <cell r="G1260" t="str">
            <v>Bloomingdale's Headquarters:Bloomingdale's - 006</v>
          </cell>
          <cell r="H1260">
            <v>1</v>
          </cell>
        </row>
        <row r="1261">
          <cell r="B1261" t="str">
            <v>Freight - Pd by Customer</v>
          </cell>
          <cell r="C1261" t="str">
            <v>Invoice</v>
          </cell>
          <cell r="D1261">
            <v>38596</v>
          </cell>
          <cell r="F1261" t="str">
            <v>7747</v>
          </cell>
          <cell r="G1261" t="str">
            <v>Canadian Niagara Hotels</v>
          </cell>
          <cell r="H1261">
            <v>1</v>
          </cell>
        </row>
        <row r="1262">
          <cell r="B1262" t="str">
            <v>Freight - Pd by Customer</v>
          </cell>
          <cell r="C1262" t="str">
            <v>Invoice</v>
          </cell>
          <cell r="D1262">
            <v>38596</v>
          </cell>
          <cell r="F1262" t="str">
            <v>7745</v>
          </cell>
          <cell r="G1262" t="str">
            <v>Muzak, LLC:Muzak (Demo)</v>
          </cell>
          <cell r="H1262">
            <v>1</v>
          </cell>
        </row>
        <row r="1263">
          <cell r="B1263" t="str">
            <v>Freight - Pd by Customer</v>
          </cell>
          <cell r="C1263" t="str">
            <v>Invoice</v>
          </cell>
          <cell r="D1263">
            <v>38596</v>
          </cell>
          <cell r="F1263" t="str">
            <v>7805</v>
          </cell>
          <cell r="G1263" t="str">
            <v>Johnny Ackles</v>
          </cell>
          <cell r="H1263">
            <v>1</v>
          </cell>
        </row>
        <row r="1264">
          <cell r="B1264" t="str">
            <v>Freight - Pd by Customer</v>
          </cell>
          <cell r="C1264" t="str">
            <v>Invoice</v>
          </cell>
          <cell r="D1264">
            <v>38596</v>
          </cell>
          <cell r="F1264" t="str">
            <v>7746</v>
          </cell>
          <cell r="G1264" t="str">
            <v>Brown's Country Store</v>
          </cell>
          <cell r="H1264">
            <v>1</v>
          </cell>
        </row>
        <row r="1265">
          <cell r="B1265" t="str">
            <v>Freight - Pd by Customer</v>
          </cell>
          <cell r="C1265" t="str">
            <v>Invoice</v>
          </cell>
          <cell r="D1265">
            <v>38596</v>
          </cell>
          <cell r="F1265" t="str">
            <v>7752</v>
          </cell>
          <cell r="G1265" t="str">
            <v>Muzak, LLC:Mattress Zone 042896</v>
          </cell>
          <cell r="H1265">
            <v>1</v>
          </cell>
        </row>
        <row r="1266">
          <cell r="B1266" t="str">
            <v>Freight - Pd by Customer</v>
          </cell>
          <cell r="C1266" t="str">
            <v>Invoice</v>
          </cell>
          <cell r="D1266">
            <v>38596</v>
          </cell>
          <cell r="F1266" t="str">
            <v>7753</v>
          </cell>
          <cell r="G1266" t="str">
            <v>Muzak, LLC:Mattress Zone 042807</v>
          </cell>
          <cell r="H1266">
            <v>1</v>
          </cell>
        </row>
        <row r="1267">
          <cell r="B1267" t="str">
            <v>Freight - Pd by Customer</v>
          </cell>
          <cell r="C1267" t="str">
            <v>Invoice</v>
          </cell>
          <cell r="D1267">
            <v>38596</v>
          </cell>
          <cell r="F1267" t="str">
            <v>7754</v>
          </cell>
          <cell r="G1267" t="str">
            <v>Muzak, LLC:Mattress Zone 042804</v>
          </cell>
          <cell r="H1267">
            <v>1</v>
          </cell>
        </row>
        <row r="1268">
          <cell r="B1268" t="str">
            <v>Freight - Pd by Customer</v>
          </cell>
          <cell r="C1268" t="str">
            <v>Invoice</v>
          </cell>
          <cell r="D1268">
            <v>38596</v>
          </cell>
          <cell r="F1268" t="str">
            <v>7756</v>
          </cell>
          <cell r="G1268" t="str">
            <v>Muzak, LLC:Mattress Barn - 043695</v>
          </cell>
          <cell r="H1268">
            <v>1</v>
          </cell>
        </row>
        <row r="1269">
          <cell r="B1269" t="str">
            <v>Freight - Pd by Customer</v>
          </cell>
          <cell r="C1269" t="str">
            <v>Invoice</v>
          </cell>
          <cell r="D1269">
            <v>38596</v>
          </cell>
          <cell r="F1269" t="str">
            <v>7749</v>
          </cell>
          <cell r="G1269" t="str">
            <v>General Growth Properties-Columbia Mall</v>
          </cell>
          <cell r="H1269">
            <v>1</v>
          </cell>
        </row>
        <row r="1270">
          <cell r="B1270" t="str">
            <v>Freight - Pd by Customer</v>
          </cell>
          <cell r="C1270" t="str">
            <v>Invoice</v>
          </cell>
          <cell r="D1270">
            <v>38596</v>
          </cell>
          <cell r="F1270" t="str">
            <v>7409</v>
          </cell>
          <cell r="G1270" t="str">
            <v>Bloomingdale's Headquarters:Bloomingdale's - 007</v>
          </cell>
          <cell r="H1270">
            <v>1</v>
          </cell>
        </row>
        <row r="1271">
          <cell r="B1271" t="str">
            <v>Freight - Pd by Customer</v>
          </cell>
          <cell r="C1271" t="str">
            <v>Invoice</v>
          </cell>
          <cell r="D1271">
            <v>38596</v>
          </cell>
          <cell r="F1271" t="str">
            <v>7410</v>
          </cell>
          <cell r="G1271" t="str">
            <v>Bloomingdale's Headquarters:Bloomingdale's - 008</v>
          </cell>
          <cell r="H1271">
            <v>1</v>
          </cell>
        </row>
        <row r="1272">
          <cell r="B1272" t="str">
            <v>Freight - Pd by Customer</v>
          </cell>
          <cell r="C1272" t="str">
            <v>Invoice</v>
          </cell>
          <cell r="D1272">
            <v>38596</v>
          </cell>
          <cell r="F1272" t="str">
            <v>7411</v>
          </cell>
          <cell r="G1272" t="str">
            <v>Bloomingdale's Headquarters:Bloomingdale's - 009</v>
          </cell>
          <cell r="H1272">
            <v>1</v>
          </cell>
        </row>
        <row r="1273">
          <cell r="B1273" t="str">
            <v>Freight - Pd by Customer</v>
          </cell>
          <cell r="C1273" t="str">
            <v>Invoice</v>
          </cell>
          <cell r="D1273">
            <v>38596</v>
          </cell>
          <cell r="F1273" t="str">
            <v>7412</v>
          </cell>
          <cell r="G1273" t="str">
            <v>Bloomingdale's Headquarters:Bloomingdale's - 010</v>
          </cell>
          <cell r="H1273">
            <v>1</v>
          </cell>
        </row>
        <row r="1274">
          <cell r="B1274" t="str">
            <v>Freight - Pd by Customer</v>
          </cell>
          <cell r="C1274" t="str">
            <v>Invoice</v>
          </cell>
          <cell r="D1274">
            <v>38596</v>
          </cell>
          <cell r="F1274" t="str">
            <v>7413</v>
          </cell>
          <cell r="G1274" t="str">
            <v>Bloomingdale's Headquarters:Bloomingdale's - 011</v>
          </cell>
          <cell r="H1274">
            <v>1</v>
          </cell>
        </row>
        <row r="1275">
          <cell r="B1275" t="str">
            <v>Freight - Pd by Customer</v>
          </cell>
          <cell r="C1275" t="str">
            <v>Invoice</v>
          </cell>
          <cell r="D1275">
            <v>38596</v>
          </cell>
          <cell r="F1275" t="str">
            <v>7414</v>
          </cell>
          <cell r="G1275" t="str">
            <v>Bloomingdale's Headquarters:Bloomingdale's - 012</v>
          </cell>
          <cell r="H1275">
            <v>1</v>
          </cell>
        </row>
        <row r="1276">
          <cell r="B1276" t="str">
            <v>Freight - Pd by Customer</v>
          </cell>
          <cell r="C1276" t="str">
            <v>Invoice</v>
          </cell>
          <cell r="D1276">
            <v>38596</v>
          </cell>
          <cell r="F1276" t="str">
            <v>7415</v>
          </cell>
          <cell r="G1276" t="str">
            <v>Bloomingdale's Headquarters:Bloomingdale's - 013</v>
          </cell>
          <cell r="H1276">
            <v>1</v>
          </cell>
        </row>
        <row r="1277">
          <cell r="B1277" t="str">
            <v>Freight - Pd by Customer</v>
          </cell>
          <cell r="C1277" t="str">
            <v>Invoice</v>
          </cell>
          <cell r="D1277">
            <v>38596</v>
          </cell>
          <cell r="F1277" t="str">
            <v>7416</v>
          </cell>
          <cell r="G1277" t="str">
            <v>Bloomingdale's Headquarters:Bloomingdale's - 014</v>
          </cell>
          <cell r="H1277">
            <v>1</v>
          </cell>
        </row>
        <row r="1278">
          <cell r="B1278" t="str">
            <v>Freight - Pd by Customer</v>
          </cell>
          <cell r="C1278" t="str">
            <v>Invoice</v>
          </cell>
          <cell r="D1278">
            <v>38596</v>
          </cell>
          <cell r="F1278" t="str">
            <v>7417</v>
          </cell>
          <cell r="G1278" t="str">
            <v>Bloomingdale's Headquarters:Bloomingdale's - 016</v>
          </cell>
          <cell r="H1278">
            <v>1</v>
          </cell>
        </row>
        <row r="1279">
          <cell r="B1279" t="str">
            <v>Freight - Pd by Customer</v>
          </cell>
          <cell r="C1279" t="str">
            <v>Invoice</v>
          </cell>
          <cell r="D1279">
            <v>38596</v>
          </cell>
          <cell r="F1279" t="str">
            <v>7418</v>
          </cell>
          <cell r="G1279" t="str">
            <v>Bloomingdale's Headquarters:Bloomingdale's - 017</v>
          </cell>
          <cell r="H1279">
            <v>1</v>
          </cell>
        </row>
        <row r="1280">
          <cell r="B1280" t="str">
            <v>Freight - Pd by Customer</v>
          </cell>
          <cell r="C1280" t="str">
            <v>Invoice</v>
          </cell>
          <cell r="D1280">
            <v>38596</v>
          </cell>
          <cell r="F1280" t="str">
            <v>7419</v>
          </cell>
          <cell r="G1280" t="str">
            <v>Bloomingdale's Headquarters:Bloomingdale's - 020</v>
          </cell>
          <cell r="H1280">
            <v>1</v>
          </cell>
        </row>
        <row r="1281">
          <cell r="B1281" t="str">
            <v>Freight - Pd by Customer</v>
          </cell>
          <cell r="C1281" t="str">
            <v>Invoice</v>
          </cell>
          <cell r="D1281">
            <v>38596</v>
          </cell>
          <cell r="F1281" t="str">
            <v>7420</v>
          </cell>
          <cell r="G1281" t="str">
            <v>Bloomingdale's Headquarters:Bloomingdale's - 021</v>
          </cell>
          <cell r="H1281">
            <v>1</v>
          </cell>
        </row>
        <row r="1282">
          <cell r="B1282" t="str">
            <v>Freight - Pd by Customer</v>
          </cell>
          <cell r="C1282" t="str">
            <v>Invoice</v>
          </cell>
          <cell r="D1282">
            <v>38596</v>
          </cell>
          <cell r="F1282" t="str">
            <v>7421</v>
          </cell>
          <cell r="G1282" t="str">
            <v>Bloomingdale's Headquarters:Bloomingdale's - 024</v>
          </cell>
          <cell r="H1282">
            <v>1</v>
          </cell>
        </row>
        <row r="1283">
          <cell r="B1283" t="str">
            <v>Freight - Pd by Customer</v>
          </cell>
          <cell r="C1283" t="str">
            <v>Invoice</v>
          </cell>
          <cell r="D1283">
            <v>38596</v>
          </cell>
          <cell r="F1283" t="str">
            <v>7422</v>
          </cell>
          <cell r="G1283" t="str">
            <v>Bloomingdale's Headquarters:Bloomingdale's - 025</v>
          </cell>
          <cell r="H1283">
            <v>1</v>
          </cell>
        </row>
        <row r="1284">
          <cell r="B1284" t="str">
            <v>Freight - Pd by Customer</v>
          </cell>
          <cell r="C1284" t="str">
            <v>Invoice</v>
          </cell>
          <cell r="D1284">
            <v>38596</v>
          </cell>
          <cell r="F1284" t="str">
            <v>7423</v>
          </cell>
          <cell r="G1284" t="str">
            <v>Bloomingdale's Headquarters:Bloomingdale's - 026</v>
          </cell>
          <cell r="H1284">
            <v>1</v>
          </cell>
        </row>
        <row r="1285">
          <cell r="B1285" t="str">
            <v>Freight - Pd by Customer</v>
          </cell>
          <cell r="C1285" t="str">
            <v>Invoice</v>
          </cell>
          <cell r="D1285">
            <v>38596</v>
          </cell>
          <cell r="F1285" t="str">
            <v>7424</v>
          </cell>
          <cell r="G1285" t="str">
            <v>Bloomingdale's Headquarters:Bloomingdale's - 027</v>
          </cell>
          <cell r="H1285">
            <v>1</v>
          </cell>
        </row>
        <row r="1286">
          <cell r="B1286" t="str">
            <v>Freight - Pd by Customer</v>
          </cell>
          <cell r="C1286" t="str">
            <v>Invoice</v>
          </cell>
          <cell r="D1286">
            <v>38596</v>
          </cell>
          <cell r="F1286" t="str">
            <v>7425</v>
          </cell>
          <cell r="G1286" t="str">
            <v>Bloomingdale's Headquarters:Bloomingdale's - 028</v>
          </cell>
          <cell r="H1286">
            <v>1</v>
          </cell>
        </row>
        <row r="1287">
          <cell r="B1287" t="str">
            <v>Freight - Pd by Customer</v>
          </cell>
          <cell r="C1287" t="str">
            <v>Invoice</v>
          </cell>
          <cell r="D1287">
            <v>38596</v>
          </cell>
          <cell r="F1287" t="str">
            <v>7426</v>
          </cell>
          <cell r="G1287" t="str">
            <v>Bloomingdale's Headquarters:Bloomingdale's - 029</v>
          </cell>
          <cell r="H1287">
            <v>1</v>
          </cell>
        </row>
        <row r="1288">
          <cell r="B1288" t="str">
            <v>Freight - Pd by Customer</v>
          </cell>
          <cell r="C1288" t="str">
            <v>Invoice</v>
          </cell>
          <cell r="D1288">
            <v>38596</v>
          </cell>
          <cell r="F1288" t="str">
            <v>7427</v>
          </cell>
          <cell r="G1288" t="str">
            <v>Bloomingdale's Headquarters:Bloomingdale's - 030</v>
          </cell>
          <cell r="H1288">
            <v>1</v>
          </cell>
        </row>
        <row r="1289">
          <cell r="B1289" t="str">
            <v>Freight - Pd by Customer</v>
          </cell>
          <cell r="C1289" t="str">
            <v>Invoice</v>
          </cell>
          <cell r="D1289">
            <v>38596</v>
          </cell>
          <cell r="F1289" t="str">
            <v>7428</v>
          </cell>
          <cell r="G1289" t="str">
            <v>Bloomingdale's Headquarters:Bloomingdale's - 031</v>
          </cell>
          <cell r="H1289">
            <v>1</v>
          </cell>
        </row>
        <row r="1290">
          <cell r="B1290" t="str">
            <v>Freight - Pd by Customer</v>
          </cell>
          <cell r="C1290" t="str">
            <v>Invoice</v>
          </cell>
          <cell r="D1290">
            <v>38596</v>
          </cell>
          <cell r="F1290" t="str">
            <v>7429</v>
          </cell>
          <cell r="G1290" t="str">
            <v>Bloomingdale's Headquarters:Bloomingdale's - 032</v>
          </cell>
          <cell r="H1290">
            <v>1</v>
          </cell>
        </row>
        <row r="1291">
          <cell r="B1291" t="str">
            <v>Freight - Pd by Customer</v>
          </cell>
          <cell r="C1291" t="str">
            <v>Invoice</v>
          </cell>
          <cell r="D1291">
            <v>38596</v>
          </cell>
          <cell r="F1291" t="str">
            <v>7430</v>
          </cell>
          <cell r="G1291" t="str">
            <v>Bloomingdale's Headquarters:Bloomingdale's - 033</v>
          </cell>
          <cell r="H1291">
            <v>1</v>
          </cell>
        </row>
        <row r="1292">
          <cell r="B1292" t="str">
            <v>Freight - Pd by Customer</v>
          </cell>
          <cell r="C1292" t="str">
            <v>Invoice</v>
          </cell>
          <cell r="D1292">
            <v>38596</v>
          </cell>
          <cell r="F1292" t="str">
            <v>7431</v>
          </cell>
          <cell r="G1292" t="str">
            <v>Bloomingdale's Headquarters:Bloomingdale's - 037</v>
          </cell>
          <cell r="H1292">
            <v>1</v>
          </cell>
        </row>
        <row r="1293">
          <cell r="B1293" t="str">
            <v>Freight - Pd by Customer</v>
          </cell>
          <cell r="C1293" t="str">
            <v>Invoice</v>
          </cell>
          <cell r="D1293">
            <v>38596</v>
          </cell>
          <cell r="F1293" t="str">
            <v>7432</v>
          </cell>
          <cell r="G1293" t="str">
            <v>Bloomingdale's Headquarters:Bloomingdale's - 055</v>
          </cell>
          <cell r="H1293">
            <v>1</v>
          </cell>
        </row>
        <row r="1294">
          <cell r="B1294" t="str">
            <v>Freight - Pd by Customer</v>
          </cell>
          <cell r="C1294" t="str">
            <v>Invoice</v>
          </cell>
          <cell r="D1294">
            <v>38596</v>
          </cell>
          <cell r="F1294" t="str">
            <v>7433</v>
          </cell>
          <cell r="G1294" t="str">
            <v>Bloomingdale's Headquarters:Bloomingdale's - 056</v>
          </cell>
          <cell r="H1294">
            <v>1</v>
          </cell>
        </row>
        <row r="1295">
          <cell r="B1295" t="str">
            <v>Freight - Pd by Customer</v>
          </cell>
          <cell r="C1295" t="str">
            <v>Invoice</v>
          </cell>
          <cell r="D1295">
            <v>38597</v>
          </cell>
          <cell r="F1295" t="str">
            <v>7717</v>
          </cell>
          <cell r="G1295" t="str">
            <v>AroMarketing:AroMarketing - Texas</v>
          </cell>
          <cell r="H1295">
            <v>1</v>
          </cell>
        </row>
        <row r="1296">
          <cell r="B1296" t="str">
            <v>Freight - Pd by Customer</v>
          </cell>
          <cell r="C1296" t="str">
            <v>Invoice</v>
          </cell>
          <cell r="D1296">
            <v>38597</v>
          </cell>
          <cell r="F1296" t="str">
            <v>7818</v>
          </cell>
          <cell r="G1296" t="str">
            <v>Army:Food Concessions</v>
          </cell>
          <cell r="H1296">
            <v>1</v>
          </cell>
        </row>
        <row r="1297">
          <cell r="B1297" t="str">
            <v>Freight - Pd by Customer</v>
          </cell>
          <cell r="C1297" t="str">
            <v>Invoice</v>
          </cell>
          <cell r="D1297">
            <v>38597</v>
          </cell>
          <cell r="F1297" t="str">
            <v>7662</v>
          </cell>
          <cell r="G1297" t="str">
            <v>Sony Style #XX Roosevelt Field</v>
          </cell>
          <cell r="H1297">
            <v>1</v>
          </cell>
        </row>
        <row r="1298">
          <cell r="B1298" t="str">
            <v>Freight - Pd by Customer</v>
          </cell>
          <cell r="C1298" t="str">
            <v>Invoice</v>
          </cell>
          <cell r="D1298">
            <v>38601</v>
          </cell>
          <cell r="F1298" t="str">
            <v>7815</v>
          </cell>
          <cell r="G1298" t="str">
            <v>ScentAir Australia Pty Ltd.</v>
          </cell>
          <cell r="H1298">
            <v>1</v>
          </cell>
        </row>
        <row r="1299">
          <cell r="B1299" t="str">
            <v>Freight - Pd by Customer</v>
          </cell>
          <cell r="C1299" t="str">
            <v>Invoice</v>
          </cell>
          <cell r="D1299">
            <v>38601</v>
          </cell>
          <cell r="F1299" t="str">
            <v>7821</v>
          </cell>
          <cell r="G1299" t="str">
            <v>AroMarketing:AroMarketing - Guadalajara</v>
          </cell>
          <cell r="H1299">
            <v>1</v>
          </cell>
        </row>
        <row r="1300">
          <cell r="B1300" t="str">
            <v>Freight - Pd by Customer</v>
          </cell>
          <cell r="C1300" t="str">
            <v>Invoice</v>
          </cell>
          <cell r="D1300">
            <v>38601</v>
          </cell>
          <cell r="F1300" t="str">
            <v>7822</v>
          </cell>
          <cell r="G1300" t="str">
            <v>AroMarketing:AroMarketing - Guadalajara</v>
          </cell>
          <cell r="H1300">
            <v>1</v>
          </cell>
        </row>
        <row r="1301">
          <cell r="B1301" t="str">
            <v>Freight - Pd by Customer</v>
          </cell>
          <cell r="C1301" t="str">
            <v>Invoice</v>
          </cell>
          <cell r="D1301">
            <v>38601</v>
          </cell>
          <cell r="F1301" t="str">
            <v>7838</v>
          </cell>
          <cell r="G1301" t="str">
            <v>Muzak, LLC:Muzak (Demo)</v>
          </cell>
          <cell r="H1301">
            <v>1</v>
          </cell>
        </row>
        <row r="1302">
          <cell r="B1302" t="str">
            <v>Freight - Pd by Customer</v>
          </cell>
          <cell r="C1302" t="str">
            <v>Invoice</v>
          </cell>
          <cell r="D1302">
            <v>38602</v>
          </cell>
          <cell r="F1302" t="str">
            <v>7853</v>
          </cell>
          <cell r="G1302" t="str">
            <v>Promotool</v>
          </cell>
          <cell r="H1302">
            <v>1</v>
          </cell>
        </row>
        <row r="1303">
          <cell r="B1303" t="str">
            <v>Freight - Pd by Customer</v>
          </cell>
          <cell r="C1303" t="str">
            <v>Invoice</v>
          </cell>
          <cell r="D1303">
            <v>38602</v>
          </cell>
          <cell r="F1303" t="str">
            <v>7843</v>
          </cell>
          <cell r="G1303" t="str">
            <v>Muzak, LLC:Bucky's Express</v>
          </cell>
          <cell r="H1303">
            <v>1</v>
          </cell>
        </row>
        <row r="1304">
          <cell r="B1304" t="str">
            <v>Freight - Pd by Customer</v>
          </cell>
          <cell r="C1304" t="str">
            <v>Invoice</v>
          </cell>
          <cell r="D1304">
            <v>38602</v>
          </cell>
          <cell r="F1304" t="str">
            <v>7848</v>
          </cell>
          <cell r="G1304" t="str">
            <v>Muzak, LLC:Muzak (Demo)</v>
          </cell>
          <cell r="H1304">
            <v>1</v>
          </cell>
        </row>
        <row r="1305">
          <cell r="B1305" t="str">
            <v>Freight - Pd by Customer</v>
          </cell>
          <cell r="C1305" t="str">
            <v>Invoice</v>
          </cell>
          <cell r="D1305">
            <v>38602</v>
          </cell>
          <cell r="F1305" t="str">
            <v>7189</v>
          </cell>
          <cell r="G1305" t="str">
            <v>Bark Avenue Bakery</v>
          </cell>
          <cell r="H1305">
            <v>1</v>
          </cell>
        </row>
        <row r="1306">
          <cell r="B1306" t="str">
            <v>Freight - Pd by Customer</v>
          </cell>
          <cell r="C1306" t="str">
            <v>Invoice</v>
          </cell>
          <cell r="D1306">
            <v>38602</v>
          </cell>
          <cell r="F1306" t="str">
            <v>7860</v>
          </cell>
          <cell r="G1306" t="str">
            <v>Hotel Hershey</v>
          </cell>
          <cell r="H1306">
            <v>1</v>
          </cell>
        </row>
        <row r="1307">
          <cell r="B1307" t="str">
            <v>Freight - Pd by Customer</v>
          </cell>
          <cell r="C1307" t="str">
            <v>Invoice</v>
          </cell>
          <cell r="D1307">
            <v>38602</v>
          </cell>
          <cell r="F1307" t="str">
            <v>7852</v>
          </cell>
          <cell r="G1307" t="str">
            <v>Metro FX</v>
          </cell>
          <cell r="H1307">
            <v>1</v>
          </cell>
        </row>
        <row r="1308">
          <cell r="B1308" t="str">
            <v>Freight - Pd by Customer</v>
          </cell>
          <cell r="C1308" t="str">
            <v>Invoice</v>
          </cell>
          <cell r="D1308">
            <v>38603</v>
          </cell>
          <cell r="F1308" t="str">
            <v>7825</v>
          </cell>
          <cell r="G1308" t="str">
            <v>Videotronic Benelux BV</v>
          </cell>
          <cell r="H1308">
            <v>1</v>
          </cell>
        </row>
        <row r="1309">
          <cell r="B1309" t="str">
            <v>Freight - Pd by Customer</v>
          </cell>
          <cell r="C1309" t="str">
            <v>Invoice</v>
          </cell>
          <cell r="D1309">
            <v>38603</v>
          </cell>
          <cell r="F1309" t="str">
            <v>7876</v>
          </cell>
          <cell r="G1309" t="str">
            <v>Promotool</v>
          </cell>
          <cell r="H1309">
            <v>1</v>
          </cell>
        </row>
        <row r="1310">
          <cell r="B1310" t="str">
            <v>Freight - Pd by Customer</v>
          </cell>
          <cell r="C1310" t="str">
            <v>Invoice</v>
          </cell>
          <cell r="D1310">
            <v>38603</v>
          </cell>
          <cell r="F1310" t="str">
            <v>7884</v>
          </cell>
          <cell r="G1310" t="str">
            <v>Muzak, LLC:McDonald's - New Castle</v>
          </cell>
          <cell r="H1310">
            <v>1</v>
          </cell>
        </row>
        <row r="1311">
          <cell r="B1311" t="str">
            <v>Freight - Pd by Customer</v>
          </cell>
          <cell r="C1311" t="str">
            <v>Invoice</v>
          </cell>
          <cell r="D1311">
            <v>38603</v>
          </cell>
          <cell r="F1311" t="str">
            <v>7862</v>
          </cell>
          <cell r="G1311" t="str">
            <v>Muzak, IA:Carolina Sound Communications:Hilton Oceanfront Resort</v>
          </cell>
          <cell r="H1311">
            <v>1</v>
          </cell>
        </row>
        <row r="1312">
          <cell r="B1312" t="str">
            <v>Freight - Pd by Customer</v>
          </cell>
          <cell r="C1312" t="str">
            <v>Invoice</v>
          </cell>
          <cell r="D1312">
            <v>38603</v>
          </cell>
          <cell r="F1312" t="str">
            <v>7879</v>
          </cell>
          <cell r="G1312" t="str">
            <v>Muzak, LLC:The Palms Tanning Resort - Greenwood Vill</v>
          </cell>
          <cell r="H1312">
            <v>1</v>
          </cell>
        </row>
        <row r="1313">
          <cell r="B1313" t="str">
            <v>Freight - Pd by Customer</v>
          </cell>
          <cell r="C1313" t="str">
            <v>Invoice</v>
          </cell>
          <cell r="D1313">
            <v>38603</v>
          </cell>
          <cell r="F1313" t="str">
            <v>7881</v>
          </cell>
          <cell r="G1313" t="str">
            <v>Muzak, LLC:Burger King - #14440</v>
          </cell>
          <cell r="H1313">
            <v>1</v>
          </cell>
        </row>
        <row r="1314">
          <cell r="B1314" t="str">
            <v>Freight - Pd by Customer</v>
          </cell>
          <cell r="C1314" t="str">
            <v>Invoice</v>
          </cell>
          <cell r="D1314">
            <v>38603</v>
          </cell>
          <cell r="F1314" t="str">
            <v>7880</v>
          </cell>
          <cell r="G1314" t="str">
            <v>Muzak, LLC:Salon Rebecca</v>
          </cell>
          <cell r="H1314">
            <v>1</v>
          </cell>
        </row>
        <row r="1315">
          <cell r="B1315" t="str">
            <v>Freight - Pd by Customer</v>
          </cell>
          <cell r="C1315" t="str">
            <v>Invoice</v>
          </cell>
          <cell r="D1315">
            <v>38603</v>
          </cell>
          <cell r="F1315" t="str">
            <v>7863</v>
          </cell>
          <cell r="G1315" t="str">
            <v>Muzak, LLC:McDonald's - Kokomo</v>
          </cell>
          <cell r="H1315">
            <v>1</v>
          </cell>
        </row>
        <row r="1316">
          <cell r="B1316" t="str">
            <v>Freight - Pd by Customer</v>
          </cell>
          <cell r="C1316" t="str">
            <v>Invoice</v>
          </cell>
          <cell r="D1316">
            <v>38603</v>
          </cell>
          <cell r="F1316" t="str">
            <v>7885</v>
          </cell>
          <cell r="G1316" t="str">
            <v>Vacation Connections</v>
          </cell>
          <cell r="H1316">
            <v>1</v>
          </cell>
        </row>
        <row r="1317">
          <cell r="B1317" t="str">
            <v>Freight - Pd by Customer</v>
          </cell>
          <cell r="C1317" t="str">
            <v>Invoice</v>
          </cell>
          <cell r="D1317">
            <v>38603</v>
          </cell>
          <cell r="F1317" t="str">
            <v>7877</v>
          </cell>
          <cell r="G1317" t="str">
            <v>Sunkist Growers</v>
          </cell>
          <cell r="H1317">
            <v>1</v>
          </cell>
        </row>
        <row r="1318">
          <cell r="B1318" t="str">
            <v>Freight - Pd by Customer</v>
          </cell>
          <cell r="C1318" t="str">
            <v>Invoice</v>
          </cell>
          <cell r="D1318">
            <v>38604</v>
          </cell>
          <cell r="F1318" t="str">
            <v>7199</v>
          </cell>
          <cell r="G1318" t="str">
            <v>Sony Style #XX Tyson's Corner</v>
          </cell>
          <cell r="H1318">
            <v>1</v>
          </cell>
        </row>
        <row r="1319">
          <cell r="B1319" t="str">
            <v>Freight - Pd by Customer</v>
          </cell>
          <cell r="C1319" t="str">
            <v>Invoice</v>
          </cell>
          <cell r="D1319">
            <v>38604</v>
          </cell>
          <cell r="F1319" t="str">
            <v>7267</v>
          </cell>
          <cell r="G1319" t="str">
            <v>Ogilvy &amp; Mather</v>
          </cell>
          <cell r="H1319">
            <v>1</v>
          </cell>
        </row>
        <row r="1320">
          <cell r="B1320" t="str">
            <v>Freight - Pd by Customer</v>
          </cell>
          <cell r="C1320" t="str">
            <v>Invoice</v>
          </cell>
          <cell r="D1320">
            <v>38607</v>
          </cell>
          <cell r="F1320" t="str">
            <v>7890</v>
          </cell>
          <cell r="G1320" t="str">
            <v>ScentAir Australia Pty Ltd.</v>
          </cell>
          <cell r="H1320">
            <v>1</v>
          </cell>
        </row>
        <row r="1321">
          <cell r="B1321" t="str">
            <v>Freight - Pd by Customer</v>
          </cell>
          <cell r="C1321" t="str">
            <v>Invoice</v>
          </cell>
          <cell r="D1321">
            <v>38607</v>
          </cell>
          <cell r="F1321" t="str">
            <v>7910</v>
          </cell>
          <cell r="G1321" t="str">
            <v>Muzak, LLC:Spalon @ T Carlton</v>
          </cell>
          <cell r="H1321">
            <v>1</v>
          </cell>
        </row>
        <row r="1322">
          <cell r="B1322" t="str">
            <v>Freight - Pd by Customer</v>
          </cell>
          <cell r="C1322" t="str">
            <v>Invoice</v>
          </cell>
          <cell r="D1322">
            <v>38607</v>
          </cell>
          <cell r="F1322" t="str">
            <v>7893</v>
          </cell>
          <cell r="G1322" t="str">
            <v>Mattel</v>
          </cell>
          <cell r="H1322">
            <v>1</v>
          </cell>
        </row>
        <row r="1323">
          <cell r="B1323" t="str">
            <v>Freight - Pd by Customer</v>
          </cell>
          <cell r="C1323" t="str">
            <v>Invoice</v>
          </cell>
          <cell r="D1323">
            <v>38608</v>
          </cell>
          <cell r="F1323" t="str">
            <v>7925</v>
          </cell>
          <cell r="G1323" t="str">
            <v>Muzak, LLC:Muzak (Demo)</v>
          </cell>
          <cell r="H1323">
            <v>1</v>
          </cell>
        </row>
        <row r="1324">
          <cell r="B1324" t="str">
            <v>Freight - Pd by Customer</v>
          </cell>
          <cell r="C1324" t="str">
            <v>Invoice</v>
          </cell>
          <cell r="D1324">
            <v>38608</v>
          </cell>
          <cell r="F1324" t="str">
            <v>7927</v>
          </cell>
          <cell r="G1324" t="str">
            <v>Muzak, LLC:Heritage at Lake Forest</v>
          </cell>
          <cell r="H1324">
            <v>1</v>
          </cell>
        </row>
        <row r="1325">
          <cell r="B1325" t="str">
            <v>Freight - Pd by Customer</v>
          </cell>
          <cell r="C1325" t="str">
            <v>Invoice</v>
          </cell>
          <cell r="D1325">
            <v>38608</v>
          </cell>
          <cell r="F1325" t="str">
            <v>7928</v>
          </cell>
          <cell r="G1325" t="str">
            <v>Muzak, LLC:Spa Nail Tan Palace</v>
          </cell>
          <cell r="H1325">
            <v>1</v>
          </cell>
        </row>
        <row r="1326">
          <cell r="B1326" t="str">
            <v>Freight - Pd by Customer</v>
          </cell>
          <cell r="C1326" t="str">
            <v>Invoice</v>
          </cell>
          <cell r="D1326">
            <v>38608</v>
          </cell>
          <cell r="F1326" t="str">
            <v>7929</v>
          </cell>
          <cell r="G1326" t="str">
            <v>Muzak, LLC:Oakland Center Chevron</v>
          </cell>
          <cell r="H1326">
            <v>1</v>
          </cell>
        </row>
        <row r="1327">
          <cell r="B1327" t="str">
            <v>Freight - Pd by Customer</v>
          </cell>
          <cell r="C1327" t="str">
            <v>Invoice</v>
          </cell>
          <cell r="D1327">
            <v>38610</v>
          </cell>
          <cell r="F1327" t="str">
            <v>7948</v>
          </cell>
          <cell r="G1327" t="str">
            <v>ScentAir - Corporate Associates:Pamela Knock</v>
          </cell>
          <cell r="H1327">
            <v>1</v>
          </cell>
        </row>
        <row r="1328">
          <cell r="B1328" t="str">
            <v>Freight - Pd by Customer</v>
          </cell>
          <cell r="C1328" t="str">
            <v>Invoice</v>
          </cell>
          <cell r="D1328">
            <v>38610</v>
          </cell>
          <cell r="F1328" t="str">
            <v>7951</v>
          </cell>
          <cell r="G1328" t="str">
            <v>Muzak, LLC:Muzak (Demo)</v>
          </cell>
          <cell r="H1328">
            <v>1</v>
          </cell>
        </row>
        <row r="1329">
          <cell r="B1329" t="str">
            <v>Freight - Pd by Customer</v>
          </cell>
          <cell r="C1329" t="str">
            <v>Invoice</v>
          </cell>
          <cell r="D1329">
            <v>38610</v>
          </cell>
          <cell r="F1329" t="str">
            <v>7963</v>
          </cell>
          <cell r="G1329" t="str">
            <v>Muzak, LLC:Muzak (Demo)</v>
          </cell>
          <cell r="H1329">
            <v>1</v>
          </cell>
        </row>
        <row r="1330">
          <cell r="B1330" t="str">
            <v>Freight - Pd by Customer</v>
          </cell>
          <cell r="C1330" t="str">
            <v>Invoice</v>
          </cell>
          <cell r="D1330">
            <v>38611</v>
          </cell>
          <cell r="F1330" t="str">
            <v>7134</v>
          </cell>
          <cell r="G1330" t="str">
            <v>Sioux Land Heritage Museum</v>
          </cell>
          <cell r="H1330">
            <v>1</v>
          </cell>
        </row>
        <row r="1331">
          <cell r="B1331" t="str">
            <v>Freight - Pd by Customer</v>
          </cell>
          <cell r="C1331" t="str">
            <v>Invoice</v>
          </cell>
          <cell r="D1331">
            <v>38614</v>
          </cell>
          <cell r="F1331" t="str">
            <v>7983</v>
          </cell>
          <cell r="G1331" t="str">
            <v>Muzak, LLC:Firehouse Bar &amp; Grill</v>
          </cell>
          <cell r="H1331">
            <v>1</v>
          </cell>
        </row>
        <row r="1332">
          <cell r="B1332" t="str">
            <v>Freight - Pd by Customer</v>
          </cell>
          <cell r="C1332" t="str">
            <v>Invoice</v>
          </cell>
          <cell r="D1332">
            <v>38614</v>
          </cell>
          <cell r="F1332" t="str">
            <v>7984</v>
          </cell>
          <cell r="G1332" t="str">
            <v>Muzak, LLC:Clubs of Kingwood Golf Proshop</v>
          </cell>
          <cell r="H1332">
            <v>1</v>
          </cell>
        </row>
        <row r="1333">
          <cell r="B1333" t="str">
            <v>Freight - Pd by Customer</v>
          </cell>
          <cell r="C1333" t="str">
            <v>Invoice</v>
          </cell>
          <cell r="D1333">
            <v>38614</v>
          </cell>
          <cell r="F1333" t="str">
            <v>7999</v>
          </cell>
          <cell r="G1333" t="str">
            <v>ScentAir - Corporate Associates:Pamela Knock</v>
          </cell>
          <cell r="H1333">
            <v>1</v>
          </cell>
        </row>
        <row r="1334">
          <cell r="B1334" t="str">
            <v>Freight - Pd by Customer</v>
          </cell>
          <cell r="C1334" t="str">
            <v>Invoice</v>
          </cell>
          <cell r="D1334">
            <v>38614</v>
          </cell>
          <cell r="F1334" t="str">
            <v>7991</v>
          </cell>
          <cell r="G1334" t="str">
            <v>Andrew Snyder Catalyst, Ltd.</v>
          </cell>
          <cell r="H1334">
            <v>1</v>
          </cell>
        </row>
        <row r="1335">
          <cell r="B1335" t="str">
            <v>Freight - Pd by Customer</v>
          </cell>
          <cell r="C1335" t="str">
            <v>Invoice</v>
          </cell>
          <cell r="D1335">
            <v>38615</v>
          </cell>
          <cell r="F1335" t="str">
            <v>8004</v>
          </cell>
          <cell r="G1335" t="str">
            <v>American Solutions Inc.</v>
          </cell>
          <cell r="H1335">
            <v>1</v>
          </cell>
        </row>
        <row r="1336">
          <cell r="B1336" t="str">
            <v>Freight - Pd by Customer</v>
          </cell>
          <cell r="C1336" t="str">
            <v>Invoice</v>
          </cell>
          <cell r="D1336">
            <v>38615</v>
          </cell>
          <cell r="F1336" t="str">
            <v>8005</v>
          </cell>
          <cell r="G1336" t="str">
            <v>Muzak, LLC:Kindercare Learning Center</v>
          </cell>
          <cell r="H1336">
            <v>1</v>
          </cell>
        </row>
        <row r="1337">
          <cell r="B1337" t="str">
            <v>Freight - Pd by Customer</v>
          </cell>
          <cell r="C1337" t="str">
            <v>Invoice</v>
          </cell>
          <cell r="D1337">
            <v>38615</v>
          </cell>
          <cell r="F1337" t="str">
            <v>8008</v>
          </cell>
          <cell r="G1337" t="str">
            <v>Riverside Children’s Theater</v>
          </cell>
          <cell r="H1337">
            <v>1</v>
          </cell>
        </row>
        <row r="1338">
          <cell r="B1338" t="str">
            <v>Freight - Pd by Customer</v>
          </cell>
          <cell r="C1338" t="str">
            <v>Invoice</v>
          </cell>
          <cell r="D1338">
            <v>38615</v>
          </cell>
          <cell r="F1338" t="str">
            <v>7944</v>
          </cell>
          <cell r="G1338" t="str">
            <v>Promotool</v>
          </cell>
          <cell r="H1338">
            <v>1</v>
          </cell>
        </row>
        <row r="1339">
          <cell r="B1339" t="str">
            <v>Freight - Pd by Customer</v>
          </cell>
          <cell r="C1339" t="str">
            <v>Invoice</v>
          </cell>
          <cell r="D1339">
            <v>38616</v>
          </cell>
          <cell r="F1339" t="str">
            <v>8056</v>
          </cell>
          <cell r="G1339" t="str">
            <v>Muzak, LLC:Goodwill - Eastern Ave</v>
          </cell>
          <cell r="H1339">
            <v>1</v>
          </cell>
        </row>
        <row r="1340">
          <cell r="B1340" t="str">
            <v>Freight - Pd by Customer</v>
          </cell>
          <cell r="C1340" t="str">
            <v>Invoice</v>
          </cell>
          <cell r="D1340">
            <v>38616</v>
          </cell>
          <cell r="F1340" t="str">
            <v>8038</v>
          </cell>
          <cell r="G1340" t="str">
            <v>It's A Grind</v>
          </cell>
          <cell r="H1340">
            <v>1</v>
          </cell>
        </row>
        <row r="1341">
          <cell r="B1341" t="str">
            <v>Freight - Pd by Customer</v>
          </cell>
          <cell r="C1341" t="str">
            <v>Invoice</v>
          </cell>
          <cell r="D1341">
            <v>38616</v>
          </cell>
          <cell r="F1341" t="str">
            <v>8039</v>
          </cell>
          <cell r="G1341" t="str">
            <v>Muzak, IA:Soundcom LLC of Florida - Palm Beach</v>
          </cell>
          <cell r="H1341">
            <v>1</v>
          </cell>
        </row>
        <row r="1342">
          <cell r="B1342" t="str">
            <v>Freight - Pd by Customer</v>
          </cell>
          <cell r="C1342" t="str">
            <v>Invoice</v>
          </cell>
          <cell r="D1342">
            <v>38617</v>
          </cell>
          <cell r="F1342" t="str">
            <v>8065</v>
          </cell>
          <cell r="G1342" t="str">
            <v>Webb Scarlett De Vlam</v>
          </cell>
          <cell r="H1342">
            <v>1</v>
          </cell>
        </row>
        <row r="1343">
          <cell r="B1343" t="str">
            <v>Freight - Pd by Customer</v>
          </cell>
          <cell r="C1343" t="str">
            <v>Invoice</v>
          </cell>
          <cell r="D1343">
            <v>38618</v>
          </cell>
          <cell r="F1343" t="str">
            <v>8085</v>
          </cell>
          <cell r="G1343" t="str">
            <v>Scott Roeb Catering &amp; Events, Inc.</v>
          </cell>
          <cell r="H1343">
            <v>1</v>
          </cell>
        </row>
        <row r="1344">
          <cell r="B1344" t="str">
            <v>Freight - Pd by Customer</v>
          </cell>
          <cell r="C1344" t="str">
            <v>Invoice</v>
          </cell>
          <cell r="D1344">
            <v>38618</v>
          </cell>
          <cell r="F1344" t="str">
            <v>8086</v>
          </cell>
          <cell r="G1344" t="str">
            <v>Muzak, LLC:Muzak (Demo)</v>
          </cell>
          <cell r="H1344">
            <v>1</v>
          </cell>
        </row>
        <row r="1345">
          <cell r="B1345" t="str">
            <v>Freight - Pd by Customer</v>
          </cell>
          <cell r="C1345" t="str">
            <v>Invoice</v>
          </cell>
          <cell r="D1345">
            <v>38618</v>
          </cell>
          <cell r="F1345" t="str">
            <v>8089</v>
          </cell>
          <cell r="G1345" t="str">
            <v>ORB Management</v>
          </cell>
          <cell r="H1345">
            <v>1</v>
          </cell>
        </row>
        <row r="1346">
          <cell r="B1346" t="str">
            <v>Freight - Pd by Customer</v>
          </cell>
          <cell r="C1346" t="str">
            <v>Invoice</v>
          </cell>
          <cell r="D1346">
            <v>38621</v>
          </cell>
          <cell r="F1346" t="str">
            <v>8097</v>
          </cell>
          <cell r="G1346" t="str">
            <v>Muzak, LLC:Muzak (Demo)</v>
          </cell>
          <cell r="H1346">
            <v>1</v>
          </cell>
        </row>
        <row r="1347">
          <cell r="B1347" t="str">
            <v>Freight - Pd by Customer</v>
          </cell>
          <cell r="C1347" t="str">
            <v>Invoice</v>
          </cell>
          <cell r="D1347">
            <v>38621</v>
          </cell>
          <cell r="F1347" t="str">
            <v>7658</v>
          </cell>
          <cell r="G1347" t="str">
            <v>Sony Style #XX Tyson's Corner</v>
          </cell>
          <cell r="H1347">
            <v>1</v>
          </cell>
        </row>
        <row r="1348">
          <cell r="B1348" t="str">
            <v>Freight - Pd by Customer</v>
          </cell>
          <cell r="C1348" t="str">
            <v>Invoice</v>
          </cell>
          <cell r="D1348">
            <v>38622</v>
          </cell>
          <cell r="F1348" t="str">
            <v>8102</v>
          </cell>
          <cell r="G1348" t="str">
            <v>Muzak, LLC:McDonald's 4584/ 2682</v>
          </cell>
          <cell r="H1348">
            <v>1</v>
          </cell>
        </row>
        <row r="1349">
          <cell r="B1349" t="str">
            <v>Freight - Pd by Customer</v>
          </cell>
          <cell r="C1349" t="str">
            <v>Invoice</v>
          </cell>
          <cell r="D1349">
            <v>38623</v>
          </cell>
          <cell r="F1349" t="str">
            <v>8147</v>
          </cell>
          <cell r="G1349" t="str">
            <v>Muzak, LLC:Inside Out - Chesterfield</v>
          </cell>
          <cell r="H1349">
            <v>1</v>
          </cell>
        </row>
        <row r="1350">
          <cell r="B1350" t="str">
            <v>Freight - Pd by Customer</v>
          </cell>
          <cell r="C1350" t="str">
            <v>Invoice</v>
          </cell>
          <cell r="D1350">
            <v>38623</v>
          </cell>
          <cell r="F1350" t="str">
            <v>8020</v>
          </cell>
          <cell r="G1350" t="str">
            <v>Integer Group, Inc.</v>
          </cell>
          <cell r="H1350">
            <v>1</v>
          </cell>
        </row>
        <row r="1351">
          <cell r="B1351" t="str">
            <v>Freight - Pd by Customer</v>
          </cell>
          <cell r="C1351" t="str">
            <v>Invoice</v>
          </cell>
          <cell r="D1351">
            <v>38624</v>
          </cell>
          <cell r="F1351" t="str">
            <v>8188</v>
          </cell>
          <cell r="G1351" t="str">
            <v>Muzak, LLC:Muzak (Demo)</v>
          </cell>
          <cell r="H1351">
            <v>1</v>
          </cell>
        </row>
        <row r="1352">
          <cell r="B1352" t="str">
            <v>Freight - Pd by Customer</v>
          </cell>
          <cell r="C1352" t="str">
            <v>Invoice</v>
          </cell>
          <cell r="D1352">
            <v>38624</v>
          </cell>
          <cell r="F1352" t="str">
            <v>8189</v>
          </cell>
          <cell r="G1352" t="str">
            <v>Muzak, LLC:Muzak (Demo)</v>
          </cell>
          <cell r="H1352">
            <v>1</v>
          </cell>
        </row>
        <row r="1353">
          <cell r="B1353" t="str">
            <v>Freight - Pd by Customer</v>
          </cell>
          <cell r="C1353" t="str">
            <v>Invoice</v>
          </cell>
          <cell r="D1353">
            <v>38625</v>
          </cell>
          <cell r="F1353" t="str">
            <v>8201</v>
          </cell>
          <cell r="G1353" t="str">
            <v>Mane USA/Arcade</v>
          </cell>
          <cell r="H1353">
            <v>1</v>
          </cell>
        </row>
        <row r="1354">
          <cell r="B1354" t="str">
            <v>Freight - Pd by Customer</v>
          </cell>
          <cell r="C1354" t="str">
            <v>Invoice</v>
          </cell>
          <cell r="D1354">
            <v>38625</v>
          </cell>
          <cell r="F1354" t="str">
            <v>8200</v>
          </cell>
          <cell r="G1354" t="str">
            <v>ScentAir Australia Pty Ltd.</v>
          </cell>
          <cell r="H1354">
            <v>1</v>
          </cell>
        </row>
        <row r="1355">
          <cell r="B1355" t="str">
            <v>Freight - Pd by Customer</v>
          </cell>
          <cell r="C1355" t="str">
            <v>Invoice</v>
          </cell>
          <cell r="D1355">
            <v>38625</v>
          </cell>
          <cell r="F1355" t="str">
            <v>8199</v>
          </cell>
          <cell r="G1355" t="str">
            <v>Promotool</v>
          </cell>
          <cell r="H1355">
            <v>1</v>
          </cell>
        </row>
        <row r="1356">
          <cell r="B1356" t="str">
            <v>Freight - Pd by Customer</v>
          </cell>
          <cell r="C1356" t="str">
            <v>Invoice</v>
          </cell>
          <cell r="D1356">
            <v>38625</v>
          </cell>
          <cell r="F1356" t="str">
            <v>8096</v>
          </cell>
          <cell r="G1356" t="str">
            <v>Videotronic Benelux BV</v>
          </cell>
          <cell r="H1356">
            <v>1</v>
          </cell>
        </row>
        <row r="1357">
          <cell r="B1357" t="str">
            <v>Freight - Pd by Customer</v>
          </cell>
          <cell r="C1357" t="str">
            <v>Invoice</v>
          </cell>
          <cell r="D1357">
            <v>38626</v>
          </cell>
          <cell r="F1357" t="str">
            <v>7559</v>
          </cell>
          <cell r="G1357" t="str">
            <v>Venetian Hotel</v>
          </cell>
          <cell r="H1357">
            <v>1</v>
          </cell>
        </row>
        <row r="1358">
          <cell r="B1358" t="str">
            <v>Freight - Pd by Customer</v>
          </cell>
          <cell r="C1358" t="str">
            <v>Invoice</v>
          </cell>
          <cell r="D1358">
            <v>38628</v>
          </cell>
          <cell r="F1358" t="str">
            <v>8245</v>
          </cell>
          <cell r="G1358" t="str">
            <v>Promotool</v>
          </cell>
          <cell r="H1358">
            <v>1</v>
          </cell>
        </row>
        <row r="1359">
          <cell r="B1359" t="str">
            <v>Freight - Pd by Customer</v>
          </cell>
          <cell r="C1359" t="str">
            <v>Invoice</v>
          </cell>
          <cell r="D1359">
            <v>38628</v>
          </cell>
          <cell r="F1359" t="str">
            <v>8254</v>
          </cell>
          <cell r="G1359" t="str">
            <v>Muzak, LLC:Muzak (Demo)</v>
          </cell>
          <cell r="H1359">
            <v>1</v>
          </cell>
        </row>
        <row r="1360">
          <cell r="B1360" t="str">
            <v>Freight - Pd by Customer</v>
          </cell>
          <cell r="C1360" t="str">
            <v>Invoice</v>
          </cell>
          <cell r="D1360">
            <v>38629</v>
          </cell>
          <cell r="F1360" t="str">
            <v>8317</v>
          </cell>
          <cell r="G1360" t="str">
            <v>Promotool</v>
          </cell>
          <cell r="H1360">
            <v>1</v>
          </cell>
        </row>
        <row r="1361">
          <cell r="B1361" t="str">
            <v>Freight - Pd by Customer</v>
          </cell>
          <cell r="C1361" t="str">
            <v>Invoice</v>
          </cell>
          <cell r="D1361">
            <v>38629</v>
          </cell>
          <cell r="F1361" t="str">
            <v>7964</v>
          </cell>
          <cell r="G1361" t="str">
            <v>Sony Style - Boca Raton</v>
          </cell>
          <cell r="H1361">
            <v>1</v>
          </cell>
        </row>
        <row r="1362">
          <cell r="B1362" t="str">
            <v>Freight - Pd by Customer</v>
          </cell>
          <cell r="C1362" t="str">
            <v>Invoice</v>
          </cell>
          <cell r="D1362">
            <v>38630</v>
          </cell>
          <cell r="F1362" t="str">
            <v>8347</v>
          </cell>
          <cell r="G1362" t="str">
            <v>Mystic Scenic Studios, Inc.</v>
          </cell>
          <cell r="H1362">
            <v>1</v>
          </cell>
        </row>
        <row r="1363">
          <cell r="B1363" t="str">
            <v>Freight - Pd by Customer</v>
          </cell>
          <cell r="C1363" t="str">
            <v>Invoice</v>
          </cell>
          <cell r="D1363">
            <v>38630</v>
          </cell>
          <cell r="F1363" t="str">
            <v>8206</v>
          </cell>
          <cell r="G1363" t="str">
            <v>AroMarketing:AroMarketing - Texas</v>
          </cell>
          <cell r="H1363">
            <v>1</v>
          </cell>
        </row>
        <row r="1364">
          <cell r="B1364" t="str">
            <v>Handling Charge</v>
          </cell>
          <cell r="C1364" t="str">
            <v>Invoice</v>
          </cell>
          <cell r="D1364">
            <v>38542</v>
          </cell>
          <cell r="F1364" t="str">
            <v>6322</v>
          </cell>
          <cell r="G1364" t="str">
            <v>Disney Worldwide:Goofy's Candy Company</v>
          </cell>
          <cell r="H1364">
            <v>1</v>
          </cell>
        </row>
        <row r="1365">
          <cell r="B1365" t="str">
            <v>Handling Charge</v>
          </cell>
          <cell r="C1365" t="str">
            <v>Invoice</v>
          </cell>
          <cell r="D1365">
            <v>38564</v>
          </cell>
          <cell r="F1365" t="str">
            <v>5109B</v>
          </cell>
          <cell r="G1365" t="str">
            <v>Au Bon Pain</v>
          </cell>
          <cell r="H1365">
            <v>1</v>
          </cell>
        </row>
        <row r="1366">
          <cell r="B1366" t="str">
            <v>Handling Charge</v>
          </cell>
          <cell r="C1366" t="str">
            <v>Invoice</v>
          </cell>
          <cell r="D1366">
            <v>38573</v>
          </cell>
          <cell r="F1366" t="str">
            <v>5595-I</v>
          </cell>
          <cell r="G1366" t="str">
            <v>Disney Worldwide:Goofy's Candy Company</v>
          </cell>
          <cell r="H1366">
            <v>1</v>
          </cell>
        </row>
        <row r="1367">
          <cell r="B1367" t="str">
            <v>Handling Charge</v>
          </cell>
          <cell r="C1367" t="str">
            <v>Invoice</v>
          </cell>
          <cell r="D1367">
            <v>38573</v>
          </cell>
          <cell r="F1367" t="str">
            <v>6405</v>
          </cell>
          <cell r="G1367" t="str">
            <v>Disney Worldwide:Main Street Confectionary</v>
          </cell>
          <cell r="H1367">
            <v>1</v>
          </cell>
        </row>
        <row r="1368">
          <cell r="B1368" t="str">
            <v>Handling Charge</v>
          </cell>
          <cell r="C1368" t="str">
            <v>Invoice</v>
          </cell>
          <cell r="D1368">
            <v>38604</v>
          </cell>
          <cell r="F1368" t="str">
            <v>7213</v>
          </cell>
          <cell r="G1368" t="str">
            <v>Disney Worldwide:Goofy's Candy Company</v>
          </cell>
          <cell r="H1368">
            <v>1</v>
          </cell>
        </row>
        <row r="1369">
          <cell r="B1369" t="str">
            <v>Inert Scent Wave Machine</v>
          </cell>
          <cell r="C1369" t="str">
            <v>Invoice</v>
          </cell>
          <cell r="D1369">
            <v>38456</v>
          </cell>
          <cell r="F1369" t="str">
            <v>5622</v>
          </cell>
          <cell r="G1369" t="str">
            <v>Seal-It</v>
          </cell>
          <cell r="H1369">
            <v>1</v>
          </cell>
        </row>
        <row r="1370">
          <cell r="B1370" t="str">
            <v>INSTALLATION</v>
          </cell>
          <cell r="C1370" t="str">
            <v>Invoice</v>
          </cell>
          <cell r="D1370">
            <v>38586</v>
          </cell>
          <cell r="F1370" t="str">
            <v>7640</v>
          </cell>
          <cell r="G1370" t="str">
            <v>jaGG Classic Wholesale Inc.</v>
          </cell>
          <cell r="H1370">
            <v>1</v>
          </cell>
        </row>
        <row r="1371">
          <cell r="B1371" t="str">
            <v>INSTALLATION</v>
          </cell>
          <cell r="C1371" t="str">
            <v>Invoice</v>
          </cell>
          <cell r="D1371">
            <v>38611</v>
          </cell>
          <cell r="F1371" t="str">
            <v>7971</v>
          </cell>
          <cell r="G1371" t="str">
            <v>Lane Bryant:Lane Bryant - Pembroke</v>
          </cell>
          <cell r="H1371">
            <v>1</v>
          </cell>
        </row>
        <row r="1372">
          <cell r="B1372" t="str">
            <v>INSTALLATION</v>
          </cell>
          <cell r="C1372" t="str">
            <v>Invoice</v>
          </cell>
          <cell r="D1372">
            <v>38614</v>
          </cell>
          <cell r="F1372" t="str">
            <v>7996</v>
          </cell>
          <cell r="G1372" t="str">
            <v>Hard Rock Hotel and Casino - Las Vegas</v>
          </cell>
          <cell r="H1372">
            <v>1</v>
          </cell>
        </row>
        <row r="1373">
          <cell r="B1373" t="str">
            <v>MISC_503400</v>
          </cell>
          <cell r="C1373" t="str">
            <v>Invoice</v>
          </cell>
          <cell r="D1373">
            <v>38580</v>
          </cell>
          <cell r="F1373" t="str">
            <v>7388</v>
          </cell>
          <cell r="G1373" t="str">
            <v>Starwood Hotels Corporate Office</v>
          </cell>
          <cell r="H1373">
            <v>1</v>
          </cell>
        </row>
        <row r="1374">
          <cell r="B1374" t="str">
            <v>MISC_COGS</v>
          </cell>
          <cell r="C1374" t="str">
            <v>Invoice</v>
          </cell>
          <cell r="D1374">
            <v>38393</v>
          </cell>
          <cell r="F1374" t="str">
            <v>5283</v>
          </cell>
          <cell r="G1374" t="str">
            <v>Grupobiz-Integradora De Espartaculos</v>
          </cell>
          <cell r="H1374">
            <v>1</v>
          </cell>
        </row>
        <row r="1375">
          <cell r="B1375" t="str">
            <v>MISC_COGS</v>
          </cell>
          <cell r="C1375" t="str">
            <v>Invoice</v>
          </cell>
          <cell r="D1375">
            <v>38498</v>
          </cell>
          <cell r="F1375" t="str">
            <v>5699</v>
          </cell>
          <cell r="G1375" t="str">
            <v>AFFCO</v>
          </cell>
          <cell r="H1375">
            <v>1</v>
          </cell>
        </row>
        <row r="1376">
          <cell r="B1376" t="str">
            <v>MISC_COGS</v>
          </cell>
          <cell r="C1376" t="str">
            <v>Invoice</v>
          </cell>
          <cell r="D1376">
            <v>38505</v>
          </cell>
          <cell r="F1376" t="str">
            <v>5574A</v>
          </cell>
          <cell r="G1376" t="str">
            <v>Muzak, LLC:Doctor's Urgent Care</v>
          </cell>
          <cell r="H1376">
            <v>1</v>
          </cell>
        </row>
        <row r="1377">
          <cell r="B1377" t="str">
            <v>MISC_COGS</v>
          </cell>
          <cell r="C1377" t="str">
            <v>Invoice</v>
          </cell>
          <cell r="D1377">
            <v>38525</v>
          </cell>
          <cell r="F1377" t="str">
            <v>5574-I</v>
          </cell>
          <cell r="G1377" t="str">
            <v>Muzak, LLC:Doctor's Urgent Care</v>
          </cell>
          <cell r="H1377">
            <v>1</v>
          </cell>
        </row>
        <row r="1378">
          <cell r="B1378" t="str">
            <v>MISC_COGS</v>
          </cell>
          <cell r="C1378" t="str">
            <v>Invoice</v>
          </cell>
          <cell r="D1378">
            <v>38526</v>
          </cell>
          <cell r="F1378" t="str">
            <v>6408</v>
          </cell>
          <cell r="G1378" t="str">
            <v>Pilot Travel Centers</v>
          </cell>
          <cell r="H1378">
            <v>1</v>
          </cell>
        </row>
        <row r="1379">
          <cell r="B1379" t="str">
            <v>MISC_COGS</v>
          </cell>
          <cell r="C1379" t="str">
            <v>Invoice</v>
          </cell>
          <cell r="D1379">
            <v>38526</v>
          </cell>
          <cell r="F1379" t="str">
            <v>5567A</v>
          </cell>
          <cell r="G1379" t="str">
            <v>AroMarketing:AroMarketing - Texas</v>
          </cell>
          <cell r="H1379">
            <v>1</v>
          </cell>
        </row>
        <row r="1380">
          <cell r="B1380" t="str">
            <v>MISC_COGS</v>
          </cell>
          <cell r="C1380" t="str">
            <v>Invoice</v>
          </cell>
          <cell r="D1380">
            <v>38531</v>
          </cell>
          <cell r="F1380" t="str">
            <v>5590</v>
          </cell>
          <cell r="G1380" t="str">
            <v>Jimmy Choo (Corporate Office):Jimmy Choo (Palm Beach Gardens)</v>
          </cell>
          <cell r="H1380">
            <v>1</v>
          </cell>
        </row>
        <row r="1381">
          <cell r="B1381" t="str">
            <v>MISC_COGS</v>
          </cell>
          <cell r="C1381" t="str">
            <v>Invoice</v>
          </cell>
          <cell r="D1381">
            <v>38533</v>
          </cell>
          <cell r="F1381" t="str">
            <v>7001</v>
          </cell>
          <cell r="G1381" t="str">
            <v>Starwood Hotels:The Essex Hotel</v>
          </cell>
          <cell r="H1381">
            <v>1</v>
          </cell>
        </row>
        <row r="1382">
          <cell r="B1382" t="str">
            <v>MISC_COGS</v>
          </cell>
          <cell r="C1382" t="str">
            <v>Invoice</v>
          </cell>
          <cell r="D1382">
            <v>38533</v>
          </cell>
          <cell r="F1382" t="str">
            <v>5580-I</v>
          </cell>
          <cell r="G1382" t="str">
            <v>AroMarketing:AroMarketing - Texas</v>
          </cell>
          <cell r="H1382">
            <v>1</v>
          </cell>
        </row>
        <row r="1383">
          <cell r="B1383" t="str">
            <v>MISC_COGS</v>
          </cell>
          <cell r="C1383" t="str">
            <v>Invoice</v>
          </cell>
          <cell r="D1383">
            <v>38533</v>
          </cell>
          <cell r="F1383" t="str">
            <v>7005</v>
          </cell>
          <cell r="G1383" t="str">
            <v>Exxon DDB Worldwide:ExxonMobil #20432</v>
          </cell>
          <cell r="H1383">
            <v>1</v>
          </cell>
        </row>
        <row r="1384">
          <cell r="B1384" t="str">
            <v>MISC_COGS</v>
          </cell>
          <cell r="C1384" t="str">
            <v>Invoice</v>
          </cell>
          <cell r="D1384">
            <v>38533</v>
          </cell>
          <cell r="F1384" t="str">
            <v>7006</v>
          </cell>
          <cell r="G1384" t="str">
            <v>Exxon DDB Worldwide:ExxonMobil #25329</v>
          </cell>
          <cell r="H1384">
            <v>1</v>
          </cell>
        </row>
        <row r="1385">
          <cell r="B1385" t="str">
            <v>MISC_COGS</v>
          </cell>
          <cell r="C1385" t="str">
            <v>Invoice</v>
          </cell>
          <cell r="D1385">
            <v>38533</v>
          </cell>
          <cell r="F1385" t="str">
            <v>7007</v>
          </cell>
          <cell r="G1385" t="str">
            <v>Exxon DDB Worldwide:ExxonMobil #27925</v>
          </cell>
          <cell r="H1385">
            <v>1</v>
          </cell>
        </row>
        <row r="1386">
          <cell r="B1386" t="str">
            <v>MISC_COGS</v>
          </cell>
          <cell r="C1386" t="str">
            <v>Invoice</v>
          </cell>
          <cell r="D1386">
            <v>38533</v>
          </cell>
          <cell r="F1386" t="str">
            <v>7011</v>
          </cell>
          <cell r="G1386" t="str">
            <v>Exxon DDB Worldwide:ExxonMobil #60121</v>
          </cell>
          <cell r="H1386">
            <v>1</v>
          </cell>
        </row>
        <row r="1387">
          <cell r="B1387" t="str">
            <v>MISC_COGS</v>
          </cell>
          <cell r="C1387" t="str">
            <v>Invoice</v>
          </cell>
          <cell r="D1387">
            <v>38533</v>
          </cell>
          <cell r="F1387" t="str">
            <v>7012</v>
          </cell>
          <cell r="G1387" t="str">
            <v>Exxon DDB Worldwide:ExxonMobil #62065</v>
          </cell>
          <cell r="H1387">
            <v>1</v>
          </cell>
        </row>
        <row r="1388">
          <cell r="B1388" t="str">
            <v>MISC_COGS</v>
          </cell>
          <cell r="C1388" t="str">
            <v>Invoice</v>
          </cell>
          <cell r="D1388">
            <v>38533</v>
          </cell>
          <cell r="F1388" t="str">
            <v>7013</v>
          </cell>
          <cell r="G1388" t="str">
            <v>Exxon DDB Worldwide:ExxonMobil #80158</v>
          </cell>
          <cell r="H1388">
            <v>1</v>
          </cell>
        </row>
        <row r="1389">
          <cell r="B1389" t="str">
            <v>MISC_COGS</v>
          </cell>
          <cell r="C1389" t="str">
            <v>Invoice</v>
          </cell>
          <cell r="D1389">
            <v>38533</v>
          </cell>
          <cell r="F1389" t="str">
            <v>7008</v>
          </cell>
          <cell r="G1389" t="str">
            <v>Exxon DDB Worldwide:ExxonMobil #40595</v>
          </cell>
          <cell r="H1389">
            <v>1</v>
          </cell>
        </row>
        <row r="1390">
          <cell r="B1390" t="str">
            <v>MISC_COGS</v>
          </cell>
          <cell r="C1390" t="str">
            <v>Invoice</v>
          </cell>
          <cell r="D1390">
            <v>38533</v>
          </cell>
          <cell r="F1390" t="str">
            <v>7009</v>
          </cell>
          <cell r="G1390" t="str">
            <v>Exxon DDB Worldwide:ExxonMobil #40600</v>
          </cell>
          <cell r="H1390">
            <v>1</v>
          </cell>
        </row>
        <row r="1391">
          <cell r="B1391" t="str">
            <v>MISC_COGS</v>
          </cell>
          <cell r="C1391" t="str">
            <v>Invoice</v>
          </cell>
          <cell r="D1391">
            <v>38533</v>
          </cell>
          <cell r="F1391" t="str">
            <v>7010</v>
          </cell>
          <cell r="G1391" t="str">
            <v>Exxon DDB Worldwide:ExxonMobil #47373</v>
          </cell>
          <cell r="H1391">
            <v>1</v>
          </cell>
        </row>
        <row r="1392">
          <cell r="B1392" t="str">
            <v>MISC_COGS</v>
          </cell>
          <cell r="C1392" t="str">
            <v>Invoice</v>
          </cell>
          <cell r="D1392">
            <v>38539</v>
          </cell>
          <cell r="F1392" t="str">
            <v>7029</v>
          </cell>
          <cell r="G1392" t="str">
            <v>Eddie Bauer, Inc.</v>
          </cell>
          <cell r="H1392">
            <v>1</v>
          </cell>
        </row>
        <row r="1393">
          <cell r="B1393" t="str">
            <v>MISC_COGS</v>
          </cell>
          <cell r="C1393" t="str">
            <v>Invoice</v>
          </cell>
          <cell r="D1393">
            <v>38544</v>
          </cell>
          <cell r="F1393" t="str">
            <v>7075-I</v>
          </cell>
          <cell r="G1393" t="str">
            <v>Arkitectura Urbana</v>
          </cell>
          <cell r="H1393">
            <v>1</v>
          </cell>
        </row>
        <row r="1394">
          <cell r="B1394" t="str">
            <v>MISC_COGS</v>
          </cell>
          <cell r="C1394" t="str">
            <v>Invoice</v>
          </cell>
          <cell r="D1394">
            <v>38546</v>
          </cell>
          <cell r="F1394" t="str">
            <v>7136</v>
          </cell>
          <cell r="G1394" t="str">
            <v>ScentAir Australia Pty Ltd.</v>
          </cell>
          <cell r="H1394">
            <v>1</v>
          </cell>
        </row>
        <row r="1395">
          <cell r="B1395" t="str">
            <v>MISC_COGS</v>
          </cell>
          <cell r="C1395" t="str">
            <v>Invoice</v>
          </cell>
          <cell r="D1395">
            <v>38548</v>
          </cell>
          <cell r="F1395" t="str">
            <v>6410</v>
          </cell>
          <cell r="G1395" t="str">
            <v>Jimmy Choo (Corporate Office):Jimmy Choo (Coral Gables)</v>
          </cell>
          <cell r="H1395">
            <v>1</v>
          </cell>
        </row>
        <row r="1396">
          <cell r="B1396" t="str">
            <v>MISC_COGS</v>
          </cell>
          <cell r="C1396" t="str">
            <v>Invoice</v>
          </cell>
          <cell r="D1396">
            <v>38548</v>
          </cell>
          <cell r="F1396" t="str">
            <v>7145</v>
          </cell>
          <cell r="G1396" t="str">
            <v>Muzak, LLC:Just Fresh Bakery Cafe &amp; Mkt. - Durham</v>
          </cell>
          <cell r="H1396">
            <v>1</v>
          </cell>
        </row>
        <row r="1397">
          <cell r="B1397" t="str">
            <v>MISC_COGS</v>
          </cell>
          <cell r="C1397" t="str">
            <v>Invoice</v>
          </cell>
          <cell r="D1397">
            <v>38552</v>
          </cell>
          <cell r="F1397" t="str">
            <v>7161</v>
          </cell>
          <cell r="G1397" t="str">
            <v>Carson Pirie Scott &amp; Co..</v>
          </cell>
          <cell r="H1397">
            <v>1</v>
          </cell>
        </row>
        <row r="1398">
          <cell r="B1398" t="str">
            <v>MISC_COGS</v>
          </cell>
          <cell r="C1398" t="str">
            <v>Invoice</v>
          </cell>
          <cell r="D1398">
            <v>38553</v>
          </cell>
          <cell r="F1398" t="str">
            <v>7174</v>
          </cell>
          <cell r="G1398" t="str">
            <v>ScentAir - Corporate Associates</v>
          </cell>
          <cell r="H1398">
            <v>1</v>
          </cell>
        </row>
        <row r="1399">
          <cell r="B1399" t="str">
            <v>MISC_COGS</v>
          </cell>
          <cell r="C1399" t="str">
            <v>Invoice</v>
          </cell>
          <cell r="D1399">
            <v>38553</v>
          </cell>
          <cell r="F1399" t="str">
            <v>7174</v>
          </cell>
          <cell r="G1399" t="str">
            <v>ScentAir - Corporate Associates</v>
          </cell>
          <cell r="H1399">
            <v>1</v>
          </cell>
        </row>
        <row r="1400">
          <cell r="B1400" t="str">
            <v>MISC_COGS</v>
          </cell>
          <cell r="C1400" t="str">
            <v>Invoice</v>
          </cell>
          <cell r="D1400">
            <v>38553</v>
          </cell>
          <cell r="F1400" t="str">
            <v>7166</v>
          </cell>
          <cell r="G1400" t="str">
            <v>Nutraceutical/Fresh Organics</v>
          </cell>
          <cell r="H1400">
            <v>1</v>
          </cell>
        </row>
        <row r="1401">
          <cell r="B1401" t="str">
            <v>MISC_COGS</v>
          </cell>
          <cell r="C1401" t="str">
            <v>Invoice</v>
          </cell>
          <cell r="D1401">
            <v>38554</v>
          </cell>
          <cell r="F1401" t="str">
            <v>7144</v>
          </cell>
          <cell r="G1401" t="str">
            <v>ScentAir Australia Pty Ltd.</v>
          </cell>
          <cell r="H1401">
            <v>1</v>
          </cell>
        </row>
        <row r="1402">
          <cell r="B1402" t="str">
            <v>MISC_COGS</v>
          </cell>
          <cell r="C1402" t="str">
            <v>Invoice</v>
          </cell>
          <cell r="D1402">
            <v>38565</v>
          </cell>
          <cell r="F1402" t="str">
            <v>7225</v>
          </cell>
          <cell r="G1402" t="str">
            <v>Jimmy Choo (Corporate Office):Jimmy Choo (Dallas)</v>
          </cell>
          <cell r="H1402">
            <v>1</v>
          </cell>
        </row>
        <row r="1403">
          <cell r="B1403" t="str">
            <v>MISC_COGS</v>
          </cell>
          <cell r="C1403" t="str">
            <v>Invoice</v>
          </cell>
          <cell r="D1403">
            <v>38565</v>
          </cell>
          <cell r="F1403" t="str">
            <v>7225</v>
          </cell>
          <cell r="G1403" t="str">
            <v>Jimmy Choo (Corporate Office):Jimmy Choo (Dallas)</v>
          </cell>
          <cell r="H1403">
            <v>1</v>
          </cell>
        </row>
        <row r="1404">
          <cell r="B1404" t="str">
            <v>MISC_COGS</v>
          </cell>
          <cell r="C1404" t="str">
            <v>Invoice</v>
          </cell>
          <cell r="D1404">
            <v>38567</v>
          </cell>
          <cell r="F1404" t="str">
            <v>7295</v>
          </cell>
          <cell r="G1404" t="str">
            <v>Muzak, LLC</v>
          </cell>
          <cell r="H1404">
            <v>1</v>
          </cell>
        </row>
        <row r="1405">
          <cell r="B1405" t="str">
            <v>MISC_COGS</v>
          </cell>
          <cell r="C1405" t="str">
            <v>Invoice</v>
          </cell>
          <cell r="D1405">
            <v>38573</v>
          </cell>
          <cell r="F1405" t="str">
            <v>7340</v>
          </cell>
          <cell r="G1405" t="str">
            <v>Access Artisans Greenwhich Village</v>
          </cell>
          <cell r="H1405">
            <v>1</v>
          </cell>
        </row>
        <row r="1406">
          <cell r="B1406" t="str">
            <v>MNT1000</v>
          </cell>
          <cell r="C1406" t="str">
            <v>Invoice</v>
          </cell>
          <cell r="D1406">
            <v>38586</v>
          </cell>
          <cell r="F1406" t="str">
            <v>7647</v>
          </cell>
          <cell r="G1406" t="str">
            <v>Muzak, LLC:Freshens - Cambridge</v>
          </cell>
          <cell r="H1406">
            <v>1</v>
          </cell>
        </row>
        <row r="1407">
          <cell r="B1407" t="str">
            <v>MNT1000</v>
          </cell>
          <cell r="C1407" t="str">
            <v>Invoice</v>
          </cell>
          <cell r="D1407">
            <v>38586</v>
          </cell>
          <cell r="F1407" t="str">
            <v>7649</v>
          </cell>
          <cell r="G1407" t="str">
            <v>Muzak, LLC:Freshens - Hyannis</v>
          </cell>
          <cell r="H1407">
            <v>1</v>
          </cell>
        </row>
        <row r="1408">
          <cell r="B1408" t="str">
            <v>MNT1000</v>
          </cell>
          <cell r="C1408" t="str">
            <v>Invoice</v>
          </cell>
          <cell r="D1408">
            <v>38588</v>
          </cell>
          <cell r="F1408" t="str">
            <v>7679</v>
          </cell>
          <cell r="G1408" t="str">
            <v>Muzak, LLC:Axel Bloom LLC</v>
          </cell>
          <cell r="H1408">
            <v>1</v>
          </cell>
        </row>
        <row r="1409">
          <cell r="B1409" t="str">
            <v>MNT1000</v>
          </cell>
          <cell r="C1409" t="str">
            <v>Invoice</v>
          </cell>
          <cell r="D1409">
            <v>38588</v>
          </cell>
          <cell r="F1409" t="str">
            <v>7689</v>
          </cell>
          <cell r="G1409" t="str">
            <v>Muzak, LLC:Parker's SSI</v>
          </cell>
          <cell r="H1409">
            <v>1</v>
          </cell>
        </row>
        <row r="1410">
          <cell r="B1410" t="str">
            <v>MNT1000</v>
          </cell>
          <cell r="C1410" t="str">
            <v>Invoice</v>
          </cell>
          <cell r="D1410">
            <v>38588</v>
          </cell>
          <cell r="F1410" t="str">
            <v>7690</v>
          </cell>
          <cell r="G1410" t="str">
            <v>Muzak, LLC:Parker's  - Brunswick</v>
          </cell>
          <cell r="H1410">
            <v>1</v>
          </cell>
        </row>
        <row r="1411">
          <cell r="B1411" t="str">
            <v>MNT1000</v>
          </cell>
          <cell r="C1411" t="str">
            <v>Invoice</v>
          </cell>
          <cell r="D1411">
            <v>38588</v>
          </cell>
          <cell r="F1411" t="str">
            <v>7687</v>
          </cell>
          <cell r="G1411" t="str">
            <v>Muzak, LLC:Folks</v>
          </cell>
          <cell r="H1411">
            <v>1</v>
          </cell>
        </row>
        <row r="1412">
          <cell r="B1412" t="str">
            <v>MNT1000</v>
          </cell>
          <cell r="C1412" t="str">
            <v>Invoice</v>
          </cell>
          <cell r="D1412">
            <v>38588</v>
          </cell>
          <cell r="F1412" t="str">
            <v>7688</v>
          </cell>
          <cell r="G1412" t="str">
            <v>Muzak, LLC:Life Care Center</v>
          </cell>
          <cell r="H1412">
            <v>1</v>
          </cell>
        </row>
        <row r="1413">
          <cell r="B1413" t="str">
            <v>MNT1000</v>
          </cell>
          <cell r="C1413" t="str">
            <v>Invoice</v>
          </cell>
          <cell r="D1413">
            <v>38588</v>
          </cell>
          <cell r="F1413" t="str">
            <v>7683</v>
          </cell>
          <cell r="G1413" t="str">
            <v>Muzak, LLC:American Enterprise Bank</v>
          </cell>
          <cell r="H1413">
            <v>1</v>
          </cell>
        </row>
        <row r="1414">
          <cell r="B1414" t="str">
            <v>MNT1000</v>
          </cell>
          <cell r="C1414" t="str">
            <v>Invoice</v>
          </cell>
          <cell r="D1414">
            <v>38589</v>
          </cell>
          <cell r="F1414" t="str">
            <v>7692</v>
          </cell>
          <cell r="G1414" t="str">
            <v>Muzak, LLC:Turquoise Day Spa</v>
          </cell>
          <cell r="H1414">
            <v>1</v>
          </cell>
        </row>
        <row r="1415">
          <cell r="B1415" t="str">
            <v>MNT1000</v>
          </cell>
          <cell r="C1415" t="str">
            <v>Invoice</v>
          </cell>
          <cell r="D1415">
            <v>38589</v>
          </cell>
          <cell r="F1415" t="str">
            <v>7691</v>
          </cell>
          <cell r="G1415" t="str">
            <v>Muzak, LLC:Red 74</v>
          </cell>
          <cell r="H1415">
            <v>1</v>
          </cell>
        </row>
        <row r="1416">
          <cell r="B1416" t="str">
            <v>MNT1000</v>
          </cell>
          <cell r="C1416" t="str">
            <v>Invoice</v>
          </cell>
          <cell r="D1416">
            <v>38590</v>
          </cell>
          <cell r="F1416" t="str">
            <v>7707</v>
          </cell>
          <cell r="G1416" t="str">
            <v>Muzak, LLC:Dr Geeta Bhat DDS</v>
          </cell>
          <cell r="H1416">
            <v>1</v>
          </cell>
        </row>
        <row r="1417">
          <cell r="B1417" t="str">
            <v>MNT1000</v>
          </cell>
          <cell r="C1417" t="str">
            <v>Invoice</v>
          </cell>
          <cell r="D1417">
            <v>38590</v>
          </cell>
          <cell r="F1417" t="str">
            <v>7711</v>
          </cell>
          <cell r="G1417" t="str">
            <v>ScentAir - Corporate Associates:Pamela Knock</v>
          </cell>
          <cell r="H1417">
            <v>1</v>
          </cell>
        </row>
        <row r="1418">
          <cell r="B1418" t="str">
            <v>MNT1000</v>
          </cell>
          <cell r="C1418" t="str">
            <v>Invoice</v>
          </cell>
          <cell r="D1418">
            <v>38593</v>
          </cell>
          <cell r="F1418" t="str">
            <v>7706</v>
          </cell>
          <cell r="G1418" t="str">
            <v>Muzak, LLC:Mattress Barn - 043074</v>
          </cell>
          <cell r="H1418">
            <v>1</v>
          </cell>
        </row>
        <row r="1419">
          <cell r="B1419" t="str">
            <v>MNT1000</v>
          </cell>
          <cell r="C1419" t="str">
            <v>Invoice</v>
          </cell>
          <cell r="D1419">
            <v>38593</v>
          </cell>
          <cell r="F1419" t="str">
            <v>7720</v>
          </cell>
          <cell r="G1419" t="str">
            <v>Muzak, LLC:Ultimate Exposure - Park Rd</v>
          </cell>
          <cell r="H1419">
            <v>1</v>
          </cell>
        </row>
        <row r="1420">
          <cell r="B1420" t="str">
            <v>MNT1000</v>
          </cell>
          <cell r="C1420" t="str">
            <v>Invoice</v>
          </cell>
          <cell r="D1420">
            <v>38594</v>
          </cell>
          <cell r="F1420" t="str">
            <v>7725</v>
          </cell>
          <cell r="G1420" t="str">
            <v>Muzak, LLC:Blue Ridge Mall</v>
          </cell>
          <cell r="H1420">
            <v>1</v>
          </cell>
        </row>
        <row r="1421">
          <cell r="B1421" t="str">
            <v>MNT1000</v>
          </cell>
          <cell r="C1421" t="str">
            <v>Invoice</v>
          </cell>
          <cell r="D1421">
            <v>38594</v>
          </cell>
          <cell r="F1421" t="str">
            <v>7722</v>
          </cell>
          <cell r="G1421" t="str">
            <v>Muzak, LLC:Ultimate Exposure - Broadway</v>
          </cell>
          <cell r="H1421">
            <v>1</v>
          </cell>
        </row>
        <row r="1422">
          <cell r="B1422" t="str">
            <v>MNT1000</v>
          </cell>
          <cell r="C1422" t="str">
            <v>Invoice</v>
          </cell>
          <cell r="D1422">
            <v>38594</v>
          </cell>
          <cell r="F1422" t="str">
            <v>7723</v>
          </cell>
          <cell r="G1422" t="str">
            <v>Muzak, LLC:Carolina's Diner</v>
          </cell>
          <cell r="H1422">
            <v>1</v>
          </cell>
        </row>
        <row r="1423">
          <cell r="B1423" t="str">
            <v>MNT1000</v>
          </cell>
          <cell r="C1423" t="str">
            <v>Invoice</v>
          </cell>
          <cell r="D1423">
            <v>38594</v>
          </cell>
          <cell r="F1423" t="str">
            <v>7081</v>
          </cell>
          <cell r="G1423" t="str">
            <v>Muzak, LLC:Anderson Food Shops #168</v>
          </cell>
          <cell r="H1423">
            <v>1</v>
          </cell>
        </row>
        <row r="1424">
          <cell r="B1424" t="str">
            <v>MNT1000</v>
          </cell>
          <cell r="C1424" t="str">
            <v>Invoice</v>
          </cell>
          <cell r="D1424">
            <v>38595</v>
          </cell>
          <cell r="F1424" t="str">
            <v>7734</v>
          </cell>
          <cell r="G1424" t="str">
            <v>Muzak, LLC:Mill's Squeegee #2</v>
          </cell>
          <cell r="H1424">
            <v>1</v>
          </cell>
        </row>
        <row r="1425">
          <cell r="B1425" t="str">
            <v>MNT1000</v>
          </cell>
          <cell r="C1425" t="str">
            <v>Invoice</v>
          </cell>
          <cell r="D1425">
            <v>38595</v>
          </cell>
          <cell r="F1425" t="str">
            <v>7732</v>
          </cell>
          <cell r="G1425" t="str">
            <v>Northwest Pets</v>
          </cell>
          <cell r="H1425">
            <v>1</v>
          </cell>
        </row>
        <row r="1426">
          <cell r="B1426" t="str">
            <v>MNT1000</v>
          </cell>
          <cell r="C1426" t="str">
            <v>Invoice</v>
          </cell>
          <cell r="D1426">
            <v>38595</v>
          </cell>
          <cell r="F1426" t="str">
            <v>7740</v>
          </cell>
          <cell r="G1426" t="str">
            <v>Muzak, LLC:Chevron</v>
          </cell>
          <cell r="H1426">
            <v>1</v>
          </cell>
        </row>
        <row r="1427">
          <cell r="B1427" t="str">
            <v>MNT1000</v>
          </cell>
          <cell r="C1427" t="str">
            <v>Invoice</v>
          </cell>
          <cell r="D1427">
            <v>38595</v>
          </cell>
          <cell r="F1427" t="str">
            <v>7739</v>
          </cell>
          <cell r="G1427" t="str">
            <v>Muzak, LLC:Renaissance Asheville Hotel</v>
          </cell>
          <cell r="H1427">
            <v>1</v>
          </cell>
        </row>
        <row r="1428">
          <cell r="B1428" t="str">
            <v>MNT1000</v>
          </cell>
          <cell r="C1428" t="str">
            <v>Invoice</v>
          </cell>
          <cell r="D1428">
            <v>38595</v>
          </cell>
          <cell r="F1428" t="str">
            <v>7737</v>
          </cell>
          <cell r="G1428" t="str">
            <v>Muzak, LLC:Candy Time</v>
          </cell>
          <cell r="H1428">
            <v>1</v>
          </cell>
        </row>
        <row r="1429">
          <cell r="B1429" t="str">
            <v>MNT1000</v>
          </cell>
          <cell r="C1429" t="str">
            <v>Invoice</v>
          </cell>
          <cell r="D1429">
            <v>38596</v>
          </cell>
          <cell r="F1429" t="str">
            <v>7752</v>
          </cell>
          <cell r="G1429" t="str">
            <v>Muzak, LLC:Mattress Zone 042896</v>
          </cell>
          <cell r="H1429">
            <v>1</v>
          </cell>
        </row>
        <row r="1430">
          <cell r="B1430" t="str">
            <v>MNT1000</v>
          </cell>
          <cell r="C1430" t="str">
            <v>Invoice</v>
          </cell>
          <cell r="D1430">
            <v>38596</v>
          </cell>
          <cell r="F1430" t="str">
            <v>7753</v>
          </cell>
          <cell r="G1430" t="str">
            <v>Muzak, LLC:Mattress Zone 042807</v>
          </cell>
          <cell r="H1430">
            <v>1</v>
          </cell>
        </row>
        <row r="1431">
          <cell r="B1431" t="str">
            <v>MNT1000</v>
          </cell>
          <cell r="C1431" t="str">
            <v>Invoice</v>
          </cell>
          <cell r="D1431">
            <v>38596</v>
          </cell>
          <cell r="F1431" t="str">
            <v>7754</v>
          </cell>
          <cell r="G1431" t="str">
            <v>Muzak, LLC:Mattress Zone 042804</v>
          </cell>
          <cell r="H1431">
            <v>1</v>
          </cell>
        </row>
        <row r="1432">
          <cell r="B1432" t="str">
            <v>MNT1000</v>
          </cell>
          <cell r="C1432" t="str">
            <v>Invoice</v>
          </cell>
          <cell r="D1432">
            <v>38596</v>
          </cell>
          <cell r="F1432" t="str">
            <v>7744</v>
          </cell>
          <cell r="G1432" t="str">
            <v>Muzak, LLC:Mobil on the Run</v>
          </cell>
          <cell r="H1432">
            <v>1</v>
          </cell>
        </row>
        <row r="1433">
          <cell r="B1433" t="str">
            <v>MNT1000</v>
          </cell>
          <cell r="C1433" t="str">
            <v>Invoice</v>
          </cell>
          <cell r="D1433">
            <v>38596</v>
          </cell>
          <cell r="F1433" t="str">
            <v>7756</v>
          </cell>
          <cell r="G1433" t="str">
            <v>Muzak, LLC:Mattress Barn - 043695</v>
          </cell>
          <cell r="H1433">
            <v>1</v>
          </cell>
        </row>
        <row r="1434">
          <cell r="B1434" t="str">
            <v>MNT1000</v>
          </cell>
          <cell r="C1434" t="str">
            <v>Invoice</v>
          </cell>
          <cell r="D1434">
            <v>38597</v>
          </cell>
          <cell r="F1434" t="str">
            <v>7807</v>
          </cell>
          <cell r="G1434" t="str">
            <v>Muzak, LLC:Setzer's Appliances</v>
          </cell>
          <cell r="H1434">
            <v>1</v>
          </cell>
        </row>
        <row r="1435">
          <cell r="B1435" t="str">
            <v>MNT1000</v>
          </cell>
          <cell r="C1435" t="str">
            <v>Invoice</v>
          </cell>
          <cell r="D1435">
            <v>38597</v>
          </cell>
          <cell r="F1435" t="str">
            <v>7816</v>
          </cell>
          <cell r="G1435" t="str">
            <v>Muzak, LLC:T Darin Moerton</v>
          </cell>
          <cell r="H1435">
            <v>1</v>
          </cell>
        </row>
        <row r="1436">
          <cell r="B1436" t="str">
            <v>MNT1000</v>
          </cell>
          <cell r="C1436" t="str">
            <v>Invoice</v>
          </cell>
          <cell r="D1436">
            <v>38597</v>
          </cell>
          <cell r="F1436" t="str">
            <v>7810</v>
          </cell>
          <cell r="G1436" t="str">
            <v>Muzak, LLC:St Johns Seafood &amp; Steaks 026607</v>
          </cell>
          <cell r="H1436">
            <v>1</v>
          </cell>
        </row>
        <row r="1437">
          <cell r="B1437" t="str">
            <v>MNT1000</v>
          </cell>
          <cell r="C1437" t="str">
            <v>Invoice</v>
          </cell>
          <cell r="D1437">
            <v>38597</v>
          </cell>
          <cell r="F1437" t="str">
            <v>7811</v>
          </cell>
          <cell r="G1437" t="str">
            <v>Muzak, LLC:St Johns Seafood &amp; Steaks 030037</v>
          </cell>
          <cell r="H1437">
            <v>1</v>
          </cell>
        </row>
        <row r="1438">
          <cell r="B1438" t="str">
            <v>MNT1000</v>
          </cell>
          <cell r="C1438" t="str">
            <v>Invoice</v>
          </cell>
          <cell r="D1438">
            <v>38597</v>
          </cell>
          <cell r="F1438" t="str">
            <v>7812</v>
          </cell>
          <cell r="G1438" t="str">
            <v>Muzak, LLC:St Johns Seafood &amp; Steaks 030046</v>
          </cell>
          <cell r="H1438">
            <v>1</v>
          </cell>
        </row>
        <row r="1439">
          <cell r="B1439" t="str">
            <v>MNT1000</v>
          </cell>
          <cell r="C1439" t="str">
            <v>Invoice</v>
          </cell>
          <cell r="D1439">
            <v>38597</v>
          </cell>
          <cell r="F1439" t="str">
            <v>7814</v>
          </cell>
          <cell r="G1439" t="str">
            <v>Muzak, LLC:McDonald's - West Hills</v>
          </cell>
          <cell r="H1439">
            <v>1</v>
          </cell>
        </row>
        <row r="1440">
          <cell r="B1440" t="str">
            <v>MNT1000</v>
          </cell>
          <cell r="C1440" t="str">
            <v>Invoice</v>
          </cell>
          <cell r="D1440">
            <v>38597</v>
          </cell>
          <cell r="F1440" t="str">
            <v>7817</v>
          </cell>
          <cell r="G1440" t="str">
            <v>Muzak, LLC:Dessert Gallery</v>
          </cell>
          <cell r="H1440">
            <v>1</v>
          </cell>
        </row>
        <row r="1441">
          <cell r="B1441" t="str">
            <v>MNT1000</v>
          </cell>
          <cell r="C1441" t="str">
            <v>Invoice</v>
          </cell>
          <cell r="D1441">
            <v>38597</v>
          </cell>
          <cell r="F1441" t="str">
            <v>7808</v>
          </cell>
          <cell r="G1441" t="str">
            <v>Muzak, LLC:Capital Partners</v>
          </cell>
          <cell r="H1441">
            <v>1</v>
          </cell>
        </row>
        <row r="1442">
          <cell r="B1442" t="str">
            <v>MNT1000</v>
          </cell>
          <cell r="C1442" t="str">
            <v>Invoice</v>
          </cell>
          <cell r="D1442">
            <v>38601</v>
          </cell>
          <cell r="F1442" t="str">
            <v>7751</v>
          </cell>
          <cell r="G1442" t="str">
            <v>Muzak, IA:Soundcom LLC of Florida - Palm Beach:Mattress Zone - Jensen Beach</v>
          </cell>
          <cell r="H1442">
            <v>1</v>
          </cell>
        </row>
        <row r="1443">
          <cell r="B1443" t="str">
            <v>MNT1000</v>
          </cell>
          <cell r="C1443" t="str">
            <v>Invoice</v>
          </cell>
          <cell r="D1443">
            <v>38601</v>
          </cell>
          <cell r="F1443" t="str">
            <v>7809</v>
          </cell>
          <cell r="G1443" t="str">
            <v>Muzak, LLC:Mossfire Grill</v>
          </cell>
          <cell r="H1443">
            <v>1</v>
          </cell>
        </row>
        <row r="1444">
          <cell r="B1444" t="str">
            <v>MNT1000</v>
          </cell>
          <cell r="C1444" t="str">
            <v>Invoice</v>
          </cell>
          <cell r="D1444">
            <v>38602</v>
          </cell>
          <cell r="F1444" t="str">
            <v>7843</v>
          </cell>
          <cell r="G1444" t="str">
            <v>Muzak, LLC:Bucky's Express</v>
          </cell>
          <cell r="H1444">
            <v>1</v>
          </cell>
        </row>
        <row r="1445">
          <cell r="B1445" t="str">
            <v>MNT1000</v>
          </cell>
          <cell r="C1445" t="str">
            <v>Invoice</v>
          </cell>
          <cell r="D1445">
            <v>38602</v>
          </cell>
          <cell r="F1445" t="str">
            <v>7844</v>
          </cell>
          <cell r="G1445" t="str">
            <v>Muzak, LLC:Fantasy's</v>
          </cell>
          <cell r="H1445">
            <v>1</v>
          </cell>
        </row>
        <row r="1446">
          <cell r="B1446" t="str">
            <v>MNT1000</v>
          </cell>
          <cell r="C1446" t="str">
            <v>Invoice</v>
          </cell>
          <cell r="D1446">
            <v>38602</v>
          </cell>
          <cell r="F1446" t="str">
            <v>7839</v>
          </cell>
          <cell r="G1446" t="str">
            <v>Muzak, LLC:El Torro</v>
          </cell>
          <cell r="H1446">
            <v>1</v>
          </cell>
        </row>
        <row r="1447">
          <cell r="B1447" t="str">
            <v>MNT1000</v>
          </cell>
          <cell r="C1447" t="str">
            <v>Invoice</v>
          </cell>
          <cell r="D1447">
            <v>38603</v>
          </cell>
          <cell r="F1447" t="str">
            <v>7884</v>
          </cell>
          <cell r="G1447" t="str">
            <v>Muzak, LLC:McDonald's - New Castle</v>
          </cell>
          <cell r="H1447">
            <v>1</v>
          </cell>
        </row>
        <row r="1448">
          <cell r="B1448" t="str">
            <v>MNT1000</v>
          </cell>
          <cell r="C1448" t="str">
            <v>Invoice</v>
          </cell>
          <cell r="D1448">
            <v>38603</v>
          </cell>
          <cell r="F1448" t="str">
            <v>7855</v>
          </cell>
          <cell r="G1448" t="str">
            <v>Muzak, LLC:The Daily Bagel</v>
          </cell>
          <cell r="H1448">
            <v>1</v>
          </cell>
        </row>
        <row r="1449">
          <cell r="B1449" t="str">
            <v>MNT1000</v>
          </cell>
          <cell r="C1449" t="str">
            <v>Invoice</v>
          </cell>
          <cell r="D1449">
            <v>38603</v>
          </cell>
          <cell r="F1449" t="str">
            <v>7879</v>
          </cell>
          <cell r="G1449" t="str">
            <v>Muzak, LLC:The Palms Tanning Resort - Greenwood Vill</v>
          </cell>
          <cell r="H1449">
            <v>1</v>
          </cell>
        </row>
        <row r="1450">
          <cell r="B1450" t="str">
            <v>MNT1000</v>
          </cell>
          <cell r="C1450" t="str">
            <v>Invoice</v>
          </cell>
          <cell r="D1450">
            <v>38603</v>
          </cell>
          <cell r="F1450" t="str">
            <v>7881</v>
          </cell>
          <cell r="G1450" t="str">
            <v>Muzak, LLC:Burger King - #14440</v>
          </cell>
          <cell r="H1450">
            <v>1</v>
          </cell>
        </row>
        <row r="1451">
          <cell r="B1451" t="str">
            <v>MNT1000</v>
          </cell>
          <cell r="C1451" t="str">
            <v>Invoice</v>
          </cell>
          <cell r="D1451">
            <v>38603</v>
          </cell>
          <cell r="F1451" t="str">
            <v>7840</v>
          </cell>
          <cell r="G1451" t="str">
            <v>Muzak, LLC:Arby's - Mission Hills</v>
          </cell>
          <cell r="H1451">
            <v>1</v>
          </cell>
        </row>
        <row r="1452">
          <cell r="B1452" t="str">
            <v>MNT1000</v>
          </cell>
          <cell r="C1452" t="str">
            <v>Invoice</v>
          </cell>
          <cell r="D1452">
            <v>38603</v>
          </cell>
          <cell r="F1452" t="str">
            <v>7880</v>
          </cell>
          <cell r="G1452" t="str">
            <v>Muzak, LLC:Salon Rebecca</v>
          </cell>
          <cell r="H1452">
            <v>1</v>
          </cell>
        </row>
        <row r="1453">
          <cell r="B1453" t="str">
            <v>MNT1000</v>
          </cell>
          <cell r="C1453" t="str">
            <v>Invoice</v>
          </cell>
          <cell r="D1453">
            <v>38603</v>
          </cell>
          <cell r="F1453" t="str">
            <v>7863</v>
          </cell>
          <cell r="G1453" t="str">
            <v>Muzak, LLC:McDonald's - Kokomo</v>
          </cell>
          <cell r="H1453">
            <v>1</v>
          </cell>
        </row>
        <row r="1454">
          <cell r="B1454" t="str">
            <v>MNT1000</v>
          </cell>
          <cell r="C1454" t="str">
            <v>Invoice</v>
          </cell>
          <cell r="D1454">
            <v>38603</v>
          </cell>
          <cell r="F1454" t="str">
            <v>7882</v>
          </cell>
          <cell r="G1454" t="str">
            <v>Muzak, LLC:McDonald's - Kansas City</v>
          </cell>
          <cell r="H1454">
            <v>1</v>
          </cell>
        </row>
        <row r="1455">
          <cell r="B1455" t="str">
            <v>MNT1000</v>
          </cell>
          <cell r="C1455" t="str">
            <v>Invoice</v>
          </cell>
          <cell r="D1455">
            <v>38604</v>
          </cell>
          <cell r="F1455" t="str">
            <v>7883</v>
          </cell>
          <cell r="G1455" t="str">
            <v>Muzak, LLC:Gainesville Eye Physicians</v>
          </cell>
          <cell r="H1455">
            <v>1</v>
          </cell>
        </row>
        <row r="1456">
          <cell r="B1456" t="str">
            <v>MNT1000</v>
          </cell>
          <cell r="C1456" t="str">
            <v>Invoice</v>
          </cell>
          <cell r="D1456">
            <v>38607</v>
          </cell>
          <cell r="F1456" t="str">
            <v>7894</v>
          </cell>
          <cell r="G1456" t="str">
            <v>Muzak, LLC:Xtension Food Mart</v>
          </cell>
          <cell r="H1456">
            <v>1</v>
          </cell>
        </row>
        <row r="1457">
          <cell r="B1457" t="str">
            <v>MNT1000</v>
          </cell>
          <cell r="C1457" t="str">
            <v>Invoice</v>
          </cell>
          <cell r="D1457">
            <v>38607</v>
          </cell>
          <cell r="F1457" t="str">
            <v>7907</v>
          </cell>
          <cell r="G1457" t="str">
            <v>Exxon DDB Worldwide:ExxonMobil #62065</v>
          </cell>
          <cell r="H1457">
            <v>1</v>
          </cell>
        </row>
        <row r="1458">
          <cell r="B1458" t="str">
            <v>MNT1000</v>
          </cell>
          <cell r="C1458" t="str">
            <v>Invoice</v>
          </cell>
          <cell r="D1458">
            <v>38607</v>
          </cell>
          <cell r="F1458" t="str">
            <v>7906</v>
          </cell>
          <cell r="G1458" t="str">
            <v>Exxon DDB Worldwide:ExxonMobil #60121</v>
          </cell>
          <cell r="H1458">
            <v>1</v>
          </cell>
        </row>
        <row r="1459">
          <cell r="B1459" t="str">
            <v>MNT1000</v>
          </cell>
          <cell r="C1459" t="str">
            <v>Invoice</v>
          </cell>
          <cell r="D1459">
            <v>38607</v>
          </cell>
          <cell r="F1459" t="str">
            <v>7908</v>
          </cell>
          <cell r="G1459" t="str">
            <v>Exxon DDB Worldwide:ExxonMobil #80158</v>
          </cell>
          <cell r="H1459">
            <v>1</v>
          </cell>
        </row>
        <row r="1460">
          <cell r="B1460" t="str">
            <v>MNT1000</v>
          </cell>
          <cell r="C1460" t="str">
            <v>Invoice</v>
          </cell>
          <cell r="D1460">
            <v>38607</v>
          </cell>
          <cell r="F1460" t="str">
            <v>7895</v>
          </cell>
          <cell r="G1460" t="str">
            <v>Muzak, LLC:Inside Out - Overland Park</v>
          </cell>
          <cell r="H1460">
            <v>1</v>
          </cell>
        </row>
        <row r="1461">
          <cell r="B1461" t="str">
            <v>MNT1000</v>
          </cell>
          <cell r="C1461" t="str">
            <v>Invoice</v>
          </cell>
          <cell r="D1461">
            <v>38608</v>
          </cell>
          <cell r="F1461" t="str">
            <v>7927</v>
          </cell>
          <cell r="G1461" t="str">
            <v>Muzak, LLC:Heritage at Lake Forest</v>
          </cell>
          <cell r="H1461">
            <v>1</v>
          </cell>
        </row>
        <row r="1462">
          <cell r="B1462" t="str">
            <v>MNT1000</v>
          </cell>
          <cell r="C1462" t="str">
            <v>Invoice</v>
          </cell>
          <cell r="D1462">
            <v>38608</v>
          </cell>
          <cell r="F1462" t="str">
            <v>7928</v>
          </cell>
          <cell r="G1462" t="str">
            <v>Muzak, LLC:Spa Nail Tan Palace</v>
          </cell>
          <cell r="H1462">
            <v>1</v>
          </cell>
        </row>
        <row r="1463">
          <cell r="B1463" t="str">
            <v>MNT1000</v>
          </cell>
          <cell r="C1463" t="str">
            <v>Invoice</v>
          </cell>
          <cell r="D1463">
            <v>38608</v>
          </cell>
          <cell r="F1463" t="str">
            <v>7929</v>
          </cell>
          <cell r="G1463" t="str">
            <v>Muzak, LLC:Oakland Center Chevron</v>
          </cell>
          <cell r="H1463">
            <v>1</v>
          </cell>
        </row>
        <row r="1464">
          <cell r="B1464" t="str">
            <v>MNT1000</v>
          </cell>
          <cell r="C1464" t="str">
            <v>Invoice</v>
          </cell>
          <cell r="D1464">
            <v>38609</v>
          </cell>
          <cell r="F1464" t="str">
            <v>7939</v>
          </cell>
          <cell r="G1464" t="str">
            <v>Muzak, LLC:Prime Lending</v>
          </cell>
          <cell r="H1464">
            <v>1</v>
          </cell>
        </row>
        <row r="1465">
          <cell r="B1465" t="str">
            <v>MNT1000</v>
          </cell>
          <cell r="C1465" t="str">
            <v>Invoice</v>
          </cell>
          <cell r="D1465">
            <v>38609</v>
          </cell>
          <cell r="F1465" t="str">
            <v>7932</v>
          </cell>
          <cell r="G1465" t="str">
            <v>Muzak, LLC:Sheraton Hotel</v>
          </cell>
          <cell r="H1465">
            <v>1</v>
          </cell>
        </row>
        <row r="1466">
          <cell r="B1466" t="str">
            <v>MNT1000</v>
          </cell>
          <cell r="C1466" t="str">
            <v>Invoice</v>
          </cell>
          <cell r="D1466">
            <v>38610</v>
          </cell>
          <cell r="F1466" t="str">
            <v>7959</v>
          </cell>
          <cell r="G1466" t="str">
            <v>Muzak, LLC:Wingate Inn - Greenville</v>
          </cell>
          <cell r="H1466">
            <v>1</v>
          </cell>
        </row>
        <row r="1467">
          <cell r="B1467" t="str">
            <v>MNT1000</v>
          </cell>
          <cell r="C1467" t="str">
            <v>Invoice</v>
          </cell>
          <cell r="D1467">
            <v>38610</v>
          </cell>
          <cell r="F1467" t="str">
            <v>7960</v>
          </cell>
          <cell r="G1467" t="str">
            <v>Muzak, LLC:Piccasso's</v>
          </cell>
          <cell r="H1467">
            <v>1</v>
          </cell>
        </row>
        <row r="1468">
          <cell r="B1468" t="str">
            <v>MNT1000</v>
          </cell>
          <cell r="C1468" t="str">
            <v>Invoice</v>
          </cell>
          <cell r="D1468">
            <v>38610</v>
          </cell>
          <cell r="F1468" t="str">
            <v>7961</v>
          </cell>
          <cell r="G1468" t="str">
            <v>Muzak, LLC:McDonald's - Van Nuys</v>
          </cell>
          <cell r="H1468">
            <v>1</v>
          </cell>
        </row>
        <row r="1469">
          <cell r="B1469" t="str">
            <v>MNT1000</v>
          </cell>
          <cell r="C1469" t="str">
            <v>Invoice</v>
          </cell>
          <cell r="D1469">
            <v>38610</v>
          </cell>
          <cell r="F1469" t="str">
            <v>7962</v>
          </cell>
          <cell r="G1469" t="str">
            <v>Muzak, LLC:Nyack Hospital</v>
          </cell>
          <cell r="H1469">
            <v>1</v>
          </cell>
        </row>
        <row r="1470">
          <cell r="B1470" t="str">
            <v>MNT1000</v>
          </cell>
          <cell r="C1470" t="str">
            <v>Invoice</v>
          </cell>
          <cell r="D1470">
            <v>38614</v>
          </cell>
          <cell r="F1470" t="str">
            <v>7983</v>
          </cell>
          <cell r="G1470" t="str">
            <v>Muzak, LLC:Firehouse Bar &amp; Grill</v>
          </cell>
          <cell r="H1470">
            <v>1</v>
          </cell>
        </row>
        <row r="1471">
          <cell r="B1471" t="str">
            <v>MNT1000</v>
          </cell>
          <cell r="C1471" t="str">
            <v>Invoice</v>
          </cell>
          <cell r="D1471">
            <v>38614</v>
          </cell>
          <cell r="F1471" t="str">
            <v>7984</v>
          </cell>
          <cell r="G1471" t="str">
            <v>Muzak, LLC:Clubs of Kingwood Golf Proshop</v>
          </cell>
          <cell r="H1471">
            <v>1</v>
          </cell>
        </row>
        <row r="1472">
          <cell r="B1472" t="str">
            <v>MNT1000</v>
          </cell>
          <cell r="C1472" t="str">
            <v>Invoice</v>
          </cell>
          <cell r="D1472">
            <v>38614</v>
          </cell>
          <cell r="F1472" t="str">
            <v>7997</v>
          </cell>
          <cell r="G1472" t="str">
            <v>ScentAir - Corporate Associates:Dave Van Epps</v>
          </cell>
          <cell r="H1472">
            <v>1</v>
          </cell>
        </row>
        <row r="1473">
          <cell r="B1473" t="str">
            <v>MNT1000</v>
          </cell>
          <cell r="C1473" t="str">
            <v>Invoice</v>
          </cell>
          <cell r="D1473">
            <v>38614</v>
          </cell>
          <cell r="F1473" t="str">
            <v>7977</v>
          </cell>
          <cell r="G1473" t="str">
            <v>Muzak, LLC:Pollywogs Inc</v>
          </cell>
          <cell r="H1473">
            <v>1</v>
          </cell>
        </row>
        <row r="1474">
          <cell r="B1474" t="str">
            <v>MNT1000</v>
          </cell>
          <cell r="C1474" t="str">
            <v>Invoice</v>
          </cell>
          <cell r="D1474">
            <v>38615</v>
          </cell>
          <cell r="F1474" t="str">
            <v>7986</v>
          </cell>
          <cell r="G1474" t="str">
            <v>Muzak, LLC:Budwey's Supermarket - Tonewanda</v>
          </cell>
          <cell r="H1474">
            <v>1</v>
          </cell>
        </row>
        <row r="1475">
          <cell r="B1475" t="str">
            <v>MNT1000</v>
          </cell>
          <cell r="C1475" t="str">
            <v>Invoice</v>
          </cell>
          <cell r="D1475">
            <v>38615</v>
          </cell>
          <cell r="F1475" t="str">
            <v>7985</v>
          </cell>
          <cell r="G1475" t="str">
            <v>Muzak, IA:Avcom Texas Wired:Trois Estate</v>
          </cell>
          <cell r="H1475">
            <v>1</v>
          </cell>
        </row>
        <row r="1476">
          <cell r="B1476" t="str">
            <v>MNT1000</v>
          </cell>
          <cell r="C1476" t="str">
            <v>Invoice</v>
          </cell>
          <cell r="D1476">
            <v>38615</v>
          </cell>
          <cell r="F1476" t="str">
            <v>8010</v>
          </cell>
          <cell r="G1476" t="str">
            <v>Muzak, LLC:Jekyll Island Club Hotel</v>
          </cell>
          <cell r="H1476">
            <v>1</v>
          </cell>
        </row>
        <row r="1477">
          <cell r="B1477" t="str">
            <v>MNT1000</v>
          </cell>
          <cell r="C1477" t="str">
            <v>Invoice</v>
          </cell>
          <cell r="D1477">
            <v>38615</v>
          </cell>
          <cell r="F1477" t="str">
            <v>8009</v>
          </cell>
          <cell r="G1477" t="str">
            <v>Muzak, LLC:Benny's Steak &amp; Seafood</v>
          </cell>
          <cell r="H1477">
            <v>1</v>
          </cell>
        </row>
        <row r="1478">
          <cell r="B1478" t="str">
            <v>MNT1000</v>
          </cell>
          <cell r="C1478" t="str">
            <v>Invoice</v>
          </cell>
          <cell r="D1478">
            <v>38615</v>
          </cell>
          <cell r="F1478" t="str">
            <v>8005</v>
          </cell>
          <cell r="G1478" t="str">
            <v>Muzak, LLC:Kindercare Learning Center</v>
          </cell>
          <cell r="H1478">
            <v>1</v>
          </cell>
        </row>
        <row r="1479">
          <cell r="B1479" t="str">
            <v>MNT1000</v>
          </cell>
          <cell r="C1479" t="str">
            <v>Invoice</v>
          </cell>
          <cell r="D1479">
            <v>38615</v>
          </cell>
          <cell r="F1479" t="str">
            <v>8014</v>
          </cell>
          <cell r="G1479" t="str">
            <v>Muzak, LLC:Hunt Real Estate - 432 Dick Road</v>
          </cell>
          <cell r="H1479">
            <v>1</v>
          </cell>
        </row>
        <row r="1480">
          <cell r="B1480" t="str">
            <v>MNT1000</v>
          </cell>
          <cell r="C1480" t="str">
            <v>Invoice</v>
          </cell>
          <cell r="D1480">
            <v>38615</v>
          </cell>
          <cell r="F1480" t="str">
            <v>8015</v>
          </cell>
          <cell r="G1480" t="str">
            <v>Muzak, LLC:Hunt Real Estate - 430 Dick Road</v>
          </cell>
          <cell r="H1480">
            <v>1</v>
          </cell>
        </row>
        <row r="1481">
          <cell r="B1481" t="str">
            <v>MNT1000</v>
          </cell>
          <cell r="C1481" t="str">
            <v>Invoice</v>
          </cell>
          <cell r="D1481">
            <v>38615</v>
          </cell>
          <cell r="F1481" t="str">
            <v>8011</v>
          </cell>
          <cell r="G1481" t="str">
            <v>Muzak, LLC:Parker's-Altama</v>
          </cell>
          <cell r="H1481">
            <v>1</v>
          </cell>
        </row>
        <row r="1482">
          <cell r="B1482" t="str">
            <v>MNT1000</v>
          </cell>
          <cell r="C1482" t="str">
            <v>Invoice</v>
          </cell>
          <cell r="D1482">
            <v>38616</v>
          </cell>
          <cell r="F1482" t="str">
            <v>8026</v>
          </cell>
          <cell r="G1482" t="str">
            <v>Muzak, LLC:McDonald's #6317/2675</v>
          </cell>
          <cell r="H1482">
            <v>1</v>
          </cell>
        </row>
        <row r="1483">
          <cell r="B1483" t="str">
            <v>MNT1000</v>
          </cell>
          <cell r="C1483" t="str">
            <v>Invoice</v>
          </cell>
          <cell r="D1483">
            <v>38616</v>
          </cell>
          <cell r="F1483" t="str">
            <v>8030</v>
          </cell>
          <cell r="G1483" t="str">
            <v>Muzak, LLC:McDonald's #4679</v>
          </cell>
          <cell r="H1483">
            <v>1</v>
          </cell>
        </row>
        <row r="1484">
          <cell r="B1484" t="str">
            <v>MNT1000</v>
          </cell>
          <cell r="C1484" t="str">
            <v>Invoice</v>
          </cell>
          <cell r="D1484">
            <v>38616</v>
          </cell>
          <cell r="F1484" t="str">
            <v>8031</v>
          </cell>
          <cell r="G1484" t="str">
            <v>Muzak, LLC:McDonald's #3371/16858</v>
          </cell>
          <cell r="H1484">
            <v>1</v>
          </cell>
        </row>
        <row r="1485">
          <cell r="B1485" t="str">
            <v>MNT1000</v>
          </cell>
          <cell r="C1485" t="str">
            <v>Invoice</v>
          </cell>
          <cell r="D1485">
            <v>38616</v>
          </cell>
          <cell r="F1485" t="str">
            <v>8032</v>
          </cell>
          <cell r="G1485" t="str">
            <v>Muzak, LLC:McDonald's #6679/4392</v>
          </cell>
          <cell r="H1485">
            <v>1</v>
          </cell>
        </row>
        <row r="1486">
          <cell r="B1486" t="str">
            <v>MNT1000</v>
          </cell>
          <cell r="C1486" t="str">
            <v>Invoice</v>
          </cell>
          <cell r="D1486">
            <v>38616</v>
          </cell>
          <cell r="F1486" t="str">
            <v>8029</v>
          </cell>
          <cell r="G1486" t="str">
            <v>Muzak, LLC:McDonald's #3875/28390</v>
          </cell>
          <cell r="H1486">
            <v>1</v>
          </cell>
        </row>
        <row r="1487">
          <cell r="B1487" t="str">
            <v>MNT1000</v>
          </cell>
          <cell r="C1487" t="str">
            <v>Invoice</v>
          </cell>
          <cell r="D1487">
            <v>38616</v>
          </cell>
          <cell r="F1487" t="str">
            <v>8027</v>
          </cell>
          <cell r="G1487" t="str">
            <v>Muzak, LLC:McDonald's #6762/4764</v>
          </cell>
          <cell r="H1487">
            <v>1</v>
          </cell>
        </row>
        <row r="1488">
          <cell r="B1488" t="str">
            <v>MNT1000</v>
          </cell>
          <cell r="C1488" t="str">
            <v>Invoice</v>
          </cell>
          <cell r="D1488">
            <v>38616</v>
          </cell>
          <cell r="F1488" t="str">
            <v>8025</v>
          </cell>
          <cell r="G1488" t="str">
            <v>Muzak, LLC:McDonald's #6615/25238</v>
          </cell>
          <cell r="H1488">
            <v>1</v>
          </cell>
        </row>
        <row r="1489">
          <cell r="B1489" t="str">
            <v>MNT1000</v>
          </cell>
          <cell r="C1489" t="str">
            <v>Invoice</v>
          </cell>
          <cell r="D1489">
            <v>38616</v>
          </cell>
          <cell r="F1489" t="str">
            <v>8024</v>
          </cell>
          <cell r="G1489" t="str">
            <v>Muzak, LLC:McDonald's #6949/3955</v>
          </cell>
          <cell r="H1489">
            <v>1</v>
          </cell>
        </row>
        <row r="1490">
          <cell r="B1490" t="str">
            <v>MNT1000</v>
          </cell>
          <cell r="C1490" t="str">
            <v>Invoice</v>
          </cell>
          <cell r="D1490">
            <v>38616</v>
          </cell>
          <cell r="F1490" t="str">
            <v>8023</v>
          </cell>
          <cell r="G1490" t="str">
            <v>Muzak, LLC:McDonald's #7276/6015</v>
          </cell>
          <cell r="H1490">
            <v>1</v>
          </cell>
        </row>
        <row r="1491">
          <cell r="B1491" t="str">
            <v>MNT1000</v>
          </cell>
          <cell r="C1491" t="str">
            <v>Invoice</v>
          </cell>
          <cell r="D1491">
            <v>38616</v>
          </cell>
          <cell r="F1491" t="str">
            <v>8021</v>
          </cell>
          <cell r="G1491" t="str">
            <v>Muzak, LLC:McDonald's #2018/11465</v>
          </cell>
          <cell r="H1491">
            <v>1</v>
          </cell>
        </row>
        <row r="1492">
          <cell r="B1492" t="str">
            <v>MNT1000</v>
          </cell>
          <cell r="C1492" t="str">
            <v>Invoice</v>
          </cell>
          <cell r="D1492">
            <v>38616</v>
          </cell>
          <cell r="F1492" t="str">
            <v>8028</v>
          </cell>
          <cell r="G1492" t="str">
            <v>Muzak, LLC:McDonald's #6149/11572</v>
          </cell>
          <cell r="H1492">
            <v>1</v>
          </cell>
        </row>
        <row r="1493">
          <cell r="B1493" t="str">
            <v>MNT1000</v>
          </cell>
          <cell r="C1493" t="str">
            <v>Invoice</v>
          </cell>
          <cell r="D1493">
            <v>38616</v>
          </cell>
          <cell r="F1493" t="str">
            <v>8047</v>
          </cell>
          <cell r="G1493" t="str">
            <v>Muzak, LLC:Peterbrooke Chocolatier 043749</v>
          </cell>
          <cell r="H1493">
            <v>1</v>
          </cell>
        </row>
        <row r="1494">
          <cell r="B1494" t="str">
            <v>MNT1000</v>
          </cell>
          <cell r="C1494" t="str">
            <v>Invoice</v>
          </cell>
          <cell r="D1494">
            <v>38616</v>
          </cell>
          <cell r="F1494" t="str">
            <v>8045</v>
          </cell>
          <cell r="G1494" t="str">
            <v>Muzak, LLC:Peterbrooke Chocolatier 043747</v>
          </cell>
          <cell r="H1494">
            <v>1</v>
          </cell>
        </row>
        <row r="1495">
          <cell r="B1495" t="str">
            <v>MNT1000</v>
          </cell>
          <cell r="C1495" t="str">
            <v>Invoice</v>
          </cell>
          <cell r="D1495">
            <v>38616</v>
          </cell>
          <cell r="F1495" t="str">
            <v>8044</v>
          </cell>
          <cell r="G1495" t="str">
            <v>Muzak, LLC:Peterbrooke Chocolatier 043746</v>
          </cell>
          <cell r="H1495">
            <v>1</v>
          </cell>
        </row>
        <row r="1496">
          <cell r="B1496" t="str">
            <v>MNT1000</v>
          </cell>
          <cell r="C1496" t="str">
            <v>Invoice</v>
          </cell>
          <cell r="D1496">
            <v>38616</v>
          </cell>
          <cell r="F1496" t="str">
            <v>8043</v>
          </cell>
          <cell r="G1496" t="str">
            <v>Muzak, LLC:Peterbrooke Chocolatier 043745</v>
          </cell>
          <cell r="H1496">
            <v>1</v>
          </cell>
        </row>
        <row r="1497">
          <cell r="B1497" t="str">
            <v>MNT1000</v>
          </cell>
          <cell r="C1497" t="str">
            <v>Invoice</v>
          </cell>
          <cell r="D1497">
            <v>38616</v>
          </cell>
          <cell r="F1497" t="str">
            <v>8042</v>
          </cell>
          <cell r="G1497" t="str">
            <v>Muzak, LLC:Peterbrooke Chocolatier 043744</v>
          </cell>
          <cell r="H1497">
            <v>1</v>
          </cell>
        </row>
        <row r="1498">
          <cell r="B1498" t="str">
            <v>MNT1000</v>
          </cell>
          <cell r="C1498" t="str">
            <v>Invoice</v>
          </cell>
          <cell r="D1498">
            <v>38616</v>
          </cell>
          <cell r="F1498" t="str">
            <v>8040</v>
          </cell>
          <cell r="G1498" t="str">
            <v>Muzak, LLC:Peterbrooke Chocolatier 043742</v>
          </cell>
          <cell r="H1498">
            <v>1</v>
          </cell>
        </row>
        <row r="1499">
          <cell r="B1499" t="str">
            <v>MNT1000</v>
          </cell>
          <cell r="C1499" t="str">
            <v>Invoice</v>
          </cell>
          <cell r="D1499">
            <v>38616</v>
          </cell>
          <cell r="F1499" t="str">
            <v>8041</v>
          </cell>
          <cell r="G1499" t="str">
            <v>Muzak, LLC:Peterbrooke Chocolatier 043743</v>
          </cell>
          <cell r="H1499">
            <v>1</v>
          </cell>
        </row>
        <row r="1500">
          <cell r="B1500" t="str">
            <v>MNT1000</v>
          </cell>
          <cell r="C1500" t="str">
            <v>Invoice</v>
          </cell>
          <cell r="D1500">
            <v>38616</v>
          </cell>
          <cell r="F1500" t="str">
            <v>8048</v>
          </cell>
          <cell r="G1500" t="str">
            <v>Muzak, LLC:Peterbrooke Chocolatier 043750</v>
          </cell>
          <cell r="H1500">
            <v>1</v>
          </cell>
        </row>
        <row r="1501">
          <cell r="B1501" t="str">
            <v>MNT1000</v>
          </cell>
          <cell r="C1501" t="str">
            <v>Invoice</v>
          </cell>
          <cell r="D1501">
            <v>38616</v>
          </cell>
          <cell r="F1501" t="str">
            <v>8046</v>
          </cell>
          <cell r="G1501" t="str">
            <v>Muzak, LLC:Peterbrooke Chocolatier 043748</v>
          </cell>
          <cell r="H1501">
            <v>1</v>
          </cell>
        </row>
        <row r="1502">
          <cell r="B1502" t="str">
            <v>MNT1000</v>
          </cell>
          <cell r="C1502" t="str">
            <v>Invoice</v>
          </cell>
          <cell r="D1502">
            <v>38616</v>
          </cell>
          <cell r="F1502" t="str">
            <v>8050</v>
          </cell>
          <cell r="G1502" t="str">
            <v>Muzak, LLC:Arco AMPM</v>
          </cell>
          <cell r="H1502">
            <v>1</v>
          </cell>
        </row>
        <row r="1503">
          <cell r="B1503" t="str">
            <v>MNT1000</v>
          </cell>
          <cell r="C1503" t="str">
            <v>Invoice</v>
          </cell>
          <cell r="D1503">
            <v>38616</v>
          </cell>
          <cell r="F1503" t="str">
            <v>8049</v>
          </cell>
          <cell r="G1503" t="str">
            <v>Muzak, LLC:McDonald's - El Monte</v>
          </cell>
          <cell r="H1503">
            <v>1</v>
          </cell>
        </row>
        <row r="1504">
          <cell r="B1504" t="str">
            <v>MNT1000</v>
          </cell>
          <cell r="C1504" t="str">
            <v>Invoice</v>
          </cell>
          <cell r="D1504">
            <v>38617</v>
          </cell>
          <cell r="F1504" t="str">
            <v>8033-I</v>
          </cell>
          <cell r="G1504" t="str">
            <v>Ethel M Chocolates, Inc.:Ethel's Chocolate Lounge-Armitage</v>
          </cell>
          <cell r="H1504">
            <v>1</v>
          </cell>
        </row>
        <row r="1505">
          <cell r="B1505" t="str">
            <v>MNT1000</v>
          </cell>
          <cell r="C1505" t="str">
            <v>Invoice</v>
          </cell>
          <cell r="D1505">
            <v>38617</v>
          </cell>
          <cell r="F1505" t="str">
            <v>8078</v>
          </cell>
          <cell r="G1505" t="str">
            <v>Muzak, IA:Soundcom LLC of Florida - Palm Beach:Mattress Zone - Stuart</v>
          </cell>
          <cell r="H1505">
            <v>1</v>
          </cell>
        </row>
        <row r="1506">
          <cell r="B1506" t="str">
            <v>MNT1000</v>
          </cell>
          <cell r="C1506" t="str">
            <v>Invoice</v>
          </cell>
          <cell r="D1506">
            <v>38617</v>
          </cell>
          <cell r="F1506" t="str">
            <v>8034</v>
          </cell>
          <cell r="G1506" t="str">
            <v>Ethel M Chocolates, Inc.:Ethel M- Cactus Garden</v>
          </cell>
          <cell r="H1506">
            <v>1</v>
          </cell>
        </row>
        <row r="1507">
          <cell r="B1507" t="str">
            <v>MNT1000</v>
          </cell>
          <cell r="C1507" t="str">
            <v>Invoice</v>
          </cell>
          <cell r="D1507">
            <v>38618</v>
          </cell>
          <cell r="F1507" t="str">
            <v>8061</v>
          </cell>
          <cell r="G1507" t="str">
            <v>Muzak, LLC:Hilton Saint Augustine</v>
          </cell>
          <cell r="H1507">
            <v>1</v>
          </cell>
        </row>
        <row r="1508">
          <cell r="B1508" t="str">
            <v>MNT1000</v>
          </cell>
          <cell r="C1508" t="str">
            <v>Invoice</v>
          </cell>
          <cell r="D1508">
            <v>38618</v>
          </cell>
          <cell r="F1508" t="str">
            <v>8059</v>
          </cell>
          <cell r="G1508" t="str">
            <v>Muzak, LLC:Cabana Club</v>
          </cell>
          <cell r="H1508">
            <v>1</v>
          </cell>
        </row>
        <row r="1509">
          <cell r="B1509" t="str">
            <v>MNT1000</v>
          </cell>
          <cell r="C1509" t="str">
            <v>Invoice</v>
          </cell>
          <cell r="D1509">
            <v>38618</v>
          </cell>
          <cell r="F1509" t="str">
            <v>8062</v>
          </cell>
          <cell r="G1509" t="str">
            <v>Muzak, LLC:Merchant Resource Group</v>
          </cell>
          <cell r="H1509">
            <v>1</v>
          </cell>
        </row>
        <row r="1510">
          <cell r="B1510" t="str">
            <v>MNT1000</v>
          </cell>
          <cell r="C1510" t="str">
            <v>Invoice</v>
          </cell>
          <cell r="D1510">
            <v>38618</v>
          </cell>
          <cell r="F1510" t="str">
            <v>8060</v>
          </cell>
          <cell r="G1510" t="str">
            <v>Muzak, LLC:Casa Monica Hotel</v>
          </cell>
          <cell r="H1510">
            <v>1</v>
          </cell>
        </row>
        <row r="1511">
          <cell r="B1511" t="str">
            <v>MNT1000</v>
          </cell>
          <cell r="C1511" t="str">
            <v>Invoice</v>
          </cell>
          <cell r="D1511">
            <v>38622</v>
          </cell>
          <cell r="F1511" t="str">
            <v>8100</v>
          </cell>
          <cell r="G1511" t="str">
            <v>Muzak, LLC:M Salon</v>
          </cell>
          <cell r="H1511">
            <v>1</v>
          </cell>
        </row>
        <row r="1512">
          <cell r="B1512" t="str">
            <v>MNT1000</v>
          </cell>
          <cell r="C1512" t="str">
            <v>Invoice</v>
          </cell>
          <cell r="D1512">
            <v>38622</v>
          </cell>
          <cell r="F1512" t="str">
            <v>8101</v>
          </cell>
          <cell r="G1512" t="str">
            <v>Muzak, LLC:Trage Brothers</v>
          </cell>
          <cell r="H1512">
            <v>1</v>
          </cell>
        </row>
        <row r="1513">
          <cell r="B1513" t="str">
            <v>MNT1000</v>
          </cell>
          <cell r="C1513" t="str">
            <v>Invoice</v>
          </cell>
          <cell r="D1513">
            <v>38622</v>
          </cell>
          <cell r="F1513" t="str">
            <v>8099</v>
          </cell>
          <cell r="G1513" t="str">
            <v>Muzak, LLC:Coggins</v>
          </cell>
          <cell r="H1513">
            <v>1</v>
          </cell>
        </row>
        <row r="1514">
          <cell r="B1514" t="str">
            <v>MNT1000</v>
          </cell>
          <cell r="C1514" t="str">
            <v>Invoice</v>
          </cell>
          <cell r="D1514">
            <v>38622</v>
          </cell>
          <cell r="F1514" t="str">
            <v>8102</v>
          </cell>
          <cell r="G1514" t="str">
            <v>Muzak, LLC:McDonald's 4584/ 2682</v>
          </cell>
          <cell r="H1514">
            <v>1</v>
          </cell>
        </row>
        <row r="1515">
          <cell r="B1515" t="str">
            <v>MNT1000</v>
          </cell>
          <cell r="C1515" t="str">
            <v>Invoice</v>
          </cell>
          <cell r="D1515">
            <v>38622</v>
          </cell>
          <cell r="F1515" t="str">
            <v>8112</v>
          </cell>
          <cell r="G1515" t="str">
            <v>Muzak, LLC:Koja Sushi Inc</v>
          </cell>
          <cell r="H1515">
            <v>1</v>
          </cell>
        </row>
        <row r="1516">
          <cell r="B1516" t="str">
            <v>MNT1000</v>
          </cell>
          <cell r="C1516" t="str">
            <v>Invoice</v>
          </cell>
          <cell r="D1516">
            <v>38623</v>
          </cell>
          <cell r="F1516" t="str">
            <v>8147</v>
          </cell>
          <cell r="G1516" t="str">
            <v>Muzak, LLC:Inside Out - Chesterfield</v>
          </cell>
          <cell r="H1516">
            <v>1</v>
          </cell>
        </row>
        <row r="1517">
          <cell r="B1517" t="str">
            <v>MNT1000</v>
          </cell>
          <cell r="C1517" t="str">
            <v>Invoice</v>
          </cell>
          <cell r="D1517">
            <v>38623</v>
          </cell>
          <cell r="F1517" t="str">
            <v>8146</v>
          </cell>
          <cell r="G1517" t="str">
            <v>Meadows Pet Center</v>
          </cell>
          <cell r="H1517">
            <v>1</v>
          </cell>
        </row>
        <row r="1518">
          <cell r="B1518" t="str">
            <v>MNT1000</v>
          </cell>
          <cell r="C1518" t="str">
            <v>Invoice</v>
          </cell>
          <cell r="D1518">
            <v>38623</v>
          </cell>
          <cell r="F1518" t="str">
            <v>8158</v>
          </cell>
          <cell r="G1518" t="str">
            <v>Muzak, LLC:Michele Pastry Cafe</v>
          </cell>
          <cell r="H1518">
            <v>1</v>
          </cell>
        </row>
        <row r="1519">
          <cell r="B1519" t="str">
            <v>MNT1000</v>
          </cell>
          <cell r="C1519" t="str">
            <v>Invoice</v>
          </cell>
          <cell r="D1519">
            <v>38624</v>
          </cell>
          <cell r="F1519" t="str">
            <v>8142</v>
          </cell>
          <cell r="G1519" t="str">
            <v>Muzak, IA:Towner Communications:Inside Outlet - Columbia</v>
          </cell>
          <cell r="H1519">
            <v>1</v>
          </cell>
        </row>
        <row r="1520">
          <cell r="B1520" t="str">
            <v>MNT1000</v>
          </cell>
          <cell r="C1520" t="str">
            <v>Invoice</v>
          </cell>
          <cell r="D1520">
            <v>38624</v>
          </cell>
          <cell r="F1520" t="str">
            <v>8157</v>
          </cell>
          <cell r="G1520" t="str">
            <v>Muzak, LLC:McDonald's OKE201</v>
          </cell>
          <cell r="H1520">
            <v>1</v>
          </cell>
        </row>
        <row r="1521">
          <cell r="B1521" t="str">
            <v>MNT1000</v>
          </cell>
          <cell r="C1521" t="str">
            <v>Invoice</v>
          </cell>
          <cell r="D1521">
            <v>38626</v>
          </cell>
          <cell r="F1521" t="str">
            <v>8164</v>
          </cell>
          <cell r="G1521" t="str">
            <v>Muzak, LLC:Handy Dandy #39</v>
          </cell>
          <cell r="H1521">
            <v>1</v>
          </cell>
        </row>
        <row r="1522">
          <cell r="B1522" t="str">
            <v>MNT1000</v>
          </cell>
          <cell r="C1522" t="str">
            <v>Invoice</v>
          </cell>
          <cell r="D1522">
            <v>38628</v>
          </cell>
          <cell r="F1522" t="str">
            <v>8187</v>
          </cell>
          <cell r="G1522" t="str">
            <v>Mystic Scenic Studios, Inc.</v>
          </cell>
          <cell r="H1522">
            <v>1</v>
          </cell>
        </row>
        <row r="1523">
          <cell r="B1523" t="str">
            <v>MNT1000</v>
          </cell>
          <cell r="C1523" t="str">
            <v>Invoice</v>
          </cell>
          <cell r="D1523">
            <v>38628</v>
          </cell>
          <cell r="F1523" t="str">
            <v>8190</v>
          </cell>
          <cell r="G1523" t="str">
            <v>Muzak, LLC:Jim Mullen</v>
          </cell>
          <cell r="H1523">
            <v>1</v>
          </cell>
        </row>
        <row r="1524">
          <cell r="B1524" t="str">
            <v>MNT1000</v>
          </cell>
          <cell r="C1524" t="str">
            <v>Invoice</v>
          </cell>
          <cell r="D1524">
            <v>38629</v>
          </cell>
          <cell r="F1524" t="str">
            <v>8311</v>
          </cell>
          <cell r="G1524" t="str">
            <v>Muzak, LLC:McDonald's - Valencia</v>
          </cell>
          <cell r="H1524">
            <v>1</v>
          </cell>
        </row>
        <row r="1525">
          <cell r="B1525" t="str">
            <v>MNT1000</v>
          </cell>
          <cell r="C1525" t="str">
            <v>Invoice</v>
          </cell>
          <cell r="D1525">
            <v>38629</v>
          </cell>
          <cell r="F1525" t="str">
            <v>8312</v>
          </cell>
          <cell r="G1525" t="str">
            <v>Muzak, LLC:McDonald's - Canyon Country</v>
          </cell>
          <cell r="H1525">
            <v>1</v>
          </cell>
        </row>
        <row r="1526">
          <cell r="B1526" t="str">
            <v>MNT1000</v>
          </cell>
          <cell r="C1526" t="str">
            <v>Invoice</v>
          </cell>
          <cell r="D1526">
            <v>38629</v>
          </cell>
          <cell r="F1526" t="str">
            <v>8310</v>
          </cell>
          <cell r="G1526" t="str">
            <v>Muzak, LLC:McDonald's - N McBean Pkwy</v>
          </cell>
          <cell r="H1526">
            <v>1</v>
          </cell>
        </row>
        <row r="1527">
          <cell r="B1527" t="str">
            <v>MNT1000</v>
          </cell>
          <cell r="C1527" t="str">
            <v>Invoice</v>
          </cell>
          <cell r="D1527">
            <v>38629</v>
          </cell>
          <cell r="F1527" t="str">
            <v>8309</v>
          </cell>
          <cell r="G1527" t="str">
            <v>Muzak, LLC:McDonald's - McBean Pkwy</v>
          </cell>
          <cell r="H1527">
            <v>1</v>
          </cell>
        </row>
        <row r="1528">
          <cell r="B1528" t="str">
            <v>MNT1000</v>
          </cell>
          <cell r="C1528" t="str">
            <v>Invoice</v>
          </cell>
          <cell r="D1528">
            <v>38629</v>
          </cell>
          <cell r="F1528" t="str">
            <v>8308</v>
          </cell>
          <cell r="G1528" t="str">
            <v>Muzak, LLC:McDonald's - Sierra Hwy</v>
          </cell>
          <cell r="H1528">
            <v>1</v>
          </cell>
        </row>
        <row r="1529">
          <cell r="B1529" t="str">
            <v>MNTPLATE1000B</v>
          </cell>
          <cell r="C1529" t="str">
            <v>Invoice</v>
          </cell>
          <cell r="D1529">
            <v>38590</v>
          </cell>
          <cell r="F1529" t="str">
            <v>7709</v>
          </cell>
          <cell r="G1529" t="str">
            <v>Muzak, LLC:Burger King - #2771</v>
          </cell>
          <cell r="H1529">
            <v>1</v>
          </cell>
        </row>
        <row r="1530">
          <cell r="B1530" t="str">
            <v>MNTPLATE1000B</v>
          </cell>
          <cell r="C1530" t="str">
            <v>Invoice</v>
          </cell>
          <cell r="D1530">
            <v>38607</v>
          </cell>
          <cell r="F1530" t="str">
            <v>7907</v>
          </cell>
          <cell r="G1530" t="str">
            <v>Exxon DDB Worldwide:ExxonMobil #62065</v>
          </cell>
          <cell r="H1530">
            <v>1</v>
          </cell>
        </row>
        <row r="1531">
          <cell r="B1531" t="str">
            <v>MNTPLATE1000B</v>
          </cell>
          <cell r="C1531" t="str">
            <v>Invoice</v>
          </cell>
          <cell r="D1531">
            <v>38607</v>
          </cell>
          <cell r="F1531" t="str">
            <v>7906</v>
          </cell>
          <cell r="G1531" t="str">
            <v>Exxon DDB Worldwide:ExxonMobil #60121</v>
          </cell>
          <cell r="H1531">
            <v>1</v>
          </cell>
        </row>
        <row r="1532">
          <cell r="B1532" t="str">
            <v>MNTPLATE1000B</v>
          </cell>
          <cell r="C1532" t="str">
            <v>Invoice</v>
          </cell>
          <cell r="D1532">
            <v>38607</v>
          </cell>
          <cell r="F1532" t="str">
            <v>7908</v>
          </cell>
          <cell r="G1532" t="str">
            <v>Exxon DDB Worldwide:ExxonMobil #80158</v>
          </cell>
          <cell r="H1532">
            <v>1</v>
          </cell>
        </row>
        <row r="1533">
          <cell r="B1533" t="str">
            <v>MNTPLATE1000W</v>
          </cell>
          <cell r="C1533" t="str">
            <v>Invoice</v>
          </cell>
          <cell r="D1533">
            <v>38590</v>
          </cell>
          <cell r="F1533" t="str">
            <v>7709</v>
          </cell>
          <cell r="G1533" t="str">
            <v>Muzak, LLC:Burger King - #2771</v>
          </cell>
          <cell r="H1533">
            <v>1</v>
          </cell>
        </row>
        <row r="1534">
          <cell r="B1534" t="str">
            <v>mon</v>
          </cell>
          <cell r="C1534" t="str">
            <v>Invoice</v>
          </cell>
          <cell r="D1534">
            <v>38420</v>
          </cell>
          <cell r="F1534" t="str">
            <v>5387</v>
          </cell>
          <cell r="G1534" t="str">
            <v>Hard Rock Hotel</v>
          </cell>
          <cell r="H1534">
            <v>1</v>
          </cell>
        </row>
        <row r="1535">
          <cell r="B1535" t="str">
            <v>MSS</v>
          </cell>
          <cell r="C1535" t="str">
            <v>Invoice</v>
          </cell>
          <cell r="D1535">
            <v>38383</v>
          </cell>
          <cell r="F1535" t="str">
            <v>5269</v>
          </cell>
          <cell r="G1535" t="str">
            <v>I &amp; M Engineering, Inc.</v>
          </cell>
          <cell r="H1535">
            <v>1</v>
          </cell>
        </row>
        <row r="1536">
          <cell r="B1536" t="str">
            <v>MSS</v>
          </cell>
          <cell r="C1536" t="str">
            <v>Invoice</v>
          </cell>
          <cell r="D1536">
            <v>38461</v>
          </cell>
          <cell r="F1536" t="str">
            <v>5697</v>
          </cell>
          <cell r="G1536" t="str">
            <v>Disney Worldwide:Goofy's Candy Company</v>
          </cell>
          <cell r="H1536">
            <v>1</v>
          </cell>
        </row>
        <row r="1537">
          <cell r="B1537" t="str">
            <v>PD510</v>
          </cell>
          <cell r="C1537" t="str">
            <v>Invoice</v>
          </cell>
          <cell r="D1537">
            <v>38455</v>
          </cell>
          <cell r="F1537" t="str">
            <v>5613</v>
          </cell>
          <cell r="G1537" t="str">
            <v>Children's Museaum of Indianapolis</v>
          </cell>
          <cell r="H1537">
            <v>1</v>
          </cell>
        </row>
        <row r="1538">
          <cell r="B1538" t="str">
            <v>PD510</v>
          </cell>
          <cell r="C1538" t="str">
            <v>Invoice</v>
          </cell>
          <cell r="D1538">
            <v>38456</v>
          </cell>
          <cell r="F1538" t="str">
            <v>5615</v>
          </cell>
          <cell r="G1538" t="str">
            <v>Golf Etc. of America, Inc.</v>
          </cell>
          <cell r="H1538">
            <v>1</v>
          </cell>
        </row>
        <row r="1539">
          <cell r="B1539" t="str">
            <v>PD510</v>
          </cell>
          <cell r="C1539" t="str">
            <v>Invoice</v>
          </cell>
          <cell r="D1539">
            <v>38461</v>
          </cell>
          <cell r="F1539" t="str">
            <v>5692</v>
          </cell>
          <cell r="G1539" t="str">
            <v>Mattel</v>
          </cell>
          <cell r="H1539">
            <v>1</v>
          </cell>
        </row>
        <row r="1540">
          <cell r="B1540" t="str">
            <v>PD510</v>
          </cell>
          <cell r="C1540" t="str">
            <v>Invoice</v>
          </cell>
          <cell r="D1540">
            <v>38505</v>
          </cell>
          <cell r="F1540" t="str">
            <v>6218</v>
          </cell>
          <cell r="G1540" t="str">
            <v>Tree Paad</v>
          </cell>
          <cell r="H1540">
            <v>1</v>
          </cell>
        </row>
        <row r="1541">
          <cell r="B1541" t="str">
            <v>PD510</v>
          </cell>
          <cell r="C1541" t="str">
            <v>Invoice</v>
          </cell>
          <cell r="D1541">
            <v>38614</v>
          </cell>
          <cell r="F1541" t="str">
            <v>7991</v>
          </cell>
          <cell r="G1541" t="str">
            <v>Andrew Snyder Catalyst, Ltd.</v>
          </cell>
          <cell r="H1541">
            <v>1</v>
          </cell>
        </row>
        <row r="1542">
          <cell r="B1542" t="str">
            <v>PDMOT</v>
          </cell>
          <cell r="C1542" t="str">
            <v>Invoice</v>
          </cell>
          <cell r="D1542">
            <v>38488</v>
          </cell>
          <cell r="F1542" t="str">
            <v>4623a</v>
          </cell>
          <cell r="G1542" t="str">
            <v>Promotool</v>
          </cell>
          <cell r="H1542">
            <v>1</v>
          </cell>
        </row>
        <row r="1543">
          <cell r="B1543" t="str">
            <v>POP Demo Kit</v>
          </cell>
          <cell r="C1543" t="str">
            <v>Invoice</v>
          </cell>
          <cell r="D1543">
            <v>38461</v>
          </cell>
          <cell r="F1543" t="str">
            <v>5603</v>
          </cell>
          <cell r="G1543" t="str">
            <v>JGA</v>
          </cell>
          <cell r="H1543">
            <v>1</v>
          </cell>
        </row>
        <row r="1544">
          <cell r="B1544" t="str">
            <v>POP-Motion</v>
          </cell>
          <cell r="C1544" t="str">
            <v>Invoice</v>
          </cell>
          <cell r="D1544">
            <v>38455</v>
          </cell>
          <cell r="F1544" t="str">
            <v>5614</v>
          </cell>
          <cell r="G1544" t="str">
            <v>Core Technologies</v>
          </cell>
          <cell r="H1544">
            <v>1</v>
          </cell>
        </row>
        <row r="1545">
          <cell r="B1545" t="str">
            <v>POP-PUSH BUTTON</v>
          </cell>
          <cell r="C1545" t="str">
            <v>Invoice</v>
          </cell>
          <cell r="D1545">
            <v>38421</v>
          </cell>
          <cell r="F1545" t="str">
            <v>5422</v>
          </cell>
          <cell r="G1545" t="str">
            <v>Pyramid Title Company</v>
          </cell>
          <cell r="H1545">
            <v>1</v>
          </cell>
        </row>
        <row r="1546">
          <cell r="B1546" t="str">
            <v>POP-PUSH BUTTON</v>
          </cell>
          <cell r="C1546" t="str">
            <v>Invoice</v>
          </cell>
          <cell r="D1546">
            <v>38449</v>
          </cell>
          <cell r="F1546" t="str">
            <v>5594</v>
          </cell>
          <cell r="G1546" t="str">
            <v>OPD Corp</v>
          </cell>
          <cell r="H1546">
            <v>1</v>
          </cell>
        </row>
        <row r="1547">
          <cell r="B1547" t="str">
            <v>POP-PUSH BUTTON</v>
          </cell>
          <cell r="C1547" t="str">
            <v>Invoice</v>
          </cell>
          <cell r="D1547">
            <v>38455</v>
          </cell>
          <cell r="F1547" t="str">
            <v>5613</v>
          </cell>
          <cell r="G1547" t="str">
            <v>Children's Museaum of Indianapolis</v>
          </cell>
          <cell r="H1547">
            <v>1</v>
          </cell>
        </row>
        <row r="1548">
          <cell r="B1548" t="str">
            <v>PS12DC-1000B</v>
          </cell>
          <cell r="C1548" t="str">
            <v>Invoice</v>
          </cell>
          <cell r="D1548">
            <v>38455</v>
          </cell>
          <cell r="F1548" t="str">
            <v>5608</v>
          </cell>
          <cell r="G1548" t="str">
            <v>Arrc Technologies</v>
          </cell>
          <cell r="H1548">
            <v>1</v>
          </cell>
        </row>
        <row r="1549">
          <cell r="B1549" t="str">
            <v>PS12DC-1000B</v>
          </cell>
          <cell r="C1549" t="str">
            <v>Invoice</v>
          </cell>
          <cell r="D1549">
            <v>38461</v>
          </cell>
          <cell r="F1549" t="str">
            <v>5624</v>
          </cell>
          <cell r="G1549" t="str">
            <v>Birthday Mania</v>
          </cell>
          <cell r="H1549">
            <v>1</v>
          </cell>
        </row>
        <row r="1550">
          <cell r="B1550" t="str">
            <v>PS12DC-1000B</v>
          </cell>
          <cell r="C1550" t="str">
            <v>Invoice</v>
          </cell>
          <cell r="D1550">
            <v>38488</v>
          </cell>
          <cell r="F1550" t="str">
            <v>4623a</v>
          </cell>
          <cell r="G1550" t="str">
            <v>Promotool</v>
          </cell>
          <cell r="H1550">
            <v>1</v>
          </cell>
        </row>
        <row r="1551">
          <cell r="B1551" t="str">
            <v>PS12DC-1000B</v>
          </cell>
          <cell r="C1551" t="str">
            <v>Invoice</v>
          </cell>
          <cell r="D1551">
            <v>38545</v>
          </cell>
          <cell r="F1551" t="str">
            <v>7122</v>
          </cell>
          <cell r="G1551" t="str">
            <v>Heidi Wernett</v>
          </cell>
          <cell r="H1551">
            <v>1</v>
          </cell>
        </row>
        <row r="1552">
          <cell r="B1552" t="str">
            <v>PS12DC-1000B</v>
          </cell>
          <cell r="C1552" t="str">
            <v>Invoice</v>
          </cell>
          <cell r="D1552">
            <v>38553</v>
          </cell>
          <cell r="F1552" t="str">
            <v>7168</v>
          </cell>
          <cell r="G1552" t="str">
            <v>Promotool</v>
          </cell>
          <cell r="H1552">
            <v>1</v>
          </cell>
        </row>
        <row r="1553">
          <cell r="B1553" t="str">
            <v>PS12DC-1000B</v>
          </cell>
          <cell r="C1553" t="str">
            <v>Invoice</v>
          </cell>
          <cell r="D1553">
            <v>38561</v>
          </cell>
          <cell r="F1553" t="str">
            <v>7220</v>
          </cell>
          <cell r="G1553" t="str">
            <v>Muzak, LLC:Doctor's Urgent Care</v>
          </cell>
          <cell r="H1553">
            <v>1</v>
          </cell>
        </row>
        <row r="1554">
          <cell r="B1554" t="str">
            <v>PS12DC-1000B</v>
          </cell>
          <cell r="C1554" t="str">
            <v>Invoice</v>
          </cell>
          <cell r="D1554">
            <v>38568</v>
          </cell>
          <cell r="F1554" t="str">
            <v>7297</v>
          </cell>
          <cell r="G1554" t="str">
            <v>ScentAir Australia Pty Ltd.</v>
          </cell>
          <cell r="H1554">
            <v>1</v>
          </cell>
        </row>
        <row r="1555">
          <cell r="B1555" t="str">
            <v>PS12DC-500B</v>
          </cell>
          <cell r="C1555" t="str">
            <v>Invoice</v>
          </cell>
          <cell r="D1555">
            <v>38604</v>
          </cell>
          <cell r="F1555" t="str">
            <v>7887</v>
          </cell>
          <cell r="G1555" t="str">
            <v>Muzak, LLC:Muzak (Demo)</v>
          </cell>
          <cell r="H1555">
            <v>1</v>
          </cell>
        </row>
        <row r="1556">
          <cell r="B1556" t="str">
            <v>PS12DC-500B</v>
          </cell>
          <cell r="C1556" t="str">
            <v>Invoice</v>
          </cell>
          <cell r="D1556">
            <v>38614</v>
          </cell>
          <cell r="F1556" t="str">
            <v>7991</v>
          </cell>
          <cell r="G1556" t="str">
            <v>Andrew Snyder Catalyst, Ltd.</v>
          </cell>
          <cell r="H1556">
            <v>1</v>
          </cell>
        </row>
        <row r="1557">
          <cell r="B1557" t="str">
            <v>Refill Kiosk Chamber</v>
          </cell>
          <cell r="C1557" t="str">
            <v>Invoice</v>
          </cell>
          <cell r="D1557">
            <v>38449</v>
          </cell>
          <cell r="F1557" t="str">
            <v>5577</v>
          </cell>
          <cell r="G1557" t="str">
            <v>Murphy Catton</v>
          </cell>
          <cell r="H1557">
            <v>1</v>
          </cell>
        </row>
        <row r="1558">
          <cell r="B1558" t="str">
            <v>Refill Kiosk Chamber</v>
          </cell>
          <cell r="C1558" t="str">
            <v>Invoice</v>
          </cell>
          <cell r="D1558">
            <v>38547</v>
          </cell>
          <cell r="F1558" t="str">
            <v>7126</v>
          </cell>
          <cell r="G1558" t="str">
            <v>Murphy Catton</v>
          </cell>
          <cell r="H1558">
            <v>1</v>
          </cell>
        </row>
        <row r="1559">
          <cell r="B1559" t="str">
            <v>SA20</v>
          </cell>
          <cell r="C1559" t="str">
            <v>Invoice</v>
          </cell>
          <cell r="D1559">
            <v>38355</v>
          </cell>
          <cell r="F1559" t="str">
            <v>5179</v>
          </cell>
          <cell r="G1559" t="str">
            <v>Guckenheimer - Wexner Commons</v>
          </cell>
          <cell r="H1559">
            <v>1</v>
          </cell>
        </row>
        <row r="1560">
          <cell r="B1560" t="str">
            <v>SA20</v>
          </cell>
          <cell r="C1560" t="str">
            <v>Invoice</v>
          </cell>
          <cell r="D1560">
            <v>38362</v>
          </cell>
          <cell r="F1560" t="str">
            <v>5165</v>
          </cell>
          <cell r="G1560" t="str">
            <v>Ecko Unlimited</v>
          </cell>
          <cell r="H1560">
            <v>1</v>
          </cell>
        </row>
        <row r="1561">
          <cell r="B1561" t="str">
            <v>SA20</v>
          </cell>
          <cell r="C1561" t="str">
            <v>Invoice</v>
          </cell>
          <cell r="D1561">
            <v>38362</v>
          </cell>
          <cell r="F1561" t="str">
            <v>5170A</v>
          </cell>
          <cell r="G1561" t="str">
            <v>ALL Lee County Insurance</v>
          </cell>
          <cell r="H1561">
            <v>1</v>
          </cell>
        </row>
        <row r="1562">
          <cell r="B1562" t="str">
            <v>SA20</v>
          </cell>
          <cell r="C1562" t="str">
            <v>Invoice</v>
          </cell>
          <cell r="D1562">
            <v>38378</v>
          </cell>
          <cell r="F1562" t="str">
            <v>5286</v>
          </cell>
          <cell r="G1562" t="str">
            <v>Southern Kitchen and Bath</v>
          </cell>
          <cell r="H1562">
            <v>1</v>
          </cell>
        </row>
        <row r="1563">
          <cell r="B1563" t="str">
            <v>SA20</v>
          </cell>
          <cell r="C1563" t="str">
            <v>Invoice</v>
          </cell>
          <cell r="D1563">
            <v>38378</v>
          </cell>
          <cell r="F1563" t="str">
            <v>5135</v>
          </cell>
          <cell r="G1563" t="str">
            <v>Venetian Hotel-Simone Ripamonti</v>
          </cell>
          <cell r="H1563">
            <v>1</v>
          </cell>
        </row>
        <row r="1564">
          <cell r="B1564" t="str">
            <v>SA20</v>
          </cell>
          <cell r="C1564" t="str">
            <v>Invoice</v>
          </cell>
          <cell r="D1564">
            <v>38378</v>
          </cell>
          <cell r="F1564" t="str">
            <v>5197</v>
          </cell>
          <cell r="G1564" t="str">
            <v>Arkitectura Urbana</v>
          </cell>
          <cell r="H1564">
            <v>1</v>
          </cell>
        </row>
        <row r="1565">
          <cell r="B1565" t="str">
            <v>SA20</v>
          </cell>
          <cell r="C1565" t="str">
            <v>Invoice</v>
          </cell>
          <cell r="D1565">
            <v>38379</v>
          </cell>
          <cell r="F1565" t="str">
            <v>5196</v>
          </cell>
          <cell r="G1565" t="str">
            <v>Glengarry Marketing</v>
          </cell>
          <cell r="H1565">
            <v>1</v>
          </cell>
        </row>
        <row r="1566">
          <cell r="B1566" t="str">
            <v>SAC</v>
          </cell>
          <cell r="C1566" t="str">
            <v>Invoice</v>
          </cell>
          <cell r="D1566">
            <v>38355</v>
          </cell>
          <cell r="F1566" t="str">
            <v>5179</v>
          </cell>
          <cell r="G1566" t="str">
            <v>Guckenheimer - Wexner Commons</v>
          </cell>
          <cell r="H1566">
            <v>1</v>
          </cell>
        </row>
        <row r="1567">
          <cell r="B1567" t="str">
            <v>SAC</v>
          </cell>
          <cell r="C1567" t="str">
            <v>Invoice</v>
          </cell>
          <cell r="D1567">
            <v>38362</v>
          </cell>
          <cell r="F1567" t="str">
            <v>5165</v>
          </cell>
          <cell r="G1567" t="str">
            <v>Ecko Unlimited</v>
          </cell>
          <cell r="H1567">
            <v>1</v>
          </cell>
        </row>
        <row r="1568">
          <cell r="B1568" t="str">
            <v>SAC</v>
          </cell>
          <cell r="C1568" t="str">
            <v>Invoice</v>
          </cell>
          <cell r="D1568">
            <v>38362</v>
          </cell>
          <cell r="F1568" t="str">
            <v>5170A</v>
          </cell>
          <cell r="G1568" t="str">
            <v>ALL Lee County Insurance</v>
          </cell>
          <cell r="H1568">
            <v>1</v>
          </cell>
        </row>
        <row r="1569">
          <cell r="B1569" t="str">
            <v>SAC</v>
          </cell>
          <cell r="C1569" t="str">
            <v>Invoice</v>
          </cell>
          <cell r="D1569">
            <v>38370</v>
          </cell>
          <cell r="F1569" t="str">
            <v>5173A</v>
          </cell>
          <cell r="G1569" t="str">
            <v>Proffitt's Riverchase</v>
          </cell>
          <cell r="H1569">
            <v>1</v>
          </cell>
        </row>
        <row r="1570">
          <cell r="B1570" t="str">
            <v>SAC</v>
          </cell>
          <cell r="C1570" t="str">
            <v>Invoice</v>
          </cell>
          <cell r="D1570">
            <v>38371</v>
          </cell>
          <cell r="F1570" t="str">
            <v>5250</v>
          </cell>
          <cell r="G1570" t="str">
            <v>Guckenheimer - Wexner Commons</v>
          </cell>
          <cell r="H1570">
            <v>1</v>
          </cell>
        </row>
        <row r="1571">
          <cell r="B1571" t="str">
            <v>SAC</v>
          </cell>
          <cell r="C1571" t="str">
            <v>Invoice</v>
          </cell>
          <cell r="D1571">
            <v>38371</v>
          </cell>
          <cell r="F1571" t="str">
            <v>5229</v>
          </cell>
          <cell r="G1571" t="str">
            <v>Christian Science Reading Room</v>
          </cell>
          <cell r="H1571">
            <v>1</v>
          </cell>
        </row>
        <row r="1572">
          <cell r="B1572" t="str">
            <v>SAC</v>
          </cell>
          <cell r="C1572" t="str">
            <v>Invoice</v>
          </cell>
          <cell r="D1572">
            <v>38371</v>
          </cell>
          <cell r="F1572" t="str">
            <v>5207</v>
          </cell>
          <cell r="G1572" t="str">
            <v>South Pacific Elixir Company Inc.</v>
          </cell>
          <cell r="H1572">
            <v>1</v>
          </cell>
        </row>
        <row r="1573">
          <cell r="B1573" t="str">
            <v>SAC</v>
          </cell>
          <cell r="C1573" t="str">
            <v>Invoice</v>
          </cell>
          <cell r="D1573">
            <v>38371</v>
          </cell>
          <cell r="F1573" t="str">
            <v>5206</v>
          </cell>
          <cell r="G1573" t="str">
            <v>NBC Experience Store</v>
          </cell>
          <cell r="H1573">
            <v>1</v>
          </cell>
        </row>
        <row r="1574">
          <cell r="B1574" t="str">
            <v>SAC</v>
          </cell>
          <cell r="C1574" t="str">
            <v>Invoice</v>
          </cell>
          <cell r="D1574">
            <v>38371</v>
          </cell>
          <cell r="F1574" t="str">
            <v>5205</v>
          </cell>
          <cell r="G1574" t="str">
            <v>Kryshak - Avenue Jewelers</v>
          </cell>
          <cell r="H1574">
            <v>1</v>
          </cell>
        </row>
        <row r="1575">
          <cell r="B1575" t="str">
            <v>SAC</v>
          </cell>
          <cell r="C1575" t="str">
            <v>Invoice</v>
          </cell>
          <cell r="D1575">
            <v>38371</v>
          </cell>
          <cell r="F1575" t="str">
            <v>5204</v>
          </cell>
          <cell r="G1575" t="str">
            <v>Kryshak - Avenue Jewelers</v>
          </cell>
          <cell r="H1575">
            <v>1</v>
          </cell>
        </row>
        <row r="1576">
          <cell r="B1576" t="str">
            <v>SAC</v>
          </cell>
          <cell r="C1576" t="str">
            <v>Invoice</v>
          </cell>
          <cell r="D1576">
            <v>38371</v>
          </cell>
          <cell r="F1576" t="str">
            <v>5203</v>
          </cell>
          <cell r="G1576" t="str">
            <v>Andrew &amp; Andrew</v>
          </cell>
          <cell r="H1576">
            <v>1</v>
          </cell>
        </row>
        <row r="1577">
          <cell r="B1577" t="str">
            <v>SAC</v>
          </cell>
          <cell r="C1577" t="str">
            <v>Invoice</v>
          </cell>
          <cell r="D1577">
            <v>38371</v>
          </cell>
          <cell r="F1577" t="str">
            <v>5202</v>
          </cell>
          <cell r="G1577" t="str">
            <v>Andrew &amp; Andrew</v>
          </cell>
          <cell r="H1577">
            <v>1</v>
          </cell>
        </row>
        <row r="1578">
          <cell r="B1578" t="str">
            <v>SAC</v>
          </cell>
          <cell r="C1578" t="str">
            <v>Invoice</v>
          </cell>
          <cell r="D1578">
            <v>38378</v>
          </cell>
          <cell r="F1578" t="str">
            <v>5273</v>
          </cell>
          <cell r="G1578" t="str">
            <v>Exxon DDB Worldwide# 2431</v>
          </cell>
          <cell r="H1578">
            <v>1</v>
          </cell>
        </row>
        <row r="1579">
          <cell r="B1579" t="str">
            <v>SAC</v>
          </cell>
          <cell r="C1579" t="str">
            <v>Invoice</v>
          </cell>
          <cell r="D1579">
            <v>38378</v>
          </cell>
          <cell r="F1579" t="str">
            <v>5274</v>
          </cell>
          <cell r="G1579" t="str">
            <v>Exxon DDB Worldwide# 25329</v>
          </cell>
          <cell r="H1579">
            <v>1</v>
          </cell>
        </row>
        <row r="1580">
          <cell r="B1580" t="str">
            <v>SAC</v>
          </cell>
          <cell r="C1580" t="str">
            <v>Invoice</v>
          </cell>
          <cell r="D1580">
            <v>38378</v>
          </cell>
          <cell r="F1580" t="str">
            <v>5275</v>
          </cell>
          <cell r="G1580" t="str">
            <v>Exxon DDB Worldwide:Exxon DDB Worldwide #26308</v>
          </cell>
          <cell r="H1580">
            <v>1</v>
          </cell>
        </row>
        <row r="1581">
          <cell r="B1581" t="str">
            <v>SAC</v>
          </cell>
          <cell r="C1581" t="str">
            <v>Invoice</v>
          </cell>
          <cell r="D1581">
            <v>38378</v>
          </cell>
          <cell r="F1581" t="str">
            <v>5286</v>
          </cell>
          <cell r="G1581" t="str">
            <v>Southern Kitchen and Bath</v>
          </cell>
          <cell r="H1581">
            <v>1</v>
          </cell>
        </row>
        <row r="1582">
          <cell r="B1582" t="str">
            <v>SAC</v>
          </cell>
          <cell r="C1582" t="str">
            <v>Invoice</v>
          </cell>
          <cell r="D1582">
            <v>38378</v>
          </cell>
          <cell r="F1582" t="str">
            <v>5274</v>
          </cell>
          <cell r="G1582" t="str">
            <v>Exxon DDB Worldwide# 25329</v>
          </cell>
          <cell r="H1582">
            <v>1</v>
          </cell>
        </row>
        <row r="1583">
          <cell r="B1583" t="str">
            <v>SAC</v>
          </cell>
          <cell r="C1583" t="str">
            <v>Invoice</v>
          </cell>
          <cell r="D1583">
            <v>38383</v>
          </cell>
          <cell r="F1583" t="str">
            <v>5247</v>
          </cell>
          <cell r="G1583" t="str">
            <v>Celebration Hotel</v>
          </cell>
          <cell r="H1583">
            <v>1</v>
          </cell>
        </row>
        <row r="1584">
          <cell r="B1584" t="str">
            <v>SAC-1195</v>
          </cell>
          <cell r="C1584" t="str">
            <v>Invoice</v>
          </cell>
          <cell r="D1584">
            <v>38357</v>
          </cell>
          <cell r="F1584" t="str">
            <v>5148</v>
          </cell>
          <cell r="G1584" t="str">
            <v>Sea World Orlando</v>
          </cell>
          <cell r="H1584">
            <v>1</v>
          </cell>
        </row>
        <row r="1585">
          <cell r="B1585" t="str">
            <v>SAC-1254</v>
          </cell>
          <cell r="C1585" t="str">
            <v>Invoice</v>
          </cell>
          <cell r="D1585">
            <v>38357</v>
          </cell>
          <cell r="F1585" t="str">
            <v>5145</v>
          </cell>
          <cell r="G1585" t="str">
            <v>Bark Avenue Bakery</v>
          </cell>
          <cell r="H1585">
            <v>1</v>
          </cell>
        </row>
        <row r="1586">
          <cell r="B1586" t="str">
            <v>SAC-1254</v>
          </cell>
          <cell r="C1586" t="str">
            <v>Invoice</v>
          </cell>
          <cell r="D1586">
            <v>38379</v>
          </cell>
          <cell r="F1586" t="str">
            <v>5196</v>
          </cell>
          <cell r="G1586" t="str">
            <v>Glengarry Marketing</v>
          </cell>
          <cell r="H1586">
            <v>1</v>
          </cell>
        </row>
        <row r="1587">
          <cell r="B1587" t="str">
            <v>SAC-1341</v>
          </cell>
          <cell r="C1587" t="str">
            <v>Invoice</v>
          </cell>
          <cell r="D1587">
            <v>38379</v>
          </cell>
          <cell r="F1587" t="str">
            <v>5196</v>
          </cell>
          <cell r="G1587" t="str">
            <v>Glengarry Marketing</v>
          </cell>
          <cell r="H1587">
            <v>1</v>
          </cell>
        </row>
        <row r="1588">
          <cell r="B1588" t="str">
            <v>SAC-153</v>
          </cell>
          <cell r="C1588" t="str">
            <v>Invoice</v>
          </cell>
          <cell r="D1588">
            <v>38393</v>
          </cell>
          <cell r="F1588" t="str">
            <v>5301</v>
          </cell>
          <cell r="G1588" t="str">
            <v>Bryant Sons Ltd</v>
          </cell>
          <cell r="H1588">
            <v>1</v>
          </cell>
        </row>
        <row r="1589">
          <cell r="B1589" t="str">
            <v>SAC-832</v>
          </cell>
          <cell r="C1589" t="str">
            <v>Invoice</v>
          </cell>
          <cell r="D1589">
            <v>38357</v>
          </cell>
          <cell r="F1589" t="str">
            <v>5148</v>
          </cell>
          <cell r="G1589" t="str">
            <v>Sea World Orlando</v>
          </cell>
          <cell r="H1589">
            <v>1</v>
          </cell>
        </row>
        <row r="1590">
          <cell r="B1590" t="str">
            <v>SAC-961</v>
          </cell>
          <cell r="C1590" t="str">
            <v>Invoice</v>
          </cell>
          <cell r="D1590">
            <v>38357</v>
          </cell>
          <cell r="F1590" t="str">
            <v>5148</v>
          </cell>
          <cell r="G1590" t="str">
            <v>Sea World Orlando</v>
          </cell>
          <cell r="H1590">
            <v>1</v>
          </cell>
        </row>
        <row r="1591">
          <cell r="B1591" t="str">
            <v>SAMPLE-3OZ</v>
          </cell>
          <cell r="C1591" t="str">
            <v>Invoice</v>
          </cell>
          <cell r="D1591">
            <v>38562</v>
          </cell>
          <cell r="F1591" t="str">
            <v>7208</v>
          </cell>
          <cell r="G1591" t="str">
            <v>AroMarketing:AroMarketing - Texas</v>
          </cell>
          <cell r="H1591">
            <v>1</v>
          </cell>
        </row>
        <row r="1592">
          <cell r="B1592" t="str">
            <v>SAMPLE-3OZ</v>
          </cell>
          <cell r="C1592" t="str">
            <v>Invoice</v>
          </cell>
          <cell r="D1592">
            <v>38562</v>
          </cell>
          <cell r="F1592" t="str">
            <v>7208</v>
          </cell>
          <cell r="G1592" t="str">
            <v>AroMarketing:AroMarketing - Texas</v>
          </cell>
          <cell r="H1592">
            <v>1</v>
          </cell>
        </row>
        <row r="1593">
          <cell r="B1593" t="str">
            <v>SAMPLE-3OZ</v>
          </cell>
          <cell r="C1593" t="str">
            <v>Invoice</v>
          </cell>
          <cell r="D1593">
            <v>38562</v>
          </cell>
          <cell r="F1593" t="str">
            <v>7208</v>
          </cell>
          <cell r="G1593" t="str">
            <v>AroMarketing:AroMarketing - Texas</v>
          </cell>
          <cell r="H1593">
            <v>1</v>
          </cell>
        </row>
        <row r="1594">
          <cell r="B1594" t="str">
            <v>SAMPLE-3OZ</v>
          </cell>
          <cell r="C1594" t="str">
            <v>Invoice</v>
          </cell>
          <cell r="D1594">
            <v>38562</v>
          </cell>
          <cell r="F1594" t="str">
            <v>7208</v>
          </cell>
          <cell r="G1594" t="str">
            <v>AroMarketing:AroMarketing - Texas</v>
          </cell>
          <cell r="H1594">
            <v>1</v>
          </cell>
        </row>
        <row r="1595">
          <cell r="B1595" t="str">
            <v>SAMPLE-3OZ</v>
          </cell>
          <cell r="C1595" t="str">
            <v>Invoice</v>
          </cell>
          <cell r="D1595">
            <v>38562</v>
          </cell>
          <cell r="F1595" t="str">
            <v>7208</v>
          </cell>
          <cell r="G1595" t="str">
            <v>AroMarketing:AroMarketing - Texas</v>
          </cell>
          <cell r="H1595">
            <v>1</v>
          </cell>
        </row>
        <row r="1596">
          <cell r="B1596" t="str">
            <v>SAMPLE-3OZ</v>
          </cell>
          <cell r="C1596" t="str">
            <v>Invoice</v>
          </cell>
          <cell r="D1596">
            <v>38562</v>
          </cell>
          <cell r="F1596" t="str">
            <v>7208</v>
          </cell>
          <cell r="G1596" t="str">
            <v>AroMarketing:AroMarketing - Texas</v>
          </cell>
          <cell r="H1596">
            <v>1</v>
          </cell>
        </row>
        <row r="1597">
          <cell r="B1597" t="str">
            <v>SAMPLE-3OZ</v>
          </cell>
          <cell r="C1597" t="str">
            <v>Invoice</v>
          </cell>
          <cell r="D1597">
            <v>38562</v>
          </cell>
          <cell r="F1597" t="str">
            <v>7208</v>
          </cell>
          <cell r="G1597" t="str">
            <v>AroMarketing:AroMarketing - Texas</v>
          </cell>
          <cell r="H1597">
            <v>1</v>
          </cell>
        </row>
        <row r="1598">
          <cell r="B1598" t="str">
            <v>SAMPLE-3OZ</v>
          </cell>
          <cell r="C1598" t="str">
            <v>Invoice</v>
          </cell>
          <cell r="D1598">
            <v>38562</v>
          </cell>
          <cell r="F1598" t="str">
            <v>7208</v>
          </cell>
          <cell r="G1598" t="str">
            <v>AroMarketing:AroMarketing - Texas</v>
          </cell>
          <cell r="H1598">
            <v>1</v>
          </cell>
        </row>
        <row r="1599">
          <cell r="B1599" t="str">
            <v>SAMPLE-3OZ</v>
          </cell>
          <cell r="C1599" t="str">
            <v>Invoice</v>
          </cell>
          <cell r="D1599">
            <v>38562</v>
          </cell>
          <cell r="F1599" t="str">
            <v>7208</v>
          </cell>
          <cell r="G1599" t="str">
            <v>AroMarketing:AroMarketing - Texas</v>
          </cell>
          <cell r="H1599">
            <v>1</v>
          </cell>
        </row>
        <row r="1600">
          <cell r="B1600" t="str">
            <v>SAMPLE-3OZ</v>
          </cell>
          <cell r="C1600" t="str">
            <v>Invoice</v>
          </cell>
          <cell r="D1600">
            <v>38562</v>
          </cell>
          <cell r="F1600" t="str">
            <v>7208</v>
          </cell>
          <cell r="G1600" t="str">
            <v>AroMarketing:AroMarketing - Texas</v>
          </cell>
          <cell r="H1600">
            <v>1</v>
          </cell>
        </row>
        <row r="1601">
          <cell r="B1601" t="str">
            <v>SAMPLE-3OZ</v>
          </cell>
          <cell r="C1601" t="str">
            <v>Invoice</v>
          </cell>
          <cell r="D1601">
            <v>38562</v>
          </cell>
          <cell r="F1601" t="str">
            <v>7208</v>
          </cell>
          <cell r="G1601" t="str">
            <v>AroMarketing:AroMarketing - Texas</v>
          </cell>
          <cell r="H1601">
            <v>1</v>
          </cell>
        </row>
        <row r="1602">
          <cell r="B1602" t="str">
            <v>SAMPLE-3OZ</v>
          </cell>
          <cell r="C1602" t="str">
            <v>Invoice</v>
          </cell>
          <cell r="D1602">
            <v>38562</v>
          </cell>
          <cell r="F1602" t="str">
            <v>7208</v>
          </cell>
          <cell r="G1602" t="str">
            <v>AroMarketing:AroMarketing - Texas</v>
          </cell>
          <cell r="H1602">
            <v>1</v>
          </cell>
        </row>
        <row r="1603">
          <cell r="B1603" t="str">
            <v>SAMPLE-3OZ</v>
          </cell>
          <cell r="C1603" t="str">
            <v>Invoice</v>
          </cell>
          <cell r="D1603">
            <v>38562</v>
          </cell>
          <cell r="F1603" t="str">
            <v>7208</v>
          </cell>
          <cell r="G1603" t="str">
            <v>AroMarketing:AroMarketing - Texas</v>
          </cell>
          <cell r="H1603">
            <v>1</v>
          </cell>
        </row>
        <row r="1604">
          <cell r="B1604" t="str">
            <v>SAMPLE-3OZ</v>
          </cell>
          <cell r="C1604" t="str">
            <v>Invoice</v>
          </cell>
          <cell r="D1604">
            <v>38562</v>
          </cell>
          <cell r="F1604" t="str">
            <v>7208</v>
          </cell>
          <cell r="G1604" t="str">
            <v>AroMarketing:AroMarketing - Texas</v>
          </cell>
          <cell r="H1604">
            <v>1</v>
          </cell>
        </row>
        <row r="1605">
          <cell r="B1605" t="str">
            <v>SAMPLE-3OZ</v>
          </cell>
          <cell r="C1605" t="str">
            <v>Invoice</v>
          </cell>
          <cell r="D1605">
            <v>38562</v>
          </cell>
          <cell r="F1605" t="str">
            <v>7208</v>
          </cell>
          <cell r="G1605" t="str">
            <v>AroMarketing:AroMarketing - Texas</v>
          </cell>
          <cell r="H1605">
            <v>1</v>
          </cell>
        </row>
        <row r="1606">
          <cell r="B1606" t="str">
            <v>SAMPLE-3OZ</v>
          </cell>
          <cell r="C1606" t="str">
            <v>Invoice</v>
          </cell>
          <cell r="D1606">
            <v>38562</v>
          </cell>
          <cell r="F1606" t="str">
            <v>7208</v>
          </cell>
          <cell r="G1606" t="str">
            <v>AroMarketing:AroMarketing - Texas</v>
          </cell>
          <cell r="H1606">
            <v>1</v>
          </cell>
        </row>
        <row r="1607">
          <cell r="B1607" t="str">
            <v>SAMPLE-3OZ</v>
          </cell>
          <cell r="C1607" t="str">
            <v>Invoice</v>
          </cell>
          <cell r="D1607">
            <v>38562</v>
          </cell>
          <cell r="F1607" t="str">
            <v>7208</v>
          </cell>
          <cell r="G1607" t="str">
            <v>AroMarketing:AroMarketing - Texas</v>
          </cell>
          <cell r="H1607">
            <v>1</v>
          </cell>
        </row>
        <row r="1608">
          <cell r="B1608" t="str">
            <v>SAMPLE-3OZ</v>
          </cell>
          <cell r="C1608" t="str">
            <v>Invoice</v>
          </cell>
          <cell r="D1608">
            <v>38562</v>
          </cell>
          <cell r="F1608" t="str">
            <v>7208</v>
          </cell>
          <cell r="G1608" t="str">
            <v>AroMarketing:AroMarketing - Texas</v>
          </cell>
          <cell r="H1608">
            <v>1</v>
          </cell>
        </row>
        <row r="1609">
          <cell r="B1609" t="str">
            <v>SAMPLE-3OZ</v>
          </cell>
          <cell r="C1609" t="str">
            <v>Invoice</v>
          </cell>
          <cell r="D1609">
            <v>38562</v>
          </cell>
          <cell r="F1609" t="str">
            <v>7208</v>
          </cell>
          <cell r="G1609" t="str">
            <v>AroMarketing:AroMarketing - Texas</v>
          </cell>
          <cell r="H1609">
            <v>1</v>
          </cell>
        </row>
        <row r="1610">
          <cell r="B1610" t="str">
            <v>SAMPLE-3OZ</v>
          </cell>
          <cell r="C1610" t="str">
            <v>Invoice</v>
          </cell>
          <cell r="D1610">
            <v>38562</v>
          </cell>
          <cell r="F1610" t="str">
            <v>7208</v>
          </cell>
          <cell r="G1610" t="str">
            <v>AroMarketing:AroMarketing - Texas</v>
          </cell>
          <cell r="H1610">
            <v>1</v>
          </cell>
        </row>
        <row r="1611">
          <cell r="B1611" t="str">
            <v>SAMPLE-3OZ</v>
          </cell>
          <cell r="C1611" t="str">
            <v>Invoice</v>
          </cell>
          <cell r="D1611">
            <v>38562</v>
          </cell>
          <cell r="F1611" t="str">
            <v>7208</v>
          </cell>
          <cell r="G1611" t="str">
            <v>AroMarketing:AroMarketing - Texas</v>
          </cell>
          <cell r="H1611">
            <v>1</v>
          </cell>
        </row>
        <row r="1612">
          <cell r="B1612" t="str">
            <v>SAMPLE-3OZ</v>
          </cell>
          <cell r="C1612" t="str">
            <v>Invoice</v>
          </cell>
          <cell r="D1612">
            <v>38562</v>
          </cell>
          <cell r="F1612" t="str">
            <v>7208</v>
          </cell>
          <cell r="G1612" t="str">
            <v>AroMarketing:AroMarketing - Texas</v>
          </cell>
          <cell r="H1612">
            <v>1</v>
          </cell>
        </row>
        <row r="1613">
          <cell r="B1613" t="str">
            <v>SAMPLE-3OZ</v>
          </cell>
          <cell r="C1613" t="str">
            <v>Invoice</v>
          </cell>
          <cell r="D1613">
            <v>38562</v>
          </cell>
          <cell r="F1613" t="str">
            <v>7208</v>
          </cell>
          <cell r="G1613" t="str">
            <v>AroMarketing:AroMarketing - Texas</v>
          </cell>
          <cell r="H1613">
            <v>1</v>
          </cell>
        </row>
        <row r="1614">
          <cell r="B1614" t="str">
            <v>SAMPLE-3OZ</v>
          </cell>
          <cell r="C1614" t="str">
            <v>Invoice</v>
          </cell>
          <cell r="D1614">
            <v>38562</v>
          </cell>
          <cell r="F1614" t="str">
            <v>7208</v>
          </cell>
          <cell r="G1614" t="str">
            <v>AroMarketing:AroMarketing - Texas</v>
          </cell>
          <cell r="H1614">
            <v>1</v>
          </cell>
        </row>
        <row r="1615">
          <cell r="B1615" t="str">
            <v>SAMPLE-3OZ</v>
          </cell>
          <cell r="C1615" t="str">
            <v>Invoice</v>
          </cell>
          <cell r="D1615">
            <v>38562</v>
          </cell>
          <cell r="F1615" t="str">
            <v>7208</v>
          </cell>
          <cell r="G1615" t="str">
            <v>AroMarketing:AroMarketing - Texas</v>
          </cell>
          <cell r="H1615">
            <v>1</v>
          </cell>
        </row>
        <row r="1616">
          <cell r="B1616" t="str">
            <v>SAMPLE-3OZ</v>
          </cell>
          <cell r="C1616" t="str">
            <v>Invoice</v>
          </cell>
          <cell r="D1616">
            <v>38562</v>
          </cell>
          <cell r="F1616" t="str">
            <v>7208</v>
          </cell>
          <cell r="G1616" t="str">
            <v>AroMarketing:AroMarketing - Texas</v>
          </cell>
          <cell r="H1616">
            <v>1</v>
          </cell>
        </row>
        <row r="1617">
          <cell r="B1617" t="str">
            <v>SAMPLE-3OZ</v>
          </cell>
          <cell r="C1617" t="str">
            <v>Invoice</v>
          </cell>
          <cell r="D1617">
            <v>38562</v>
          </cell>
          <cell r="F1617" t="str">
            <v>7208</v>
          </cell>
          <cell r="G1617" t="str">
            <v>AroMarketing:AroMarketing - Texas</v>
          </cell>
          <cell r="H1617">
            <v>1</v>
          </cell>
        </row>
        <row r="1618">
          <cell r="B1618" t="str">
            <v>SAMPLE-3OZ</v>
          </cell>
          <cell r="C1618" t="str">
            <v>Invoice</v>
          </cell>
          <cell r="D1618">
            <v>38562</v>
          </cell>
          <cell r="F1618" t="str">
            <v>7208</v>
          </cell>
          <cell r="G1618" t="str">
            <v>AroMarketing:AroMarketing - Texas</v>
          </cell>
          <cell r="H1618">
            <v>1</v>
          </cell>
        </row>
        <row r="1619">
          <cell r="B1619" t="str">
            <v>SAMPLE-3OZ</v>
          </cell>
          <cell r="C1619" t="str">
            <v>Invoice</v>
          </cell>
          <cell r="D1619">
            <v>38562</v>
          </cell>
          <cell r="F1619" t="str">
            <v>7208</v>
          </cell>
          <cell r="G1619" t="str">
            <v>AroMarketing:AroMarketing - Texas</v>
          </cell>
          <cell r="H1619">
            <v>1</v>
          </cell>
        </row>
        <row r="1620">
          <cell r="B1620" t="str">
            <v>SAMPLE-3OZ</v>
          </cell>
          <cell r="C1620" t="str">
            <v>Invoice</v>
          </cell>
          <cell r="D1620">
            <v>38562</v>
          </cell>
          <cell r="F1620" t="str">
            <v>7208</v>
          </cell>
          <cell r="G1620" t="str">
            <v>AroMarketing:AroMarketing - Texas</v>
          </cell>
          <cell r="H1620">
            <v>1</v>
          </cell>
        </row>
        <row r="1621">
          <cell r="B1621" t="str">
            <v>SAMPLE-3OZ</v>
          </cell>
          <cell r="C1621" t="str">
            <v>Invoice</v>
          </cell>
          <cell r="D1621">
            <v>38562</v>
          </cell>
          <cell r="F1621" t="str">
            <v>7208</v>
          </cell>
          <cell r="G1621" t="str">
            <v>AroMarketing:AroMarketing - Texas</v>
          </cell>
          <cell r="H1621">
            <v>1</v>
          </cell>
        </row>
        <row r="1622">
          <cell r="B1622" t="str">
            <v>SAMPLE-3OZ</v>
          </cell>
          <cell r="C1622" t="str">
            <v>Invoice</v>
          </cell>
          <cell r="D1622">
            <v>38562</v>
          </cell>
          <cell r="F1622" t="str">
            <v>7208</v>
          </cell>
          <cell r="G1622" t="str">
            <v>AroMarketing:AroMarketing - Texas</v>
          </cell>
          <cell r="H1622">
            <v>1</v>
          </cell>
        </row>
        <row r="1623">
          <cell r="B1623" t="str">
            <v>SAMPLE-3OZ</v>
          </cell>
          <cell r="C1623" t="str">
            <v>Invoice</v>
          </cell>
          <cell r="D1623">
            <v>38562</v>
          </cell>
          <cell r="F1623" t="str">
            <v>7208</v>
          </cell>
          <cell r="G1623" t="str">
            <v>AroMarketing:AroMarketing - Texas</v>
          </cell>
          <cell r="H1623">
            <v>1</v>
          </cell>
        </row>
        <row r="1624">
          <cell r="B1624" t="str">
            <v>SAMPLE-3OZ</v>
          </cell>
          <cell r="C1624" t="str">
            <v>Invoice</v>
          </cell>
          <cell r="D1624">
            <v>38562</v>
          </cell>
          <cell r="F1624" t="str">
            <v>7208</v>
          </cell>
          <cell r="G1624" t="str">
            <v>AroMarketing:AroMarketing - Texas</v>
          </cell>
          <cell r="H1624">
            <v>1</v>
          </cell>
        </row>
        <row r="1625">
          <cell r="B1625" t="str">
            <v>SAMPLE-3OZ</v>
          </cell>
          <cell r="C1625" t="str">
            <v>Invoice</v>
          </cell>
          <cell r="D1625">
            <v>38562</v>
          </cell>
          <cell r="F1625" t="str">
            <v>7208</v>
          </cell>
          <cell r="G1625" t="str">
            <v>AroMarketing:AroMarketing - Texas</v>
          </cell>
          <cell r="H1625">
            <v>1</v>
          </cell>
        </row>
        <row r="1626">
          <cell r="B1626" t="str">
            <v>SAMPLE-3OZ</v>
          </cell>
          <cell r="C1626" t="str">
            <v>Invoice</v>
          </cell>
          <cell r="D1626">
            <v>38562</v>
          </cell>
          <cell r="F1626" t="str">
            <v>7208</v>
          </cell>
          <cell r="G1626" t="str">
            <v>AroMarketing:AroMarketing - Texas</v>
          </cell>
          <cell r="H1626">
            <v>1</v>
          </cell>
        </row>
        <row r="1627">
          <cell r="B1627" t="str">
            <v>SAMPLE-3OZ</v>
          </cell>
          <cell r="C1627" t="str">
            <v>Invoice</v>
          </cell>
          <cell r="D1627">
            <v>38562</v>
          </cell>
          <cell r="F1627" t="str">
            <v>7208</v>
          </cell>
          <cell r="G1627" t="str">
            <v>AroMarketing:AroMarketing - Texas</v>
          </cell>
          <cell r="H1627">
            <v>1</v>
          </cell>
        </row>
        <row r="1628">
          <cell r="B1628" t="str">
            <v>SAMPLE-3OZ</v>
          </cell>
          <cell r="C1628" t="str">
            <v>Invoice</v>
          </cell>
          <cell r="D1628">
            <v>38562</v>
          </cell>
          <cell r="F1628" t="str">
            <v>7208</v>
          </cell>
          <cell r="G1628" t="str">
            <v>AroMarketing:AroMarketing - Texas</v>
          </cell>
          <cell r="H1628">
            <v>1</v>
          </cell>
        </row>
        <row r="1629">
          <cell r="B1629" t="str">
            <v>SAMPLE-3OZ</v>
          </cell>
          <cell r="C1629" t="str">
            <v>Invoice</v>
          </cell>
          <cell r="D1629">
            <v>38562</v>
          </cell>
          <cell r="F1629" t="str">
            <v>7208</v>
          </cell>
          <cell r="G1629" t="str">
            <v>AroMarketing:AroMarketing - Texas</v>
          </cell>
          <cell r="H1629">
            <v>1</v>
          </cell>
        </row>
        <row r="1630">
          <cell r="B1630" t="str">
            <v>SAMPLE-3OZ</v>
          </cell>
          <cell r="C1630" t="str">
            <v>Invoice</v>
          </cell>
          <cell r="D1630">
            <v>38562</v>
          </cell>
          <cell r="F1630" t="str">
            <v>7208</v>
          </cell>
          <cell r="G1630" t="str">
            <v>AroMarketing:AroMarketing - Texas</v>
          </cell>
          <cell r="H1630">
            <v>1</v>
          </cell>
        </row>
        <row r="1631">
          <cell r="B1631" t="str">
            <v>SAMPLE-3OZ</v>
          </cell>
          <cell r="C1631" t="str">
            <v>Invoice</v>
          </cell>
          <cell r="D1631">
            <v>38562</v>
          </cell>
          <cell r="F1631" t="str">
            <v>7208</v>
          </cell>
          <cell r="G1631" t="str">
            <v>AroMarketing:AroMarketing - Texas</v>
          </cell>
          <cell r="H1631">
            <v>1</v>
          </cell>
        </row>
        <row r="1632">
          <cell r="B1632" t="str">
            <v>SAMPLE-3OZ</v>
          </cell>
          <cell r="C1632" t="str">
            <v>Invoice</v>
          </cell>
          <cell r="D1632">
            <v>38562</v>
          </cell>
          <cell r="F1632" t="str">
            <v>7208</v>
          </cell>
          <cell r="G1632" t="str">
            <v>AroMarketing:AroMarketing - Texas</v>
          </cell>
          <cell r="H1632">
            <v>1</v>
          </cell>
        </row>
        <row r="1633">
          <cell r="B1633" t="str">
            <v>SAMPLE-3OZ</v>
          </cell>
          <cell r="C1633" t="str">
            <v>Invoice</v>
          </cell>
          <cell r="D1633">
            <v>38562</v>
          </cell>
          <cell r="F1633" t="str">
            <v>7208</v>
          </cell>
          <cell r="G1633" t="str">
            <v>AroMarketing:AroMarketing - Texas</v>
          </cell>
          <cell r="H1633">
            <v>1</v>
          </cell>
        </row>
        <row r="1634">
          <cell r="B1634" t="str">
            <v>SAMPLE-3OZ</v>
          </cell>
          <cell r="C1634" t="str">
            <v>Invoice</v>
          </cell>
          <cell r="D1634">
            <v>38562</v>
          </cell>
          <cell r="F1634" t="str">
            <v>7208</v>
          </cell>
          <cell r="G1634" t="str">
            <v>AroMarketing:AroMarketing - Texas</v>
          </cell>
          <cell r="H1634">
            <v>1</v>
          </cell>
        </row>
        <row r="1635">
          <cell r="B1635" t="str">
            <v>SAMPLE-3OZ</v>
          </cell>
          <cell r="C1635" t="str">
            <v>Invoice</v>
          </cell>
          <cell r="D1635">
            <v>38562</v>
          </cell>
          <cell r="F1635" t="str">
            <v>7208</v>
          </cell>
          <cell r="G1635" t="str">
            <v>AroMarketing:AroMarketing - Texas</v>
          </cell>
          <cell r="H1635">
            <v>1</v>
          </cell>
        </row>
        <row r="1636">
          <cell r="B1636" t="str">
            <v>SAMPLE-3OZ</v>
          </cell>
          <cell r="C1636" t="str">
            <v>Invoice</v>
          </cell>
          <cell r="D1636">
            <v>38562</v>
          </cell>
          <cell r="F1636" t="str">
            <v>7208</v>
          </cell>
          <cell r="G1636" t="str">
            <v>AroMarketing:AroMarketing - Texas</v>
          </cell>
          <cell r="H1636">
            <v>1</v>
          </cell>
        </row>
        <row r="1637">
          <cell r="B1637" t="str">
            <v>SAMPLE-3OZ</v>
          </cell>
          <cell r="C1637" t="str">
            <v>Invoice</v>
          </cell>
          <cell r="D1637">
            <v>38562</v>
          </cell>
          <cell r="F1637" t="str">
            <v>7208</v>
          </cell>
          <cell r="G1637" t="str">
            <v>AroMarketing:AroMarketing - Texas</v>
          </cell>
          <cell r="H1637">
            <v>1</v>
          </cell>
        </row>
        <row r="1638">
          <cell r="B1638" t="str">
            <v>SAMPLE-3OZ</v>
          </cell>
          <cell r="C1638" t="str">
            <v>Invoice</v>
          </cell>
          <cell r="D1638">
            <v>38562</v>
          </cell>
          <cell r="F1638" t="str">
            <v>7208</v>
          </cell>
          <cell r="G1638" t="str">
            <v>AroMarketing:AroMarketing - Texas</v>
          </cell>
          <cell r="H1638">
            <v>1</v>
          </cell>
        </row>
        <row r="1639">
          <cell r="B1639" t="str">
            <v>SAMPLE-3OZ</v>
          </cell>
          <cell r="C1639" t="str">
            <v>Invoice</v>
          </cell>
          <cell r="D1639">
            <v>38562</v>
          </cell>
          <cell r="F1639" t="str">
            <v>7208</v>
          </cell>
          <cell r="G1639" t="str">
            <v>AroMarketing:AroMarketing - Texas</v>
          </cell>
          <cell r="H1639">
            <v>1</v>
          </cell>
        </row>
        <row r="1640">
          <cell r="B1640" t="str">
            <v>SAMPLE-3OZ</v>
          </cell>
          <cell r="C1640" t="str">
            <v>Invoice</v>
          </cell>
          <cell r="D1640">
            <v>38562</v>
          </cell>
          <cell r="F1640" t="str">
            <v>7208</v>
          </cell>
          <cell r="G1640" t="str">
            <v>AroMarketing:AroMarketing - Texas</v>
          </cell>
          <cell r="H1640">
            <v>1</v>
          </cell>
        </row>
        <row r="1641">
          <cell r="B1641" t="str">
            <v>SAMPLE-3OZ</v>
          </cell>
          <cell r="C1641" t="str">
            <v>Invoice</v>
          </cell>
          <cell r="D1641">
            <v>38562</v>
          </cell>
          <cell r="F1641" t="str">
            <v>7208</v>
          </cell>
          <cell r="G1641" t="str">
            <v>AroMarketing:AroMarketing - Texas</v>
          </cell>
          <cell r="H1641">
            <v>1</v>
          </cell>
        </row>
        <row r="1642">
          <cell r="B1642" t="str">
            <v>SAMPLE-3OZ</v>
          </cell>
          <cell r="C1642" t="str">
            <v>Invoice</v>
          </cell>
          <cell r="D1642">
            <v>38562</v>
          </cell>
          <cell r="F1642" t="str">
            <v>7208</v>
          </cell>
          <cell r="G1642" t="str">
            <v>AroMarketing:AroMarketing - Texas</v>
          </cell>
          <cell r="H1642">
            <v>1</v>
          </cell>
        </row>
        <row r="1643">
          <cell r="B1643" t="str">
            <v>SAMPLE-3OZ</v>
          </cell>
          <cell r="C1643" t="str">
            <v>Invoice</v>
          </cell>
          <cell r="D1643">
            <v>38562</v>
          </cell>
          <cell r="F1643" t="str">
            <v>7208</v>
          </cell>
          <cell r="G1643" t="str">
            <v>AroMarketing:AroMarketing - Texas</v>
          </cell>
          <cell r="H1643">
            <v>1</v>
          </cell>
        </row>
        <row r="1644">
          <cell r="B1644" t="str">
            <v>SAMPLE-3OZ</v>
          </cell>
          <cell r="C1644" t="str">
            <v>Invoice</v>
          </cell>
          <cell r="D1644">
            <v>38562</v>
          </cell>
          <cell r="F1644" t="str">
            <v>7208</v>
          </cell>
          <cell r="G1644" t="str">
            <v>AroMarketing:AroMarketing - Texas</v>
          </cell>
          <cell r="H1644">
            <v>1</v>
          </cell>
        </row>
        <row r="1645">
          <cell r="B1645" t="str">
            <v>SAMPLE-3OZ</v>
          </cell>
          <cell r="C1645" t="str">
            <v>Invoice</v>
          </cell>
          <cell r="D1645">
            <v>38562</v>
          </cell>
          <cell r="F1645" t="str">
            <v>7208</v>
          </cell>
          <cell r="G1645" t="str">
            <v>AroMarketing:AroMarketing - Texas</v>
          </cell>
          <cell r="H1645">
            <v>1</v>
          </cell>
        </row>
        <row r="1646">
          <cell r="B1646" t="str">
            <v>SAMPLE-3OZ</v>
          </cell>
          <cell r="C1646" t="str">
            <v>Invoice</v>
          </cell>
          <cell r="D1646">
            <v>38562</v>
          </cell>
          <cell r="F1646" t="str">
            <v>7208</v>
          </cell>
          <cell r="G1646" t="str">
            <v>AroMarketing:AroMarketing - Texas</v>
          </cell>
          <cell r="H1646">
            <v>1</v>
          </cell>
        </row>
        <row r="1647">
          <cell r="B1647" t="str">
            <v>SAMPLE-3OZ</v>
          </cell>
          <cell r="C1647" t="str">
            <v>Invoice</v>
          </cell>
          <cell r="D1647">
            <v>38562</v>
          </cell>
          <cell r="F1647" t="str">
            <v>7208</v>
          </cell>
          <cell r="G1647" t="str">
            <v>AroMarketing:AroMarketing - Texas</v>
          </cell>
          <cell r="H1647">
            <v>1</v>
          </cell>
        </row>
        <row r="1648">
          <cell r="B1648" t="str">
            <v>SAMPLE-3OZ</v>
          </cell>
          <cell r="C1648" t="str">
            <v>Invoice</v>
          </cell>
          <cell r="D1648">
            <v>38562</v>
          </cell>
          <cell r="F1648" t="str">
            <v>7208</v>
          </cell>
          <cell r="G1648" t="str">
            <v>AroMarketing:AroMarketing - Texas</v>
          </cell>
          <cell r="H1648">
            <v>1</v>
          </cell>
        </row>
        <row r="1649">
          <cell r="B1649" t="str">
            <v>SAMPLE-3OZ</v>
          </cell>
          <cell r="C1649" t="str">
            <v>Invoice</v>
          </cell>
          <cell r="D1649">
            <v>38562</v>
          </cell>
          <cell r="F1649" t="str">
            <v>7208</v>
          </cell>
          <cell r="G1649" t="str">
            <v>AroMarketing:AroMarketing - Texas</v>
          </cell>
          <cell r="H1649">
            <v>1</v>
          </cell>
        </row>
        <row r="1650">
          <cell r="B1650" t="str">
            <v>SAMPLE-3OZ</v>
          </cell>
          <cell r="C1650" t="str">
            <v>Invoice</v>
          </cell>
          <cell r="D1650">
            <v>38562</v>
          </cell>
          <cell r="F1650" t="str">
            <v>7208</v>
          </cell>
          <cell r="G1650" t="str">
            <v>AroMarketing:AroMarketing - Texas</v>
          </cell>
          <cell r="H1650">
            <v>1</v>
          </cell>
        </row>
        <row r="1651">
          <cell r="B1651" t="str">
            <v>SAMPLE-3OZ</v>
          </cell>
          <cell r="C1651" t="str">
            <v>Invoice</v>
          </cell>
          <cell r="D1651">
            <v>38562</v>
          </cell>
          <cell r="F1651" t="str">
            <v>7208</v>
          </cell>
          <cell r="G1651" t="str">
            <v>AroMarketing:AroMarketing - Texas</v>
          </cell>
          <cell r="H1651">
            <v>1</v>
          </cell>
        </row>
        <row r="1652">
          <cell r="B1652" t="str">
            <v>SAMPLE-3OZ</v>
          </cell>
          <cell r="C1652" t="str">
            <v>Invoice</v>
          </cell>
          <cell r="D1652">
            <v>38562</v>
          </cell>
          <cell r="F1652" t="str">
            <v>7208</v>
          </cell>
          <cell r="G1652" t="str">
            <v>AroMarketing:AroMarketing - Texas</v>
          </cell>
          <cell r="H1652">
            <v>1</v>
          </cell>
        </row>
        <row r="1653">
          <cell r="B1653" t="str">
            <v>SAMPLE-3OZ</v>
          </cell>
          <cell r="C1653" t="str">
            <v>Invoice</v>
          </cell>
          <cell r="D1653">
            <v>38562</v>
          </cell>
          <cell r="F1653" t="str">
            <v>7208</v>
          </cell>
          <cell r="G1653" t="str">
            <v>AroMarketing:AroMarketing - Texas</v>
          </cell>
          <cell r="H1653">
            <v>1</v>
          </cell>
        </row>
        <row r="1654">
          <cell r="B1654" t="str">
            <v>SAMPLE-3OZ</v>
          </cell>
          <cell r="C1654" t="str">
            <v>Invoice</v>
          </cell>
          <cell r="D1654">
            <v>38562</v>
          </cell>
          <cell r="F1654" t="str">
            <v>7208</v>
          </cell>
          <cell r="G1654" t="str">
            <v>AroMarketing:AroMarketing - Texas</v>
          </cell>
          <cell r="H1654">
            <v>1</v>
          </cell>
        </row>
        <row r="1655">
          <cell r="B1655" t="str">
            <v>SAMPLE-3OZ</v>
          </cell>
          <cell r="C1655" t="str">
            <v>Invoice</v>
          </cell>
          <cell r="D1655">
            <v>38562</v>
          </cell>
          <cell r="F1655" t="str">
            <v>7208</v>
          </cell>
          <cell r="G1655" t="str">
            <v>AroMarketing:AroMarketing - Texas</v>
          </cell>
          <cell r="H1655">
            <v>1</v>
          </cell>
        </row>
        <row r="1656">
          <cell r="B1656" t="str">
            <v>SAMPLE-3OZ</v>
          </cell>
          <cell r="C1656" t="str">
            <v>Invoice</v>
          </cell>
          <cell r="D1656">
            <v>38562</v>
          </cell>
          <cell r="F1656" t="str">
            <v>7208</v>
          </cell>
          <cell r="G1656" t="str">
            <v>AroMarketing:AroMarketing - Texas</v>
          </cell>
          <cell r="H1656">
            <v>1</v>
          </cell>
        </row>
        <row r="1657">
          <cell r="B1657" t="str">
            <v>SAMPLE-3OZ</v>
          </cell>
          <cell r="C1657" t="str">
            <v>Invoice</v>
          </cell>
          <cell r="D1657">
            <v>38562</v>
          </cell>
          <cell r="F1657" t="str">
            <v>7208</v>
          </cell>
          <cell r="G1657" t="str">
            <v>AroMarketing:AroMarketing - Texas</v>
          </cell>
          <cell r="H1657">
            <v>1</v>
          </cell>
        </row>
        <row r="1658">
          <cell r="B1658" t="str">
            <v>SAMPLE-3OZ</v>
          </cell>
          <cell r="C1658" t="str">
            <v>Invoice</v>
          </cell>
          <cell r="D1658">
            <v>38562</v>
          </cell>
          <cell r="F1658" t="str">
            <v>7208</v>
          </cell>
          <cell r="G1658" t="str">
            <v>AroMarketing:AroMarketing - Texas</v>
          </cell>
          <cell r="H1658">
            <v>1</v>
          </cell>
        </row>
        <row r="1659">
          <cell r="B1659" t="str">
            <v>SAMPLE-3OZ</v>
          </cell>
          <cell r="C1659" t="str">
            <v>Invoice</v>
          </cell>
          <cell r="D1659">
            <v>38562</v>
          </cell>
          <cell r="F1659" t="str">
            <v>7208</v>
          </cell>
          <cell r="G1659" t="str">
            <v>AroMarketing:AroMarketing - Texas</v>
          </cell>
          <cell r="H1659">
            <v>1</v>
          </cell>
        </row>
        <row r="1660">
          <cell r="B1660" t="str">
            <v>SAMPLE-3OZ</v>
          </cell>
          <cell r="C1660" t="str">
            <v>Invoice</v>
          </cell>
          <cell r="D1660">
            <v>38562</v>
          </cell>
          <cell r="F1660" t="str">
            <v>7208</v>
          </cell>
          <cell r="G1660" t="str">
            <v>AroMarketing:AroMarketing - Texas</v>
          </cell>
          <cell r="H1660">
            <v>1</v>
          </cell>
        </row>
        <row r="1661">
          <cell r="B1661" t="str">
            <v>SAMPLE-3OZ</v>
          </cell>
          <cell r="C1661" t="str">
            <v>Invoice</v>
          </cell>
          <cell r="D1661">
            <v>38562</v>
          </cell>
          <cell r="F1661" t="str">
            <v>7208</v>
          </cell>
          <cell r="G1661" t="str">
            <v>AroMarketing:AroMarketing - Texas</v>
          </cell>
          <cell r="H1661">
            <v>1</v>
          </cell>
        </row>
        <row r="1662">
          <cell r="B1662" t="str">
            <v>SAMPLE-3OZ</v>
          </cell>
          <cell r="C1662" t="str">
            <v>Invoice</v>
          </cell>
          <cell r="D1662">
            <v>38562</v>
          </cell>
          <cell r="F1662" t="str">
            <v>7208</v>
          </cell>
          <cell r="G1662" t="str">
            <v>AroMarketing:AroMarketing - Texas</v>
          </cell>
          <cell r="H1662">
            <v>1</v>
          </cell>
        </row>
        <row r="1663">
          <cell r="B1663" t="str">
            <v>SAMPLE-3OZ</v>
          </cell>
          <cell r="C1663" t="str">
            <v>Invoice</v>
          </cell>
          <cell r="D1663">
            <v>38562</v>
          </cell>
          <cell r="F1663" t="str">
            <v>7208</v>
          </cell>
          <cell r="G1663" t="str">
            <v>AroMarketing:AroMarketing - Texas</v>
          </cell>
          <cell r="H1663">
            <v>1</v>
          </cell>
        </row>
        <row r="1664">
          <cell r="B1664" t="str">
            <v>SAMPLE-DRAM</v>
          </cell>
          <cell r="C1664" t="str">
            <v>Invoice</v>
          </cell>
          <cell r="D1664">
            <v>38562</v>
          </cell>
          <cell r="F1664" t="str">
            <v>7230</v>
          </cell>
          <cell r="G1664" t="str">
            <v>Muzak, LLC</v>
          </cell>
          <cell r="H1664">
            <v>1</v>
          </cell>
        </row>
        <row r="1665">
          <cell r="B1665" t="str">
            <v>SAMPLE-DRAM</v>
          </cell>
          <cell r="C1665" t="str">
            <v>Invoice</v>
          </cell>
          <cell r="D1665">
            <v>38562</v>
          </cell>
          <cell r="F1665" t="str">
            <v>7230</v>
          </cell>
          <cell r="G1665" t="str">
            <v>Muzak, LLC</v>
          </cell>
          <cell r="H1665">
            <v>1</v>
          </cell>
        </row>
        <row r="1666">
          <cell r="B1666" t="str">
            <v>SAMPLE-DRAM</v>
          </cell>
          <cell r="C1666" t="str">
            <v>Invoice</v>
          </cell>
          <cell r="D1666">
            <v>38562</v>
          </cell>
          <cell r="F1666" t="str">
            <v>7230</v>
          </cell>
          <cell r="G1666" t="str">
            <v>Muzak, LLC</v>
          </cell>
          <cell r="H1666">
            <v>1</v>
          </cell>
        </row>
        <row r="1667">
          <cell r="B1667" t="str">
            <v>SAMPLE-DRAM</v>
          </cell>
          <cell r="C1667" t="str">
            <v>Invoice</v>
          </cell>
          <cell r="D1667">
            <v>38562</v>
          </cell>
          <cell r="F1667" t="str">
            <v>7230</v>
          </cell>
          <cell r="G1667" t="str">
            <v>Muzak, LLC</v>
          </cell>
          <cell r="H1667">
            <v>1</v>
          </cell>
        </row>
        <row r="1668">
          <cell r="B1668" t="str">
            <v>SAMPLE-DRAM</v>
          </cell>
          <cell r="C1668" t="str">
            <v>Invoice</v>
          </cell>
          <cell r="D1668">
            <v>38587</v>
          </cell>
          <cell r="F1668" t="str">
            <v>7676</v>
          </cell>
          <cell r="G1668" t="str">
            <v>Muzak, LLC:Muzak (Demo)</v>
          </cell>
          <cell r="H1668">
            <v>1</v>
          </cell>
        </row>
        <row r="1669">
          <cell r="B1669" t="str">
            <v>SAMPLE-DRAM</v>
          </cell>
          <cell r="C1669" t="str">
            <v>Invoice</v>
          </cell>
          <cell r="D1669">
            <v>38610</v>
          </cell>
          <cell r="F1669" t="str">
            <v>7948</v>
          </cell>
          <cell r="G1669" t="str">
            <v>ScentAir - Corporate Associates:Pamela Knock</v>
          </cell>
          <cell r="H1669">
            <v>1</v>
          </cell>
        </row>
        <row r="1670">
          <cell r="B1670" t="str">
            <v>SAMPLE-DRAM</v>
          </cell>
          <cell r="C1670" t="str">
            <v>Invoice</v>
          </cell>
          <cell r="D1670">
            <v>38610</v>
          </cell>
          <cell r="F1670" t="str">
            <v>7948</v>
          </cell>
          <cell r="G1670" t="str">
            <v>ScentAir - Corporate Associates:Pamela Knock</v>
          </cell>
          <cell r="H1670">
            <v>1</v>
          </cell>
        </row>
        <row r="1671">
          <cell r="B1671" t="str">
            <v>SAMPLE-DRAM</v>
          </cell>
          <cell r="C1671" t="str">
            <v>Invoice</v>
          </cell>
          <cell r="D1671">
            <v>38610</v>
          </cell>
          <cell r="F1671" t="str">
            <v>7948</v>
          </cell>
          <cell r="G1671" t="str">
            <v>ScentAir - Corporate Associates:Pamela Knock</v>
          </cell>
          <cell r="H1671">
            <v>1</v>
          </cell>
        </row>
        <row r="1672">
          <cell r="B1672" t="str">
            <v>SAMPLE-DRAM</v>
          </cell>
          <cell r="C1672" t="str">
            <v>Invoice</v>
          </cell>
          <cell r="D1672">
            <v>38610</v>
          </cell>
          <cell r="F1672" t="str">
            <v>7948</v>
          </cell>
          <cell r="G1672" t="str">
            <v>ScentAir - Corporate Associates:Pamela Knock</v>
          </cell>
          <cell r="H1672">
            <v>1</v>
          </cell>
        </row>
        <row r="1673">
          <cell r="B1673" t="str">
            <v>SAMPLE-DRAM</v>
          </cell>
          <cell r="C1673" t="str">
            <v>Invoice</v>
          </cell>
          <cell r="D1673">
            <v>38610</v>
          </cell>
          <cell r="F1673" t="str">
            <v>7948</v>
          </cell>
          <cell r="G1673" t="str">
            <v>ScentAir - Corporate Associates:Pamela Knock</v>
          </cell>
          <cell r="H1673">
            <v>1</v>
          </cell>
        </row>
        <row r="1674">
          <cell r="B1674" t="str">
            <v>SAMPLE-DRAM</v>
          </cell>
          <cell r="C1674" t="str">
            <v>Invoice</v>
          </cell>
          <cell r="D1674">
            <v>38610</v>
          </cell>
          <cell r="F1674" t="str">
            <v>7948</v>
          </cell>
          <cell r="G1674" t="str">
            <v>ScentAir - Corporate Associates:Pamela Knock</v>
          </cell>
          <cell r="H1674">
            <v>1</v>
          </cell>
        </row>
        <row r="1675">
          <cell r="B1675" t="str">
            <v>SAMPLE-DRAM</v>
          </cell>
          <cell r="C1675" t="str">
            <v>Invoice</v>
          </cell>
          <cell r="D1675">
            <v>38610</v>
          </cell>
          <cell r="F1675" t="str">
            <v>7948</v>
          </cell>
          <cell r="G1675" t="str">
            <v>ScentAir - Corporate Associates:Pamela Knock</v>
          </cell>
          <cell r="H1675">
            <v>1</v>
          </cell>
        </row>
        <row r="1676">
          <cell r="B1676" t="str">
            <v>SAMPLE-DRAM</v>
          </cell>
          <cell r="C1676" t="str">
            <v>Invoice</v>
          </cell>
          <cell r="D1676">
            <v>38610</v>
          </cell>
          <cell r="F1676" t="str">
            <v>7948</v>
          </cell>
          <cell r="G1676" t="str">
            <v>ScentAir - Corporate Associates:Pamela Knock</v>
          </cell>
          <cell r="H1676">
            <v>1</v>
          </cell>
        </row>
        <row r="1677">
          <cell r="B1677" t="str">
            <v>SAMPLE-DRAM</v>
          </cell>
          <cell r="C1677" t="str">
            <v>Invoice</v>
          </cell>
          <cell r="D1677">
            <v>38610</v>
          </cell>
          <cell r="F1677" t="str">
            <v>7948</v>
          </cell>
          <cell r="G1677" t="str">
            <v>ScentAir - Corporate Associates:Pamela Knock</v>
          </cell>
          <cell r="H1677">
            <v>1</v>
          </cell>
        </row>
        <row r="1678">
          <cell r="B1678" t="str">
            <v>SAMPLE-DRAM</v>
          </cell>
          <cell r="C1678" t="str">
            <v>Invoice</v>
          </cell>
          <cell r="D1678">
            <v>38610</v>
          </cell>
          <cell r="F1678" t="str">
            <v>7948</v>
          </cell>
          <cell r="G1678" t="str">
            <v>ScentAir - Corporate Associates:Pamela Knock</v>
          </cell>
          <cell r="H1678">
            <v>1</v>
          </cell>
        </row>
        <row r="1679">
          <cell r="B1679" t="str">
            <v>SAMPLER</v>
          </cell>
          <cell r="C1679" t="str">
            <v>Invoice</v>
          </cell>
          <cell r="D1679">
            <v>38378</v>
          </cell>
          <cell r="F1679" t="str">
            <v>5140</v>
          </cell>
          <cell r="G1679" t="str">
            <v>VendMax International Inc.</v>
          </cell>
          <cell r="H1679">
            <v>1</v>
          </cell>
        </row>
        <row r="1680">
          <cell r="B1680" t="str">
            <v>SAMPLER</v>
          </cell>
          <cell r="C1680" t="str">
            <v>Invoice</v>
          </cell>
          <cell r="D1680">
            <v>38398</v>
          </cell>
          <cell r="F1680" t="str">
            <v>5320</v>
          </cell>
          <cell r="G1680" t="str">
            <v>ScentAir Australia Pty Ltd.</v>
          </cell>
          <cell r="H1680">
            <v>1</v>
          </cell>
        </row>
        <row r="1681">
          <cell r="B1681" t="str">
            <v>SAMPLER</v>
          </cell>
          <cell r="C1681" t="str">
            <v>Invoice</v>
          </cell>
          <cell r="D1681">
            <v>38400</v>
          </cell>
          <cell r="F1681" t="str">
            <v>5317</v>
          </cell>
          <cell r="G1681" t="str">
            <v>Busch Gardens - Williamsburg</v>
          </cell>
          <cell r="H1681">
            <v>1</v>
          </cell>
        </row>
        <row r="1682">
          <cell r="B1682" t="str">
            <v>SAMPLER</v>
          </cell>
          <cell r="C1682" t="str">
            <v>Invoice</v>
          </cell>
          <cell r="D1682">
            <v>38405</v>
          </cell>
          <cell r="F1682" t="str">
            <v>5360</v>
          </cell>
          <cell r="G1682" t="str">
            <v>M &amp; M World</v>
          </cell>
          <cell r="H1682">
            <v>1</v>
          </cell>
        </row>
        <row r="1683">
          <cell r="B1683" t="str">
            <v>SAMPLER</v>
          </cell>
          <cell r="C1683" t="str">
            <v>Invoice</v>
          </cell>
          <cell r="D1683">
            <v>38422</v>
          </cell>
          <cell r="F1683" t="str">
            <v>5429</v>
          </cell>
          <cell r="G1683" t="str">
            <v>SMA Amusements</v>
          </cell>
          <cell r="H1683">
            <v>1</v>
          </cell>
        </row>
        <row r="1684">
          <cell r="B1684" t="str">
            <v>SAMPLER</v>
          </cell>
          <cell r="C1684" t="str">
            <v>Invoice</v>
          </cell>
          <cell r="D1684">
            <v>38448</v>
          </cell>
          <cell r="F1684" t="str">
            <v>5575</v>
          </cell>
          <cell r="G1684" t="str">
            <v>Lee-Moore Oil Company:Exxon OTR - 41</v>
          </cell>
          <cell r="H1684">
            <v>1</v>
          </cell>
        </row>
        <row r="1685">
          <cell r="B1685" t="str">
            <v>SAMPLER</v>
          </cell>
          <cell r="C1685" t="str">
            <v>Invoice</v>
          </cell>
          <cell r="D1685">
            <v>38455</v>
          </cell>
          <cell r="F1685" t="str">
            <v>5600</v>
          </cell>
          <cell r="G1685" t="str">
            <v>Techno Satellite</v>
          </cell>
          <cell r="H1685">
            <v>1</v>
          </cell>
        </row>
        <row r="1686">
          <cell r="B1686" t="str">
            <v>SAMPLER</v>
          </cell>
          <cell r="C1686" t="str">
            <v>Invoice</v>
          </cell>
          <cell r="D1686">
            <v>38456</v>
          </cell>
          <cell r="F1686" t="str">
            <v>5609</v>
          </cell>
          <cell r="G1686" t="str">
            <v>American Solutions Inc.</v>
          </cell>
          <cell r="H1686">
            <v>1</v>
          </cell>
        </row>
        <row r="1687">
          <cell r="B1687" t="str">
            <v>SAMPLER</v>
          </cell>
          <cell r="C1687" t="str">
            <v>Invoice</v>
          </cell>
          <cell r="D1687">
            <v>38461</v>
          </cell>
          <cell r="F1687" t="str">
            <v>5698</v>
          </cell>
          <cell r="G1687" t="str">
            <v>Process Displays</v>
          </cell>
          <cell r="H1687">
            <v>1</v>
          </cell>
        </row>
        <row r="1688">
          <cell r="B1688" t="str">
            <v>SAMPLER</v>
          </cell>
          <cell r="C1688" t="str">
            <v>Invoice</v>
          </cell>
          <cell r="D1688">
            <v>38461</v>
          </cell>
          <cell r="F1688" t="str">
            <v>5631</v>
          </cell>
          <cell r="G1688" t="str">
            <v>Millicano Entertainment</v>
          </cell>
          <cell r="H1688">
            <v>1</v>
          </cell>
        </row>
        <row r="1689">
          <cell r="B1689" t="str">
            <v>SAMPLER</v>
          </cell>
          <cell r="C1689" t="str">
            <v>Invoice</v>
          </cell>
          <cell r="D1689">
            <v>38461</v>
          </cell>
          <cell r="F1689" t="str">
            <v>5631</v>
          </cell>
          <cell r="G1689" t="str">
            <v>Millicano Entertainment</v>
          </cell>
          <cell r="H1689">
            <v>1</v>
          </cell>
        </row>
        <row r="1690">
          <cell r="B1690" t="str">
            <v>SAMPLER</v>
          </cell>
          <cell r="C1690" t="str">
            <v>Invoice</v>
          </cell>
          <cell r="D1690">
            <v>38461</v>
          </cell>
          <cell r="F1690" t="str">
            <v>5631</v>
          </cell>
          <cell r="G1690" t="str">
            <v>Millicano Entertainment</v>
          </cell>
          <cell r="H1690">
            <v>1</v>
          </cell>
        </row>
        <row r="1691">
          <cell r="B1691" t="str">
            <v>SAMPLER</v>
          </cell>
          <cell r="C1691" t="str">
            <v>Invoice</v>
          </cell>
          <cell r="D1691">
            <v>38461</v>
          </cell>
          <cell r="F1691" t="str">
            <v>5641</v>
          </cell>
          <cell r="G1691" t="str">
            <v>Access Artisans Greenwhich Village</v>
          </cell>
          <cell r="H1691">
            <v>1</v>
          </cell>
        </row>
        <row r="1692">
          <cell r="B1692" t="str">
            <v>SAMPLER</v>
          </cell>
          <cell r="C1692" t="str">
            <v>Invoice</v>
          </cell>
          <cell r="D1692">
            <v>38467</v>
          </cell>
          <cell r="F1692" t="str">
            <v>5634</v>
          </cell>
          <cell r="G1692" t="str">
            <v>DFS Guam L.P.</v>
          </cell>
          <cell r="H1692">
            <v>1</v>
          </cell>
        </row>
        <row r="1693">
          <cell r="B1693" t="str">
            <v>SAMPLER</v>
          </cell>
          <cell r="C1693" t="str">
            <v>Invoice</v>
          </cell>
          <cell r="D1693">
            <v>38485</v>
          </cell>
          <cell r="F1693" t="str">
            <v>6055</v>
          </cell>
          <cell r="G1693" t="str">
            <v>Vita-Mix Corporation:VMC Coporate Office</v>
          </cell>
          <cell r="H1693">
            <v>1</v>
          </cell>
        </row>
        <row r="1694">
          <cell r="B1694" t="str">
            <v>SAMPLER</v>
          </cell>
          <cell r="C1694" t="str">
            <v>Invoice</v>
          </cell>
          <cell r="D1694">
            <v>38485</v>
          </cell>
          <cell r="F1694" t="str">
            <v>6055</v>
          </cell>
          <cell r="G1694" t="str">
            <v>Vita-Mix Corporation:VMC Coporate Office</v>
          </cell>
          <cell r="H1694">
            <v>1</v>
          </cell>
        </row>
        <row r="1695">
          <cell r="B1695" t="str">
            <v>SAMPLER</v>
          </cell>
          <cell r="C1695" t="str">
            <v>Invoice</v>
          </cell>
          <cell r="D1695">
            <v>38485</v>
          </cell>
          <cell r="F1695" t="str">
            <v>6055</v>
          </cell>
          <cell r="G1695" t="str">
            <v>Vita-Mix Corporation:VMC Coporate Office</v>
          </cell>
          <cell r="H1695">
            <v>1</v>
          </cell>
        </row>
        <row r="1696">
          <cell r="B1696" t="str">
            <v>SAMPLER</v>
          </cell>
          <cell r="C1696" t="str">
            <v>Invoice</v>
          </cell>
          <cell r="D1696">
            <v>38485</v>
          </cell>
          <cell r="F1696" t="str">
            <v>6055</v>
          </cell>
          <cell r="G1696" t="str">
            <v>Vita-Mix Corporation:VMC Coporate Office</v>
          </cell>
          <cell r="H1696">
            <v>1</v>
          </cell>
        </row>
        <row r="1697">
          <cell r="B1697" t="str">
            <v>SAMPLER</v>
          </cell>
          <cell r="C1697" t="str">
            <v>Invoice</v>
          </cell>
          <cell r="D1697">
            <v>38485</v>
          </cell>
          <cell r="F1697" t="str">
            <v>6055</v>
          </cell>
          <cell r="G1697" t="str">
            <v>Vita-Mix Corporation:VMC Coporate Office</v>
          </cell>
          <cell r="H1697">
            <v>1</v>
          </cell>
        </row>
        <row r="1698">
          <cell r="B1698" t="str">
            <v>SAMPLER</v>
          </cell>
          <cell r="C1698" t="str">
            <v>Invoice</v>
          </cell>
          <cell r="D1698">
            <v>38488</v>
          </cell>
          <cell r="F1698" t="str">
            <v>6065</v>
          </cell>
          <cell r="G1698" t="str">
            <v>ScentAir Australia Pty Ltd.</v>
          </cell>
          <cell r="H1698">
            <v>1</v>
          </cell>
        </row>
        <row r="1699">
          <cell r="B1699" t="str">
            <v>SAMPLER</v>
          </cell>
          <cell r="C1699" t="str">
            <v>Invoice</v>
          </cell>
          <cell r="D1699">
            <v>38488</v>
          </cell>
          <cell r="F1699" t="str">
            <v>6065</v>
          </cell>
          <cell r="G1699" t="str">
            <v>ScentAir Australia Pty Ltd.</v>
          </cell>
          <cell r="H1699">
            <v>1</v>
          </cell>
        </row>
        <row r="1700">
          <cell r="B1700" t="str">
            <v>SAMPLER</v>
          </cell>
          <cell r="C1700" t="str">
            <v>Invoice</v>
          </cell>
          <cell r="D1700">
            <v>38491</v>
          </cell>
          <cell r="F1700" t="str">
            <v>6060</v>
          </cell>
          <cell r="G1700" t="str">
            <v>Xplore Productions, Inc.</v>
          </cell>
          <cell r="H1700">
            <v>1</v>
          </cell>
        </row>
        <row r="1701">
          <cell r="B1701" t="str">
            <v>SAMPLER</v>
          </cell>
          <cell r="C1701" t="str">
            <v>Invoice</v>
          </cell>
          <cell r="D1701">
            <v>38491</v>
          </cell>
          <cell r="F1701" t="str">
            <v>6062</v>
          </cell>
          <cell r="G1701" t="str">
            <v>Ryland Homes</v>
          </cell>
          <cell r="H1701">
            <v>1</v>
          </cell>
        </row>
        <row r="1702">
          <cell r="B1702" t="str">
            <v>SAMPLER</v>
          </cell>
          <cell r="C1702" t="str">
            <v>Invoice</v>
          </cell>
          <cell r="D1702">
            <v>38491</v>
          </cell>
          <cell r="F1702" t="str">
            <v>6062</v>
          </cell>
          <cell r="G1702" t="str">
            <v>Ryland Homes</v>
          </cell>
          <cell r="H1702">
            <v>1</v>
          </cell>
        </row>
        <row r="1703">
          <cell r="B1703" t="str">
            <v>SAMPLER</v>
          </cell>
          <cell r="C1703" t="str">
            <v>Invoice</v>
          </cell>
          <cell r="D1703">
            <v>38491</v>
          </cell>
          <cell r="F1703" t="str">
            <v>6062</v>
          </cell>
          <cell r="G1703" t="str">
            <v>Ryland Homes</v>
          </cell>
          <cell r="H1703">
            <v>1</v>
          </cell>
        </row>
        <row r="1704">
          <cell r="B1704" t="str">
            <v>SAMPLER</v>
          </cell>
          <cell r="C1704" t="str">
            <v>Invoice</v>
          </cell>
          <cell r="D1704">
            <v>38491</v>
          </cell>
          <cell r="F1704" t="str">
            <v>6062</v>
          </cell>
          <cell r="G1704" t="str">
            <v>Ryland Homes</v>
          </cell>
          <cell r="H1704">
            <v>1</v>
          </cell>
        </row>
        <row r="1705">
          <cell r="B1705" t="str">
            <v>SAMPLER</v>
          </cell>
          <cell r="C1705" t="str">
            <v>Invoice</v>
          </cell>
          <cell r="D1705">
            <v>38495</v>
          </cell>
          <cell r="F1705" t="str">
            <v>6124</v>
          </cell>
          <cell r="G1705" t="str">
            <v>ScentAir - Corporate Associates:Ed Burke</v>
          </cell>
          <cell r="H1705">
            <v>1</v>
          </cell>
        </row>
        <row r="1706">
          <cell r="B1706" t="str">
            <v>SAMPLER</v>
          </cell>
          <cell r="C1706" t="str">
            <v>Invoice</v>
          </cell>
          <cell r="D1706">
            <v>38529</v>
          </cell>
          <cell r="F1706" t="str">
            <v>6229</v>
          </cell>
          <cell r="G1706" t="str">
            <v>Western Sizzlin Corporate:Westin Sizzlin HQ - Roanoke</v>
          </cell>
          <cell r="H1706">
            <v>1</v>
          </cell>
        </row>
        <row r="1707">
          <cell r="B1707" t="str">
            <v>SAMPLESTICKS</v>
          </cell>
          <cell r="C1707" t="str">
            <v>Invoice</v>
          </cell>
          <cell r="D1707">
            <v>38581</v>
          </cell>
          <cell r="F1707" t="str">
            <v>7506</v>
          </cell>
          <cell r="G1707" t="str">
            <v>Muzak, LLC:Radisson - Atlanta</v>
          </cell>
          <cell r="H1707">
            <v>1</v>
          </cell>
        </row>
        <row r="1708">
          <cell r="B1708" t="str">
            <v>SAMPLESTICKS</v>
          </cell>
          <cell r="C1708" t="str">
            <v>Invoice</v>
          </cell>
          <cell r="D1708">
            <v>38587</v>
          </cell>
          <cell r="F1708" t="str">
            <v>7676</v>
          </cell>
          <cell r="G1708" t="str">
            <v>Muzak, LLC:Muzak (Demo)</v>
          </cell>
          <cell r="H1708">
            <v>1</v>
          </cell>
        </row>
        <row r="1709">
          <cell r="B1709" t="str">
            <v>SAMPLESTICKS</v>
          </cell>
          <cell r="C1709" t="str">
            <v>Invoice</v>
          </cell>
          <cell r="D1709">
            <v>38609</v>
          </cell>
          <cell r="F1709" t="str">
            <v>7931</v>
          </cell>
          <cell r="G1709" t="str">
            <v>Muzak, LLC:Xtension Food Mart</v>
          </cell>
          <cell r="H1709">
            <v>1</v>
          </cell>
        </row>
        <row r="1710">
          <cell r="B1710" t="str">
            <v>SAMPLESTICKS</v>
          </cell>
          <cell r="C1710" t="str">
            <v>Invoice</v>
          </cell>
          <cell r="D1710">
            <v>38609</v>
          </cell>
          <cell r="F1710" t="str">
            <v>7931</v>
          </cell>
          <cell r="G1710" t="str">
            <v>Muzak, LLC:Xtension Food Mart</v>
          </cell>
          <cell r="H1710">
            <v>1</v>
          </cell>
        </row>
        <row r="1711">
          <cell r="B1711" t="str">
            <v>SAMPLESTICKS</v>
          </cell>
          <cell r="C1711" t="str">
            <v>Invoice</v>
          </cell>
          <cell r="D1711">
            <v>38610</v>
          </cell>
          <cell r="F1711" t="str">
            <v>7947</v>
          </cell>
          <cell r="G1711" t="str">
            <v>ScentAir - Corporate Associates:Pamela Knock</v>
          </cell>
          <cell r="H1711">
            <v>1</v>
          </cell>
        </row>
        <row r="1712">
          <cell r="B1712" t="str">
            <v>SAMPLESTICKS</v>
          </cell>
          <cell r="C1712" t="str">
            <v>Invoice</v>
          </cell>
          <cell r="D1712">
            <v>38610</v>
          </cell>
          <cell r="F1712" t="str">
            <v>7947</v>
          </cell>
          <cell r="G1712" t="str">
            <v>ScentAir - Corporate Associates:Pamela Knock</v>
          </cell>
          <cell r="H1712">
            <v>1</v>
          </cell>
        </row>
        <row r="1713">
          <cell r="B1713" t="str">
            <v>SAMPLESTICKS</v>
          </cell>
          <cell r="C1713" t="str">
            <v>Invoice</v>
          </cell>
          <cell r="D1713">
            <v>38611</v>
          </cell>
          <cell r="F1713" t="str">
            <v>7982</v>
          </cell>
          <cell r="G1713" t="str">
            <v>ScentAir - Corporate Associates:Pamela Knock</v>
          </cell>
          <cell r="H1713">
            <v>1</v>
          </cell>
        </row>
        <row r="1714">
          <cell r="B1714" t="str">
            <v>SAMPLESTICKS</v>
          </cell>
          <cell r="C1714" t="str">
            <v>Invoice</v>
          </cell>
          <cell r="D1714">
            <v>38614</v>
          </cell>
          <cell r="F1714" t="str">
            <v>7965</v>
          </cell>
          <cell r="G1714" t="str">
            <v>ScentAir - Corporate Associates:Pamela Knock</v>
          </cell>
          <cell r="H1714">
            <v>1</v>
          </cell>
        </row>
        <row r="1715">
          <cell r="B1715" t="str">
            <v>SAMPLESTICKS</v>
          </cell>
          <cell r="C1715" t="str">
            <v>Invoice</v>
          </cell>
          <cell r="D1715">
            <v>38614</v>
          </cell>
          <cell r="F1715" t="str">
            <v>7965</v>
          </cell>
          <cell r="G1715" t="str">
            <v>ScentAir - Corporate Associates:Pamela Knock</v>
          </cell>
          <cell r="H1715">
            <v>1</v>
          </cell>
        </row>
        <row r="1716">
          <cell r="B1716" t="str">
            <v>SAMPLESTICKS</v>
          </cell>
          <cell r="C1716" t="str">
            <v>Invoice</v>
          </cell>
          <cell r="D1716">
            <v>38614</v>
          </cell>
          <cell r="F1716" t="str">
            <v>7965</v>
          </cell>
          <cell r="G1716" t="str">
            <v>ScentAir - Corporate Associates:Pamela Knock</v>
          </cell>
          <cell r="H1716">
            <v>1</v>
          </cell>
        </row>
        <row r="1717">
          <cell r="B1717" t="str">
            <v>SAMPLESTICKS</v>
          </cell>
          <cell r="C1717" t="str">
            <v>Invoice</v>
          </cell>
          <cell r="D1717">
            <v>38614</v>
          </cell>
          <cell r="F1717" t="str">
            <v>7965</v>
          </cell>
          <cell r="G1717" t="str">
            <v>ScentAir - Corporate Associates:Pamela Knock</v>
          </cell>
          <cell r="H1717">
            <v>1</v>
          </cell>
        </row>
        <row r="1718">
          <cell r="B1718" t="str">
            <v>SAMPLESTICKS</v>
          </cell>
          <cell r="C1718" t="str">
            <v>Invoice</v>
          </cell>
          <cell r="D1718">
            <v>38614</v>
          </cell>
          <cell r="F1718" t="str">
            <v>7965</v>
          </cell>
          <cell r="G1718" t="str">
            <v>ScentAir - Corporate Associates:Pamela Knock</v>
          </cell>
          <cell r="H1718">
            <v>1</v>
          </cell>
        </row>
        <row r="1719">
          <cell r="B1719" t="str">
            <v>SAMPLESTICKS</v>
          </cell>
          <cell r="C1719" t="str">
            <v>Invoice</v>
          </cell>
          <cell r="D1719">
            <v>38614</v>
          </cell>
          <cell r="F1719" t="str">
            <v>7965</v>
          </cell>
          <cell r="G1719" t="str">
            <v>ScentAir - Corporate Associates:Pamela Knock</v>
          </cell>
          <cell r="H1719">
            <v>1</v>
          </cell>
        </row>
        <row r="1720">
          <cell r="B1720" t="str">
            <v>SAMPLESTICKS</v>
          </cell>
          <cell r="C1720" t="str">
            <v>Invoice</v>
          </cell>
          <cell r="D1720">
            <v>38623</v>
          </cell>
          <cell r="F1720" t="str">
            <v>8098</v>
          </cell>
          <cell r="G1720" t="str">
            <v>ScentAir - Corporate Associates:Pamela Knock</v>
          </cell>
          <cell r="H1720">
            <v>1</v>
          </cell>
        </row>
        <row r="1721">
          <cell r="B1721" t="str">
            <v>SAMPLESTICKS</v>
          </cell>
          <cell r="C1721" t="str">
            <v>Invoice</v>
          </cell>
          <cell r="D1721">
            <v>38623</v>
          </cell>
          <cell r="F1721" t="str">
            <v>8098</v>
          </cell>
          <cell r="G1721" t="str">
            <v>ScentAir - Corporate Associates:Pamela Knock</v>
          </cell>
          <cell r="H1721">
            <v>1</v>
          </cell>
        </row>
        <row r="1722">
          <cell r="B1722" t="str">
            <v>SAMPLESTICKS</v>
          </cell>
          <cell r="C1722" t="str">
            <v>Invoice</v>
          </cell>
          <cell r="D1722">
            <v>38623</v>
          </cell>
          <cell r="F1722" t="str">
            <v>8098</v>
          </cell>
          <cell r="G1722" t="str">
            <v>ScentAir - Corporate Associates:Pamela Knock</v>
          </cell>
          <cell r="H1722">
            <v>1</v>
          </cell>
        </row>
        <row r="1723">
          <cell r="B1723" t="str">
            <v>SAMPLESTICKS</v>
          </cell>
          <cell r="C1723" t="str">
            <v>Invoice</v>
          </cell>
          <cell r="D1723">
            <v>38623</v>
          </cell>
          <cell r="F1723" t="str">
            <v>8098</v>
          </cell>
          <cell r="G1723" t="str">
            <v>ScentAir - Corporate Associates:Pamela Knock</v>
          </cell>
          <cell r="H1723">
            <v>1</v>
          </cell>
        </row>
        <row r="1724">
          <cell r="B1724" t="str">
            <v>SAMPLESTICKS</v>
          </cell>
          <cell r="C1724" t="str">
            <v>Invoice</v>
          </cell>
          <cell r="D1724">
            <v>38623</v>
          </cell>
          <cell r="F1724" t="str">
            <v>8098</v>
          </cell>
          <cell r="G1724" t="str">
            <v>ScentAir - Corporate Associates:Pamela Knock</v>
          </cell>
          <cell r="H1724">
            <v>1</v>
          </cell>
        </row>
        <row r="1725">
          <cell r="B1725" t="str">
            <v>SAMPLESTICKS</v>
          </cell>
          <cell r="C1725" t="str">
            <v>Invoice</v>
          </cell>
          <cell r="D1725">
            <v>38623</v>
          </cell>
          <cell r="F1725" t="str">
            <v>8098</v>
          </cell>
          <cell r="G1725" t="str">
            <v>ScentAir - Corporate Associates:Pamela Knock</v>
          </cell>
          <cell r="H1725">
            <v>1</v>
          </cell>
        </row>
        <row r="1726">
          <cell r="B1726" t="str">
            <v>SAMPLESTICKS</v>
          </cell>
          <cell r="C1726" t="str">
            <v>Invoice</v>
          </cell>
          <cell r="D1726">
            <v>38623</v>
          </cell>
          <cell r="F1726" t="str">
            <v>8098</v>
          </cell>
          <cell r="G1726" t="str">
            <v>ScentAir - Corporate Associates:Pamela Knock</v>
          </cell>
          <cell r="H1726">
            <v>1</v>
          </cell>
        </row>
        <row r="1727">
          <cell r="B1727" t="str">
            <v>SAMPLESTICKS</v>
          </cell>
          <cell r="C1727" t="str">
            <v>Invoice</v>
          </cell>
          <cell r="D1727">
            <v>38623</v>
          </cell>
          <cell r="F1727" t="str">
            <v>8098</v>
          </cell>
          <cell r="G1727" t="str">
            <v>ScentAir - Corporate Associates:Pamela Knock</v>
          </cell>
          <cell r="H1727">
            <v>1</v>
          </cell>
        </row>
        <row r="1728">
          <cell r="B1728" t="str">
            <v>SB</v>
          </cell>
          <cell r="C1728" t="str">
            <v>Invoice</v>
          </cell>
          <cell r="D1728">
            <v>38355</v>
          </cell>
          <cell r="F1728" t="str">
            <v>5138</v>
          </cell>
          <cell r="G1728" t="str">
            <v>Guckenheimer - Wexner Commons</v>
          </cell>
          <cell r="H1728">
            <v>1</v>
          </cell>
        </row>
        <row r="1729">
          <cell r="B1729" t="str">
            <v>SBC</v>
          </cell>
          <cell r="C1729" t="str">
            <v>Invoice</v>
          </cell>
          <cell r="D1729">
            <v>38355</v>
          </cell>
          <cell r="F1729" t="str">
            <v>5179</v>
          </cell>
          <cell r="G1729" t="str">
            <v>Guckenheimer - Wexner Commons</v>
          </cell>
          <cell r="H1729">
            <v>1</v>
          </cell>
        </row>
        <row r="1730">
          <cell r="B1730" t="str">
            <v>SBC</v>
          </cell>
          <cell r="C1730" t="str">
            <v>Invoice</v>
          </cell>
          <cell r="D1730">
            <v>38420</v>
          </cell>
          <cell r="F1730" t="str">
            <v>5388</v>
          </cell>
          <cell r="G1730" t="str">
            <v>Disney Worldwide:Main Street Confectionary</v>
          </cell>
          <cell r="H1730">
            <v>1</v>
          </cell>
        </row>
        <row r="1731">
          <cell r="B1731" t="str">
            <v>SBC</v>
          </cell>
          <cell r="C1731" t="str">
            <v>Invoice</v>
          </cell>
          <cell r="D1731">
            <v>38420</v>
          </cell>
          <cell r="F1731" t="str">
            <v>5386</v>
          </cell>
          <cell r="G1731" t="str">
            <v>Celebration Health</v>
          </cell>
          <cell r="H1731">
            <v>1</v>
          </cell>
        </row>
        <row r="1732">
          <cell r="B1732" t="str">
            <v>SBC</v>
          </cell>
          <cell r="C1732" t="str">
            <v>Invoice</v>
          </cell>
          <cell r="D1732">
            <v>38420</v>
          </cell>
          <cell r="F1732" t="str">
            <v>5386</v>
          </cell>
          <cell r="G1732" t="str">
            <v>Celebration Health</v>
          </cell>
          <cell r="H1732">
            <v>1</v>
          </cell>
        </row>
        <row r="1733">
          <cell r="B1733" t="str">
            <v>SBC</v>
          </cell>
          <cell r="C1733" t="str">
            <v>Invoice</v>
          </cell>
          <cell r="D1733">
            <v>38420</v>
          </cell>
          <cell r="F1733" t="str">
            <v>5389</v>
          </cell>
          <cell r="G1733" t="str">
            <v>Disney Worldwide:Main Street Confectionary</v>
          </cell>
          <cell r="H1733">
            <v>1</v>
          </cell>
        </row>
        <row r="1734">
          <cell r="B1734" t="str">
            <v>SBC</v>
          </cell>
          <cell r="C1734" t="str">
            <v>Invoice</v>
          </cell>
          <cell r="D1734">
            <v>38427</v>
          </cell>
          <cell r="F1734" t="str">
            <v>5407</v>
          </cell>
          <cell r="G1734" t="str">
            <v>Arkitectura Urbana</v>
          </cell>
          <cell r="H1734">
            <v>1</v>
          </cell>
        </row>
        <row r="1735">
          <cell r="B1735" t="str">
            <v>SBC1000- 1035</v>
          </cell>
          <cell r="C1735" t="str">
            <v>Invoice</v>
          </cell>
          <cell r="D1735">
            <v>38398</v>
          </cell>
          <cell r="F1735" t="str">
            <v>5305</v>
          </cell>
          <cell r="G1735" t="str">
            <v>Arkitectura Urbana</v>
          </cell>
          <cell r="H1735">
            <v>1</v>
          </cell>
        </row>
        <row r="1736">
          <cell r="B1736" t="str">
            <v>SBC-153</v>
          </cell>
          <cell r="C1736" t="str">
            <v>Invoice</v>
          </cell>
          <cell r="D1736">
            <v>38448</v>
          </cell>
          <cell r="F1736" t="str">
            <v>5541</v>
          </cell>
          <cell r="G1736" t="str">
            <v>Celebration Health</v>
          </cell>
          <cell r="H1736">
            <v>1</v>
          </cell>
        </row>
        <row r="1737">
          <cell r="B1737" t="str">
            <v>SBC-174</v>
          </cell>
          <cell r="C1737" t="str">
            <v>Invoice</v>
          </cell>
          <cell r="D1737">
            <v>38448</v>
          </cell>
          <cell r="F1737" t="str">
            <v>5541</v>
          </cell>
          <cell r="G1737" t="str">
            <v>Celebration Health</v>
          </cell>
          <cell r="H1737">
            <v>1</v>
          </cell>
        </row>
        <row r="1738">
          <cell r="B1738" t="str">
            <v>SCC1020-C48</v>
          </cell>
          <cell r="C1738" t="str">
            <v>Invoice</v>
          </cell>
          <cell r="D1738">
            <v>38447</v>
          </cell>
          <cell r="F1738" t="str">
            <v>5578</v>
          </cell>
          <cell r="G1738" t="str">
            <v>Arrc Technologies</v>
          </cell>
          <cell r="H1738">
            <v>1</v>
          </cell>
        </row>
        <row r="1739">
          <cell r="B1739" t="str">
            <v>SCENTKIT-29</v>
          </cell>
          <cell r="C1739" t="str">
            <v>Invoice</v>
          </cell>
          <cell r="D1739">
            <v>38560</v>
          </cell>
          <cell r="F1739" t="str">
            <v>7216</v>
          </cell>
          <cell r="G1739" t="str">
            <v>Muzak, LLC:Muzak (Demo)</v>
          </cell>
          <cell r="H1739">
            <v>1</v>
          </cell>
        </row>
        <row r="1740">
          <cell r="B1740" t="str">
            <v>SCENTKIT-29</v>
          </cell>
          <cell r="C1740" t="str">
            <v>Invoice</v>
          </cell>
          <cell r="D1740">
            <v>38568</v>
          </cell>
          <cell r="F1740" t="str">
            <v>7304</v>
          </cell>
          <cell r="G1740" t="str">
            <v>Muzak, LLC:Muzak (Demo)</v>
          </cell>
          <cell r="H1740">
            <v>1</v>
          </cell>
        </row>
        <row r="1741">
          <cell r="B1741" t="str">
            <v>SCENTKIT-48</v>
          </cell>
          <cell r="C1741" t="str">
            <v>Invoice</v>
          </cell>
          <cell r="D1741">
            <v>38586</v>
          </cell>
          <cell r="F1741" t="str">
            <v>7648</v>
          </cell>
          <cell r="G1741" t="str">
            <v>Muzak, LLC:Muzak (Demo)</v>
          </cell>
          <cell r="H1741">
            <v>1</v>
          </cell>
        </row>
        <row r="1742">
          <cell r="B1742" t="str">
            <v>SCENTKIT-48</v>
          </cell>
          <cell r="C1742" t="str">
            <v>Invoice</v>
          </cell>
          <cell r="D1742">
            <v>38617</v>
          </cell>
          <cell r="F1742" t="str">
            <v>8013</v>
          </cell>
          <cell r="G1742" t="str">
            <v>Muzak, IA:Ohio Musicue</v>
          </cell>
          <cell r="H1742">
            <v>1</v>
          </cell>
        </row>
        <row r="1743">
          <cell r="B1743" t="str">
            <v>SCENTKIT-48</v>
          </cell>
          <cell r="C1743" t="str">
            <v>Invoice</v>
          </cell>
          <cell r="D1743">
            <v>38617</v>
          </cell>
          <cell r="F1743" t="str">
            <v>8057</v>
          </cell>
          <cell r="G1743" t="str">
            <v>Muzak, IA:Miami Valley Audio</v>
          </cell>
          <cell r="H1743">
            <v>1</v>
          </cell>
        </row>
        <row r="1744">
          <cell r="B1744" t="str">
            <v>SCENTKIT-48</v>
          </cell>
          <cell r="C1744" t="str">
            <v>Invoice</v>
          </cell>
          <cell r="D1744">
            <v>38617</v>
          </cell>
          <cell r="F1744" t="str">
            <v>8007</v>
          </cell>
          <cell r="G1744" t="str">
            <v>Muzak, IA:Warner Communications</v>
          </cell>
          <cell r="H1744">
            <v>1</v>
          </cell>
        </row>
        <row r="1745">
          <cell r="B1745" t="str">
            <v>SCENTKIT-48</v>
          </cell>
          <cell r="C1745" t="str">
            <v>Invoice</v>
          </cell>
          <cell r="D1745">
            <v>38624</v>
          </cell>
          <cell r="F1745" t="str">
            <v>8186</v>
          </cell>
          <cell r="G1745" t="str">
            <v>Muzak, LLC:Muzak (Demo)</v>
          </cell>
          <cell r="H1745">
            <v>1</v>
          </cell>
        </row>
        <row r="1746">
          <cell r="B1746" t="str">
            <v>SCENTKIT-48</v>
          </cell>
          <cell r="C1746" t="str">
            <v>Invoice</v>
          </cell>
          <cell r="D1746">
            <v>38629</v>
          </cell>
          <cell r="F1746" t="str">
            <v>8323</v>
          </cell>
          <cell r="G1746" t="str">
            <v>Muzak, LLC:Muzak (Demo)</v>
          </cell>
          <cell r="H1746">
            <v>1</v>
          </cell>
        </row>
        <row r="1747">
          <cell r="B1747" t="str">
            <v>SCENTSAMPLES</v>
          </cell>
          <cell r="C1747" t="str">
            <v>Invoice</v>
          </cell>
          <cell r="D1747">
            <v>38427</v>
          </cell>
          <cell r="F1747" t="str">
            <v>5457</v>
          </cell>
          <cell r="G1747" t="str">
            <v>Schwans Consumer Products</v>
          </cell>
          <cell r="H1747">
            <v>1</v>
          </cell>
        </row>
        <row r="1748">
          <cell r="B1748" t="str">
            <v>SCENTSAMPLES</v>
          </cell>
          <cell r="C1748" t="str">
            <v>Invoice</v>
          </cell>
          <cell r="D1748">
            <v>38482</v>
          </cell>
          <cell r="F1748" t="str">
            <v>5695A</v>
          </cell>
          <cell r="G1748" t="str">
            <v>Lucky Brand Jeans</v>
          </cell>
          <cell r="H1748">
            <v>1</v>
          </cell>
        </row>
        <row r="1749">
          <cell r="B1749" t="str">
            <v>SCENTSAMPLES</v>
          </cell>
          <cell r="C1749" t="str">
            <v>Invoice</v>
          </cell>
          <cell r="D1749">
            <v>38482</v>
          </cell>
          <cell r="F1749" t="str">
            <v>6052</v>
          </cell>
          <cell r="G1749" t="str">
            <v>Lucky Brand Jeans</v>
          </cell>
          <cell r="H1749">
            <v>1</v>
          </cell>
        </row>
        <row r="1750">
          <cell r="B1750" t="str">
            <v>SCENTSAMPLES</v>
          </cell>
          <cell r="C1750" t="str">
            <v>Invoice</v>
          </cell>
          <cell r="D1750">
            <v>38485</v>
          </cell>
          <cell r="F1750" t="str">
            <v>6054</v>
          </cell>
          <cell r="G1750" t="str">
            <v>Reeb Investiments, Inc.</v>
          </cell>
          <cell r="H1750">
            <v>1</v>
          </cell>
        </row>
        <row r="1751">
          <cell r="B1751" t="str">
            <v>SCENTSAMPLES</v>
          </cell>
          <cell r="C1751" t="str">
            <v>Invoice</v>
          </cell>
          <cell r="D1751">
            <v>38490</v>
          </cell>
          <cell r="F1751" t="str">
            <v>6083</v>
          </cell>
          <cell r="G1751" t="str">
            <v>Gap:Corporate Office</v>
          </cell>
          <cell r="H1751">
            <v>1</v>
          </cell>
        </row>
        <row r="1752">
          <cell r="B1752" t="str">
            <v>SCENTSAMPLES</v>
          </cell>
          <cell r="C1752" t="str">
            <v>Invoice</v>
          </cell>
          <cell r="D1752">
            <v>38491</v>
          </cell>
          <cell r="F1752" t="str">
            <v>6113</v>
          </cell>
          <cell r="G1752" t="str">
            <v>Lucky Brand Jeans</v>
          </cell>
          <cell r="H1752">
            <v>1</v>
          </cell>
        </row>
        <row r="1753">
          <cell r="B1753" t="str">
            <v>SCENTSAMPLES</v>
          </cell>
          <cell r="C1753" t="str">
            <v>Invoice</v>
          </cell>
          <cell r="D1753">
            <v>38495</v>
          </cell>
          <cell r="F1753" t="str">
            <v>6111</v>
          </cell>
          <cell r="G1753" t="str">
            <v>It's A Grind</v>
          </cell>
          <cell r="H1753">
            <v>1</v>
          </cell>
        </row>
        <row r="1754">
          <cell r="B1754" t="str">
            <v>SCENTSAMPLES</v>
          </cell>
          <cell r="C1754" t="str">
            <v>Invoice</v>
          </cell>
          <cell r="D1754">
            <v>38495</v>
          </cell>
          <cell r="F1754" t="str">
            <v>6111</v>
          </cell>
          <cell r="G1754" t="str">
            <v>It's A Grind</v>
          </cell>
          <cell r="H1754">
            <v>1</v>
          </cell>
        </row>
        <row r="1755">
          <cell r="B1755" t="str">
            <v>SCENTSAMPLES</v>
          </cell>
          <cell r="C1755" t="str">
            <v>Invoice</v>
          </cell>
          <cell r="D1755">
            <v>38505</v>
          </cell>
          <cell r="F1755" t="str">
            <v>6203</v>
          </cell>
          <cell r="G1755" t="str">
            <v>Busch Gardens - Williamsburg</v>
          </cell>
          <cell r="H1755">
            <v>1</v>
          </cell>
        </row>
        <row r="1756">
          <cell r="B1756" t="str">
            <v>SCENTSAMPLES</v>
          </cell>
          <cell r="C1756" t="str">
            <v>Invoice</v>
          </cell>
          <cell r="D1756">
            <v>38509</v>
          </cell>
          <cell r="F1756" t="str">
            <v>6245</v>
          </cell>
          <cell r="G1756" t="str">
            <v>American Solutions Inc.</v>
          </cell>
          <cell r="H1756">
            <v>1</v>
          </cell>
        </row>
        <row r="1757">
          <cell r="B1757" t="str">
            <v>SCENTSAMPLES</v>
          </cell>
          <cell r="C1757" t="str">
            <v>Invoice</v>
          </cell>
          <cell r="D1757">
            <v>38512</v>
          </cell>
          <cell r="F1757" t="str">
            <v>6276</v>
          </cell>
          <cell r="G1757" t="str">
            <v>Simmons</v>
          </cell>
          <cell r="H1757">
            <v>1</v>
          </cell>
        </row>
        <row r="1758">
          <cell r="B1758" t="str">
            <v>SCENTSAMPLES</v>
          </cell>
          <cell r="C1758" t="str">
            <v>Invoice</v>
          </cell>
          <cell r="D1758">
            <v>38519</v>
          </cell>
          <cell r="F1758" t="str">
            <v>6374</v>
          </cell>
          <cell r="G1758" t="str">
            <v>ScentAir - Corporate Associates</v>
          </cell>
          <cell r="H1758">
            <v>1</v>
          </cell>
        </row>
        <row r="1759">
          <cell r="B1759" t="str">
            <v>SCENTSAMPLES</v>
          </cell>
          <cell r="C1759" t="str">
            <v>Invoice</v>
          </cell>
          <cell r="D1759">
            <v>38530</v>
          </cell>
          <cell r="F1759" t="str">
            <v>5592-I</v>
          </cell>
          <cell r="G1759" t="str">
            <v>Aritza</v>
          </cell>
          <cell r="H1759">
            <v>1</v>
          </cell>
        </row>
        <row r="1760">
          <cell r="B1760" t="str">
            <v>SCENTSAMPLES</v>
          </cell>
          <cell r="C1760" t="str">
            <v>Invoice</v>
          </cell>
          <cell r="D1760">
            <v>38546</v>
          </cell>
          <cell r="F1760" t="str">
            <v>7138</v>
          </cell>
          <cell r="G1760" t="str">
            <v>Lee-Moore Oil Company</v>
          </cell>
          <cell r="H1760">
            <v>1</v>
          </cell>
        </row>
        <row r="1761">
          <cell r="B1761" t="str">
            <v>SCENTSAMPLES</v>
          </cell>
          <cell r="C1761" t="str">
            <v>Invoice</v>
          </cell>
          <cell r="D1761">
            <v>38553</v>
          </cell>
          <cell r="F1761" t="str">
            <v>7170</v>
          </cell>
          <cell r="G1761" t="str">
            <v>The Pink Cabana</v>
          </cell>
          <cell r="H1761">
            <v>1</v>
          </cell>
        </row>
        <row r="1762">
          <cell r="B1762" t="str">
            <v>SCENTSAMPLES</v>
          </cell>
          <cell r="C1762" t="str">
            <v>Invoice</v>
          </cell>
          <cell r="D1762">
            <v>38554</v>
          </cell>
          <cell r="F1762" t="str">
            <v>7158</v>
          </cell>
          <cell r="G1762" t="str">
            <v>Kevan Moss Design:Kevan Moss Design</v>
          </cell>
          <cell r="H1762">
            <v>1</v>
          </cell>
        </row>
        <row r="1763">
          <cell r="B1763" t="str">
            <v>SCENTSAMPLES</v>
          </cell>
          <cell r="C1763" t="str">
            <v>Invoice</v>
          </cell>
          <cell r="D1763">
            <v>38567</v>
          </cell>
          <cell r="F1763" t="str">
            <v>7268</v>
          </cell>
          <cell r="G1763" t="str">
            <v>Boar's Head</v>
          </cell>
          <cell r="H1763">
            <v>1</v>
          </cell>
        </row>
        <row r="1764">
          <cell r="B1764" t="str">
            <v>SCENTSAMPLES</v>
          </cell>
          <cell r="C1764" t="str">
            <v>Invoice</v>
          </cell>
          <cell r="D1764">
            <v>38569</v>
          </cell>
          <cell r="F1764" t="str">
            <v>7302</v>
          </cell>
          <cell r="G1764" t="str">
            <v>Imperial Palace Hotel and Casino</v>
          </cell>
          <cell r="H1764">
            <v>1</v>
          </cell>
        </row>
        <row r="1765">
          <cell r="B1765" t="str">
            <v>SCENTSAMPLES</v>
          </cell>
          <cell r="C1765" t="str">
            <v>Invoice</v>
          </cell>
          <cell r="D1765">
            <v>38575</v>
          </cell>
          <cell r="F1765" t="str">
            <v>7445</v>
          </cell>
          <cell r="G1765" t="str">
            <v>Muzak, LLC:Muzak (Demo)</v>
          </cell>
          <cell r="H1765">
            <v>1</v>
          </cell>
        </row>
        <row r="1766">
          <cell r="B1766" t="str">
            <v>SCENTSAMPLES</v>
          </cell>
          <cell r="C1766" t="str">
            <v>Invoice</v>
          </cell>
          <cell r="D1766">
            <v>38575</v>
          </cell>
          <cell r="F1766" t="str">
            <v>7444</v>
          </cell>
          <cell r="G1766" t="str">
            <v>Muzak, LLC:Muzak (Demo)</v>
          </cell>
          <cell r="H1766">
            <v>1</v>
          </cell>
        </row>
        <row r="1767">
          <cell r="B1767" t="str">
            <v>SCENTSAMPLES</v>
          </cell>
          <cell r="C1767" t="str">
            <v>Invoice</v>
          </cell>
          <cell r="D1767">
            <v>38575</v>
          </cell>
          <cell r="F1767" t="str">
            <v>7442</v>
          </cell>
          <cell r="G1767" t="str">
            <v>Muzak, LLC:Muzak (Demo)</v>
          </cell>
          <cell r="H1767">
            <v>1</v>
          </cell>
        </row>
        <row r="1768">
          <cell r="B1768" t="str">
            <v>SCENTSAMPLES</v>
          </cell>
          <cell r="C1768" t="str">
            <v>Invoice</v>
          </cell>
          <cell r="D1768">
            <v>38576</v>
          </cell>
          <cell r="F1768" t="str">
            <v>7447</v>
          </cell>
          <cell r="G1768" t="str">
            <v>Muzak, LLC:Muzak (Demo)</v>
          </cell>
          <cell r="H1768">
            <v>1</v>
          </cell>
        </row>
        <row r="1769">
          <cell r="B1769" t="str">
            <v>SCENTSAMPLES</v>
          </cell>
          <cell r="C1769" t="str">
            <v>Invoice</v>
          </cell>
          <cell r="D1769">
            <v>38576</v>
          </cell>
          <cell r="F1769" t="str">
            <v>7446</v>
          </cell>
          <cell r="G1769" t="str">
            <v>Muzak, LLC:Muzak (Demo)</v>
          </cell>
          <cell r="H1769">
            <v>1</v>
          </cell>
        </row>
        <row r="1770">
          <cell r="B1770" t="str">
            <v>SCENTSAMPLES</v>
          </cell>
          <cell r="C1770" t="str">
            <v>Invoice</v>
          </cell>
          <cell r="D1770">
            <v>38604</v>
          </cell>
          <cell r="F1770" t="str">
            <v>7886</v>
          </cell>
          <cell r="G1770" t="str">
            <v>Muzak, LLC:Muzak (Demo)</v>
          </cell>
          <cell r="H1770">
            <v>1</v>
          </cell>
        </row>
        <row r="1771">
          <cell r="B1771" t="str">
            <v>SCENTSAMPLES</v>
          </cell>
          <cell r="C1771" t="str">
            <v>Invoice</v>
          </cell>
          <cell r="D1771">
            <v>38628</v>
          </cell>
          <cell r="F1771" t="str">
            <v>8192</v>
          </cell>
          <cell r="G1771" t="str">
            <v>Car's The Star</v>
          </cell>
          <cell r="H1771">
            <v>1</v>
          </cell>
        </row>
        <row r="1772">
          <cell r="B1772" t="str">
            <v>SCENTSAMPLES</v>
          </cell>
          <cell r="C1772" t="str">
            <v>Invoice</v>
          </cell>
          <cell r="D1772">
            <v>38628</v>
          </cell>
          <cell r="F1772" t="str">
            <v>8192</v>
          </cell>
          <cell r="G1772" t="str">
            <v>Car's The Star</v>
          </cell>
          <cell r="H1772">
            <v>1</v>
          </cell>
        </row>
        <row r="1773">
          <cell r="B1773" t="str">
            <v>SCENTSAMPLES</v>
          </cell>
          <cell r="C1773" t="str">
            <v>Invoice</v>
          </cell>
          <cell r="D1773">
            <v>38628</v>
          </cell>
          <cell r="F1773" t="str">
            <v>8192</v>
          </cell>
          <cell r="G1773" t="str">
            <v>Car's The Star</v>
          </cell>
          <cell r="H1773">
            <v>1</v>
          </cell>
        </row>
        <row r="1774">
          <cell r="B1774" t="str">
            <v>SCENTSAMPLES</v>
          </cell>
          <cell r="C1774" t="str">
            <v>Invoice</v>
          </cell>
          <cell r="D1774">
            <v>38628</v>
          </cell>
          <cell r="F1774" t="str">
            <v>8192</v>
          </cell>
          <cell r="G1774" t="str">
            <v>Car's The Star</v>
          </cell>
          <cell r="H1774">
            <v>1</v>
          </cell>
        </row>
        <row r="1775">
          <cell r="B1775" t="str">
            <v>SEC1040-0794</v>
          </cell>
          <cell r="C1775" t="str">
            <v>Invoice</v>
          </cell>
          <cell r="D1775">
            <v>38542</v>
          </cell>
          <cell r="F1775" t="str">
            <v>7130</v>
          </cell>
          <cell r="G1775" t="str">
            <v>Promotool</v>
          </cell>
          <cell r="H1775">
            <v>1</v>
          </cell>
        </row>
        <row r="1776">
          <cell r="B1776" t="str">
            <v>SEC1040-0794</v>
          </cell>
          <cell r="C1776" t="str">
            <v>Invoice</v>
          </cell>
          <cell r="D1776">
            <v>38615</v>
          </cell>
          <cell r="F1776" t="str">
            <v>8008</v>
          </cell>
          <cell r="G1776" t="str">
            <v>Riverside Children’s Theater</v>
          </cell>
          <cell r="H1776">
            <v>1</v>
          </cell>
        </row>
        <row r="1777">
          <cell r="B1777" t="str">
            <v>SEC1040-0794</v>
          </cell>
          <cell r="C1777" t="str">
            <v>Invoice</v>
          </cell>
          <cell r="D1777">
            <v>38625</v>
          </cell>
          <cell r="F1777" t="str">
            <v>8199</v>
          </cell>
          <cell r="G1777" t="str">
            <v>Promotool</v>
          </cell>
          <cell r="H1777">
            <v>1</v>
          </cell>
        </row>
        <row r="1778">
          <cell r="B1778" t="str">
            <v>Serial Number</v>
          </cell>
          <cell r="C1778" t="str">
            <v>Invoice</v>
          </cell>
          <cell r="D1778">
            <v>38573</v>
          </cell>
          <cell r="F1778" t="str">
            <v>7340</v>
          </cell>
          <cell r="G1778" t="str">
            <v>Access Artisans Greenwhich Village</v>
          </cell>
          <cell r="H1778">
            <v>1</v>
          </cell>
        </row>
        <row r="1779">
          <cell r="B1779" t="str">
            <v>Serial Number</v>
          </cell>
          <cell r="C1779" t="str">
            <v>Invoice</v>
          </cell>
          <cell r="D1779">
            <v>38573</v>
          </cell>
          <cell r="F1779" t="str">
            <v>7314</v>
          </cell>
          <cell r="G1779" t="str">
            <v>Muzak, LLC:Petland</v>
          </cell>
          <cell r="H1779">
            <v>1</v>
          </cell>
        </row>
        <row r="1780">
          <cell r="B1780" t="str">
            <v>Serial Number</v>
          </cell>
          <cell r="C1780" t="str">
            <v>Invoice</v>
          </cell>
          <cell r="D1780">
            <v>38574</v>
          </cell>
          <cell r="F1780" t="str">
            <v>7200</v>
          </cell>
          <cell r="G1780" t="str">
            <v>Sony Style # XX San Antonio</v>
          </cell>
          <cell r="H1780">
            <v>1</v>
          </cell>
        </row>
        <row r="1781">
          <cell r="B1781" t="str">
            <v>Serial Number</v>
          </cell>
          <cell r="C1781" t="str">
            <v>Invoice</v>
          </cell>
          <cell r="D1781">
            <v>38574</v>
          </cell>
          <cell r="F1781" t="str">
            <v>7348</v>
          </cell>
          <cell r="G1781" t="str">
            <v>Sony Style #XX Fashion Center</v>
          </cell>
          <cell r="H1781">
            <v>1</v>
          </cell>
        </row>
        <row r="1782">
          <cell r="B1782" t="str">
            <v>Serial Number</v>
          </cell>
          <cell r="C1782" t="str">
            <v>Invoice</v>
          </cell>
          <cell r="D1782">
            <v>38574</v>
          </cell>
          <cell r="F1782" t="str">
            <v>7392</v>
          </cell>
          <cell r="G1782" t="str">
            <v>Muzak, LLC:Muzak (Demo)</v>
          </cell>
          <cell r="H1782">
            <v>1</v>
          </cell>
        </row>
        <row r="1783">
          <cell r="B1783" t="str">
            <v>Serial Number</v>
          </cell>
          <cell r="C1783" t="str">
            <v>Invoice</v>
          </cell>
          <cell r="D1783">
            <v>38574</v>
          </cell>
          <cell r="F1783" t="str">
            <v>7391</v>
          </cell>
          <cell r="G1783" t="str">
            <v>Muzak, LLC:Muzak (Demo)</v>
          </cell>
          <cell r="H1783">
            <v>1</v>
          </cell>
        </row>
        <row r="1784">
          <cell r="B1784" t="str">
            <v>Serial Number</v>
          </cell>
          <cell r="C1784" t="str">
            <v>Invoice</v>
          </cell>
          <cell r="D1784">
            <v>38574</v>
          </cell>
          <cell r="F1784" t="str">
            <v>7298</v>
          </cell>
          <cell r="G1784" t="str">
            <v>Muzak, LLC:Muzak (Demo)</v>
          </cell>
          <cell r="H1784">
            <v>1</v>
          </cell>
        </row>
        <row r="1785">
          <cell r="B1785" t="str">
            <v>Serial Number</v>
          </cell>
          <cell r="C1785" t="str">
            <v>Invoice</v>
          </cell>
          <cell r="D1785">
            <v>38574</v>
          </cell>
          <cell r="F1785" t="str">
            <v>7390</v>
          </cell>
          <cell r="G1785" t="str">
            <v>Muzak, LLC:Muzak (Demo)</v>
          </cell>
          <cell r="H1785">
            <v>1</v>
          </cell>
        </row>
        <row r="1786">
          <cell r="B1786" t="str">
            <v>Serial Number</v>
          </cell>
          <cell r="C1786" t="str">
            <v>Invoice</v>
          </cell>
          <cell r="D1786">
            <v>38574</v>
          </cell>
          <cell r="F1786" t="str">
            <v>7312</v>
          </cell>
          <cell r="G1786" t="str">
            <v>Muzak, LLC:Muzak (Demo)</v>
          </cell>
          <cell r="H1786">
            <v>1</v>
          </cell>
        </row>
        <row r="1787">
          <cell r="B1787" t="str">
            <v>Serial Number</v>
          </cell>
          <cell r="C1787" t="str">
            <v>Invoice</v>
          </cell>
          <cell r="D1787">
            <v>38575</v>
          </cell>
          <cell r="F1787" t="str">
            <v>7344</v>
          </cell>
          <cell r="G1787" t="str">
            <v>Colorado Prime Foods</v>
          </cell>
          <cell r="H1787">
            <v>1</v>
          </cell>
        </row>
        <row r="1788">
          <cell r="B1788" t="str">
            <v>Serial Number</v>
          </cell>
          <cell r="C1788" t="str">
            <v>Invoice</v>
          </cell>
          <cell r="D1788">
            <v>38575</v>
          </cell>
          <cell r="F1788" t="str">
            <v>7437</v>
          </cell>
          <cell r="G1788" t="str">
            <v>Muzak, LLC:Giant Eagle #229</v>
          </cell>
          <cell r="H1788">
            <v>1</v>
          </cell>
        </row>
        <row r="1789">
          <cell r="B1789" t="str">
            <v>Serial Number</v>
          </cell>
          <cell r="C1789" t="str">
            <v>Invoice</v>
          </cell>
          <cell r="D1789">
            <v>38575</v>
          </cell>
          <cell r="F1789" t="str">
            <v>7444</v>
          </cell>
          <cell r="G1789" t="str">
            <v>Muzak, LLC:Muzak (Demo)</v>
          </cell>
          <cell r="H1789">
            <v>1</v>
          </cell>
        </row>
        <row r="1790">
          <cell r="B1790" t="str">
            <v>Serial Number</v>
          </cell>
          <cell r="C1790" t="str">
            <v>Invoice</v>
          </cell>
          <cell r="D1790">
            <v>38575</v>
          </cell>
          <cell r="F1790" t="str">
            <v>7439</v>
          </cell>
          <cell r="G1790" t="str">
            <v>Muzak, LLC:Muzak (Demo)</v>
          </cell>
          <cell r="H1790">
            <v>1</v>
          </cell>
        </row>
        <row r="1791">
          <cell r="B1791" t="str">
            <v>Serial Number</v>
          </cell>
          <cell r="C1791" t="str">
            <v>Invoice</v>
          </cell>
          <cell r="D1791">
            <v>38575</v>
          </cell>
          <cell r="F1791" t="str">
            <v>7441</v>
          </cell>
          <cell r="G1791" t="str">
            <v>Muzak, LLC:Muzak (Demo)</v>
          </cell>
          <cell r="H1791">
            <v>1</v>
          </cell>
        </row>
        <row r="1792">
          <cell r="B1792" t="str">
            <v>Serial Number</v>
          </cell>
          <cell r="C1792" t="str">
            <v>Invoice</v>
          </cell>
          <cell r="D1792">
            <v>38575</v>
          </cell>
          <cell r="F1792" t="str">
            <v>7442</v>
          </cell>
          <cell r="G1792" t="str">
            <v>Muzak, LLC:Muzak (Demo)</v>
          </cell>
          <cell r="H1792">
            <v>1</v>
          </cell>
        </row>
        <row r="1793">
          <cell r="B1793" t="str">
            <v>Serial Number</v>
          </cell>
          <cell r="C1793" t="str">
            <v>Invoice</v>
          </cell>
          <cell r="D1793">
            <v>38575</v>
          </cell>
          <cell r="F1793" t="str">
            <v>7395</v>
          </cell>
          <cell r="G1793" t="str">
            <v>Muzak, LLC:Exceptional Urgent Care</v>
          </cell>
          <cell r="H1793">
            <v>1</v>
          </cell>
        </row>
        <row r="1794">
          <cell r="B1794" t="str">
            <v>Serial Number</v>
          </cell>
          <cell r="C1794" t="str">
            <v>Invoice</v>
          </cell>
          <cell r="D1794">
            <v>38576</v>
          </cell>
          <cell r="F1794" t="str">
            <v>7471</v>
          </cell>
          <cell r="G1794" t="str">
            <v>Muzak, LLC:Muzak (Demo)</v>
          </cell>
          <cell r="H1794">
            <v>1</v>
          </cell>
        </row>
        <row r="1795">
          <cell r="B1795" t="str">
            <v>Serial Number</v>
          </cell>
          <cell r="C1795" t="str">
            <v>Invoice</v>
          </cell>
          <cell r="D1795">
            <v>38576</v>
          </cell>
          <cell r="F1795" t="str">
            <v>7474</v>
          </cell>
          <cell r="G1795" t="str">
            <v>Muzak, LLC:Muzak (Demo)</v>
          </cell>
          <cell r="H1795">
            <v>1</v>
          </cell>
        </row>
        <row r="1796">
          <cell r="B1796" t="str">
            <v>Serial Number</v>
          </cell>
          <cell r="C1796" t="str">
            <v>Invoice</v>
          </cell>
          <cell r="D1796">
            <v>38576</v>
          </cell>
          <cell r="F1796" t="str">
            <v>7477</v>
          </cell>
          <cell r="G1796" t="str">
            <v>Muzak, LLC:Muzak (Demo)</v>
          </cell>
          <cell r="H1796">
            <v>1</v>
          </cell>
        </row>
        <row r="1797">
          <cell r="B1797" t="str">
            <v>Serial Number</v>
          </cell>
          <cell r="C1797" t="str">
            <v>Invoice</v>
          </cell>
          <cell r="D1797">
            <v>38576</v>
          </cell>
          <cell r="F1797" t="str">
            <v>7447</v>
          </cell>
          <cell r="G1797" t="str">
            <v>Muzak, LLC:Muzak (Demo)</v>
          </cell>
          <cell r="H1797">
            <v>1</v>
          </cell>
        </row>
        <row r="1798">
          <cell r="B1798" t="str">
            <v>Serial Number</v>
          </cell>
          <cell r="C1798" t="str">
            <v>Invoice</v>
          </cell>
          <cell r="D1798">
            <v>38576</v>
          </cell>
          <cell r="F1798" t="str">
            <v>7446</v>
          </cell>
          <cell r="G1798" t="str">
            <v>Muzak, LLC:Muzak (Demo)</v>
          </cell>
          <cell r="H1798">
            <v>1</v>
          </cell>
        </row>
        <row r="1799">
          <cell r="B1799" t="str">
            <v>Serial Number</v>
          </cell>
          <cell r="C1799" t="str">
            <v>Invoice</v>
          </cell>
          <cell r="D1799">
            <v>38576</v>
          </cell>
          <cell r="F1799" t="str">
            <v>7476</v>
          </cell>
          <cell r="G1799" t="str">
            <v>Muzak, LLC:Muzak (Demo)</v>
          </cell>
          <cell r="H1799">
            <v>1</v>
          </cell>
        </row>
        <row r="1800">
          <cell r="B1800" t="str">
            <v>Serial Number</v>
          </cell>
          <cell r="C1800" t="str">
            <v>Invoice</v>
          </cell>
          <cell r="D1800">
            <v>38576</v>
          </cell>
          <cell r="F1800" t="str">
            <v>7370</v>
          </cell>
          <cell r="G1800" t="str">
            <v>Muzak, LLC:Appliance Direct - 034973</v>
          </cell>
          <cell r="H1800">
            <v>1</v>
          </cell>
        </row>
        <row r="1801">
          <cell r="B1801" t="str">
            <v>Serial Number</v>
          </cell>
          <cell r="C1801" t="str">
            <v>Invoice</v>
          </cell>
          <cell r="D1801">
            <v>38576</v>
          </cell>
          <cell r="F1801" t="str">
            <v>7369</v>
          </cell>
          <cell r="G1801" t="str">
            <v>Muzak, LLC:Appliance Direct - 034972</v>
          </cell>
          <cell r="H1801">
            <v>1</v>
          </cell>
        </row>
        <row r="1802">
          <cell r="B1802" t="str">
            <v>Serial Number</v>
          </cell>
          <cell r="C1802" t="str">
            <v>Invoice</v>
          </cell>
          <cell r="D1802">
            <v>38576</v>
          </cell>
          <cell r="F1802" t="str">
            <v>7368</v>
          </cell>
          <cell r="G1802" t="str">
            <v>Muzak, LLC:Appliance Direct - 034971</v>
          </cell>
          <cell r="H1802">
            <v>1</v>
          </cell>
        </row>
        <row r="1803">
          <cell r="B1803" t="str">
            <v>Serial Number</v>
          </cell>
          <cell r="C1803" t="str">
            <v>Invoice</v>
          </cell>
          <cell r="D1803">
            <v>38576</v>
          </cell>
          <cell r="F1803" t="str">
            <v>7479</v>
          </cell>
          <cell r="G1803" t="str">
            <v>Muzak, LLC:Muzak (Demo)</v>
          </cell>
          <cell r="H1803">
            <v>1</v>
          </cell>
        </row>
        <row r="1804">
          <cell r="B1804" t="str">
            <v>Serial Number</v>
          </cell>
          <cell r="C1804" t="str">
            <v>Invoice</v>
          </cell>
          <cell r="D1804">
            <v>38576</v>
          </cell>
          <cell r="F1804" t="str">
            <v>7480</v>
          </cell>
          <cell r="G1804" t="str">
            <v>Muzak, LLC:Muzak (Demo)</v>
          </cell>
          <cell r="H1804">
            <v>1</v>
          </cell>
        </row>
        <row r="1805">
          <cell r="B1805" t="str">
            <v>Serial Number</v>
          </cell>
          <cell r="C1805" t="str">
            <v>Invoice</v>
          </cell>
          <cell r="D1805">
            <v>38576</v>
          </cell>
          <cell r="F1805" t="str">
            <v>7481</v>
          </cell>
          <cell r="G1805" t="str">
            <v>Muzak, LLC:Muzak (Demo)</v>
          </cell>
          <cell r="H1805">
            <v>1</v>
          </cell>
        </row>
        <row r="1806">
          <cell r="B1806" t="str">
            <v>Serial Number</v>
          </cell>
          <cell r="C1806" t="str">
            <v>Invoice</v>
          </cell>
          <cell r="D1806">
            <v>38576</v>
          </cell>
          <cell r="F1806" t="str">
            <v>7443</v>
          </cell>
          <cell r="G1806" t="str">
            <v>Muzak, LLC:Amergy Bank of Texas</v>
          </cell>
          <cell r="H1806">
            <v>1</v>
          </cell>
        </row>
        <row r="1807">
          <cell r="B1807" t="str">
            <v>Serial Number</v>
          </cell>
          <cell r="C1807" t="str">
            <v>Invoice</v>
          </cell>
          <cell r="D1807">
            <v>38576</v>
          </cell>
          <cell r="F1807" t="str">
            <v>7478</v>
          </cell>
          <cell r="G1807" t="str">
            <v>Muzak, LLC:Muzak (Demo)</v>
          </cell>
          <cell r="H1807">
            <v>1</v>
          </cell>
        </row>
        <row r="1808">
          <cell r="B1808" t="str">
            <v>Serial Number</v>
          </cell>
          <cell r="C1808" t="str">
            <v>Invoice</v>
          </cell>
          <cell r="D1808">
            <v>38576</v>
          </cell>
          <cell r="F1808" t="str">
            <v>7387</v>
          </cell>
          <cell r="G1808" t="str">
            <v>Muzak, LLC:Appliance Direct -035133</v>
          </cell>
          <cell r="H1808">
            <v>1</v>
          </cell>
        </row>
        <row r="1809">
          <cell r="B1809" t="str">
            <v>Serial Number</v>
          </cell>
          <cell r="C1809" t="str">
            <v>Invoice</v>
          </cell>
          <cell r="D1809">
            <v>38576</v>
          </cell>
          <cell r="F1809" t="str">
            <v>7386</v>
          </cell>
          <cell r="G1809" t="str">
            <v>Muzak, LLC:Appliance Direct - Pro Kitchen</v>
          </cell>
          <cell r="H1809">
            <v>1</v>
          </cell>
        </row>
        <row r="1810">
          <cell r="B1810" t="str">
            <v>Serial Number</v>
          </cell>
          <cell r="C1810" t="str">
            <v>Invoice</v>
          </cell>
          <cell r="D1810">
            <v>38576</v>
          </cell>
          <cell r="F1810" t="str">
            <v>7385</v>
          </cell>
          <cell r="G1810" t="str">
            <v>Muzak, LLC:Appliance Direct - 034975</v>
          </cell>
          <cell r="H1810">
            <v>1</v>
          </cell>
        </row>
        <row r="1811">
          <cell r="B1811" t="str">
            <v>Serial Number</v>
          </cell>
          <cell r="C1811" t="str">
            <v>Invoice</v>
          </cell>
          <cell r="D1811">
            <v>38576</v>
          </cell>
          <cell r="F1811" t="str">
            <v>7383</v>
          </cell>
          <cell r="G1811" t="str">
            <v>Muzak, LLC:Appliance Direct - 043547</v>
          </cell>
          <cell r="H1811">
            <v>1</v>
          </cell>
        </row>
        <row r="1812">
          <cell r="B1812" t="str">
            <v>Serial Number</v>
          </cell>
          <cell r="C1812" t="str">
            <v>Invoice</v>
          </cell>
          <cell r="D1812">
            <v>38576</v>
          </cell>
          <cell r="F1812" t="str">
            <v>7382</v>
          </cell>
          <cell r="G1812" t="str">
            <v>Muzak, LLC:Appliance Direct - 043545</v>
          </cell>
          <cell r="H1812">
            <v>1</v>
          </cell>
        </row>
        <row r="1813">
          <cell r="B1813" t="str">
            <v>Serial Number</v>
          </cell>
          <cell r="C1813" t="str">
            <v>Invoice</v>
          </cell>
          <cell r="D1813">
            <v>38576</v>
          </cell>
          <cell r="F1813" t="str">
            <v>7381</v>
          </cell>
          <cell r="G1813" t="str">
            <v>Muzak, LLC:Appliance Direct - 043544</v>
          </cell>
          <cell r="H1813">
            <v>1</v>
          </cell>
        </row>
        <row r="1814">
          <cell r="B1814" t="str">
            <v>Serial Number</v>
          </cell>
          <cell r="C1814" t="str">
            <v>Invoice</v>
          </cell>
          <cell r="D1814">
            <v>38576</v>
          </cell>
          <cell r="F1814" t="str">
            <v>7380</v>
          </cell>
          <cell r="G1814" t="str">
            <v>Muzak, LLC:Appliance Direct - 042201</v>
          </cell>
          <cell r="H1814">
            <v>1</v>
          </cell>
        </row>
        <row r="1815">
          <cell r="B1815" t="str">
            <v>Serial Number</v>
          </cell>
          <cell r="C1815" t="str">
            <v>Invoice</v>
          </cell>
          <cell r="D1815">
            <v>38576</v>
          </cell>
          <cell r="F1815" t="str">
            <v>7379</v>
          </cell>
          <cell r="G1815" t="str">
            <v>Muzak, LLC:Appliance Direct - 042176</v>
          </cell>
          <cell r="H1815">
            <v>1</v>
          </cell>
        </row>
        <row r="1816">
          <cell r="B1816" t="str">
            <v>Serial Number</v>
          </cell>
          <cell r="C1816" t="str">
            <v>Invoice</v>
          </cell>
          <cell r="D1816">
            <v>38576</v>
          </cell>
          <cell r="F1816" t="str">
            <v>7377</v>
          </cell>
          <cell r="G1816" t="str">
            <v>Muzak, LLC:Appliance Direct - 042172</v>
          </cell>
          <cell r="H1816">
            <v>1</v>
          </cell>
        </row>
        <row r="1817">
          <cell r="B1817" t="str">
            <v>Serial Number</v>
          </cell>
          <cell r="C1817" t="str">
            <v>Invoice</v>
          </cell>
          <cell r="D1817">
            <v>38576</v>
          </cell>
          <cell r="F1817" t="str">
            <v>7376</v>
          </cell>
          <cell r="G1817" t="str">
            <v>Muzak, LLC:Appliance Direct - 038915</v>
          </cell>
          <cell r="H1817">
            <v>1</v>
          </cell>
        </row>
        <row r="1818">
          <cell r="B1818" t="str">
            <v>Serial Number</v>
          </cell>
          <cell r="C1818" t="str">
            <v>Invoice</v>
          </cell>
          <cell r="D1818">
            <v>38576</v>
          </cell>
          <cell r="F1818" t="str">
            <v>7375</v>
          </cell>
          <cell r="G1818" t="str">
            <v>Muzak, LLC:Appliance Direct - 038914</v>
          </cell>
          <cell r="H1818">
            <v>1</v>
          </cell>
        </row>
        <row r="1819">
          <cell r="B1819" t="str">
            <v>Serial Number</v>
          </cell>
          <cell r="C1819" t="str">
            <v>Invoice</v>
          </cell>
          <cell r="D1819">
            <v>38576</v>
          </cell>
          <cell r="F1819" t="str">
            <v>7374</v>
          </cell>
          <cell r="G1819" t="str">
            <v>Muzak, LLC:Appliance Direct - 035387</v>
          </cell>
          <cell r="H1819">
            <v>1</v>
          </cell>
        </row>
        <row r="1820">
          <cell r="B1820" t="str">
            <v>Serial Number</v>
          </cell>
          <cell r="C1820" t="str">
            <v>Invoice</v>
          </cell>
          <cell r="D1820">
            <v>38576</v>
          </cell>
          <cell r="F1820" t="str">
            <v>7373</v>
          </cell>
          <cell r="G1820" t="str">
            <v>Muzak, LLC:Appliance Direct - 034977</v>
          </cell>
          <cell r="H1820">
            <v>1</v>
          </cell>
        </row>
        <row r="1821">
          <cell r="B1821" t="str">
            <v>Serial Number</v>
          </cell>
          <cell r="C1821" t="str">
            <v>Invoice</v>
          </cell>
          <cell r="D1821">
            <v>38576</v>
          </cell>
          <cell r="F1821" t="str">
            <v>7475</v>
          </cell>
          <cell r="G1821" t="str">
            <v>Muzak, LLC:Muzak (Demo)</v>
          </cell>
          <cell r="H1821">
            <v>1</v>
          </cell>
        </row>
        <row r="1822">
          <cell r="B1822" t="str">
            <v>Serial Number</v>
          </cell>
          <cell r="C1822" t="str">
            <v>Invoice</v>
          </cell>
          <cell r="D1822">
            <v>38580</v>
          </cell>
          <cell r="F1822" t="str">
            <v>7388</v>
          </cell>
          <cell r="G1822" t="str">
            <v>Starwood Hotels Corporate Office</v>
          </cell>
          <cell r="H1822">
            <v>1</v>
          </cell>
        </row>
        <row r="1823">
          <cell r="B1823" t="str">
            <v>Serial Number</v>
          </cell>
          <cell r="C1823" t="str">
            <v>Invoice</v>
          </cell>
          <cell r="D1823">
            <v>38580</v>
          </cell>
          <cell r="F1823" t="str">
            <v>7482</v>
          </cell>
          <cell r="G1823" t="str">
            <v>Muzak, LLC:Burger King - #2771</v>
          </cell>
          <cell r="H1823">
            <v>1</v>
          </cell>
        </row>
        <row r="1824">
          <cell r="B1824" t="str">
            <v>Serial Number</v>
          </cell>
          <cell r="C1824" t="str">
            <v>Invoice</v>
          </cell>
          <cell r="D1824">
            <v>38581</v>
          </cell>
          <cell r="F1824" t="str">
            <v>7487</v>
          </cell>
          <cell r="G1824" t="str">
            <v>Muzak, LLC:Royal Sonesta Hotel</v>
          </cell>
          <cell r="H1824">
            <v>1</v>
          </cell>
        </row>
        <row r="1825">
          <cell r="B1825" t="str">
            <v>Serial Number</v>
          </cell>
          <cell r="C1825" t="str">
            <v>Invoice</v>
          </cell>
          <cell r="D1825">
            <v>38583</v>
          </cell>
          <cell r="F1825" t="str">
            <v>7515</v>
          </cell>
          <cell r="G1825" t="str">
            <v>American Security Bank</v>
          </cell>
          <cell r="H1825">
            <v>1</v>
          </cell>
        </row>
        <row r="1826">
          <cell r="B1826" t="str">
            <v>SPC</v>
          </cell>
          <cell r="C1826" t="str">
            <v>Invoice</v>
          </cell>
          <cell r="D1826">
            <v>38510</v>
          </cell>
          <cell r="F1826" t="str">
            <v>6268</v>
          </cell>
          <cell r="G1826" t="str">
            <v>Chromatech 3D (Pty) Ltd.</v>
          </cell>
          <cell r="H1826">
            <v>1</v>
          </cell>
        </row>
        <row r="1827">
          <cell r="B1827" t="str">
            <v>SPC</v>
          </cell>
          <cell r="C1827" t="str">
            <v>Invoice</v>
          </cell>
          <cell r="D1827">
            <v>38510</v>
          </cell>
          <cell r="F1827" t="str">
            <v>6268</v>
          </cell>
          <cell r="G1827" t="str">
            <v>Chromatech 3D (Pty) Ltd.</v>
          </cell>
          <cell r="H1827">
            <v>1</v>
          </cell>
        </row>
        <row r="1828">
          <cell r="B1828" t="str">
            <v>SPC</v>
          </cell>
          <cell r="C1828" t="str">
            <v>Invoice</v>
          </cell>
          <cell r="D1828">
            <v>38510</v>
          </cell>
          <cell r="F1828" t="str">
            <v>6268</v>
          </cell>
          <cell r="G1828" t="str">
            <v>Chromatech 3D (Pty) Ltd.</v>
          </cell>
          <cell r="H1828">
            <v>1</v>
          </cell>
        </row>
        <row r="1829">
          <cell r="B1829" t="str">
            <v>SPC</v>
          </cell>
          <cell r="C1829" t="str">
            <v>Invoice</v>
          </cell>
          <cell r="D1829">
            <v>38530</v>
          </cell>
          <cell r="F1829" t="str">
            <v>6404</v>
          </cell>
          <cell r="G1829" t="str">
            <v>KaBloom - Gainesville</v>
          </cell>
          <cell r="H1829">
            <v>1</v>
          </cell>
        </row>
        <row r="1830">
          <cell r="B1830" t="str">
            <v>SPC-1318</v>
          </cell>
          <cell r="C1830" t="str">
            <v>Invoice</v>
          </cell>
          <cell r="D1830">
            <v>38379</v>
          </cell>
          <cell r="F1830" t="str">
            <v>5208</v>
          </cell>
          <cell r="G1830" t="str">
            <v>Trade Fisture/ New Leaf</v>
          </cell>
          <cell r="H1830">
            <v>1</v>
          </cell>
        </row>
        <row r="1831">
          <cell r="B1831" t="str">
            <v>SPC500-0133</v>
          </cell>
          <cell r="C1831" t="str">
            <v>Invoice</v>
          </cell>
          <cell r="D1831">
            <v>38568</v>
          </cell>
          <cell r="F1831" t="str">
            <v>7297</v>
          </cell>
          <cell r="G1831" t="str">
            <v>ScentAir Australia Pty Ltd.</v>
          </cell>
          <cell r="H1831">
            <v>1</v>
          </cell>
        </row>
        <row r="1832">
          <cell r="B1832" t="str">
            <v>SPC500-0133</v>
          </cell>
          <cell r="C1832" t="str">
            <v>Invoice</v>
          </cell>
          <cell r="D1832">
            <v>38615</v>
          </cell>
          <cell r="F1832" t="str">
            <v>7944</v>
          </cell>
          <cell r="G1832" t="str">
            <v>Promotool</v>
          </cell>
          <cell r="H1832">
            <v>1</v>
          </cell>
        </row>
        <row r="1833">
          <cell r="B1833" t="str">
            <v>SPC500-0142</v>
          </cell>
          <cell r="C1833" t="str">
            <v>Invoice</v>
          </cell>
          <cell r="D1833">
            <v>38615</v>
          </cell>
          <cell r="F1833" t="str">
            <v>7944</v>
          </cell>
          <cell r="G1833" t="str">
            <v>Promotool</v>
          </cell>
          <cell r="H1833">
            <v>1</v>
          </cell>
        </row>
        <row r="1834">
          <cell r="B1834" t="str">
            <v>SPC500-0152</v>
          </cell>
          <cell r="C1834" t="str">
            <v>Invoice</v>
          </cell>
          <cell r="D1834">
            <v>38520</v>
          </cell>
          <cell r="F1834" t="str">
            <v>6267</v>
          </cell>
          <cell r="G1834" t="str">
            <v>Techno Satellite</v>
          </cell>
          <cell r="H1834">
            <v>1</v>
          </cell>
        </row>
        <row r="1835">
          <cell r="B1835" t="str">
            <v>SPC500-0152</v>
          </cell>
          <cell r="C1835" t="str">
            <v>Invoice</v>
          </cell>
          <cell r="D1835">
            <v>38611</v>
          </cell>
          <cell r="F1835" t="str">
            <v>7134</v>
          </cell>
          <cell r="G1835" t="str">
            <v>Sioux Land Heritage Museum</v>
          </cell>
          <cell r="H1835">
            <v>1</v>
          </cell>
        </row>
        <row r="1836">
          <cell r="B1836" t="str">
            <v>SPC500-0152</v>
          </cell>
          <cell r="C1836" t="str">
            <v>Invoice</v>
          </cell>
          <cell r="D1836">
            <v>38615</v>
          </cell>
          <cell r="F1836" t="str">
            <v>7944</v>
          </cell>
          <cell r="G1836" t="str">
            <v>Promotool</v>
          </cell>
          <cell r="H1836">
            <v>1</v>
          </cell>
        </row>
        <row r="1837">
          <cell r="B1837" t="str">
            <v>SPC500-0153</v>
          </cell>
          <cell r="C1837" t="str">
            <v>Invoice</v>
          </cell>
          <cell r="D1837">
            <v>38615</v>
          </cell>
          <cell r="F1837" t="str">
            <v>7944</v>
          </cell>
          <cell r="G1837" t="str">
            <v>Promotool</v>
          </cell>
          <cell r="H1837">
            <v>1</v>
          </cell>
        </row>
        <row r="1838">
          <cell r="B1838" t="str">
            <v>SPC500-0160</v>
          </cell>
          <cell r="C1838" t="str">
            <v>Invoice</v>
          </cell>
          <cell r="D1838">
            <v>38398</v>
          </cell>
          <cell r="F1838" t="str">
            <v>5320</v>
          </cell>
          <cell r="G1838" t="str">
            <v>ScentAir Australia Pty Ltd.</v>
          </cell>
          <cell r="H1838">
            <v>1</v>
          </cell>
        </row>
        <row r="1839">
          <cell r="B1839" t="str">
            <v>SPC500-0160</v>
          </cell>
          <cell r="C1839" t="str">
            <v>Invoice</v>
          </cell>
          <cell r="D1839">
            <v>38467</v>
          </cell>
          <cell r="F1839" t="str">
            <v>6000</v>
          </cell>
          <cell r="G1839" t="str">
            <v>Sioux Land Heritage Museum</v>
          </cell>
          <cell r="H1839">
            <v>1</v>
          </cell>
        </row>
        <row r="1840">
          <cell r="B1840" t="str">
            <v>SPC500-0160</v>
          </cell>
          <cell r="C1840" t="str">
            <v>Invoice</v>
          </cell>
          <cell r="D1840">
            <v>38547</v>
          </cell>
          <cell r="F1840" t="str">
            <v>7141</v>
          </cell>
          <cell r="G1840" t="str">
            <v>Sioux Land Heritage Museum</v>
          </cell>
          <cell r="H1840">
            <v>1</v>
          </cell>
        </row>
        <row r="1841">
          <cell r="B1841" t="str">
            <v>SPC500-0160</v>
          </cell>
          <cell r="C1841" t="str">
            <v>Invoice</v>
          </cell>
          <cell r="D1841">
            <v>38582</v>
          </cell>
          <cell r="F1841" t="str">
            <v>5598</v>
          </cell>
          <cell r="G1841" t="str">
            <v>Sioux Land Heritage Museum</v>
          </cell>
          <cell r="H1841">
            <v>1</v>
          </cell>
        </row>
        <row r="1842">
          <cell r="B1842" t="str">
            <v>SPC500-0160</v>
          </cell>
          <cell r="C1842" t="str">
            <v>Invoice</v>
          </cell>
          <cell r="D1842">
            <v>38611</v>
          </cell>
          <cell r="F1842" t="str">
            <v>7134</v>
          </cell>
          <cell r="G1842" t="str">
            <v>Sioux Land Heritage Museum</v>
          </cell>
          <cell r="H1842">
            <v>1</v>
          </cell>
        </row>
        <row r="1843">
          <cell r="B1843" t="str">
            <v>SPC500-0160</v>
          </cell>
          <cell r="C1843" t="str">
            <v>Invoice</v>
          </cell>
          <cell r="D1843">
            <v>38615</v>
          </cell>
          <cell r="F1843" t="str">
            <v>7944</v>
          </cell>
          <cell r="G1843" t="str">
            <v>Promotool</v>
          </cell>
          <cell r="H1843">
            <v>1</v>
          </cell>
        </row>
        <row r="1844">
          <cell r="B1844" t="str">
            <v>SPC500-0170</v>
          </cell>
          <cell r="C1844" t="str">
            <v>Invoice</v>
          </cell>
          <cell r="D1844">
            <v>38615</v>
          </cell>
          <cell r="F1844" t="str">
            <v>7944</v>
          </cell>
          <cell r="G1844" t="str">
            <v>Promotool</v>
          </cell>
          <cell r="H1844">
            <v>1</v>
          </cell>
        </row>
        <row r="1845">
          <cell r="B1845" t="str">
            <v>SPC500-0174</v>
          </cell>
          <cell r="C1845" t="str">
            <v>Invoice</v>
          </cell>
          <cell r="D1845">
            <v>38511</v>
          </cell>
          <cell r="F1845" t="str">
            <v>6270</v>
          </cell>
          <cell r="G1845" t="str">
            <v>Aritza</v>
          </cell>
          <cell r="H1845">
            <v>1</v>
          </cell>
        </row>
        <row r="1846">
          <cell r="B1846" t="str">
            <v>SPC500-0174</v>
          </cell>
          <cell r="C1846" t="str">
            <v>Invoice</v>
          </cell>
          <cell r="D1846">
            <v>38615</v>
          </cell>
          <cell r="F1846" t="str">
            <v>7944</v>
          </cell>
          <cell r="G1846" t="str">
            <v>Promotool</v>
          </cell>
          <cell r="H1846">
            <v>1</v>
          </cell>
        </row>
        <row r="1847">
          <cell r="B1847" t="str">
            <v>SPC500-0218</v>
          </cell>
          <cell r="C1847" t="str">
            <v>Invoice</v>
          </cell>
          <cell r="D1847">
            <v>38615</v>
          </cell>
          <cell r="F1847" t="str">
            <v>7944</v>
          </cell>
          <cell r="G1847" t="str">
            <v>Promotool</v>
          </cell>
          <cell r="H1847">
            <v>1</v>
          </cell>
        </row>
        <row r="1848">
          <cell r="B1848" t="str">
            <v>SPC500-0219</v>
          </cell>
          <cell r="C1848" t="str">
            <v>Invoice</v>
          </cell>
          <cell r="D1848">
            <v>38615</v>
          </cell>
          <cell r="F1848" t="str">
            <v>7944</v>
          </cell>
          <cell r="G1848" t="str">
            <v>Promotool</v>
          </cell>
          <cell r="H1848">
            <v>1</v>
          </cell>
        </row>
        <row r="1849">
          <cell r="B1849" t="str">
            <v>SPC500-0231</v>
          </cell>
          <cell r="C1849" t="str">
            <v>Invoice</v>
          </cell>
          <cell r="D1849">
            <v>38579</v>
          </cell>
          <cell r="F1849" t="str">
            <v>7473</v>
          </cell>
          <cell r="G1849" t="str">
            <v>Promotool</v>
          </cell>
          <cell r="H1849">
            <v>1</v>
          </cell>
        </row>
        <row r="1850">
          <cell r="B1850" t="str">
            <v>SPC500-0231</v>
          </cell>
          <cell r="C1850" t="str">
            <v>Invoice</v>
          </cell>
          <cell r="D1850">
            <v>38615</v>
          </cell>
          <cell r="F1850" t="str">
            <v>7944</v>
          </cell>
          <cell r="G1850" t="str">
            <v>Promotool</v>
          </cell>
          <cell r="H1850">
            <v>1</v>
          </cell>
        </row>
        <row r="1851">
          <cell r="B1851" t="str">
            <v>SPC500-0234</v>
          </cell>
          <cell r="C1851" t="str">
            <v>Invoice</v>
          </cell>
          <cell r="D1851">
            <v>38523</v>
          </cell>
          <cell r="F1851" t="str">
            <v>6379</v>
          </cell>
          <cell r="G1851" t="str">
            <v>Promotool</v>
          </cell>
          <cell r="H1851">
            <v>1</v>
          </cell>
        </row>
        <row r="1852">
          <cell r="B1852" t="str">
            <v>SPC500-0234</v>
          </cell>
          <cell r="C1852" t="str">
            <v>Invoice</v>
          </cell>
          <cell r="D1852">
            <v>38615</v>
          </cell>
          <cell r="F1852" t="str">
            <v>7944</v>
          </cell>
          <cell r="G1852" t="str">
            <v>Promotool</v>
          </cell>
          <cell r="H1852">
            <v>1</v>
          </cell>
        </row>
        <row r="1853">
          <cell r="B1853" t="str">
            <v>SPC500-0243</v>
          </cell>
          <cell r="C1853" t="str">
            <v>Invoice</v>
          </cell>
          <cell r="D1853">
            <v>38568</v>
          </cell>
          <cell r="F1853" t="str">
            <v>7297</v>
          </cell>
          <cell r="G1853" t="str">
            <v>ScentAir Australia Pty Ltd.</v>
          </cell>
          <cell r="H1853">
            <v>1</v>
          </cell>
        </row>
        <row r="1854">
          <cell r="B1854" t="str">
            <v>SPC500-0243</v>
          </cell>
          <cell r="C1854" t="str">
            <v>Invoice</v>
          </cell>
          <cell r="D1854">
            <v>38615</v>
          </cell>
          <cell r="F1854" t="str">
            <v>7944</v>
          </cell>
          <cell r="G1854" t="str">
            <v>Promotool</v>
          </cell>
          <cell r="H1854">
            <v>1</v>
          </cell>
        </row>
        <row r="1855">
          <cell r="B1855" t="str">
            <v>SPC500-0252</v>
          </cell>
          <cell r="C1855" t="str">
            <v>Invoice</v>
          </cell>
          <cell r="D1855">
            <v>38568</v>
          </cell>
          <cell r="F1855" t="str">
            <v>7297</v>
          </cell>
          <cell r="G1855" t="str">
            <v>ScentAir Australia Pty Ltd.</v>
          </cell>
          <cell r="H1855">
            <v>1</v>
          </cell>
        </row>
        <row r="1856">
          <cell r="B1856" t="str">
            <v>SPC500-0252</v>
          </cell>
          <cell r="C1856" t="str">
            <v>Invoice</v>
          </cell>
          <cell r="D1856">
            <v>38615</v>
          </cell>
          <cell r="F1856" t="str">
            <v>7944</v>
          </cell>
          <cell r="G1856" t="str">
            <v>Promotool</v>
          </cell>
          <cell r="H1856">
            <v>1</v>
          </cell>
        </row>
        <row r="1857">
          <cell r="B1857" t="str">
            <v>SPC500-0269</v>
          </cell>
          <cell r="C1857" t="str">
            <v>Invoice</v>
          </cell>
          <cell r="D1857">
            <v>38398</v>
          </cell>
          <cell r="F1857" t="str">
            <v>5320</v>
          </cell>
          <cell r="G1857" t="str">
            <v>ScentAir Australia Pty Ltd.</v>
          </cell>
          <cell r="H1857">
            <v>1</v>
          </cell>
        </row>
        <row r="1858">
          <cell r="B1858" t="str">
            <v>SPC500-0269</v>
          </cell>
          <cell r="C1858" t="str">
            <v>Invoice</v>
          </cell>
          <cell r="D1858">
            <v>38546</v>
          </cell>
          <cell r="F1858" t="str">
            <v>7000</v>
          </cell>
          <cell r="G1858" t="str">
            <v>Sioux Land Heritage Museum</v>
          </cell>
          <cell r="H1858">
            <v>1</v>
          </cell>
        </row>
        <row r="1859">
          <cell r="B1859" t="str">
            <v>SPC500-0275</v>
          </cell>
          <cell r="C1859" t="str">
            <v>Invoice</v>
          </cell>
          <cell r="D1859">
            <v>38615</v>
          </cell>
          <cell r="F1859" t="str">
            <v>7944</v>
          </cell>
          <cell r="G1859" t="str">
            <v>Promotool</v>
          </cell>
          <cell r="H1859">
            <v>1</v>
          </cell>
        </row>
        <row r="1860">
          <cell r="B1860" t="str">
            <v>SPC500-0297</v>
          </cell>
          <cell r="C1860" t="str">
            <v>Invoice</v>
          </cell>
          <cell r="D1860">
            <v>38615</v>
          </cell>
          <cell r="F1860" t="str">
            <v>7944</v>
          </cell>
          <cell r="G1860" t="str">
            <v>Promotool</v>
          </cell>
          <cell r="H1860">
            <v>1</v>
          </cell>
        </row>
        <row r="1861">
          <cell r="B1861" t="str">
            <v>SPC500-0317</v>
          </cell>
          <cell r="C1861" t="str">
            <v>Invoice</v>
          </cell>
          <cell r="D1861">
            <v>38579</v>
          </cell>
          <cell r="F1861" t="str">
            <v>7473</v>
          </cell>
          <cell r="G1861" t="str">
            <v>Promotool</v>
          </cell>
          <cell r="H1861">
            <v>1</v>
          </cell>
        </row>
        <row r="1862">
          <cell r="B1862" t="str">
            <v>SPC500-0317</v>
          </cell>
          <cell r="C1862" t="str">
            <v>Invoice</v>
          </cell>
          <cell r="D1862">
            <v>38615</v>
          </cell>
          <cell r="F1862" t="str">
            <v>7944</v>
          </cell>
          <cell r="G1862" t="str">
            <v>Promotool</v>
          </cell>
          <cell r="H1862">
            <v>1</v>
          </cell>
        </row>
        <row r="1863">
          <cell r="B1863" t="str">
            <v>SPC500-0327</v>
          </cell>
          <cell r="C1863" t="str">
            <v>Invoice</v>
          </cell>
          <cell r="D1863">
            <v>38520</v>
          </cell>
          <cell r="F1863" t="str">
            <v>6267</v>
          </cell>
          <cell r="G1863" t="str">
            <v>Techno Satellite</v>
          </cell>
          <cell r="H1863">
            <v>1</v>
          </cell>
        </row>
        <row r="1864">
          <cell r="B1864" t="str">
            <v>SPC500-0327</v>
          </cell>
          <cell r="C1864" t="str">
            <v>Invoice</v>
          </cell>
          <cell r="D1864">
            <v>38615</v>
          </cell>
          <cell r="F1864" t="str">
            <v>7944</v>
          </cell>
          <cell r="G1864" t="str">
            <v>Promotool</v>
          </cell>
          <cell r="H1864">
            <v>1</v>
          </cell>
        </row>
        <row r="1865">
          <cell r="B1865" t="str">
            <v>SPC500-0357</v>
          </cell>
          <cell r="C1865" t="str">
            <v>Invoice</v>
          </cell>
          <cell r="D1865">
            <v>38615</v>
          </cell>
          <cell r="F1865" t="str">
            <v>7944</v>
          </cell>
          <cell r="G1865" t="str">
            <v>Promotool</v>
          </cell>
          <cell r="H1865">
            <v>1</v>
          </cell>
        </row>
        <row r="1866">
          <cell r="B1866" t="str">
            <v>SPC500-0375</v>
          </cell>
          <cell r="C1866" t="str">
            <v>Invoice</v>
          </cell>
          <cell r="D1866">
            <v>38398</v>
          </cell>
          <cell r="F1866" t="str">
            <v>5320</v>
          </cell>
          <cell r="G1866" t="str">
            <v>ScentAir Australia Pty Ltd.</v>
          </cell>
          <cell r="H1866">
            <v>1</v>
          </cell>
        </row>
        <row r="1867">
          <cell r="B1867" t="str">
            <v>SPC500-0375</v>
          </cell>
          <cell r="C1867" t="str">
            <v>Invoice</v>
          </cell>
          <cell r="D1867">
            <v>38512</v>
          </cell>
          <cell r="F1867" t="str">
            <v>6279</v>
          </cell>
          <cell r="G1867" t="str">
            <v>Promotool</v>
          </cell>
          <cell r="H1867">
            <v>1</v>
          </cell>
        </row>
        <row r="1868">
          <cell r="B1868" t="str">
            <v>SPC500-0375</v>
          </cell>
          <cell r="C1868" t="str">
            <v>Invoice</v>
          </cell>
          <cell r="D1868">
            <v>38568</v>
          </cell>
          <cell r="F1868" t="str">
            <v>7297</v>
          </cell>
          <cell r="G1868" t="str">
            <v>ScentAir Australia Pty Ltd.</v>
          </cell>
          <cell r="H1868">
            <v>1</v>
          </cell>
        </row>
        <row r="1869">
          <cell r="B1869" t="str">
            <v>SPC500-0375</v>
          </cell>
          <cell r="C1869" t="str">
            <v>Invoice</v>
          </cell>
          <cell r="D1869">
            <v>38615</v>
          </cell>
          <cell r="F1869" t="str">
            <v>7944</v>
          </cell>
          <cell r="G1869" t="str">
            <v>Promotool</v>
          </cell>
          <cell r="H1869">
            <v>1</v>
          </cell>
        </row>
        <row r="1870">
          <cell r="B1870" t="str">
            <v>SPC500-0399</v>
          </cell>
          <cell r="C1870" t="str">
            <v>Invoice</v>
          </cell>
          <cell r="D1870">
            <v>38615</v>
          </cell>
          <cell r="F1870" t="str">
            <v>7944</v>
          </cell>
          <cell r="G1870" t="str">
            <v>Promotool</v>
          </cell>
          <cell r="H1870">
            <v>1</v>
          </cell>
        </row>
        <row r="1871">
          <cell r="B1871" t="str">
            <v>SPC500-0402</v>
          </cell>
          <cell r="C1871" t="str">
            <v>Invoice</v>
          </cell>
          <cell r="D1871">
            <v>38590</v>
          </cell>
          <cell r="F1871" t="str">
            <v>7708</v>
          </cell>
          <cell r="G1871" t="str">
            <v>Techno Satellite</v>
          </cell>
          <cell r="H1871">
            <v>1</v>
          </cell>
        </row>
        <row r="1872">
          <cell r="B1872" t="str">
            <v>SPC500-0402</v>
          </cell>
          <cell r="C1872" t="str">
            <v>Invoice</v>
          </cell>
          <cell r="D1872">
            <v>38615</v>
          </cell>
          <cell r="F1872" t="str">
            <v>7944</v>
          </cell>
          <cell r="G1872" t="str">
            <v>Promotool</v>
          </cell>
          <cell r="H1872">
            <v>1</v>
          </cell>
        </row>
        <row r="1873">
          <cell r="B1873" t="str">
            <v>SPC500-0408</v>
          </cell>
          <cell r="C1873" t="str">
            <v>Invoice</v>
          </cell>
          <cell r="D1873">
            <v>38615</v>
          </cell>
          <cell r="F1873" t="str">
            <v>7944</v>
          </cell>
          <cell r="G1873" t="str">
            <v>Promotool</v>
          </cell>
          <cell r="H1873">
            <v>1</v>
          </cell>
        </row>
        <row r="1874">
          <cell r="B1874" t="str">
            <v>SPC500-0429</v>
          </cell>
          <cell r="C1874" t="str">
            <v>Invoice</v>
          </cell>
          <cell r="D1874">
            <v>38615</v>
          </cell>
          <cell r="F1874" t="str">
            <v>7944</v>
          </cell>
          <cell r="G1874" t="str">
            <v>Promotool</v>
          </cell>
          <cell r="H1874">
            <v>1</v>
          </cell>
        </row>
        <row r="1875">
          <cell r="B1875" t="str">
            <v>SPC500-0479</v>
          </cell>
          <cell r="C1875" t="str">
            <v>Invoice</v>
          </cell>
          <cell r="D1875">
            <v>38398</v>
          </cell>
          <cell r="F1875" t="str">
            <v>5320</v>
          </cell>
          <cell r="G1875" t="str">
            <v>ScentAir Australia Pty Ltd.</v>
          </cell>
          <cell r="H1875">
            <v>1</v>
          </cell>
        </row>
        <row r="1876">
          <cell r="B1876" t="str">
            <v>SPC500-0479</v>
          </cell>
          <cell r="C1876" t="str">
            <v>Invoice</v>
          </cell>
          <cell r="D1876">
            <v>38456</v>
          </cell>
          <cell r="F1876" t="str">
            <v>5615</v>
          </cell>
          <cell r="G1876" t="str">
            <v>Golf Etc. of America, Inc.</v>
          </cell>
          <cell r="H1876">
            <v>1</v>
          </cell>
        </row>
        <row r="1877">
          <cell r="B1877" t="str">
            <v>SPC500-0479</v>
          </cell>
          <cell r="C1877" t="str">
            <v>Invoice</v>
          </cell>
          <cell r="D1877">
            <v>38467</v>
          </cell>
          <cell r="F1877" t="str">
            <v>6001</v>
          </cell>
          <cell r="G1877" t="str">
            <v>Process Displays</v>
          </cell>
          <cell r="H1877">
            <v>1</v>
          </cell>
        </row>
        <row r="1878">
          <cell r="B1878" t="str">
            <v>SPC500-0479</v>
          </cell>
          <cell r="C1878" t="str">
            <v>Invoice</v>
          </cell>
          <cell r="D1878">
            <v>38510</v>
          </cell>
          <cell r="F1878" t="str">
            <v>6268</v>
          </cell>
          <cell r="G1878" t="str">
            <v>Chromatech 3D (Pty) Ltd.</v>
          </cell>
          <cell r="H1878">
            <v>1</v>
          </cell>
        </row>
        <row r="1879">
          <cell r="B1879" t="str">
            <v>SPC500-0479</v>
          </cell>
          <cell r="C1879" t="str">
            <v>Invoice</v>
          </cell>
          <cell r="D1879">
            <v>38615</v>
          </cell>
          <cell r="F1879" t="str">
            <v>7944</v>
          </cell>
          <cell r="G1879" t="str">
            <v>Promotool</v>
          </cell>
          <cell r="H1879">
            <v>1</v>
          </cell>
        </row>
        <row r="1880">
          <cell r="B1880" t="str">
            <v>SPC500-0493</v>
          </cell>
          <cell r="C1880" t="str">
            <v>Invoice</v>
          </cell>
          <cell r="D1880">
            <v>38539</v>
          </cell>
          <cell r="F1880" t="str">
            <v>7083</v>
          </cell>
          <cell r="G1880" t="str">
            <v>LEGOLAND California</v>
          </cell>
          <cell r="H1880">
            <v>1</v>
          </cell>
        </row>
        <row r="1881">
          <cell r="B1881" t="str">
            <v>SPC500-0493</v>
          </cell>
          <cell r="C1881" t="str">
            <v>Invoice</v>
          </cell>
          <cell r="D1881">
            <v>38615</v>
          </cell>
          <cell r="F1881" t="str">
            <v>7944</v>
          </cell>
          <cell r="G1881" t="str">
            <v>Promotool</v>
          </cell>
          <cell r="H1881">
            <v>1</v>
          </cell>
        </row>
        <row r="1882">
          <cell r="B1882" t="str">
            <v>SPC500-0496</v>
          </cell>
          <cell r="C1882" t="str">
            <v>Invoice</v>
          </cell>
          <cell r="D1882">
            <v>38467</v>
          </cell>
          <cell r="F1882" t="str">
            <v>6002</v>
          </cell>
          <cell r="G1882" t="str">
            <v>Freedom Station Family Fun Center</v>
          </cell>
          <cell r="H1882">
            <v>1</v>
          </cell>
        </row>
        <row r="1883">
          <cell r="B1883" t="str">
            <v>SPC500-0496</v>
          </cell>
          <cell r="C1883" t="str">
            <v>Invoice</v>
          </cell>
          <cell r="D1883">
            <v>38505</v>
          </cell>
          <cell r="F1883" t="str">
            <v>6218</v>
          </cell>
          <cell r="G1883" t="str">
            <v>Tree Paad</v>
          </cell>
          <cell r="H1883">
            <v>1</v>
          </cell>
        </row>
        <row r="1884">
          <cell r="B1884" t="str">
            <v>SPC500-0496</v>
          </cell>
          <cell r="C1884" t="str">
            <v>Invoice</v>
          </cell>
          <cell r="D1884">
            <v>38510</v>
          </cell>
          <cell r="F1884" t="str">
            <v>6268</v>
          </cell>
          <cell r="G1884" t="str">
            <v>Chromatech 3D (Pty) Ltd.</v>
          </cell>
          <cell r="H1884">
            <v>1</v>
          </cell>
        </row>
        <row r="1885">
          <cell r="B1885" t="str">
            <v>SPC500-0496</v>
          </cell>
          <cell r="C1885" t="str">
            <v>Invoice</v>
          </cell>
          <cell r="D1885">
            <v>38615</v>
          </cell>
          <cell r="F1885" t="str">
            <v>7944</v>
          </cell>
          <cell r="G1885" t="str">
            <v>Promotool</v>
          </cell>
          <cell r="H1885">
            <v>1</v>
          </cell>
        </row>
        <row r="1886">
          <cell r="B1886" t="str">
            <v>SPC500-0496</v>
          </cell>
          <cell r="C1886" t="str">
            <v>Invoice</v>
          </cell>
          <cell r="D1886">
            <v>38622</v>
          </cell>
          <cell r="F1886" t="str">
            <v>8144</v>
          </cell>
          <cell r="G1886" t="str">
            <v>ScentAir - Corporate Associates:Dave Amaral</v>
          </cell>
          <cell r="H1886">
            <v>1</v>
          </cell>
        </row>
        <row r="1887">
          <cell r="B1887" t="str">
            <v>SPC500-0521</v>
          </cell>
          <cell r="C1887" t="str">
            <v>Invoice</v>
          </cell>
          <cell r="D1887">
            <v>38615</v>
          </cell>
          <cell r="F1887" t="str">
            <v>7944</v>
          </cell>
          <cell r="G1887" t="str">
            <v>Promotool</v>
          </cell>
          <cell r="H1887">
            <v>1</v>
          </cell>
        </row>
        <row r="1888">
          <cell r="B1888" t="str">
            <v>SPC500-0531</v>
          </cell>
          <cell r="C1888" t="str">
            <v>Invoice</v>
          </cell>
          <cell r="D1888">
            <v>38615</v>
          </cell>
          <cell r="F1888" t="str">
            <v>7944</v>
          </cell>
          <cell r="G1888" t="str">
            <v>Promotool</v>
          </cell>
          <cell r="H1888">
            <v>1</v>
          </cell>
        </row>
        <row r="1889">
          <cell r="B1889" t="str">
            <v>SPC500-0534</v>
          </cell>
          <cell r="C1889" t="str">
            <v>Invoice</v>
          </cell>
          <cell r="D1889">
            <v>38534</v>
          </cell>
          <cell r="F1889" t="str">
            <v>7056</v>
          </cell>
          <cell r="G1889" t="str">
            <v>Techno Satellite</v>
          </cell>
          <cell r="H1889">
            <v>1</v>
          </cell>
        </row>
        <row r="1890">
          <cell r="B1890" t="str">
            <v>SPC500-0534</v>
          </cell>
          <cell r="C1890" t="str">
            <v>Invoice</v>
          </cell>
          <cell r="D1890">
            <v>38561</v>
          </cell>
          <cell r="F1890" t="str">
            <v>7197</v>
          </cell>
          <cell r="G1890" t="str">
            <v>Techno Satellite</v>
          </cell>
          <cell r="H1890">
            <v>1</v>
          </cell>
        </row>
        <row r="1891">
          <cell r="B1891" t="str">
            <v>SPC500-0534</v>
          </cell>
          <cell r="C1891" t="str">
            <v>Invoice</v>
          </cell>
          <cell r="D1891">
            <v>38615</v>
          </cell>
          <cell r="F1891" t="str">
            <v>7944</v>
          </cell>
          <cell r="G1891" t="str">
            <v>Promotool</v>
          </cell>
          <cell r="H1891">
            <v>1</v>
          </cell>
        </row>
        <row r="1892">
          <cell r="B1892" t="str">
            <v>SPC500-0681</v>
          </cell>
          <cell r="C1892" t="str">
            <v>Invoice</v>
          </cell>
          <cell r="D1892">
            <v>38398</v>
          </cell>
          <cell r="F1892" t="str">
            <v>5320</v>
          </cell>
          <cell r="G1892" t="str">
            <v>ScentAir Australia Pty Ltd.</v>
          </cell>
          <cell r="H1892">
            <v>1</v>
          </cell>
        </row>
        <row r="1893">
          <cell r="B1893" t="str">
            <v>SPC500-0681</v>
          </cell>
          <cell r="C1893" t="str">
            <v>Invoice</v>
          </cell>
          <cell r="D1893">
            <v>38467</v>
          </cell>
          <cell r="F1893" t="str">
            <v>6002</v>
          </cell>
          <cell r="G1893" t="str">
            <v>Freedom Station Family Fun Center</v>
          </cell>
          <cell r="H1893">
            <v>1</v>
          </cell>
        </row>
        <row r="1894">
          <cell r="B1894" t="str">
            <v>SPC500-0681</v>
          </cell>
          <cell r="C1894" t="str">
            <v>Invoice</v>
          </cell>
          <cell r="D1894">
            <v>38512</v>
          </cell>
          <cell r="F1894" t="str">
            <v>6279</v>
          </cell>
          <cell r="G1894" t="str">
            <v>Promotool</v>
          </cell>
          <cell r="H1894">
            <v>1</v>
          </cell>
        </row>
        <row r="1895">
          <cell r="B1895" t="str">
            <v>SPC500-0681</v>
          </cell>
          <cell r="C1895" t="str">
            <v>Invoice</v>
          </cell>
          <cell r="D1895">
            <v>38615</v>
          </cell>
          <cell r="F1895" t="str">
            <v>7944</v>
          </cell>
          <cell r="G1895" t="str">
            <v>Promotool</v>
          </cell>
          <cell r="H1895">
            <v>1</v>
          </cell>
        </row>
        <row r="1896">
          <cell r="B1896" t="str">
            <v>SPC500-0682</v>
          </cell>
          <cell r="C1896" t="str">
            <v>Invoice</v>
          </cell>
          <cell r="D1896">
            <v>38615</v>
          </cell>
          <cell r="F1896" t="str">
            <v>7944</v>
          </cell>
          <cell r="G1896" t="str">
            <v>Promotool</v>
          </cell>
          <cell r="H1896">
            <v>1</v>
          </cell>
        </row>
        <row r="1897">
          <cell r="B1897" t="str">
            <v>SPC500-0691</v>
          </cell>
          <cell r="C1897" t="str">
            <v>Invoice</v>
          </cell>
          <cell r="D1897">
            <v>38615</v>
          </cell>
          <cell r="F1897" t="str">
            <v>7944</v>
          </cell>
          <cell r="G1897" t="str">
            <v>Promotool</v>
          </cell>
          <cell r="H1897">
            <v>1</v>
          </cell>
        </row>
        <row r="1898">
          <cell r="B1898" t="str">
            <v>SPC500-0692</v>
          </cell>
          <cell r="C1898" t="str">
            <v>Invoice</v>
          </cell>
          <cell r="D1898">
            <v>38447</v>
          </cell>
          <cell r="F1898" t="str">
            <v>5569-I</v>
          </cell>
          <cell r="G1898" t="str">
            <v>Ralph Jones Display</v>
          </cell>
          <cell r="H1898">
            <v>1</v>
          </cell>
        </row>
        <row r="1899">
          <cell r="B1899" t="str">
            <v>SPC500-0692</v>
          </cell>
          <cell r="C1899" t="str">
            <v>Invoice</v>
          </cell>
          <cell r="D1899">
            <v>38615</v>
          </cell>
          <cell r="F1899" t="str">
            <v>7944</v>
          </cell>
          <cell r="G1899" t="str">
            <v>Promotool</v>
          </cell>
          <cell r="H1899">
            <v>1</v>
          </cell>
        </row>
        <row r="1900">
          <cell r="B1900" t="str">
            <v>SPC500-0713</v>
          </cell>
          <cell r="C1900" t="str">
            <v>Invoice</v>
          </cell>
          <cell r="D1900">
            <v>38398</v>
          </cell>
          <cell r="F1900" t="str">
            <v>5314</v>
          </cell>
          <cell r="G1900" t="str">
            <v>Weird and Wonderful</v>
          </cell>
          <cell r="H1900">
            <v>1</v>
          </cell>
        </row>
        <row r="1901">
          <cell r="B1901" t="str">
            <v>SPC500-0729</v>
          </cell>
          <cell r="C1901" t="str">
            <v>Invoice</v>
          </cell>
          <cell r="D1901">
            <v>38615</v>
          </cell>
          <cell r="F1901" t="str">
            <v>7944</v>
          </cell>
          <cell r="G1901" t="str">
            <v>Promotool</v>
          </cell>
          <cell r="H1901">
            <v>1</v>
          </cell>
        </row>
        <row r="1902">
          <cell r="B1902" t="str">
            <v>SPC500-0732</v>
          </cell>
          <cell r="C1902" t="str">
            <v>Invoice</v>
          </cell>
          <cell r="D1902">
            <v>38615</v>
          </cell>
          <cell r="F1902" t="str">
            <v>7944</v>
          </cell>
          <cell r="G1902" t="str">
            <v>Promotool</v>
          </cell>
          <cell r="H1902">
            <v>1</v>
          </cell>
        </row>
        <row r="1903">
          <cell r="B1903" t="str">
            <v>SPC500-0765</v>
          </cell>
          <cell r="C1903" t="str">
            <v>Invoice</v>
          </cell>
          <cell r="D1903">
            <v>38615</v>
          </cell>
          <cell r="F1903" t="str">
            <v>7944</v>
          </cell>
          <cell r="G1903" t="str">
            <v>Promotool</v>
          </cell>
          <cell r="H1903">
            <v>1</v>
          </cell>
        </row>
        <row r="1904">
          <cell r="B1904" t="str">
            <v>SPC500-0766</v>
          </cell>
          <cell r="C1904" t="str">
            <v>Invoice</v>
          </cell>
          <cell r="D1904">
            <v>38467</v>
          </cell>
          <cell r="F1904" t="str">
            <v>6002</v>
          </cell>
          <cell r="G1904" t="str">
            <v>Freedom Station Family Fun Center</v>
          </cell>
          <cell r="H1904">
            <v>1</v>
          </cell>
        </row>
        <row r="1905">
          <cell r="B1905" t="str">
            <v>SPC500-0766</v>
          </cell>
          <cell r="C1905" t="str">
            <v>Invoice</v>
          </cell>
          <cell r="D1905">
            <v>38615</v>
          </cell>
          <cell r="F1905" t="str">
            <v>7944</v>
          </cell>
          <cell r="G1905" t="str">
            <v>Promotool</v>
          </cell>
          <cell r="H1905">
            <v>1</v>
          </cell>
        </row>
        <row r="1906">
          <cell r="B1906" t="str">
            <v>SPC500-0774</v>
          </cell>
          <cell r="C1906" t="str">
            <v>Invoice</v>
          </cell>
          <cell r="D1906">
            <v>38615</v>
          </cell>
          <cell r="F1906" t="str">
            <v>7944</v>
          </cell>
          <cell r="G1906" t="str">
            <v>Promotool</v>
          </cell>
          <cell r="H1906">
            <v>1</v>
          </cell>
        </row>
        <row r="1907">
          <cell r="B1907" t="str">
            <v>SPC500-0780</v>
          </cell>
          <cell r="C1907" t="str">
            <v>Invoice</v>
          </cell>
          <cell r="D1907">
            <v>38421</v>
          </cell>
          <cell r="F1907" t="str">
            <v>5447</v>
          </cell>
          <cell r="G1907" t="str">
            <v>KaBloom-Grand Rapids</v>
          </cell>
          <cell r="H1907">
            <v>1</v>
          </cell>
        </row>
        <row r="1908">
          <cell r="B1908" t="str">
            <v>SPC500-0780</v>
          </cell>
          <cell r="C1908" t="str">
            <v>Invoice</v>
          </cell>
          <cell r="D1908">
            <v>38615</v>
          </cell>
          <cell r="F1908" t="str">
            <v>7944</v>
          </cell>
          <cell r="G1908" t="str">
            <v>Promotool</v>
          </cell>
          <cell r="H1908">
            <v>1</v>
          </cell>
        </row>
        <row r="1909">
          <cell r="B1909" t="str">
            <v>SPC500-0782</v>
          </cell>
          <cell r="C1909" t="str">
            <v>Invoice</v>
          </cell>
          <cell r="D1909">
            <v>38615</v>
          </cell>
          <cell r="F1909" t="str">
            <v>7944</v>
          </cell>
          <cell r="G1909" t="str">
            <v>Promotool</v>
          </cell>
          <cell r="H1909">
            <v>1</v>
          </cell>
        </row>
        <row r="1910">
          <cell r="B1910" t="str">
            <v>SPC500-0783</v>
          </cell>
          <cell r="C1910" t="str">
            <v>Invoice</v>
          </cell>
          <cell r="D1910">
            <v>38566</v>
          </cell>
          <cell r="F1910" t="str">
            <v>7265</v>
          </cell>
          <cell r="G1910" t="str">
            <v>Muzak, LLC:Muzak (Demo)</v>
          </cell>
          <cell r="H1910">
            <v>1</v>
          </cell>
        </row>
        <row r="1911">
          <cell r="B1911" t="str">
            <v>SPC500-0783</v>
          </cell>
          <cell r="C1911" t="str">
            <v>Invoice</v>
          </cell>
          <cell r="D1911">
            <v>38615</v>
          </cell>
          <cell r="F1911" t="str">
            <v>7944</v>
          </cell>
          <cell r="G1911" t="str">
            <v>Promotool</v>
          </cell>
          <cell r="H1911">
            <v>1</v>
          </cell>
        </row>
        <row r="1912">
          <cell r="B1912" t="str">
            <v>SPC500-0783</v>
          </cell>
          <cell r="C1912" t="str">
            <v>Invoice</v>
          </cell>
          <cell r="D1912">
            <v>38623</v>
          </cell>
          <cell r="F1912" t="str">
            <v>8020</v>
          </cell>
          <cell r="G1912" t="str">
            <v>Integer Group, Inc.</v>
          </cell>
          <cell r="H1912">
            <v>1</v>
          </cell>
        </row>
        <row r="1913">
          <cell r="B1913" t="str">
            <v>SPC500-0794</v>
          </cell>
          <cell r="C1913" t="str">
            <v>Invoice</v>
          </cell>
          <cell r="D1913">
            <v>38428</v>
          </cell>
          <cell r="F1913" t="str">
            <v>5469</v>
          </cell>
          <cell r="G1913" t="str">
            <v>Venetian Hotel</v>
          </cell>
          <cell r="H1913">
            <v>1</v>
          </cell>
        </row>
        <row r="1914">
          <cell r="B1914" t="str">
            <v>SPC500-0794</v>
          </cell>
          <cell r="C1914" t="str">
            <v>Invoice</v>
          </cell>
          <cell r="D1914">
            <v>38455</v>
          </cell>
          <cell r="F1914" t="str">
            <v>5600</v>
          </cell>
          <cell r="G1914" t="str">
            <v>Techno Satellite</v>
          </cell>
          <cell r="H1914">
            <v>1</v>
          </cell>
        </row>
        <row r="1915">
          <cell r="B1915" t="str">
            <v>SPC500-0794</v>
          </cell>
          <cell r="C1915" t="str">
            <v>Invoice</v>
          </cell>
          <cell r="D1915">
            <v>38484</v>
          </cell>
          <cell r="F1915" t="str">
            <v>6050</v>
          </cell>
          <cell r="G1915" t="str">
            <v>Digital Tech Frontier</v>
          </cell>
          <cell r="H1915">
            <v>1</v>
          </cell>
        </row>
        <row r="1916">
          <cell r="B1916" t="str">
            <v>SPC500-0794</v>
          </cell>
          <cell r="C1916" t="str">
            <v>Invoice</v>
          </cell>
          <cell r="D1916">
            <v>38495</v>
          </cell>
          <cell r="F1916" t="str">
            <v>6132</v>
          </cell>
          <cell r="G1916" t="str">
            <v>Marketing ex/Unimercator</v>
          </cell>
          <cell r="H1916">
            <v>1</v>
          </cell>
        </row>
        <row r="1917">
          <cell r="B1917" t="str">
            <v>SPC500-0794</v>
          </cell>
          <cell r="C1917" t="str">
            <v>Invoice</v>
          </cell>
          <cell r="D1917">
            <v>38513</v>
          </cell>
          <cell r="F1917" t="str">
            <v>6282</v>
          </cell>
          <cell r="G1917" t="str">
            <v>Le Gourmet Chef</v>
          </cell>
          <cell r="H1917">
            <v>1</v>
          </cell>
        </row>
        <row r="1918">
          <cell r="B1918" t="str">
            <v>SPC500-0794</v>
          </cell>
          <cell r="C1918" t="str">
            <v>Invoice</v>
          </cell>
          <cell r="D1918">
            <v>38523</v>
          </cell>
          <cell r="F1918" t="str">
            <v>6379</v>
          </cell>
          <cell r="G1918" t="str">
            <v>Promotool</v>
          </cell>
          <cell r="H1918">
            <v>1</v>
          </cell>
        </row>
        <row r="1919">
          <cell r="B1919" t="str">
            <v>SPC500-0794</v>
          </cell>
          <cell r="C1919" t="str">
            <v>Invoice</v>
          </cell>
          <cell r="D1919">
            <v>38615</v>
          </cell>
          <cell r="F1919" t="str">
            <v>7944</v>
          </cell>
          <cell r="G1919" t="str">
            <v>Promotool</v>
          </cell>
          <cell r="H1919">
            <v>1</v>
          </cell>
        </row>
        <row r="1920">
          <cell r="B1920" t="str">
            <v>SPC500-0794</v>
          </cell>
          <cell r="C1920" t="str">
            <v>Invoice</v>
          </cell>
          <cell r="D1920">
            <v>38618</v>
          </cell>
          <cell r="F1920" t="str">
            <v>8084</v>
          </cell>
          <cell r="G1920" t="str">
            <v>Webb Scarlett De Vlam</v>
          </cell>
          <cell r="H1920">
            <v>1</v>
          </cell>
        </row>
        <row r="1921">
          <cell r="B1921" t="str">
            <v>SPC500-0794</v>
          </cell>
          <cell r="C1921" t="str">
            <v>Invoice</v>
          </cell>
          <cell r="D1921">
            <v>38629</v>
          </cell>
          <cell r="F1921" t="str">
            <v>8320</v>
          </cell>
          <cell r="G1921" t="str">
            <v>Webb Scarlett De Vlam</v>
          </cell>
          <cell r="H1921">
            <v>1</v>
          </cell>
        </row>
        <row r="1922">
          <cell r="B1922" t="str">
            <v>SPC500-0824</v>
          </cell>
          <cell r="C1922" t="str">
            <v>Invoice</v>
          </cell>
          <cell r="D1922">
            <v>38398</v>
          </cell>
          <cell r="F1922" t="str">
            <v>5320</v>
          </cell>
          <cell r="G1922" t="str">
            <v>ScentAir Australia Pty Ltd.</v>
          </cell>
          <cell r="H1922">
            <v>1</v>
          </cell>
        </row>
        <row r="1923">
          <cell r="B1923" t="str">
            <v>SPC500-0824</v>
          </cell>
          <cell r="C1923" t="str">
            <v>Invoice</v>
          </cell>
          <cell r="D1923">
            <v>38512</v>
          </cell>
          <cell r="F1923" t="str">
            <v>6279</v>
          </cell>
          <cell r="G1923" t="str">
            <v>Promotool</v>
          </cell>
          <cell r="H1923">
            <v>1</v>
          </cell>
        </row>
        <row r="1924">
          <cell r="B1924" t="str">
            <v>SPC500-0824</v>
          </cell>
          <cell r="C1924" t="str">
            <v>Invoice</v>
          </cell>
          <cell r="D1924">
            <v>38583</v>
          </cell>
          <cell r="F1924" t="str">
            <v>7628</v>
          </cell>
          <cell r="G1924" t="str">
            <v>Weyerhaeuser</v>
          </cell>
          <cell r="H1924">
            <v>1</v>
          </cell>
        </row>
        <row r="1925">
          <cell r="B1925" t="str">
            <v>SPC500-0824</v>
          </cell>
          <cell r="C1925" t="str">
            <v>Invoice</v>
          </cell>
          <cell r="D1925">
            <v>38615</v>
          </cell>
          <cell r="F1925" t="str">
            <v>7944</v>
          </cell>
          <cell r="G1925" t="str">
            <v>Promotool</v>
          </cell>
          <cell r="H1925">
            <v>1</v>
          </cell>
        </row>
        <row r="1926">
          <cell r="B1926" t="str">
            <v>SPC500-0825</v>
          </cell>
          <cell r="C1926" t="str">
            <v>Invoice</v>
          </cell>
          <cell r="D1926">
            <v>38398</v>
          </cell>
          <cell r="F1926" t="str">
            <v>5320</v>
          </cell>
          <cell r="G1926" t="str">
            <v>ScentAir Australia Pty Ltd.</v>
          </cell>
          <cell r="H1926">
            <v>1</v>
          </cell>
        </row>
        <row r="1927">
          <cell r="B1927" t="str">
            <v>SPC500-0825</v>
          </cell>
          <cell r="C1927" t="str">
            <v>Invoice</v>
          </cell>
          <cell r="D1927">
            <v>38455</v>
          </cell>
          <cell r="F1927" t="str">
            <v>5600</v>
          </cell>
          <cell r="G1927" t="str">
            <v>Techno Satellite</v>
          </cell>
          <cell r="H1927">
            <v>1</v>
          </cell>
        </row>
        <row r="1928">
          <cell r="B1928" t="str">
            <v>SPC500-0825</v>
          </cell>
          <cell r="C1928" t="str">
            <v>Invoice</v>
          </cell>
          <cell r="D1928">
            <v>38615</v>
          </cell>
          <cell r="F1928" t="str">
            <v>7944</v>
          </cell>
          <cell r="G1928" t="str">
            <v>Promotool</v>
          </cell>
          <cell r="H1928">
            <v>1</v>
          </cell>
        </row>
        <row r="1929">
          <cell r="B1929" t="str">
            <v>SPC500-0828</v>
          </cell>
          <cell r="C1929" t="str">
            <v>Invoice</v>
          </cell>
          <cell r="D1929">
            <v>38467</v>
          </cell>
          <cell r="F1929" t="str">
            <v>6002</v>
          </cell>
          <cell r="G1929" t="str">
            <v>Freedom Station Family Fun Center</v>
          </cell>
          <cell r="H1929">
            <v>1</v>
          </cell>
        </row>
        <row r="1930">
          <cell r="B1930" t="str">
            <v>SPC500-0828</v>
          </cell>
          <cell r="C1930" t="str">
            <v>Invoice</v>
          </cell>
          <cell r="D1930">
            <v>38539</v>
          </cell>
          <cell r="F1930" t="str">
            <v>7083</v>
          </cell>
          <cell r="G1930" t="str">
            <v>LEGOLAND California</v>
          </cell>
          <cell r="H1930">
            <v>1</v>
          </cell>
        </row>
        <row r="1931">
          <cell r="B1931" t="str">
            <v>SPC500-0828</v>
          </cell>
          <cell r="C1931" t="str">
            <v>Invoice</v>
          </cell>
          <cell r="D1931">
            <v>38561</v>
          </cell>
          <cell r="F1931" t="str">
            <v>7197</v>
          </cell>
          <cell r="G1931" t="str">
            <v>Techno Satellite</v>
          </cell>
          <cell r="H1931">
            <v>1</v>
          </cell>
        </row>
        <row r="1932">
          <cell r="B1932" t="str">
            <v>SPC500-0828</v>
          </cell>
          <cell r="C1932" t="str">
            <v>Invoice</v>
          </cell>
          <cell r="D1932">
            <v>38561</v>
          </cell>
          <cell r="F1932" t="str">
            <v>7197</v>
          </cell>
          <cell r="G1932" t="str">
            <v>Techno Satellite</v>
          </cell>
          <cell r="H1932">
            <v>1</v>
          </cell>
        </row>
        <row r="1933">
          <cell r="B1933" t="str">
            <v>SPC500-0828</v>
          </cell>
          <cell r="C1933" t="str">
            <v>Invoice</v>
          </cell>
          <cell r="D1933">
            <v>38615</v>
          </cell>
          <cell r="F1933" t="str">
            <v>7944</v>
          </cell>
          <cell r="G1933" t="str">
            <v>Promotool</v>
          </cell>
          <cell r="H1933">
            <v>1</v>
          </cell>
        </row>
        <row r="1934">
          <cell r="B1934" t="str">
            <v>SPC500-0828</v>
          </cell>
          <cell r="C1934" t="str">
            <v>Invoice</v>
          </cell>
          <cell r="D1934">
            <v>38617</v>
          </cell>
          <cell r="F1934" t="str">
            <v>8065</v>
          </cell>
          <cell r="G1934" t="str">
            <v>Webb Scarlett De Vlam</v>
          </cell>
          <cell r="H1934">
            <v>1</v>
          </cell>
        </row>
        <row r="1935">
          <cell r="B1935" t="str">
            <v>SPC500-0829</v>
          </cell>
          <cell r="C1935" t="str">
            <v>Invoice</v>
          </cell>
          <cell r="D1935">
            <v>38615</v>
          </cell>
          <cell r="F1935" t="str">
            <v>7944</v>
          </cell>
          <cell r="G1935" t="str">
            <v>Promotool</v>
          </cell>
          <cell r="H1935">
            <v>1</v>
          </cell>
        </row>
        <row r="1936">
          <cell r="B1936" t="str">
            <v>SPC500-0831</v>
          </cell>
          <cell r="C1936" t="str">
            <v>Invoice</v>
          </cell>
          <cell r="D1936">
            <v>38467</v>
          </cell>
          <cell r="F1936" t="str">
            <v>6002</v>
          </cell>
          <cell r="G1936" t="str">
            <v>Freedom Station Family Fun Center</v>
          </cell>
          <cell r="H1936">
            <v>1</v>
          </cell>
        </row>
        <row r="1937">
          <cell r="B1937" t="str">
            <v>SPC500-0831</v>
          </cell>
          <cell r="C1937" t="str">
            <v>Invoice</v>
          </cell>
          <cell r="D1937">
            <v>38561</v>
          </cell>
          <cell r="F1937" t="str">
            <v>7197</v>
          </cell>
          <cell r="G1937" t="str">
            <v>Techno Satellite</v>
          </cell>
          <cell r="H1937">
            <v>1</v>
          </cell>
        </row>
        <row r="1938">
          <cell r="B1938" t="str">
            <v>SPC500-0831</v>
          </cell>
          <cell r="C1938" t="str">
            <v>Invoice</v>
          </cell>
          <cell r="D1938">
            <v>38615</v>
          </cell>
          <cell r="F1938" t="str">
            <v>7944</v>
          </cell>
          <cell r="G1938" t="str">
            <v>Promotool</v>
          </cell>
          <cell r="H1938">
            <v>1</v>
          </cell>
        </row>
        <row r="1939">
          <cell r="B1939" t="str">
            <v>SPC500-0832</v>
          </cell>
          <cell r="C1939" t="str">
            <v>Invoice</v>
          </cell>
          <cell r="D1939">
            <v>38615</v>
          </cell>
          <cell r="F1939" t="str">
            <v>7944</v>
          </cell>
          <cell r="G1939" t="str">
            <v>Promotool</v>
          </cell>
          <cell r="H1939">
            <v>1</v>
          </cell>
        </row>
        <row r="1940">
          <cell r="B1940" t="str">
            <v>SPC500-0834</v>
          </cell>
          <cell r="C1940" t="str">
            <v>Invoice</v>
          </cell>
          <cell r="D1940">
            <v>38467</v>
          </cell>
          <cell r="F1940" t="str">
            <v>6002</v>
          </cell>
          <cell r="G1940" t="str">
            <v>Freedom Station Family Fun Center</v>
          </cell>
          <cell r="H1940">
            <v>1</v>
          </cell>
        </row>
        <row r="1941">
          <cell r="B1941" t="str">
            <v>SPC500-0834</v>
          </cell>
          <cell r="C1941" t="str">
            <v>Invoice</v>
          </cell>
          <cell r="D1941">
            <v>38615</v>
          </cell>
          <cell r="F1941" t="str">
            <v>7944</v>
          </cell>
          <cell r="G1941" t="str">
            <v>Promotool</v>
          </cell>
          <cell r="H1941">
            <v>1</v>
          </cell>
        </row>
        <row r="1942">
          <cell r="B1942" t="str">
            <v>SPC500-0836</v>
          </cell>
          <cell r="C1942" t="str">
            <v>Invoice</v>
          </cell>
          <cell r="D1942">
            <v>38447</v>
          </cell>
          <cell r="F1942" t="str">
            <v>5569-I</v>
          </cell>
          <cell r="G1942" t="str">
            <v>Ralph Jones Display</v>
          </cell>
          <cell r="H1942">
            <v>1</v>
          </cell>
        </row>
        <row r="1943">
          <cell r="B1943" t="str">
            <v>SPC500-0836</v>
          </cell>
          <cell r="C1943" t="str">
            <v>Invoice</v>
          </cell>
          <cell r="D1943">
            <v>38615</v>
          </cell>
          <cell r="F1943" t="str">
            <v>7944</v>
          </cell>
          <cell r="G1943" t="str">
            <v>Promotool</v>
          </cell>
          <cell r="H1943">
            <v>1</v>
          </cell>
        </row>
        <row r="1944">
          <cell r="B1944" t="str">
            <v>SPC500-0837</v>
          </cell>
          <cell r="C1944" t="str">
            <v>Invoice</v>
          </cell>
          <cell r="D1944">
            <v>38455</v>
          </cell>
          <cell r="F1944" t="str">
            <v>5600</v>
          </cell>
          <cell r="G1944" t="str">
            <v>Techno Satellite</v>
          </cell>
          <cell r="H1944">
            <v>1</v>
          </cell>
        </row>
        <row r="1945">
          <cell r="B1945" t="str">
            <v>SPC500-0837</v>
          </cell>
          <cell r="C1945" t="str">
            <v>Invoice</v>
          </cell>
          <cell r="D1945">
            <v>38520</v>
          </cell>
          <cell r="F1945" t="str">
            <v>6267</v>
          </cell>
          <cell r="G1945" t="str">
            <v>Techno Satellite</v>
          </cell>
          <cell r="H1945">
            <v>1</v>
          </cell>
        </row>
        <row r="1946">
          <cell r="B1946" t="str">
            <v>SPC500-0837</v>
          </cell>
          <cell r="C1946" t="str">
            <v>Invoice</v>
          </cell>
          <cell r="D1946">
            <v>38614</v>
          </cell>
          <cell r="F1946" t="str">
            <v>7991</v>
          </cell>
          <cell r="G1946" t="str">
            <v>Andrew Snyder Catalyst, Ltd.</v>
          </cell>
          <cell r="H1946">
            <v>1</v>
          </cell>
        </row>
        <row r="1947">
          <cell r="B1947" t="str">
            <v>SPC500-0837</v>
          </cell>
          <cell r="C1947" t="str">
            <v>Invoice</v>
          </cell>
          <cell r="D1947">
            <v>38615</v>
          </cell>
          <cell r="F1947" t="str">
            <v>7944</v>
          </cell>
          <cell r="G1947" t="str">
            <v>Promotool</v>
          </cell>
          <cell r="H1947">
            <v>1</v>
          </cell>
        </row>
        <row r="1948">
          <cell r="B1948" t="str">
            <v>SPC500-0838</v>
          </cell>
          <cell r="C1948" t="str">
            <v>Invoice</v>
          </cell>
          <cell r="D1948">
            <v>38614</v>
          </cell>
          <cell r="F1948" t="str">
            <v>7991</v>
          </cell>
          <cell r="G1948" t="str">
            <v>Andrew Snyder Catalyst, Ltd.</v>
          </cell>
          <cell r="H1948">
            <v>1</v>
          </cell>
        </row>
        <row r="1949">
          <cell r="B1949" t="str">
            <v>SPC500-0838</v>
          </cell>
          <cell r="C1949" t="str">
            <v>Invoice</v>
          </cell>
          <cell r="D1949">
            <v>38615</v>
          </cell>
          <cell r="F1949" t="str">
            <v>7944</v>
          </cell>
          <cell r="G1949" t="str">
            <v>Promotool</v>
          </cell>
          <cell r="H1949">
            <v>1</v>
          </cell>
        </row>
        <row r="1950">
          <cell r="B1950" t="str">
            <v>SPC500-0839</v>
          </cell>
          <cell r="C1950" t="str">
            <v>Invoice</v>
          </cell>
          <cell r="D1950">
            <v>38615</v>
          </cell>
          <cell r="F1950" t="str">
            <v>7944</v>
          </cell>
          <cell r="G1950" t="str">
            <v>Promotool</v>
          </cell>
          <cell r="H1950">
            <v>1</v>
          </cell>
        </row>
        <row r="1951">
          <cell r="B1951" t="str">
            <v>SPC500-0841</v>
          </cell>
          <cell r="C1951" t="str">
            <v>Invoice</v>
          </cell>
          <cell r="D1951">
            <v>38421</v>
          </cell>
          <cell r="F1951" t="str">
            <v>5447</v>
          </cell>
          <cell r="G1951" t="str">
            <v>KaBloom-Grand Rapids</v>
          </cell>
          <cell r="H1951">
            <v>1</v>
          </cell>
        </row>
        <row r="1952">
          <cell r="B1952" t="str">
            <v>SPC500-0846</v>
          </cell>
          <cell r="C1952" t="str">
            <v>Invoice</v>
          </cell>
          <cell r="D1952">
            <v>38467</v>
          </cell>
          <cell r="F1952" t="str">
            <v>6002</v>
          </cell>
          <cell r="G1952" t="str">
            <v>Freedom Station Family Fun Center</v>
          </cell>
          <cell r="H1952">
            <v>1</v>
          </cell>
        </row>
        <row r="1953">
          <cell r="B1953" t="str">
            <v>SPC5000847</v>
          </cell>
          <cell r="C1953" t="str">
            <v>Invoice</v>
          </cell>
          <cell r="D1953">
            <v>38467</v>
          </cell>
          <cell r="F1953" t="str">
            <v>6002</v>
          </cell>
          <cell r="G1953" t="str">
            <v>Freedom Station Family Fun Center</v>
          </cell>
          <cell r="H1953">
            <v>1</v>
          </cell>
        </row>
        <row r="1954">
          <cell r="B1954" t="str">
            <v>SPC5000847</v>
          </cell>
          <cell r="C1954" t="str">
            <v>Invoice</v>
          </cell>
          <cell r="D1954">
            <v>38484</v>
          </cell>
          <cell r="F1954" t="str">
            <v>6050</v>
          </cell>
          <cell r="G1954" t="str">
            <v>Digital Tech Frontier</v>
          </cell>
          <cell r="H1954">
            <v>1</v>
          </cell>
        </row>
        <row r="1955">
          <cell r="B1955" t="str">
            <v>SPC5000847</v>
          </cell>
          <cell r="C1955" t="str">
            <v>Invoice</v>
          </cell>
          <cell r="D1955">
            <v>38485</v>
          </cell>
          <cell r="F1955" t="str">
            <v>6051</v>
          </cell>
          <cell r="G1955" t="str">
            <v>Promotool</v>
          </cell>
          <cell r="H1955">
            <v>1</v>
          </cell>
        </row>
        <row r="1956">
          <cell r="B1956" t="str">
            <v>SPC500-0847</v>
          </cell>
          <cell r="C1956" t="str">
            <v>Invoice</v>
          </cell>
          <cell r="D1956">
            <v>38607</v>
          </cell>
          <cell r="F1956" t="str">
            <v>7890</v>
          </cell>
          <cell r="G1956" t="str">
            <v>ScentAir Australia Pty Ltd.</v>
          </cell>
          <cell r="H1956">
            <v>1</v>
          </cell>
        </row>
        <row r="1957">
          <cell r="B1957" t="str">
            <v>SPC500-0847</v>
          </cell>
          <cell r="C1957" t="str">
            <v>Invoice</v>
          </cell>
          <cell r="D1957">
            <v>38615</v>
          </cell>
          <cell r="F1957" t="str">
            <v>7944</v>
          </cell>
          <cell r="G1957" t="str">
            <v>Promotool</v>
          </cell>
          <cell r="H1957">
            <v>1</v>
          </cell>
        </row>
        <row r="1958">
          <cell r="B1958" t="str">
            <v>SPC500-0848</v>
          </cell>
          <cell r="C1958" t="str">
            <v>Invoice</v>
          </cell>
          <cell r="D1958">
            <v>38530</v>
          </cell>
          <cell r="F1958" t="str">
            <v>6404</v>
          </cell>
          <cell r="G1958" t="str">
            <v>KaBloom - Gainesville</v>
          </cell>
          <cell r="H1958">
            <v>1</v>
          </cell>
        </row>
        <row r="1959">
          <cell r="B1959" t="str">
            <v>SPC500-0848</v>
          </cell>
          <cell r="C1959" t="str">
            <v>Invoice</v>
          </cell>
          <cell r="D1959">
            <v>38615</v>
          </cell>
          <cell r="F1959" t="str">
            <v>7944</v>
          </cell>
          <cell r="G1959" t="str">
            <v>Promotool</v>
          </cell>
          <cell r="H1959">
            <v>1</v>
          </cell>
        </row>
        <row r="1960">
          <cell r="B1960" t="str">
            <v>SPC500-0849</v>
          </cell>
          <cell r="C1960" t="str">
            <v>Invoice</v>
          </cell>
          <cell r="D1960">
            <v>38614</v>
          </cell>
          <cell r="F1960" t="str">
            <v>7991</v>
          </cell>
          <cell r="G1960" t="str">
            <v>Andrew Snyder Catalyst, Ltd.</v>
          </cell>
          <cell r="H1960">
            <v>1</v>
          </cell>
        </row>
        <row r="1961">
          <cell r="B1961" t="str">
            <v>SPC500-0849</v>
          </cell>
          <cell r="C1961" t="str">
            <v>Invoice</v>
          </cell>
          <cell r="D1961">
            <v>38615</v>
          </cell>
          <cell r="F1961" t="str">
            <v>7944</v>
          </cell>
          <cell r="G1961" t="str">
            <v>Promotool</v>
          </cell>
          <cell r="H1961">
            <v>1</v>
          </cell>
        </row>
        <row r="1962">
          <cell r="B1962" t="str">
            <v>SPC500-0851</v>
          </cell>
          <cell r="C1962" t="str">
            <v>Invoice</v>
          </cell>
          <cell r="D1962">
            <v>38461</v>
          </cell>
          <cell r="F1962" t="str">
            <v>5692</v>
          </cell>
          <cell r="G1962" t="str">
            <v>Mattel</v>
          </cell>
          <cell r="H1962">
            <v>1</v>
          </cell>
        </row>
        <row r="1963">
          <cell r="B1963" t="str">
            <v>SPC500-0851</v>
          </cell>
          <cell r="C1963" t="str">
            <v>Invoice</v>
          </cell>
          <cell r="D1963">
            <v>38520</v>
          </cell>
          <cell r="F1963" t="str">
            <v>6267</v>
          </cell>
          <cell r="G1963" t="str">
            <v>Techno Satellite</v>
          </cell>
          <cell r="H1963">
            <v>1</v>
          </cell>
        </row>
        <row r="1964">
          <cell r="B1964" t="str">
            <v>SPC500-0851</v>
          </cell>
          <cell r="C1964" t="str">
            <v>Invoice</v>
          </cell>
          <cell r="D1964">
            <v>38615</v>
          </cell>
          <cell r="F1964" t="str">
            <v>7944</v>
          </cell>
          <cell r="G1964" t="str">
            <v>Promotool</v>
          </cell>
          <cell r="H1964">
            <v>1</v>
          </cell>
        </row>
        <row r="1965">
          <cell r="B1965" t="str">
            <v>SPC500-0854</v>
          </cell>
          <cell r="C1965" t="str">
            <v>Invoice</v>
          </cell>
          <cell r="D1965">
            <v>38398</v>
          </cell>
          <cell r="F1965" t="str">
            <v>5320</v>
          </cell>
          <cell r="G1965" t="str">
            <v>ScentAir Australia Pty Ltd.</v>
          </cell>
          <cell r="H1965">
            <v>1</v>
          </cell>
        </row>
        <row r="1966">
          <cell r="B1966" t="str">
            <v>SPC500-0854</v>
          </cell>
          <cell r="C1966" t="str">
            <v>Invoice</v>
          </cell>
          <cell r="D1966">
            <v>38615</v>
          </cell>
          <cell r="F1966" t="str">
            <v>7944</v>
          </cell>
          <cell r="G1966" t="str">
            <v>Promotool</v>
          </cell>
          <cell r="H1966">
            <v>1</v>
          </cell>
        </row>
        <row r="1967">
          <cell r="B1967" t="str">
            <v>SPC500-0859</v>
          </cell>
          <cell r="C1967" t="str">
            <v>Invoice</v>
          </cell>
          <cell r="D1967">
            <v>38615</v>
          </cell>
          <cell r="F1967" t="str">
            <v>7944</v>
          </cell>
          <cell r="G1967" t="str">
            <v>Promotool</v>
          </cell>
          <cell r="H1967">
            <v>1</v>
          </cell>
        </row>
        <row r="1968">
          <cell r="B1968" t="str">
            <v>SPC500-0860</v>
          </cell>
          <cell r="C1968" t="str">
            <v>Invoice</v>
          </cell>
          <cell r="D1968">
            <v>38455</v>
          </cell>
          <cell r="F1968" t="str">
            <v>5600</v>
          </cell>
          <cell r="G1968" t="str">
            <v>Techno Satellite</v>
          </cell>
          <cell r="H1968">
            <v>1</v>
          </cell>
        </row>
        <row r="1969">
          <cell r="B1969" t="str">
            <v>SPC500-0860</v>
          </cell>
          <cell r="C1969" t="str">
            <v>Invoice</v>
          </cell>
          <cell r="D1969">
            <v>38615</v>
          </cell>
          <cell r="F1969" t="str">
            <v>7944</v>
          </cell>
          <cell r="G1969" t="str">
            <v>Promotool</v>
          </cell>
          <cell r="H1969">
            <v>1</v>
          </cell>
        </row>
        <row r="1970">
          <cell r="B1970" t="str">
            <v>SPC500-0861</v>
          </cell>
          <cell r="C1970" t="str">
            <v>Invoice</v>
          </cell>
          <cell r="D1970">
            <v>38520</v>
          </cell>
          <cell r="F1970" t="str">
            <v>6267</v>
          </cell>
          <cell r="G1970" t="str">
            <v>Techno Satellite</v>
          </cell>
          <cell r="H1970">
            <v>1</v>
          </cell>
        </row>
        <row r="1971">
          <cell r="B1971" t="str">
            <v>SPC500-0861</v>
          </cell>
          <cell r="C1971" t="str">
            <v>Invoice</v>
          </cell>
          <cell r="D1971">
            <v>38615</v>
          </cell>
          <cell r="F1971" t="str">
            <v>7944</v>
          </cell>
          <cell r="G1971" t="str">
            <v>Promotool</v>
          </cell>
          <cell r="H1971">
            <v>1</v>
          </cell>
        </row>
        <row r="1972">
          <cell r="B1972" t="str">
            <v>SPC500-0862</v>
          </cell>
          <cell r="C1972" t="str">
            <v>Invoice</v>
          </cell>
          <cell r="D1972">
            <v>38615</v>
          </cell>
          <cell r="F1972" t="str">
            <v>7944</v>
          </cell>
          <cell r="G1972" t="str">
            <v>Promotool</v>
          </cell>
          <cell r="H1972">
            <v>1</v>
          </cell>
        </row>
        <row r="1973">
          <cell r="B1973" t="str">
            <v>SPC500-0864</v>
          </cell>
          <cell r="C1973" t="str">
            <v>Invoice</v>
          </cell>
          <cell r="D1973">
            <v>38615</v>
          </cell>
          <cell r="F1973" t="str">
            <v>7944</v>
          </cell>
          <cell r="G1973" t="str">
            <v>Promotool</v>
          </cell>
          <cell r="H1973">
            <v>1</v>
          </cell>
        </row>
        <row r="1974">
          <cell r="B1974" t="str">
            <v>SPC500-0869</v>
          </cell>
          <cell r="C1974" t="str">
            <v>Invoice</v>
          </cell>
          <cell r="D1974">
            <v>38422</v>
          </cell>
          <cell r="F1974" t="str">
            <v>5427</v>
          </cell>
          <cell r="G1974" t="str">
            <v>Innomark Communications</v>
          </cell>
          <cell r="H1974">
            <v>1</v>
          </cell>
        </row>
        <row r="1975">
          <cell r="B1975" t="str">
            <v>SPC500-0869</v>
          </cell>
          <cell r="C1975" t="str">
            <v>Invoice</v>
          </cell>
          <cell r="D1975">
            <v>38615</v>
          </cell>
          <cell r="F1975" t="str">
            <v>7944</v>
          </cell>
          <cell r="G1975" t="str">
            <v>Promotool</v>
          </cell>
          <cell r="H1975">
            <v>1</v>
          </cell>
        </row>
        <row r="1976">
          <cell r="B1976" t="str">
            <v>SPC500-0871</v>
          </cell>
          <cell r="C1976" t="str">
            <v>Invoice</v>
          </cell>
          <cell r="D1976">
            <v>38615</v>
          </cell>
          <cell r="F1976" t="str">
            <v>7944</v>
          </cell>
          <cell r="G1976" t="str">
            <v>Promotool</v>
          </cell>
          <cell r="H1976">
            <v>1</v>
          </cell>
        </row>
        <row r="1977">
          <cell r="B1977" t="str">
            <v>SPC500-0873</v>
          </cell>
          <cell r="C1977" t="str">
            <v>Invoice</v>
          </cell>
          <cell r="D1977">
            <v>38398</v>
          </cell>
          <cell r="F1977" t="str">
            <v>5320</v>
          </cell>
          <cell r="G1977" t="str">
            <v>ScentAir Australia Pty Ltd.</v>
          </cell>
          <cell r="H1977">
            <v>1</v>
          </cell>
        </row>
        <row r="1978">
          <cell r="B1978" t="str">
            <v>SPC500-0873</v>
          </cell>
          <cell r="C1978" t="str">
            <v>Invoice</v>
          </cell>
          <cell r="D1978">
            <v>38467</v>
          </cell>
          <cell r="F1978" t="str">
            <v>6002</v>
          </cell>
          <cell r="G1978" t="str">
            <v>Freedom Station Family Fun Center</v>
          </cell>
          <cell r="H1978">
            <v>1</v>
          </cell>
        </row>
        <row r="1979">
          <cell r="B1979" t="str">
            <v>SPC500-0873</v>
          </cell>
          <cell r="C1979" t="str">
            <v>Invoice</v>
          </cell>
          <cell r="D1979">
            <v>38512</v>
          </cell>
          <cell r="F1979" t="str">
            <v>6279</v>
          </cell>
          <cell r="G1979" t="str">
            <v>Promotool</v>
          </cell>
          <cell r="H1979">
            <v>1</v>
          </cell>
        </row>
        <row r="1980">
          <cell r="B1980" t="str">
            <v>SPC500-0873</v>
          </cell>
          <cell r="C1980" t="str">
            <v>Invoice</v>
          </cell>
          <cell r="D1980">
            <v>38615</v>
          </cell>
          <cell r="F1980" t="str">
            <v>7944</v>
          </cell>
          <cell r="G1980" t="str">
            <v>Promotool</v>
          </cell>
          <cell r="H1980">
            <v>1</v>
          </cell>
        </row>
        <row r="1981">
          <cell r="B1981" t="str">
            <v>SPC500-0877</v>
          </cell>
          <cell r="C1981" t="str">
            <v>Invoice</v>
          </cell>
          <cell r="D1981">
            <v>38467</v>
          </cell>
          <cell r="F1981" t="str">
            <v>6002</v>
          </cell>
          <cell r="G1981" t="str">
            <v>Freedom Station Family Fun Center</v>
          </cell>
          <cell r="H1981">
            <v>1</v>
          </cell>
        </row>
        <row r="1982">
          <cell r="B1982" t="str">
            <v>SPC500-0877</v>
          </cell>
          <cell r="C1982" t="str">
            <v>Invoice</v>
          </cell>
          <cell r="D1982">
            <v>38615</v>
          </cell>
          <cell r="F1982" t="str">
            <v>7944</v>
          </cell>
          <cell r="G1982" t="str">
            <v>Promotool</v>
          </cell>
          <cell r="H1982">
            <v>1</v>
          </cell>
        </row>
        <row r="1983">
          <cell r="B1983" t="str">
            <v>SPC500-0887</v>
          </cell>
          <cell r="C1983" t="str">
            <v>Invoice</v>
          </cell>
          <cell r="D1983">
            <v>38615</v>
          </cell>
          <cell r="F1983" t="str">
            <v>7944</v>
          </cell>
          <cell r="G1983" t="str">
            <v>Promotool</v>
          </cell>
          <cell r="H1983">
            <v>1</v>
          </cell>
        </row>
        <row r="1984">
          <cell r="B1984" t="str">
            <v>SPC500-0888</v>
          </cell>
          <cell r="C1984" t="str">
            <v>Invoice</v>
          </cell>
          <cell r="D1984">
            <v>38615</v>
          </cell>
          <cell r="F1984" t="str">
            <v>7944</v>
          </cell>
          <cell r="G1984" t="str">
            <v>Promotool</v>
          </cell>
          <cell r="H1984">
            <v>1</v>
          </cell>
        </row>
        <row r="1985">
          <cell r="B1985" t="str">
            <v>SPC500-0892</v>
          </cell>
          <cell r="C1985" t="str">
            <v>Invoice</v>
          </cell>
          <cell r="D1985">
            <v>38615</v>
          </cell>
          <cell r="F1985" t="str">
            <v>7944</v>
          </cell>
          <cell r="G1985" t="str">
            <v>Promotool</v>
          </cell>
          <cell r="H1985">
            <v>1</v>
          </cell>
        </row>
        <row r="1986">
          <cell r="B1986" t="str">
            <v>SPC500-0894</v>
          </cell>
          <cell r="C1986" t="str">
            <v>Invoice</v>
          </cell>
          <cell r="D1986">
            <v>38615</v>
          </cell>
          <cell r="F1986" t="str">
            <v>7944</v>
          </cell>
          <cell r="G1986" t="str">
            <v>Promotool</v>
          </cell>
          <cell r="H1986">
            <v>1</v>
          </cell>
        </row>
        <row r="1987">
          <cell r="B1987" t="str">
            <v>SPC500-0895</v>
          </cell>
          <cell r="C1987" t="str">
            <v>Invoice</v>
          </cell>
          <cell r="D1987">
            <v>38484</v>
          </cell>
          <cell r="F1987" t="str">
            <v>6050</v>
          </cell>
          <cell r="G1987" t="str">
            <v>Digital Tech Frontier</v>
          </cell>
          <cell r="H1987">
            <v>1</v>
          </cell>
        </row>
        <row r="1988">
          <cell r="B1988" t="str">
            <v>SPC500-0895</v>
          </cell>
          <cell r="C1988" t="str">
            <v>Invoice</v>
          </cell>
          <cell r="D1988">
            <v>38615</v>
          </cell>
          <cell r="F1988" t="str">
            <v>7944</v>
          </cell>
          <cell r="G1988" t="str">
            <v>Promotool</v>
          </cell>
          <cell r="H1988">
            <v>1</v>
          </cell>
        </row>
        <row r="1989">
          <cell r="B1989" t="str">
            <v>SPC500-0897</v>
          </cell>
          <cell r="C1989" t="str">
            <v>Invoice</v>
          </cell>
          <cell r="D1989">
            <v>38530</v>
          </cell>
          <cell r="F1989" t="str">
            <v>6404</v>
          </cell>
          <cell r="G1989" t="str">
            <v>KaBloom - Gainesville</v>
          </cell>
          <cell r="H1989">
            <v>1</v>
          </cell>
        </row>
        <row r="1990">
          <cell r="B1990" t="str">
            <v>SPC500-0897</v>
          </cell>
          <cell r="C1990" t="str">
            <v>Invoice</v>
          </cell>
          <cell r="D1990">
            <v>38615</v>
          </cell>
          <cell r="F1990" t="str">
            <v>7944</v>
          </cell>
          <cell r="G1990" t="str">
            <v>Promotool</v>
          </cell>
          <cell r="H1990">
            <v>1</v>
          </cell>
        </row>
        <row r="1991">
          <cell r="B1991" t="str">
            <v>SPC500-0909</v>
          </cell>
          <cell r="C1991" t="str">
            <v>Invoice</v>
          </cell>
          <cell r="D1991">
            <v>38447</v>
          </cell>
          <cell r="F1991" t="str">
            <v>5569-I</v>
          </cell>
          <cell r="G1991" t="str">
            <v>Ralph Jones Display</v>
          </cell>
          <cell r="H1991">
            <v>1</v>
          </cell>
        </row>
        <row r="1992">
          <cell r="B1992" t="str">
            <v>SPC500-0909</v>
          </cell>
          <cell r="C1992" t="str">
            <v>Invoice</v>
          </cell>
          <cell r="D1992">
            <v>38615</v>
          </cell>
          <cell r="F1992" t="str">
            <v>7944</v>
          </cell>
          <cell r="G1992" t="str">
            <v>Promotool</v>
          </cell>
          <cell r="H1992">
            <v>1</v>
          </cell>
        </row>
        <row r="1993">
          <cell r="B1993" t="str">
            <v>SPC500-0912</v>
          </cell>
          <cell r="C1993" t="str">
            <v>Invoice</v>
          </cell>
          <cell r="D1993">
            <v>38485</v>
          </cell>
          <cell r="F1993" t="str">
            <v>6051</v>
          </cell>
          <cell r="G1993" t="str">
            <v>Promotool</v>
          </cell>
          <cell r="H1993">
            <v>1</v>
          </cell>
        </row>
        <row r="1994">
          <cell r="B1994" t="str">
            <v>SPC500-0913</v>
          </cell>
          <cell r="C1994" t="str">
            <v>Invoice</v>
          </cell>
          <cell r="D1994">
            <v>38484</v>
          </cell>
          <cell r="F1994" t="str">
            <v>6050</v>
          </cell>
          <cell r="G1994" t="str">
            <v>Digital Tech Frontier</v>
          </cell>
          <cell r="H1994">
            <v>1</v>
          </cell>
        </row>
        <row r="1995">
          <cell r="B1995" t="str">
            <v>SPC500-0913</v>
          </cell>
          <cell r="C1995" t="str">
            <v>Invoice</v>
          </cell>
          <cell r="D1995">
            <v>38510</v>
          </cell>
          <cell r="F1995" t="str">
            <v>6264</v>
          </cell>
          <cell r="G1995" t="str">
            <v>Muzak, LLC:Muzak (Demo)</v>
          </cell>
          <cell r="H1995">
            <v>1</v>
          </cell>
        </row>
        <row r="1996">
          <cell r="B1996" t="str">
            <v>SPC500-0913</v>
          </cell>
          <cell r="C1996" t="str">
            <v>Invoice</v>
          </cell>
          <cell r="D1996">
            <v>38513</v>
          </cell>
          <cell r="F1996" t="str">
            <v>6282</v>
          </cell>
          <cell r="G1996" t="str">
            <v>Le Gourmet Chef</v>
          </cell>
          <cell r="H1996">
            <v>1</v>
          </cell>
        </row>
        <row r="1997">
          <cell r="B1997" t="str">
            <v>SPC500-0913</v>
          </cell>
          <cell r="C1997" t="str">
            <v>Invoice</v>
          </cell>
          <cell r="D1997">
            <v>38524</v>
          </cell>
          <cell r="F1997" t="str">
            <v>6401</v>
          </cell>
          <cell r="G1997" t="str">
            <v>Techno Satellite</v>
          </cell>
          <cell r="H1997">
            <v>1</v>
          </cell>
        </row>
        <row r="1998">
          <cell r="B1998" t="str">
            <v>SPC500-0913</v>
          </cell>
          <cell r="C1998" t="str">
            <v>Invoice</v>
          </cell>
          <cell r="D1998">
            <v>38566</v>
          </cell>
          <cell r="F1998" t="str">
            <v>7265</v>
          </cell>
          <cell r="G1998" t="str">
            <v>Muzak, LLC:Muzak (Demo)</v>
          </cell>
          <cell r="H1998">
            <v>1</v>
          </cell>
        </row>
        <row r="1999">
          <cell r="B1999" t="str">
            <v>SPC500-0913</v>
          </cell>
          <cell r="C1999" t="str">
            <v>Invoice</v>
          </cell>
          <cell r="D1999">
            <v>38615</v>
          </cell>
          <cell r="F1999" t="str">
            <v>7944</v>
          </cell>
          <cell r="G1999" t="str">
            <v>Promotool</v>
          </cell>
          <cell r="H1999">
            <v>1</v>
          </cell>
        </row>
        <row r="2000">
          <cell r="B2000" t="str">
            <v>SPC500-0919</v>
          </cell>
          <cell r="C2000" t="str">
            <v>Invoice</v>
          </cell>
          <cell r="D2000">
            <v>38615</v>
          </cell>
          <cell r="F2000" t="str">
            <v>7944</v>
          </cell>
          <cell r="G2000" t="str">
            <v>Promotool</v>
          </cell>
          <cell r="H2000">
            <v>1</v>
          </cell>
        </row>
        <row r="2001">
          <cell r="B2001" t="str">
            <v>SPC500-0920</v>
          </cell>
          <cell r="C2001" t="str">
            <v>Invoice</v>
          </cell>
          <cell r="D2001">
            <v>38615</v>
          </cell>
          <cell r="F2001" t="str">
            <v>7944</v>
          </cell>
          <cell r="G2001" t="str">
            <v>Promotool</v>
          </cell>
          <cell r="H2001">
            <v>1</v>
          </cell>
        </row>
        <row r="2002">
          <cell r="B2002" t="str">
            <v>SPC500-0928</v>
          </cell>
          <cell r="C2002" t="str">
            <v>Invoice</v>
          </cell>
          <cell r="D2002">
            <v>38615</v>
          </cell>
          <cell r="F2002" t="str">
            <v>7944</v>
          </cell>
          <cell r="G2002" t="str">
            <v>Promotool</v>
          </cell>
          <cell r="H2002">
            <v>1</v>
          </cell>
        </row>
        <row r="2003">
          <cell r="B2003" t="str">
            <v>SPC500-0929</v>
          </cell>
          <cell r="C2003" t="str">
            <v>Invoice</v>
          </cell>
          <cell r="D2003">
            <v>38467</v>
          </cell>
          <cell r="F2003" t="str">
            <v>6002</v>
          </cell>
          <cell r="G2003" t="str">
            <v>Freedom Station Family Fun Center</v>
          </cell>
          <cell r="H2003">
            <v>1</v>
          </cell>
        </row>
        <row r="2004">
          <cell r="B2004" t="str">
            <v>SPC500-0929</v>
          </cell>
          <cell r="C2004" t="str">
            <v>Invoice</v>
          </cell>
          <cell r="D2004">
            <v>38512</v>
          </cell>
          <cell r="F2004" t="str">
            <v>6279</v>
          </cell>
          <cell r="G2004" t="str">
            <v>Promotool</v>
          </cell>
          <cell r="H2004">
            <v>1</v>
          </cell>
        </row>
        <row r="2005">
          <cell r="B2005" t="str">
            <v>SPC500-0929</v>
          </cell>
          <cell r="C2005" t="str">
            <v>Invoice</v>
          </cell>
          <cell r="D2005">
            <v>38520</v>
          </cell>
          <cell r="F2005" t="str">
            <v>6267</v>
          </cell>
          <cell r="G2005" t="str">
            <v>Techno Satellite</v>
          </cell>
          <cell r="H2005">
            <v>1</v>
          </cell>
        </row>
        <row r="2006">
          <cell r="B2006" t="str">
            <v>SPC500-0929</v>
          </cell>
          <cell r="C2006" t="str">
            <v>Invoice</v>
          </cell>
          <cell r="D2006">
            <v>38615</v>
          </cell>
          <cell r="F2006" t="str">
            <v>7944</v>
          </cell>
          <cell r="G2006" t="str">
            <v>Promotool</v>
          </cell>
          <cell r="H2006">
            <v>1</v>
          </cell>
        </row>
        <row r="2007">
          <cell r="B2007" t="str">
            <v>SPC500-0941</v>
          </cell>
          <cell r="C2007" t="str">
            <v>Invoice</v>
          </cell>
          <cell r="D2007">
            <v>38615</v>
          </cell>
          <cell r="F2007" t="str">
            <v>7944</v>
          </cell>
          <cell r="G2007" t="str">
            <v>Promotool</v>
          </cell>
          <cell r="H2007">
            <v>1</v>
          </cell>
        </row>
        <row r="2008">
          <cell r="B2008" t="str">
            <v>SPC500-0946</v>
          </cell>
          <cell r="C2008" t="str">
            <v>Invoice</v>
          </cell>
          <cell r="D2008">
            <v>38467</v>
          </cell>
          <cell r="F2008" t="str">
            <v>6002</v>
          </cell>
          <cell r="G2008" t="str">
            <v>Freedom Station Family Fun Center</v>
          </cell>
          <cell r="H2008">
            <v>1</v>
          </cell>
        </row>
        <row r="2009">
          <cell r="B2009" t="str">
            <v>SPC500-0946</v>
          </cell>
          <cell r="C2009" t="str">
            <v>Invoice</v>
          </cell>
          <cell r="D2009">
            <v>38615</v>
          </cell>
          <cell r="F2009" t="str">
            <v>7944</v>
          </cell>
          <cell r="G2009" t="str">
            <v>Promotool</v>
          </cell>
          <cell r="H2009">
            <v>1</v>
          </cell>
        </row>
        <row r="2010">
          <cell r="B2010" t="str">
            <v>SPC500-0947</v>
          </cell>
          <cell r="C2010" t="str">
            <v>Invoice</v>
          </cell>
          <cell r="D2010">
            <v>38491</v>
          </cell>
          <cell r="F2010" t="str">
            <v>6079</v>
          </cell>
          <cell r="G2010" t="str">
            <v>Digital Tech Frontier</v>
          </cell>
          <cell r="H2010">
            <v>1</v>
          </cell>
        </row>
        <row r="2011">
          <cell r="B2011" t="str">
            <v>SPC500-0947</v>
          </cell>
          <cell r="C2011" t="str">
            <v>Invoice</v>
          </cell>
          <cell r="D2011">
            <v>38615</v>
          </cell>
          <cell r="F2011" t="str">
            <v>7944</v>
          </cell>
          <cell r="G2011" t="str">
            <v>Promotool</v>
          </cell>
          <cell r="H2011">
            <v>1</v>
          </cell>
        </row>
        <row r="2012">
          <cell r="B2012" t="str">
            <v>SPC500-0950</v>
          </cell>
          <cell r="C2012" t="str">
            <v>Invoice</v>
          </cell>
          <cell r="D2012">
            <v>38615</v>
          </cell>
          <cell r="F2012" t="str">
            <v>7944</v>
          </cell>
          <cell r="G2012" t="str">
            <v>Promotool</v>
          </cell>
          <cell r="H2012">
            <v>1</v>
          </cell>
        </row>
        <row r="2013">
          <cell r="B2013" t="str">
            <v>SPC500-0953</v>
          </cell>
          <cell r="C2013" t="str">
            <v>Invoice</v>
          </cell>
          <cell r="D2013">
            <v>38615</v>
          </cell>
          <cell r="F2013" t="str">
            <v>7944</v>
          </cell>
          <cell r="G2013" t="str">
            <v>Promotool</v>
          </cell>
          <cell r="H2013">
            <v>1</v>
          </cell>
        </row>
        <row r="2014">
          <cell r="B2014" t="str">
            <v>SPC500-0956</v>
          </cell>
          <cell r="C2014" t="str">
            <v>Invoice</v>
          </cell>
          <cell r="D2014">
            <v>38447</v>
          </cell>
          <cell r="F2014" t="str">
            <v>5569-I</v>
          </cell>
          <cell r="G2014" t="str">
            <v>Ralph Jones Display</v>
          </cell>
          <cell r="H2014">
            <v>1</v>
          </cell>
        </row>
        <row r="2015">
          <cell r="B2015" t="str">
            <v>SPC500-0956</v>
          </cell>
          <cell r="C2015" t="str">
            <v>Invoice</v>
          </cell>
          <cell r="D2015">
            <v>38484</v>
          </cell>
          <cell r="F2015" t="str">
            <v>6050</v>
          </cell>
          <cell r="G2015" t="str">
            <v>Digital Tech Frontier</v>
          </cell>
          <cell r="H2015">
            <v>1</v>
          </cell>
        </row>
        <row r="2016">
          <cell r="B2016" t="str">
            <v>SPC500-0956</v>
          </cell>
          <cell r="C2016" t="str">
            <v>Invoice</v>
          </cell>
          <cell r="D2016">
            <v>38615</v>
          </cell>
          <cell r="F2016" t="str">
            <v>7944</v>
          </cell>
          <cell r="G2016" t="str">
            <v>Promotool</v>
          </cell>
          <cell r="H2016">
            <v>1</v>
          </cell>
        </row>
        <row r="2017">
          <cell r="B2017" t="str">
            <v>SPC500-0960</v>
          </cell>
          <cell r="C2017" t="str">
            <v>Invoice</v>
          </cell>
          <cell r="D2017">
            <v>38615</v>
          </cell>
          <cell r="F2017" t="str">
            <v>7944</v>
          </cell>
          <cell r="G2017" t="str">
            <v>Promotool</v>
          </cell>
          <cell r="H2017">
            <v>1</v>
          </cell>
        </row>
        <row r="2018">
          <cell r="B2018" t="str">
            <v>SPC500-0961</v>
          </cell>
          <cell r="C2018" t="str">
            <v>Invoice</v>
          </cell>
          <cell r="D2018">
            <v>38520</v>
          </cell>
          <cell r="F2018" t="str">
            <v>6267</v>
          </cell>
          <cell r="G2018" t="str">
            <v>Techno Satellite</v>
          </cell>
          <cell r="H2018">
            <v>1</v>
          </cell>
        </row>
        <row r="2019">
          <cell r="B2019" t="str">
            <v>SPC500-0961</v>
          </cell>
          <cell r="C2019" t="str">
            <v>Invoice</v>
          </cell>
          <cell r="D2019">
            <v>38615</v>
          </cell>
          <cell r="F2019" t="str">
            <v>7944</v>
          </cell>
          <cell r="G2019" t="str">
            <v>Promotool</v>
          </cell>
          <cell r="H2019">
            <v>1</v>
          </cell>
        </row>
        <row r="2020">
          <cell r="B2020" t="str">
            <v>SPC500-0962</v>
          </cell>
          <cell r="C2020" t="str">
            <v>Invoice</v>
          </cell>
          <cell r="D2020">
            <v>38512</v>
          </cell>
          <cell r="F2020" t="str">
            <v>6279</v>
          </cell>
          <cell r="G2020" t="str">
            <v>Promotool</v>
          </cell>
          <cell r="H2020">
            <v>1</v>
          </cell>
        </row>
        <row r="2021">
          <cell r="B2021" t="str">
            <v>SPC500-0962</v>
          </cell>
          <cell r="C2021" t="str">
            <v>Invoice</v>
          </cell>
          <cell r="D2021">
            <v>38615</v>
          </cell>
          <cell r="F2021" t="str">
            <v>7944</v>
          </cell>
          <cell r="G2021" t="str">
            <v>Promotool</v>
          </cell>
          <cell r="H2021">
            <v>1</v>
          </cell>
        </row>
        <row r="2022">
          <cell r="B2022" t="str">
            <v>SPC500-0963</v>
          </cell>
          <cell r="C2022" t="str">
            <v>Invoice</v>
          </cell>
          <cell r="D2022">
            <v>38539</v>
          </cell>
          <cell r="F2022" t="str">
            <v>7083</v>
          </cell>
          <cell r="G2022" t="str">
            <v>LEGOLAND California</v>
          </cell>
          <cell r="H2022">
            <v>1</v>
          </cell>
        </row>
        <row r="2023">
          <cell r="B2023" t="str">
            <v>SPC500-0963</v>
          </cell>
          <cell r="C2023" t="str">
            <v>Invoice</v>
          </cell>
          <cell r="D2023">
            <v>38615</v>
          </cell>
          <cell r="F2023" t="str">
            <v>7944</v>
          </cell>
          <cell r="G2023" t="str">
            <v>Promotool</v>
          </cell>
          <cell r="H2023">
            <v>1</v>
          </cell>
        </row>
        <row r="2024">
          <cell r="B2024" t="str">
            <v>SPC500-0964</v>
          </cell>
          <cell r="C2024" t="str">
            <v>Invoice</v>
          </cell>
          <cell r="D2024">
            <v>38615</v>
          </cell>
          <cell r="F2024" t="str">
            <v>7944</v>
          </cell>
          <cell r="G2024" t="str">
            <v>Promotool</v>
          </cell>
          <cell r="H2024">
            <v>1</v>
          </cell>
        </row>
        <row r="2025">
          <cell r="B2025" t="str">
            <v>SPC500-0976</v>
          </cell>
          <cell r="C2025" t="str">
            <v>Invoice</v>
          </cell>
          <cell r="D2025">
            <v>38447</v>
          </cell>
          <cell r="F2025" t="str">
            <v>5569-I</v>
          </cell>
          <cell r="G2025" t="str">
            <v>Ralph Jones Display</v>
          </cell>
          <cell r="H2025">
            <v>1</v>
          </cell>
        </row>
        <row r="2026">
          <cell r="B2026" t="str">
            <v>SPC500-0976</v>
          </cell>
          <cell r="C2026" t="str">
            <v>Invoice</v>
          </cell>
          <cell r="D2026">
            <v>38615</v>
          </cell>
          <cell r="F2026" t="str">
            <v>7944</v>
          </cell>
          <cell r="G2026" t="str">
            <v>Promotool</v>
          </cell>
          <cell r="H2026">
            <v>1</v>
          </cell>
        </row>
        <row r="2027">
          <cell r="B2027" t="str">
            <v>SPC500-0978</v>
          </cell>
          <cell r="C2027" t="str">
            <v>Invoice</v>
          </cell>
          <cell r="D2027">
            <v>38615</v>
          </cell>
          <cell r="F2027" t="str">
            <v>7944</v>
          </cell>
          <cell r="G2027" t="str">
            <v>Promotool</v>
          </cell>
          <cell r="H2027">
            <v>1</v>
          </cell>
        </row>
        <row r="2028">
          <cell r="B2028" t="str">
            <v>SPC500-0986</v>
          </cell>
          <cell r="C2028" t="str">
            <v>Invoice</v>
          </cell>
          <cell r="D2028">
            <v>38615</v>
          </cell>
          <cell r="F2028" t="str">
            <v>7944</v>
          </cell>
          <cell r="G2028" t="str">
            <v>Promotool</v>
          </cell>
          <cell r="H2028">
            <v>1</v>
          </cell>
        </row>
        <row r="2029">
          <cell r="B2029" t="str">
            <v>SPC500-0996</v>
          </cell>
          <cell r="C2029" t="str">
            <v>Invoice</v>
          </cell>
          <cell r="D2029">
            <v>38615</v>
          </cell>
          <cell r="F2029" t="str">
            <v>7944</v>
          </cell>
          <cell r="G2029" t="str">
            <v>Promotool</v>
          </cell>
          <cell r="H2029">
            <v>1</v>
          </cell>
        </row>
        <row r="2030">
          <cell r="B2030" t="str">
            <v>SPC500-1000</v>
          </cell>
          <cell r="C2030" t="str">
            <v>Invoice</v>
          </cell>
          <cell r="D2030">
            <v>38615</v>
          </cell>
          <cell r="F2030" t="str">
            <v>7944</v>
          </cell>
          <cell r="G2030" t="str">
            <v>Promotool</v>
          </cell>
          <cell r="H2030">
            <v>1</v>
          </cell>
        </row>
        <row r="2031">
          <cell r="B2031" t="str">
            <v>SPC500-1003</v>
          </cell>
          <cell r="C2031" t="str">
            <v>Invoice</v>
          </cell>
          <cell r="D2031">
            <v>38615</v>
          </cell>
          <cell r="F2031" t="str">
            <v>7944</v>
          </cell>
          <cell r="G2031" t="str">
            <v>Promotool</v>
          </cell>
          <cell r="H2031">
            <v>1</v>
          </cell>
        </row>
        <row r="2032">
          <cell r="B2032" t="str">
            <v>SPC500-1016</v>
          </cell>
          <cell r="C2032" t="str">
            <v>Invoice</v>
          </cell>
          <cell r="D2032">
            <v>38455</v>
          </cell>
          <cell r="F2032" t="str">
            <v>5600</v>
          </cell>
          <cell r="G2032" t="str">
            <v>Techno Satellite</v>
          </cell>
          <cell r="H2032">
            <v>1</v>
          </cell>
        </row>
        <row r="2033">
          <cell r="B2033" t="str">
            <v>SPC500-1016</v>
          </cell>
          <cell r="C2033" t="str">
            <v>Invoice</v>
          </cell>
          <cell r="D2033">
            <v>38467</v>
          </cell>
          <cell r="F2033" t="str">
            <v>6002</v>
          </cell>
          <cell r="G2033" t="str">
            <v>Freedom Station Family Fun Center</v>
          </cell>
          <cell r="H2033">
            <v>1</v>
          </cell>
        </row>
        <row r="2034">
          <cell r="B2034" t="str">
            <v>SPC500-1016</v>
          </cell>
          <cell r="C2034" t="str">
            <v>Invoice</v>
          </cell>
          <cell r="D2034">
            <v>38614</v>
          </cell>
          <cell r="F2034" t="str">
            <v>7991</v>
          </cell>
          <cell r="G2034" t="str">
            <v>Andrew Snyder Catalyst, Ltd.</v>
          </cell>
          <cell r="H2034">
            <v>1</v>
          </cell>
        </row>
        <row r="2035">
          <cell r="B2035" t="str">
            <v>SPC500-1016</v>
          </cell>
          <cell r="C2035" t="str">
            <v>Invoice</v>
          </cell>
          <cell r="D2035">
            <v>38615</v>
          </cell>
          <cell r="F2035" t="str">
            <v>7944</v>
          </cell>
          <cell r="G2035" t="str">
            <v>Promotool</v>
          </cell>
          <cell r="H2035">
            <v>1</v>
          </cell>
        </row>
        <row r="2036">
          <cell r="B2036" t="str">
            <v>SPC500-1031</v>
          </cell>
          <cell r="C2036" t="str">
            <v>Invoice</v>
          </cell>
          <cell r="D2036">
            <v>38615</v>
          </cell>
          <cell r="F2036" t="str">
            <v>7944</v>
          </cell>
          <cell r="G2036" t="str">
            <v>Promotool</v>
          </cell>
          <cell r="H2036">
            <v>1</v>
          </cell>
        </row>
        <row r="2037">
          <cell r="B2037" t="str">
            <v>SPC500-1034</v>
          </cell>
          <cell r="C2037" t="str">
            <v>Invoice</v>
          </cell>
          <cell r="D2037">
            <v>38510</v>
          </cell>
          <cell r="F2037" t="str">
            <v>6268</v>
          </cell>
          <cell r="G2037" t="str">
            <v>Chromatech 3D (Pty) Ltd.</v>
          </cell>
          <cell r="H2037">
            <v>1</v>
          </cell>
        </row>
        <row r="2038">
          <cell r="B2038" t="str">
            <v>SPC500-1034</v>
          </cell>
          <cell r="C2038" t="str">
            <v>Invoice</v>
          </cell>
          <cell r="D2038">
            <v>38615</v>
          </cell>
          <cell r="F2038" t="str">
            <v>7944</v>
          </cell>
          <cell r="G2038" t="str">
            <v>Promotool</v>
          </cell>
          <cell r="H2038">
            <v>1</v>
          </cell>
        </row>
        <row r="2039">
          <cell r="B2039" t="str">
            <v>SPC500-1035</v>
          </cell>
          <cell r="C2039" t="str">
            <v>Invoice</v>
          </cell>
          <cell r="D2039">
            <v>38520</v>
          </cell>
          <cell r="F2039" t="str">
            <v>6267</v>
          </cell>
          <cell r="G2039" t="str">
            <v>Techno Satellite</v>
          </cell>
          <cell r="H2039">
            <v>1</v>
          </cell>
        </row>
        <row r="2040">
          <cell r="B2040" t="str">
            <v>SPC500-1035</v>
          </cell>
          <cell r="C2040" t="str">
            <v>Invoice</v>
          </cell>
          <cell r="D2040">
            <v>38561</v>
          </cell>
          <cell r="F2040" t="str">
            <v>7197</v>
          </cell>
          <cell r="G2040" t="str">
            <v>Techno Satellite</v>
          </cell>
          <cell r="H2040">
            <v>1</v>
          </cell>
        </row>
        <row r="2041">
          <cell r="B2041" t="str">
            <v>SPC500-1035</v>
          </cell>
          <cell r="C2041" t="str">
            <v>Invoice</v>
          </cell>
          <cell r="D2041">
            <v>38615</v>
          </cell>
          <cell r="F2041" t="str">
            <v>7944</v>
          </cell>
          <cell r="G2041" t="str">
            <v>Promotool</v>
          </cell>
          <cell r="H2041">
            <v>1</v>
          </cell>
        </row>
        <row r="2042">
          <cell r="B2042" t="str">
            <v>SPC500-1042</v>
          </cell>
          <cell r="C2042" t="str">
            <v>Invoice</v>
          </cell>
          <cell r="D2042">
            <v>38615</v>
          </cell>
          <cell r="F2042" t="str">
            <v>7944</v>
          </cell>
          <cell r="G2042" t="str">
            <v>Promotool</v>
          </cell>
          <cell r="H2042">
            <v>1</v>
          </cell>
        </row>
        <row r="2043">
          <cell r="B2043" t="str">
            <v>SPC500-1047</v>
          </cell>
          <cell r="C2043" t="str">
            <v>Invoice</v>
          </cell>
          <cell r="D2043">
            <v>38447</v>
          </cell>
          <cell r="F2043" t="str">
            <v>5569-I</v>
          </cell>
          <cell r="G2043" t="str">
            <v>Ralph Jones Display</v>
          </cell>
          <cell r="H2043">
            <v>1</v>
          </cell>
        </row>
        <row r="2044">
          <cell r="B2044" t="str">
            <v>SPC500-1047</v>
          </cell>
          <cell r="C2044" t="str">
            <v>Invoice</v>
          </cell>
          <cell r="D2044">
            <v>38523</v>
          </cell>
          <cell r="F2044" t="str">
            <v>6379</v>
          </cell>
          <cell r="G2044" t="str">
            <v>Promotool</v>
          </cell>
          <cell r="H2044">
            <v>1</v>
          </cell>
        </row>
        <row r="2045">
          <cell r="B2045" t="str">
            <v>SPC500-1047</v>
          </cell>
          <cell r="C2045" t="str">
            <v>Invoice</v>
          </cell>
          <cell r="D2045">
            <v>38615</v>
          </cell>
          <cell r="F2045" t="str">
            <v>7944</v>
          </cell>
          <cell r="G2045" t="str">
            <v>Promotool</v>
          </cell>
          <cell r="H2045">
            <v>1</v>
          </cell>
        </row>
        <row r="2046">
          <cell r="B2046" t="str">
            <v>SPC500-1052</v>
          </cell>
          <cell r="C2046" t="str">
            <v>Invoice</v>
          </cell>
          <cell r="D2046">
            <v>38398</v>
          </cell>
          <cell r="F2046" t="str">
            <v>5320</v>
          </cell>
          <cell r="G2046" t="str">
            <v>ScentAir Australia Pty Ltd.</v>
          </cell>
          <cell r="H2046">
            <v>1</v>
          </cell>
        </row>
        <row r="2047">
          <cell r="B2047" t="str">
            <v>SPC500-1052</v>
          </cell>
          <cell r="C2047" t="str">
            <v>Invoice</v>
          </cell>
          <cell r="D2047">
            <v>38411</v>
          </cell>
          <cell r="F2047" t="str">
            <v>5366</v>
          </cell>
          <cell r="G2047" t="str">
            <v>Pyramid Title Company</v>
          </cell>
          <cell r="H2047">
            <v>1</v>
          </cell>
        </row>
        <row r="2048">
          <cell r="B2048" t="str">
            <v>SPC500-1052</v>
          </cell>
          <cell r="C2048" t="str">
            <v>Invoice</v>
          </cell>
          <cell r="D2048">
            <v>38411</v>
          </cell>
          <cell r="F2048" t="str">
            <v>5366</v>
          </cell>
          <cell r="G2048" t="str">
            <v>Pyramid Title Company</v>
          </cell>
          <cell r="H2048">
            <v>1</v>
          </cell>
        </row>
        <row r="2049">
          <cell r="B2049" t="str">
            <v>SPC500-1052</v>
          </cell>
          <cell r="C2049" t="str">
            <v>Invoice</v>
          </cell>
          <cell r="D2049">
            <v>38512</v>
          </cell>
          <cell r="F2049" t="str">
            <v>6279</v>
          </cell>
          <cell r="G2049" t="str">
            <v>Promotool</v>
          </cell>
          <cell r="H2049">
            <v>1</v>
          </cell>
        </row>
        <row r="2050">
          <cell r="B2050" t="str">
            <v>SPC500-1055</v>
          </cell>
          <cell r="C2050" t="str">
            <v>Invoice</v>
          </cell>
          <cell r="D2050">
            <v>38513</v>
          </cell>
          <cell r="F2050" t="str">
            <v>6282</v>
          </cell>
          <cell r="G2050" t="str">
            <v>Le Gourmet Chef</v>
          </cell>
          <cell r="H2050">
            <v>1</v>
          </cell>
        </row>
        <row r="2051">
          <cell r="B2051" t="str">
            <v>SPC500-1055</v>
          </cell>
          <cell r="C2051" t="str">
            <v>Invoice</v>
          </cell>
          <cell r="D2051">
            <v>38530</v>
          </cell>
          <cell r="F2051" t="str">
            <v>6404</v>
          </cell>
          <cell r="G2051" t="str">
            <v>KaBloom - Gainesville</v>
          </cell>
          <cell r="H2051">
            <v>1</v>
          </cell>
        </row>
        <row r="2052">
          <cell r="B2052" t="str">
            <v>SPC500-1055</v>
          </cell>
          <cell r="C2052" t="str">
            <v>Invoice</v>
          </cell>
          <cell r="D2052">
            <v>38615</v>
          </cell>
          <cell r="F2052" t="str">
            <v>7944</v>
          </cell>
          <cell r="G2052" t="str">
            <v>Promotool</v>
          </cell>
          <cell r="H2052">
            <v>1</v>
          </cell>
        </row>
        <row r="2053">
          <cell r="B2053" t="str">
            <v>SPC500-1062</v>
          </cell>
          <cell r="C2053" t="str">
            <v>Invoice</v>
          </cell>
          <cell r="D2053">
            <v>38615</v>
          </cell>
          <cell r="F2053" t="str">
            <v>7944</v>
          </cell>
          <cell r="G2053" t="str">
            <v>Promotool</v>
          </cell>
          <cell r="H2053">
            <v>1</v>
          </cell>
        </row>
        <row r="2054">
          <cell r="B2054" t="str">
            <v>SPC500-1066</v>
          </cell>
          <cell r="C2054" t="str">
            <v>Invoice</v>
          </cell>
          <cell r="D2054">
            <v>38398</v>
          </cell>
          <cell r="F2054" t="str">
            <v>5320</v>
          </cell>
          <cell r="G2054" t="str">
            <v>ScentAir Australia Pty Ltd.</v>
          </cell>
          <cell r="H2054">
            <v>1</v>
          </cell>
        </row>
        <row r="2055">
          <cell r="B2055" t="str">
            <v>SPC500-1066</v>
          </cell>
          <cell r="C2055" t="str">
            <v>Invoice</v>
          </cell>
          <cell r="D2055">
            <v>38587</v>
          </cell>
          <cell r="F2055" t="str">
            <v>7677</v>
          </cell>
          <cell r="G2055" t="str">
            <v>ScentAir - Corporate Associates:Pamela Knock</v>
          </cell>
          <cell r="H2055">
            <v>1</v>
          </cell>
        </row>
        <row r="2056">
          <cell r="B2056" t="str">
            <v>SPC500-1066</v>
          </cell>
          <cell r="C2056" t="str">
            <v>Invoice</v>
          </cell>
          <cell r="D2056">
            <v>38615</v>
          </cell>
          <cell r="F2056" t="str">
            <v>7944</v>
          </cell>
          <cell r="G2056" t="str">
            <v>Promotool</v>
          </cell>
          <cell r="H2056">
            <v>1</v>
          </cell>
        </row>
        <row r="2057">
          <cell r="B2057" t="str">
            <v>SPC500-1090</v>
          </cell>
          <cell r="C2057" t="str">
            <v>Invoice</v>
          </cell>
          <cell r="D2057">
            <v>38615</v>
          </cell>
          <cell r="F2057" t="str">
            <v>7944</v>
          </cell>
          <cell r="G2057" t="str">
            <v>Promotool</v>
          </cell>
          <cell r="H2057">
            <v>1</v>
          </cell>
        </row>
        <row r="2058">
          <cell r="B2058" t="str">
            <v>SPC500-1095</v>
          </cell>
          <cell r="C2058" t="str">
            <v>Invoice</v>
          </cell>
          <cell r="D2058">
            <v>38467</v>
          </cell>
          <cell r="F2058" t="str">
            <v>5690</v>
          </cell>
          <cell r="G2058" t="str">
            <v>Niven Marketing</v>
          </cell>
          <cell r="H2058">
            <v>1</v>
          </cell>
        </row>
        <row r="2059">
          <cell r="B2059" t="str">
            <v>SPC500-1095</v>
          </cell>
          <cell r="C2059" t="str">
            <v>Invoice</v>
          </cell>
          <cell r="D2059">
            <v>38488</v>
          </cell>
          <cell r="F2059" t="str">
            <v>6057</v>
          </cell>
          <cell r="G2059" t="str">
            <v>Getty Guilderland Center</v>
          </cell>
          <cell r="H2059">
            <v>1</v>
          </cell>
        </row>
        <row r="2060">
          <cell r="B2060" t="str">
            <v>SPC500-1095</v>
          </cell>
          <cell r="C2060" t="str">
            <v>Invoice</v>
          </cell>
          <cell r="D2060">
            <v>38561</v>
          </cell>
          <cell r="F2060" t="str">
            <v>7197</v>
          </cell>
          <cell r="G2060" t="str">
            <v>Techno Satellite</v>
          </cell>
          <cell r="H2060">
            <v>1</v>
          </cell>
        </row>
        <row r="2061">
          <cell r="B2061" t="str">
            <v>SPC500-1098</v>
          </cell>
          <cell r="C2061" t="str">
            <v>Invoice</v>
          </cell>
          <cell r="D2061">
            <v>38421</v>
          </cell>
          <cell r="F2061" t="str">
            <v>5430</v>
          </cell>
          <cell r="G2061" t="str">
            <v>South Pacific Elixir Company Inc.</v>
          </cell>
          <cell r="H2061">
            <v>1</v>
          </cell>
        </row>
        <row r="2062">
          <cell r="B2062" t="str">
            <v>SPC500-1098</v>
          </cell>
          <cell r="C2062" t="str">
            <v>Invoice</v>
          </cell>
          <cell r="D2062">
            <v>38615</v>
          </cell>
          <cell r="F2062" t="str">
            <v>7944</v>
          </cell>
          <cell r="G2062" t="str">
            <v>Promotool</v>
          </cell>
          <cell r="H2062">
            <v>1</v>
          </cell>
        </row>
        <row r="2063">
          <cell r="B2063" t="str">
            <v>SPC500-1099</v>
          </cell>
          <cell r="C2063" t="str">
            <v>Invoice</v>
          </cell>
          <cell r="D2063">
            <v>38495</v>
          </cell>
          <cell r="F2063" t="str">
            <v>6132</v>
          </cell>
          <cell r="G2063" t="str">
            <v>Marketing ex/Unimercator</v>
          </cell>
          <cell r="H2063">
            <v>1</v>
          </cell>
        </row>
        <row r="2064">
          <cell r="B2064" t="str">
            <v>SPC500-1099</v>
          </cell>
          <cell r="C2064" t="str">
            <v>Invoice</v>
          </cell>
          <cell r="D2064">
            <v>38615</v>
          </cell>
          <cell r="F2064" t="str">
            <v>7944</v>
          </cell>
          <cell r="G2064" t="str">
            <v>Promotool</v>
          </cell>
          <cell r="H2064">
            <v>1</v>
          </cell>
        </row>
        <row r="2065">
          <cell r="B2065" t="str">
            <v>SPC500-1103</v>
          </cell>
          <cell r="C2065" t="str">
            <v>Invoice</v>
          </cell>
          <cell r="D2065">
            <v>38615</v>
          </cell>
          <cell r="F2065" t="str">
            <v>7944</v>
          </cell>
          <cell r="G2065" t="str">
            <v>Promotool</v>
          </cell>
          <cell r="H2065">
            <v>1</v>
          </cell>
        </row>
        <row r="2066">
          <cell r="B2066" t="str">
            <v>SPC500-1104</v>
          </cell>
          <cell r="C2066" t="str">
            <v>Invoice</v>
          </cell>
          <cell r="D2066">
            <v>38615</v>
          </cell>
          <cell r="F2066" t="str">
            <v>7944</v>
          </cell>
          <cell r="G2066" t="str">
            <v>Promotool</v>
          </cell>
          <cell r="H2066">
            <v>1</v>
          </cell>
        </row>
        <row r="2067">
          <cell r="B2067" t="str">
            <v>SPC500-1105</v>
          </cell>
          <cell r="C2067" t="str">
            <v>Invoice</v>
          </cell>
          <cell r="D2067">
            <v>38398</v>
          </cell>
          <cell r="F2067" t="str">
            <v>5320</v>
          </cell>
          <cell r="G2067" t="str">
            <v>ScentAir Australia Pty Ltd.</v>
          </cell>
          <cell r="H2067">
            <v>1</v>
          </cell>
        </row>
        <row r="2068">
          <cell r="B2068" t="str">
            <v>SPC500-1105</v>
          </cell>
          <cell r="C2068" t="str">
            <v>Invoice</v>
          </cell>
          <cell r="D2068">
            <v>38615</v>
          </cell>
          <cell r="F2068" t="str">
            <v>7944</v>
          </cell>
          <cell r="G2068" t="str">
            <v>Promotool</v>
          </cell>
          <cell r="H2068">
            <v>1</v>
          </cell>
        </row>
        <row r="2069">
          <cell r="B2069" t="str">
            <v>SPC500-1105</v>
          </cell>
          <cell r="C2069" t="str">
            <v>Invoice</v>
          </cell>
          <cell r="D2069">
            <v>38623</v>
          </cell>
          <cell r="F2069" t="str">
            <v>8020</v>
          </cell>
          <cell r="G2069" t="str">
            <v>Integer Group, Inc.</v>
          </cell>
          <cell r="H2069">
            <v>1</v>
          </cell>
        </row>
        <row r="2070">
          <cell r="B2070" t="str">
            <v>SPC500-1126</v>
          </cell>
          <cell r="C2070" t="str">
            <v>Invoice</v>
          </cell>
          <cell r="D2070">
            <v>38615</v>
          </cell>
          <cell r="F2070" t="str">
            <v>7944</v>
          </cell>
          <cell r="G2070" t="str">
            <v>Promotool</v>
          </cell>
          <cell r="H2070">
            <v>1</v>
          </cell>
        </row>
        <row r="2071">
          <cell r="B2071" t="str">
            <v>SPC500-1127</v>
          </cell>
          <cell r="C2071" t="str">
            <v>Invoice</v>
          </cell>
          <cell r="D2071">
            <v>38615</v>
          </cell>
          <cell r="F2071" t="str">
            <v>7944</v>
          </cell>
          <cell r="G2071" t="str">
            <v>Promotool</v>
          </cell>
          <cell r="H2071">
            <v>1</v>
          </cell>
        </row>
        <row r="2072">
          <cell r="B2072" t="str">
            <v>SPC500-1136</v>
          </cell>
          <cell r="C2072" t="str">
            <v>Invoice</v>
          </cell>
          <cell r="D2072">
            <v>38615</v>
          </cell>
          <cell r="F2072" t="str">
            <v>7944</v>
          </cell>
          <cell r="G2072" t="str">
            <v>Promotool</v>
          </cell>
          <cell r="H2072">
            <v>1</v>
          </cell>
        </row>
        <row r="2073">
          <cell r="B2073" t="str">
            <v>SPC500-1150</v>
          </cell>
          <cell r="C2073" t="str">
            <v>Invoice</v>
          </cell>
          <cell r="D2073">
            <v>38447</v>
          </cell>
          <cell r="F2073" t="str">
            <v>5569-I</v>
          </cell>
          <cell r="G2073" t="str">
            <v>Ralph Jones Display</v>
          </cell>
          <cell r="H2073">
            <v>1</v>
          </cell>
        </row>
        <row r="2074">
          <cell r="B2074" t="str">
            <v>SPC500-1150</v>
          </cell>
          <cell r="C2074" t="str">
            <v>Invoice</v>
          </cell>
          <cell r="D2074">
            <v>38615</v>
          </cell>
          <cell r="F2074" t="str">
            <v>7944</v>
          </cell>
          <cell r="G2074" t="str">
            <v>Promotool</v>
          </cell>
          <cell r="H2074">
            <v>1</v>
          </cell>
        </row>
        <row r="2075">
          <cell r="B2075" t="str">
            <v>SPC500-1153</v>
          </cell>
          <cell r="C2075" t="str">
            <v>Invoice</v>
          </cell>
          <cell r="D2075">
            <v>38520</v>
          </cell>
          <cell r="F2075" t="str">
            <v>6267</v>
          </cell>
          <cell r="G2075" t="str">
            <v>Techno Satellite</v>
          </cell>
          <cell r="H2075">
            <v>1</v>
          </cell>
        </row>
        <row r="2076">
          <cell r="B2076" t="str">
            <v>SPC500-1153</v>
          </cell>
          <cell r="C2076" t="str">
            <v>Invoice</v>
          </cell>
          <cell r="D2076">
            <v>38539</v>
          </cell>
          <cell r="F2076" t="str">
            <v>7083</v>
          </cell>
          <cell r="G2076" t="str">
            <v>LEGOLAND California</v>
          </cell>
          <cell r="H2076">
            <v>1</v>
          </cell>
        </row>
        <row r="2077">
          <cell r="B2077" t="str">
            <v>SPC500-1153</v>
          </cell>
          <cell r="C2077" t="str">
            <v>Invoice</v>
          </cell>
          <cell r="D2077">
            <v>38615</v>
          </cell>
          <cell r="F2077" t="str">
            <v>7944</v>
          </cell>
          <cell r="G2077" t="str">
            <v>Promotool</v>
          </cell>
          <cell r="H2077">
            <v>1</v>
          </cell>
        </row>
        <row r="2078">
          <cell r="B2078" t="str">
            <v>SPC500-1164</v>
          </cell>
          <cell r="C2078" t="str">
            <v>Invoice</v>
          </cell>
          <cell r="D2078">
            <v>38520</v>
          </cell>
          <cell r="F2078" t="str">
            <v>6267</v>
          </cell>
          <cell r="G2078" t="str">
            <v>Techno Satellite</v>
          </cell>
          <cell r="H2078">
            <v>1</v>
          </cell>
        </row>
        <row r="2079">
          <cell r="B2079" t="str">
            <v>SPC500-1164</v>
          </cell>
          <cell r="C2079" t="str">
            <v>Invoice</v>
          </cell>
          <cell r="D2079">
            <v>38615</v>
          </cell>
          <cell r="F2079" t="str">
            <v>7944</v>
          </cell>
          <cell r="G2079" t="str">
            <v>Promotool</v>
          </cell>
          <cell r="H2079">
            <v>1</v>
          </cell>
        </row>
        <row r="2080">
          <cell r="B2080" t="str">
            <v>SPC500-1168</v>
          </cell>
          <cell r="C2080" t="str">
            <v>Invoice</v>
          </cell>
          <cell r="D2080">
            <v>38467</v>
          </cell>
          <cell r="F2080" t="str">
            <v>6002</v>
          </cell>
          <cell r="G2080" t="str">
            <v>Freedom Station Family Fun Center</v>
          </cell>
          <cell r="H2080">
            <v>1</v>
          </cell>
        </row>
        <row r="2081">
          <cell r="B2081" t="str">
            <v>SPC500-1168</v>
          </cell>
          <cell r="C2081" t="str">
            <v>Invoice</v>
          </cell>
          <cell r="D2081">
            <v>38615</v>
          </cell>
          <cell r="F2081" t="str">
            <v>7944</v>
          </cell>
          <cell r="G2081" t="str">
            <v>Promotool</v>
          </cell>
          <cell r="H2081">
            <v>1</v>
          </cell>
        </row>
        <row r="2082">
          <cell r="B2082" t="str">
            <v>SPC500-1174</v>
          </cell>
          <cell r="C2082" t="str">
            <v>Invoice</v>
          </cell>
          <cell r="D2082">
            <v>38615</v>
          </cell>
          <cell r="F2082" t="str">
            <v>7944</v>
          </cell>
          <cell r="G2082" t="str">
            <v>Promotool</v>
          </cell>
          <cell r="H2082">
            <v>1</v>
          </cell>
        </row>
        <row r="2083">
          <cell r="B2083" t="str">
            <v>SPC500-1195</v>
          </cell>
          <cell r="C2083" t="str">
            <v>Invoice</v>
          </cell>
          <cell r="D2083">
            <v>38411</v>
          </cell>
          <cell r="F2083" t="str">
            <v>5366</v>
          </cell>
          <cell r="G2083" t="str">
            <v>Pyramid Title Company</v>
          </cell>
          <cell r="H2083">
            <v>1</v>
          </cell>
        </row>
        <row r="2084">
          <cell r="B2084" t="str">
            <v>SPC500-1195</v>
          </cell>
          <cell r="C2084" t="str">
            <v>Invoice</v>
          </cell>
          <cell r="D2084">
            <v>38427</v>
          </cell>
          <cell r="F2084" t="str">
            <v>5461</v>
          </cell>
          <cell r="G2084" t="str">
            <v>Pyramid Title Company</v>
          </cell>
          <cell r="H2084">
            <v>1</v>
          </cell>
        </row>
        <row r="2085">
          <cell r="B2085" t="str">
            <v>SPC500-1195</v>
          </cell>
          <cell r="C2085" t="str">
            <v>Invoice</v>
          </cell>
          <cell r="D2085">
            <v>38455</v>
          </cell>
          <cell r="F2085" t="str">
            <v>5600</v>
          </cell>
          <cell r="G2085" t="str">
            <v>Techno Satellite</v>
          </cell>
          <cell r="H2085">
            <v>1</v>
          </cell>
        </row>
        <row r="2086">
          <cell r="B2086" t="str">
            <v>SPC500-1195</v>
          </cell>
          <cell r="C2086" t="str">
            <v>Invoice</v>
          </cell>
          <cell r="D2086">
            <v>38520</v>
          </cell>
          <cell r="F2086" t="str">
            <v>6267</v>
          </cell>
          <cell r="G2086" t="str">
            <v>Techno Satellite</v>
          </cell>
          <cell r="H2086">
            <v>1</v>
          </cell>
        </row>
        <row r="2087">
          <cell r="B2087" t="str">
            <v>SPC500-1195</v>
          </cell>
          <cell r="C2087" t="str">
            <v>Invoice</v>
          </cell>
          <cell r="D2087">
            <v>38520</v>
          </cell>
          <cell r="F2087" t="str">
            <v>6267</v>
          </cell>
          <cell r="G2087" t="str">
            <v>Techno Satellite</v>
          </cell>
          <cell r="H2087">
            <v>1</v>
          </cell>
        </row>
        <row r="2088">
          <cell r="B2088" t="str">
            <v>SPC500-1195</v>
          </cell>
          <cell r="C2088" t="str">
            <v>Invoice</v>
          </cell>
          <cell r="D2088">
            <v>38615</v>
          </cell>
          <cell r="F2088" t="str">
            <v>7944</v>
          </cell>
          <cell r="G2088" t="str">
            <v>Promotool</v>
          </cell>
          <cell r="H2088">
            <v>1</v>
          </cell>
        </row>
        <row r="2089">
          <cell r="B2089" t="str">
            <v>SPC500-1200</v>
          </cell>
          <cell r="C2089" t="str">
            <v>Invoice</v>
          </cell>
          <cell r="D2089">
            <v>38615</v>
          </cell>
          <cell r="F2089" t="str">
            <v>7944</v>
          </cell>
          <cell r="G2089" t="str">
            <v>Promotool</v>
          </cell>
          <cell r="H2089">
            <v>1</v>
          </cell>
        </row>
        <row r="2090">
          <cell r="B2090" t="str">
            <v>SPC500-1236</v>
          </cell>
          <cell r="C2090" t="str">
            <v>Invoice</v>
          </cell>
          <cell r="D2090">
            <v>38398</v>
          </cell>
          <cell r="F2090" t="str">
            <v>5314</v>
          </cell>
          <cell r="G2090" t="str">
            <v>Weird and Wonderful</v>
          </cell>
          <cell r="H2090">
            <v>1</v>
          </cell>
        </row>
        <row r="2091">
          <cell r="B2091" t="str">
            <v>SPC500-1254</v>
          </cell>
          <cell r="C2091" t="str">
            <v>Invoice</v>
          </cell>
          <cell r="D2091">
            <v>38473</v>
          </cell>
          <cell r="F2091" t="str">
            <v>5606</v>
          </cell>
          <cell r="G2091" t="str">
            <v>Apunix Computer Services</v>
          </cell>
          <cell r="H2091">
            <v>1</v>
          </cell>
        </row>
        <row r="2092">
          <cell r="B2092" t="str">
            <v>SPC500-1254</v>
          </cell>
          <cell r="C2092" t="str">
            <v>Invoice</v>
          </cell>
          <cell r="D2092">
            <v>38523</v>
          </cell>
          <cell r="F2092" t="str">
            <v>6379</v>
          </cell>
          <cell r="G2092" t="str">
            <v>Promotool</v>
          </cell>
          <cell r="H2092">
            <v>1</v>
          </cell>
        </row>
        <row r="2093">
          <cell r="B2093" t="str">
            <v>SPC500-1254</v>
          </cell>
          <cell r="C2093" t="str">
            <v>Invoice</v>
          </cell>
          <cell r="D2093">
            <v>38615</v>
          </cell>
          <cell r="F2093" t="str">
            <v>7944</v>
          </cell>
          <cell r="G2093" t="str">
            <v>Promotool</v>
          </cell>
          <cell r="H2093">
            <v>1</v>
          </cell>
        </row>
        <row r="2094">
          <cell r="B2094" t="str">
            <v>SPC500-1258</v>
          </cell>
          <cell r="C2094" t="str">
            <v>Invoice</v>
          </cell>
          <cell r="D2094">
            <v>38398</v>
          </cell>
          <cell r="F2094" t="str">
            <v>5314</v>
          </cell>
          <cell r="G2094" t="str">
            <v>Weird and Wonderful</v>
          </cell>
          <cell r="H2094">
            <v>1</v>
          </cell>
        </row>
        <row r="2095">
          <cell r="B2095" t="str">
            <v>SPC500-1258</v>
          </cell>
          <cell r="C2095" t="str">
            <v>Invoice</v>
          </cell>
          <cell r="D2095">
            <v>38539</v>
          </cell>
          <cell r="F2095" t="str">
            <v>7083</v>
          </cell>
          <cell r="G2095" t="str">
            <v>LEGOLAND California</v>
          </cell>
          <cell r="H2095">
            <v>1</v>
          </cell>
        </row>
        <row r="2096">
          <cell r="B2096" t="str">
            <v>SPC500-1263</v>
          </cell>
          <cell r="C2096" t="str">
            <v>Invoice</v>
          </cell>
          <cell r="D2096">
            <v>38455</v>
          </cell>
          <cell r="F2096" t="str">
            <v>5600</v>
          </cell>
          <cell r="G2096" t="str">
            <v>Techno Satellite</v>
          </cell>
          <cell r="H2096">
            <v>1</v>
          </cell>
        </row>
        <row r="2097">
          <cell r="B2097" t="str">
            <v>SPC500-1263</v>
          </cell>
          <cell r="C2097" t="str">
            <v>Invoice</v>
          </cell>
          <cell r="D2097">
            <v>38615</v>
          </cell>
          <cell r="F2097" t="str">
            <v>7944</v>
          </cell>
          <cell r="G2097" t="str">
            <v>Promotool</v>
          </cell>
          <cell r="H2097">
            <v>1</v>
          </cell>
        </row>
        <row r="2098">
          <cell r="B2098" t="str">
            <v>SPC500-1266</v>
          </cell>
          <cell r="C2098" t="str">
            <v>Invoice</v>
          </cell>
          <cell r="D2098">
            <v>38427</v>
          </cell>
          <cell r="F2098" t="str">
            <v>5466</v>
          </cell>
          <cell r="G2098" t="str">
            <v>Weird and Wonderful</v>
          </cell>
          <cell r="H2098">
            <v>1</v>
          </cell>
        </row>
        <row r="2099">
          <cell r="B2099" t="str">
            <v>SPC500-1266</v>
          </cell>
          <cell r="C2099" t="str">
            <v>Invoice</v>
          </cell>
          <cell r="D2099">
            <v>38615</v>
          </cell>
          <cell r="F2099" t="str">
            <v>7944</v>
          </cell>
          <cell r="G2099" t="str">
            <v>Promotool</v>
          </cell>
          <cell r="H2099">
            <v>1</v>
          </cell>
        </row>
        <row r="2100">
          <cell r="B2100" t="str">
            <v>SPC500-1282</v>
          </cell>
          <cell r="C2100" t="str">
            <v>Invoice</v>
          </cell>
          <cell r="D2100">
            <v>38447</v>
          </cell>
          <cell r="F2100" t="str">
            <v>5569-I</v>
          </cell>
          <cell r="G2100" t="str">
            <v>Ralph Jones Display</v>
          </cell>
          <cell r="H2100">
            <v>1</v>
          </cell>
        </row>
        <row r="2101">
          <cell r="B2101" t="str">
            <v>SPC500-1287</v>
          </cell>
          <cell r="C2101" t="str">
            <v>Invoice</v>
          </cell>
          <cell r="D2101">
            <v>38539</v>
          </cell>
          <cell r="F2101" t="str">
            <v>7083</v>
          </cell>
          <cell r="G2101" t="str">
            <v>LEGOLAND California</v>
          </cell>
          <cell r="H2101">
            <v>1</v>
          </cell>
        </row>
        <row r="2102">
          <cell r="B2102" t="str">
            <v>SPC500-1287</v>
          </cell>
          <cell r="C2102" t="str">
            <v>Invoice</v>
          </cell>
          <cell r="D2102">
            <v>38615</v>
          </cell>
          <cell r="F2102" t="str">
            <v>7944</v>
          </cell>
          <cell r="G2102" t="str">
            <v>Promotool</v>
          </cell>
          <cell r="H2102">
            <v>1</v>
          </cell>
        </row>
        <row r="2103">
          <cell r="B2103" t="str">
            <v>SPC500-1303</v>
          </cell>
          <cell r="C2103" t="str">
            <v>Invoice</v>
          </cell>
          <cell r="D2103">
            <v>38615</v>
          </cell>
          <cell r="F2103" t="str">
            <v>7944</v>
          </cell>
          <cell r="G2103" t="str">
            <v>Promotool</v>
          </cell>
          <cell r="H2103">
            <v>1</v>
          </cell>
        </row>
        <row r="2104">
          <cell r="B2104" t="str">
            <v>SPC500-1307</v>
          </cell>
          <cell r="C2104" t="str">
            <v>Invoice</v>
          </cell>
          <cell r="D2104">
            <v>38434</v>
          </cell>
          <cell r="F2104" t="str">
            <v>5497</v>
          </cell>
          <cell r="G2104" t="str">
            <v>Raytheon</v>
          </cell>
          <cell r="H2104">
            <v>1</v>
          </cell>
        </row>
        <row r="2105">
          <cell r="B2105" t="str">
            <v>SPC500-1307</v>
          </cell>
          <cell r="C2105" t="str">
            <v>Credit Memo</v>
          </cell>
          <cell r="D2105">
            <v>38468</v>
          </cell>
          <cell r="F2105" t="str">
            <v>CR5497</v>
          </cell>
          <cell r="G2105" t="str">
            <v>Raytheon</v>
          </cell>
          <cell r="H2105">
            <v>1</v>
          </cell>
        </row>
        <row r="2106">
          <cell r="B2106" t="str">
            <v>SPC500-1311</v>
          </cell>
          <cell r="C2106" t="str">
            <v>Invoice</v>
          </cell>
          <cell r="D2106">
            <v>38615</v>
          </cell>
          <cell r="F2106" t="str">
            <v>7944</v>
          </cell>
          <cell r="G2106" t="str">
            <v>Promotool</v>
          </cell>
          <cell r="H2106">
            <v>1</v>
          </cell>
        </row>
        <row r="2107">
          <cell r="B2107" t="str">
            <v>SPC500-1312</v>
          </cell>
          <cell r="C2107" t="str">
            <v>Invoice</v>
          </cell>
          <cell r="D2107">
            <v>38615</v>
          </cell>
          <cell r="F2107" t="str">
            <v>7944</v>
          </cell>
          <cell r="G2107" t="str">
            <v>Promotool</v>
          </cell>
          <cell r="H2107">
            <v>1</v>
          </cell>
        </row>
        <row r="2108">
          <cell r="B2108" t="str">
            <v>SPC500-1318</v>
          </cell>
          <cell r="C2108" t="str">
            <v>Invoice</v>
          </cell>
          <cell r="D2108">
            <v>38603</v>
          </cell>
          <cell r="F2108" t="str">
            <v>7825</v>
          </cell>
          <cell r="G2108" t="str">
            <v>Videotronic Benelux BV</v>
          </cell>
          <cell r="H2108">
            <v>1</v>
          </cell>
        </row>
        <row r="2109">
          <cell r="B2109" t="str">
            <v>SPC500-1320</v>
          </cell>
          <cell r="C2109" t="str">
            <v>Invoice</v>
          </cell>
          <cell r="D2109">
            <v>38615</v>
          </cell>
          <cell r="F2109" t="str">
            <v>7944</v>
          </cell>
          <cell r="G2109" t="str">
            <v>Promotool</v>
          </cell>
          <cell r="H2109">
            <v>1</v>
          </cell>
        </row>
        <row r="2110">
          <cell r="B2110" t="str">
            <v>SPC500-1341</v>
          </cell>
          <cell r="C2110" t="str">
            <v>Invoice</v>
          </cell>
          <cell r="D2110">
            <v>38435</v>
          </cell>
          <cell r="F2110" t="str">
            <v>5503</v>
          </cell>
          <cell r="G2110" t="str">
            <v>OPD Corp</v>
          </cell>
          <cell r="H2110">
            <v>1</v>
          </cell>
        </row>
        <row r="2111">
          <cell r="B2111" t="str">
            <v>SPC500-1341</v>
          </cell>
          <cell r="C2111" t="str">
            <v>Invoice</v>
          </cell>
          <cell r="D2111">
            <v>38539</v>
          </cell>
          <cell r="F2111" t="str">
            <v>7083</v>
          </cell>
          <cell r="G2111" t="str">
            <v>LEGOLAND California</v>
          </cell>
          <cell r="H2111">
            <v>1</v>
          </cell>
        </row>
        <row r="2112">
          <cell r="B2112" t="str">
            <v>SPC500-1341</v>
          </cell>
          <cell r="C2112" t="str">
            <v>Invoice</v>
          </cell>
          <cell r="D2112">
            <v>38615</v>
          </cell>
          <cell r="F2112" t="str">
            <v>7944</v>
          </cell>
          <cell r="G2112" t="str">
            <v>Promotool</v>
          </cell>
          <cell r="H2112">
            <v>1</v>
          </cell>
        </row>
        <row r="2113">
          <cell r="B2113" t="str">
            <v>SPC500-1357</v>
          </cell>
          <cell r="C2113" t="str">
            <v>Invoice</v>
          </cell>
          <cell r="D2113">
            <v>38398</v>
          </cell>
          <cell r="F2113" t="str">
            <v>5314</v>
          </cell>
          <cell r="G2113" t="str">
            <v>Weird and Wonderful</v>
          </cell>
          <cell r="H2113">
            <v>1</v>
          </cell>
        </row>
        <row r="2114">
          <cell r="B2114" t="str">
            <v>SPC500-1364</v>
          </cell>
          <cell r="C2114" t="str">
            <v>Invoice</v>
          </cell>
          <cell r="D2114">
            <v>38435</v>
          </cell>
          <cell r="F2114" t="str">
            <v>5503</v>
          </cell>
          <cell r="G2114" t="str">
            <v>OPD Corp</v>
          </cell>
          <cell r="H2114">
            <v>1</v>
          </cell>
        </row>
        <row r="2115">
          <cell r="B2115" t="str">
            <v>SPC500-1364</v>
          </cell>
          <cell r="C2115" t="str">
            <v>Invoice</v>
          </cell>
          <cell r="D2115">
            <v>38467</v>
          </cell>
          <cell r="F2115" t="str">
            <v>5690</v>
          </cell>
          <cell r="G2115" t="str">
            <v>Niven Marketing</v>
          </cell>
          <cell r="H2115">
            <v>1</v>
          </cell>
        </row>
        <row r="2116">
          <cell r="B2116" t="str">
            <v>SPC500-1382</v>
          </cell>
          <cell r="C2116" t="str">
            <v>Invoice</v>
          </cell>
          <cell r="D2116">
            <v>38467</v>
          </cell>
          <cell r="F2116" t="str">
            <v>6000</v>
          </cell>
          <cell r="G2116" t="str">
            <v>Sioux Land Heritage Museum</v>
          </cell>
          <cell r="H2116">
            <v>1</v>
          </cell>
        </row>
        <row r="2117">
          <cell r="B2117" t="str">
            <v>SPC500-1382</v>
          </cell>
          <cell r="C2117" t="str">
            <v>Invoice</v>
          </cell>
          <cell r="D2117">
            <v>38546</v>
          </cell>
          <cell r="F2117" t="str">
            <v>7000</v>
          </cell>
          <cell r="G2117" t="str">
            <v>Sioux Land Heritage Museum</v>
          </cell>
          <cell r="H2117">
            <v>1</v>
          </cell>
        </row>
        <row r="2118">
          <cell r="B2118" t="str">
            <v>SPC500-1382</v>
          </cell>
          <cell r="C2118" t="str">
            <v>Invoice</v>
          </cell>
          <cell r="D2118">
            <v>38582</v>
          </cell>
          <cell r="F2118" t="str">
            <v>5598</v>
          </cell>
          <cell r="G2118" t="str">
            <v>Sioux Land Heritage Museum</v>
          </cell>
          <cell r="H2118">
            <v>1</v>
          </cell>
        </row>
        <row r="2119">
          <cell r="B2119" t="str">
            <v>SPC500-1382</v>
          </cell>
          <cell r="C2119" t="str">
            <v>Invoice</v>
          </cell>
          <cell r="D2119">
            <v>38611</v>
          </cell>
          <cell r="F2119" t="str">
            <v>7134</v>
          </cell>
          <cell r="G2119" t="str">
            <v>Sioux Land Heritage Museum</v>
          </cell>
          <cell r="H2119">
            <v>1</v>
          </cell>
        </row>
        <row r="2120">
          <cell r="B2120" t="str">
            <v>SPC500-1395</v>
          </cell>
          <cell r="C2120" t="str">
            <v>Invoice</v>
          </cell>
          <cell r="D2120">
            <v>38511</v>
          </cell>
          <cell r="F2120" t="str">
            <v>6284</v>
          </cell>
          <cell r="G2120" t="str">
            <v>American Solutions Inc.</v>
          </cell>
          <cell r="H2120">
            <v>1</v>
          </cell>
        </row>
        <row r="2121">
          <cell r="B2121" t="str">
            <v>SPC500-1396</v>
          </cell>
          <cell r="C2121" t="str">
            <v>Invoice</v>
          </cell>
          <cell r="D2121">
            <v>38566</v>
          </cell>
          <cell r="F2121" t="str">
            <v>7265</v>
          </cell>
          <cell r="G2121" t="str">
            <v>Muzak, LLC:Muzak (Demo)</v>
          </cell>
          <cell r="H2121">
            <v>1</v>
          </cell>
        </row>
        <row r="2122">
          <cell r="B2122" t="str">
            <v>SPC500-1414</v>
          </cell>
          <cell r="C2122" t="str">
            <v>Invoice</v>
          </cell>
          <cell r="D2122">
            <v>38566</v>
          </cell>
          <cell r="F2122" t="str">
            <v>7265</v>
          </cell>
          <cell r="G2122" t="str">
            <v>Muzak, LLC:Muzak (Demo)</v>
          </cell>
          <cell r="H2122">
            <v>1</v>
          </cell>
        </row>
        <row r="2123">
          <cell r="B2123" t="str">
            <v>SPC500-1414</v>
          </cell>
          <cell r="C2123" t="str">
            <v>Invoice</v>
          </cell>
          <cell r="D2123">
            <v>38615</v>
          </cell>
          <cell r="F2123" t="str">
            <v>7944</v>
          </cell>
          <cell r="G2123" t="str">
            <v>Promotool</v>
          </cell>
          <cell r="H2123">
            <v>1</v>
          </cell>
        </row>
        <row r="2124">
          <cell r="B2124" t="str">
            <v>SPC500-152</v>
          </cell>
          <cell r="C2124" t="str">
            <v>Invoice</v>
          </cell>
          <cell r="D2124">
            <v>38467</v>
          </cell>
          <cell r="F2124" t="str">
            <v>6000</v>
          </cell>
          <cell r="G2124" t="str">
            <v>Sioux Land Heritage Museum</v>
          </cell>
          <cell r="H2124">
            <v>1</v>
          </cell>
        </row>
        <row r="2125">
          <cell r="B2125" t="str">
            <v>SPC500-152</v>
          </cell>
          <cell r="C2125" t="str">
            <v>Invoice</v>
          </cell>
          <cell r="D2125">
            <v>38546</v>
          </cell>
          <cell r="F2125" t="str">
            <v>7000</v>
          </cell>
          <cell r="G2125" t="str">
            <v>Sioux Land Heritage Museum</v>
          </cell>
          <cell r="H2125">
            <v>1</v>
          </cell>
        </row>
        <row r="2126">
          <cell r="B2126" t="str">
            <v>SPC500-152</v>
          </cell>
          <cell r="C2126" t="str">
            <v>Invoice</v>
          </cell>
          <cell r="D2126">
            <v>38582</v>
          </cell>
          <cell r="F2126" t="str">
            <v>5598</v>
          </cell>
          <cell r="G2126" t="str">
            <v>Sioux Land Heritage Museum</v>
          </cell>
          <cell r="H2126">
            <v>1</v>
          </cell>
        </row>
        <row r="2127">
          <cell r="B2127" t="str">
            <v>SPC500-153</v>
          </cell>
          <cell r="C2127" t="str">
            <v>Invoice</v>
          </cell>
          <cell r="D2127">
            <v>38398</v>
          </cell>
          <cell r="F2127" t="str">
            <v>5320</v>
          </cell>
          <cell r="G2127" t="str">
            <v>ScentAir Australia Pty Ltd.</v>
          </cell>
          <cell r="H2127">
            <v>1</v>
          </cell>
        </row>
        <row r="2128">
          <cell r="B2128" t="str">
            <v>SPC500-153</v>
          </cell>
          <cell r="C2128" t="str">
            <v>Invoice</v>
          </cell>
          <cell r="D2128">
            <v>38420</v>
          </cell>
          <cell r="F2128" t="str">
            <v>5387</v>
          </cell>
          <cell r="G2128" t="str">
            <v>Hard Rock Hotel</v>
          </cell>
          <cell r="H2128">
            <v>1</v>
          </cell>
        </row>
        <row r="2129">
          <cell r="B2129" t="str">
            <v>SPC500-153</v>
          </cell>
          <cell r="C2129" t="str">
            <v>Invoice</v>
          </cell>
          <cell r="D2129">
            <v>38427</v>
          </cell>
          <cell r="F2129" t="str">
            <v>5450</v>
          </cell>
          <cell r="G2129" t="str">
            <v>Hard Rock Hotel</v>
          </cell>
          <cell r="H2129">
            <v>1</v>
          </cell>
        </row>
        <row r="2130">
          <cell r="B2130" t="str">
            <v>SPC500-153</v>
          </cell>
          <cell r="C2130" t="str">
            <v>Invoice</v>
          </cell>
          <cell r="D2130">
            <v>38440</v>
          </cell>
          <cell r="F2130" t="str">
            <v>5542</v>
          </cell>
          <cell r="G2130" t="str">
            <v>Hard Rock Hotel</v>
          </cell>
          <cell r="H2130">
            <v>1</v>
          </cell>
        </row>
        <row r="2131">
          <cell r="B2131" t="str">
            <v>SPC500-153</v>
          </cell>
          <cell r="C2131" t="str">
            <v>Invoice</v>
          </cell>
          <cell r="D2131">
            <v>38461</v>
          </cell>
          <cell r="F2131" t="str">
            <v>5603</v>
          </cell>
          <cell r="G2131" t="str">
            <v>JGA</v>
          </cell>
          <cell r="H2131">
            <v>1</v>
          </cell>
        </row>
        <row r="2132">
          <cell r="B2132" t="str">
            <v>SPC500-153</v>
          </cell>
          <cell r="C2132" t="str">
            <v>Invoice</v>
          </cell>
          <cell r="D2132">
            <v>38510</v>
          </cell>
          <cell r="F2132" t="str">
            <v>6241</v>
          </cell>
          <cell r="G2132" t="str">
            <v>Imperial Palace Hotel and Casino:IPHC Retail Merchandising</v>
          </cell>
          <cell r="H2132">
            <v>1</v>
          </cell>
        </row>
        <row r="2133">
          <cell r="B2133" t="str">
            <v>SPC500-691</v>
          </cell>
          <cell r="C2133" t="str">
            <v>Invoice</v>
          </cell>
          <cell r="D2133">
            <v>38398</v>
          </cell>
          <cell r="F2133" t="str">
            <v>5320</v>
          </cell>
          <cell r="G2133" t="str">
            <v>ScentAir Australia Pty Ltd.</v>
          </cell>
          <cell r="H2133">
            <v>1</v>
          </cell>
        </row>
        <row r="2134">
          <cell r="B2134" t="str">
            <v>SPC500-829</v>
          </cell>
          <cell r="C2134" t="str">
            <v>Invoice</v>
          </cell>
          <cell r="D2134">
            <v>38455</v>
          </cell>
          <cell r="F2134" t="str">
            <v>5600</v>
          </cell>
          <cell r="G2134" t="str">
            <v>Techno Satellite</v>
          </cell>
          <cell r="H2134">
            <v>1</v>
          </cell>
        </row>
        <row r="2135">
          <cell r="B2135" t="str">
            <v>SPC-500-913</v>
          </cell>
          <cell r="C2135" t="str">
            <v>Invoice</v>
          </cell>
          <cell r="D2135">
            <v>38461</v>
          </cell>
          <cell r="F2135" t="str">
            <v>5603</v>
          </cell>
          <cell r="G2135" t="str">
            <v>JGA</v>
          </cell>
          <cell r="H2135">
            <v>1</v>
          </cell>
        </row>
        <row r="2136">
          <cell r="B2136" t="str">
            <v>SPC-534</v>
          </cell>
          <cell r="C2136" t="str">
            <v>Invoice</v>
          </cell>
          <cell r="D2136">
            <v>38449</v>
          </cell>
          <cell r="F2136" t="str">
            <v>5594</v>
          </cell>
          <cell r="G2136" t="str">
            <v>OPD Corp</v>
          </cell>
          <cell r="H2136">
            <v>1</v>
          </cell>
        </row>
        <row r="2137">
          <cell r="B2137" t="str">
            <v>SPC-928</v>
          </cell>
          <cell r="C2137" t="str">
            <v>Invoice</v>
          </cell>
          <cell r="D2137">
            <v>38449</v>
          </cell>
          <cell r="F2137" t="str">
            <v>5594</v>
          </cell>
          <cell r="G2137" t="str">
            <v>OPD Corp</v>
          </cell>
          <cell r="H2137">
            <v>1</v>
          </cell>
        </row>
        <row r="2138">
          <cell r="B2138" t="str">
            <v>SPD510</v>
          </cell>
          <cell r="C2138" t="str">
            <v>Invoice</v>
          </cell>
          <cell r="D2138">
            <v>38398</v>
          </cell>
          <cell r="F2138" t="str">
            <v>5314</v>
          </cell>
          <cell r="G2138" t="str">
            <v>Weird and Wonderful</v>
          </cell>
          <cell r="H2138">
            <v>1</v>
          </cell>
        </row>
        <row r="2139">
          <cell r="B2139" t="str">
            <v>SPD510</v>
          </cell>
          <cell r="C2139" t="str">
            <v>Invoice</v>
          </cell>
          <cell r="D2139">
            <v>38421</v>
          </cell>
          <cell r="F2139" t="str">
            <v>5447</v>
          </cell>
          <cell r="G2139" t="str">
            <v>KaBloom-Grand Rapids</v>
          </cell>
          <cell r="H2139">
            <v>1</v>
          </cell>
        </row>
        <row r="2140">
          <cell r="B2140" t="str">
            <v>SPD510</v>
          </cell>
          <cell r="C2140" t="str">
            <v>Invoice</v>
          </cell>
          <cell r="D2140">
            <v>38422</v>
          </cell>
          <cell r="F2140" t="str">
            <v>5427</v>
          </cell>
          <cell r="G2140" t="str">
            <v>Innomark Communications</v>
          </cell>
          <cell r="H2140">
            <v>1</v>
          </cell>
        </row>
        <row r="2141">
          <cell r="B2141" t="str">
            <v>SPD510</v>
          </cell>
          <cell r="C2141" t="str">
            <v>Invoice</v>
          </cell>
          <cell r="D2141">
            <v>38434</v>
          </cell>
          <cell r="F2141" t="str">
            <v>5497</v>
          </cell>
          <cell r="G2141" t="str">
            <v>Raytheon</v>
          </cell>
          <cell r="H2141">
            <v>1</v>
          </cell>
        </row>
        <row r="2142">
          <cell r="B2142" t="str">
            <v>SPD510</v>
          </cell>
          <cell r="C2142" t="str">
            <v>Invoice</v>
          </cell>
          <cell r="D2142">
            <v>38461</v>
          </cell>
          <cell r="F2142" t="str">
            <v>5637</v>
          </cell>
          <cell r="G2142" t="str">
            <v>US Navy NSWC</v>
          </cell>
          <cell r="H2142">
            <v>1</v>
          </cell>
        </row>
        <row r="2143">
          <cell r="B2143" t="str">
            <v>SPD510</v>
          </cell>
          <cell r="C2143" t="str">
            <v>Invoice</v>
          </cell>
          <cell r="D2143">
            <v>38467</v>
          </cell>
          <cell r="F2143" t="str">
            <v>6001</v>
          </cell>
          <cell r="G2143" t="str">
            <v>Process Displays</v>
          </cell>
          <cell r="H2143">
            <v>1</v>
          </cell>
        </row>
        <row r="2144">
          <cell r="B2144" t="str">
            <v>SPD510</v>
          </cell>
          <cell r="C2144" t="str">
            <v>Invoice</v>
          </cell>
          <cell r="D2144">
            <v>38473</v>
          </cell>
          <cell r="F2144" t="str">
            <v>5606</v>
          </cell>
          <cell r="G2144" t="str">
            <v>Apunix Computer Services</v>
          </cell>
          <cell r="H2144">
            <v>1</v>
          </cell>
        </row>
        <row r="2145">
          <cell r="B2145" t="str">
            <v>SPD510</v>
          </cell>
          <cell r="C2145" t="str">
            <v>Invoice</v>
          </cell>
          <cell r="D2145">
            <v>38488</v>
          </cell>
          <cell r="F2145" t="str">
            <v>6057</v>
          </cell>
          <cell r="G2145" t="str">
            <v>Getty Guilderland Center</v>
          </cell>
          <cell r="H2145">
            <v>1</v>
          </cell>
        </row>
        <row r="2146">
          <cell r="B2146" t="str">
            <v>SPD510</v>
          </cell>
          <cell r="C2146" t="str">
            <v>Invoice</v>
          </cell>
          <cell r="D2146">
            <v>38495</v>
          </cell>
          <cell r="F2146" t="str">
            <v>6132</v>
          </cell>
          <cell r="G2146" t="str">
            <v>Marketing ex/Unimercator</v>
          </cell>
          <cell r="H2146">
            <v>1</v>
          </cell>
        </row>
        <row r="2147">
          <cell r="B2147" t="str">
            <v>SPD510</v>
          </cell>
          <cell r="C2147" t="str">
            <v>Invoice</v>
          </cell>
          <cell r="D2147">
            <v>38503</v>
          </cell>
          <cell r="F2147" t="str">
            <v>6144</v>
          </cell>
          <cell r="G2147" t="str">
            <v>Xplore Productions, Inc.</v>
          </cell>
          <cell r="H2147">
            <v>1</v>
          </cell>
        </row>
        <row r="2148">
          <cell r="B2148" t="str">
            <v>SPD510</v>
          </cell>
          <cell r="C2148" t="str">
            <v>Invoice</v>
          </cell>
          <cell r="D2148">
            <v>38510</v>
          </cell>
          <cell r="F2148" t="str">
            <v>6268</v>
          </cell>
          <cell r="G2148" t="str">
            <v>Chromatech 3D (Pty) Ltd.</v>
          </cell>
          <cell r="H2148">
            <v>1</v>
          </cell>
        </row>
        <row r="2149">
          <cell r="B2149" t="str">
            <v>SPD510</v>
          </cell>
          <cell r="C2149" t="str">
            <v>Invoice</v>
          </cell>
          <cell r="D2149">
            <v>38510</v>
          </cell>
          <cell r="F2149" t="str">
            <v>6241</v>
          </cell>
          <cell r="G2149" t="str">
            <v>Imperial Palace Hotel and Casino:IPHC Retail Merchandising</v>
          </cell>
          <cell r="H2149">
            <v>1</v>
          </cell>
        </row>
        <row r="2150">
          <cell r="B2150" t="str">
            <v>SPD510</v>
          </cell>
          <cell r="C2150" t="str">
            <v>Invoice</v>
          </cell>
          <cell r="D2150">
            <v>38510</v>
          </cell>
          <cell r="F2150" t="str">
            <v>6264</v>
          </cell>
          <cell r="G2150" t="str">
            <v>Muzak, LLC:Muzak (Demo)</v>
          </cell>
          <cell r="H2150">
            <v>1</v>
          </cell>
        </row>
        <row r="2151">
          <cell r="B2151" t="str">
            <v>SPD510</v>
          </cell>
          <cell r="C2151" t="str">
            <v>Invoice</v>
          </cell>
          <cell r="D2151">
            <v>38513</v>
          </cell>
          <cell r="F2151" t="str">
            <v>6282</v>
          </cell>
          <cell r="G2151" t="str">
            <v>Le Gourmet Chef</v>
          </cell>
          <cell r="H2151">
            <v>1</v>
          </cell>
        </row>
        <row r="2152">
          <cell r="B2152" t="str">
            <v>SPD510</v>
          </cell>
          <cell r="C2152" t="str">
            <v>Invoice</v>
          </cell>
          <cell r="D2152">
            <v>38539</v>
          </cell>
          <cell r="F2152" t="str">
            <v>7074</v>
          </cell>
          <cell r="G2152" t="str">
            <v>Carter's</v>
          </cell>
          <cell r="H2152">
            <v>1</v>
          </cell>
        </row>
        <row r="2153">
          <cell r="B2153" t="str">
            <v>SPD510</v>
          </cell>
          <cell r="C2153" t="str">
            <v>Invoice</v>
          </cell>
          <cell r="D2153">
            <v>38583</v>
          </cell>
          <cell r="F2153" t="str">
            <v>7628</v>
          </cell>
          <cell r="G2153" t="str">
            <v>Weyerhaeuser</v>
          </cell>
          <cell r="H2153">
            <v>1</v>
          </cell>
        </row>
        <row r="2154">
          <cell r="B2154" t="str">
            <v>SPD510</v>
          </cell>
          <cell r="C2154" t="str">
            <v>Invoice</v>
          </cell>
          <cell r="D2154">
            <v>38617</v>
          </cell>
          <cell r="F2154" t="str">
            <v>8065</v>
          </cell>
          <cell r="G2154" t="str">
            <v>Webb Scarlett De Vlam</v>
          </cell>
          <cell r="H2154">
            <v>1</v>
          </cell>
        </row>
        <row r="2155">
          <cell r="B2155" t="str">
            <v>SPD510</v>
          </cell>
          <cell r="C2155" t="str">
            <v>Invoice</v>
          </cell>
          <cell r="D2155">
            <v>38622</v>
          </cell>
          <cell r="F2155" t="str">
            <v>8144</v>
          </cell>
          <cell r="G2155" t="str">
            <v>ScentAir - Corporate Associates:Dave Amaral</v>
          </cell>
          <cell r="H2155">
            <v>1</v>
          </cell>
        </row>
        <row r="2156">
          <cell r="B2156" t="str">
            <v>SPD510</v>
          </cell>
          <cell r="C2156" t="str">
            <v>Invoice</v>
          </cell>
          <cell r="D2156">
            <v>38623</v>
          </cell>
          <cell r="F2156" t="str">
            <v>8020</v>
          </cell>
          <cell r="G2156" t="str">
            <v>Integer Group, Inc.</v>
          </cell>
          <cell r="H2156">
            <v>1</v>
          </cell>
        </row>
        <row r="2157">
          <cell r="B2157" t="str">
            <v>SPD510</v>
          </cell>
          <cell r="C2157" t="str">
            <v>Invoice</v>
          </cell>
          <cell r="D2157">
            <v>38629</v>
          </cell>
          <cell r="F2157" t="str">
            <v>8320</v>
          </cell>
          <cell r="G2157" t="str">
            <v>Webb Scarlett De Vlam</v>
          </cell>
          <cell r="H2157">
            <v>1</v>
          </cell>
        </row>
        <row r="2158">
          <cell r="B2158" t="str">
            <v>SPOP</v>
          </cell>
          <cell r="C2158" t="str">
            <v>Invoice</v>
          </cell>
          <cell r="D2158">
            <v>38364</v>
          </cell>
          <cell r="F2158" t="str">
            <v>5156</v>
          </cell>
          <cell r="G2158" t="str">
            <v>We-Ko-Pa Golf Club</v>
          </cell>
          <cell r="H2158">
            <v>1</v>
          </cell>
        </row>
        <row r="2159">
          <cell r="B2159" t="str">
            <v>SPOP</v>
          </cell>
          <cell r="C2159" t="str">
            <v>Invoice</v>
          </cell>
          <cell r="D2159">
            <v>38378</v>
          </cell>
          <cell r="F2159" t="str">
            <v>5181</v>
          </cell>
          <cell r="G2159" t="str">
            <v>MLS Homes</v>
          </cell>
          <cell r="H2159">
            <v>1</v>
          </cell>
        </row>
        <row r="2160">
          <cell r="B2160" t="str">
            <v>SPOP</v>
          </cell>
          <cell r="C2160" t="str">
            <v>Invoice</v>
          </cell>
          <cell r="D2160">
            <v>38378</v>
          </cell>
          <cell r="F2160" t="str">
            <v>5167</v>
          </cell>
          <cell r="G2160" t="str">
            <v>KaBloom! Stephen Chin</v>
          </cell>
          <cell r="H2160">
            <v>1</v>
          </cell>
        </row>
        <row r="2161">
          <cell r="B2161" t="str">
            <v>SPOP</v>
          </cell>
          <cell r="C2161" t="str">
            <v>Invoice</v>
          </cell>
          <cell r="D2161">
            <v>38378</v>
          </cell>
          <cell r="F2161" t="str">
            <v>5140</v>
          </cell>
          <cell r="G2161" t="str">
            <v>VendMax International Inc.</v>
          </cell>
          <cell r="H2161">
            <v>1</v>
          </cell>
        </row>
        <row r="2162">
          <cell r="B2162" t="str">
            <v>SPOP</v>
          </cell>
          <cell r="C2162" t="str">
            <v>Invoice</v>
          </cell>
          <cell r="D2162">
            <v>38385</v>
          </cell>
          <cell r="F2162" t="str">
            <v>5289</v>
          </cell>
          <cell r="G2162" t="str">
            <v>Yakima Valley Museum</v>
          </cell>
          <cell r="H2162">
            <v>1</v>
          </cell>
        </row>
        <row r="2163">
          <cell r="B2163" t="str">
            <v>SPOP</v>
          </cell>
          <cell r="C2163" t="str">
            <v>Invoice</v>
          </cell>
          <cell r="D2163">
            <v>38393</v>
          </cell>
          <cell r="F2163" t="str">
            <v>5302</v>
          </cell>
          <cell r="G2163" t="str">
            <v>Maltbie Associates</v>
          </cell>
          <cell r="H2163">
            <v>1</v>
          </cell>
        </row>
        <row r="2164">
          <cell r="B2164" t="str">
            <v>SPOP</v>
          </cell>
          <cell r="C2164" t="str">
            <v>Invoice</v>
          </cell>
          <cell r="D2164">
            <v>38405</v>
          </cell>
          <cell r="F2164" t="str">
            <v>5338</v>
          </cell>
          <cell r="G2164" t="str">
            <v>Universal Exhibits</v>
          </cell>
          <cell r="H2164">
            <v>1</v>
          </cell>
        </row>
        <row r="2165">
          <cell r="B2165" t="str">
            <v>SPOP</v>
          </cell>
          <cell r="C2165" t="str">
            <v>Invoice</v>
          </cell>
          <cell r="D2165">
            <v>38488</v>
          </cell>
          <cell r="F2165" t="str">
            <v>4623a</v>
          </cell>
          <cell r="G2165" t="str">
            <v>Promotool</v>
          </cell>
          <cell r="H2165">
            <v>1</v>
          </cell>
        </row>
        <row r="2166">
          <cell r="B2166" t="str">
            <v>SPOP-C</v>
          </cell>
          <cell r="C2166" t="str">
            <v>Invoice</v>
          </cell>
          <cell r="D2166">
            <v>38371</v>
          </cell>
          <cell r="F2166" t="str">
            <v>5207</v>
          </cell>
          <cell r="G2166" t="str">
            <v>South Pacific Elixir Company Inc.</v>
          </cell>
          <cell r="H2166">
            <v>1</v>
          </cell>
        </row>
        <row r="2167">
          <cell r="B2167" t="str">
            <v>SPOP-C</v>
          </cell>
          <cell r="C2167" t="str">
            <v>Invoice</v>
          </cell>
          <cell r="D2167">
            <v>38378</v>
          </cell>
          <cell r="F2167" t="str">
            <v>5140</v>
          </cell>
          <cell r="G2167" t="str">
            <v>VendMax International Inc.</v>
          </cell>
          <cell r="H2167">
            <v>1</v>
          </cell>
        </row>
        <row r="2168">
          <cell r="B2168" t="str">
            <v>SPOP-C</v>
          </cell>
          <cell r="C2168" t="str">
            <v>Invoice</v>
          </cell>
          <cell r="D2168">
            <v>38385</v>
          </cell>
          <cell r="F2168" t="str">
            <v>5289</v>
          </cell>
          <cell r="G2168" t="str">
            <v>Yakima Valley Museum</v>
          </cell>
          <cell r="H2168">
            <v>1</v>
          </cell>
        </row>
        <row r="2169">
          <cell r="B2169" t="str">
            <v>SPOP-C</v>
          </cell>
          <cell r="C2169" t="str">
            <v>Invoice</v>
          </cell>
          <cell r="D2169">
            <v>38393</v>
          </cell>
          <cell r="F2169" t="str">
            <v>5302</v>
          </cell>
          <cell r="G2169" t="str">
            <v>Maltbie Associates</v>
          </cell>
          <cell r="H2169">
            <v>1</v>
          </cell>
        </row>
        <row r="2170">
          <cell r="B2170" t="str">
            <v>SPOP-C</v>
          </cell>
          <cell r="C2170" t="str">
            <v>Invoice</v>
          </cell>
          <cell r="D2170">
            <v>38427</v>
          </cell>
          <cell r="F2170" t="str">
            <v>5461</v>
          </cell>
          <cell r="G2170" t="str">
            <v>Pyramid Title Company</v>
          </cell>
          <cell r="H2170">
            <v>1</v>
          </cell>
        </row>
        <row r="2171">
          <cell r="B2171" t="str">
            <v>SPOP-C</v>
          </cell>
          <cell r="C2171" t="str">
            <v>Invoice</v>
          </cell>
          <cell r="D2171">
            <v>38488</v>
          </cell>
          <cell r="F2171" t="str">
            <v>4623a</v>
          </cell>
          <cell r="G2171" t="str">
            <v>Promotool</v>
          </cell>
          <cell r="H2171">
            <v>1</v>
          </cell>
        </row>
        <row r="2172">
          <cell r="B2172" t="str">
            <v>SPOPC-854</v>
          </cell>
          <cell r="C2172" t="str">
            <v>Invoice</v>
          </cell>
          <cell r="D2172">
            <v>38364</v>
          </cell>
          <cell r="F2172" t="str">
            <v>5156</v>
          </cell>
          <cell r="G2172" t="str">
            <v>We-Ko-Pa Golf Club</v>
          </cell>
          <cell r="H2172">
            <v>1</v>
          </cell>
        </row>
        <row r="2173">
          <cell r="B2173" t="str">
            <v>SPOPC-892</v>
          </cell>
          <cell r="C2173" t="str">
            <v>Invoice</v>
          </cell>
          <cell r="D2173">
            <v>38364</v>
          </cell>
          <cell r="F2173" t="str">
            <v>5156</v>
          </cell>
          <cell r="G2173" t="str">
            <v>We-Ko-Pa Golf Club</v>
          </cell>
          <cell r="H2173">
            <v>1</v>
          </cell>
        </row>
        <row r="2174">
          <cell r="B2174" t="str">
            <v>SS</v>
          </cell>
          <cell r="C2174" t="str">
            <v>Invoice</v>
          </cell>
          <cell r="D2174">
            <v>38406</v>
          </cell>
          <cell r="F2174" t="str">
            <v>5353</v>
          </cell>
          <cell r="G2174" t="str">
            <v>Exxon DDB Worldwide:Exxon DDB Worldwide #24239</v>
          </cell>
          <cell r="H2174">
            <v>1</v>
          </cell>
        </row>
        <row r="2175">
          <cell r="B2175" t="str">
            <v>SS</v>
          </cell>
          <cell r="C2175" t="str">
            <v>Invoice</v>
          </cell>
          <cell r="D2175">
            <v>38406</v>
          </cell>
          <cell r="F2175" t="str">
            <v>5352</v>
          </cell>
          <cell r="G2175" t="str">
            <v>Exxon DDB Worldwide:Exxon DDB Worldwide #20407</v>
          </cell>
          <cell r="H2175">
            <v>1</v>
          </cell>
        </row>
        <row r="2176">
          <cell r="B2176" t="str">
            <v>SS</v>
          </cell>
          <cell r="C2176" t="str">
            <v>Invoice</v>
          </cell>
          <cell r="D2176">
            <v>38406</v>
          </cell>
          <cell r="F2176" t="str">
            <v>5350</v>
          </cell>
          <cell r="G2176" t="str">
            <v>Exxon DDB Worldwide:Exxon DDB Worldwide #15022</v>
          </cell>
          <cell r="H2176">
            <v>1</v>
          </cell>
        </row>
        <row r="2177">
          <cell r="B2177" t="str">
            <v>SS</v>
          </cell>
          <cell r="C2177" t="str">
            <v>Invoice</v>
          </cell>
          <cell r="D2177">
            <v>38406</v>
          </cell>
          <cell r="F2177" t="str">
            <v>5354</v>
          </cell>
          <cell r="G2177" t="str">
            <v>Exxon DDB Worldwide# 2431</v>
          </cell>
          <cell r="H2177">
            <v>1</v>
          </cell>
        </row>
        <row r="2178">
          <cell r="B2178" t="str">
            <v>SS</v>
          </cell>
          <cell r="C2178" t="str">
            <v>Invoice</v>
          </cell>
          <cell r="D2178">
            <v>38406</v>
          </cell>
          <cell r="F2178" t="str">
            <v>5356</v>
          </cell>
          <cell r="G2178" t="str">
            <v>Exxon DDB Worldwide:Exxon DDB Worldwide #26308</v>
          </cell>
          <cell r="H2178">
            <v>1</v>
          </cell>
        </row>
        <row r="2179">
          <cell r="B2179" t="str">
            <v>SS</v>
          </cell>
          <cell r="C2179" t="str">
            <v>Invoice</v>
          </cell>
          <cell r="D2179">
            <v>38406</v>
          </cell>
          <cell r="F2179" t="str">
            <v>5357</v>
          </cell>
          <cell r="G2179" t="str">
            <v>Exxon DDB Worldwide:Exxon DDB Worldwide #30618</v>
          </cell>
          <cell r="H2179">
            <v>1</v>
          </cell>
        </row>
        <row r="2180">
          <cell r="B2180" t="str">
            <v>SS</v>
          </cell>
          <cell r="C2180" t="str">
            <v>Invoice</v>
          </cell>
          <cell r="D2180">
            <v>38406</v>
          </cell>
          <cell r="F2180" t="str">
            <v>5346</v>
          </cell>
          <cell r="G2180" t="str">
            <v>Exxon DDB Worldwide#11640</v>
          </cell>
          <cell r="H2180">
            <v>1</v>
          </cell>
        </row>
        <row r="2181">
          <cell r="B2181" t="str">
            <v>SS</v>
          </cell>
          <cell r="C2181" t="str">
            <v>Invoice</v>
          </cell>
          <cell r="D2181">
            <v>38406</v>
          </cell>
          <cell r="F2181" t="str">
            <v>5355</v>
          </cell>
          <cell r="G2181" t="str">
            <v>Exxon DDB Worldwide# 25329</v>
          </cell>
          <cell r="H2181">
            <v>1</v>
          </cell>
        </row>
        <row r="2182">
          <cell r="B2182" t="str">
            <v>SS</v>
          </cell>
          <cell r="C2182" t="str">
            <v>Invoice</v>
          </cell>
          <cell r="D2182">
            <v>38407</v>
          </cell>
          <cell r="F2182" t="str">
            <v>5345</v>
          </cell>
          <cell r="G2182" t="str">
            <v>Exxon DDB Worldwide#10241</v>
          </cell>
          <cell r="H2182">
            <v>1</v>
          </cell>
        </row>
        <row r="2183">
          <cell r="B2183" t="str">
            <v>SS</v>
          </cell>
          <cell r="C2183" t="str">
            <v>Invoice</v>
          </cell>
          <cell r="D2183">
            <v>38407</v>
          </cell>
          <cell r="F2183" t="str">
            <v>5347</v>
          </cell>
          <cell r="G2183" t="str">
            <v>Exxon DDB Worldwide:Exxon DDB Worldwide #11644</v>
          </cell>
          <cell r="H2183">
            <v>1</v>
          </cell>
        </row>
        <row r="2184">
          <cell r="B2184" t="str">
            <v>SS</v>
          </cell>
          <cell r="C2184" t="str">
            <v>Invoice</v>
          </cell>
          <cell r="D2184">
            <v>38422</v>
          </cell>
          <cell r="F2184" t="str">
            <v>5440</v>
          </cell>
          <cell r="G2184" t="str">
            <v>Car's The Star</v>
          </cell>
          <cell r="H2184">
            <v>1</v>
          </cell>
        </row>
        <row r="2185">
          <cell r="B2185" t="str">
            <v>SS</v>
          </cell>
          <cell r="C2185" t="str">
            <v>Invoice</v>
          </cell>
          <cell r="D2185">
            <v>38427</v>
          </cell>
          <cell r="F2185" t="str">
            <v>5450</v>
          </cell>
          <cell r="G2185" t="str">
            <v>Hard Rock Hotel</v>
          </cell>
          <cell r="H2185">
            <v>1</v>
          </cell>
        </row>
        <row r="2186">
          <cell r="B2186" t="str">
            <v>SS</v>
          </cell>
          <cell r="C2186" t="str">
            <v>Invoice</v>
          </cell>
          <cell r="D2186">
            <v>38440</v>
          </cell>
          <cell r="F2186" t="str">
            <v>5542</v>
          </cell>
          <cell r="G2186" t="str">
            <v>Hard Rock Hotel</v>
          </cell>
          <cell r="H2186">
            <v>1</v>
          </cell>
        </row>
        <row r="2187">
          <cell r="B2187" t="str">
            <v>SS</v>
          </cell>
          <cell r="C2187" t="str">
            <v>Invoice</v>
          </cell>
          <cell r="D2187">
            <v>38440</v>
          </cell>
          <cell r="F2187" t="str">
            <v>5519</v>
          </cell>
          <cell r="G2187" t="str">
            <v>Exxon DDB Worldwide:Exxon DDB Worldwide #15022</v>
          </cell>
          <cell r="H2187">
            <v>1</v>
          </cell>
        </row>
        <row r="2188">
          <cell r="B2188" t="str">
            <v>SS</v>
          </cell>
          <cell r="C2188" t="str">
            <v>Invoice</v>
          </cell>
          <cell r="D2188">
            <v>38440</v>
          </cell>
          <cell r="F2188" t="str">
            <v>5523</v>
          </cell>
          <cell r="G2188" t="str">
            <v>Exxon DDB Worldwide:Exxon DDB Worldwide #20407</v>
          </cell>
          <cell r="H2188">
            <v>1</v>
          </cell>
        </row>
        <row r="2189">
          <cell r="B2189" t="str">
            <v>SS</v>
          </cell>
          <cell r="C2189" t="str">
            <v>Invoice</v>
          </cell>
          <cell r="D2189">
            <v>38440</v>
          </cell>
          <cell r="F2189" t="str">
            <v>5525</v>
          </cell>
          <cell r="G2189" t="str">
            <v>Exxon DDB Worldwide:Exxon DDB Worldwide #24239</v>
          </cell>
          <cell r="H2189">
            <v>1</v>
          </cell>
        </row>
        <row r="2190">
          <cell r="B2190" t="str">
            <v>SS</v>
          </cell>
          <cell r="C2190" t="str">
            <v>Invoice</v>
          </cell>
          <cell r="D2190">
            <v>38440</v>
          </cell>
          <cell r="F2190" t="str">
            <v>5527</v>
          </cell>
          <cell r="G2190" t="str">
            <v>Exxon DDB Worldwide:Exxon DDB Worldwide #24239</v>
          </cell>
          <cell r="H2190">
            <v>1</v>
          </cell>
        </row>
        <row r="2191">
          <cell r="B2191" t="str">
            <v>SS</v>
          </cell>
          <cell r="C2191" t="str">
            <v>Invoice</v>
          </cell>
          <cell r="D2191">
            <v>38440</v>
          </cell>
          <cell r="F2191" t="str">
            <v>5526</v>
          </cell>
          <cell r="G2191" t="str">
            <v>Exxon DDB Worldwide# 2431</v>
          </cell>
          <cell r="H2191">
            <v>1</v>
          </cell>
        </row>
        <row r="2192">
          <cell r="B2192" t="str">
            <v>SS</v>
          </cell>
          <cell r="C2192" t="str">
            <v>Invoice</v>
          </cell>
          <cell r="D2192">
            <v>38440</v>
          </cell>
          <cell r="F2192" t="str">
            <v>5524</v>
          </cell>
          <cell r="G2192" t="str">
            <v>Exxon DDB Worldwide:Exxon DDB Worldwide #26308</v>
          </cell>
          <cell r="H2192">
            <v>1</v>
          </cell>
        </row>
        <row r="2193">
          <cell r="B2193" t="str">
            <v>SS</v>
          </cell>
          <cell r="C2193" t="str">
            <v>Invoice</v>
          </cell>
          <cell r="D2193">
            <v>38440</v>
          </cell>
          <cell r="F2193" t="str">
            <v>5514</v>
          </cell>
          <cell r="G2193" t="str">
            <v>Exxon DDB Worldwide#10241</v>
          </cell>
          <cell r="H2193">
            <v>1</v>
          </cell>
        </row>
        <row r="2194">
          <cell r="B2194" t="str">
            <v>SS</v>
          </cell>
          <cell r="C2194" t="str">
            <v>Invoice</v>
          </cell>
          <cell r="D2194">
            <v>38440</v>
          </cell>
          <cell r="F2194" t="str">
            <v>5517</v>
          </cell>
          <cell r="G2194" t="str">
            <v>Exxon DDB Worldwide#11640</v>
          </cell>
          <cell r="H2194">
            <v>1</v>
          </cell>
        </row>
        <row r="2195">
          <cell r="B2195" t="str">
            <v>SS</v>
          </cell>
          <cell r="C2195" t="str">
            <v>Invoice</v>
          </cell>
          <cell r="D2195">
            <v>38440</v>
          </cell>
          <cell r="F2195" t="str">
            <v>5518</v>
          </cell>
          <cell r="G2195" t="str">
            <v>Exxon DDB Worldwide:Exxon DDB Worldwide #11644</v>
          </cell>
          <cell r="H2195">
            <v>1</v>
          </cell>
        </row>
        <row r="2196">
          <cell r="B2196" t="str">
            <v>SS</v>
          </cell>
          <cell r="C2196" t="str">
            <v>Invoice</v>
          </cell>
          <cell r="D2196">
            <v>38442</v>
          </cell>
          <cell r="F2196" t="str">
            <v>5561-I</v>
          </cell>
          <cell r="G2196" t="str">
            <v>Hard Rock Hotel</v>
          </cell>
          <cell r="H2196">
            <v>1</v>
          </cell>
        </row>
        <row r="2197">
          <cell r="B2197" t="str">
            <v>SS</v>
          </cell>
          <cell r="C2197" t="str">
            <v>Invoice</v>
          </cell>
          <cell r="D2197">
            <v>38442</v>
          </cell>
          <cell r="F2197" t="str">
            <v>5522</v>
          </cell>
          <cell r="G2197" t="str">
            <v>Exxon DDB Worldwide:Exxon DDB Worldwide #30618</v>
          </cell>
          <cell r="H2197">
            <v>1</v>
          </cell>
        </row>
        <row r="2198">
          <cell r="B2198" t="str">
            <v>SS</v>
          </cell>
          <cell r="C2198" t="str">
            <v>Invoice</v>
          </cell>
          <cell r="D2198">
            <v>38467</v>
          </cell>
          <cell r="F2198" t="str">
            <v>5595</v>
          </cell>
          <cell r="G2198" t="str">
            <v>Hershey's, Inc.:Hershey's Chicago</v>
          </cell>
          <cell r="H2198">
            <v>1</v>
          </cell>
        </row>
        <row r="2199">
          <cell r="B2199" t="str">
            <v>Suspensed Credits</v>
          </cell>
          <cell r="C2199" t="str">
            <v>Invoice</v>
          </cell>
          <cell r="D2199">
            <v>38353</v>
          </cell>
          <cell r="F2199" t="str">
            <v>0001</v>
          </cell>
          <cell r="G2199" t="str">
            <v>General Growth Properties-Quail Springs</v>
          </cell>
          <cell r="H2199">
            <v>1</v>
          </cell>
        </row>
        <row r="2200">
          <cell r="B2200" t="str">
            <v>Suspensed Credits</v>
          </cell>
          <cell r="C2200" t="str">
            <v>Invoice</v>
          </cell>
          <cell r="D2200">
            <v>38353</v>
          </cell>
          <cell r="F2200" t="str">
            <v>0002</v>
          </cell>
          <cell r="G2200" t="str">
            <v>American Solutions Inc.</v>
          </cell>
          <cell r="H2200">
            <v>1</v>
          </cell>
        </row>
        <row r="2201">
          <cell r="B2201" t="str">
            <v>Suspensed Credits</v>
          </cell>
          <cell r="C2201" t="str">
            <v>Invoice</v>
          </cell>
          <cell r="D2201">
            <v>38366</v>
          </cell>
          <cell r="F2201" t="str">
            <v>4</v>
          </cell>
          <cell r="G2201" t="str">
            <v>Dylan's Candy Bar - NYC</v>
          </cell>
          <cell r="H2201">
            <v>1</v>
          </cell>
        </row>
        <row r="2202">
          <cell r="B2202" t="str">
            <v>Suspensed Credits</v>
          </cell>
          <cell r="C2202" t="str">
            <v>Invoice</v>
          </cell>
          <cell r="D2202">
            <v>38366</v>
          </cell>
          <cell r="F2202" t="str">
            <v>6</v>
          </cell>
          <cell r="G2202" t="str">
            <v>Sunset Conglomerate Restaurants Inc.</v>
          </cell>
          <cell r="H2202">
            <v>1</v>
          </cell>
        </row>
        <row r="2203">
          <cell r="B2203" t="str">
            <v>Suspensed Credits</v>
          </cell>
          <cell r="C2203" t="str">
            <v>Invoice</v>
          </cell>
          <cell r="D2203">
            <v>38371</v>
          </cell>
          <cell r="F2203" t="str">
            <v>5206</v>
          </cell>
          <cell r="G2203" t="str">
            <v>NBC Experience Store</v>
          </cell>
          <cell r="H2203">
            <v>1</v>
          </cell>
        </row>
        <row r="2204">
          <cell r="B2204" t="str">
            <v>Suspensed Credits</v>
          </cell>
          <cell r="C2204" t="str">
            <v>Invoice</v>
          </cell>
          <cell r="D2204">
            <v>38425</v>
          </cell>
          <cell r="F2204" t="str">
            <v>0006</v>
          </cell>
          <cell r="G2204" t="str">
            <v>Sony Style Denver (Old)</v>
          </cell>
          <cell r="H2204">
            <v>1</v>
          </cell>
        </row>
        <row r="2205">
          <cell r="B2205" t="str">
            <v>Suspensed Credits</v>
          </cell>
          <cell r="C2205" t="str">
            <v>Invoice</v>
          </cell>
          <cell r="D2205">
            <v>38442</v>
          </cell>
          <cell r="F2205" t="str">
            <v>7</v>
          </cell>
          <cell r="G2205" t="str">
            <v>Sony Style #63</v>
          </cell>
          <cell r="H2205">
            <v>1</v>
          </cell>
        </row>
        <row r="2206">
          <cell r="B2206" t="str">
            <v>Suspensed Credits</v>
          </cell>
          <cell r="C2206" t="str">
            <v>Invoice</v>
          </cell>
          <cell r="D2206">
            <v>38454</v>
          </cell>
          <cell r="F2206" t="str">
            <v>3</v>
          </cell>
          <cell r="G2206" t="str">
            <v>Powernet Global</v>
          </cell>
          <cell r="H2206">
            <v>1</v>
          </cell>
        </row>
        <row r="2207">
          <cell r="B2207" t="str">
            <v>Suspensed Credits</v>
          </cell>
          <cell r="C2207" t="str">
            <v>Invoice</v>
          </cell>
          <cell r="D2207">
            <v>38470</v>
          </cell>
          <cell r="F2207" t="str">
            <v>0011</v>
          </cell>
          <cell r="G2207" t="str">
            <v>Universal Exhibits</v>
          </cell>
          <cell r="H2207">
            <v>1</v>
          </cell>
        </row>
        <row r="2208">
          <cell r="B2208" t="str">
            <v>Suspensed Credits</v>
          </cell>
          <cell r="C2208" t="str">
            <v>Invoice</v>
          </cell>
          <cell r="D2208">
            <v>38474</v>
          </cell>
          <cell r="F2208" t="str">
            <v>0003</v>
          </cell>
          <cell r="G2208" t="str">
            <v>Owlfie's Flowers and Gifts</v>
          </cell>
          <cell r="H2208">
            <v>1</v>
          </cell>
        </row>
        <row r="2209">
          <cell r="B2209" t="str">
            <v>Suspensed Credits</v>
          </cell>
          <cell r="C2209" t="str">
            <v>Invoice</v>
          </cell>
          <cell r="D2209">
            <v>38492</v>
          </cell>
          <cell r="F2209" t="str">
            <v>0007</v>
          </cell>
          <cell r="G2209" t="str">
            <v>Lee-Moore Oil Company:Exxon OTR - 30</v>
          </cell>
          <cell r="H2209">
            <v>1</v>
          </cell>
        </row>
        <row r="2210">
          <cell r="B2210" t="str">
            <v>Suspensed Credits</v>
          </cell>
          <cell r="C2210" t="str">
            <v>Invoice</v>
          </cell>
          <cell r="D2210">
            <v>38506</v>
          </cell>
          <cell r="F2210" t="str">
            <v>0010</v>
          </cell>
          <cell r="G2210" t="str">
            <v>Owlfie's Flowers and Gifts</v>
          </cell>
          <cell r="H2210">
            <v>1</v>
          </cell>
        </row>
        <row r="2211">
          <cell r="B2211" t="str">
            <v>Suspensed Credits</v>
          </cell>
          <cell r="C2211" t="str">
            <v>Invoice</v>
          </cell>
          <cell r="D2211">
            <v>38525</v>
          </cell>
          <cell r="F2211" t="str">
            <v>0009</v>
          </cell>
          <cell r="G2211" t="str">
            <v>Jimmy Choo (Corporate Office)</v>
          </cell>
          <cell r="H2211">
            <v>1</v>
          </cell>
        </row>
        <row r="2212">
          <cell r="B2212" t="str">
            <v>Suspensed Debits</v>
          </cell>
          <cell r="C2212" t="str">
            <v>Invoice</v>
          </cell>
          <cell r="D2212">
            <v>38373</v>
          </cell>
          <cell r="F2212" t="str">
            <v>9999</v>
          </cell>
          <cell r="G2212" t="str">
            <v>Lindstrom Co.</v>
          </cell>
          <cell r="H2212">
            <v>1</v>
          </cell>
        </row>
        <row r="2213">
          <cell r="B2213" t="str">
            <v>SWC-1000</v>
          </cell>
          <cell r="C2213" t="str">
            <v>Invoice</v>
          </cell>
          <cell r="D2213">
            <v>38455</v>
          </cell>
          <cell r="F2213" t="str">
            <v>5601</v>
          </cell>
          <cell r="G2213" t="str">
            <v>Hustler Hollywood - Lexington, KY</v>
          </cell>
          <cell r="H2213">
            <v>1</v>
          </cell>
        </row>
        <row r="2214">
          <cell r="B2214" t="str">
            <v>SWC1000-0142</v>
          </cell>
          <cell r="C2214" t="str">
            <v>Invoice</v>
          </cell>
          <cell r="D2214">
            <v>38596</v>
          </cell>
          <cell r="F2214" t="str">
            <v>7805</v>
          </cell>
          <cell r="G2214" t="str">
            <v>Johnny Ackles</v>
          </cell>
          <cell r="H2214">
            <v>1</v>
          </cell>
        </row>
        <row r="2215">
          <cell r="B2215" t="str">
            <v>SWC1000-0153</v>
          </cell>
          <cell r="C2215" t="str">
            <v>Invoice</v>
          </cell>
          <cell r="D2215">
            <v>38440</v>
          </cell>
          <cell r="F2215" t="str">
            <v>5502</v>
          </cell>
          <cell r="G2215" t="str">
            <v>Florida Aquarium</v>
          </cell>
          <cell r="H2215">
            <v>1</v>
          </cell>
        </row>
        <row r="2216">
          <cell r="B2216" t="str">
            <v>SWC1000-0153</v>
          </cell>
          <cell r="C2216" t="str">
            <v>Invoice</v>
          </cell>
          <cell r="D2216">
            <v>38443</v>
          </cell>
          <cell r="F2216" t="str">
            <v>5534</v>
          </cell>
          <cell r="G2216" t="str">
            <v>Hustler Hollywood - Cincinnati, OH</v>
          </cell>
          <cell r="H2216">
            <v>1</v>
          </cell>
        </row>
        <row r="2217">
          <cell r="B2217" t="str">
            <v>SWC1000-0153</v>
          </cell>
          <cell r="C2217" t="str">
            <v>Invoice</v>
          </cell>
          <cell r="D2217">
            <v>38467</v>
          </cell>
          <cell r="F2217" t="str">
            <v>5630</v>
          </cell>
          <cell r="G2217" t="str">
            <v>Florida Aquarium</v>
          </cell>
          <cell r="H2217">
            <v>1</v>
          </cell>
        </row>
        <row r="2218">
          <cell r="B2218" t="str">
            <v>SWC1000-0153</v>
          </cell>
          <cell r="C2218" t="str">
            <v>Invoice</v>
          </cell>
          <cell r="D2218">
            <v>38495</v>
          </cell>
          <cell r="F2218" t="str">
            <v>6107</v>
          </cell>
          <cell r="G2218" t="str">
            <v>Hustler Hollywood - Cincinnati, OH</v>
          </cell>
          <cell r="H2218">
            <v>1</v>
          </cell>
        </row>
        <row r="2219">
          <cell r="B2219" t="str">
            <v>SWC1000-0153</v>
          </cell>
          <cell r="C2219" t="str">
            <v>Invoice</v>
          </cell>
          <cell r="D2219">
            <v>38516</v>
          </cell>
          <cell r="F2219" t="str">
            <v>6351</v>
          </cell>
          <cell r="G2219" t="str">
            <v>Florida Aquarium</v>
          </cell>
          <cell r="H2219">
            <v>1</v>
          </cell>
        </row>
        <row r="2220">
          <cell r="B2220" t="str">
            <v>SWC1000-0153</v>
          </cell>
          <cell r="C2220" t="str">
            <v>Invoice</v>
          </cell>
          <cell r="D2220">
            <v>38542</v>
          </cell>
          <cell r="F2220" t="str">
            <v>6352</v>
          </cell>
          <cell r="G2220" t="str">
            <v>Florida Aquarium</v>
          </cell>
          <cell r="H2220">
            <v>1</v>
          </cell>
        </row>
        <row r="2221">
          <cell r="B2221" t="str">
            <v>SWC1000-0153</v>
          </cell>
          <cell r="C2221" t="str">
            <v>Invoice</v>
          </cell>
          <cell r="D2221">
            <v>38569</v>
          </cell>
          <cell r="F2221" t="str">
            <v>5582</v>
          </cell>
          <cell r="G2221" t="str">
            <v>Florida Aquarium</v>
          </cell>
          <cell r="H2221">
            <v>1</v>
          </cell>
        </row>
        <row r="2222">
          <cell r="B2222" t="str">
            <v>SWC1000-0153</v>
          </cell>
          <cell r="C2222" t="str">
            <v>Invoice</v>
          </cell>
          <cell r="D2222">
            <v>38586</v>
          </cell>
          <cell r="F2222" t="str">
            <v>7645</v>
          </cell>
          <cell r="G2222" t="str">
            <v>Sea World Orlando</v>
          </cell>
          <cell r="H2222">
            <v>1</v>
          </cell>
        </row>
        <row r="2223">
          <cell r="B2223" t="str">
            <v>SWC1000-0153</v>
          </cell>
          <cell r="C2223" t="str">
            <v>Invoice</v>
          </cell>
          <cell r="D2223">
            <v>38602</v>
          </cell>
          <cell r="F2223" t="str">
            <v>7188</v>
          </cell>
          <cell r="G2223" t="str">
            <v>Florida Aquarium</v>
          </cell>
          <cell r="H2223">
            <v>1</v>
          </cell>
        </row>
        <row r="2224">
          <cell r="B2224" t="str">
            <v>SWC1000-0174</v>
          </cell>
          <cell r="C2224" t="str">
            <v>Invoice</v>
          </cell>
          <cell r="D2224">
            <v>38475</v>
          </cell>
          <cell r="F2224" t="str">
            <v>5644</v>
          </cell>
          <cell r="G2224" t="str">
            <v>Hustler Hollywood - Lexington, KY</v>
          </cell>
          <cell r="H2224">
            <v>1</v>
          </cell>
        </row>
        <row r="2225">
          <cell r="B2225" t="str">
            <v>SWC1000-0174</v>
          </cell>
          <cell r="C2225" t="str">
            <v>Invoice</v>
          </cell>
          <cell r="D2225">
            <v>38513</v>
          </cell>
          <cell r="F2225" t="str">
            <v>5534A</v>
          </cell>
          <cell r="G2225" t="str">
            <v>Aritza</v>
          </cell>
          <cell r="H2225">
            <v>1</v>
          </cell>
        </row>
        <row r="2226">
          <cell r="B2226" t="str">
            <v>SWC1000-0174</v>
          </cell>
          <cell r="C2226" t="str">
            <v>Invoice</v>
          </cell>
          <cell r="D2226">
            <v>38519</v>
          </cell>
          <cell r="F2226" t="str">
            <v>6291</v>
          </cell>
          <cell r="G2226" t="str">
            <v>Celebration Health</v>
          </cell>
          <cell r="H2226">
            <v>1</v>
          </cell>
        </row>
        <row r="2227">
          <cell r="B2227" t="str">
            <v>SWC1000-0174</v>
          </cell>
          <cell r="C2227" t="str">
            <v>Invoice</v>
          </cell>
          <cell r="D2227">
            <v>38562</v>
          </cell>
          <cell r="F2227" t="str">
            <v>6292</v>
          </cell>
          <cell r="G2227" t="str">
            <v>Celebration Health</v>
          </cell>
          <cell r="H2227">
            <v>1</v>
          </cell>
        </row>
        <row r="2228">
          <cell r="B2228" t="str">
            <v>SWC1000-0174</v>
          </cell>
          <cell r="C2228" t="str">
            <v>Invoice</v>
          </cell>
          <cell r="D2228">
            <v>38609</v>
          </cell>
          <cell r="F2228" t="str">
            <v>6293</v>
          </cell>
          <cell r="G2228" t="str">
            <v>Celebration Health</v>
          </cell>
          <cell r="H2228">
            <v>1</v>
          </cell>
        </row>
        <row r="2229">
          <cell r="B2229" t="str">
            <v>SWC1000-0218</v>
          </cell>
          <cell r="C2229" t="str">
            <v>Invoice</v>
          </cell>
          <cell r="D2229">
            <v>38519</v>
          </cell>
          <cell r="F2229" t="str">
            <v>6363</v>
          </cell>
          <cell r="G2229" t="str">
            <v>Bob Bullock Texas State Historical Museum</v>
          </cell>
          <cell r="H2229">
            <v>1</v>
          </cell>
        </row>
        <row r="2230">
          <cell r="B2230" t="str">
            <v>SWC1000-0218</v>
          </cell>
          <cell r="C2230" t="str">
            <v>Invoice</v>
          </cell>
          <cell r="D2230">
            <v>38531</v>
          </cell>
          <cell r="F2230" t="str">
            <v>6423</v>
          </cell>
          <cell r="G2230" t="str">
            <v>Bob Bullock Texas State Historical Museum</v>
          </cell>
          <cell r="H2230">
            <v>1</v>
          </cell>
        </row>
        <row r="2231">
          <cell r="B2231" t="str">
            <v>SWC1000-0375</v>
          </cell>
          <cell r="C2231" t="str">
            <v>Invoice</v>
          </cell>
          <cell r="D2231">
            <v>38481</v>
          </cell>
          <cell r="F2231" t="str">
            <v>5459</v>
          </cell>
          <cell r="G2231" t="str">
            <v>Copeland Sports</v>
          </cell>
          <cell r="H2231">
            <v>1</v>
          </cell>
        </row>
        <row r="2232">
          <cell r="B2232" t="str">
            <v>SWC1000-0402</v>
          </cell>
          <cell r="C2232" t="str">
            <v>Invoice</v>
          </cell>
          <cell r="D2232">
            <v>38495</v>
          </cell>
          <cell r="F2232" t="str">
            <v>6115</v>
          </cell>
          <cell r="G2232" t="str">
            <v>The Grace Museum</v>
          </cell>
          <cell r="H2232">
            <v>1</v>
          </cell>
        </row>
        <row r="2233">
          <cell r="B2233" t="str">
            <v>SWC1000-0493</v>
          </cell>
          <cell r="C2233" t="str">
            <v>Invoice</v>
          </cell>
          <cell r="D2233">
            <v>38421</v>
          </cell>
          <cell r="F2233" t="str">
            <v>5420</v>
          </cell>
          <cell r="G2233" t="str">
            <v>Dylan's Candy Bar - NYC</v>
          </cell>
          <cell r="H2233">
            <v>1</v>
          </cell>
        </row>
        <row r="2234">
          <cell r="B2234" t="str">
            <v>SWC1000-0493</v>
          </cell>
          <cell r="C2234" t="str">
            <v>Invoice</v>
          </cell>
          <cell r="D2234">
            <v>38440</v>
          </cell>
          <cell r="F2234" t="str">
            <v>5537</v>
          </cell>
          <cell r="G2234" t="str">
            <v>Dylan's Candy Bar:Dylan's Candy Bar NY#1</v>
          </cell>
          <cell r="H2234">
            <v>1</v>
          </cell>
        </row>
        <row r="2235">
          <cell r="B2235" t="str">
            <v>SWC1000-0493</v>
          </cell>
          <cell r="C2235" t="str">
            <v>Invoice</v>
          </cell>
          <cell r="D2235">
            <v>38475</v>
          </cell>
          <cell r="F2235" t="str">
            <v>5646</v>
          </cell>
          <cell r="G2235" t="str">
            <v>Dylan's Candy Bar:Dylan's Candy Bar NY#1</v>
          </cell>
          <cell r="H2235">
            <v>1</v>
          </cell>
        </row>
        <row r="2236">
          <cell r="B2236" t="str">
            <v>SWC1000-0493</v>
          </cell>
          <cell r="C2236" t="str">
            <v>Invoice</v>
          </cell>
          <cell r="D2236">
            <v>38496</v>
          </cell>
          <cell r="F2236" t="str">
            <v>6101</v>
          </cell>
          <cell r="G2236" t="str">
            <v>Dylan's Candy Bar - NYC</v>
          </cell>
          <cell r="H2236">
            <v>1</v>
          </cell>
        </row>
        <row r="2237">
          <cell r="B2237" t="str">
            <v>SWC1000-0493</v>
          </cell>
          <cell r="C2237" t="str">
            <v>Invoice</v>
          </cell>
          <cell r="D2237">
            <v>38519</v>
          </cell>
          <cell r="F2237" t="str">
            <v>6312</v>
          </cell>
          <cell r="G2237" t="str">
            <v>Dylan's Candy Bar - NYC</v>
          </cell>
          <cell r="H2237">
            <v>1</v>
          </cell>
        </row>
        <row r="2238">
          <cell r="B2238" t="str">
            <v>SWC1000-0496</v>
          </cell>
          <cell r="C2238" t="str">
            <v>Invoice</v>
          </cell>
          <cell r="D2238">
            <v>38421</v>
          </cell>
          <cell r="F2238" t="str">
            <v>5420</v>
          </cell>
          <cell r="G2238" t="str">
            <v>Dylan's Candy Bar - NYC</v>
          </cell>
          <cell r="H2238">
            <v>1</v>
          </cell>
        </row>
        <row r="2239">
          <cell r="B2239" t="str">
            <v>SWC1000-0496</v>
          </cell>
          <cell r="C2239" t="str">
            <v>Invoice</v>
          </cell>
          <cell r="D2239">
            <v>38440</v>
          </cell>
          <cell r="F2239" t="str">
            <v>5537</v>
          </cell>
          <cell r="G2239" t="str">
            <v>Dylan's Candy Bar:Dylan's Candy Bar NY#1</v>
          </cell>
          <cell r="H2239">
            <v>1</v>
          </cell>
        </row>
        <row r="2240">
          <cell r="B2240" t="str">
            <v>SWC1000-0496</v>
          </cell>
          <cell r="C2240" t="str">
            <v>Invoice</v>
          </cell>
          <cell r="D2240">
            <v>38475</v>
          </cell>
          <cell r="F2240" t="str">
            <v>5646</v>
          </cell>
          <cell r="G2240" t="str">
            <v>Dylan's Candy Bar:Dylan's Candy Bar NY#1</v>
          </cell>
          <cell r="H2240">
            <v>1</v>
          </cell>
        </row>
        <row r="2241">
          <cell r="B2241" t="str">
            <v>SWC1000-0496</v>
          </cell>
          <cell r="C2241" t="str">
            <v>Invoice</v>
          </cell>
          <cell r="D2241">
            <v>38496</v>
          </cell>
          <cell r="F2241" t="str">
            <v>6101</v>
          </cell>
          <cell r="G2241" t="str">
            <v>Dylan's Candy Bar - NYC</v>
          </cell>
          <cell r="H2241">
            <v>1</v>
          </cell>
        </row>
        <row r="2242">
          <cell r="B2242" t="str">
            <v>SWC1000-0496</v>
          </cell>
          <cell r="C2242" t="str">
            <v>Invoice</v>
          </cell>
          <cell r="D2242">
            <v>38503</v>
          </cell>
          <cell r="F2242" t="str">
            <v>6164</v>
          </cell>
          <cell r="G2242" t="str">
            <v>Dylan's Candy Bar:Dylan's Candy Bar NY#1</v>
          </cell>
          <cell r="H2242">
            <v>1</v>
          </cell>
        </row>
        <row r="2243">
          <cell r="B2243" t="str">
            <v>SWC1000-0496</v>
          </cell>
          <cell r="C2243" t="str">
            <v>Invoice</v>
          </cell>
          <cell r="D2243">
            <v>38519</v>
          </cell>
          <cell r="F2243" t="str">
            <v>6312</v>
          </cell>
          <cell r="G2243" t="str">
            <v>Dylan's Candy Bar - NYC</v>
          </cell>
          <cell r="H2243">
            <v>1</v>
          </cell>
        </row>
        <row r="2244">
          <cell r="B2244" t="str">
            <v>SWC1000-0496</v>
          </cell>
          <cell r="C2244" t="str">
            <v>Invoice</v>
          </cell>
          <cell r="D2244">
            <v>38609</v>
          </cell>
          <cell r="F2244" t="str">
            <v>7933</v>
          </cell>
          <cell r="G2244" t="str">
            <v>North Hill Bowl</v>
          </cell>
          <cell r="H2244">
            <v>1</v>
          </cell>
        </row>
        <row r="2245">
          <cell r="B2245" t="str">
            <v>SWC1000-0521</v>
          </cell>
          <cell r="C2245" t="str">
            <v>Invoice</v>
          </cell>
          <cell r="D2245">
            <v>38467</v>
          </cell>
          <cell r="F2245" t="str">
            <v>5696</v>
          </cell>
          <cell r="G2245" t="str">
            <v>Cafe Aroma</v>
          </cell>
          <cell r="H2245">
            <v>1</v>
          </cell>
        </row>
        <row r="2246">
          <cell r="B2246" t="str">
            <v>SWC1000-0521</v>
          </cell>
          <cell r="C2246" t="str">
            <v>Invoice</v>
          </cell>
          <cell r="D2246">
            <v>38484</v>
          </cell>
          <cell r="F2246" t="str">
            <v>6016</v>
          </cell>
          <cell r="G2246" t="str">
            <v>VendMax International Inc.</v>
          </cell>
          <cell r="H2246">
            <v>1</v>
          </cell>
        </row>
        <row r="2247">
          <cell r="B2247" t="str">
            <v>SWC1000-0729</v>
          </cell>
          <cell r="C2247" t="str">
            <v>Invoice</v>
          </cell>
          <cell r="D2247">
            <v>38516</v>
          </cell>
          <cell r="F2247" t="str">
            <v>6287</v>
          </cell>
          <cell r="G2247" t="str">
            <v>Nutraceutical/Fresh Organics</v>
          </cell>
          <cell r="H2247">
            <v>1</v>
          </cell>
        </row>
        <row r="2248">
          <cell r="B2248" t="str">
            <v>SWC1000-0729</v>
          </cell>
          <cell r="C2248" t="str">
            <v>Invoice</v>
          </cell>
          <cell r="D2248">
            <v>38553</v>
          </cell>
          <cell r="F2248" t="str">
            <v>7160</v>
          </cell>
          <cell r="G2248" t="str">
            <v>Cosentino Food Stores</v>
          </cell>
          <cell r="H2248">
            <v>1</v>
          </cell>
        </row>
        <row r="2249">
          <cell r="B2249" t="str">
            <v>SWC1000-0782</v>
          </cell>
          <cell r="C2249" t="str">
            <v>Invoice</v>
          </cell>
          <cell r="D2249">
            <v>38440</v>
          </cell>
          <cell r="F2249" t="str">
            <v>5498</v>
          </cell>
          <cell r="G2249" t="str">
            <v>Silks By Mu-Mu Manufactuteres</v>
          </cell>
          <cell r="H2249">
            <v>1</v>
          </cell>
        </row>
        <row r="2250">
          <cell r="B2250" t="str">
            <v>SWC1000-0782</v>
          </cell>
          <cell r="C2250" t="str">
            <v>Invoice</v>
          </cell>
          <cell r="D2250">
            <v>38440</v>
          </cell>
          <cell r="F2250" t="str">
            <v>5516</v>
          </cell>
          <cell r="G2250" t="str">
            <v>Ashley Furniture HomeStore</v>
          </cell>
          <cell r="H2250">
            <v>1</v>
          </cell>
        </row>
        <row r="2251">
          <cell r="B2251" t="str">
            <v>SWC1000-0782</v>
          </cell>
          <cell r="C2251" t="str">
            <v>Invoice</v>
          </cell>
          <cell r="D2251">
            <v>38461</v>
          </cell>
          <cell r="F2251" t="str">
            <v>5623</v>
          </cell>
          <cell r="G2251" t="str">
            <v>Ashley Furniture HomeStore</v>
          </cell>
          <cell r="H2251">
            <v>1</v>
          </cell>
        </row>
        <row r="2252">
          <cell r="B2252" t="str">
            <v>SWC1000-0782</v>
          </cell>
          <cell r="C2252" t="str">
            <v>Invoice</v>
          </cell>
          <cell r="D2252">
            <v>38467</v>
          </cell>
          <cell r="F2252" t="str">
            <v>5632</v>
          </cell>
          <cell r="G2252" t="str">
            <v>Silks By Mu-Mu Manufactuteres</v>
          </cell>
          <cell r="H2252">
            <v>1</v>
          </cell>
        </row>
        <row r="2253">
          <cell r="B2253" t="str">
            <v>SWC1000-0782</v>
          </cell>
          <cell r="C2253" t="str">
            <v>Invoice</v>
          </cell>
          <cell r="D2253">
            <v>38491</v>
          </cell>
          <cell r="F2253" t="str">
            <v>6081A</v>
          </cell>
          <cell r="G2253" t="str">
            <v>Ashley Furniture HomeStore</v>
          </cell>
          <cell r="H2253">
            <v>1</v>
          </cell>
        </row>
        <row r="2254">
          <cell r="B2254" t="str">
            <v>SWC1000-0782</v>
          </cell>
          <cell r="C2254" t="str">
            <v>Invoice</v>
          </cell>
          <cell r="D2254">
            <v>38497</v>
          </cell>
          <cell r="F2254" t="str">
            <v>6106</v>
          </cell>
          <cell r="G2254" t="str">
            <v>Silks By Mu-Mu Manufactuteres</v>
          </cell>
          <cell r="H2254">
            <v>1</v>
          </cell>
        </row>
        <row r="2255">
          <cell r="B2255" t="str">
            <v>SWC1000-0782</v>
          </cell>
          <cell r="C2255" t="str">
            <v>Invoice</v>
          </cell>
          <cell r="D2255">
            <v>38499</v>
          </cell>
          <cell r="F2255" t="str">
            <v>6171</v>
          </cell>
          <cell r="G2255" t="str">
            <v>Silks By Mu-Mu Manufactuteres</v>
          </cell>
          <cell r="H2255">
            <v>1</v>
          </cell>
        </row>
        <row r="2256">
          <cell r="B2256" t="str">
            <v>SWC1000-0782</v>
          </cell>
          <cell r="C2256" t="str">
            <v>Invoice</v>
          </cell>
          <cell r="D2256">
            <v>38624</v>
          </cell>
          <cell r="F2256" t="str">
            <v>8155</v>
          </cell>
          <cell r="G2256" t="str">
            <v>Silks By Mu-Mu Manufactuteres</v>
          </cell>
          <cell r="H2256">
            <v>1</v>
          </cell>
        </row>
        <row r="2257">
          <cell r="B2257" t="str">
            <v>SWC1000-0783</v>
          </cell>
          <cell r="C2257" t="str">
            <v>Invoice</v>
          </cell>
          <cell r="D2257">
            <v>38583</v>
          </cell>
          <cell r="F2257" t="str">
            <v>7511</v>
          </cell>
          <cell r="G2257" t="str">
            <v>Arkitectura Urbana</v>
          </cell>
          <cell r="H2257">
            <v>1</v>
          </cell>
        </row>
        <row r="2258">
          <cell r="B2258" t="str">
            <v>SWC1000-0783</v>
          </cell>
          <cell r="C2258" t="str">
            <v>Invoice</v>
          </cell>
          <cell r="D2258">
            <v>38596</v>
          </cell>
          <cell r="F2258" t="str">
            <v>7749</v>
          </cell>
          <cell r="G2258" t="str">
            <v>General Growth Properties-Columbia Mall</v>
          </cell>
          <cell r="H2258">
            <v>1</v>
          </cell>
        </row>
        <row r="2259">
          <cell r="B2259" t="str">
            <v>SWC1000-0794</v>
          </cell>
          <cell r="C2259" t="str">
            <v>Invoice</v>
          </cell>
          <cell r="D2259">
            <v>38440</v>
          </cell>
          <cell r="F2259" t="str">
            <v>5500</v>
          </cell>
          <cell r="G2259" t="str">
            <v>Harry and David #564</v>
          </cell>
          <cell r="H2259">
            <v>1</v>
          </cell>
        </row>
        <row r="2260">
          <cell r="B2260" t="str">
            <v>SWC1000-0794</v>
          </cell>
          <cell r="C2260" t="str">
            <v>Invoice</v>
          </cell>
          <cell r="D2260">
            <v>38440</v>
          </cell>
          <cell r="F2260" t="str">
            <v>5529</v>
          </cell>
          <cell r="G2260" t="str">
            <v>NBC Experience Store</v>
          </cell>
          <cell r="H2260">
            <v>1</v>
          </cell>
        </row>
        <row r="2261">
          <cell r="B2261" t="str">
            <v>SWC1000-0794</v>
          </cell>
          <cell r="C2261" t="str">
            <v>Invoice</v>
          </cell>
          <cell r="D2261">
            <v>38467</v>
          </cell>
          <cell r="F2261" t="str">
            <v>5627</v>
          </cell>
          <cell r="G2261" t="str">
            <v>Harry and David #564</v>
          </cell>
          <cell r="H2261">
            <v>1</v>
          </cell>
        </row>
        <row r="2262">
          <cell r="B2262" t="str">
            <v>SWC1000-0794</v>
          </cell>
          <cell r="C2262" t="str">
            <v>Invoice</v>
          </cell>
          <cell r="D2262">
            <v>38470</v>
          </cell>
          <cell r="F2262" t="str">
            <v>5628</v>
          </cell>
          <cell r="G2262" t="str">
            <v>NBC Experience Store</v>
          </cell>
          <cell r="H2262">
            <v>1</v>
          </cell>
        </row>
        <row r="2263">
          <cell r="B2263" t="str">
            <v>SWC1000-0794</v>
          </cell>
          <cell r="C2263" t="str">
            <v>Invoice</v>
          </cell>
          <cell r="D2263">
            <v>38495</v>
          </cell>
          <cell r="F2263" t="str">
            <v>6105</v>
          </cell>
          <cell r="G2263" t="str">
            <v>Harry and David #564</v>
          </cell>
          <cell r="H2263">
            <v>1</v>
          </cell>
        </row>
        <row r="2264">
          <cell r="B2264" t="str">
            <v>SWC1000-0794</v>
          </cell>
          <cell r="C2264" t="str">
            <v>Invoice</v>
          </cell>
          <cell r="D2264">
            <v>38496</v>
          </cell>
          <cell r="F2264" t="str">
            <v>6104</v>
          </cell>
          <cell r="G2264" t="str">
            <v>NBC Experience Store</v>
          </cell>
          <cell r="H2264">
            <v>1</v>
          </cell>
        </row>
        <row r="2265">
          <cell r="B2265" t="str">
            <v>SWC1000-0794</v>
          </cell>
          <cell r="C2265" t="str">
            <v>Invoice</v>
          </cell>
          <cell r="D2265">
            <v>38496</v>
          </cell>
          <cell r="F2265" t="str">
            <v>6169</v>
          </cell>
          <cell r="G2265" t="str">
            <v>NBC Experience Store</v>
          </cell>
          <cell r="H2265">
            <v>1</v>
          </cell>
        </row>
        <row r="2266">
          <cell r="B2266" t="str">
            <v>SWC1000-0794</v>
          </cell>
          <cell r="C2266" t="str">
            <v>Invoice</v>
          </cell>
          <cell r="D2266">
            <v>38503</v>
          </cell>
          <cell r="F2266" t="str">
            <v>6164</v>
          </cell>
          <cell r="G2266" t="str">
            <v>Dylan's Candy Bar:Dylan's Candy Bar NY#1</v>
          </cell>
          <cell r="H2266">
            <v>1</v>
          </cell>
        </row>
        <row r="2267">
          <cell r="B2267" t="str">
            <v>SWC1000-0794</v>
          </cell>
          <cell r="C2267" t="str">
            <v>Invoice</v>
          </cell>
          <cell r="D2267">
            <v>38504</v>
          </cell>
          <cell r="F2267" t="str">
            <v>6195</v>
          </cell>
          <cell r="G2267" t="str">
            <v>Hershey's, Inc.:Hershey's - Time's Square</v>
          </cell>
          <cell r="H2267">
            <v>1</v>
          </cell>
        </row>
        <row r="2268">
          <cell r="B2268" t="str">
            <v>SWC1000-0794</v>
          </cell>
          <cell r="C2268" t="str">
            <v>Invoice</v>
          </cell>
          <cell r="D2268">
            <v>38519</v>
          </cell>
          <cell r="F2268" t="str">
            <v>6314</v>
          </cell>
          <cell r="G2268" t="str">
            <v>Harry and David #564</v>
          </cell>
          <cell r="H2268">
            <v>1</v>
          </cell>
        </row>
        <row r="2269">
          <cell r="B2269" t="str">
            <v>SWC1000-0794</v>
          </cell>
          <cell r="C2269" t="str">
            <v>Invoice</v>
          </cell>
          <cell r="D2269">
            <v>38530</v>
          </cell>
          <cell r="F2269" t="str">
            <v>6313</v>
          </cell>
          <cell r="G2269" t="str">
            <v>NBC Experience Store</v>
          </cell>
          <cell r="H2269">
            <v>1</v>
          </cell>
        </row>
        <row r="2270">
          <cell r="B2270" t="str">
            <v>SWC1000-0794</v>
          </cell>
          <cell r="C2270" t="str">
            <v>Invoice</v>
          </cell>
          <cell r="D2270">
            <v>38533</v>
          </cell>
          <cell r="F2270" t="str">
            <v>6196</v>
          </cell>
          <cell r="G2270" t="str">
            <v>Hershey's, Inc.:Hershey's - Time's Square</v>
          </cell>
          <cell r="H2270">
            <v>1</v>
          </cell>
        </row>
        <row r="2271">
          <cell r="B2271" t="str">
            <v>SWC1000-0794</v>
          </cell>
          <cell r="C2271" t="str">
            <v>Invoice</v>
          </cell>
          <cell r="D2271">
            <v>38547</v>
          </cell>
          <cell r="F2271" t="str">
            <v>6325</v>
          </cell>
          <cell r="G2271" t="str">
            <v>Harry and David #564</v>
          </cell>
          <cell r="H2271">
            <v>1</v>
          </cell>
        </row>
        <row r="2272">
          <cell r="B2272" t="str">
            <v>SWC1000-0794</v>
          </cell>
          <cell r="C2272" t="str">
            <v>Invoice</v>
          </cell>
          <cell r="D2272">
            <v>38555</v>
          </cell>
          <cell r="F2272" t="str">
            <v>5550-I</v>
          </cell>
          <cell r="G2272" t="str">
            <v>NBC Experience Store</v>
          </cell>
          <cell r="H2272">
            <v>1</v>
          </cell>
        </row>
        <row r="2273">
          <cell r="B2273" t="str">
            <v>SWC1000-0794</v>
          </cell>
          <cell r="C2273" t="str">
            <v>Invoice</v>
          </cell>
          <cell r="D2273">
            <v>38576</v>
          </cell>
          <cell r="F2273" t="str">
            <v>7055</v>
          </cell>
          <cell r="G2273" t="str">
            <v>Harry and David #564</v>
          </cell>
          <cell r="H2273">
            <v>1</v>
          </cell>
        </row>
        <row r="2274">
          <cell r="B2274" t="str">
            <v>SWC1000-0794</v>
          </cell>
          <cell r="C2274" t="str">
            <v>Invoice</v>
          </cell>
          <cell r="D2274">
            <v>38595</v>
          </cell>
          <cell r="F2274" t="str">
            <v>7157</v>
          </cell>
          <cell r="G2274" t="str">
            <v>Hershey's, Inc.:Hershey's - Time's Square</v>
          </cell>
          <cell r="H2274">
            <v>1</v>
          </cell>
        </row>
        <row r="2275">
          <cell r="B2275" t="str">
            <v>SWC1000-0794</v>
          </cell>
          <cell r="C2275" t="str">
            <v>Invoice</v>
          </cell>
          <cell r="D2275">
            <v>38609</v>
          </cell>
          <cell r="F2275" t="str">
            <v>7236</v>
          </cell>
          <cell r="G2275" t="str">
            <v>Harry and David #564</v>
          </cell>
          <cell r="H2275">
            <v>1</v>
          </cell>
        </row>
        <row r="2276">
          <cell r="B2276" t="str">
            <v>SWC1000-0794</v>
          </cell>
          <cell r="C2276" t="str">
            <v>Invoice</v>
          </cell>
          <cell r="D2276">
            <v>38626</v>
          </cell>
          <cell r="F2276" t="str">
            <v>7505</v>
          </cell>
          <cell r="G2276" t="str">
            <v>Hershey's, Inc.:Hershey's - Time's Square</v>
          </cell>
          <cell r="H2276">
            <v>1</v>
          </cell>
        </row>
        <row r="2277">
          <cell r="B2277" t="str">
            <v>SWC1000-0825</v>
          </cell>
          <cell r="C2277" t="str">
            <v>Invoice</v>
          </cell>
          <cell r="D2277">
            <v>38602</v>
          </cell>
          <cell r="F2277" t="str">
            <v>7861</v>
          </cell>
          <cell r="G2277" t="str">
            <v>Prestige Cleaners</v>
          </cell>
          <cell r="H2277">
            <v>1</v>
          </cell>
        </row>
        <row r="2278">
          <cell r="B2278" t="str">
            <v>SWC1000-0828</v>
          </cell>
          <cell r="C2278" t="str">
            <v>Invoice</v>
          </cell>
          <cell r="D2278">
            <v>38398</v>
          </cell>
          <cell r="F2278" t="str">
            <v>5305</v>
          </cell>
          <cell r="G2278" t="str">
            <v>Arkitectura Urbana</v>
          </cell>
          <cell r="H2278">
            <v>1</v>
          </cell>
        </row>
        <row r="2279">
          <cell r="B2279" t="str">
            <v>SWC1000-0828</v>
          </cell>
          <cell r="C2279" t="str">
            <v>Invoice</v>
          </cell>
          <cell r="D2279">
            <v>38422</v>
          </cell>
          <cell r="F2279" t="str">
            <v>5434</v>
          </cell>
          <cell r="G2279" t="str">
            <v>Best Buy</v>
          </cell>
          <cell r="H2279">
            <v>1</v>
          </cell>
        </row>
        <row r="2280">
          <cell r="B2280" t="str">
            <v>SWC1000-0828</v>
          </cell>
          <cell r="C2280" t="str">
            <v>Invoice</v>
          </cell>
          <cell r="D2280">
            <v>38512</v>
          </cell>
          <cell r="F2280" t="str">
            <v>6256</v>
          </cell>
          <cell r="G2280" t="str">
            <v>Muzak, LLC:Arbys - Simpsonville</v>
          </cell>
          <cell r="H2280">
            <v>1</v>
          </cell>
        </row>
        <row r="2281">
          <cell r="B2281" t="str">
            <v>SWC1000-0828</v>
          </cell>
          <cell r="C2281" t="str">
            <v>Invoice</v>
          </cell>
          <cell r="D2281">
            <v>38580</v>
          </cell>
          <cell r="F2281" t="str">
            <v>7482</v>
          </cell>
          <cell r="G2281" t="str">
            <v>Muzak, LLC:Burger King - #2771</v>
          </cell>
          <cell r="H2281">
            <v>1</v>
          </cell>
        </row>
        <row r="2282">
          <cell r="B2282" t="str">
            <v>SWC1000-0831</v>
          </cell>
          <cell r="C2282" t="str">
            <v>Invoice</v>
          </cell>
          <cell r="D2282">
            <v>38421</v>
          </cell>
          <cell r="F2282" t="str">
            <v>5420</v>
          </cell>
          <cell r="G2282" t="str">
            <v>Dylan's Candy Bar - NYC</v>
          </cell>
          <cell r="H2282">
            <v>1</v>
          </cell>
        </row>
        <row r="2283">
          <cell r="B2283" t="str">
            <v>SWC1000-0831</v>
          </cell>
          <cell r="C2283" t="str">
            <v>Invoice</v>
          </cell>
          <cell r="D2283">
            <v>38440</v>
          </cell>
          <cell r="F2283" t="str">
            <v>5537</v>
          </cell>
          <cell r="G2283" t="str">
            <v>Dylan's Candy Bar:Dylan's Candy Bar NY#1</v>
          </cell>
          <cell r="H2283">
            <v>1</v>
          </cell>
        </row>
        <row r="2284">
          <cell r="B2284" t="str">
            <v>SWC1000-0831</v>
          </cell>
          <cell r="C2284" t="str">
            <v>Invoice</v>
          </cell>
          <cell r="D2284">
            <v>38475</v>
          </cell>
          <cell r="F2284" t="str">
            <v>5646</v>
          </cell>
          <cell r="G2284" t="str">
            <v>Dylan's Candy Bar:Dylan's Candy Bar NY#1</v>
          </cell>
          <cell r="H2284">
            <v>1</v>
          </cell>
        </row>
        <row r="2285">
          <cell r="B2285" t="str">
            <v>SWC1000-0831</v>
          </cell>
          <cell r="C2285" t="str">
            <v>Invoice</v>
          </cell>
          <cell r="D2285">
            <v>38496</v>
          </cell>
          <cell r="F2285" t="str">
            <v>6101</v>
          </cell>
          <cell r="G2285" t="str">
            <v>Dylan's Candy Bar - NYC</v>
          </cell>
          <cell r="H2285">
            <v>1</v>
          </cell>
        </row>
        <row r="2286">
          <cell r="B2286" t="str">
            <v>SWC1000-0831</v>
          </cell>
          <cell r="C2286" t="str">
            <v>Invoice</v>
          </cell>
          <cell r="D2286">
            <v>38519</v>
          </cell>
          <cell r="F2286" t="str">
            <v>6312</v>
          </cell>
          <cell r="G2286" t="str">
            <v>Dylan's Candy Bar - NYC</v>
          </cell>
          <cell r="H2286">
            <v>1</v>
          </cell>
        </row>
        <row r="2287">
          <cell r="B2287" t="str">
            <v>SWC1000-0832</v>
          </cell>
          <cell r="C2287" t="str">
            <v>Invoice</v>
          </cell>
          <cell r="D2287">
            <v>38442</v>
          </cell>
          <cell r="F2287" t="str">
            <v>5545</v>
          </cell>
          <cell r="G2287" t="str">
            <v>Sea World Orlando</v>
          </cell>
          <cell r="H2287">
            <v>1</v>
          </cell>
        </row>
        <row r="2288">
          <cell r="B2288" t="str">
            <v>SWC1000-0832</v>
          </cell>
          <cell r="C2288" t="str">
            <v>Invoice</v>
          </cell>
          <cell r="D2288">
            <v>38475</v>
          </cell>
          <cell r="F2288" t="str">
            <v>5649</v>
          </cell>
          <cell r="G2288" t="str">
            <v>Sea World Orlando</v>
          </cell>
          <cell r="H2288">
            <v>1</v>
          </cell>
        </row>
        <row r="2289">
          <cell r="B2289" t="str">
            <v>SWC1000-0832</v>
          </cell>
          <cell r="C2289" t="str">
            <v>Invoice</v>
          </cell>
          <cell r="D2289">
            <v>38519</v>
          </cell>
          <cell r="F2289" t="str">
            <v>6353</v>
          </cell>
          <cell r="G2289" t="str">
            <v>Sea World Orlando</v>
          </cell>
          <cell r="H2289">
            <v>1</v>
          </cell>
        </row>
        <row r="2290">
          <cell r="B2290" t="str">
            <v>SWC1000-0832</v>
          </cell>
          <cell r="C2290" t="str">
            <v>Invoice</v>
          </cell>
          <cell r="D2290">
            <v>38544</v>
          </cell>
          <cell r="F2290" t="str">
            <v>6034-I</v>
          </cell>
          <cell r="G2290" t="str">
            <v>Sea World Orlando</v>
          </cell>
          <cell r="H2290">
            <v>1</v>
          </cell>
        </row>
        <row r="2291">
          <cell r="B2291" t="str">
            <v>SWC1000-0832</v>
          </cell>
          <cell r="C2291" t="str">
            <v>Invoice</v>
          </cell>
          <cell r="D2291">
            <v>38576</v>
          </cell>
          <cell r="F2291" t="str">
            <v>7054</v>
          </cell>
          <cell r="G2291" t="str">
            <v>Sea World Orlando</v>
          </cell>
          <cell r="H2291">
            <v>1</v>
          </cell>
        </row>
        <row r="2292">
          <cell r="B2292" t="str">
            <v>SWC1000-0832</v>
          </cell>
          <cell r="C2292" t="str">
            <v>Invoice</v>
          </cell>
          <cell r="D2292">
            <v>38609</v>
          </cell>
          <cell r="F2292" t="str">
            <v>7235</v>
          </cell>
          <cell r="G2292" t="str">
            <v>Sea World Orlando</v>
          </cell>
          <cell r="H2292">
            <v>1</v>
          </cell>
        </row>
        <row r="2293">
          <cell r="B2293" t="str">
            <v>SWC1000-0836</v>
          </cell>
          <cell r="C2293" t="str">
            <v>Invoice</v>
          </cell>
          <cell r="D2293">
            <v>38440</v>
          </cell>
          <cell r="F2293" t="str">
            <v>5516</v>
          </cell>
          <cell r="G2293" t="str">
            <v>Ashley Furniture HomeStore</v>
          </cell>
          <cell r="H2293">
            <v>1</v>
          </cell>
        </row>
        <row r="2294">
          <cell r="B2294" t="str">
            <v>SWC1000-0836</v>
          </cell>
          <cell r="C2294" t="str">
            <v>Invoice</v>
          </cell>
          <cell r="D2294">
            <v>38461</v>
          </cell>
          <cell r="F2294" t="str">
            <v>5623</v>
          </cell>
          <cell r="G2294" t="str">
            <v>Ashley Furniture HomeStore</v>
          </cell>
          <cell r="H2294">
            <v>1</v>
          </cell>
        </row>
        <row r="2295">
          <cell r="B2295" t="str">
            <v>SWC1000-0836</v>
          </cell>
          <cell r="C2295" t="str">
            <v>Invoice</v>
          </cell>
          <cell r="D2295">
            <v>38491</v>
          </cell>
          <cell r="F2295" t="str">
            <v>6081A</v>
          </cell>
          <cell r="G2295" t="str">
            <v>Ashley Furniture HomeStore</v>
          </cell>
          <cell r="H2295">
            <v>1</v>
          </cell>
        </row>
        <row r="2296">
          <cell r="B2296" t="str">
            <v>SWC1000-0837</v>
          </cell>
          <cell r="C2296" t="str">
            <v>Invoice</v>
          </cell>
          <cell r="D2296">
            <v>38411</v>
          </cell>
          <cell r="F2296" t="str">
            <v>5396</v>
          </cell>
          <cell r="G2296" t="str">
            <v>South Pacific Elixir Company Inc.</v>
          </cell>
          <cell r="H2296">
            <v>1</v>
          </cell>
        </row>
        <row r="2297">
          <cell r="B2297" t="str">
            <v>SWC1000-0837</v>
          </cell>
          <cell r="C2297" t="str">
            <v>Invoice</v>
          </cell>
          <cell r="D2297">
            <v>38420</v>
          </cell>
          <cell r="F2297" t="str">
            <v>5448</v>
          </cell>
          <cell r="G2297" t="str">
            <v>WDW Disney's Decorating Support</v>
          </cell>
          <cell r="H2297">
            <v>1</v>
          </cell>
        </row>
        <row r="2298">
          <cell r="B2298" t="str">
            <v>SWC1000-0837</v>
          </cell>
          <cell r="C2298" t="str">
            <v>Invoice</v>
          </cell>
          <cell r="D2298">
            <v>38503</v>
          </cell>
          <cell r="F2298" t="str">
            <v>6172</v>
          </cell>
          <cell r="G2298" t="str">
            <v>Arkitectura Urbana</v>
          </cell>
          <cell r="H2298">
            <v>1</v>
          </cell>
        </row>
        <row r="2299">
          <cell r="B2299" t="str">
            <v>SWC1000-0838</v>
          </cell>
          <cell r="C2299" t="str">
            <v>Invoice</v>
          </cell>
          <cell r="D2299">
            <v>38435</v>
          </cell>
          <cell r="F2299" t="str">
            <v>5476</v>
          </cell>
          <cell r="G2299" t="str">
            <v>Wayside Cleaners</v>
          </cell>
          <cell r="H2299">
            <v>1</v>
          </cell>
        </row>
        <row r="2300">
          <cell r="B2300" t="str">
            <v>SWC1000-0838</v>
          </cell>
          <cell r="C2300" t="str">
            <v>Invoice</v>
          </cell>
          <cell r="D2300">
            <v>38496</v>
          </cell>
          <cell r="F2300" t="str">
            <v>6119</v>
          </cell>
          <cell r="G2300" t="str">
            <v>Wayside Cleaners</v>
          </cell>
          <cell r="H2300">
            <v>1</v>
          </cell>
        </row>
        <row r="2301">
          <cell r="B2301" t="str">
            <v>SWC1000-0838</v>
          </cell>
          <cell r="C2301" t="str">
            <v>Invoice</v>
          </cell>
          <cell r="D2301">
            <v>38533</v>
          </cell>
          <cell r="F2301" t="str">
            <v>6356</v>
          </cell>
          <cell r="G2301" t="str">
            <v>Wayside Cleaners</v>
          </cell>
          <cell r="H2301">
            <v>1</v>
          </cell>
        </row>
        <row r="2302">
          <cell r="B2302" t="str">
            <v>SWC1000-0838</v>
          </cell>
          <cell r="C2302" t="str">
            <v>Invoice</v>
          </cell>
          <cell r="D2302">
            <v>38576</v>
          </cell>
          <cell r="F2302" t="str">
            <v>6357</v>
          </cell>
          <cell r="G2302" t="str">
            <v>Wayside Cleaners</v>
          </cell>
          <cell r="H2302">
            <v>1</v>
          </cell>
        </row>
        <row r="2303">
          <cell r="B2303" t="str">
            <v>SWC1000-0838</v>
          </cell>
          <cell r="C2303" t="str">
            <v>Invoice</v>
          </cell>
          <cell r="D2303">
            <v>38624</v>
          </cell>
          <cell r="F2303" t="str">
            <v>6358</v>
          </cell>
          <cell r="G2303" t="str">
            <v>Wayside Cleaners</v>
          </cell>
          <cell r="H2303">
            <v>1</v>
          </cell>
        </row>
        <row r="2304">
          <cell r="B2304" t="str">
            <v>SWC1000-0839</v>
          </cell>
          <cell r="C2304" t="str">
            <v>Invoice</v>
          </cell>
          <cell r="D2304">
            <v>38440</v>
          </cell>
          <cell r="F2304" t="str">
            <v>5535</v>
          </cell>
          <cell r="G2304" t="str">
            <v>Owlfie's Flowers and Gifts</v>
          </cell>
          <cell r="H2304">
            <v>1</v>
          </cell>
        </row>
        <row r="2305">
          <cell r="B2305" t="str">
            <v>SWC1000-0839</v>
          </cell>
          <cell r="C2305" t="str">
            <v>Invoice</v>
          </cell>
          <cell r="D2305">
            <v>38468</v>
          </cell>
          <cell r="F2305" t="str">
            <v>5645</v>
          </cell>
          <cell r="G2305" t="str">
            <v>Owlfie's Flowers and Gifts</v>
          </cell>
          <cell r="H2305">
            <v>1</v>
          </cell>
        </row>
        <row r="2306">
          <cell r="B2306" t="str">
            <v>SWC1000-0841</v>
          </cell>
          <cell r="C2306" t="str">
            <v>Invoice</v>
          </cell>
          <cell r="D2306">
            <v>38440</v>
          </cell>
          <cell r="F2306" t="str">
            <v>5498</v>
          </cell>
          <cell r="G2306" t="str">
            <v>Silks By Mu-Mu Manufactuteres</v>
          </cell>
          <cell r="H2306">
            <v>1</v>
          </cell>
        </row>
        <row r="2307">
          <cell r="B2307" t="str">
            <v>SWC1000-0841</v>
          </cell>
          <cell r="C2307" t="str">
            <v>Invoice</v>
          </cell>
          <cell r="D2307">
            <v>38461</v>
          </cell>
          <cell r="F2307" t="str">
            <v>5694</v>
          </cell>
          <cell r="G2307" t="str">
            <v>Kroger</v>
          </cell>
          <cell r="H2307">
            <v>1</v>
          </cell>
        </row>
        <row r="2308">
          <cell r="B2308" t="str">
            <v>SWC1000-0841</v>
          </cell>
          <cell r="C2308" t="str">
            <v>Invoice</v>
          </cell>
          <cell r="D2308">
            <v>38467</v>
          </cell>
          <cell r="F2308" t="str">
            <v>5632</v>
          </cell>
          <cell r="G2308" t="str">
            <v>Silks By Mu-Mu Manufactuteres</v>
          </cell>
          <cell r="H2308">
            <v>1</v>
          </cell>
        </row>
        <row r="2309">
          <cell r="B2309" t="str">
            <v>SWC1000-0841</v>
          </cell>
          <cell r="C2309" t="str">
            <v>Invoice</v>
          </cell>
          <cell r="D2309">
            <v>38497</v>
          </cell>
          <cell r="F2309" t="str">
            <v>6106</v>
          </cell>
          <cell r="G2309" t="str">
            <v>Silks By Mu-Mu Manufactuteres</v>
          </cell>
          <cell r="H2309">
            <v>1</v>
          </cell>
        </row>
        <row r="2310">
          <cell r="B2310" t="str">
            <v>SWC1000-0841</v>
          </cell>
          <cell r="C2310" t="str">
            <v>Invoice</v>
          </cell>
          <cell r="D2310">
            <v>38499</v>
          </cell>
          <cell r="F2310" t="str">
            <v>6171</v>
          </cell>
          <cell r="G2310" t="str">
            <v>Silks By Mu-Mu Manufactuteres</v>
          </cell>
          <cell r="H2310">
            <v>1</v>
          </cell>
        </row>
        <row r="2311">
          <cell r="B2311" t="str">
            <v>SWC1000-0847</v>
          </cell>
          <cell r="C2311" t="str">
            <v>Invoice</v>
          </cell>
          <cell r="D2311">
            <v>38509</v>
          </cell>
          <cell r="F2311" t="str">
            <v>6245</v>
          </cell>
          <cell r="G2311" t="str">
            <v>American Solutions Inc.</v>
          </cell>
          <cell r="H2311">
            <v>1</v>
          </cell>
        </row>
        <row r="2312">
          <cell r="B2312" t="str">
            <v>SWC1000-0847</v>
          </cell>
          <cell r="C2312" t="str">
            <v>Invoice</v>
          </cell>
          <cell r="D2312">
            <v>38533</v>
          </cell>
          <cell r="F2312" t="str">
            <v>7026</v>
          </cell>
          <cell r="G2312" t="str">
            <v>American Solutions Inc.</v>
          </cell>
          <cell r="H2312">
            <v>1</v>
          </cell>
        </row>
        <row r="2313">
          <cell r="B2313" t="str">
            <v>SWC1000-0848</v>
          </cell>
          <cell r="C2313" t="str">
            <v>Invoice</v>
          </cell>
          <cell r="D2313">
            <v>38440</v>
          </cell>
          <cell r="F2313" t="str">
            <v>5520</v>
          </cell>
          <cell r="G2313" t="str">
            <v>Shop Rite</v>
          </cell>
          <cell r="H2313">
            <v>1</v>
          </cell>
        </row>
        <row r="2314">
          <cell r="B2314" t="str">
            <v>SWC1000-0848</v>
          </cell>
          <cell r="C2314" t="str">
            <v>Invoice</v>
          </cell>
          <cell r="D2314">
            <v>38440</v>
          </cell>
          <cell r="F2314" t="str">
            <v>5521</v>
          </cell>
          <cell r="G2314" t="str">
            <v>Shop Rite</v>
          </cell>
          <cell r="H2314">
            <v>1</v>
          </cell>
        </row>
        <row r="2315">
          <cell r="B2315" t="str">
            <v>SWC1000-0848</v>
          </cell>
          <cell r="C2315" t="str">
            <v>Invoice</v>
          </cell>
          <cell r="D2315">
            <v>38496</v>
          </cell>
          <cell r="F2315" t="str">
            <v>6112</v>
          </cell>
          <cell r="G2315" t="str">
            <v>Shop Rite #3:11 Agency</v>
          </cell>
          <cell r="H2315">
            <v>1</v>
          </cell>
        </row>
        <row r="2316">
          <cell r="B2316" t="str">
            <v>SWC1000-0849</v>
          </cell>
          <cell r="C2316" t="str">
            <v>Invoice</v>
          </cell>
          <cell r="D2316">
            <v>38467</v>
          </cell>
          <cell r="F2316" t="str">
            <v>5648</v>
          </cell>
          <cell r="G2316" t="str">
            <v>Bank of America (Cust)</v>
          </cell>
          <cell r="H2316">
            <v>1</v>
          </cell>
        </row>
        <row r="2317">
          <cell r="B2317" t="str">
            <v>SWC1000-0849</v>
          </cell>
          <cell r="C2317" t="str">
            <v>Invoice</v>
          </cell>
          <cell r="D2317">
            <v>38484</v>
          </cell>
          <cell r="F2317" t="str">
            <v>5562</v>
          </cell>
          <cell r="G2317" t="str">
            <v>Kryshak - Avenue Jewelers</v>
          </cell>
          <cell r="H2317">
            <v>1</v>
          </cell>
        </row>
        <row r="2318">
          <cell r="B2318" t="str">
            <v>SWC1000-0849</v>
          </cell>
          <cell r="C2318" t="str">
            <v>Invoice</v>
          </cell>
          <cell r="D2318">
            <v>38496</v>
          </cell>
          <cell r="F2318" t="str">
            <v>5564</v>
          </cell>
          <cell r="G2318" t="str">
            <v>Kryshak - Avenue Jewelers</v>
          </cell>
          <cell r="H2318">
            <v>1</v>
          </cell>
        </row>
        <row r="2319">
          <cell r="B2319" t="str">
            <v>SWC1000-0849</v>
          </cell>
          <cell r="C2319" t="str">
            <v>Invoice</v>
          </cell>
          <cell r="D2319">
            <v>38503</v>
          </cell>
          <cell r="F2319" t="str">
            <v>6172</v>
          </cell>
          <cell r="G2319" t="str">
            <v>Arkitectura Urbana</v>
          </cell>
          <cell r="H2319">
            <v>1</v>
          </cell>
        </row>
        <row r="2320">
          <cell r="B2320" t="str">
            <v>SWC1000-0851</v>
          </cell>
          <cell r="C2320" t="str">
            <v>Invoice</v>
          </cell>
          <cell r="D2320">
            <v>38475</v>
          </cell>
          <cell r="F2320" t="str">
            <v>5643</v>
          </cell>
          <cell r="G2320" t="str">
            <v>Hustler Hollywood - Monroe, OH</v>
          </cell>
          <cell r="H2320">
            <v>1</v>
          </cell>
        </row>
        <row r="2321">
          <cell r="B2321" t="str">
            <v>SWC1000-0851</v>
          </cell>
          <cell r="C2321" t="str">
            <v>Invoice</v>
          </cell>
          <cell r="D2321">
            <v>38519</v>
          </cell>
          <cell r="F2321" t="str">
            <v>6291</v>
          </cell>
          <cell r="G2321" t="str">
            <v>Celebration Health</v>
          </cell>
          <cell r="H2321">
            <v>1</v>
          </cell>
        </row>
        <row r="2322">
          <cell r="B2322" t="str">
            <v>SWC1000-0851</v>
          </cell>
          <cell r="C2322" t="str">
            <v>Invoice</v>
          </cell>
          <cell r="D2322">
            <v>38562</v>
          </cell>
          <cell r="F2322" t="str">
            <v>6292</v>
          </cell>
          <cell r="G2322" t="str">
            <v>Celebration Health</v>
          </cell>
          <cell r="H2322">
            <v>1</v>
          </cell>
        </row>
        <row r="2323">
          <cell r="B2323" t="str">
            <v>SWC1000-0851</v>
          </cell>
          <cell r="C2323" t="str">
            <v>Invoice</v>
          </cell>
          <cell r="D2323">
            <v>38609</v>
          </cell>
          <cell r="F2323" t="str">
            <v>6293</v>
          </cell>
          <cell r="G2323" t="str">
            <v>Celebration Health</v>
          </cell>
          <cell r="H2323">
            <v>1</v>
          </cell>
        </row>
        <row r="2324">
          <cell r="B2324" t="str">
            <v>SWC1000-0859</v>
          </cell>
          <cell r="C2324" t="str">
            <v>Invoice</v>
          </cell>
          <cell r="D2324">
            <v>38435</v>
          </cell>
          <cell r="F2324" t="str">
            <v>5475</v>
          </cell>
          <cell r="G2324" t="str">
            <v>Chocolat</v>
          </cell>
          <cell r="H2324">
            <v>1</v>
          </cell>
        </row>
        <row r="2325">
          <cell r="B2325" t="str">
            <v>SWC1000-0860</v>
          </cell>
          <cell r="C2325" t="str">
            <v>Invoice</v>
          </cell>
          <cell r="D2325">
            <v>38440</v>
          </cell>
          <cell r="F2325" t="str">
            <v>5516</v>
          </cell>
          <cell r="G2325" t="str">
            <v>Ashley Furniture HomeStore</v>
          </cell>
          <cell r="H2325">
            <v>1</v>
          </cell>
        </row>
        <row r="2326">
          <cell r="B2326" t="str">
            <v>SWC1000-0860</v>
          </cell>
          <cell r="C2326" t="str">
            <v>Invoice</v>
          </cell>
          <cell r="D2326">
            <v>38461</v>
          </cell>
          <cell r="F2326" t="str">
            <v>5623</v>
          </cell>
          <cell r="G2326" t="str">
            <v>Ashley Furniture HomeStore</v>
          </cell>
          <cell r="H2326">
            <v>1</v>
          </cell>
        </row>
        <row r="2327">
          <cell r="B2327" t="str">
            <v>SWC1000-0860</v>
          </cell>
          <cell r="C2327" t="str">
            <v>Invoice</v>
          </cell>
          <cell r="D2327">
            <v>38467</v>
          </cell>
          <cell r="F2327" t="str">
            <v>5704</v>
          </cell>
          <cell r="G2327" t="str">
            <v>Economart</v>
          </cell>
          <cell r="H2327">
            <v>1</v>
          </cell>
        </row>
        <row r="2328">
          <cell r="B2328" t="str">
            <v>SWC1000-0860</v>
          </cell>
          <cell r="C2328" t="str">
            <v>Invoice</v>
          </cell>
          <cell r="D2328">
            <v>38491</v>
          </cell>
          <cell r="F2328" t="str">
            <v>6081A</v>
          </cell>
          <cell r="G2328" t="str">
            <v>Ashley Furniture HomeStore</v>
          </cell>
          <cell r="H2328">
            <v>1</v>
          </cell>
        </row>
        <row r="2329">
          <cell r="B2329" t="str">
            <v>SWC1000-0869</v>
          </cell>
          <cell r="C2329" t="str">
            <v>Invoice</v>
          </cell>
          <cell r="D2329">
            <v>38461</v>
          </cell>
          <cell r="F2329" t="str">
            <v>5404</v>
          </cell>
          <cell r="G2329" t="str">
            <v>Georgie Yost</v>
          </cell>
          <cell r="H2329">
            <v>1</v>
          </cell>
        </row>
        <row r="2330">
          <cell r="B2330" t="str">
            <v>SWC1000-0869</v>
          </cell>
          <cell r="C2330" t="str">
            <v>Invoice</v>
          </cell>
          <cell r="D2330">
            <v>38582</v>
          </cell>
          <cell r="F2330" t="str">
            <v>7510</v>
          </cell>
          <cell r="G2330" t="str">
            <v>Commercial Design Group</v>
          </cell>
          <cell r="H2330">
            <v>1</v>
          </cell>
        </row>
        <row r="2331">
          <cell r="B2331" t="str">
            <v>SWC1000-0873</v>
          </cell>
          <cell r="C2331" t="str">
            <v>Invoice</v>
          </cell>
          <cell r="D2331">
            <v>38440</v>
          </cell>
          <cell r="F2331" t="str">
            <v>5498</v>
          </cell>
          <cell r="G2331" t="str">
            <v>Silks By Mu-Mu Manufactuteres</v>
          </cell>
          <cell r="H2331">
            <v>1</v>
          </cell>
        </row>
        <row r="2332">
          <cell r="B2332" t="str">
            <v>SWC1000-0873</v>
          </cell>
          <cell r="C2332" t="str">
            <v>Invoice</v>
          </cell>
          <cell r="D2332">
            <v>38467</v>
          </cell>
          <cell r="F2332" t="str">
            <v>5632</v>
          </cell>
          <cell r="G2332" t="str">
            <v>Silks By Mu-Mu Manufactuteres</v>
          </cell>
          <cell r="H2332">
            <v>1</v>
          </cell>
        </row>
        <row r="2333">
          <cell r="B2333" t="str">
            <v>SWC1000-0873</v>
          </cell>
          <cell r="C2333" t="str">
            <v>Invoice</v>
          </cell>
          <cell r="D2333">
            <v>38497</v>
          </cell>
          <cell r="F2333" t="str">
            <v>6106</v>
          </cell>
          <cell r="G2333" t="str">
            <v>Silks By Mu-Mu Manufactuteres</v>
          </cell>
          <cell r="H2333">
            <v>1</v>
          </cell>
        </row>
        <row r="2334">
          <cell r="B2334" t="str">
            <v>SWC1000-0873</v>
          </cell>
          <cell r="C2334" t="str">
            <v>Invoice</v>
          </cell>
          <cell r="D2334">
            <v>38499</v>
          </cell>
          <cell r="F2334" t="str">
            <v>6171</v>
          </cell>
          <cell r="G2334" t="str">
            <v>Silks By Mu-Mu Manufactuteres</v>
          </cell>
          <cell r="H2334">
            <v>1</v>
          </cell>
        </row>
        <row r="2335">
          <cell r="B2335" t="str">
            <v>SWC1000-0873</v>
          </cell>
          <cell r="C2335" t="str">
            <v>Invoice</v>
          </cell>
          <cell r="D2335">
            <v>38624</v>
          </cell>
          <cell r="F2335" t="str">
            <v>8155</v>
          </cell>
          <cell r="G2335" t="str">
            <v>Silks By Mu-Mu Manufactuteres</v>
          </cell>
          <cell r="H2335">
            <v>1</v>
          </cell>
        </row>
        <row r="2336">
          <cell r="B2336" t="str">
            <v>SWC1000-0874</v>
          </cell>
          <cell r="C2336" t="str">
            <v>Invoice</v>
          </cell>
          <cell r="D2336">
            <v>38456</v>
          </cell>
          <cell r="F2336" t="str">
            <v>5609</v>
          </cell>
          <cell r="G2336" t="str">
            <v>American Solutions Inc.</v>
          </cell>
          <cell r="H2336">
            <v>1</v>
          </cell>
        </row>
        <row r="2337">
          <cell r="B2337" t="str">
            <v>SWC1000-0892</v>
          </cell>
          <cell r="C2337" t="str">
            <v>Invoice</v>
          </cell>
          <cell r="D2337">
            <v>38481</v>
          </cell>
          <cell r="F2337" t="str">
            <v>6038</v>
          </cell>
          <cell r="G2337" t="str">
            <v>American Solutions Inc.</v>
          </cell>
          <cell r="H2337">
            <v>1</v>
          </cell>
        </row>
        <row r="2338">
          <cell r="B2338" t="str">
            <v>SWC1000-0892</v>
          </cell>
          <cell r="C2338" t="str">
            <v>Invoice</v>
          </cell>
          <cell r="D2338">
            <v>38512</v>
          </cell>
          <cell r="F2338" t="str">
            <v>6271</v>
          </cell>
          <cell r="G2338" t="str">
            <v>Georgie Yost</v>
          </cell>
          <cell r="H2338">
            <v>1</v>
          </cell>
        </row>
        <row r="2339">
          <cell r="B2339" t="str">
            <v>SWC1000-0892</v>
          </cell>
          <cell r="C2339" t="str">
            <v>Invoice</v>
          </cell>
          <cell r="D2339">
            <v>38602</v>
          </cell>
          <cell r="F2339" t="str">
            <v>7861</v>
          </cell>
          <cell r="G2339" t="str">
            <v>Prestige Cleaners</v>
          </cell>
          <cell r="H2339">
            <v>1</v>
          </cell>
        </row>
        <row r="2340">
          <cell r="B2340" t="str">
            <v>SWC1000-0892</v>
          </cell>
          <cell r="C2340" t="str">
            <v>Invoice</v>
          </cell>
          <cell r="D2340">
            <v>38615</v>
          </cell>
          <cell r="F2340" t="str">
            <v>8004</v>
          </cell>
          <cell r="G2340" t="str">
            <v>American Solutions Inc.</v>
          </cell>
          <cell r="H2340">
            <v>1</v>
          </cell>
        </row>
        <row r="2341">
          <cell r="B2341" t="str">
            <v>SWC1000-0894</v>
          </cell>
          <cell r="C2341" t="str">
            <v>Invoice</v>
          </cell>
          <cell r="D2341">
            <v>38442</v>
          </cell>
          <cell r="F2341" t="str">
            <v>5560A</v>
          </cell>
          <cell r="G2341" t="str">
            <v>Kryshak - Avenue Jewelers</v>
          </cell>
          <cell r="H2341">
            <v>1</v>
          </cell>
        </row>
        <row r="2342">
          <cell r="B2342" t="str">
            <v>SWC1000-0894</v>
          </cell>
          <cell r="C2342" t="str">
            <v>Invoice</v>
          </cell>
          <cell r="D2342">
            <v>38448</v>
          </cell>
          <cell r="F2342" t="str">
            <v>5559-I</v>
          </cell>
          <cell r="G2342" t="str">
            <v>Kryshak - Avenue Jewelers</v>
          </cell>
          <cell r="H2342">
            <v>1</v>
          </cell>
        </row>
        <row r="2343">
          <cell r="B2343" t="str">
            <v>SWC1000-0895</v>
          </cell>
          <cell r="C2343" t="str">
            <v>Invoice</v>
          </cell>
          <cell r="D2343">
            <v>38427</v>
          </cell>
          <cell r="F2343" t="str">
            <v>5407</v>
          </cell>
          <cell r="G2343" t="str">
            <v>Arkitectura Urbana</v>
          </cell>
          <cell r="H2343">
            <v>1</v>
          </cell>
        </row>
        <row r="2344">
          <cell r="B2344" t="str">
            <v>SWC1000-0895</v>
          </cell>
          <cell r="C2344" t="str">
            <v>Invoice</v>
          </cell>
          <cell r="D2344">
            <v>38533</v>
          </cell>
          <cell r="F2344" t="str">
            <v>7041</v>
          </cell>
          <cell r="G2344" t="str">
            <v>Arkitectura Urbana</v>
          </cell>
          <cell r="H2344">
            <v>1</v>
          </cell>
        </row>
        <row r="2345">
          <cell r="B2345" t="str">
            <v>SWC1000-0909</v>
          </cell>
          <cell r="C2345" t="str">
            <v>Invoice</v>
          </cell>
          <cell r="D2345">
            <v>38533</v>
          </cell>
          <cell r="F2345" t="str">
            <v>7025</v>
          </cell>
          <cell r="G2345" t="str">
            <v>Longaberger Co.</v>
          </cell>
          <cell r="H2345">
            <v>1</v>
          </cell>
        </row>
        <row r="2346">
          <cell r="B2346" t="str">
            <v>SWC1000-0913</v>
          </cell>
          <cell r="C2346" t="str">
            <v>Invoice</v>
          </cell>
          <cell r="D2346">
            <v>38461</v>
          </cell>
          <cell r="F2346" t="str">
            <v>5676</v>
          </cell>
          <cell r="G2346" t="str">
            <v>H.H. Gregg, Inc.</v>
          </cell>
          <cell r="H2346">
            <v>1</v>
          </cell>
        </row>
        <row r="2347">
          <cell r="B2347" t="str">
            <v>SWC1000-0913</v>
          </cell>
          <cell r="C2347" t="str">
            <v>Invoice</v>
          </cell>
          <cell r="D2347">
            <v>38461</v>
          </cell>
          <cell r="F2347" t="str">
            <v>5677</v>
          </cell>
          <cell r="G2347" t="str">
            <v>H.H. Gregg, Inc.</v>
          </cell>
          <cell r="H2347">
            <v>1</v>
          </cell>
        </row>
        <row r="2348">
          <cell r="B2348" t="str">
            <v>SWC1000-0913</v>
          </cell>
          <cell r="C2348" t="str">
            <v>Invoice</v>
          </cell>
          <cell r="D2348">
            <v>38461</v>
          </cell>
          <cell r="F2348" t="str">
            <v>5675</v>
          </cell>
          <cell r="G2348" t="str">
            <v>H.H. Gregg, Inc.</v>
          </cell>
          <cell r="H2348">
            <v>1</v>
          </cell>
        </row>
        <row r="2349">
          <cell r="B2349" t="str">
            <v>SWC1000-0913</v>
          </cell>
          <cell r="C2349" t="str">
            <v>Invoice</v>
          </cell>
          <cell r="D2349">
            <v>38461</v>
          </cell>
          <cell r="F2349" t="str">
            <v>5674</v>
          </cell>
          <cell r="G2349" t="str">
            <v>H.H. Gregg, Inc.</v>
          </cell>
          <cell r="H2349">
            <v>1</v>
          </cell>
        </row>
        <row r="2350">
          <cell r="B2350" t="str">
            <v>SWC1000-0913</v>
          </cell>
          <cell r="C2350" t="str">
            <v>Invoice</v>
          </cell>
          <cell r="D2350">
            <v>38533</v>
          </cell>
          <cell r="F2350" t="str">
            <v>7041</v>
          </cell>
          <cell r="G2350" t="str">
            <v>Arkitectura Urbana</v>
          </cell>
          <cell r="H2350">
            <v>1</v>
          </cell>
        </row>
        <row r="2351">
          <cell r="B2351" t="str">
            <v>SWC1000-0913</v>
          </cell>
          <cell r="C2351" t="str">
            <v>Invoice</v>
          </cell>
          <cell r="D2351">
            <v>38553</v>
          </cell>
          <cell r="F2351" t="str">
            <v>7159</v>
          </cell>
          <cell r="G2351" t="str">
            <v>Arkitectura Urbana</v>
          </cell>
          <cell r="H2351">
            <v>1</v>
          </cell>
        </row>
        <row r="2352">
          <cell r="B2352" t="str">
            <v>SWC1000-0913</v>
          </cell>
          <cell r="C2352" t="str">
            <v>Invoice</v>
          </cell>
          <cell r="D2352">
            <v>38553</v>
          </cell>
          <cell r="F2352" t="str">
            <v>7160</v>
          </cell>
          <cell r="G2352" t="str">
            <v>Cosentino Food Stores</v>
          </cell>
          <cell r="H2352">
            <v>1</v>
          </cell>
        </row>
        <row r="2353">
          <cell r="B2353" t="str">
            <v>SWC1000-0929</v>
          </cell>
          <cell r="C2353" t="str">
            <v>Invoice</v>
          </cell>
          <cell r="D2353">
            <v>38573</v>
          </cell>
          <cell r="F2353" t="str">
            <v>6342</v>
          </cell>
          <cell r="G2353" t="str">
            <v>Kryshak - Jim Kryshak Jewelers</v>
          </cell>
          <cell r="H2353">
            <v>1</v>
          </cell>
        </row>
        <row r="2354">
          <cell r="B2354" t="str">
            <v>SWC1000-0929</v>
          </cell>
          <cell r="C2354" t="str">
            <v>Invoice</v>
          </cell>
          <cell r="D2354">
            <v>38573</v>
          </cell>
          <cell r="F2354" t="str">
            <v>6334</v>
          </cell>
          <cell r="G2354" t="str">
            <v>Kryshak - Avenue Jewelers</v>
          </cell>
          <cell r="H2354">
            <v>1</v>
          </cell>
        </row>
        <row r="2355">
          <cell r="B2355" t="str">
            <v>SWC1000-0961</v>
          </cell>
          <cell r="C2355" t="str">
            <v>Invoice</v>
          </cell>
          <cell r="D2355">
            <v>38442</v>
          </cell>
          <cell r="F2355" t="str">
            <v>5545</v>
          </cell>
          <cell r="G2355" t="str">
            <v>Sea World Orlando</v>
          </cell>
          <cell r="H2355">
            <v>1</v>
          </cell>
        </row>
        <row r="2356">
          <cell r="B2356" t="str">
            <v>SWC1000-0961</v>
          </cell>
          <cell r="C2356" t="str">
            <v>Invoice</v>
          </cell>
          <cell r="D2356">
            <v>38475</v>
          </cell>
          <cell r="F2356" t="str">
            <v>5649</v>
          </cell>
          <cell r="G2356" t="str">
            <v>Sea World Orlando</v>
          </cell>
          <cell r="H2356">
            <v>1</v>
          </cell>
        </row>
        <row r="2357">
          <cell r="B2357" t="str">
            <v>SWC1000-0961</v>
          </cell>
          <cell r="C2357" t="str">
            <v>Invoice</v>
          </cell>
          <cell r="D2357">
            <v>38519</v>
          </cell>
          <cell r="F2357" t="str">
            <v>6353</v>
          </cell>
          <cell r="G2357" t="str">
            <v>Sea World Orlando</v>
          </cell>
          <cell r="H2357">
            <v>1</v>
          </cell>
        </row>
        <row r="2358">
          <cell r="B2358" t="str">
            <v>SWC1000-0961</v>
          </cell>
          <cell r="C2358" t="str">
            <v>Invoice</v>
          </cell>
          <cell r="D2358">
            <v>38544</v>
          </cell>
          <cell r="F2358" t="str">
            <v>6034-I</v>
          </cell>
          <cell r="G2358" t="str">
            <v>Sea World Orlando</v>
          </cell>
          <cell r="H2358">
            <v>1</v>
          </cell>
        </row>
        <row r="2359">
          <cell r="B2359" t="str">
            <v>SWC1000-0961</v>
          </cell>
          <cell r="C2359" t="str">
            <v>Invoice</v>
          </cell>
          <cell r="D2359">
            <v>38576</v>
          </cell>
          <cell r="F2359" t="str">
            <v>7054</v>
          </cell>
          <cell r="G2359" t="str">
            <v>Sea World Orlando</v>
          </cell>
          <cell r="H2359">
            <v>1</v>
          </cell>
        </row>
        <row r="2360">
          <cell r="B2360" t="str">
            <v>SWC1000-0964</v>
          </cell>
          <cell r="C2360" t="str">
            <v>Invoice</v>
          </cell>
          <cell r="D2360">
            <v>38421</v>
          </cell>
          <cell r="F2360" t="str">
            <v>5431</v>
          </cell>
          <cell r="G2360" t="str">
            <v>Georgie Yost</v>
          </cell>
          <cell r="H2360">
            <v>1</v>
          </cell>
        </row>
        <row r="2361">
          <cell r="B2361" t="str">
            <v>SWC1000-1000</v>
          </cell>
          <cell r="C2361" t="str">
            <v>Invoice</v>
          </cell>
          <cell r="D2361">
            <v>38568</v>
          </cell>
          <cell r="F2361" t="str">
            <v>6273</v>
          </cell>
          <cell r="G2361" t="str">
            <v>Georgie Yost</v>
          </cell>
          <cell r="H2361">
            <v>1</v>
          </cell>
        </row>
        <row r="2362">
          <cell r="B2362" t="str">
            <v>SWC1000-1016</v>
          </cell>
          <cell r="C2362" t="str">
            <v>Invoice</v>
          </cell>
          <cell r="D2362">
            <v>38440</v>
          </cell>
          <cell r="F2362" t="str">
            <v>5502</v>
          </cell>
          <cell r="G2362" t="str">
            <v>Florida Aquarium</v>
          </cell>
          <cell r="H2362">
            <v>1</v>
          </cell>
        </row>
        <row r="2363">
          <cell r="B2363" t="str">
            <v>SWC1000-1016</v>
          </cell>
          <cell r="C2363" t="str">
            <v>Invoice</v>
          </cell>
          <cell r="D2363">
            <v>38467</v>
          </cell>
          <cell r="F2363" t="str">
            <v>5630</v>
          </cell>
          <cell r="G2363" t="str">
            <v>Florida Aquarium</v>
          </cell>
          <cell r="H2363">
            <v>1</v>
          </cell>
        </row>
        <row r="2364">
          <cell r="B2364" t="str">
            <v>SWC1000-1016</v>
          </cell>
          <cell r="C2364" t="str">
            <v>Invoice</v>
          </cell>
          <cell r="D2364">
            <v>38512</v>
          </cell>
          <cell r="F2364" t="str">
            <v>5460</v>
          </cell>
          <cell r="G2364" t="str">
            <v>Copeland Sports</v>
          </cell>
          <cell r="H2364">
            <v>1</v>
          </cell>
        </row>
        <row r="2365">
          <cell r="B2365" t="str">
            <v>SWC1000-1016</v>
          </cell>
          <cell r="C2365" t="str">
            <v>Invoice</v>
          </cell>
          <cell r="D2365">
            <v>38516</v>
          </cell>
          <cell r="F2365" t="str">
            <v>6351</v>
          </cell>
          <cell r="G2365" t="str">
            <v>Florida Aquarium</v>
          </cell>
          <cell r="H2365">
            <v>1</v>
          </cell>
        </row>
        <row r="2366">
          <cell r="B2366" t="str">
            <v>SWC1000-1016</v>
          </cell>
          <cell r="C2366" t="str">
            <v>Invoice</v>
          </cell>
          <cell r="D2366">
            <v>38540</v>
          </cell>
          <cell r="F2366" t="str">
            <v>6272</v>
          </cell>
          <cell r="G2366" t="str">
            <v>Georgie Yost</v>
          </cell>
          <cell r="H2366">
            <v>1</v>
          </cell>
        </row>
        <row r="2367">
          <cell r="B2367" t="str">
            <v>SWC1000-1016</v>
          </cell>
          <cell r="C2367" t="str">
            <v>Invoice</v>
          </cell>
          <cell r="D2367">
            <v>38542</v>
          </cell>
          <cell r="F2367" t="str">
            <v>6352</v>
          </cell>
          <cell r="G2367" t="str">
            <v>Florida Aquarium</v>
          </cell>
          <cell r="H2367">
            <v>1</v>
          </cell>
        </row>
        <row r="2368">
          <cell r="B2368" t="str">
            <v>SWC1000-1016</v>
          </cell>
          <cell r="C2368" t="str">
            <v>Invoice</v>
          </cell>
          <cell r="D2368">
            <v>38569</v>
          </cell>
          <cell r="F2368" t="str">
            <v>5582</v>
          </cell>
          <cell r="G2368" t="str">
            <v>Florida Aquarium</v>
          </cell>
          <cell r="H2368">
            <v>1</v>
          </cell>
        </row>
        <row r="2369">
          <cell r="B2369" t="str">
            <v>SWC1000-1016</v>
          </cell>
          <cell r="C2369" t="str">
            <v>Invoice</v>
          </cell>
          <cell r="D2369">
            <v>38602</v>
          </cell>
          <cell r="F2369" t="str">
            <v>7188</v>
          </cell>
          <cell r="G2369" t="str">
            <v>Florida Aquarium</v>
          </cell>
          <cell r="H2369">
            <v>1</v>
          </cell>
        </row>
        <row r="2370">
          <cell r="B2370" t="str">
            <v>SWC1000-1031</v>
          </cell>
          <cell r="C2370" t="str">
            <v>Invoice</v>
          </cell>
          <cell r="D2370">
            <v>38467</v>
          </cell>
          <cell r="F2370" t="str">
            <v>5704</v>
          </cell>
          <cell r="G2370" t="str">
            <v>Economart</v>
          </cell>
          <cell r="H2370">
            <v>1</v>
          </cell>
        </row>
        <row r="2371">
          <cell r="B2371" t="str">
            <v>SWC1000-1031</v>
          </cell>
          <cell r="C2371" t="str">
            <v>Invoice</v>
          </cell>
          <cell r="D2371">
            <v>38553</v>
          </cell>
          <cell r="F2371" t="str">
            <v>7160</v>
          </cell>
          <cell r="G2371" t="str">
            <v>Cosentino Food Stores</v>
          </cell>
          <cell r="H2371">
            <v>1</v>
          </cell>
        </row>
        <row r="2372">
          <cell r="B2372" t="str">
            <v>SWC1000-1047</v>
          </cell>
          <cell r="C2372" t="str">
            <v>Invoice</v>
          </cell>
          <cell r="D2372">
            <v>38440</v>
          </cell>
          <cell r="F2372" t="str">
            <v>5535</v>
          </cell>
          <cell r="G2372" t="str">
            <v>Owlfie's Flowers and Gifts</v>
          </cell>
          <cell r="H2372">
            <v>1</v>
          </cell>
        </row>
        <row r="2373">
          <cell r="B2373" t="str">
            <v>SWC1000-1047</v>
          </cell>
          <cell r="C2373" t="str">
            <v>Invoice</v>
          </cell>
          <cell r="D2373">
            <v>38468</v>
          </cell>
          <cell r="F2373" t="str">
            <v>5645</v>
          </cell>
          <cell r="G2373" t="str">
            <v>Owlfie's Flowers and Gifts</v>
          </cell>
          <cell r="H2373">
            <v>1</v>
          </cell>
        </row>
        <row r="2374">
          <cell r="B2374" t="str">
            <v>SWC1000-1047</v>
          </cell>
          <cell r="C2374" t="str">
            <v>Invoice</v>
          </cell>
          <cell r="D2374">
            <v>38478</v>
          </cell>
          <cell r="F2374" t="str">
            <v>5723</v>
          </cell>
          <cell r="G2374" t="str">
            <v>Arkitectura Urbana</v>
          </cell>
          <cell r="H2374">
            <v>1</v>
          </cell>
        </row>
        <row r="2375">
          <cell r="B2375" t="str">
            <v>SWC1000-1047</v>
          </cell>
          <cell r="C2375" t="str">
            <v>Invoice</v>
          </cell>
          <cell r="D2375">
            <v>38533</v>
          </cell>
          <cell r="F2375" t="str">
            <v>7041</v>
          </cell>
          <cell r="G2375" t="str">
            <v>Arkitectura Urbana</v>
          </cell>
          <cell r="H2375">
            <v>1</v>
          </cell>
        </row>
        <row r="2376">
          <cell r="B2376" t="str">
            <v>SWC1000-1047</v>
          </cell>
          <cell r="C2376" t="str">
            <v>Invoice</v>
          </cell>
          <cell r="D2376">
            <v>38583</v>
          </cell>
          <cell r="F2376" t="str">
            <v>7511</v>
          </cell>
          <cell r="G2376" t="str">
            <v>Arkitectura Urbana</v>
          </cell>
          <cell r="H2376">
            <v>1</v>
          </cell>
        </row>
        <row r="2377">
          <cell r="B2377" t="str">
            <v>SWC1000-1055</v>
          </cell>
          <cell r="C2377" t="str">
            <v>Invoice</v>
          </cell>
          <cell r="D2377">
            <v>38533</v>
          </cell>
          <cell r="F2377" t="str">
            <v>7025</v>
          </cell>
          <cell r="G2377" t="str">
            <v>Longaberger Co.</v>
          </cell>
          <cell r="H2377">
            <v>1</v>
          </cell>
        </row>
        <row r="2378">
          <cell r="B2378" t="str">
            <v>SWC1000-1062</v>
          </cell>
          <cell r="C2378" t="str">
            <v>Invoice</v>
          </cell>
          <cell r="D2378">
            <v>38398</v>
          </cell>
          <cell r="F2378" t="str">
            <v>5305</v>
          </cell>
          <cell r="G2378" t="str">
            <v>Arkitectura Urbana</v>
          </cell>
          <cell r="H2378">
            <v>1</v>
          </cell>
        </row>
        <row r="2379">
          <cell r="B2379" t="str">
            <v>SWC1000-1062</v>
          </cell>
          <cell r="C2379" t="str">
            <v>Invoice</v>
          </cell>
          <cell r="D2379">
            <v>38583</v>
          </cell>
          <cell r="F2379" t="str">
            <v>7511</v>
          </cell>
          <cell r="G2379" t="str">
            <v>Arkitectura Urbana</v>
          </cell>
          <cell r="H2379">
            <v>1</v>
          </cell>
        </row>
        <row r="2380">
          <cell r="B2380" t="str">
            <v>SWC1000-1095</v>
          </cell>
          <cell r="C2380" t="str">
            <v>Invoice</v>
          </cell>
          <cell r="D2380">
            <v>38440</v>
          </cell>
          <cell r="F2380" t="str">
            <v>5527</v>
          </cell>
          <cell r="G2380" t="str">
            <v>Exxon DDB Worldwide:Exxon DDB Worldwide #24239</v>
          </cell>
          <cell r="H2380">
            <v>1</v>
          </cell>
        </row>
        <row r="2381">
          <cell r="B2381" t="str">
            <v>SWC1000-1095</v>
          </cell>
          <cell r="C2381" t="str">
            <v>Invoice</v>
          </cell>
          <cell r="D2381">
            <v>38442</v>
          </cell>
          <cell r="F2381" t="str">
            <v>5545</v>
          </cell>
          <cell r="G2381" t="str">
            <v>Sea World Orlando</v>
          </cell>
          <cell r="H2381">
            <v>1</v>
          </cell>
        </row>
        <row r="2382">
          <cell r="B2382" t="str">
            <v>SWC1000-1095</v>
          </cell>
          <cell r="C2382" t="str">
            <v>Invoice</v>
          </cell>
          <cell r="D2382">
            <v>38467</v>
          </cell>
          <cell r="F2382" t="str">
            <v>5679</v>
          </cell>
          <cell r="G2382" t="str">
            <v>Exxon DDB Worldwide</v>
          </cell>
          <cell r="H2382">
            <v>1</v>
          </cell>
        </row>
        <row r="2383">
          <cell r="B2383" t="str">
            <v>SWC1000-1095</v>
          </cell>
          <cell r="C2383" t="str">
            <v>Invoice</v>
          </cell>
          <cell r="D2383">
            <v>38467</v>
          </cell>
          <cell r="F2383" t="str">
            <v>5679</v>
          </cell>
          <cell r="G2383" t="str">
            <v>Exxon DDB Worldwide</v>
          </cell>
          <cell r="H2383">
            <v>1</v>
          </cell>
        </row>
        <row r="2384">
          <cell r="B2384" t="str">
            <v>SWC1000-1095</v>
          </cell>
          <cell r="C2384" t="str">
            <v>Invoice</v>
          </cell>
          <cell r="D2384">
            <v>38467</v>
          </cell>
          <cell r="F2384" t="str">
            <v>5680</v>
          </cell>
          <cell r="G2384" t="str">
            <v>Exxon DDB Worldwide:Exxon DDB Worldwide #26308</v>
          </cell>
          <cell r="H2384">
            <v>1</v>
          </cell>
        </row>
        <row r="2385">
          <cell r="B2385" t="str">
            <v>SWC1000-1095</v>
          </cell>
          <cell r="C2385" t="str">
            <v>Invoice</v>
          </cell>
          <cell r="D2385">
            <v>38467</v>
          </cell>
          <cell r="F2385" t="str">
            <v>5680</v>
          </cell>
          <cell r="G2385" t="str">
            <v>Exxon DDB Worldwide:Exxon DDB Worldwide #26308</v>
          </cell>
          <cell r="H2385">
            <v>1</v>
          </cell>
        </row>
        <row r="2386">
          <cell r="B2386" t="str">
            <v>SWC1000-1095</v>
          </cell>
          <cell r="C2386" t="str">
            <v>Invoice</v>
          </cell>
          <cell r="D2386">
            <v>38467</v>
          </cell>
          <cell r="F2386" t="str">
            <v>5685</v>
          </cell>
          <cell r="G2386" t="str">
            <v>Exxon DDB Worldwide:Exxon DDB Worldwide #20407</v>
          </cell>
          <cell r="H2386">
            <v>1</v>
          </cell>
        </row>
        <row r="2387">
          <cell r="B2387" t="str">
            <v>SWC1000-1095</v>
          </cell>
          <cell r="C2387" t="str">
            <v>Invoice</v>
          </cell>
          <cell r="D2387">
            <v>38467</v>
          </cell>
          <cell r="F2387" t="str">
            <v>5685</v>
          </cell>
          <cell r="G2387" t="str">
            <v>Exxon DDB Worldwide:Exxon DDB Worldwide #20407</v>
          </cell>
          <cell r="H2387">
            <v>1</v>
          </cell>
        </row>
        <row r="2388">
          <cell r="B2388" t="str">
            <v>SWC1000-1095</v>
          </cell>
          <cell r="C2388" t="str">
            <v>Invoice</v>
          </cell>
          <cell r="D2388">
            <v>38467</v>
          </cell>
          <cell r="F2388" t="str">
            <v>5683</v>
          </cell>
          <cell r="G2388" t="str">
            <v>Exxon DDB Worldwide:Exxon DDB Worldwide #24239</v>
          </cell>
          <cell r="H2388">
            <v>1</v>
          </cell>
        </row>
        <row r="2389">
          <cell r="B2389" t="str">
            <v>SWC1000-1095</v>
          </cell>
          <cell r="C2389" t="str">
            <v>Invoice</v>
          </cell>
          <cell r="D2389">
            <v>38467</v>
          </cell>
          <cell r="F2389" t="str">
            <v>5681</v>
          </cell>
          <cell r="G2389" t="str">
            <v>Exxon DDB Worldwide# 25329</v>
          </cell>
          <cell r="H2389">
            <v>1</v>
          </cell>
        </row>
        <row r="2390">
          <cell r="B2390" t="str">
            <v>SWC1000-1095</v>
          </cell>
          <cell r="C2390" t="str">
            <v>Invoice</v>
          </cell>
          <cell r="D2390">
            <v>38467</v>
          </cell>
          <cell r="F2390" t="str">
            <v>5681</v>
          </cell>
          <cell r="G2390" t="str">
            <v>Exxon DDB Worldwide# 25329</v>
          </cell>
          <cell r="H2390">
            <v>1</v>
          </cell>
        </row>
        <row r="2391">
          <cell r="B2391" t="str">
            <v>SWC1000-1095</v>
          </cell>
          <cell r="C2391" t="str">
            <v>Invoice</v>
          </cell>
          <cell r="D2391">
            <v>38467</v>
          </cell>
          <cell r="F2391" t="str">
            <v>5682</v>
          </cell>
          <cell r="G2391" t="str">
            <v>Exxon DDB Worldwide# 2431</v>
          </cell>
          <cell r="H2391">
            <v>1</v>
          </cell>
        </row>
        <row r="2392">
          <cell r="B2392" t="str">
            <v>SWC1000-1095</v>
          </cell>
          <cell r="C2392" t="str">
            <v>Invoice</v>
          </cell>
          <cell r="D2392">
            <v>38467</v>
          </cell>
          <cell r="F2392" t="str">
            <v>5689</v>
          </cell>
          <cell r="G2392" t="str">
            <v>Exxon DDB Worldwide#10241</v>
          </cell>
          <cell r="H2392">
            <v>1</v>
          </cell>
        </row>
        <row r="2393">
          <cell r="B2393" t="str">
            <v>SWC1000-1095</v>
          </cell>
          <cell r="C2393" t="str">
            <v>Invoice</v>
          </cell>
          <cell r="D2393">
            <v>38467</v>
          </cell>
          <cell r="F2393" t="str">
            <v>5687</v>
          </cell>
          <cell r="G2393" t="str">
            <v>Exxon DDB Worldwide:Exxon DDB Worldwide #11644</v>
          </cell>
          <cell r="H2393">
            <v>1</v>
          </cell>
        </row>
        <row r="2394">
          <cell r="B2394" t="str">
            <v>SWC1000-1095</v>
          </cell>
          <cell r="C2394" t="str">
            <v>Invoice</v>
          </cell>
          <cell r="D2394">
            <v>38467</v>
          </cell>
          <cell r="F2394" t="str">
            <v>5688</v>
          </cell>
          <cell r="G2394" t="str">
            <v>Exxon DDB Worldwide#11640</v>
          </cell>
          <cell r="H2394">
            <v>1</v>
          </cell>
        </row>
        <row r="2395">
          <cell r="B2395" t="str">
            <v>SWC1000-1095</v>
          </cell>
          <cell r="C2395" t="str">
            <v>Invoice</v>
          </cell>
          <cell r="D2395">
            <v>38467</v>
          </cell>
          <cell r="F2395" t="str">
            <v>5686</v>
          </cell>
          <cell r="G2395" t="str">
            <v>Exxon DDB Worldwide:Exxon DDB Worldwide #15022</v>
          </cell>
          <cell r="H2395">
            <v>1</v>
          </cell>
        </row>
        <row r="2396">
          <cell r="B2396" t="str">
            <v>SWC1000-1095</v>
          </cell>
          <cell r="C2396" t="str">
            <v>Invoice</v>
          </cell>
          <cell r="D2396">
            <v>38467</v>
          </cell>
          <cell r="F2396" t="str">
            <v>5686</v>
          </cell>
          <cell r="G2396" t="str">
            <v>Exxon DDB Worldwide:Exxon DDB Worldwide #15022</v>
          </cell>
          <cell r="H2396">
            <v>1</v>
          </cell>
        </row>
        <row r="2397">
          <cell r="B2397" t="str">
            <v>SWC1000-1095</v>
          </cell>
          <cell r="C2397" t="str">
            <v>Invoice</v>
          </cell>
          <cell r="D2397">
            <v>38467</v>
          </cell>
          <cell r="F2397" t="str">
            <v>5686</v>
          </cell>
          <cell r="G2397" t="str">
            <v>Exxon DDB Worldwide:Exxon DDB Worldwide #15022</v>
          </cell>
          <cell r="H2397">
            <v>1</v>
          </cell>
        </row>
        <row r="2398">
          <cell r="B2398" t="str">
            <v>SWC1000-1095</v>
          </cell>
          <cell r="C2398" t="str">
            <v>Invoice</v>
          </cell>
          <cell r="D2398">
            <v>38467</v>
          </cell>
          <cell r="F2398" t="str">
            <v>5679A</v>
          </cell>
          <cell r="G2398" t="str">
            <v>Exxon DDB Worldwide</v>
          </cell>
          <cell r="H2398">
            <v>1</v>
          </cell>
        </row>
        <row r="2399">
          <cell r="B2399" t="str">
            <v>SWC1000-1095</v>
          </cell>
          <cell r="C2399" t="str">
            <v>Invoice</v>
          </cell>
          <cell r="D2399">
            <v>38467</v>
          </cell>
          <cell r="F2399" t="str">
            <v>5679A</v>
          </cell>
          <cell r="G2399" t="str">
            <v>Exxon DDB Worldwide</v>
          </cell>
          <cell r="H2399">
            <v>1</v>
          </cell>
        </row>
        <row r="2400">
          <cell r="B2400" t="str">
            <v>SWC1000-1095</v>
          </cell>
          <cell r="C2400" t="str">
            <v>Invoice</v>
          </cell>
          <cell r="D2400">
            <v>38467</v>
          </cell>
          <cell r="F2400" t="str">
            <v>5679A</v>
          </cell>
          <cell r="G2400" t="str">
            <v>Exxon DDB Worldwide</v>
          </cell>
          <cell r="H2400">
            <v>1</v>
          </cell>
        </row>
        <row r="2401">
          <cell r="B2401" t="str">
            <v>SWC1000-1095</v>
          </cell>
          <cell r="C2401" t="str">
            <v>Invoice</v>
          </cell>
          <cell r="D2401">
            <v>38467</v>
          </cell>
          <cell r="F2401" t="str">
            <v>5679A</v>
          </cell>
          <cell r="G2401" t="str">
            <v>Exxon DDB Worldwide</v>
          </cell>
          <cell r="H2401">
            <v>1</v>
          </cell>
        </row>
        <row r="2402">
          <cell r="B2402" t="str">
            <v>SWC1000-1095</v>
          </cell>
          <cell r="C2402" t="str">
            <v>Invoice</v>
          </cell>
          <cell r="D2402">
            <v>38467</v>
          </cell>
          <cell r="F2402" t="str">
            <v>5679A</v>
          </cell>
          <cell r="G2402" t="str">
            <v>Exxon DDB Worldwide</v>
          </cell>
          <cell r="H2402">
            <v>1</v>
          </cell>
        </row>
        <row r="2403">
          <cell r="B2403" t="str">
            <v>SWC1000-1095</v>
          </cell>
          <cell r="C2403" t="str">
            <v>Invoice</v>
          </cell>
          <cell r="D2403">
            <v>38467</v>
          </cell>
          <cell r="F2403" t="str">
            <v>5679A</v>
          </cell>
          <cell r="G2403" t="str">
            <v>Exxon DDB Worldwide</v>
          </cell>
          <cell r="H2403">
            <v>1</v>
          </cell>
        </row>
        <row r="2404">
          <cell r="B2404" t="str">
            <v>SWC1000-1095</v>
          </cell>
          <cell r="C2404" t="str">
            <v>Invoice</v>
          </cell>
          <cell r="D2404">
            <v>38467</v>
          </cell>
          <cell r="F2404" t="str">
            <v>5679A</v>
          </cell>
          <cell r="G2404" t="str">
            <v>Exxon DDB Worldwide</v>
          </cell>
          <cell r="H2404">
            <v>1</v>
          </cell>
        </row>
        <row r="2405">
          <cell r="B2405" t="str">
            <v>SWC1000-1095</v>
          </cell>
          <cell r="C2405" t="str">
            <v>Invoice</v>
          </cell>
          <cell r="D2405">
            <v>38467</v>
          </cell>
          <cell r="F2405" t="str">
            <v>5679A</v>
          </cell>
          <cell r="G2405" t="str">
            <v>Exxon DDB Worldwide</v>
          </cell>
          <cell r="H2405">
            <v>1</v>
          </cell>
        </row>
        <row r="2406">
          <cell r="B2406" t="str">
            <v>SWC1000-1095</v>
          </cell>
          <cell r="C2406" t="str">
            <v>Invoice</v>
          </cell>
          <cell r="D2406">
            <v>38467</v>
          </cell>
          <cell r="F2406" t="str">
            <v>5679A</v>
          </cell>
          <cell r="G2406" t="str">
            <v>Exxon DDB Worldwide</v>
          </cell>
          <cell r="H2406">
            <v>1</v>
          </cell>
        </row>
        <row r="2407">
          <cell r="B2407" t="str">
            <v>SWC1000-1095</v>
          </cell>
          <cell r="C2407" t="str">
            <v>Invoice</v>
          </cell>
          <cell r="D2407">
            <v>38467</v>
          </cell>
          <cell r="F2407" t="str">
            <v>5679A</v>
          </cell>
          <cell r="G2407" t="str">
            <v>Exxon DDB Worldwide</v>
          </cell>
          <cell r="H2407">
            <v>1</v>
          </cell>
        </row>
        <row r="2408">
          <cell r="B2408" t="str">
            <v>SWC1000-1095</v>
          </cell>
          <cell r="C2408" t="str">
            <v>Invoice</v>
          </cell>
          <cell r="D2408">
            <v>38569</v>
          </cell>
          <cell r="F2408" t="str">
            <v>7302</v>
          </cell>
          <cell r="G2408" t="str">
            <v>Imperial Palace Hotel and Casino</v>
          </cell>
          <cell r="H2408">
            <v>1</v>
          </cell>
        </row>
        <row r="2409">
          <cell r="B2409" t="str">
            <v>SWC1000-1098</v>
          </cell>
          <cell r="C2409" t="str">
            <v>Invoice</v>
          </cell>
          <cell r="D2409">
            <v>38411</v>
          </cell>
          <cell r="F2409" t="str">
            <v>5396</v>
          </cell>
          <cell r="G2409" t="str">
            <v>South Pacific Elixir Company Inc.</v>
          </cell>
          <cell r="H2409">
            <v>1</v>
          </cell>
        </row>
        <row r="2410">
          <cell r="B2410" t="str">
            <v>SWC1000-1099</v>
          </cell>
          <cell r="C2410" t="str">
            <v>Invoice</v>
          </cell>
          <cell r="D2410">
            <v>38398</v>
          </cell>
          <cell r="F2410" t="str">
            <v>5305</v>
          </cell>
          <cell r="G2410" t="str">
            <v>Arkitectura Urbana</v>
          </cell>
          <cell r="H2410">
            <v>1</v>
          </cell>
        </row>
        <row r="2411">
          <cell r="B2411" t="str">
            <v>SWC1000-1099</v>
          </cell>
          <cell r="C2411" t="str">
            <v>Invoice</v>
          </cell>
          <cell r="D2411">
            <v>38467</v>
          </cell>
          <cell r="F2411" t="str">
            <v>5704</v>
          </cell>
          <cell r="G2411" t="str">
            <v>Economart</v>
          </cell>
          <cell r="H2411">
            <v>1</v>
          </cell>
        </row>
        <row r="2412">
          <cell r="B2412" t="str">
            <v>SWC1000-1099</v>
          </cell>
          <cell r="C2412" t="str">
            <v>Invoice</v>
          </cell>
          <cell r="D2412">
            <v>38503</v>
          </cell>
          <cell r="F2412" t="str">
            <v>6172</v>
          </cell>
          <cell r="G2412" t="str">
            <v>Arkitectura Urbana</v>
          </cell>
          <cell r="H2412">
            <v>1</v>
          </cell>
        </row>
        <row r="2413">
          <cell r="B2413" t="str">
            <v>SWC1000-1099</v>
          </cell>
          <cell r="C2413" t="str">
            <v>Invoice</v>
          </cell>
          <cell r="D2413">
            <v>38553</v>
          </cell>
          <cell r="F2413" t="str">
            <v>7159</v>
          </cell>
          <cell r="G2413" t="str">
            <v>Arkitectura Urbana</v>
          </cell>
          <cell r="H2413">
            <v>1</v>
          </cell>
        </row>
        <row r="2414">
          <cell r="B2414" t="str">
            <v>SWC1000-1105</v>
          </cell>
          <cell r="C2414" t="str">
            <v>Invoice</v>
          </cell>
          <cell r="D2414">
            <v>38440</v>
          </cell>
          <cell r="F2414" t="str">
            <v>5531</v>
          </cell>
          <cell r="G2414" t="str">
            <v>Jimmy Choo (Dallas)</v>
          </cell>
          <cell r="H2414">
            <v>1</v>
          </cell>
        </row>
        <row r="2415">
          <cell r="B2415" t="str">
            <v>SWC1000-1105</v>
          </cell>
          <cell r="C2415" t="str">
            <v>Invoice</v>
          </cell>
          <cell r="D2415">
            <v>38440</v>
          </cell>
          <cell r="F2415" t="str">
            <v>5532</v>
          </cell>
          <cell r="G2415" t="str">
            <v>Andrew Andrew-NY Jimmy Choo</v>
          </cell>
          <cell r="H2415">
            <v>1</v>
          </cell>
        </row>
        <row r="2416">
          <cell r="B2416" t="str">
            <v>SWC1000-1105</v>
          </cell>
          <cell r="C2416" t="str">
            <v>Invoice</v>
          </cell>
          <cell r="D2416">
            <v>38440</v>
          </cell>
          <cell r="F2416" t="str">
            <v>5528</v>
          </cell>
          <cell r="G2416" t="str">
            <v>Andrew Andrew-NY Jimmy Choo</v>
          </cell>
          <cell r="H2416">
            <v>1</v>
          </cell>
        </row>
        <row r="2417">
          <cell r="B2417" t="str">
            <v>SWC1000-1105</v>
          </cell>
          <cell r="C2417" t="str">
            <v>Invoice</v>
          </cell>
          <cell r="D2417">
            <v>38471</v>
          </cell>
          <cell r="F2417" t="str">
            <v>6025</v>
          </cell>
          <cell r="G2417" t="str">
            <v>Jimmy Choo (Coral Gables)</v>
          </cell>
          <cell r="H2417">
            <v>1</v>
          </cell>
        </row>
        <row r="2418">
          <cell r="B2418" t="str">
            <v>SWC1000-1105</v>
          </cell>
          <cell r="C2418" t="str">
            <v>Invoice</v>
          </cell>
          <cell r="D2418">
            <v>38471</v>
          </cell>
          <cell r="F2418" t="str">
            <v>6026</v>
          </cell>
          <cell r="G2418" t="str">
            <v>Jimmy Choo (Dallas)</v>
          </cell>
          <cell r="H2418">
            <v>1</v>
          </cell>
        </row>
        <row r="2419">
          <cell r="B2419" t="str">
            <v>SWC1000-1168</v>
          </cell>
          <cell r="C2419" t="str">
            <v>Invoice</v>
          </cell>
          <cell r="D2419">
            <v>38516</v>
          </cell>
          <cell r="F2419" t="str">
            <v>6316</v>
          </cell>
          <cell r="G2419" t="str">
            <v>Disney Worldwide:Main Street Confectionary</v>
          </cell>
          <cell r="H2419">
            <v>1</v>
          </cell>
        </row>
        <row r="2420">
          <cell r="B2420" t="str">
            <v>SWC1000-1168</v>
          </cell>
          <cell r="C2420" t="str">
            <v>Invoice</v>
          </cell>
          <cell r="D2420">
            <v>38542</v>
          </cell>
          <cell r="F2420" t="str">
            <v>6321</v>
          </cell>
          <cell r="G2420" t="str">
            <v>Disney Worldwide:Main Street Confectionary</v>
          </cell>
          <cell r="H2420">
            <v>1</v>
          </cell>
        </row>
        <row r="2421">
          <cell r="B2421" t="str">
            <v>SWC1000-1168</v>
          </cell>
          <cell r="C2421" t="str">
            <v>Invoice</v>
          </cell>
          <cell r="D2421">
            <v>38573</v>
          </cell>
          <cell r="F2421" t="str">
            <v>6405</v>
          </cell>
          <cell r="G2421" t="str">
            <v>Disney Worldwide:Main Street Confectionary</v>
          </cell>
          <cell r="H2421">
            <v>1</v>
          </cell>
        </row>
        <row r="2422">
          <cell r="B2422" t="str">
            <v>SWC1000-1168</v>
          </cell>
          <cell r="C2422" t="str">
            <v>Invoice</v>
          </cell>
          <cell r="D2422">
            <v>38604</v>
          </cell>
          <cell r="F2422" t="str">
            <v>7212</v>
          </cell>
          <cell r="G2422" t="str">
            <v>Disney Worldwide:Main Street Confectionary</v>
          </cell>
          <cell r="H2422">
            <v>1</v>
          </cell>
        </row>
        <row r="2423">
          <cell r="B2423" t="str">
            <v>SWC1000-1195</v>
          </cell>
          <cell r="C2423" t="str">
            <v>Invoice</v>
          </cell>
          <cell r="D2423">
            <v>38440</v>
          </cell>
          <cell r="F2423" t="str">
            <v>5403</v>
          </cell>
          <cell r="G2423" t="str">
            <v>Georgie Yost</v>
          </cell>
          <cell r="H2423">
            <v>1</v>
          </cell>
        </row>
        <row r="2424">
          <cell r="B2424" t="str">
            <v>SWC1000-1195</v>
          </cell>
          <cell r="C2424" t="str">
            <v>Invoice</v>
          </cell>
          <cell r="D2424">
            <v>38440</v>
          </cell>
          <cell r="F2424" t="str">
            <v>5540</v>
          </cell>
          <cell r="G2424" t="str">
            <v>Celebration Hotel</v>
          </cell>
          <cell r="H2424">
            <v>1</v>
          </cell>
        </row>
        <row r="2425">
          <cell r="B2425" t="str">
            <v>SWC1000-1195</v>
          </cell>
          <cell r="C2425" t="str">
            <v>Invoice</v>
          </cell>
          <cell r="D2425">
            <v>38472</v>
          </cell>
          <cell r="F2425" t="str">
            <v>6407-I</v>
          </cell>
          <cell r="G2425" t="str">
            <v>Brent Courville</v>
          </cell>
          <cell r="H2425">
            <v>1</v>
          </cell>
        </row>
        <row r="2426">
          <cell r="B2426" t="str">
            <v>SWC1000-1195</v>
          </cell>
          <cell r="C2426" t="str">
            <v>Invoice</v>
          </cell>
          <cell r="D2426">
            <v>38475</v>
          </cell>
          <cell r="F2426" t="str">
            <v>5649</v>
          </cell>
          <cell r="G2426" t="str">
            <v>Sea World Orlando</v>
          </cell>
          <cell r="H2426">
            <v>1</v>
          </cell>
        </row>
        <row r="2427">
          <cell r="B2427" t="str">
            <v>SWC1000-1195</v>
          </cell>
          <cell r="C2427" t="str">
            <v>Invoice</v>
          </cell>
          <cell r="D2427">
            <v>38491</v>
          </cell>
          <cell r="F2427" t="str">
            <v>6311</v>
          </cell>
          <cell r="G2427" t="str">
            <v>Celebration Hotel</v>
          </cell>
          <cell r="H2427">
            <v>1</v>
          </cell>
        </row>
        <row r="2428">
          <cell r="B2428" t="str">
            <v>SWC1000-1195</v>
          </cell>
          <cell r="C2428" t="str">
            <v>Invoice</v>
          </cell>
          <cell r="D2428">
            <v>38519</v>
          </cell>
          <cell r="F2428" t="str">
            <v>6353</v>
          </cell>
          <cell r="G2428" t="str">
            <v>Sea World Orlando</v>
          </cell>
          <cell r="H2428">
            <v>1</v>
          </cell>
        </row>
        <row r="2429">
          <cell r="B2429" t="str">
            <v>SWC1000-1195</v>
          </cell>
          <cell r="C2429" t="str">
            <v>Invoice</v>
          </cell>
          <cell r="D2429">
            <v>38544</v>
          </cell>
          <cell r="F2429" t="str">
            <v>6034-I</v>
          </cell>
          <cell r="G2429" t="str">
            <v>Sea World Orlando</v>
          </cell>
          <cell r="H2429">
            <v>1</v>
          </cell>
        </row>
        <row r="2430">
          <cell r="B2430" t="str">
            <v>SWC1000-1195</v>
          </cell>
          <cell r="C2430" t="str">
            <v>Invoice</v>
          </cell>
          <cell r="D2430">
            <v>38544</v>
          </cell>
          <cell r="F2430" t="str">
            <v>6327</v>
          </cell>
          <cell r="G2430" t="str">
            <v>Celebration Hotel</v>
          </cell>
          <cell r="H2430">
            <v>1</v>
          </cell>
        </row>
        <row r="2431">
          <cell r="B2431" t="str">
            <v>SWC1000-1195</v>
          </cell>
          <cell r="C2431" t="str">
            <v>Invoice</v>
          </cell>
          <cell r="D2431">
            <v>38576</v>
          </cell>
          <cell r="F2431" t="str">
            <v>7033</v>
          </cell>
          <cell r="G2431" t="str">
            <v>Celebration Hotel</v>
          </cell>
          <cell r="H2431">
            <v>1</v>
          </cell>
        </row>
        <row r="2432">
          <cell r="B2432" t="str">
            <v>SWC1000-1195</v>
          </cell>
          <cell r="C2432" t="str">
            <v>Invoice</v>
          </cell>
          <cell r="D2432">
            <v>38576</v>
          </cell>
          <cell r="F2432" t="str">
            <v>7054</v>
          </cell>
          <cell r="G2432" t="str">
            <v>Sea World Orlando</v>
          </cell>
          <cell r="H2432">
            <v>1</v>
          </cell>
        </row>
        <row r="2433">
          <cell r="B2433" t="str">
            <v>SWC1000-1195</v>
          </cell>
          <cell r="C2433" t="str">
            <v>Invoice</v>
          </cell>
          <cell r="D2433">
            <v>38607</v>
          </cell>
          <cell r="F2433" t="str">
            <v>7237</v>
          </cell>
          <cell r="G2433" t="str">
            <v>Celebration Hotel</v>
          </cell>
          <cell r="H2433">
            <v>1</v>
          </cell>
        </row>
        <row r="2434">
          <cell r="B2434" t="str">
            <v>SWC1000-1195</v>
          </cell>
          <cell r="C2434" t="str">
            <v>Invoice</v>
          </cell>
          <cell r="D2434">
            <v>38609</v>
          </cell>
          <cell r="F2434" t="str">
            <v>7235</v>
          </cell>
          <cell r="G2434" t="str">
            <v>Sea World Orlando</v>
          </cell>
          <cell r="H2434">
            <v>1</v>
          </cell>
        </row>
        <row r="2435">
          <cell r="B2435" t="str">
            <v>SWC1000-1229</v>
          </cell>
          <cell r="C2435" t="str">
            <v>Invoice</v>
          </cell>
          <cell r="D2435">
            <v>38442</v>
          </cell>
          <cell r="F2435" t="str">
            <v>5545</v>
          </cell>
          <cell r="G2435" t="str">
            <v>Sea World Orlando</v>
          </cell>
          <cell r="H2435">
            <v>1</v>
          </cell>
        </row>
        <row r="2436">
          <cell r="B2436" t="str">
            <v>SWC1000-1229</v>
          </cell>
          <cell r="C2436" t="str">
            <v>Invoice</v>
          </cell>
          <cell r="D2436">
            <v>38475</v>
          </cell>
          <cell r="F2436" t="str">
            <v>5649</v>
          </cell>
          <cell r="G2436" t="str">
            <v>Sea World Orlando</v>
          </cell>
          <cell r="H2436">
            <v>1</v>
          </cell>
        </row>
        <row r="2437">
          <cell r="B2437" t="str">
            <v>SWC1000-1229</v>
          </cell>
          <cell r="C2437" t="str">
            <v>Invoice</v>
          </cell>
          <cell r="D2437">
            <v>38519</v>
          </cell>
          <cell r="F2437" t="str">
            <v>6353</v>
          </cell>
          <cell r="G2437" t="str">
            <v>Sea World Orlando</v>
          </cell>
          <cell r="H2437">
            <v>1</v>
          </cell>
        </row>
        <row r="2438">
          <cell r="B2438" t="str">
            <v>SWC1000-1229</v>
          </cell>
          <cell r="C2438" t="str">
            <v>Invoice</v>
          </cell>
          <cell r="D2438">
            <v>38544</v>
          </cell>
          <cell r="F2438" t="str">
            <v>6034-I</v>
          </cell>
          <cell r="G2438" t="str">
            <v>Sea World Orlando</v>
          </cell>
          <cell r="H2438">
            <v>1</v>
          </cell>
        </row>
        <row r="2439">
          <cell r="B2439" t="str">
            <v>SWC1000-1229</v>
          </cell>
          <cell r="C2439" t="str">
            <v>Invoice</v>
          </cell>
          <cell r="D2439">
            <v>38576</v>
          </cell>
          <cell r="F2439" t="str">
            <v>7054</v>
          </cell>
          <cell r="G2439" t="str">
            <v>Sea World Orlando</v>
          </cell>
          <cell r="H2439">
            <v>1</v>
          </cell>
        </row>
        <row r="2440">
          <cell r="B2440" t="str">
            <v>SWC1000-1229</v>
          </cell>
          <cell r="C2440" t="str">
            <v>Invoice</v>
          </cell>
          <cell r="D2440">
            <v>38609</v>
          </cell>
          <cell r="F2440" t="str">
            <v>7235</v>
          </cell>
          <cell r="G2440" t="str">
            <v>Sea World Orlando</v>
          </cell>
          <cell r="H2440">
            <v>1</v>
          </cell>
        </row>
        <row r="2441">
          <cell r="B2441" t="str">
            <v>SWC1000-1254</v>
          </cell>
          <cell r="C2441" t="str">
            <v>Invoice</v>
          </cell>
          <cell r="D2441">
            <v>38440</v>
          </cell>
          <cell r="F2441" t="str">
            <v>5538</v>
          </cell>
          <cell r="G2441" t="str">
            <v>Bark Avenue Bakery</v>
          </cell>
          <cell r="H2441">
            <v>1</v>
          </cell>
        </row>
        <row r="2442">
          <cell r="B2442" t="str">
            <v>SWC1000-1254</v>
          </cell>
          <cell r="C2442" t="str">
            <v>Invoice</v>
          </cell>
          <cell r="D2442">
            <v>38470</v>
          </cell>
          <cell r="F2442" t="str">
            <v>5625</v>
          </cell>
          <cell r="G2442" t="str">
            <v>Bark Avenue Bakery</v>
          </cell>
          <cell r="H2442">
            <v>1</v>
          </cell>
        </row>
        <row r="2443">
          <cell r="B2443" t="str">
            <v>SWC1000-1254</v>
          </cell>
          <cell r="C2443" t="str">
            <v>Invoice</v>
          </cell>
          <cell r="D2443">
            <v>38516</v>
          </cell>
          <cell r="F2443" t="str">
            <v>6350</v>
          </cell>
          <cell r="G2443" t="str">
            <v>Bark Avenue Bakery</v>
          </cell>
          <cell r="H2443">
            <v>1</v>
          </cell>
        </row>
        <row r="2444">
          <cell r="B2444" t="str">
            <v>SWC1000-1254</v>
          </cell>
          <cell r="C2444" t="str">
            <v>Invoice</v>
          </cell>
          <cell r="D2444">
            <v>38542</v>
          </cell>
          <cell r="F2444" t="str">
            <v>6035-I</v>
          </cell>
          <cell r="G2444" t="str">
            <v>Bark Avenue Bakery</v>
          </cell>
          <cell r="H2444">
            <v>1</v>
          </cell>
        </row>
        <row r="2445">
          <cell r="B2445" t="str">
            <v>SWC1000-1254</v>
          </cell>
          <cell r="C2445" t="str">
            <v>Invoice</v>
          </cell>
          <cell r="D2445">
            <v>38569</v>
          </cell>
          <cell r="F2445" t="str">
            <v>5583</v>
          </cell>
          <cell r="G2445" t="str">
            <v>Bark Avenue Bakery</v>
          </cell>
          <cell r="H2445">
            <v>1</v>
          </cell>
        </row>
        <row r="2446">
          <cell r="B2446" t="str">
            <v>SWC1000-1254</v>
          </cell>
          <cell r="C2446" t="str">
            <v>Invoice</v>
          </cell>
          <cell r="D2446">
            <v>38602</v>
          </cell>
          <cell r="F2446" t="str">
            <v>7189</v>
          </cell>
          <cell r="G2446" t="str">
            <v>Bark Avenue Bakery</v>
          </cell>
          <cell r="H2446">
            <v>1</v>
          </cell>
        </row>
        <row r="2447">
          <cell r="B2447" t="str">
            <v>SWC1000-1311</v>
          </cell>
          <cell r="C2447" t="str">
            <v>Invoice</v>
          </cell>
          <cell r="D2447">
            <v>38467</v>
          </cell>
          <cell r="F2447" t="str">
            <v>5704</v>
          </cell>
          <cell r="G2447" t="str">
            <v>Economart</v>
          </cell>
          <cell r="H2447">
            <v>1</v>
          </cell>
        </row>
        <row r="2448">
          <cell r="B2448" t="str">
            <v>SWC1000-1340</v>
          </cell>
          <cell r="C2448" t="str">
            <v>Invoice</v>
          </cell>
          <cell r="D2448">
            <v>38467</v>
          </cell>
          <cell r="F2448" t="str">
            <v>5655</v>
          </cell>
          <cell r="G2448" t="str">
            <v>Lee-Moore Oil Company:Exxon OTR - 37</v>
          </cell>
          <cell r="H2448">
            <v>1</v>
          </cell>
        </row>
        <row r="2449">
          <cell r="B2449" t="str">
            <v>SWC1000-1340</v>
          </cell>
          <cell r="C2449" t="str">
            <v>Invoice</v>
          </cell>
          <cell r="D2449">
            <v>38467</v>
          </cell>
          <cell r="F2449" t="str">
            <v>5650</v>
          </cell>
          <cell r="G2449" t="str">
            <v>Lee-Moore Oil Company:Exxon OTR - 41</v>
          </cell>
          <cell r="H2449">
            <v>1</v>
          </cell>
        </row>
        <row r="2450">
          <cell r="B2450" t="str">
            <v>SWC1000-1340</v>
          </cell>
          <cell r="C2450" t="str">
            <v>Invoice</v>
          </cell>
          <cell r="D2450">
            <v>38467</v>
          </cell>
          <cell r="F2450" t="str">
            <v>5656</v>
          </cell>
          <cell r="G2450" t="str">
            <v>Lee-Moore Oil Company:Exxon OTR - 41</v>
          </cell>
          <cell r="H2450">
            <v>1</v>
          </cell>
        </row>
        <row r="2451">
          <cell r="B2451" t="str">
            <v>SWC1000-1340</v>
          </cell>
          <cell r="C2451" t="str">
            <v>Invoice</v>
          </cell>
          <cell r="D2451">
            <v>38467</v>
          </cell>
          <cell r="F2451" t="str">
            <v>5653</v>
          </cell>
          <cell r="G2451" t="str">
            <v>Lee-Moore Oil Company:Exxon OTR - 21</v>
          </cell>
          <cell r="H2451">
            <v>1</v>
          </cell>
        </row>
        <row r="2452">
          <cell r="B2452" t="str">
            <v>SWC1000-1340</v>
          </cell>
          <cell r="C2452" t="str">
            <v>Invoice</v>
          </cell>
          <cell r="D2452">
            <v>38467</v>
          </cell>
          <cell r="F2452" t="str">
            <v>5654</v>
          </cell>
          <cell r="G2452" t="str">
            <v>Lee-Moore Oil Company:Exxon OTR - 70</v>
          </cell>
          <cell r="H2452">
            <v>1</v>
          </cell>
        </row>
        <row r="2453">
          <cell r="B2453" t="str">
            <v>SWC1000-1340</v>
          </cell>
          <cell r="C2453" t="str">
            <v>Invoice</v>
          </cell>
          <cell r="D2453">
            <v>38467</v>
          </cell>
          <cell r="F2453" t="str">
            <v>5651</v>
          </cell>
          <cell r="G2453" t="str">
            <v>Lee-Moore Oil Company:Exxon OTR - 42</v>
          </cell>
          <cell r="H2453">
            <v>1</v>
          </cell>
        </row>
        <row r="2454">
          <cell r="B2454" t="str">
            <v>SWC1000-1340</v>
          </cell>
          <cell r="C2454" t="str">
            <v>Invoice</v>
          </cell>
          <cell r="D2454">
            <v>38467</v>
          </cell>
          <cell r="F2454" t="str">
            <v>5638</v>
          </cell>
          <cell r="G2454" t="str">
            <v>Lee-Moore Oil Company:Exxon OTR - 71</v>
          </cell>
          <cell r="H2454">
            <v>1</v>
          </cell>
        </row>
        <row r="2455">
          <cell r="B2455" t="str">
            <v>SWC1000-1340</v>
          </cell>
          <cell r="C2455" t="str">
            <v>Invoice</v>
          </cell>
          <cell r="D2455">
            <v>38467</v>
          </cell>
          <cell r="F2455" t="str">
            <v>5657</v>
          </cell>
          <cell r="G2455" t="str">
            <v>Lee-Moore Oil Company:Exxon OTR - 22</v>
          </cell>
          <cell r="H2455">
            <v>1</v>
          </cell>
        </row>
        <row r="2456">
          <cell r="B2456" t="str">
            <v>SWC1000-1340</v>
          </cell>
          <cell r="C2456" t="str">
            <v>Invoice</v>
          </cell>
          <cell r="D2456">
            <v>38467</v>
          </cell>
          <cell r="F2456" t="str">
            <v>5639</v>
          </cell>
          <cell r="G2456" t="str">
            <v>Lee-Moore Oil Company:Exxon OTR - 29</v>
          </cell>
          <cell r="H2456">
            <v>1</v>
          </cell>
        </row>
        <row r="2457">
          <cell r="B2457" t="str">
            <v>SWC1000-1340</v>
          </cell>
          <cell r="C2457" t="str">
            <v>Invoice</v>
          </cell>
          <cell r="D2457">
            <v>38467</v>
          </cell>
          <cell r="F2457" t="str">
            <v>5640</v>
          </cell>
          <cell r="G2457" t="str">
            <v>Lee-Moore Oil Company:Exxon OTR - 30</v>
          </cell>
          <cell r="H2457">
            <v>1</v>
          </cell>
        </row>
        <row r="2458">
          <cell r="B2458" t="str">
            <v>SWC1000-1340</v>
          </cell>
          <cell r="C2458" t="str">
            <v>Invoice</v>
          </cell>
          <cell r="D2458">
            <v>38467</v>
          </cell>
          <cell r="F2458" t="str">
            <v>5636</v>
          </cell>
          <cell r="G2458" t="str">
            <v>Lee-Moore Oil Company:Exxon OTR - 30</v>
          </cell>
          <cell r="H2458">
            <v>1</v>
          </cell>
        </row>
        <row r="2459">
          <cell r="B2459" t="str">
            <v>SWC1000-1341</v>
          </cell>
          <cell r="C2459" t="str">
            <v>Invoice</v>
          </cell>
          <cell r="D2459">
            <v>38495</v>
          </cell>
          <cell r="F2459" t="str">
            <v>6114</v>
          </cell>
          <cell r="G2459" t="str">
            <v>Imperial Palace Hotel and Casino</v>
          </cell>
          <cell r="H2459">
            <v>1</v>
          </cell>
        </row>
        <row r="2460">
          <cell r="B2460" t="str">
            <v>SWC1000-1364</v>
          </cell>
          <cell r="C2460" t="str">
            <v>Invoice</v>
          </cell>
          <cell r="D2460">
            <v>38435</v>
          </cell>
          <cell r="F2460" t="str">
            <v>5484</v>
          </cell>
          <cell r="G2460" t="str">
            <v>Lee-Moore Oil Company:Exxon OTR - 41</v>
          </cell>
          <cell r="H2460">
            <v>1</v>
          </cell>
        </row>
        <row r="2461">
          <cell r="B2461" t="str">
            <v>SWC1000-1364</v>
          </cell>
          <cell r="C2461" t="str">
            <v>Invoice</v>
          </cell>
          <cell r="D2461">
            <v>38435</v>
          </cell>
          <cell r="F2461" t="str">
            <v>5489</v>
          </cell>
          <cell r="G2461" t="str">
            <v>Lee-Moore Oil Company:Exxon OTR - 41</v>
          </cell>
          <cell r="H2461">
            <v>1</v>
          </cell>
        </row>
        <row r="2462">
          <cell r="B2462" t="str">
            <v>SWC1000-1364</v>
          </cell>
          <cell r="C2462" t="str">
            <v>Invoice</v>
          </cell>
          <cell r="D2462">
            <v>38435</v>
          </cell>
          <cell r="F2462" t="str">
            <v>5491</v>
          </cell>
          <cell r="G2462" t="str">
            <v>Lee-Moore Oil Company:Exxon OTR - 41</v>
          </cell>
          <cell r="H2462">
            <v>1</v>
          </cell>
        </row>
        <row r="2463">
          <cell r="B2463" t="str">
            <v>SWC1000-1364</v>
          </cell>
          <cell r="C2463" t="str">
            <v>Invoice</v>
          </cell>
          <cell r="D2463">
            <v>38435</v>
          </cell>
          <cell r="F2463" t="str">
            <v>5483</v>
          </cell>
          <cell r="G2463" t="str">
            <v>Lee-Moore Oil Company:Exxon OTR - 41</v>
          </cell>
          <cell r="H2463">
            <v>1</v>
          </cell>
        </row>
        <row r="2464">
          <cell r="B2464" t="str">
            <v>SWC1000-1364</v>
          </cell>
          <cell r="C2464" t="str">
            <v>Invoice</v>
          </cell>
          <cell r="D2464">
            <v>38435</v>
          </cell>
          <cell r="F2464" t="str">
            <v>5480</v>
          </cell>
          <cell r="G2464" t="str">
            <v>Lee-Moore Oil Company:Exxon OTR - 41</v>
          </cell>
          <cell r="H2464">
            <v>1</v>
          </cell>
        </row>
        <row r="2465">
          <cell r="B2465" t="str">
            <v>SWC1000-1364</v>
          </cell>
          <cell r="C2465" t="str">
            <v>Invoice</v>
          </cell>
          <cell r="D2465">
            <v>38435</v>
          </cell>
          <cell r="F2465" t="str">
            <v>5493</v>
          </cell>
          <cell r="G2465" t="str">
            <v>Lee-Moore Oil Company:Exxon OTR - 41</v>
          </cell>
          <cell r="H2465">
            <v>1</v>
          </cell>
        </row>
        <row r="2466">
          <cell r="B2466" t="str">
            <v>SWC1000-1364</v>
          </cell>
          <cell r="C2466" t="str">
            <v>Invoice</v>
          </cell>
          <cell r="D2466">
            <v>38435</v>
          </cell>
          <cell r="F2466" t="str">
            <v>5479</v>
          </cell>
          <cell r="G2466" t="str">
            <v>Lee-Moore Oil Company:Exxon OTR - 41</v>
          </cell>
          <cell r="H2466">
            <v>1</v>
          </cell>
        </row>
        <row r="2467">
          <cell r="B2467" t="str">
            <v>SWC1000-1364</v>
          </cell>
          <cell r="C2467" t="str">
            <v>Invoice</v>
          </cell>
          <cell r="D2467">
            <v>38435</v>
          </cell>
          <cell r="F2467" t="str">
            <v>5490</v>
          </cell>
          <cell r="G2467" t="str">
            <v>Lee-Moore Oil Company:Exxon OTR - 41</v>
          </cell>
          <cell r="H2467">
            <v>1</v>
          </cell>
        </row>
        <row r="2468">
          <cell r="B2468" t="str">
            <v>SWC1000-1364</v>
          </cell>
          <cell r="C2468" t="str">
            <v>Invoice</v>
          </cell>
          <cell r="D2468">
            <v>38435</v>
          </cell>
          <cell r="F2468" t="str">
            <v>5494</v>
          </cell>
          <cell r="G2468" t="str">
            <v>Lee-Moore Oil Company:Exxon OTR - 41</v>
          </cell>
          <cell r="H2468">
            <v>1</v>
          </cell>
        </row>
        <row r="2469">
          <cell r="B2469" t="str">
            <v>SWC1000-1364</v>
          </cell>
          <cell r="C2469" t="str">
            <v>Invoice</v>
          </cell>
          <cell r="D2469">
            <v>38435</v>
          </cell>
          <cell r="F2469" t="str">
            <v>5481</v>
          </cell>
          <cell r="G2469" t="str">
            <v>Lee-Moore Oil Company:Exxon OTR - 29</v>
          </cell>
          <cell r="H2469">
            <v>1</v>
          </cell>
        </row>
        <row r="2470">
          <cell r="B2470" t="str">
            <v>SWC1000-1364</v>
          </cell>
          <cell r="C2470" t="str">
            <v>Invoice</v>
          </cell>
          <cell r="D2470">
            <v>38435</v>
          </cell>
          <cell r="F2470" t="str">
            <v>5482</v>
          </cell>
          <cell r="G2470" t="str">
            <v>Lee-Moore Oil Company:Exxon OTR - 30</v>
          </cell>
          <cell r="H2470">
            <v>1</v>
          </cell>
        </row>
        <row r="2471">
          <cell r="B2471" t="str">
            <v>SWC1000-174</v>
          </cell>
          <cell r="C2471" t="str">
            <v>Invoice</v>
          </cell>
          <cell r="D2471">
            <v>38448</v>
          </cell>
          <cell r="F2471" t="str">
            <v>5541</v>
          </cell>
          <cell r="G2471" t="str">
            <v>Celebration Health</v>
          </cell>
          <cell r="H2471">
            <v>1</v>
          </cell>
        </row>
        <row r="2472">
          <cell r="B2472" t="str">
            <v>SWC1000-766</v>
          </cell>
          <cell r="C2472" t="str">
            <v>Invoice</v>
          </cell>
          <cell r="D2472">
            <v>38421</v>
          </cell>
          <cell r="F2472" t="str">
            <v>5420</v>
          </cell>
          <cell r="G2472" t="str">
            <v>Dylan's Candy Bar - NYC</v>
          </cell>
          <cell r="H2472">
            <v>1</v>
          </cell>
        </row>
        <row r="2473">
          <cell r="B2473" t="str">
            <v>SWC1000-766</v>
          </cell>
          <cell r="C2473" t="str">
            <v>Invoice</v>
          </cell>
          <cell r="D2473">
            <v>38440</v>
          </cell>
          <cell r="F2473" t="str">
            <v>5537</v>
          </cell>
          <cell r="G2473" t="str">
            <v>Dylan's Candy Bar:Dylan's Candy Bar NY#1</v>
          </cell>
          <cell r="H2473">
            <v>1</v>
          </cell>
        </row>
        <row r="2474">
          <cell r="B2474" t="str">
            <v>SWC1000-766</v>
          </cell>
          <cell r="C2474" t="str">
            <v>Invoice</v>
          </cell>
          <cell r="D2474">
            <v>38461</v>
          </cell>
          <cell r="F2474" t="str">
            <v>5694</v>
          </cell>
          <cell r="G2474" t="str">
            <v>Kroger</v>
          </cell>
          <cell r="H2474">
            <v>1</v>
          </cell>
        </row>
        <row r="2475">
          <cell r="B2475" t="str">
            <v>SWC1000-766</v>
          </cell>
          <cell r="C2475" t="str">
            <v>Invoice</v>
          </cell>
          <cell r="D2475">
            <v>38475</v>
          </cell>
          <cell r="F2475" t="str">
            <v>5646</v>
          </cell>
          <cell r="G2475" t="str">
            <v>Dylan's Candy Bar:Dylan's Candy Bar NY#1</v>
          </cell>
          <cell r="H2475">
            <v>1</v>
          </cell>
        </row>
        <row r="2476">
          <cell r="B2476" t="str">
            <v>SWC1000-766</v>
          </cell>
          <cell r="C2476" t="str">
            <v>Invoice</v>
          </cell>
          <cell r="D2476">
            <v>38496</v>
          </cell>
          <cell r="F2476" t="str">
            <v>6101</v>
          </cell>
          <cell r="G2476" t="str">
            <v>Dylan's Candy Bar - NYC</v>
          </cell>
          <cell r="H2476">
            <v>1</v>
          </cell>
        </row>
        <row r="2477">
          <cell r="B2477" t="str">
            <v>SWC1000-766</v>
          </cell>
          <cell r="C2477" t="str">
            <v>Invoice</v>
          </cell>
          <cell r="D2477">
            <v>38503</v>
          </cell>
          <cell r="F2477" t="str">
            <v>6164</v>
          </cell>
          <cell r="G2477" t="str">
            <v>Dylan's Candy Bar:Dylan's Candy Bar NY#1</v>
          </cell>
          <cell r="H2477">
            <v>1</v>
          </cell>
        </row>
        <row r="2478">
          <cell r="B2478" t="str">
            <v>SWC1000-766</v>
          </cell>
          <cell r="C2478" t="str">
            <v>Invoice</v>
          </cell>
          <cell r="D2478">
            <v>38505</v>
          </cell>
          <cell r="F2478" t="str">
            <v>6216</v>
          </cell>
          <cell r="G2478" t="str">
            <v>Pinocchio Marionette Theater</v>
          </cell>
          <cell r="H2478">
            <v>1</v>
          </cell>
        </row>
        <row r="2479">
          <cell r="B2479" t="str">
            <v>SWC1000-766</v>
          </cell>
          <cell r="C2479" t="str">
            <v>Invoice</v>
          </cell>
          <cell r="D2479">
            <v>38519</v>
          </cell>
          <cell r="F2479" t="str">
            <v>6312</v>
          </cell>
          <cell r="G2479" t="str">
            <v>Dylan's Candy Bar - NYC</v>
          </cell>
          <cell r="H2479">
            <v>1</v>
          </cell>
        </row>
        <row r="2480">
          <cell r="B2480" t="str">
            <v>SWC1000-851</v>
          </cell>
          <cell r="C2480" t="str">
            <v>Invoice</v>
          </cell>
          <cell r="D2480">
            <v>38398</v>
          </cell>
          <cell r="F2480" t="str">
            <v>5305</v>
          </cell>
          <cell r="G2480" t="str">
            <v>Arkitectura Urbana</v>
          </cell>
          <cell r="H2480">
            <v>1</v>
          </cell>
        </row>
        <row r="2481">
          <cell r="B2481" t="str">
            <v>SWC1000-851</v>
          </cell>
          <cell r="C2481" t="str">
            <v>Invoice</v>
          </cell>
          <cell r="D2481">
            <v>38443</v>
          </cell>
          <cell r="F2481" t="str">
            <v>5533</v>
          </cell>
          <cell r="G2481" t="str">
            <v>Hustler Hollywood - Monroe, OH</v>
          </cell>
          <cell r="H2481">
            <v>1</v>
          </cell>
        </row>
        <row r="2482">
          <cell r="B2482" t="str">
            <v>SWC1000-851</v>
          </cell>
          <cell r="C2482" t="str">
            <v>Invoice</v>
          </cell>
          <cell r="D2482">
            <v>38448</v>
          </cell>
          <cell r="F2482" t="str">
            <v>5541</v>
          </cell>
          <cell r="G2482" t="str">
            <v>Celebration Health</v>
          </cell>
          <cell r="H2482">
            <v>1</v>
          </cell>
        </row>
        <row r="2483">
          <cell r="B2483" t="str">
            <v>SWC1000-851</v>
          </cell>
          <cell r="C2483" t="str">
            <v>Invoice</v>
          </cell>
          <cell r="D2483">
            <v>38475</v>
          </cell>
          <cell r="F2483" t="str">
            <v>5642</v>
          </cell>
          <cell r="G2483" t="str">
            <v>Hustler Hollywood - Cincinnati, OH</v>
          </cell>
          <cell r="H2483">
            <v>1</v>
          </cell>
        </row>
        <row r="2484">
          <cell r="B2484" t="str">
            <v>SWC1000-851</v>
          </cell>
          <cell r="C2484" t="str">
            <v>Invoice</v>
          </cell>
          <cell r="D2484">
            <v>38495</v>
          </cell>
          <cell r="F2484" t="str">
            <v>6109</v>
          </cell>
          <cell r="G2484" t="str">
            <v>Hustler Hollywood - Monroe, OH</v>
          </cell>
          <cell r="H2484">
            <v>1</v>
          </cell>
        </row>
        <row r="2485">
          <cell r="B2485" t="str">
            <v>SWC1000-851</v>
          </cell>
          <cell r="C2485" t="str">
            <v>Invoice</v>
          </cell>
          <cell r="D2485">
            <v>38503</v>
          </cell>
          <cell r="F2485" t="str">
            <v>6222</v>
          </cell>
          <cell r="G2485" t="str">
            <v>American Solutions Inc.</v>
          </cell>
          <cell r="H2485">
            <v>1</v>
          </cell>
        </row>
        <row r="2486">
          <cell r="B2486" t="str">
            <v>SWC1000-851</v>
          </cell>
          <cell r="C2486" t="str">
            <v>Invoice</v>
          </cell>
          <cell r="D2486">
            <v>38503</v>
          </cell>
          <cell r="F2486" t="str">
            <v>6148</v>
          </cell>
          <cell r="G2486" t="str">
            <v>Hustler Hollywood - Monroe, OH</v>
          </cell>
          <cell r="H2486">
            <v>1</v>
          </cell>
        </row>
        <row r="2487">
          <cell r="B2487" t="str">
            <v>SWC1000-C48</v>
          </cell>
          <cell r="C2487" t="str">
            <v>Invoice</v>
          </cell>
          <cell r="D2487">
            <v>38498</v>
          </cell>
          <cell r="F2487" t="str">
            <v>6155</v>
          </cell>
          <cell r="G2487" t="str">
            <v>Sony Style #52</v>
          </cell>
          <cell r="H2487">
            <v>1</v>
          </cell>
        </row>
        <row r="2488">
          <cell r="B2488" t="str">
            <v>SWC1000-OTHER</v>
          </cell>
          <cell r="C2488" t="str">
            <v>Invoice</v>
          </cell>
          <cell r="D2488">
            <v>38629</v>
          </cell>
          <cell r="F2488" t="str">
            <v>8246</v>
          </cell>
          <cell r="G2488" t="str">
            <v>Williamsburg</v>
          </cell>
          <cell r="H2488">
            <v>1</v>
          </cell>
        </row>
        <row r="2489">
          <cell r="B2489" t="str">
            <v>SWC-1016</v>
          </cell>
          <cell r="C2489" t="str">
            <v>Invoice</v>
          </cell>
          <cell r="D2489">
            <v>38393</v>
          </cell>
          <cell r="F2489" t="str">
            <v>5297</v>
          </cell>
          <cell r="G2489" t="str">
            <v>LindyLazar Marketing Communications,LLC</v>
          </cell>
          <cell r="H2489">
            <v>1</v>
          </cell>
        </row>
        <row r="2490">
          <cell r="B2490" t="str">
            <v>SWC-1020</v>
          </cell>
          <cell r="C2490" t="str">
            <v>Invoice</v>
          </cell>
          <cell r="D2490">
            <v>38481</v>
          </cell>
          <cell r="F2490" t="str">
            <v>5724</v>
          </cell>
          <cell r="G2490" t="str">
            <v>7-ElevenA</v>
          </cell>
          <cell r="H2490">
            <v>1</v>
          </cell>
        </row>
        <row r="2491">
          <cell r="B2491" t="str">
            <v>SWC1020-0153</v>
          </cell>
          <cell r="C2491" t="str">
            <v>Invoice</v>
          </cell>
          <cell r="D2491">
            <v>38420</v>
          </cell>
          <cell r="F2491" t="str">
            <v>5387</v>
          </cell>
          <cell r="G2491" t="str">
            <v>Hard Rock Hotel</v>
          </cell>
          <cell r="H2491">
            <v>1</v>
          </cell>
        </row>
        <row r="2492">
          <cell r="B2492" t="str">
            <v>SWC1020-0153</v>
          </cell>
          <cell r="C2492" t="str">
            <v>Invoice</v>
          </cell>
          <cell r="D2492">
            <v>38420</v>
          </cell>
          <cell r="F2492" t="str">
            <v>5376</v>
          </cell>
          <cell r="G2492" t="str">
            <v>Hustler Hollywood - Cincinnati, OH</v>
          </cell>
          <cell r="H2492">
            <v>1</v>
          </cell>
        </row>
        <row r="2493">
          <cell r="B2493" t="str">
            <v>SWC1020-0153</v>
          </cell>
          <cell r="C2493" t="str">
            <v>Invoice</v>
          </cell>
          <cell r="D2493">
            <v>38420</v>
          </cell>
          <cell r="F2493" t="str">
            <v>5378</v>
          </cell>
          <cell r="G2493" t="str">
            <v>Florida Aquarium</v>
          </cell>
          <cell r="H2493">
            <v>1</v>
          </cell>
        </row>
        <row r="2494">
          <cell r="B2494" t="str">
            <v>SWC1020-0153</v>
          </cell>
          <cell r="C2494" t="str">
            <v>Invoice</v>
          </cell>
          <cell r="D2494">
            <v>38440</v>
          </cell>
          <cell r="F2494" t="str">
            <v>5546</v>
          </cell>
          <cell r="G2494" t="str">
            <v>G. Raymond Brow</v>
          </cell>
          <cell r="H2494">
            <v>1</v>
          </cell>
        </row>
        <row r="2495">
          <cell r="B2495" t="str">
            <v>SWC1020-0153</v>
          </cell>
          <cell r="C2495" t="str">
            <v>Invoice</v>
          </cell>
          <cell r="D2495">
            <v>38455</v>
          </cell>
          <cell r="F2495" t="str">
            <v>5600</v>
          </cell>
          <cell r="G2495" t="str">
            <v>Techno Satellite</v>
          </cell>
          <cell r="H2495">
            <v>1</v>
          </cell>
        </row>
        <row r="2496">
          <cell r="B2496" t="str">
            <v>SWC1020-0153</v>
          </cell>
          <cell r="C2496" t="str">
            <v>Invoice</v>
          </cell>
          <cell r="D2496">
            <v>38455</v>
          </cell>
          <cell r="F2496" t="str">
            <v>5616</v>
          </cell>
          <cell r="G2496" t="str">
            <v>Pure Beauty-Encino</v>
          </cell>
          <cell r="H2496">
            <v>1</v>
          </cell>
        </row>
        <row r="2497">
          <cell r="B2497" t="str">
            <v>SWC1020-0153</v>
          </cell>
          <cell r="C2497" t="str">
            <v>Invoice</v>
          </cell>
          <cell r="D2497">
            <v>38473</v>
          </cell>
          <cell r="F2497" t="str">
            <v>5678</v>
          </cell>
          <cell r="G2497" t="str">
            <v>Lane Bryant</v>
          </cell>
          <cell r="H2497">
            <v>1</v>
          </cell>
        </row>
        <row r="2498">
          <cell r="B2498" t="str">
            <v>SWC1020-0153</v>
          </cell>
          <cell r="C2498" t="str">
            <v>Invoice</v>
          </cell>
          <cell r="D2498">
            <v>38481</v>
          </cell>
          <cell r="F2498" t="str">
            <v>6045</v>
          </cell>
          <cell r="G2498" t="str">
            <v>Henke Design:HD Music Land</v>
          </cell>
          <cell r="H2498">
            <v>1</v>
          </cell>
        </row>
        <row r="2499">
          <cell r="B2499" t="str">
            <v>SWC1020-0153</v>
          </cell>
          <cell r="C2499" t="str">
            <v>Invoice</v>
          </cell>
          <cell r="D2499">
            <v>38510</v>
          </cell>
          <cell r="F2499" t="str">
            <v>6146</v>
          </cell>
          <cell r="G2499" t="str">
            <v>Hard Rock Hotel</v>
          </cell>
          <cell r="H2499">
            <v>1</v>
          </cell>
        </row>
        <row r="2500">
          <cell r="B2500" t="str">
            <v>SWC1020-0153</v>
          </cell>
          <cell r="C2500" t="str">
            <v>Invoice</v>
          </cell>
          <cell r="D2500">
            <v>38533</v>
          </cell>
          <cell r="F2500" t="str">
            <v>6037-I</v>
          </cell>
          <cell r="G2500" t="str">
            <v>Hard Rock Hotel</v>
          </cell>
          <cell r="H2500">
            <v>1</v>
          </cell>
        </row>
        <row r="2501">
          <cell r="B2501" t="str">
            <v>SWC1020-0153</v>
          </cell>
          <cell r="C2501" t="str">
            <v>Invoice</v>
          </cell>
          <cell r="D2501">
            <v>38562</v>
          </cell>
          <cell r="F2501" t="str">
            <v>6374-I</v>
          </cell>
          <cell r="G2501" t="str">
            <v>Hard Rock Hotel</v>
          </cell>
          <cell r="H2501">
            <v>1</v>
          </cell>
        </row>
        <row r="2502">
          <cell r="B2502" t="str">
            <v>SWC1020-0153</v>
          </cell>
          <cell r="C2502" t="str">
            <v>Invoice</v>
          </cell>
          <cell r="D2502">
            <v>38618</v>
          </cell>
          <cell r="F2502" t="str">
            <v>7469</v>
          </cell>
          <cell r="G2502" t="str">
            <v>Southern Kitchen and Bath</v>
          </cell>
          <cell r="H2502">
            <v>1</v>
          </cell>
        </row>
        <row r="2503">
          <cell r="B2503" t="str">
            <v>SWC1020-0174</v>
          </cell>
          <cell r="C2503" t="str">
            <v>Invoice</v>
          </cell>
          <cell r="D2503">
            <v>38420</v>
          </cell>
          <cell r="F2503" t="str">
            <v>5386</v>
          </cell>
          <cell r="G2503" t="str">
            <v>Celebration Health</v>
          </cell>
          <cell r="H2503">
            <v>1</v>
          </cell>
        </row>
        <row r="2504">
          <cell r="B2504" t="str">
            <v>SWC1020-0174</v>
          </cell>
          <cell r="C2504" t="str">
            <v>Invoice</v>
          </cell>
          <cell r="D2504">
            <v>38495</v>
          </cell>
          <cell r="F2504" t="str">
            <v>6108</v>
          </cell>
          <cell r="G2504" t="str">
            <v>Hustler Hollywood - Lexington, KY</v>
          </cell>
          <cell r="H2504">
            <v>1</v>
          </cell>
        </row>
        <row r="2505">
          <cell r="B2505" t="str">
            <v>SWC1020-0174</v>
          </cell>
          <cell r="C2505" t="str">
            <v>Invoice</v>
          </cell>
          <cell r="D2505">
            <v>38503</v>
          </cell>
          <cell r="F2505" t="str">
            <v>6150</v>
          </cell>
          <cell r="G2505" t="str">
            <v>Hustler Hollywood - Lexington, KY</v>
          </cell>
          <cell r="H2505">
            <v>1</v>
          </cell>
        </row>
        <row r="2506">
          <cell r="B2506" t="str">
            <v>SWC1020-0174</v>
          </cell>
          <cell r="C2506" t="str">
            <v>Invoice</v>
          </cell>
          <cell r="D2506">
            <v>38530</v>
          </cell>
          <cell r="F2506" t="str">
            <v>6305</v>
          </cell>
          <cell r="G2506" t="str">
            <v>Hustler Hollywood - Lexington, KY</v>
          </cell>
          <cell r="H2506">
            <v>1</v>
          </cell>
        </row>
        <row r="2507">
          <cell r="B2507" t="str">
            <v>SWC1020-0174</v>
          </cell>
          <cell r="C2507" t="str">
            <v>Invoice</v>
          </cell>
          <cell r="D2507">
            <v>38558</v>
          </cell>
          <cell r="F2507" t="str">
            <v>6328</v>
          </cell>
          <cell r="G2507" t="str">
            <v>Hustler Hollywood - Lexington, KY</v>
          </cell>
          <cell r="H2507">
            <v>1</v>
          </cell>
        </row>
        <row r="2508">
          <cell r="B2508" t="str">
            <v>SWC1020-0174</v>
          </cell>
          <cell r="C2508" t="str">
            <v>Invoice</v>
          </cell>
          <cell r="D2508">
            <v>38587</v>
          </cell>
          <cell r="F2508" t="str">
            <v>7118</v>
          </cell>
          <cell r="G2508" t="str">
            <v>Hustler Hollywood - Lexington, KY</v>
          </cell>
          <cell r="H2508">
            <v>1</v>
          </cell>
        </row>
        <row r="2509">
          <cell r="B2509" t="str">
            <v>SWC1020-0174</v>
          </cell>
          <cell r="C2509" t="str">
            <v>Invoice</v>
          </cell>
          <cell r="D2509">
            <v>38617</v>
          </cell>
          <cell r="F2509" t="str">
            <v>7365</v>
          </cell>
          <cell r="G2509" t="str">
            <v>Hustler Hollywood - Lexington, KY</v>
          </cell>
          <cell r="H2509">
            <v>1</v>
          </cell>
        </row>
        <row r="2510">
          <cell r="B2510" t="str">
            <v>SWC1020-0190</v>
          </cell>
          <cell r="C2510" t="str">
            <v>Invoice</v>
          </cell>
          <cell r="D2510">
            <v>38421</v>
          </cell>
          <cell r="F2510" t="str">
            <v>5453</v>
          </cell>
          <cell r="G2510" t="str">
            <v>WDW Disney's Decorating Support</v>
          </cell>
          <cell r="H2510">
            <v>1</v>
          </cell>
        </row>
        <row r="2511">
          <cell r="B2511" t="str">
            <v>SWC1020-0402</v>
          </cell>
          <cell r="C2511" t="str">
            <v>Invoice</v>
          </cell>
          <cell r="D2511">
            <v>38411</v>
          </cell>
          <cell r="F2511" t="str">
            <v>5344</v>
          </cell>
          <cell r="G2511" t="str">
            <v>Videotronic Benelux BV</v>
          </cell>
          <cell r="H2511">
            <v>1</v>
          </cell>
        </row>
        <row r="2512">
          <cell r="B2512" t="str">
            <v>SWC1020-0402</v>
          </cell>
          <cell r="C2512" t="str">
            <v>Invoice</v>
          </cell>
          <cell r="D2512">
            <v>38422</v>
          </cell>
          <cell r="F2512" t="str">
            <v>5440</v>
          </cell>
          <cell r="G2512" t="str">
            <v>Car's The Star</v>
          </cell>
          <cell r="H2512">
            <v>1</v>
          </cell>
        </row>
        <row r="2513">
          <cell r="B2513" t="str">
            <v>SWC1020-0402</v>
          </cell>
          <cell r="C2513" t="str">
            <v>Invoice</v>
          </cell>
          <cell r="D2513">
            <v>38455</v>
          </cell>
          <cell r="F2513" t="str">
            <v>5600</v>
          </cell>
          <cell r="G2513" t="str">
            <v>Techno Satellite</v>
          </cell>
          <cell r="H2513">
            <v>1</v>
          </cell>
        </row>
        <row r="2514">
          <cell r="B2514" t="str">
            <v>SWC1020-0402</v>
          </cell>
          <cell r="C2514" t="str">
            <v>Invoice</v>
          </cell>
          <cell r="D2514">
            <v>38471</v>
          </cell>
          <cell r="F2514" t="str">
            <v>6032</v>
          </cell>
          <cell r="G2514" t="str">
            <v>Franklin Covey</v>
          </cell>
          <cell r="H2514">
            <v>1</v>
          </cell>
        </row>
        <row r="2515">
          <cell r="B2515" t="str">
            <v>SWC1020-0402</v>
          </cell>
          <cell r="C2515" t="str">
            <v>Invoice</v>
          </cell>
          <cell r="D2515">
            <v>38481</v>
          </cell>
          <cell r="F2515" t="str">
            <v>6041</v>
          </cell>
          <cell r="G2515" t="str">
            <v>Wickes Furniture:Wickes-001</v>
          </cell>
          <cell r="H2515">
            <v>1</v>
          </cell>
        </row>
        <row r="2516">
          <cell r="B2516" t="str">
            <v>SWC1020-0402</v>
          </cell>
          <cell r="C2516" t="str">
            <v>Invoice</v>
          </cell>
          <cell r="D2516">
            <v>38508</v>
          </cell>
          <cell r="F2516" t="str">
            <v>6042</v>
          </cell>
          <cell r="G2516" t="str">
            <v>Wickes Furniture:Wickes-001</v>
          </cell>
          <cell r="H2516">
            <v>1</v>
          </cell>
        </row>
        <row r="2517">
          <cell r="B2517" t="str">
            <v>SWC1020-0429</v>
          </cell>
          <cell r="C2517" t="str">
            <v>Invoice</v>
          </cell>
          <cell r="D2517">
            <v>38455</v>
          </cell>
          <cell r="F2517" t="str">
            <v>5600</v>
          </cell>
          <cell r="G2517" t="str">
            <v>Techno Satellite</v>
          </cell>
          <cell r="H2517">
            <v>1</v>
          </cell>
        </row>
        <row r="2518">
          <cell r="B2518" t="str">
            <v>SWC1020-0479</v>
          </cell>
          <cell r="C2518" t="str">
            <v>Invoice</v>
          </cell>
          <cell r="D2518">
            <v>38405</v>
          </cell>
          <cell r="F2518" t="str">
            <v>5341</v>
          </cell>
          <cell r="G2518" t="str">
            <v>St. Andrews Golf Shop</v>
          </cell>
          <cell r="H2518">
            <v>1</v>
          </cell>
        </row>
        <row r="2519">
          <cell r="B2519" t="str">
            <v>SWC1020-0479</v>
          </cell>
          <cell r="C2519" t="str">
            <v>Invoice</v>
          </cell>
          <cell r="D2519">
            <v>38421</v>
          </cell>
          <cell r="F2519" t="str">
            <v>5453</v>
          </cell>
          <cell r="G2519" t="str">
            <v>WDW Disney's Decorating Support</v>
          </cell>
          <cell r="H2519">
            <v>1</v>
          </cell>
        </row>
        <row r="2520">
          <cell r="B2520" t="str">
            <v>SWC1020-0479</v>
          </cell>
          <cell r="C2520" t="str">
            <v>Invoice</v>
          </cell>
          <cell r="D2520">
            <v>38442</v>
          </cell>
          <cell r="F2520" t="str">
            <v>5568</v>
          </cell>
          <cell r="G2520" t="str">
            <v>Pinch A Penny Pool Patio Spa</v>
          </cell>
          <cell r="H2520">
            <v>1</v>
          </cell>
        </row>
        <row r="2521">
          <cell r="B2521" t="str">
            <v>SWC1020-0479</v>
          </cell>
          <cell r="C2521" t="str">
            <v>Invoice</v>
          </cell>
          <cell r="D2521">
            <v>38455</v>
          </cell>
          <cell r="F2521" t="str">
            <v>5600</v>
          </cell>
          <cell r="G2521" t="str">
            <v>Techno Satellite</v>
          </cell>
          <cell r="H2521">
            <v>1</v>
          </cell>
        </row>
        <row r="2522">
          <cell r="B2522" t="str">
            <v>SWC1020-0479</v>
          </cell>
          <cell r="C2522" t="str">
            <v>Invoice</v>
          </cell>
          <cell r="D2522">
            <v>38481</v>
          </cell>
          <cell r="F2522" t="str">
            <v>6045</v>
          </cell>
          <cell r="G2522" t="str">
            <v>Henke Design:HD Music Land</v>
          </cell>
          <cell r="H2522">
            <v>1</v>
          </cell>
        </row>
        <row r="2523">
          <cell r="B2523" t="str">
            <v>SWC1020-0493</v>
          </cell>
          <cell r="C2523" t="str">
            <v>Invoice</v>
          </cell>
          <cell r="D2523">
            <v>38420</v>
          </cell>
          <cell r="F2523" t="str">
            <v>5387</v>
          </cell>
          <cell r="G2523" t="str">
            <v>Hard Rock Hotel</v>
          </cell>
          <cell r="H2523">
            <v>1</v>
          </cell>
        </row>
        <row r="2524">
          <cell r="B2524" t="str">
            <v>SWC1020-0493</v>
          </cell>
          <cell r="C2524" t="str">
            <v>Invoice</v>
          </cell>
          <cell r="D2524">
            <v>38427</v>
          </cell>
          <cell r="F2524" t="str">
            <v>5450</v>
          </cell>
          <cell r="G2524" t="str">
            <v>Hard Rock Hotel</v>
          </cell>
          <cell r="H2524">
            <v>1</v>
          </cell>
        </row>
        <row r="2525">
          <cell r="B2525" t="str">
            <v>SWC1020-0493</v>
          </cell>
          <cell r="C2525" t="str">
            <v>Invoice</v>
          </cell>
          <cell r="D2525">
            <v>38440</v>
          </cell>
          <cell r="F2525" t="str">
            <v>5542</v>
          </cell>
          <cell r="G2525" t="str">
            <v>Hard Rock Hotel</v>
          </cell>
          <cell r="H2525">
            <v>1</v>
          </cell>
        </row>
        <row r="2526">
          <cell r="B2526" t="str">
            <v>SWC1020-0493</v>
          </cell>
          <cell r="C2526" t="str">
            <v>Invoice</v>
          </cell>
          <cell r="D2526">
            <v>38510</v>
          </cell>
          <cell r="F2526" t="str">
            <v>6146</v>
          </cell>
          <cell r="G2526" t="str">
            <v>Hard Rock Hotel</v>
          </cell>
          <cell r="H2526">
            <v>1</v>
          </cell>
        </row>
        <row r="2527">
          <cell r="B2527" t="str">
            <v>SWC1020-0493</v>
          </cell>
          <cell r="C2527" t="str">
            <v>Invoice</v>
          </cell>
          <cell r="D2527">
            <v>38533</v>
          </cell>
          <cell r="F2527" t="str">
            <v>6037-I</v>
          </cell>
          <cell r="G2527" t="str">
            <v>Hard Rock Hotel</v>
          </cell>
          <cell r="H2527">
            <v>1</v>
          </cell>
        </row>
        <row r="2528">
          <cell r="B2528" t="str">
            <v>SWC1020-0493</v>
          </cell>
          <cell r="C2528" t="str">
            <v>Invoice</v>
          </cell>
          <cell r="D2528">
            <v>38562</v>
          </cell>
          <cell r="F2528" t="str">
            <v>6374-I</v>
          </cell>
          <cell r="G2528" t="str">
            <v>Hard Rock Hotel</v>
          </cell>
          <cell r="H2528">
            <v>1</v>
          </cell>
        </row>
        <row r="2529">
          <cell r="B2529" t="str">
            <v>SWC1020-0493</v>
          </cell>
          <cell r="C2529" t="str">
            <v>Invoice</v>
          </cell>
          <cell r="D2529">
            <v>38626</v>
          </cell>
          <cell r="F2529" t="str">
            <v>7489</v>
          </cell>
          <cell r="G2529" t="str">
            <v>Hard Rock Hotel</v>
          </cell>
          <cell r="H2529">
            <v>1</v>
          </cell>
        </row>
        <row r="2530">
          <cell r="B2530" t="str">
            <v>SWC1020-0496</v>
          </cell>
          <cell r="C2530" t="str">
            <v>Invoice</v>
          </cell>
          <cell r="D2530">
            <v>38481</v>
          </cell>
          <cell r="F2530" t="str">
            <v>6045</v>
          </cell>
          <cell r="G2530" t="str">
            <v>Henke Design:HD Music Land</v>
          </cell>
          <cell r="H2530">
            <v>1</v>
          </cell>
        </row>
        <row r="2531">
          <cell r="B2531" t="str">
            <v>SWC1020-0496</v>
          </cell>
          <cell r="C2531" t="str">
            <v>Invoice</v>
          </cell>
          <cell r="D2531">
            <v>38498</v>
          </cell>
          <cell r="F2531" t="str">
            <v>6151</v>
          </cell>
          <cell r="G2531" t="str">
            <v>Busch Gardens - Tampa</v>
          </cell>
          <cell r="H2531">
            <v>1</v>
          </cell>
        </row>
        <row r="2532">
          <cell r="B2532" t="str">
            <v>SWC1020-0496</v>
          </cell>
          <cell r="C2532" t="str">
            <v>Invoice</v>
          </cell>
          <cell r="D2532">
            <v>38525</v>
          </cell>
          <cell r="F2532" t="str">
            <v>6323</v>
          </cell>
          <cell r="G2532" t="str">
            <v>Busch Gardens - Tampa</v>
          </cell>
          <cell r="H2532">
            <v>1</v>
          </cell>
        </row>
        <row r="2533">
          <cell r="B2533" t="str">
            <v>SWC1020-0496</v>
          </cell>
          <cell r="C2533" t="str">
            <v>Invoice</v>
          </cell>
          <cell r="D2533">
            <v>38552</v>
          </cell>
          <cell r="F2533" t="str">
            <v>6324</v>
          </cell>
          <cell r="G2533" t="str">
            <v>Busch Gardens - Tampa</v>
          </cell>
          <cell r="H2533">
            <v>1</v>
          </cell>
        </row>
        <row r="2534">
          <cell r="B2534" t="str">
            <v>SWC1020-0496</v>
          </cell>
          <cell r="C2534" t="str">
            <v>Invoice</v>
          </cell>
          <cell r="D2534">
            <v>38580</v>
          </cell>
          <cell r="F2534" t="str">
            <v>7060</v>
          </cell>
          <cell r="G2534" t="str">
            <v>Busch Gardens - Tampa</v>
          </cell>
          <cell r="H2534">
            <v>1</v>
          </cell>
        </row>
        <row r="2535">
          <cell r="B2535" t="str">
            <v>SWC1020-0496</v>
          </cell>
          <cell r="C2535" t="str">
            <v>Invoice</v>
          </cell>
          <cell r="D2535">
            <v>38611</v>
          </cell>
          <cell r="F2535" t="str">
            <v>7306</v>
          </cell>
          <cell r="G2535" t="str">
            <v>Busch Gardens - Tampa</v>
          </cell>
          <cell r="H2535">
            <v>1</v>
          </cell>
        </row>
        <row r="2536">
          <cell r="B2536" t="str">
            <v>SWC1020-0692</v>
          </cell>
          <cell r="C2536" t="str">
            <v>Invoice</v>
          </cell>
          <cell r="D2536">
            <v>38498</v>
          </cell>
          <cell r="F2536" t="str">
            <v>6180</v>
          </cell>
          <cell r="G2536" t="str">
            <v>Walton's Florist</v>
          </cell>
          <cell r="H2536">
            <v>1</v>
          </cell>
        </row>
        <row r="2537">
          <cell r="B2537" t="str">
            <v>SWC1020-0765</v>
          </cell>
          <cell r="C2537" t="str">
            <v>Invoice</v>
          </cell>
          <cell r="D2537">
            <v>38455</v>
          </cell>
          <cell r="F2537" t="str">
            <v>5600</v>
          </cell>
          <cell r="G2537" t="str">
            <v>Techno Satellite</v>
          </cell>
          <cell r="H2537">
            <v>1</v>
          </cell>
        </row>
        <row r="2538">
          <cell r="B2538" t="str">
            <v>SWC1020-0766</v>
          </cell>
          <cell r="C2538" t="str">
            <v>Invoice</v>
          </cell>
          <cell r="D2538">
            <v>38420</v>
          </cell>
          <cell r="F2538" t="str">
            <v>5395</v>
          </cell>
          <cell r="G2538" t="str">
            <v>Kroger</v>
          </cell>
          <cell r="H2538">
            <v>1</v>
          </cell>
        </row>
        <row r="2539">
          <cell r="B2539" t="str">
            <v>SWC1020-0766</v>
          </cell>
          <cell r="C2539" t="str">
            <v>Invoice</v>
          </cell>
          <cell r="D2539">
            <v>38468</v>
          </cell>
          <cell r="F2539" t="str">
            <v>6005</v>
          </cell>
          <cell r="G2539" t="str">
            <v>7-ElevenA</v>
          </cell>
          <cell r="H2539">
            <v>1</v>
          </cell>
        </row>
        <row r="2540">
          <cell r="B2540" t="str">
            <v>SWC1020-0780</v>
          </cell>
          <cell r="C2540" t="str">
            <v>Invoice</v>
          </cell>
          <cell r="D2540">
            <v>38411</v>
          </cell>
          <cell r="F2540" t="str">
            <v>5344</v>
          </cell>
          <cell r="G2540" t="str">
            <v>Videotronic Benelux BV</v>
          </cell>
          <cell r="H2540">
            <v>1</v>
          </cell>
        </row>
        <row r="2541">
          <cell r="B2541" t="str">
            <v>SWC1020-0780</v>
          </cell>
          <cell r="C2541" t="str">
            <v>Invoice</v>
          </cell>
          <cell r="D2541">
            <v>38477</v>
          </cell>
          <cell r="F2541" t="str">
            <v>6037</v>
          </cell>
          <cell r="G2541" t="str">
            <v>Promotool</v>
          </cell>
          <cell r="H2541">
            <v>1</v>
          </cell>
        </row>
        <row r="2542">
          <cell r="B2542" t="str">
            <v>SWC1020-0782</v>
          </cell>
          <cell r="C2542" t="str">
            <v>Invoice</v>
          </cell>
          <cell r="D2542">
            <v>38399</v>
          </cell>
          <cell r="F2542" t="str">
            <v>5232</v>
          </cell>
          <cell r="G2542" t="str">
            <v>Ashley Furniture HomeStore</v>
          </cell>
          <cell r="H2542">
            <v>1</v>
          </cell>
        </row>
        <row r="2543">
          <cell r="B2543" t="str">
            <v>SWC1020-0782</v>
          </cell>
          <cell r="C2543" t="str">
            <v>Invoice</v>
          </cell>
          <cell r="D2543">
            <v>38411</v>
          </cell>
          <cell r="F2543" t="str">
            <v>5373</v>
          </cell>
          <cell r="G2543" t="str">
            <v>Silks By Mu-Mu Manufactuteres</v>
          </cell>
          <cell r="H2543">
            <v>1</v>
          </cell>
        </row>
        <row r="2544">
          <cell r="B2544" t="str">
            <v>SWC1020-0782</v>
          </cell>
          <cell r="C2544" t="str">
            <v>Invoice</v>
          </cell>
          <cell r="D2544">
            <v>38420</v>
          </cell>
          <cell r="F2544" t="str">
            <v>5374</v>
          </cell>
          <cell r="G2544" t="str">
            <v>Ashley Furniture HomeStore</v>
          </cell>
          <cell r="H2544">
            <v>1</v>
          </cell>
        </row>
        <row r="2545">
          <cell r="B2545" t="str">
            <v>SWC1020-0783</v>
          </cell>
          <cell r="C2545" t="str">
            <v>Invoice</v>
          </cell>
          <cell r="D2545">
            <v>38420</v>
          </cell>
          <cell r="F2545" t="str">
            <v>5387</v>
          </cell>
          <cell r="G2545" t="str">
            <v>Hard Rock Hotel</v>
          </cell>
          <cell r="H2545">
            <v>1</v>
          </cell>
        </row>
        <row r="2546">
          <cell r="B2546" t="str">
            <v>SWC1020-0783</v>
          </cell>
          <cell r="C2546" t="str">
            <v>Invoice</v>
          </cell>
          <cell r="D2546">
            <v>38427</v>
          </cell>
          <cell r="F2546" t="str">
            <v>5450</v>
          </cell>
          <cell r="G2546" t="str">
            <v>Hard Rock Hotel</v>
          </cell>
          <cell r="H2546">
            <v>1</v>
          </cell>
        </row>
        <row r="2547">
          <cell r="B2547" t="str">
            <v>SWC1020-0783</v>
          </cell>
          <cell r="C2547" t="str">
            <v>Invoice</v>
          </cell>
          <cell r="D2547">
            <v>38440</v>
          </cell>
          <cell r="F2547" t="str">
            <v>5542</v>
          </cell>
          <cell r="G2547" t="str">
            <v>Hard Rock Hotel</v>
          </cell>
          <cell r="H2547">
            <v>1</v>
          </cell>
        </row>
        <row r="2548">
          <cell r="B2548" t="str">
            <v>SWC1020-0783</v>
          </cell>
          <cell r="C2548" t="str">
            <v>Invoice</v>
          </cell>
          <cell r="D2548">
            <v>38455</v>
          </cell>
          <cell r="F2548" t="str">
            <v>5600</v>
          </cell>
          <cell r="G2548" t="str">
            <v>Techno Satellite</v>
          </cell>
          <cell r="H2548">
            <v>1</v>
          </cell>
        </row>
        <row r="2549">
          <cell r="B2549" t="str">
            <v>SWC1020-0783</v>
          </cell>
          <cell r="C2549" t="str">
            <v>Invoice</v>
          </cell>
          <cell r="D2549">
            <v>38471</v>
          </cell>
          <cell r="F2549" t="str">
            <v>6029</v>
          </cell>
          <cell r="G2549" t="str">
            <v>Bristol Farms</v>
          </cell>
          <cell r="H2549">
            <v>1</v>
          </cell>
        </row>
        <row r="2550">
          <cell r="B2550" t="str">
            <v>SWC1020-0783</v>
          </cell>
          <cell r="C2550" t="str">
            <v>Invoice</v>
          </cell>
          <cell r="D2550">
            <v>38471</v>
          </cell>
          <cell r="F2550" t="str">
            <v>6033</v>
          </cell>
          <cell r="G2550" t="str">
            <v>The Childrens Place</v>
          </cell>
          <cell r="H2550">
            <v>1</v>
          </cell>
        </row>
        <row r="2551">
          <cell r="B2551" t="str">
            <v>SWC1020-0783</v>
          </cell>
          <cell r="C2551" t="str">
            <v>Invoice</v>
          </cell>
          <cell r="D2551">
            <v>38510</v>
          </cell>
          <cell r="F2551" t="str">
            <v>6146</v>
          </cell>
          <cell r="G2551" t="str">
            <v>Hard Rock Hotel</v>
          </cell>
          <cell r="H2551">
            <v>1</v>
          </cell>
        </row>
        <row r="2552">
          <cell r="B2552" t="str">
            <v>SWC1020-0783</v>
          </cell>
          <cell r="C2552" t="str">
            <v>Invoice</v>
          </cell>
          <cell r="D2552">
            <v>38533</v>
          </cell>
          <cell r="F2552" t="str">
            <v>6037-I</v>
          </cell>
          <cell r="G2552" t="str">
            <v>Hard Rock Hotel</v>
          </cell>
          <cell r="H2552">
            <v>1</v>
          </cell>
        </row>
        <row r="2553">
          <cell r="B2553" t="str">
            <v>SWC1020-0783</v>
          </cell>
          <cell r="C2553" t="str">
            <v>Invoice</v>
          </cell>
          <cell r="D2553">
            <v>38562</v>
          </cell>
          <cell r="F2553" t="str">
            <v>6374-I</v>
          </cell>
          <cell r="G2553" t="str">
            <v>Hard Rock Hotel</v>
          </cell>
          <cell r="H2553">
            <v>1</v>
          </cell>
        </row>
        <row r="2554">
          <cell r="B2554" t="str">
            <v>SWC1020-0783</v>
          </cell>
          <cell r="C2554" t="str">
            <v>Invoice</v>
          </cell>
          <cell r="D2554">
            <v>38626</v>
          </cell>
          <cell r="F2554" t="str">
            <v>7489</v>
          </cell>
          <cell r="G2554" t="str">
            <v>Hard Rock Hotel</v>
          </cell>
          <cell r="H2554">
            <v>1</v>
          </cell>
        </row>
        <row r="2555">
          <cell r="B2555" t="str">
            <v>SWC1020-0794</v>
          </cell>
          <cell r="C2555" t="str">
            <v>Invoice</v>
          </cell>
          <cell r="D2555">
            <v>38411</v>
          </cell>
          <cell r="F2555" t="str">
            <v>5380</v>
          </cell>
          <cell r="G2555" t="str">
            <v>Harry and David #564</v>
          </cell>
          <cell r="H2555">
            <v>1</v>
          </cell>
        </row>
        <row r="2556">
          <cell r="B2556" t="str">
            <v>SWC1020-0794</v>
          </cell>
          <cell r="C2556" t="str">
            <v>Invoice</v>
          </cell>
          <cell r="D2556">
            <v>38420</v>
          </cell>
          <cell r="F2556" t="str">
            <v>5369</v>
          </cell>
          <cell r="G2556" t="str">
            <v>NBC Experience Store</v>
          </cell>
          <cell r="H2556">
            <v>1</v>
          </cell>
        </row>
        <row r="2557">
          <cell r="B2557" t="str">
            <v>SWC1020-0794</v>
          </cell>
          <cell r="C2557" t="str">
            <v>Invoice</v>
          </cell>
          <cell r="D2557">
            <v>38448</v>
          </cell>
          <cell r="F2557" t="str">
            <v>5593</v>
          </cell>
          <cell r="G2557" t="str">
            <v>NBC Experience Store</v>
          </cell>
          <cell r="H2557">
            <v>1</v>
          </cell>
        </row>
        <row r="2558">
          <cell r="B2558" t="str">
            <v>SWC1020-0794</v>
          </cell>
          <cell r="C2558" t="str">
            <v>Invoice</v>
          </cell>
          <cell r="D2558">
            <v>38467</v>
          </cell>
          <cell r="F2558" t="str">
            <v>5595</v>
          </cell>
          <cell r="G2558" t="str">
            <v>Hershey's, Inc.:Hershey's Chicago</v>
          </cell>
          <cell r="H2558">
            <v>1</v>
          </cell>
        </row>
        <row r="2559">
          <cell r="B2559" t="str">
            <v>SWC1020-0794</v>
          </cell>
          <cell r="C2559" t="str">
            <v>Invoice</v>
          </cell>
          <cell r="D2559">
            <v>38471</v>
          </cell>
          <cell r="F2559" t="str">
            <v>6033</v>
          </cell>
          <cell r="G2559" t="str">
            <v>The Childrens Place</v>
          </cell>
          <cell r="H2559">
            <v>1</v>
          </cell>
        </row>
        <row r="2560">
          <cell r="B2560" t="str">
            <v>SWC1020-0794</v>
          </cell>
          <cell r="C2560" t="str">
            <v>Invoice</v>
          </cell>
          <cell r="D2560">
            <v>38481</v>
          </cell>
          <cell r="F2560" t="str">
            <v>6045</v>
          </cell>
          <cell r="G2560" t="str">
            <v>Henke Design:HD Music Land</v>
          </cell>
          <cell r="H2560">
            <v>1</v>
          </cell>
        </row>
        <row r="2561">
          <cell r="B2561" t="str">
            <v>SWC1020-0824</v>
          </cell>
          <cell r="C2561" t="str">
            <v>Invoice</v>
          </cell>
          <cell r="D2561">
            <v>38442</v>
          </cell>
          <cell r="F2561" t="str">
            <v>5568</v>
          </cell>
          <cell r="G2561" t="str">
            <v>Pinch A Penny Pool Patio Spa</v>
          </cell>
          <cell r="H2561">
            <v>1</v>
          </cell>
        </row>
        <row r="2562">
          <cell r="B2562" t="str">
            <v>SWC1020-0825</v>
          </cell>
          <cell r="C2562" t="str">
            <v>Invoice</v>
          </cell>
          <cell r="D2562">
            <v>38440</v>
          </cell>
          <cell r="F2562" t="str">
            <v>5558</v>
          </cell>
          <cell r="G2562" t="str">
            <v>Bryant Sons Ltd</v>
          </cell>
          <cell r="H2562">
            <v>1</v>
          </cell>
        </row>
        <row r="2563">
          <cell r="B2563" t="str">
            <v>SWC1020-0828</v>
          </cell>
          <cell r="C2563" t="str">
            <v>Invoice</v>
          </cell>
          <cell r="D2563">
            <v>38490</v>
          </cell>
          <cell r="F2563" t="str">
            <v>6084</v>
          </cell>
          <cell r="G2563" t="str">
            <v>Bonterra Builders</v>
          </cell>
          <cell r="H2563">
            <v>1</v>
          </cell>
        </row>
        <row r="2564">
          <cell r="B2564" t="str">
            <v>SWC1020-0829</v>
          </cell>
          <cell r="C2564" t="str">
            <v>Invoice</v>
          </cell>
          <cell r="D2564">
            <v>38455</v>
          </cell>
          <cell r="F2564" t="str">
            <v>5600</v>
          </cell>
          <cell r="G2564" t="str">
            <v>Techno Satellite</v>
          </cell>
          <cell r="H2564">
            <v>1</v>
          </cell>
        </row>
        <row r="2565">
          <cell r="B2565" t="str">
            <v>SWC1020-0832</v>
          </cell>
          <cell r="C2565" t="str">
            <v>Invoice</v>
          </cell>
          <cell r="D2565">
            <v>38411</v>
          </cell>
          <cell r="F2565" t="str">
            <v>5390</v>
          </cell>
          <cell r="G2565" t="str">
            <v>Sea World Orlando</v>
          </cell>
          <cell r="H2565">
            <v>1</v>
          </cell>
        </row>
        <row r="2566">
          <cell r="B2566" t="str">
            <v>SWC1020-0836</v>
          </cell>
          <cell r="C2566" t="str">
            <v>Invoice</v>
          </cell>
          <cell r="D2566">
            <v>38399</v>
          </cell>
          <cell r="F2566" t="str">
            <v>5232</v>
          </cell>
          <cell r="G2566" t="str">
            <v>Ashley Furniture HomeStore</v>
          </cell>
          <cell r="H2566">
            <v>1</v>
          </cell>
        </row>
        <row r="2567">
          <cell r="B2567" t="str">
            <v>SWC1020-0836</v>
          </cell>
          <cell r="C2567" t="str">
            <v>Invoice</v>
          </cell>
          <cell r="D2567">
            <v>38420</v>
          </cell>
          <cell r="F2567" t="str">
            <v>5374</v>
          </cell>
          <cell r="G2567" t="str">
            <v>Ashley Furniture HomeStore</v>
          </cell>
          <cell r="H2567">
            <v>1</v>
          </cell>
        </row>
        <row r="2568">
          <cell r="B2568" t="str">
            <v>SWC1020-0836</v>
          </cell>
          <cell r="C2568" t="str">
            <v>Invoice</v>
          </cell>
          <cell r="D2568">
            <v>38455</v>
          </cell>
          <cell r="F2568" t="str">
            <v>5600</v>
          </cell>
          <cell r="G2568" t="str">
            <v>Techno Satellite</v>
          </cell>
          <cell r="H2568">
            <v>1</v>
          </cell>
        </row>
        <row r="2569">
          <cell r="B2569" t="str">
            <v>SWC1020-0837</v>
          </cell>
          <cell r="C2569" t="str">
            <v>Invoice</v>
          </cell>
          <cell r="D2569">
            <v>38411</v>
          </cell>
          <cell r="F2569" t="str">
            <v>5381</v>
          </cell>
          <cell r="G2569" t="str">
            <v>General Growth Properties-Market Place</v>
          </cell>
          <cell r="H2569">
            <v>1</v>
          </cell>
        </row>
        <row r="2570">
          <cell r="B2570" t="str">
            <v>SWC1020-0837</v>
          </cell>
          <cell r="C2570" t="str">
            <v>Invoice</v>
          </cell>
          <cell r="D2570">
            <v>38467</v>
          </cell>
          <cell r="F2570" t="str">
            <v>5634</v>
          </cell>
          <cell r="G2570" t="str">
            <v>DFS Guam L.P.</v>
          </cell>
          <cell r="H2570">
            <v>1</v>
          </cell>
        </row>
        <row r="2571">
          <cell r="B2571" t="str">
            <v>SWC1020-0838</v>
          </cell>
          <cell r="C2571" t="str">
            <v>Invoice</v>
          </cell>
          <cell r="D2571">
            <v>38467</v>
          </cell>
          <cell r="F2571" t="str">
            <v>5634</v>
          </cell>
          <cell r="G2571" t="str">
            <v>DFS Guam L.P.</v>
          </cell>
          <cell r="H2571">
            <v>1</v>
          </cell>
        </row>
        <row r="2572">
          <cell r="B2572" t="str">
            <v>SWC1020-0841</v>
          </cell>
          <cell r="C2572" t="str">
            <v>Invoice</v>
          </cell>
          <cell r="D2572">
            <v>38411</v>
          </cell>
          <cell r="F2572" t="str">
            <v>5373</v>
          </cell>
          <cell r="G2572" t="str">
            <v>Silks By Mu-Mu Manufactuteres</v>
          </cell>
          <cell r="H2572">
            <v>1</v>
          </cell>
        </row>
        <row r="2573">
          <cell r="B2573" t="str">
            <v>SWC1020-0841</v>
          </cell>
          <cell r="C2573" t="str">
            <v>Invoice</v>
          </cell>
          <cell r="D2573">
            <v>38420</v>
          </cell>
          <cell r="F2573" t="str">
            <v>5395</v>
          </cell>
          <cell r="G2573" t="str">
            <v>Kroger</v>
          </cell>
          <cell r="H2573">
            <v>1</v>
          </cell>
        </row>
        <row r="2574">
          <cell r="B2574" t="str">
            <v>SWC1020-0841</v>
          </cell>
          <cell r="C2574" t="str">
            <v>Invoice</v>
          </cell>
          <cell r="D2574">
            <v>38421</v>
          </cell>
          <cell r="F2574" t="str">
            <v>5453</v>
          </cell>
          <cell r="G2574" t="str">
            <v>WDW Disney's Decorating Support</v>
          </cell>
          <cell r="H2574">
            <v>1</v>
          </cell>
        </row>
        <row r="2575">
          <cell r="B2575" t="str">
            <v>SWC1020-0841</v>
          </cell>
          <cell r="C2575" t="str">
            <v>Invoice</v>
          </cell>
          <cell r="D2575">
            <v>38455</v>
          </cell>
          <cell r="F2575" t="str">
            <v>5618</v>
          </cell>
          <cell r="G2575" t="str">
            <v>Jo Ann Stores</v>
          </cell>
          <cell r="H2575">
            <v>1</v>
          </cell>
        </row>
        <row r="2576">
          <cell r="B2576" t="str">
            <v>SWC1020-0847</v>
          </cell>
          <cell r="C2576" t="str">
            <v>Invoice</v>
          </cell>
          <cell r="D2576">
            <v>38421</v>
          </cell>
          <cell r="F2576" t="str">
            <v>5423</v>
          </cell>
          <cell r="G2576" t="str">
            <v>University of Arizona Bookstore</v>
          </cell>
          <cell r="H2576">
            <v>1</v>
          </cell>
        </row>
        <row r="2577">
          <cell r="B2577" t="str">
            <v>SWC1020-0848</v>
          </cell>
          <cell r="C2577" t="str">
            <v>Invoice</v>
          </cell>
          <cell r="D2577">
            <v>38405</v>
          </cell>
          <cell r="F2577" t="str">
            <v>5349</v>
          </cell>
          <cell r="G2577" t="str">
            <v>Shop Rite</v>
          </cell>
          <cell r="H2577">
            <v>1</v>
          </cell>
        </row>
        <row r="2578">
          <cell r="B2578" t="str">
            <v>SWC1020-0849</v>
          </cell>
          <cell r="C2578" t="str">
            <v>Invoice</v>
          </cell>
          <cell r="D2578">
            <v>38442</v>
          </cell>
          <cell r="F2578" t="str">
            <v>5568</v>
          </cell>
          <cell r="G2578" t="str">
            <v>Pinch A Penny Pool Patio Spa</v>
          </cell>
          <cell r="H2578">
            <v>1</v>
          </cell>
        </row>
        <row r="2579">
          <cell r="B2579" t="str">
            <v>SWC1020-0849</v>
          </cell>
          <cell r="C2579" t="str">
            <v>Invoice</v>
          </cell>
          <cell r="D2579">
            <v>38481</v>
          </cell>
          <cell r="F2579" t="str">
            <v>6045</v>
          </cell>
          <cell r="G2579" t="str">
            <v>Henke Design:HD Music Land</v>
          </cell>
          <cell r="H2579">
            <v>1</v>
          </cell>
        </row>
        <row r="2580">
          <cell r="B2580" t="str">
            <v>SWC1020-0851</v>
          </cell>
          <cell r="C2580" t="str">
            <v>Invoice</v>
          </cell>
          <cell r="D2580">
            <v>38420</v>
          </cell>
          <cell r="F2580" t="str">
            <v>5386</v>
          </cell>
          <cell r="G2580" t="str">
            <v>Celebration Health</v>
          </cell>
          <cell r="H2580">
            <v>1</v>
          </cell>
        </row>
        <row r="2581">
          <cell r="B2581" t="str">
            <v>SWC1020-0851</v>
          </cell>
          <cell r="C2581" t="str">
            <v>Invoice</v>
          </cell>
          <cell r="D2581">
            <v>38420</v>
          </cell>
          <cell r="F2581" t="str">
            <v>5377</v>
          </cell>
          <cell r="G2581" t="str">
            <v>Hustler Hollywood - Monroe, OH</v>
          </cell>
          <cell r="H2581">
            <v>1</v>
          </cell>
        </row>
        <row r="2582">
          <cell r="B2582" t="str">
            <v>SWC1020-0851</v>
          </cell>
          <cell r="C2582" t="str">
            <v>Invoice</v>
          </cell>
          <cell r="D2582">
            <v>38477</v>
          </cell>
          <cell r="F2582" t="str">
            <v>6035</v>
          </cell>
          <cell r="G2582" t="str">
            <v>GMR Marketing</v>
          </cell>
          <cell r="H2582">
            <v>1</v>
          </cell>
        </row>
        <row r="2583">
          <cell r="B2583" t="str">
            <v>SWC1020-0851</v>
          </cell>
          <cell r="C2583" t="str">
            <v>Invoice</v>
          </cell>
          <cell r="D2583">
            <v>38477</v>
          </cell>
          <cell r="F2583" t="str">
            <v>6036-I</v>
          </cell>
          <cell r="G2583" t="str">
            <v>GMR Marketing</v>
          </cell>
          <cell r="H2583">
            <v>1</v>
          </cell>
        </row>
        <row r="2584">
          <cell r="B2584" t="str">
            <v>SWC1020-0851</v>
          </cell>
          <cell r="C2584" t="str">
            <v>Invoice</v>
          </cell>
          <cell r="D2584">
            <v>38520</v>
          </cell>
          <cell r="F2584" t="str">
            <v>6372</v>
          </cell>
          <cell r="G2584" t="str">
            <v>American Solutions Inc.</v>
          </cell>
          <cell r="H2584">
            <v>1</v>
          </cell>
        </row>
        <row r="2585">
          <cell r="B2585" t="str">
            <v>SWC1020-0851</v>
          </cell>
          <cell r="C2585" t="str">
            <v>Invoice</v>
          </cell>
          <cell r="D2585">
            <v>38533</v>
          </cell>
          <cell r="F2585" t="str">
            <v>7024</v>
          </cell>
          <cell r="G2585" t="str">
            <v>Dr Horton Homebuilders</v>
          </cell>
          <cell r="H2585">
            <v>1</v>
          </cell>
        </row>
        <row r="2586">
          <cell r="B2586" t="str">
            <v>SWC1020-0860</v>
          </cell>
          <cell r="C2586" t="str">
            <v>Invoice</v>
          </cell>
          <cell r="D2586">
            <v>38399</v>
          </cell>
          <cell r="F2586" t="str">
            <v>5232</v>
          </cell>
          <cell r="G2586" t="str">
            <v>Ashley Furniture HomeStore</v>
          </cell>
          <cell r="H2586">
            <v>1</v>
          </cell>
        </row>
        <row r="2587">
          <cell r="B2587" t="str">
            <v>SWC1020-0860</v>
          </cell>
          <cell r="C2587" t="str">
            <v>Invoice</v>
          </cell>
          <cell r="D2587">
            <v>38420</v>
          </cell>
          <cell r="F2587" t="str">
            <v>5374</v>
          </cell>
          <cell r="G2587" t="str">
            <v>Ashley Furniture HomeStore</v>
          </cell>
          <cell r="H2587">
            <v>1</v>
          </cell>
        </row>
        <row r="2588">
          <cell r="B2588" t="str">
            <v>SWC1020-0861</v>
          </cell>
          <cell r="C2588" t="str">
            <v>Invoice</v>
          </cell>
          <cell r="D2588">
            <v>38421</v>
          </cell>
          <cell r="F2588" t="str">
            <v>5452</v>
          </cell>
          <cell r="G2588" t="str">
            <v>Bloomingdale's #20</v>
          </cell>
          <cell r="H2588">
            <v>1</v>
          </cell>
        </row>
        <row r="2589">
          <cell r="B2589" t="str">
            <v>SWC1020-0869</v>
          </cell>
          <cell r="C2589" t="str">
            <v>Invoice</v>
          </cell>
          <cell r="D2589">
            <v>38421</v>
          </cell>
          <cell r="F2589" t="str">
            <v>5423</v>
          </cell>
          <cell r="G2589" t="str">
            <v>University of Arizona Bookstore</v>
          </cell>
          <cell r="H2589">
            <v>1</v>
          </cell>
        </row>
        <row r="2590">
          <cell r="B2590" t="str">
            <v>SWC1020-0873</v>
          </cell>
          <cell r="C2590" t="str">
            <v>Invoice</v>
          </cell>
          <cell r="D2590">
            <v>38411</v>
          </cell>
          <cell r="F2590" t="str">
            <v>5373</v>
          </cell>
          <cell r="G2590" t="str">
            <v>Silks By Mu-Mu Manufactuteres</v>
          </cell>
          <cell r="H2590">
            <v>1</v>
          </cell>
        </row>
        <row r="2591">
          <cell r="B2591" t="str">
            <v>SWC1020-0873</v>
          </cell>
          <cell r="C2591" t="str">
            <v>Invoice</v>
          </cell>
          <cell r="D2591">
            <v>38421</v>
          </cell>
          <cell r="F2591" t="str">
            <v>5453</v>
          </cell>
          <cell r="G2591" t="str">
            <v>WDW Disney's Decorating Support</v>
          </cell>
          <cell r="H2591">
            <v>1</v>
          </cell>
        </row>
        <row r="2592">
          <cell r="B2592" t="str">
            <v>SWC1020-0874</v>
          </cell>
          <cell r="C2592" t="str">
            <v>Invoice</v>
          </cell>
          <cell r="D2592">
            <v>38467</v>
          </cell>
          <cell r="F2592" t="str">
            <v>5634</v>
          </cell>
          <cell r="G2592" t="str">
            <v>DFS Guam L.P.</v>
          </cell>
          <cell r="H2592">
            <v>1</v>
          </cell>
        </row>
        <row r="2593">
          <cell r="B2593" t="str">
            <v>SWC1020-0879</v>
          </cell>
          <cell r="C2593" t="str">
            <v>Invoice</v>
          </cell>
          <cell r="D2593">
            <v>38440</v>
          </cell>
          <cell r="F2593" t="str">
            <v>5499</v>
          </cell>
          <cell r="G2593" t="str">
            <v>Southern Kitchen and Bath</v>
          </cell>
          <cell r="H2593">
            <v>1</v>
          </cell>
        </row>
        <row r="2594">
          <cell r="B2594" t="str">
            <v>SWC1020-0887</v>
          </cell>
          <cell r="C2594" t="str">
            <v>Invoice</v>
          </cell>
          <cell r="D2594">
            <v>38471</v>
          </cell>
          <cell r="F2594" t="str">
            <v>6033</v>
          </cell>
          <cell r="G2594" t="str">
            <v>The Childrens Place</v>
          </cell>
          <cell r="H2594">
            <v>1</v>
          </cell>
        </row>
        <row r="2595">
          <cell r="B2595" t="str">
            <v>SWC1020-0888</v>
          </cell>
          <cell r="C2595" t="str">
            <v>Invoice</v>
          </cell>
          <cell r="D2595">
            <v>38435</v>
          </cell>
          <cell r="F2595" t="str">
            <v>5468</v>
          </cell>
          <cell r="G2595" t="str">
            <v>Hallmark Cards - Kansas City, MO</v>
          </cell>
          <cell r="H2595">
            <v>1</v>
          </cell>
        </row>
        <row r="2596">
          <cell r="B2596" t="str">
            <v>SWC1020-0892</v>
          </cell>
          <cell r="C2596" t="str">
            <v>Invoice</v>
          </cell>
          <cell r="D2596">
            <v>38468</v>
          </cell>
          <cell r="F2596" t="str">
            <v>6004</v>
          </cell>
          <cell r="G2596" t="str">
            <v>Zale Corporation</v>
          </cell>
          <cell r="H2596">
            <v>1</v>
          </cell>
        </row>
        <row r="2597">
          <cell r="B2597" t="str">
            <v>SWC1020-0892</v>
          </cell>
          <cell r="C2597" t="str">
            <v>Invoice</v>
          </cell>
          <cell r="D2597">
            <v>38469</v>
          </cell>
          <cell r="F2597" t="str">
            <v>5713</v>
          </cell>
          <cell r="G2597" t="str">
            <v>Curves Greenville</v>
          </cell>
          <cell r="H2597">
            <v>1</v>
          </cell>
        </row>
        <row r="2598">
          <cell r="B2598" t="str">
            <v>SWC1020-0892</v>
          </cell>
          <cell r="C2598" t="str">
            <v>Invoice</v>
          </cell>
          <cell r="D2598">
            <v>38490</v>
          </cell>
          <cell r="F2598" t="str">
            <v>6087</v>
          </cell>
          <cell r="G2598" t="str">
            <v>24 Hour Fitness</v>
          </cell>
          <cell r="H2598">
            <v>1</v>
          </cell>
        </row>
        <row r="2599">
          <cell r="B2599" t="str">
            <v>SWC1020-0894</v>
          </cell>
          <cell r="C2599" t="str">
            <v>Invoice</v>
          </cell>
          <cell r="D2599">
            <v>38421</v>
          </cell>
          <cell r="F2599" t="str">
            <v>5423</v>
          </cell>
          <cell r="G2599" t="str">
            <v>University of Arizona Bookstore</v>
          </cell>
          <cell r="H2599">
            <v>1</v>
          </cell>
        </row>
        <row r="2600">
          <cell r="B2600" t="str">
            <v>SWC1020-0894</v>
          </cell>
          <cell r="C2600" t="str">
            <v>Invoice</v>
          </cell>
          <cell r="D2600">
            <v>38455</v>
          </cell>
          <cell r="F2600" t="str">
            <v>5600</v>
          </cell>
          <cell r="G2600" t="str">
            <v>Techno Satellite</v>
          </cell>
          <cell r="H2600">
            <v>1</v>
          </cell>
        </row>
        <row r="2601">
          <cell r="B2601" t="str">
            <v>SWC1020-0894</v>
          </cell>
          <cell r="C2601" t="str">
            <v>Invoice</v>
          </cell>
          <cell r="D2601">
            <v>38477</v>
          </cell>
          <cell r="F2601" t="str">
            <v>6037</v>
          </cell>
          <cell r="G2601" t="str">
            <v>Promotool</v>
          </cell>
          <cell r="H2601">
            <v>1</v>
          </cell>
        </row>
        <row r="2602">
          <cell r="B2602" t="str">
            <v>SWC1020-0894</v>
          </cell>
          <cell r="C2602" t="str">
            <v>Invoice</v>
          </cell>
          <cell r="D2602">
            <v>38498</v>
          </cell>
          <cell r="F2602" t="str">
            <v>6180</v>
          </cell>
          <cell r="G2602" t="str">
            <v>Walton's Florist</v>
          </cell>
          <cell r="H2602">
            <v>1</v>
          </cell>
        </row>
        <row r="2603">
          <cell r="B2603" t="str">
            <v>SWC1020-0895</v>
          </cell>
          <cell r="C2603" t="str">
            <v>Invoice</v>
          </cell>
          <cell r="D2603">
            <v>38455</v>
          </cell>
          <cell r="F2603" t="str">
            <v>5600</v>
          </cell>
          <cell r="G2603" t="str">
            <v>Techno Satellite</v>
          </cell>
          <cell r="H2603">
            <v>1</v>
          </cell>
        </row>
        <row r="2604">
          <cell r="B2604" t="str">
            <v>SWC1020-0897</v>
          </cell>
          <cell r="C2604" t="str">
            <v>Invoice</v>
          </cell>
          <cell r="D2604">
            <v>38498</v>
          </cell>
          <cell r="F2604" t="str">
            <v>6180</v>
          </cell>
          <cell r="G2604" t="str">
            <v>Walton's Florist</v>
          </cell>
          <cell r="H2604">
            <v>1</v>
          </cell>
        </row>
        <row r="2605">
          <cell r="B2605" t="str">
            <v>SWC1020-0912</v>
          </cell>
          <cell r="C2605" t="str">
            <v>Invoice</v>
          </cell>
          <cell r="D2605">
            <v>38481</v>
          </cell>
          <cell r="F2605" t="str">
            <v>6041</v>
          </cell>
          <cell r="G2605" t="str">
            <v>Wickes Furniture:Wickes-001</v>
          </cell>
          <cell r="H2605">
            <v>1</v>
          </cell>
        </row>
        <row r="2606">
          <cell r="B2606" t="str">
            <v>SWC1020-0912</v>
          </cell>
          <cell r="C2606" t="str">
            <v>Invoice</v>
          </cell>
          <cell r="D2606">
            <v>38508</v>
          </cell>
          <cell r="F2606" t="str">
            <v>6042</v>
          </cell>
          <cell r="G2606" t="str">
            <v>Wickes Furniture:Wickes-001</v>
          </cell>
          <cell r="H2606">
            <v>1</v>
          </cell>
        </row>
        <row r="2607">
          <cell r="B2607" t="str">
            <v>SWC1020-0912</v>
          </cell>
          <cell r="C2607" t="str">
            <v>Invoice</v>
          </cell>
          <cell r="D2607">
            <v>38520</v>
          </cell>
          <cell r="F2607" t="str">
            <v>6367</v>
          </cell>
          <cell r="G2607" t="str">
            <v>Muzak, LLC:City Range Steakhouse &amp; Grill</v>
          </cell>
          <cell r="H2607">
            <v>1</v>
          </cell>
        </row>
        <row r="2608">
          <cell r="B2608" t="str">
            <v>SWC1020-0913</v>
          </cell>
          <cell r="C2608" t="str">
            <v>Invoice</v>
          </cell>
          <cell r="D2608">
            <v>38411</v>
          </cell>
          <cell r="F2608" t="str">
            <v>5393</v>
          </cell>
          <cell r="G2608" t="str">
            <v>H.H. Gregg, Inc.</v>
          </cell>
          <cell r="H2608">
            <v>1</v>
          </cell>
        </row>
        <row r="2609">
          <cell r="B2609" t="str">
            <v>SWC1020-0913</v>
          </cell>
          <cell r="C2609" t="str">
            <v>Invoice</v>
          </cell>
          <cell r="D2609">
            <v>38411</v>
          </cell>
          <cell r="F2609" t="str">
            <v>5392</v>
          </cell>
          <cell r="G2609" t="str">
            <v>H.H. Gregg, Inc.</v>
          </cell>
          <cell r="H2609">
            <v>1</v>
          </cell>
        </row>
        <row r="2610">
          <cell r="B2610" t="str">
            <v>SWC1020-0913</v>
          </cell>
          <cell r="C2610" t="str">
            <v>Invoice</v>
          </cell>
          <cell r="D2610">
            <v>38411</v>
          </cell>
          <cell r="F2610" t="str">
            <v>5394</v>
          </cell>
          <cell r="G2610" t="str">
            <v>H.H. Gregg, Inc.</v>
          </cell>
          <cell r="H2610">
            <v>1</v>
          </cell>
        </row>
        <row r="2611">
          <cell r="B2611" t="str">
            <v>SWC1020-0913</v>
          </cell>
          <cell r="C2611" t="str">
            <v>Invoice</v>
          </cell>
          <cell r="D2611">
            <v>38411</v>
          </cell>
          <cell r="F2611" t="str">
            <v>5391</v>
          </cell>
          <cell r="G2611" t="str">
            <v>H.H. Gregg, Inc.</v>
          </cell>
          <cell r="H2611">
            <v>1</v>
          </cell>
        </row>
        <row r="2612">
          <cell r="B2612" t="str">
            <v>SWC1020-0913</v>
          </cell>
          <cell r="C2612" t="str">
            <v>Invoice</v>
          </cell>
          <cell r="D2612">
            <v>38440</v>
          </cell>
          <cell r="F2612" t="str">
            <v>5546</v>
          </cell>
          <cell r="G2612" t="str">
            <v>G. Raymond Brow</v>
          </cell>
          <cell r="H2612">
            <v>1</v>
          </cell>
        </row>
        <row r="2613">
          <cell r="B2613" t="str">
            <v>SWC1020-0913</v>
          </cell>
          <cell r="C2613" t="str">
            <v>Invoice</v>
          </cell>
          <cell r="D2613">
            <v>38442</v>
          </cell>
          <cell r="F2613" t="str">
            <v>5561-I</v>
          </cell>
          <cell r="G2613" t="str">
            <v>Hard Rock Hotel</v>
          </cell>
          <cell r="H2613">
            <v>1</v>
          </cell>
        </row>
        <row r="2614">
          <cell r="B2614" t="str">
            <v>SWC1020-0913</v>
          </cell>
          <cell r="C2614" t="str">
            <v>Invoice</v>
          </cell>
          <cell r="D2614">
            <v>38510</v>
          </cell>
          <cell r="F2614" t="str">
            <v>6146</v>
          </cell>
          <cell r="G2614" t="str">
            <v>Hard Rock Hotel</v>
          </cell>
          <cell r="H2614">
            <v>1</v>
          </cell>
        </row>
        <row r="2615">
          <cell r="B2615" t="str">
            <v>SWC1020-0913</v>
          </cell>
          <cell r="C2615" t="str">
            <v>Invoice</v>
          </cell>
          <cell r="D2615">
            <v>38529</v>
          </cell>
          <cell r="F2615" t="str">
            <v>6229</v>
          </cell>
          <cell r="G2615" t="str">
            <v>Western Sizzlin Corporate:Westin Sizzlin HQ - Roanoke</v>
          </cell>
          <cell r="H2615">
            <v>1</v>
          </cell>
        </row>
        <row r="2616">
          <cell r="B2616" t="str">
            <v>SWC1020-0913</v>
          </cell>
          <cell r="C2616" t="str">
            <v>Invoice</v>
          </cell>
          <cell r="D2616">
            <v>38531</v>
          </cell>
          <cell r="F2616" t="str">
            <v>6131</v>
          </cell>
          <cell r="G2616" t="str">
            <v>Western Sizzlin Corporate:Great American Steak Buffet</v>
          </cell>
          <cell r="H2616">
            <v>1</v>
          </cell>
        </row>
        <row r="2617">
          <cell r="B2617" t="str">
            <v>SWC1020-0913</v>
          </cell>
          <cell r="C2617" t="str">
            <v>Invoice</v>
          </cell>
          <cell r="D2617">
            <v>38559</v>
          </cell>
          <cell r="F2617" t="str">
            <v>5531-I</v>
          </cell>
          <cell r="G2617" t="str">
            <v>Western Sizzlin Corporate:Great American Steak Buffet</v>
          </cell>
          <cell r="H2617">
            <v>1</v>
          </cell>
        </row>
        <row r="2618">
          <cell r="B2618" t="str">
            <v>SWC1020-0913</v>
          </cell>
          <cell r="C2618" t="str">
            <v>Invoice</v>
          </cell>
          <cell r="D2618">
            <v>38590</v>
          </cell>
          <cell r="F2618" t="str">
            <v>7135</v>
          </cell>
          <cell r="G2618" t="str">
            <v>Western Sizzlin Corporate:Great American Steak Buffet</v>
          </cell>
          <cell r="H2618">
            <v>1</v>
          </cell>
        </row>
        <row r="2619">
          <cell r="B2619" t="str">
            <v>SWC1020-0913</v>
          </cell>
          <cell r="C2619" t="str">
            <v>Invoice</v>
          </cell>
          <cell r="D2619">
            <v>38621</v>
          </cell>
          <cell r="F2619" t="str">
            <v>7486</v>
          </cell>
          <cell r="G2619" t="str">
            <v>Western Sizzlin Corporate:Great American Steak Buffet</v>
          </cell>
          <cell r="H2619">
            <v>1</v>
          </cell>
        </row>
        <row r="2620">
          <cell r="B2620" t="str">
            <v>SWC1020-0929</v>
          </cell>
          <cell r="C2620" t="str">
            <v>Invoice</v>
          </cell>
          <cell r="D2620">
            <v>38467</v>
          </cell>
          <cell r="F2620" t="str">
            <v>5715</v>
          </cell>
          <cell r="G2620" t="str">
            <v>Hallmark Cards - Kansas City, MO</v>
          </cell>
          <cell r="H2620">
            <v>1</v>
          </cell>
        </row>
        <row r="2621">
          <cell r="B2621" t="str">
            <v>SWC1020-0929</v>
          </cell>
          <cell r="C2621" t="str">
            <v>Invoice</v>
          </cell>
          <cell r="D2621">
            <v>38467</v>
          </cell>
          <cell r="F2621" t="str">
            <v>5629</v>
          </cell>
          <cell r="G2621" t="str">
            <v>Southern Kitchen and Bath</v>
          </cell>
          <cell r="H2621">
            <v>1</v>
          </cell>
        </row>
        <row r="2622">
          <cell r="B2622" t="str">
            <v>SWC1020-0929</v>
          </cell>
          <cell r="C2622" t="str">
            <v>Invoice</v>
          </cell>
          <cell r="D2622">
            <v>38481</v>
          </cell>
          <cell r="F2622" t="str">
            <v>6045</v>
          </cell>
          <cell r="G2622" t="str">
            <v>Henke Design:HD Music Land</v>
          </cell>
          <cell r="H2622">
            <v>1</v>
          </cell>
        </row>
        <row r="2623">
          <cell r="B2623" t="str">
            <v>SWC1020-0929</v>
          </cell>
          <cell r="C2623" t="str">
            <v>Invoice</v>
          </cell>
          <cell r="D2623">
            <v>38531</v>
          </cell>
          <cell r="F2623" t="str">
            <v>6129</v>
          </cell>
          <cell r="G2623" t="str">
            <v>Western Sizzlin Corporate:Westin Sizzlin HQ - Roanoke</v>
          </cell>
          <cell r="H2623">
            <v>1</v>
          </cell>
        </row>
        <row r="2624">
          <cell r="B2624" t="str">
            <v>SWC1020-0947</v>
          </cell>
          <cell r="C2624" t="str">
            <v>Invoice</v>
          </cell>
          <cell r="D2624">
            <v>38398</v>
          </cell>
          <cell r="F2624" t="str">
            <v>5319</v>
          </cell>
          <cell r="G2624" t="str">
            <v>Disney Worldwide:Coronado Springs Resort</v>
          </cell>
          <cell r="H2624">
            <v>1</v>
          </cell>
        </row>
        <row r="2625">
          <cell r="B2625" t="str">
            <v>SWC1020-0947</v>
          </cell>
          <cell r="C2625" t="str">
            <v>Invoice</v>
          </cell>
          <cell r="D2625">
            <v>38455</v>
          </cell>
          <cell r="F2625" t="str">
            <v>5600</v>
          </cell>
          <cell r="G2625" t="str">
            <v>Techno Satellite</v>
          </cell>
          <cell r="H2625">
            <v>1</v>
          </cell>
        </row>
        <row r="2626">
          <cell r="B2626" t="str">
            <v>SWC1020-0947</v>
          </cell>
          <cell r="C2626" t="str">
            <v>Invoice</v>
          </cell>
          <cell r="D2626">
            <v>38526</v>
          </cell>
          <cell r="F2626" t="str">
            <v>6421</v>
          </cell>
          <cell r="G2626" t="str">
            <v>Muzak, LLC:City Range Steakhouse &amp; Grill</v>
          </cell>
          <cell r="H2626">
            <v>1</v>
          </cell>
        </row>
        <row r="2627">
          <cell r="B2627" t="str">
            <v>SWC1020-0956</v>
          </cell>
          <cell r="C2627" t="str">
            <v>Invoice</v>
          </cell>
          <cell r="D2627">
            <v>38398</v>
          </cell>
          <cell r="F2627" t="str">
            <v>5319</v>
          </cell>
          <cell r="G2627" t="str">
            <v>Disney Worldwide:Coronado Springs Resort</v>
          </cell>
          <cell r="H2627">
            <v>1</v>
          </cell>
        </row>
        <row r="2628">
          <cell r="B2628" t="str">
            <v>SWC1020-0956</v>
          </cell>
          <cell r="C2628" t="str">
            <v>Invoice</v>
          </cell>
          <cell r="D2628">
            <v>38435</v>
          </cell>
          <cell r="F2628" t="str">
            <v>5468</v>
          </cell>
          <cell r="G2628" t="str">
            <v>Hallmark Cards - Kansas City, MO</v>
          </cell>
          <cell r="H2628">
            <v>1</v>
          </cell>
        </row>
        <row r="2629">
          <cell r="B2629" t="str">
            <v>SWC1020-0961</v>
          </cell>
          <cell r="C2629" t="str">
            <v>Invoice</v>
          </cell>
          <cell r="D2629">
            <v>38411</v>
          </cell>
          <cell r="F2629" t="str">
            <v>5390</v>
          </cell>
          <cell r="G2629" t="str">
            <v>Sea World Orlando</v>
          </cell>
          <cell r="H2629">
            <v>1</v>
          </cell>
        </row>
        <row r="2630">
          <cell r="B2630" t="str">
            <v>SWC1020-0961</v>
          </cell>
          <cell r="C2630" t="str">
            <v>Invoice</v>
          </cell>
          <cell r="D2630">
            <v>38468</v>
          </cell>
          <cell r="F2630" t="str">
            <v>6004</v>
          </cell>
          <cell r="G2630" t="str">
            <v>Zale Corporation</v>
          </cell>
          <cell r="H2630">
            <v>1</v>
          </cell>
        </row>
        <row r="2631">
          <cell r="B2631" t="str">
            <v>SWC1020-0961</v>
          </cell>
          <cell r="C2631" t="str">
            <v>Invoice</v>
          </cell>
          <cell r="D2631">
            <v>38473</v>
          </cell>
          <cell r="F2631" t="str">
            <v>5678</v>
          </cell>
          <cell r="G2631" t="str">
            <v>Lane Bryant</v>
          </cell>
          <cell r="H2631">
            <v>1</v>
          </cell>
        </row>
        <row r="2632">
          <cell r="B2632" t="str">
            <v>SWC1020-0986</v>
          </cell>
          <cell r="C2632" t="str">
            <v>Invoice</v>
          </cell>
          <cell r="D2632">
            <v>38467</v>
          </cell>
          <cell r="F2632" t="str">
            <v>5715</v>
          </cell>
          <cell r="G2632" t="str">
            <v>Hallmark Cards - Kansas City, MO</v>
          </cell>
          <cell r="H2632">
            <v>1</v>
          </cell>
        </row>
        <row r="2633">
          <cell r="B2633" t="str">
            <v>SWC1020-1016</v>
          </cell>
          <cell r="C2633" t="str">
            <v>Invoice</v>
          </cell>
          <cell r="D2633">
            <v>38420</v>
          </cell>
          <cell r="F2633" t="str">
            <v>5378</v>
          </cell>
          <cell r="G2633" t="str">
            <v>Florida Aquarium</v>
          </cell>
          <cell r="H2633">
            <v>1</v>
          </cell>
        </row>
        <row r="2634">
          <cell r="B2634" t="str">
            <v>SWC1020-1016</v>
          </cell>
          <cell r="C2634" t="str">
            <v>Invoice</v>
          </cell>
          <cell r="D2634">
            <v>38420</v>
          </cell>
          <cell r="F2634" t="str">
            <v>5448</v>
          </cell>
          <cell r="G2634" t="str">
            <v>WDW Disney's Decorating Support</v>
          </cell>
          <cell r="H2634">
            <v>1</v>
          </cell>
        </row>
        <row r="2635">
          <cell r="B2635" t="str">
            <v>SWC1020-1016</v>
          </cell>
          <cell r="C2635" t="str">
            <v>Invoice</v>
          </cell>
          <cell r="D2635">
            <v>38455</v>
          </cell>
          <cell r="F2635" t="str">
            <v>5600</v>
          </cell>
          <cell r="G2635" t="str">
            <v>Techno Satellite</v>
          </cell>
          <cell r="H2635">
            <v>1</v>
          </cell>
        </row>
        <row r="2636">
          <cell r="B2636" t="str">
            <v>SWC1020-1016</v>
          </cell>
          <cell r="C2636" t="str">
            <v>Invoice</v>
          </cell>
          <cell r="D2636">
            <v>38455</v>
          </cell>
          <cell r="F2636" t="str">
            <v>5616</v>
          </cell>
          <cell r="G2636" t="str">
            <v>Pure Beauty-Encino</v>
          </cell>
          <cell r="H2636">
            <v>1</v>
          </cell>
        </row>
        <row r="2637">
          <cell r="B2637" t="str">
            <v>SWC1020-1016</v>
          </cell>
          <cell r="C2637" t="str">
            <v>Invoice</v>
          </cell>
          <cell r="D2637">
            <v>38467</v>
          </cell>
          <cell r="F2637" t="str">
            <v>5634</v>
          </cell>
          <cell r="G2637" t="str">
            <v>DFS Guam L.P.</v>
          </cell>
          <cell r="H2637">
            <v>1</v>
          </cell>
        </row>
        <row r="2638">
          <cell r="B2638" t="str">
            <v>SWC1020-1016</v>
          </cell>
          <cell r="C2638" t="str">
            <v>Invoice</v>
          </cell>
          <cell r="D2638">
            <v>38481</v>
          </cell>
          <cell r="F2638" t="str">
            <v>5726</v>
          </cell>
          <cell r="G2638" t="str">
            <v>ScentAir - Corporate Associates:Pamela Knock</v>
          </cell>
          <cell r="H2638">
            <v>1</v>
          </cell>
        </row>
        <row r="2639">
          <cell r="B2639" t="str">
            <v>SWC1020-1016</v>
          </cell>
          <cell r="C2639" t="str">
            <v>Invoice</v>
          </cell>
          <cell r="D2639">
            <v>38490</v>
          </cell>
          <cell r="F2639" t="str">
            <v>6086</v>
          </cell>
          <cell r="G2639" t="str">
            <v>Muzak, LLC (superceded)</v>
          </cell>
          <cell r="H2639">
            <v>1</v>
          </cell>
        </row>
        <row r="2640">
          <cell r="B2640" t="str">
            <v>SWC1020-1016</v>
          </cell>
          <cell r="C2640" t="str">
            <v>Invoice</v>
          </cell>
          <cell r="D2640">
            <v>38533</v>
          </cell>
          <cell r="F2640" t="str">
            <v>7016</v>
          </cell>
          <cell r="G2640" t="str">
            <v>Cheeseburger in Paradise</v>
          </cell>
          <cell r="H2640">
            <v>1</v>
          </cell>
        </row>
        <row r="2641">
          <cell r="B2641" t="str">
            <v>SWC1020-1035</v>
          </cell>
          <cell r="C2641" t="str">
            <v>Invoice</v>
          </cell>
          <cell r="D2641">
            <v>38440</v>
          </cell>
          <cell r="F2641" t="str">
            <v>5558</v>
          </cell>
          <cell r="G2641" t="str">
            <v>Bryant Sons Ltd</v>
          </cell>
          <cell r="H2641">
            <v>1</v>
          </cell>
        </row>
        <row r="2642">
          <cell r="B2642" t="str">
            <v>SWC1020-1035</v>
          </cell>
          <cell r="C2642" t="str">
            <v>Invoice</v>
          </cell>
          <cell r="D2642">
            <v>38468</v>
          </cell>
          <cell r="F2642" t="str">
            <v>6004</v>
          </cell>
          <cell r="G2642" t="str">
            <v>Zale Corporation</v>
          </cell>
          <cell r="H2642">
            <v>1</v>
          </cell>
        </row>
        <row r="2643">
          <cell r="B2643" t="str">
            <v>SWC1020-1035</v>
          </cell>
          <cell r="C2643" t="str">
            <v>Invoice</v>
          </cell>
          <cell r="D2643">
            <v>38540</v>
          </cell>
          <cell r="F2643" t="str">
            <v>7015</v>
          </cell>
          <cell r="G2643" t="str">
            <v>ScentAir - Corporate Associates</v>
          </cell>
          <cell r="H2643">
            <v>1</v>
          </cell>
        </row>
        <row r="2644">
          <cell r="B2644" t="str">
            <v>SWC1020-1062</v>
          </cell>
          <cell r="C2644" t="str">
            <v>Invoice</v>
          </cell>
          <cell r="D2644">
            <v>38407</v>
          </cell>
          <cell r="F2644" t="str">
            <v>5192</v>
          </cell>
          <cell r="G2644" t="str">
            <v>Travel Centers Of America</v>
          </cell>
          <cell r="H2644">
            <v>1</v>
          </cell>
        </row>
        <row r="2645">
          <cell r="B2645" t="str">
            <v>SWC1020-1095</v>
          </cell>
          <cell r="C2645" t="str">
            <v>Invoice</v>
          </cell>
          <cell r="D2645">
            <v>38427</v>
          </cell>
          <cell r="F2645" t="str">
            <v>5464</v>
          </cell>
          <cell r="G2645" t="str">
            <v>Cumberland Farms, Inc.</v>
          </cell>
          <cell r="H2645">
            <v>1</v>
          </cell>
        </row>
        <row r="2646">
          <cell r="B2646" t="str">
            <v>SWC1020-1095</v>
          </cell>
          <cell r="C2646" t="str">
            <v>Invoice</v>
          </cell>
          <cell r="D2646">
            <v>38456</v>
          </cell>
          <cell r="F2646" t="str">
            <v>5607</v>
          </cell>
          <cell r="G2646" t="str">
            <v>Circle K West Coast Business Unit</v>
          </cell>
          <cell r="H2646">
            <v>1</v>
          </cell>
        </row>
        <row r="2647">
          <cell r="B2647" t="str">
            <v>SWC1020-1095</v>
          </cell>
          <cell r="C2647" t="str">
            <v>Invoice</v>
          </cell>
          <cell r="D2647">
            <v>38526</v>
          </cell>
          <cell r="F2647" t="str">
            <v>6408</v>
          </cell>
          <cell r="G2647" t="str">
            <v>Pilot Travel Centers</v>
          </cell>
          <cell r="H2647">
            <v>1</v>
          </cell>
        </row>
        <row r="2648">
          <cell r="B2648" t="str">
            <v>SWC1020-1098</v>
          </cell>
          <cell r="C2648" t="str">
            <v>Invoice</v>
          </cell>
          <cell r="D2648">
            <v>38421</v>
          </cell>
          <cell r="F2648" t="str">
            <v>5453</v>
          </cell>
          <cell r="G2648" t="str">
            <v>WDW Disney's Decorating Support</v>
          </cell>
          <cell r="H2648">
            <v>1</v>
          </cell>
        </row>
        <row r="2649">
          <cell r="B2649" t="str">
            <v>SWC1020-1098</v>
          </cell>
          <cell r="C2649" t="str">
            <v>Invoice</v>
          </cell>
          <cell r="D2649">
            <v>38455</v>
          </cell>
          <cell r="F2649" t="str">
            <v>5600</v>
          </cell>
          <cell r="G2649" t="str">
            <v>Techno Satellite</v>
          </cell>
          <cell r="H2649">
            <v>1</v>
          </cell>
        </row>
        <row r="2650">
          <cell r="B2650" t="str">
            <v>SWC1020-1099</v>
          </cell>
          <cell r="C2650" t="str">
            <v>Invoice</v>
          </cell>
          <cell r="D2650">
            <v>38455</v>
          </cell>
          <cell r="F2650" t="str">
            <v>5600</v>
          </cell>
          <cell r="G2650" t="str">
            <v>Techno Satellite</v>
          </cell>
          <cell r="H2650">
            <v>1</v>
          </cell>
        </row>
        <row r="2651">
          <cell r="B2651" t="str">
            <v>SWC1020-1103</v>
          </cell>
          <cell r="C2651" t="str">
            <v>Invoice</v>
          </cell>
          <cell r="D2651">
            <v>38411</v>
          </cell>
          <cell r="F2651" t="str">
            <v>5375</v>
          </cell>
          <cell r="G2651" t="str">
            <v>Southern Kitchen and Bath</v>
          </cell>
          <cell r="H2651">
            <v>1</v>
          </cell>
        </row>
        <row r="2652">
          <cell r="B2652" t="str">
            <v>SWC1020-1103</v>
          </cell>
          <cell r="C2652" t="str">
            <v>Invoice</v>
          </cell>
          <cell r="D2652">
            <v>38497</v>
          </cell>
          <cell r="F2652" t="str">
            <v>6103</v>
          </cell>
          <cell r="G2652" t="str">
            <v>Southern Kitchen and Bath</v>
          </cell>
          <cell r="H2652">
            <v>1</v>
          </cell>
        </row>
        <row r="2653">
          <cell r="B2653" t="str">
            <v>SWC1020-1103</v>
          </cell>
          <cell r="C2653" t="str">
            <v>Invoice</v>
          </cell>
          <cell r="D2653">
            <v>38499</v>
          </cell>
          <cell r="F2653" t="str">
            <v>6168</v>
          </cell>
          <cell r="G2653" t="str">
            <v>Southern Kitchen and Bath</v>
          </cell>
          <cell r="H2653">
            <v>1</v>
          </cell>
        </row>
        <row r="2654">
          <cell r="B2654" t="str">
            <v>SWC1020-1104</v>
          </cell>
          <cell r="C2654" t="str">
            <v>Invoice</v>
          </cell>
          <cell r="D2654">
            <v>38488</v>
          </cell>
          <cell r="F2654" t="str">
            <v>6059</v>
          </cell>
          <cell r="G2654" t="str">
            <v>ScentAir - Corporate Associates</v>
          </cell>
          <cell r="H2654">
            <v>1</v>
          </cell>
        </row>
        <row r="2655">
          <cell r="B2655" t="str">
            <v>SWC1020-1105</v>
          </cell>
          <cell r="C2655" t="str">
            <v>Invoice</v>
          </cell>
          <cell r="D2655">
            <v>38405</v>
          </cell>
          <cell r="F2655" t="str">
            <v>5358</v>
          </cell>
          <cell r="G2655" t="str">
            <v>Andrew &amp; Andrew</v>
          </cell>
          <cell r="H2655">
            <v>1</v>
          </cell>
        </row>
        <row r="2656">
          <cell r="B2656" t="str">
            <v>SWC1020-1105</v>
          </cell>
          <cell r="C2656" t="str">
            <v>Invoice</v>
          </cell>
          <cell r="D2656">
            <v>38420</v>
          </cell>
          <cell r="F2656" t="str">
            <v>5400</v>
          </cell>
          <cell r="G2656" t="str">
            <v>Andrew &amp; Andrew</v>
          </cell>
          <cell r="H2656">
            <v>1</v>
          </cell>
        </row>
        <row r="2657">
          <cell r="B2657" t="str">
            <v>SWC1020-1105</v>
          </cell>
          <cell r="C2657" t="str">
            <v>Invoice</v>
          </cell>
          <cell r="D2657">
            <v>38420</v>
          </cell>
          <cell r="F2657" t="str">
            <v>5399</v>
          </cell>
          <cell r="G2657" t="str">
            <v>Andrew &amp; Andrew #3</v>
          </cell>
          <cell r="H2657">
            <v>1</v>
          </cell>
        </row>
        <row r="2658">
          <cell r="B2658" t="str">
            <v>SWC1020-1105</v>
          </cell>
          <cell r="C2658" t="str">
            <v>Invoice</v>
          </cell>
          <cell r="D2658">
            <v>38420</v>
          </cell>
          <cell r="F2658" t="str">
            <v>5397</v>
          </cell>
          <cell r="G2658" t="str">
            <v>Andrew &amp; Andrew #4</v>
          </cell>
          <cell r="H2658">
            <v>1</v>
          </cell>
        </row>
        <row r="2659">
          <cell r="B2659" t="str">
            <v>SWC1020-1105</v>
          </cell>
          <cell r="C2659" t="str">
            <v>Invoice</v>
          </cell>
          <cell r="D2659">
            <v>38420</v>
          </cell>
          <cell r="F2659" t="str">
            <v>5398</v>
          </cell>
          <cell r="G2659" t="str">
            <v>Andrew &amp; Andrew #3</v>
          </cell>
          <cell r="H2659">
            <v>1</v>
          </cell>
        </row>
        <row r="2660">
          <cell r="B2660" t="str">
            <v>SWC1020-1105</v>
          </cell>
          <cell r="C2660" t="str">
            <v>Invoice</v>
          </cell>
          <cell r="D2660">
            <v>38428</v>
          </cell>
          <cell r="F2660" t="str">
            <v>5465</v>
          </cell>
          <cell r="G2660" t="str">
            <v>Cynthia A. Hickman</v>
          </cell>
          <cell r="H2660">
            <v>1</v>
          </cell>
        </row>
        <row r="2661">
          <cell r="B2661" t="str">
            <v>SWC1020-1105</v>
          </cell>
          <cell r="C2661" t="str">
            <v>Invoice</v>
          </cell>
          <cell r="D2661">
            <v>38443</v>
          </cell>
          <cell r="F2661" t="str">
            <v>6023</v>
          </cell>
          <cell r="G2661" t="str">
            <v>Jimmy Choo (Corporate Office):Jimmy Choo (Palm Beach Gardens)</v>
          </cell>
          <cell r="H2661">
            <v>1</v>
          </cell>
        </row>
        <row r="2662">
          <cell r="B2662" t="str">
            <v>SWC1020-1105</v>
          </cell>
          <cell r="C2662" t="str">
            <v>Invoice</v>
          </cell>
          <cell r="D2662">
            <v>38467</v>
          </cell>
          <cell r="F2662" t="str">
            <v>5634</v>
          </cell>
          <cell r="G2662" t="str">
            <v>DFS Guam L.P.</v>
          </cell>
          <cell r="H2662">
            <v>1</v>
          </cell>
        </row>
        <row r="2663">
          <cell r="B2663" t="str">
            <v>SWC1020-1105</v>
          </cell>
          <cell r="C2663" t="str">
            <v>Invoice</v>
          </cell>
          <cell r="D2663">
            <v>38471</v>
          </cell>
          <cell r="F2663" t="str">
            <v>6024</v>
          </cell>
          <cell r="G2663" t="str">
            <v>Jimmy Choo (Madison Ave.)</v>
          </cell>
          <cell r="H2663">
            <v>1</v>
          </cell>
        </row>
        <row r="2664">
          <cell r="B2664" t="str">
            <v>SWC1020-1105</v>
          </cell>
          <cell r="C2664" t="str">
            <v>Invoice</v>
          </cell>
          <cell r="D2664">
            <v>38472</v>
          </cell>
          <cell r="F2664" t="str">
            <v>5530</v>
          </cell>
          <cell r="G2664" t="str">
            <v>Jimmy Choo (Corporate Office):Jimmy Choo (Palm Beach Gardens)</v>
          </cell>
          <cell r="H2664">
            <v>1</v>
          </cell>
        </row>
        <row r="2665">
          <cell r="B2665" t="str">
            <v>SWC1020-1105</v>
          </cell>
          <cell r="C2665" t="str">
            <v>Invoice</v>
          </cell>
          <cell r="D2665">
            <v>38508</v>
          </cell>
          <cell r="F2665" t="str">
            <v>6254</v>
          </cell>
          <cell r="G2665" t="str">
            <v>Muzak, LLC:USA Baby</v>
          </cell>
          <cell r="H2665">
            <v>1</v>
          </cell>
        </row>
        <row r="2666">
          <cell r="B2666" t="str">
            <v>SWC1020-1126</v>
          </cell>
          <cell r="C2666" t="str">
            <v>Invoice</v>
          </cell>
          <cell r="D2666">
            <v>38455</v>
          </cell>
          <cell r="F2666" t="str">
            <v>5406</v>
          </cell>
          <cell r="G2666" t="str">
            <v>ScentAir Australia Pty Ltd.</v>
          </cell>
          <cell r="H2666">
            <v>1</v>
          </cell>
        </row>
        <row r="2667">
          <cell r="B2667" t="str">
            <v>SWC1020-1127</v>
          </cell>
          <cell r="C2667" t="str">
            <v>Invoice</v>
          </cell>
          <cell r="D2667">
            <v>38455</v>
          </cell>
          <cell r="F2667" t="str">
            <v>5406</v>
          </cell>
          <cell r="G2667" t="str">
            <v>ScentAir Australia Pty Ltd.</v>
          </cell>
          <cell r="H2667">
            <v>1</v>
          </cell>
        </row>
        <row r="2668">
          <cell r="B2668" t="str">
            <v>SWC1020-1153</v>
          </cell>
          <cell r="C2668" t="str">
            <v>Invoice</v>
          </cell>
          <cell r="D2668">
            <v>38422</v>
          </cell>
          <cell r="F2668" t="str">
            <v>5444</v>
          </cell>
          <cell r="G2668" t="str">
            <v>Bingeman's</v>
          </cell>
          <cell r="H2668">
            <v>1</v>
          </cell>
        </row>
        <row r="2669">
          <cell r="B2669" t="str">
            <v>SWC1020-1168</v>
          </cell>
          <cell r="C2669" t="str">
            <v>Invoice</v>
          </cell>
          <cell r="D2669">
            <v>38420</v>
          </cell>
          <cell r="F2669" t="str">
            <v>5388</v>
          </cell>
          <cell r="G2669" t="str">
            <v>Disney Worldwide:Main Street Confectionary</v>
          </cell>
          <cell r="H2669">
            <v>1</v>
          </cell>
        </row>
        <row r="2670">
          <cell r="B2670" t="str">
            <v>SWC1020-1168</v>
          </cell>
          <cell r="C2670" t="str">
            <v>Invoice</v>
          </cell>
          <cell r="D2670">
            <v>38440</v>
          </cell>
          <cell r="F2670" t="str">
            <v>5546</v>
          </cell>
          <cell r="G2670" t="str">
            <v>G. Raymond Brow</v>
          </cell>
          <cell r="H2670">
            <v>1</v>
          </cell>
        </row>
        <row r="2671">
          <cell r="B2671" t="str">
            <v>SWC1020-1195</v>
          </cell>
          <cell r="C2671" t="str">
            <v>Invoice</v>
          </cell>
          <cell r="D2671">
            <v>38411</v>
          </cell>
          <cell r="F2671" t="str">
            <v>5390</v>
          </cell>
          <cell r="G2671" t="str">
            <v>Sea World Orlando</v>
          </cell>
          <cell r="H2671">
            <v>1</v>
          </cell>
        </row>
        <row r="2672">
          <cell r="B2672" t="str">
            <v>SWC1020-1195</v>
          </cell>
          <cell r="C2672" t="str">
            <v>Invoice</v>
          </cell>
          <cell r="D2672">
            <v>38411</v>
          </cell>
          <cell r="F2672" t="str">
            <v>5385</v>
          </cell>
          <cell r="G2672" t="str">
            <v>Celebration Hotel</v>
          </cell>
          <cell r="H2672">
            <v>1</v>
          </cell>
        </row>
        <row r="2673">
          <cell r="B2673" t="str">
            <v>SWC1020-1195</v>
          </cell>
          <cell r="C2673" t="str">
            <v>Invoice</v>
          </cell>
          <cell r="D2673">
            <v>38455</v>
          </cell>
          <cell r="F2673" t="str">
            <v>5600</v>
          </cell>
          <cell r="G2673" t="str">
            <v>Techno Satellite</v>
          </cell>
          <cell r="H2673">
            <v>1</v>
          </cell>
        </row>
        <row r="2674">
          <cell r="B2674" t="str">
            <v>SWC1020-1195</v>
          </cell>
          <cell r="C2674" t="str">
            <v>Invoice</v>
          </cell>
          <cell r="D2674">
            <v>38482</v>
          </cell>
          <cell r="F2674" t="str">
            <v>6034</v>
          </cell>
          <cell r="G2674" t="str">
            <v>Pyramid Title Company</v>
          </cell>
          <cell r="H2674">
            <v>1</v>
          </cell>
        </row>
        <row r="2675">
          <cell r="B2675" t="str">
            <v>SWC1020-1229</v>
          </cell>
          <cell r="C2675" t="str">
            <v>Invoice</v>
          </cell>
          <cell r="D2675">
            <v>38411</v>
          </cell>
          <cell r="F2675" t="str">
            <v>5390</v>
          </cell>
          <cell r="G2675" t="str">
            <v>Sea World Orlando</v>
          </cell>
          <cell r="H2675">
            <v>1</v>
          </cell>
        </row>
        <row r="2676">
          <cell r="B2676" t="str">
            <v>SWC1020-1254</v>
          </cell>
          <cell r="C2676" t="str">
            <v>Invoice</v>
          </cell>
          <cell r="D2676">
            <v>38411</v>
          </cell>
          <cell r="F2676" t="str">
            <v>5383</v>
          </cell>
          <cell r="G2676" t="str">
            <v>Bark Avenue Bakery</v>
          </cell>
          <cell r="H2676">
            <v>1</v>
          </cell>
        </row>
        <row r="2677">
          <cell r="B2677" t="str">
            <v>SWC1020-1254</v>
          </cell>
          <cell r="C2677" t="str">
            <v>Invoice</v>
          </cell>
          <cell r="D2677">
            <v>38427</v>
          </cell>
          <cell r="F2677" t="str">
            <v>5466</v>
          </cell>
          <cell r="G2677" t="str">
            <v>Weird and Wonderful</v>
          </cell>
          <cell r="H2677">
            <v>1</v>
          </cell>
        </row>
        <row r="2678">
          <cell r="B2678" t="str">
            <v>SWC1020-1254</v>
          </cell>
          <cell r="C2678" t="str">
            <v>Invoice</v>
          </cell>
          <cell r="D2678">
            <v>38481</v>
          </cell>
          <cell r="F2678" t="str">
            <v>5724</v>
          </cell>
          <cell r="G2678" t="str">
            <v>7-ElevenA</v>
          </cell>
          <cell r="H2678">
            <v>1</v>
          </cell>
        </row>
        <row r="2679">
          <cell r="B2679" t="str">
            <v>SWC1020-1254</v>
          </cell>
          <cell r="C2679" t="str">
            <v>Invoice</v>
          </cell>
          <cell r="D2679">
            <v>38481</v>
          </cell>
          <cell r="F2679" t="str">
            <v>5726</v>
          </cell>
          <cell r="G2679" t="str">
            <v>ScentAir - Corporate Associates:Pamela Knock</v>
          </cell>
          <cell r="H2679">
            <v>1</v>
          </cell>
        </row>
        <row r="2680">
          <cell r="B2680" t="str">
            <v>SWC1020-1263</v>
          </cell>
          <cell r="C2680" t="str">
            <v>Invoice</v>
          </cell>
          <cell r="D2680">
            <v>38455</v>
          </cell>
          <cell r="F2680" t="str">
            <v>5600</v>
          </cell>
          <cell r="G2680" t="str">
            <v>Techno Satellite</v>
          </cell>
          <cell r="H2680">
            <v>1</v>
          </cell>
        </row>
        <row r="2681">
          <cell r="B2681" t="str">
            <v>SWC1020-1275</v>
          </cell>
          <cell r="C2681" t="str">
            <v>Invoice</v>
          </cell>
          <cell r="D2681">
            <v>38442</v>
          </cell>
          <cell r="F2681" t="str">
            <v>5561-I</v>
          </cell>
          <cell r="G2681" t="str">
            <v>Hard Rock Hotel</v>
          </cell>
          <cell r="H2681">
            <v>1</v>
          </cell>
        </row>
        <row r="2682">
          <cell r="B2682" t="str">
            <v>SWC1020-1275</v>
          </cell>
          <cell r="C2682" t="str">
            <v>Invoice</v>
          </cell>
          <cell r="D2682">
            <v>38510</v>
          </cell>
          <cell r="F2682" t="str">
            <v>6146</v>
          </cell>
          <cell r="G2682" t="str">
            <v>Hard Rock Hotel</v>
          </cell>
          <cell r="H2682">
            <v>1</v>
          </cell>
        </row>
        <row r="2683">
          <cell r="B2683" t="str">
            <v>SWC1020-1275</v>
          </cell>
          <cell r="C2683" t="str">
            <v>Invoice</v>
          </cell>
          <cell r="D2683">
            <v>38533</v>
          </cell>
          <cell r="F2683" t="str">
            <v>6037-I</v>
          </cell>
          <cell r="G2683" t="str">
            <v>Hard Rock Hotel</v>
          </cell>
          <cell r="H2683">
            <v>1</v>
          </cell>
        </row>
        <row r="2684">
          <cell r="B2684" t="str">
            <v>SWC1020-1275</v>
          </cell>
          <cell r="C2684" t="str">
            <v>Invoice</v>
          </cell>
          <cell r="D2684">
            <v>38562</v>
          </cell>
          <cell r="F2684" t="str">
            <v>6374-I</v>
          </cell>
          <cell r="G2684" t="str">
            <v>Hard Rock Hotel</v>
          </cell>
          <cell r="H2684">
            <v>1</v>
          </cell>
        </row>
        <row r="2685">
          <cell r="B2685" t="str">
            <v>SWC1020-1275</v>
          </cell>
          <cell r="C2685" t="str">
            <v>Invoice</v>
          </cell>
          <cell r="D2685">
            <v>38626</v>
          </cell>
          <cell r="F2685" t="str">
            <v>7489</v>
          </cell>
          <cell r="G2685" t="str">
            <v>Hard Rock Hotel</v>
          </cell>
          <cell r="H2685">
            <v>1</v>
          </cell>
        </row>
        <row r="2686">
          <cell r="B2686" t="str">
            <v>SWC1020-1282</v>
          </cell>
          <cell r="C2686" t="str">
            <v>Invoice</v>
          </cell>
          <cell r="D2686">
            <v>38471</v>
          </cell>
          <cell r="F2686" t="str">
            <v>6033</v>
          </cell>
          <cell r="G2686" t="str">
            <v>The Childrens Place</v>
          </cell>
          <cell r="H2686">
            <v>1</v>
          </cell>
        </row>
        <row r="2687">
          <cell r="B2687" t="str">
            <v>SWC1020-1287</v>
          </cell>
          <cell r="C2687" t="str">
            <v>Invoice</v>
          </cell>
          <cell r="D2687">
            <v>38455</v>
          </cell>
          <cell r="F2687" t="str">
            <v>5600</v>
          </cell>
          <cell r="G2687" t="str">
            <v>Techno Satellite</v>
          </cell>
          <cell r="H2687">
            <v>1</v>
          </cell>
        </row>
        <row r="2688">
          <cell r="B2688" t="str">
            <v>SWC1020-1341</v>
          </cell>
          <cell r="C2688" t="str">
            <v>Invoice</v>
          </cell>
          <cell r="D2688">
            <v>38442</v>
          </cell>
          <cell r="F2688" t="str">
            <v>5574</v>
          </cell>
          <cell r="G2688" t="str">
            <v>Canadian Tire Corp</v>
          </cell>
          <cell r="H2688">
            <v>1</v>
          </cell>
        </row>
        <row r="2689">
          <cell r="B2689" t="str">
            <v>SWC1020-1341</v>
          </cell>
          <cell r="C2689" t="str">
            <v>Invoice</v>
          </cell>
          <cell r="D2689">
            <v>38455</v>
          </cell>
          <cell r="F2689" t="str">
            <v>5600</v>
          </cell>
          <cell r="G2689" t="str">
            <v>Techno Satellite</v>
          </cell>
          <cell r="H2689">
            <v>1</v>
          </cell>
        </row>
        <row r="2690">
          <cell r="B2690" t="str">
            <v>SWC1020-1341</v>
          </cell>
          <cell r="C2690" t="str">
            <v>Invoice</v>
          </cell>
          <cell r="D2690">
            <v>38456</v>
          </cell>
          <cell r="F2690" t="str">
            <v>5607</v>
          </cell>
          <cell r="G2690" t="str">
            <v>Circle K West Coast Business Unit</v>
          </cell>
          <cell r="H2690">
            <v>1</v>
          </cell>
        </row>
        <row r="2691">
          <cell r="B2691" t="str">
            <v>SWC1020-1352</v>
          </cell>
          <cell r="C2691" t="str">
            <v>Invoice</v>
          </cell>
          <cell r="D2691">
            <v>38411</v>
          </cell>
          <cell r="F2691" t="str">
            <v>5364</v>
          </cell>
          <cell r="G2691" t="str">
            <v>Grupobiz-Integradora De Espartaculos</v>
          </cell>
          <cell r="H2691">
            <v>1</v>
          </cell>
        </row>
        <row r="2692">
          <cell r="B2692" t="str">
            <v>SWC1020-1364</v>
          </cell>
          <cell r="C2692" t="str">
            <v>Invoice</v>
          </cell>
          <cell r="D2692">
            <v>38405</v>
          </cell>
          <cell r="F2692" t="str">
            <v>5361</v>
          </cell>
          <cell r="G2692" t="str">
            <v>Proffitt's Riverchase</v>
          </cell>
          <cell r="H2692">
            <v>1</v>
          </cell>
        </row>
        <row r="2693">
          <cell r="B2693" t="str">
            <v>SWC1020-1364</v>
          </cell>
          <cell r="C2693" t="str">
            <v>Invoice</v>
          </cell>
          <cell r="D2693">
            <v>38406</v>
          </cell>
          <cell r="F2693" t="str">
            <v>5193</v>
          </cell>
          <cell r="G2693" t="str">
            <v>Travel Centers Of America #2</v>
          </cell>
          <cell r="H2693">
            <v>1</v>
          </cell>
        </row>
        <row r="2694">
          <cell r="B2694" t="str">
            <v>SWC1020-1364</v>
          </cell>
          <cell r="C2694" t="str">
            <v>Invoice</v>
          </cell>
          <cell r="D2694">
            <v>38427</v>
          </cell>
          <cell r="F2694" t="str">
            <v>5464</v>
          </cell>
          <cell r="G2694" t="str">
            <v>Cumberland Farms, Inc.</v>
          </cell>
          <cell r="H2694">
            <v>1</v>
          </cell>
        </row>
        <row r="2695">
          <cell r="B2695" t="str">
            <v>SWC1020-1364</v>
          </cell>
          <cell r="C2695" t="str">
            <v>Invoice</v>
          </cell>
          <cell r="D2695">
            <v>38461</v>
          </cell>
          <cell r="F2695" t="str">
            <v>5691</v>
          </cell>
          <cell r="G2695" t="str">
            <v>Coffee Beanery</v>
          </cell>
          <cell r="H2695">
            <v>1</v>
          </cell>
        </row>
        <row r="2696">
          <cell r="B2696" t="str">
            <v>SWC1020-1364</v>
          </cell>
          <cell r="C2696" t="str">
            <v>Invoice</v>
          </cell>
          <cell r="D2696">
            <v>38468</v>
          </cell>
          <cell r="F2696" t="str">
            <v>6005</v>
          </cell>
          <cell r="G2696" t="str">
            <v>7-ElevenA</v>
          </cell>
          <cell r="H2696">
            <v>1</v>
          </cell>
        </row>
        <row r="2697">
          <cell r="B2697" t="str">
            <v>SWC1020-1364</v>
          </cell>
          <cell r="C2697" t="str">
            <v>Invoice</v>
          </cell>
          <cell r="D2697">
            <v>38468</v>
          </cell>
          <cell r="F2697" t="str">
            <v>6018</v>
          </cell>
          <cell r="G2697" t="str">
            <v>Cafe Aroma</v>
          </cell>
          <cell r="H2697">
            <v>1</v>
          </cell>
        </row>
        <row r="2698">
          <cell r="B2698" t="str">
            <v>SWC1020-1364</v>
          </cell>
          <cell r="C2698" t="str">
            <v>Invoice</v>
          </cell>
          <cell r="D2698">
            <v>38471</v>
          </cell>
          <cell r="F2698" t="str">
            <v>6030</v>
          </cell>
          <cell r="G2698" t="str">
            <v>It's A Grind</v>
          </cell>
          <cell r="H2698">
            <v>1</v>
          </cell>
        </row>
        <row r="2699">
          <cell r="B2699" t="str">
            <v>SWC1020-1364</v>
          </cell>
          <cell r="C2699" t="str">
            <v>Invoice</v>
          </cell>
          <cell r="D2699">
            <v>38513</v>
          </cell>
          <cell r="F2699" t="str">
            <v>6281</v>
          </cell>
          <cell r="G2699" t="str">
            <v>Coffee Beanery</v>
          </cell>
          <cell r="H2699">
            <v>1</v>
          </cell>
        </row>
        <row r="2700">
          <cell r="B2700" t="str">
            <v>SWC1020-1395</v>
          </cell>
          <cell r="C2700" t="str">
            <v>Invoice</v>
          </cell>
          <cell r="D2700">
            <v>38442</v>
          </cell>
          <cell r="F2700" t="str">
            <v>5570</v>
          </cell>
          <cell r="G2700" t="str">
            <v>ScentAir Australia Pty Ltd.</v>
          </cell>
          <cell r="H2700">
            <v>1</v>
          </cell>
        </row>
        <row r="2701">
          <cell r="B2701" t="str">
            <v>SWC1020-1402</v>
          </cell>
          <cell r="C2701" t="str">
            <v>Invoice</v>
          </cell>
          <cell r="D2701">
            <v>38513</v>
          </cell>
          <cell r="F2701" t="str">
            <v>6281</v>
          </cell>
          <cell r="G2701" t="str">
            <v>Coffee Beanery</v>
          </cell>
          <cell r="H2701">
            <v>1</v>
          </cell>
        </row>
        <row r="2702">
          <cell r="B2702" t="str">
            <v>SWC1020-C-67</v>
          </cell>
          <cell r="C2702" t="str">
            <v>Invoice</v>
          </cell>
          <cell r="D2702">
            <v>38468</v>
          </cell>
          <cell r="F2702" t="str">
            <v>5707</v>
          </cell>
          <cell r="G2702" t="str">
            <v>Starwood Hotels Corporate Office</v>
          </cell>
          <cell r="H2702">
            <v>1</v>
          </cell>
        </row>
        <row r="2703">
          <cell r="B2703" t="str">
            <v>SWC1020-Demo-783</v>
          </cell>
          <cell r="C2703" t="str">
            <v>Invoice</v>
          </cell>
          <cell r="D2703">
            <v>38461</v>
          </cell>
          <cell r="F2703" t="str">
            <v>5679</v>
          </cell>
          <cell r="G2703" t="str">
            <v>Ingle's Markets</v>
          </cell>
          <cell r="H2703">
            <v>1</v>
          </cell>
        </row>
        <row r="2704">
          <cell r="B2704" t="str">
            <v>SWC1020-Demo-783</v>
          </cell>
          <cell r="C2704" t="str">
            <v>Invoice</v>
          </cell>
          <cell r="D2704">
            <v>38461</v>
          </cell>
          <cell r="F2704" t="str">
            <v>5684</v>
          </cell>
          <cell r="G2704" t="str">
            <v>Ingle's Markets</v>
          </cell>
          <cell r="H2704">
            <v>1</v>
          </cell>
        </row>
        <row r="2705">
          <cell r="B2705" t="str">
            <v>SWC1020-Demo-913</v>
          </cell>
          <cell r="C2705" t="str">
            <v>Invoice</v>
          </cell>
          <cell r="D2705">
            <v>38461</v>
          </cell>
          <cell r="F2705" t="str">
            <v>5679</v>
          </cell>
          <cell r="G2705" t="str">
            <v>Ingle's Markets</v>
          </cell>
          <cell r="H2705">
            <v>1</v>
          </cell>
        </row>
        <row r="2706">
          <cell r="B2706" t="str">
            <v>SWC1020-Demo-913</v>
          </cell>
          <cell r="C2706" t="str">
            <v>Invoice</v>
          </cell>
          <cell r="D2706">
            <v>38461</v>
          </cell>
          <cell r="F2706" t="str">
            <v>5684</v>
          </cell>
          <cell r="G2706" t="str">
            <v>Ingle's Markets</v>
          </cell>
          <cell r="H2706">
            <v>1</v>
          </cell>
        </row>
        <row r="2707">
          <cell r="B2707" t="str">
            <v>SWC1020-OTHER</v>
          </cell>
          <cell r="C2707" t="str">
            <v>Invoice</v>
          </cell>
          <cell r="D2707">
            <v>38468</v>
          </cell>
          <cell r="F2707" t="str">
            <v>6003</v>
          </cell>
          <cell r="G2707" t="str">
            <v>Coffee Beanery</v>
          </cell>
          <cell r="H2707">
            <v>1</v>
          </cell>
        </row>
        <row r="2708">
          <cell r="B2708" t="str">
            <v>SWC1020-OTHER</v>
          </cell>
          <cell r="C2708" t="str">
            <v>Invoice</v>
          </cell>
          <cell r="D2708">
            <v>38468</v>
          </cell>
          <cell r="F2708" t="str">
            <v>6003</v>
          </cell>
          <cell r="G2708" t="str">
            <v>Coffee Beanery</v>
          </cell>
          <cell r="H2708">
            <v>1</v>
          </cell>
        </row>
        <row r="2709">
          <cell r="B2709" t="str">
            <v>SWC1020-OTHER</v>
          </cell>
          <cell r="C2709" t="str">
            <v>Invoice</v>
          </cell>
          <cell r="D2709">
            <v>38471</v>
          </cell>
          <cell r="F2709" t="str">
            <v>6031</v>
          </cell>
          <cell r="G2709" t="str">
            <v>Jamba Juice</v>
          </cell>
          <cell r="H2709">
            <v>1</v>
          </cell>
        </row>
        <row r="2710">
          <cell r="B2710" t="str">
            <v>SWC1020-OTHER</v>
          </cell>
          <cell r="C2710" t="str">
            <v>Invoice</v>
          </cell>
          <cell r="D2710">
            <v>38477</v>
          </cell>
          <cell r="F2710" t="str">
            <v>5599</v>
          </cell>
          <cell r="G2710" t="str">
            <v>ScentAir Australia Pty Ltd.</v>
          </cell>
          <cell r="H2710">
            <v>1</v>
          </cell>
        </row>
        <row r="2711">
          <cell r="B2711" t="str">
            <v>SWC1020-OTHER</v>
          </cell>
          <cell r="C2711" t="str">
            <v>Invoice</v>
          </cell>
          <cell r="D2711">
            <v>38481</v>
          </cell>
          <cell r="F2711" t="str">
            <v>6044</v>
          </cell>
          <cell r="G2711" t="str">
            <v>American Eagle Outfitters:AEO New Concept Office</v>
          </cell>
          <cell r="H2711">
            <v>1</v>
          </cell>
        </row>
        <row r="2712">
          <cell r="B2712" t="str">
            <v>SWC-1034</v>
          </cell>
          <cell r="C2712" t="str">
            <v>Invoice</v>
          </cell>
          <cell r="D2712">
            <v>38378</v>
          </cell>
          <cell r="F2712" t="str">
            <v>5137</v>
          </cell>
          <cell r="G2712" t="str">
            <v>Shay Bustenay</v>
          </cell>
          <cell r="H2712">
            <v>1</v>
          </cell>
        </row>
        <row r="2713">
          <cell r="B2713" t="str">
            <v>SWC1040-0133</v>
          </cell>
          <cell r="C2713" t="str">
            <v>Invoice</v>
          </cell>
          <cell r="D2713">
            <v>38470</v>
          </cell>
          <cell r="F2713" t="str">
            <v>6006</v>
          </cell>
          <cell r="G2713" t="str">
            <v>Techno Satellite</v>
          </cell>
          <cell r="H2713">
            <v>1</v>
          </cell>
        </row>
        <row r="2714">
          <cell r="B2714" t="str">
            <v>SWC1040-0153</v>
          </cell>
          <cell r="C2714" t="str">
            <v>Invoice</v>
          </cell>
          <cell r="D2714">
            <v>38495</v>
          </cell>
          <cell r="F2714" t="str">
            <v>6118</v>
          </cell>
          <cell r="G2714" t="str">
            <v>Videotronic Benelux BV</v>
          </cell>
          <cell r="H2714">
            <v>1</v>
          </cell>
        </row>
        <row r="2715">
          <cell r="B2715" t="str">
            <v>SWC1040-0153</v>
          </cell>
          <cell r="C2715" t="str">
            <v>Invoice</v>
          </cell>
          <cell r="D2715">
            <v>38513</v>
          </cell>
          <cell r="F2715" t="str">
            <v>6224</v>
          </cell>
          <cell r="G2715" t="str">
            <v>Universal Studios Orlando:Universal Studios Merchandise</v>
          </cell>
          <cell r="H2715">
            <v>1</v>
          </cell>
        </row>
        <row r="2716">
          <cell r="B2716" t="str">
            <v>SWC1040-0153</v>
          </cell>
          <cell r="C2716" t="str">
            <v>Invoice</v>
          </cell>
          <cell r="D2716">
            <v>38516</v>
          </cell>
          <cell r="F2716" t="str">
            <v>6332</v>
          </cell>
          <cell r="G2716" t="str">
            <v>Videotronic Benelux BV</v>
          </cell>
          <cell r="H2716">
            <v>1</v>
          </cell>
        </row>
        <row r="2717">
          <cell r="B2717" t="str">
            <v>SWC1040-0153</v>
          </cell>
          <cell r="C2717" t="str">
            <v>Invoice</v>
          </cell>
          <cell r="D2717">
            <v>38520</v>
          </cell>
          <cell r="F2717" t="str">
            <v>5571-I</v>
          </cell>
          <cell r="G2717" t="str">
            <v>Muzak, LLC:Gate City Chop House</v>
          </cell>
          <cell r="H2717">
            <v>1</v>
          </cell>
        </row>
        <row r="2718">
          <cell r="B2718" t="str">
            <v>SWC1040-0153</v>
          </cell>
          <cell r="C2718" t="str">
            <v>Invoice</v>
          </cell>
          <cell r="D2718">
            <v>38533</v>
          </cell>
          <cell r="F2718" t="str">
            <v>5555-I</v>
          </cell>
          <cell r="G2718" t="str">
            <v>Universal Studios Orlando:Universal Studios Merchandise</v>
          </cell>
          <cell r="H2718">
            <v>1</v>
          </cell>
        </row>
        <row r="2719">
          <cell r="B2719" t="str">
            <v>SWC1040-0153</v>
          </cell>
          <cell r="C2719" t="str">
            <v>Invoice</v>
          </cell>
          <cell r="D2719">
            <v>38542</v>
          </cell>
          <cell r="F2719" t="str">
            <v>6258</v>
          </cell>
          <cell r="G2719" t="str">
            <v>Muzak, LLC:USA Baby</v>
          </cell>
          <cell r="H2719">
            <v>1</v>
          </cell>
        </row>
        <row r="2720">
          <cell r="B2720" t="str">
            <v>SWC1040-0153</v>
          </cell>
          <cell r="C2720" t="str">
            <v>Invoice</v>
          </cell>
          <cell r="D2720">
            <v>38558</v>
          </cell>
          <cell r="F2720" t="str">
            <v>7182</v>
          </cell>
          <cell r="G2720" t="str">
            <v>Muzak, LLC:The Plantations at Haywood</v>
          </cell>
          <cell r="H2720">
            <v>1</v>
          </cell>
        </row>
        <row r="2721">
          <cell r="B2721" t="str">
            <v>SWC1040-0153</v>
          </cell>
          <cell r="C2721" t="str">
            <v>Invoice</v>
          </cell>
          <cell r="D2721">
            <v>38562</v>
          </cell>
          <cell r="F2721" t="str">
            <v>6386</v>
          </cell>
          <cell r="G2721" t="str">
            <v>Universal Studios Orlando:Universal Studios Merchandise</v>
          </cell>
          <cell r="H2721">
            <v>1</v>
          </cell>
        </row>
        <row r="2722">
          <cell r="B2722" t="str">
            <v>SWC1040-0153</v>
          </cell>
          <cell r="C2722" t="str">
            <v>Invoice</v>
          </cell>
          <cell r="D2722">
            <v>38568</v>
          </cell>
          <cell r="F2722" t="str">
            <v>7304</v>
          </cell>
          <cell r="G2722" t="str">
            <v>Muzak, LLC:Muzak (Demo)</v>
          </cell>
          <cell r="H2722">
            <v>1</v>
          </cell>
        </row>
        <row r="2723">
          <cell r="B2723" t="str">
            <v>SWC1040-0153</v>
          </cell>
          <cell r="C2723" t="str">
            <v>Invoice</v>
          </cell>
          <cell r="D2723">
            <v>38569</v>
          </cell>
          <cell r="F2723" t="str">
            <v>6377</v>
          </cell>
          <cell r="G2723" t="str">
            <v>Muzak, LLC:USA Baby</v>
          </cell>
          <cell r="H2723">
            <v>1</v>
          </cell>
        </row>
        <row r="2724">
          <cell r="B2724" t="str">
            <v>SWC1040-0153</v>
          </cell>
          <cell r="C2724" t="str">
            <v>Invoice</v>
          </cell>
          <cell r="D2724">
            <v>38574</v>
          </cell>
          <cell r="F2724" t="str">
            <v>7390</v>
          </cell>
          <cell r="G2724" t="str">
            <v>Muzak, LLC:Muzak (Demo)</v>
          </cell>
          <cell r="H2724">
            <v>1</v>
          </cell>
        </row>
        <row r="2725">
          <cell r="B2725" t="str">
            <v>SWC1040-0153</v>
          </cell>
          <cell r="C2725" t="str">
            <v>Invoice</v>
          </cell>
          <cell r="D2725">
            <v>38574</v>
          </cell>
          <cell r="F2725" t="str">
            <v>7312</v>
          </cell>
          <cell r="G2725" t="str">
            <v>Muzak, LLC:Muzak (Demo)</v>
          </cell>
          <cell r="H2725">
            <v>1</v>
          </cell>
        </row>
        <row r="2726">
          <cell r="B2726" t="str">
            <v>SWC1040-0153</v>
          </cell>
          <cell r="C2726" t="str">
            <v>Invoice</v>
          </cell>
          <cell r="D2726">
            <v>38575</v>
          </cell>
          <cell r="F2726" t="str">
            <v>7439</v>
          </cell>
          <cell r="G2726" t="str">
            <v>Muzak, LLC:Muzak (Demo)</v>
          </cell>
          <cell r="H2726">
            <v>1</v>
          </cell>
        </row>
        <row r="2727">
          <cell r="B2727" t="str">
            <v>SWC1040-0153</v>
          </cell>
          <cell r="C2727" t="str">
            <v>Invoice</v>
          </cell>
          <cell r="D2727">
            <v>38575</v>
          </cell>
          <cell r="F2727" t="str">
            <v>7441</v>
          </cell>
          <cell r="G2727" t="str">
            <v>Muzak, LLC:Muzak (Demo)</v>
          </cell>
          <cell r="H2727">
            <v>1</v>
          </cell>
        </row>
        <row r="2728">
          <cell r="B2728" t="str">
            <v>SWC1040-0153</v>
          </cell>
          <cell r="C2728" t="str">
            <v>Invoice</v>
          </cell>
          <cell r="D2728">
            <v>38575</v>
          </cell>
          <cell r="F2728" t="str">
            <v>7442</v>
          </cell>
          <cell r="G2728" t="str">
            <v>Muzak, LLC:Muzak (Demo)</v>
          </cell>
          <cell r="H2728">
            <v>1</v>
          </cell>
        </row>
        <row r="2729">
          <cell r="B2729" t="str">
            <v>SWC1040-0153</v>
          </cell>
          <cell r="C2729" t="str">
            <v>Invoice</v>
          </cell>
          <cell r="D2729">
            <v>38575</v>
          </cell>
          <cell r="F2729" t="str">
            <v>7395</v>
          </cell>
          <cell r="G2729" t="str">
            <v>Muzak, LLC:Exceptional Urgent Care</v>
          </cell>
          <cell r="H2729">
            <v>1</v>
          </cell>
        </row>
        <row r="2730">
          <cell r="B2730" t="str">
            <v>SWC1040-0153</v>
          </cell>
          <cell r="C2730" t="str">
            <v>Invoice</v>
          </cell>
          <cell r="D2730">
            <v>38576</v>
          </cell>
          <cell r="F2730" t="str">
            <v>7477</v>
          </cell>
          <cell r="G2730" t="str">
            <v>Muzak, LLC:Muzak (Demo)</v>
          </cell>
          <cell r="H2730">
            <v>1</v>
          </cell>
        </row>
        <row r="2731">
          <cell r="B2731" t="str">
            <v>SWC1040-0153</v>
          </cell>
          <cell r="C2731" t="str">
            <v>Invoice</v>
          </cell>
          <cell r="D2731">
            <v>38576</v>
          </cell>
          <cell r="F2731" t="str">
            <v>7447</v>
          </cell>
          <cell r="G2731" t="str">
            <v>Muzak, LLC:Muzak (Demo)</v>
          </cell>
          <cell r="H2731">
            <v>1</v>
          </cell>
        </row>
        <row r="2732">
          <cell r="B2732" t="str">
            <v>SWC1040-0153</v>
          </cell>
          <cell r="C2732" t="str">
            <v>Invoice</v>
          </cell>
          <cell r="D2732">
            <v>38576</v>
          </cell>
          <cell r="F2732" t="str">
            <v>7476</v>
          </cell>
          <cell r="G2732" t="str">
            <v>Muzak, LLC:Muzak (Demo)</v>
          </cell>
          <cell r="H2732">
            <v>1</v>
          </cell>
        </row>
        <row r="2733">
          <cell r="B2733" t="str">
            <v>SWC1040-0153</v>
          </cell>
          <cell r="C2733" t="str">
            <v>Invoice</v>
          </cell>
          <cell r="D2733">
            <v>38576</v>
          </cell>
          <cell r="F2733" t="str">
            <v>7479</v>
          </cell>
          <cell r="G2733" t="str">
            <v>Muzak, LLC:Muzak (Demo)</v>
          </cell>
          <cell r="H2733">
            <v>1</v>
          </cell>
        </row>
        <row r="2734">
          <cell r="B2734" t="str">
            <v>SWC1040-0153</v>
          </cell>
          <cell r="C2734" t="str">
            <v>Invoice</v>
          </cell>
          <cell r="D2734">
            <v>38576</v>
          </cell>
          <cell r="F2734" t="str">
            <v>7481</v>
          </cell>
          <cell r="G2734" t="str">
            <v>Muzak, LLC:Muzak (Demo)</v>
          </cell>
          <cell r="H2734">
            <v>1</v>
          </cell>
        </row>
        <row r="2735">
          <cell r="B2735" t="str">
            <v>SWC1040-0153</v>
          </cell>
          <cell r="C2735" t="str">
            <v>Invoice</v>
          </cell>
          <cell r="D2735">
            <v>38576</v>
          </cell>
          <cell r="F2735" t="str">
            <v>7475</v>
          </cell>
          <cell r="G2735" t="str">
            <v>Muzak, LLC:Muzak (Demo)</v>
          </cell>
          <cell r="H2735">
            <v>1</v>
          </cell>
        </row>
        <row r="2736">
          <cell r="B2736" t="str">
            <v>SWC1040-0153</v>
          </cell>
          <cell r="C2736" t="str">
            <v>Invoice</v>
          </cell>
          <cell r="D2736">
            <v>38580</v>
          </cell>
          <cell r="F2736" t="str">
            <v>7492</v>
          </cell>
          <cell r="G2736" t="str">
            <v>Muzak, LLC:Muzak (Demo)</v>
          </cell>
          <cell r="H2736">
            <v>1</v>
          </cell>
        </row>
        <row r="2737">
          <cell r="B2737" t="str">
            <v>SWC1040-0153</v>
          </cell>
          <cell r="C2737" t="str">
            <v>Invoice</v>
          </cell>
          <cell r="D2737">
            <v>38580</v>
          </cell>
          <cell r="F2737" t="str">
            <v>7491</v>
          </cell>
          <cell r="G2737" t="str">
            <v>Muzak, LLC:Muzak (Demo)</v>
          </cell>
          <cell r="H2737">
            <v>1</v>
          </cell>
        </row>
        <row r="2738">
          <cell r="B2738" t="str">
            <v>SWC1040-0153</v>
          </cell>
          <cell r="C2738" t="str">
            <v>Invoice</v>
          </cell>
          <cell r="D2738">
            <v>38581</v>
          </cell>
          <cell r="F2738" t="str">
            <v>7506</v>
          </cell>
          <cell r="G2738" t="str">
            <v>Muzak, LLC:Radisson - Atlanta</v>
          </cell>
          <cell r="H2738">
            <v>1</v>
          </cell>
        </row>
        <row r="2739">
          <cell r="B2739" t="str">
            <v>SWC1040-0153</v>
          </cell>
          <cell r="C2739" t="str">
            <v>Invoice</v>
          </cell>
          <cell r="D2739">
            <v>38583</v>
          </cell>
          <cell r="F2739" t="str">
            <v>7639</v>
          </cell>
          <cell r="G2739" t="str">
            <v>Muzak, LLC:Muzak (Demo)</v>
          </cell>
          <cell r="H2739">
            <v>1</v>
          </cell>
        </row>
        <row r="2740">
          <cell r="B2740" t="str">
            <v>SWC1040-0153</v>
          </cell>
          <cell r="C2740" t="str">
            <v>Invoice</v>
          </cell>
          <cell r="D2740">
            <v>38588</v>
          </cell>
          <cell r="F2740" t="str">
            <v>7186</v>
          </cell>
          <cell r="G2740" t="str">
            <v>Muzak, LLC:The Plantations at Haywood</v>
          </cell>
          <cell r="H2740">
            <v>1</v>
          </cell>
        </row>
        <row r="2741">
          <cell r="B2741" t="str">
            <v>SWC1040-0153</v>
          </cell>
          <cell r="C2741" t="str">
            <v>Invoice</v>
          </cell>
          <cell r="D2741">
            <v>38595</v>
          </cell>
          <cell r="F2741" t="str">
            <v>7151</v>
          </cell>
          <cell r="G2741" t="str">
            <v>Universal Studios Orlando:Universal Studios Merchandise</v>
          </cell>
          <cell r="H2741">
            <v>1</v>
          </cell>
        </row>
        <row r="2742">
          <cell r="B2742" t="str">
            <v>SWC1040-0153</v>
          </cell>
          <cell r="C2742" t="str">
            <v>Invoice</v>
          </cell>
          <cell r="D2742">
            <v>38595</v>
          </cell>
          <cell r="F2742" t="str">
            <v>7739</v>
          </cell>
          <cell r="G2742" t="str">
            <v>Muzak, LLC:Renaissance Asheville Hotel</v>
          </cell>
          <cell r="H2742">
            <v>1</v>
          </cell>
        </row>
        <row r="2743">
          <cell r="B2743" t="str">
            <v>SWC1040-0153</v>
          </cell>
          <cell r="C2743" t="str">
            <v>Invoice</v>
          </cell>
          <cell r="D2743">
            <v>38595</v>
          </cell>
          <cell r="F2743" t="str">
            <v>7733</v>
          </cell>
          <cell r="G2743" t="str">
            <v>Muzak, IA:Independence Communications, PA</v>
          </cell>
          <cell r="H2743">
            <v>1</v>
          </cell>
        </row>
        <row r="2744">
          <cell r="B2744" t="str">
            <v>SWC1040-0153</v>
          </cell>
          <cell r="C2744" t="str">
            <v>Invoice</v>
          </cell>
          <cell r="D2744">
            <v>38597</v>
          </cell>
          <cell r="F2744" t="str">
            <v>6399</v>
          </cell>
          <cell r="G2744" t="str">
            <v>Muzak, LLC:Gate City Chop House</v>
          </cell>
          <cell r="H2744">
            <v>1</v>
          </cell>
        </row>
        <row r="2745">
          <cell r="B2745" t="str">
            <v>SWC1040-0153</v>
          </cell>
          <cell r="C2745" t="str">
            <v>Invoice</v>
          </cell>
          <cell r="D2745">
            <v>38597</v>
          </cell>
          <cell r="F2745" t="str">
            <v>7819</v>
          </cell>
          <cell r="G2745" t="str">
            <v>ScentAir - Corporate Associates:Pamela Knock</v>
          </cell>
          <cell r="H2745">
            <v>1</v>
          </cell>
        </row>
        <row r="2746">
          <cell r="B2746" t="str">
            <v>SWC1040-0153</v>
          </cell>
          <cell r="C2746" t="str">
            <v>Invoice</v>
          </cell>
          <cell r="D2746">
            <v>38602</v>
          </cell>
          <cell r="F2746" t="str">
            <v>7842</v>
          </cell>
          <cell r="G2746" t="str">
            <v>Muzak, LLC:Serenata Beach Club</v>
          </cell>
          <cell r="H2746">
            <v>1</v>
          </cell>
        </row>
        <row r="2747">
          <cell r="B2747" t="str">
            <v>SWC1040-0153</v>
          </cell>
          <cell r="C2747" t="str">
            <v>Invoice</v>
          </cell>
          <cell r="D2747">
            <v>38603</v>
          </cell>
          <cell r="F2747" t="str">
            <v>7825</v>
          </cell>
          <cell r="G2747" t="str">
            <v>Videotronic Benelux BV</v>
          </cell>
          <cell r="H2747">
            <v>1</v>
          </cell>
        </row>
        <row r="2748">
          <cell r="B2748" t="str">
            <v>SWC1040-0153</v>
          </cell>
          <cell r="C2748" t="str">
            <v>Invoice</v>
          </cell>
          <cell r="D2748">
            <v>38604</v>
          </cell>
          <cell r="F2748" t="str">
            <v>7883</v>
          </cell>
          <cell r="G2748" t="str">
            <v>Muzak, LLC:Gainesville Eye Physicians</v>
          </cell>
          <cell r="H2748">
            <v>1</v>
          </cell>
        </row>
        <row r="2749">
          <cell r="B2749" t="str">
            <v>SWC1040-0153</v>
          </cell>
          <cell r="C2749" t="str">
            <v>Invoice</v>
          </cell>
          <cell r="D2749">
            <v>38617</v>
          </cell>
          <cell r="F2749" t="str">
            <v>8006</v>
          </cell>
          <cell r="G2749" t="str">
            <v>Muzak, IA:Metro Communications</v>
          </cell>
          <cell r="H2749">
            <v>1</v>
          </cell>
        </row>
        <row r="2750">
          <cell r="B2750" t="str">
            <v>SWC1040-0153</v>
          </cell>
          <cell r="C2750" t="str">
            <v>Invoice</v>
          </cell>
          <cell r="D2750">
            <v>38617</v>
          </cell>
          <cell r="F2750" t="str">
            <v>8013</v>
          </cell>
          <cell r="G2750" t="str">
            <v>Muzak, IA:Ohio Musicue</v>
          </cell>
          <cell r="H2750">
            <v>1</v>
          </cell>
        </row>
        <row r="2751">
          <cell r="B2751" t="str">
            <v>SWC1040-0153</v>
          </cell>
          <cell r="C2751" t="str">
            <v>Invoice</v>
          </cell>
          <cell r="D2751">
            <v>38617</v>
          </cell>
          <cell r="F2751" t="str">
            <v>8057</v>
          </cell>
          <cell r="G2751" t="str">
            <v>Muzak, IA:Miami Valley Audio</v>
          </cell>
          <cell r="H2751">
            <v>1</v>
          </cell>
        </row>
        <row r="2752">
          <cell r="B2752" t="str">
            <v>SWC1040-0153</v>
          </cell>
          <cell r="C2752" t="str">
            <v>Invoice</v>
          </cell>
          <cell r="D2752">
            <v>38617</v>
          </cell>
          <cell r="F2752" t="str">
            <v>8007</v>
          </cell>
          <cell r="G2752" t="str">
            <v>Muzak, IA:Warner Communications</v>
          </cell>
          <cell r="H2752">
            <v>1</v>
          </cell>
        </row>
        <row r="2753">
          <cell r="B2753" t="str">
            <v>SWC1040-0153</v>
          </cell>
          <cell r="C2753" t="str">
            <v>Invoice</v>
          </cell>
          <cell r="D2753">
            <v>38618</v>
          </cell>
          <cell r="F2753" t="str">
            <v>8059</v>
          </cell>
          <cell r="G2753" t="str">
            <v>Muzak, LLC:Cabana Club</v>
          </cell>
          <cell r="H2753">
            <v>1</v>
          </cell>
        </row>
        <row r="2754">
          <cell r="B2754" t="str">
            <v>SWC1040-0153</v>
          </cell>
          <cell r="C2754" t="str">
            <v>Invoice</v>
          </cell>
          <cell r="D2754">
            <v>38618</v>
          </cell>
          <cell r="F2754" t="str">
            <v>7449</v>
          </cell>
          <cell r="G2754" t="str">
            <v>Muzak, LLC:Exceptional Urgent Care</v>
          </cell>
          <cell r="H2754">
            <v>1</v>
          </cell>
        </row>
        <row r="2755">
          <cell r="B2755" t="str">
            <v>SWC1040-0153</v>
          </cell>
          <cell r="C2755" t="str">
            <v>Invoice</v>
          </cell>
          <cell r="D2755">
            <v>38618</v>
          </cell>
          <cell r="F2755" t="str">
            <v>7435</v>
          </cell>
          <cell r="G2755" t="str">
            <v>Muzak, LLC:The Plantations at Haywood</v>
          </cell>
          <cell r="H2755">
            <v>1</v>
          </cell>
        </row>
        <row r="2756">
          <cell r="B2756" t="str">
            <v>SWC1040-0153</v>
          </cell>
          <cell r="C2756" t="str">
            <v>Invoice</v>
          </cell>
          <cell r="D2756">
            <v>38618</v>
          </cell>
          <cell r="F2756" t="str">
            <v>8089</v>
          </cell>
          <cell r="G2756" t="str">
            <v>ORB Management</v>
          </cell>
          <cell r="H2756">
            <v>1</v>
          </cell>
        </row>
        <row r="2757">
          <cell r="B2757" t="str">
            <v>SWC1040-0153</v>
          </cell>
          <cell r="C2757" t="str">
            <v>Invoice</v>
          </cell>
          <cell r="D2757">
            <v>38622</v>
          </cell>
          <cell r="F2757" t="str">
            <v>8113</v>
          </cell>
          <cell r="G2757" t="str">
            <v>Muzak, IA:Soundcom LLC of Florida - Palm Beach</v>
          </cell>
          <cell r="H2757">
            <v>1</v>
          </cell>
        </row>
        <row r="2758">
          <cell r="B2758" t="str">
            <v>SWC1040-0153</v>
          </cell>
          <cell r="C2758" t="str">
            <v>Invoice</v>
          </cell>
          <cell r="D2758">
            <v>38622</v>
          </cell>
          <cell r="F2758" t="str">
            <v>8092</v>
          </cell>
          <cell r="G2758" t="str">
            <v>Muzak, IA:Metro Communications</v>
          </cell>
          <cell r="H2758">
            <v>1</v>
          </cell>
        </row>
        <row r="2759">
          <cell r="B2759" t="str">
            <v>SWC1040-0153</v>
          </cell>
          <cell r="C2759" t="str">
            <v>Invoice</v>
          </cell>
          <cell r="D2759">
            <v>38622</v>
          </cell>
          <cell r="F2759" t="str">
            <v>8112</v>
          </cell>
          <cell r="G2759" t="str">
            <v>Muzak, LLC:Koja Sushi Inc</v>
          </cell>
          <cell r="H2759">
            <v>1</v>
          </cell>
        </row>
        <row r="2760">
          <cell r="B2760" t="str">
            <v>SWC1040-0153</v>
          </cell>
          <cell r="C2760" t="str">
            <v>Invoice</v>
          </cell>
          <cell r="D2760">
            <v>38624</v>
          </cell>
          <cell r="F2760" t="str">
            <v>8186</v>
          </cell>
          <cell r="G2760" t="str">
            <v>Muzak, LLC:Muzak (Demo)</v>
          </cell>
          <cell r="H2760">
            <v>1</v>
          </cell>
        </row>
        <row r="2761">
          <cell r="B2761" t="str">
            <v>SWC1040-0153</v>
          </cell>
          <cell r="C2761" t="str">
            <v>Invoice</v>
          </cell>
          <cell r="D2761">
            <v>38626</v>
          </cell>
          <cell r="F2761" t="str">
            <v>7503</v>
          </cell>
          <cell r="G2761" t="str">
            <v>Universal Studios Orlando:Universal Studios Merchandise</v>
          </cell>
          <cell r="H2761">
            <v>1</v>
          </cell>
        </row>
        <row r="2762">
          <cell r="B2762" t="str">
            <v>SWC1040-0153</v>
          </cell>
          <cell r="C2762" t="str">
            <v>Invoice</v>
          </cell>
          <cell r="D2762">
            <v>38626</v>
          </cell>
          <cell r="F2762" t="str">
            <v>7499</v>
          </cell>
          <cell r="G2762" t="str">
            <v>Muzak, LLC:Gate City Chop House</v>
          </cell>
          <cell r="H2762">
            <v>1</v>
          </cell>
        </row>
        <row r="2763">
          <cell r="B2763" t="str">
            <v>SWC1040-0153</v>
          </cell>
          <cell r="C2763" t="str">
            <v>Invoice</v>
          </cell>
          <cell r="D2763">
            <v>38626</v>
          </cell>
          <cell r="F2763" t="str">
            <v>7489</v>
          </cell>
          <cell r="G2763" t="str">
            <v>Hard Rock Hotel</v>
          </cell>
          <cell r="H2763">
            <v>1</v>
          </cell>
        </row>
        <row r="2764">
          <cell r="B2764" t="str">
            <v>SWC1040-0153</v>
          </cell>
          <cell r="C2764" t="str">
            <v>Invoice</v>
          </cell>
          <cell r="D2764">
            <v>38628</v>
          </cell>
          <cell r="F2764" t="str">
            <v>8216</v>
          </cell>
          <cell r="G2764" t="str">
            <v>Muzak, LLC:Omni Jacksonville Hotel</v>
          </cell>
          <cell r="H2764">
            <v>1</v>
          </cell>
        </row>
        <row r="2765">
          <cell r="B2765" t="str">
            <v>SWC1040-0153</v>
          </cell>
          <cell r="C2765" t="str">
            <v>Invoice</v>
          </cell>
          <cell r="D2765">
            <v>38628</v>
          </cell>
          <cell r="F2765" t="str">
            <v>8176</v>
          </cell>
          <cell r="G2765" t="str">
            <v>Muzak, LLC:Radisson - Atlanta</v>
          </cell>
          <cell r="H2765">
            <v>1</v>
          </cell>
        </row>
        <row r="2766">
          <cell r="B2766" t="str">
            <v>SWC1040-0153</v>
          </cell>
          <cell r="C2766" t="str">
            <v>Invoice</v>
          </cell>
          <cell r="D2766">
            <v>38628</v>
          </cell>
          <cell r="F2766" t="str">
            <v>8192</v>
          </cell>
          <cell r="G2766" t="str">
            <v>Car's The Star</v>
          </cell>
          <cell r="H2766">
            <v>1</v>
          </cell>
        </row>
        <row r="2767">
          <cell r="B2767" t="str">
            <v>SWC1040-0153</v>
          </cell>
          <cell r="C2767" t="str">
            <v>Invoice</v>
          </cell>
          <cell r="D2767">
            <v>38630</v>
          </cell>
          <cell r="F2767" t="str">
            <v>8318</v>
          </cell>
          <cell r="G2767" t="str">
            <v>Muzak, IA:Texas Wired</v>
          </cell>
          <cell r="H2767">
            <v>1</v>
          </cell>
        </row>
        <row r="2768">
          <cell r="B2768" t="str">
            <v>SWC1040-0219</v>
          </cell>
          <cell r="C2768" t="str">
            <v>Invoice</v>
          </cell>
          <cell r="D2768">
            <v>38470</v>
          </cell>
          <cell r="F2768" t="str">
            <v>6006</v>
          </cell>
          <cell r="G2768" t="str">
            <v>Techno Satellite</v>
          </cell>
          <cell r="H2768">
            <v>1</v>
          </cell>
        </row>
        <row r="2769">
          <cell r="B2769" t="str">
            <v>SWC1040-0231</v>
          </cell>
          <cell r="C2769" t="str">
            <v>Invoice</v>
          </cell>
          <cell r="D2769">
            <v>38490</v>
          </cell>
          <cell r="F2769" t="str">
            <v>6088</v>
          </cell>
          <cell r="G2769" t="str">
            <v>Disney Worldwide:Disney Event Group</v>
          </cell>
          <cell r="H2769">
            <v>1</v>
          </cell>
        </row>
        <row r="2770">
          <cell r="B2770" t="str">
            <v>SWC1040-0317</v>
          </cell>
          <cell r="C2770" t="str">
            <v>Invoice</v>
          </cell>
          <cell r="D2770">
            <v>38470</v>
          </cell>
          <cell r="F2770" t="str">
            <v>6006</v>
          </cell>
          <cell r="G2770" t="str">
            <v>Techno Satellite</v>
          </cell>
          <cell r="H2770">
            <v>1</v>
          </cell>
        </row>
        <row r="2771">
          <cell r="B2771" t="str">
            <v>SWC1040-0317</v>
          </cell>
          <cell r="C2771" t="str">
            <v>Invoice</v>
          </cell>
          <cell r="D2771">
            <v>38615</v>
          </cell>
          <cell r="F2771" t="str">
            <v>7976</v>
          </cell>
          <cell r="G2771" t="str">
            <v>Promotool</v>
          </cell>
          <cell r="H2771">
            <v>1</v>
          </cell>
        </row>
        <row r="2772">
          <cell r="B2772" t="str">
            <v>SWC1040-0402</v>
          </cell>
          <cell r="C2772" t="str">
            <v>Invoice</v>
          </cell>
          <cell r="D2772">
            <v>38553</v>
          </cell>
          <cell r="F2772" t="str">
            <v>7175</v>
          </cell>
          <cell r="G2772" t="str">
            <v>Harley Davidson of Cool Springs</v>
          </cell>
          <cell r="H2772">
            <v>1</v>
          </cell>
        </row>
        <row r="2773">
          <cell r="B2773" t="str">
            <v>SWC1040-0402</v>
          </cell>
          <cell r="C2773" t="str">
            <v>Invoice</v>
          </cell>
          <cell r="D2773">
            <v>38572</v>
          </cell>
          <cell r="F2773" t="str">
            <v>7299</v>
          </cell>
          <cell r="G2773" t="str">
            <v>Wickes Furniture - Murrieta</v>
          </cell>
          <cell r="H2773">
            <v>1</v>
          </cell>
        </row>
        <row r="2774">
          <cell r="B2774" t="str">
            <v>SWC1040-0402</v>
          </cell>
          <cell r="C2774" t="str">
            <v>Invoice</v>
          </cell>
          <cell r="D2774">
            <v>38579</v>
          </cell>
          <cell r="F2774" t="str">
            <v>7180</v>
          </cell>
          <cell r="G2774" t="str">
            <v>Harley Davidson of Cool Springs</v>
          </cell>
          <cell r="H2774">
            <v>1</v>
          </cell>
        </row>
        <row r="2775">
          <cell r="B2775" t="str">
            <v>SWC1040-0402</v>
          </cell>
          <cell r="C2775" t="str">
            <v>Invoice</v>
          </cell>
          <cell r="D2775">
            <v>38581</v>
          </cell>
          <cell r="F2775" t="str">
            <v>7507</v>
          </cell>
          <cell r="G2775" t="str">
            <v>Car's The Star</v>
          </cell>
          <cell r="H2775">
            <v>1</v>
          </cell>
        </row>
        <row r="2776">
          <cell r="B2776" t="str">
            <v>SWC1040-0402</v>
          </cell>
          <cell r="C2776" t="str">
            <v>Invoice</v>
          </cell>
          <cell r="D2776">
            <v>38596</v>
          </cell>
          <cell r="F2776" t="str">
            <v>7745</v>
          </cell>
          <cell r="G2776" t="str">
            <v>Muzak, LLC:Muzak (Demo)</v>
          </cell>
          <cell r="H2776">
            <v>1</v>
          </cell>
        </row>
        <row r="2777">
          <cell r="B2777" t="str">
            <v>SWC1040-0402</v>
          </cell>
          <cell r="C2777" t="str">
            <v>Invoice</v>
          </cell>
          <cell r="D2777">
            <v>38610</v>
          </cell>
          <cell r="F2777" t="str">
            <v>7248</v>
          </cell>
          <cell r="G2777" t="str">
            <v>Harley Davidson of Cool Springs</v>
          </cell>
          <cell r="H2777">
            <v>1</v>
          </cell>
        </row>
        <row r="2778">
          <cell r="B2778" t="str">
            <v>SWC1040-0429</v>
          </cell>
          <cell r="C2778" t="str">
            <v>Invoice</v>
          </cell>
          <cell r="D2778">
            <v>38587</v>
          </cell>
          <cell r="F2778" t="str">
            <v>7644</v>
          </cell>
          <cell r="G2778" t="str">
            <v>Muzak, LLC:McDonald's - Garner</v>
          </cell>
          <cell r="H2778">
            <v>1</v>
          </cell>
        </row>
        <row r="2779">
          <cell r="B2779" t="str">
            <v>SWC1040-0429</v>
          </cell>
          <cell r="C2779" t="str">
            <v>Invoice</v>
          </cell>
          <cell r="D2779">
            <v>38629</v>
          </cell>
          <cell r="F2779" t="str">
            <v>8317</v>
          </cell>
          <cell r="G2779" t="str">
            <v>Promotool</v>
          </cell>
          <cell r="H2779">
            <v>1</v>
          </cell>
        </row>
        <row r="2780">
          <cell r="B2780" t="str">
            <v>SWC1040-0479</v>
          </cell>
          <cell r="C2780" t="str">
            <v>Invoice</v>
          </cell>
          <cell r="D2780">
            <v>38470</v>
          </cell>
          <cell r="F2780" t="str">
            <v>6006</v>
          </cell>
          <cell r="G2780" t="str">
            <v>Techno Satellite</v>
          </cell>
          <cell r="H2780">
            <v>1</v>
          </cell>
        </row>
        <row r="2781">
          <cell r="B2781" t="str">
            <v>SWC1040-0479</v>
          </cell>
          <cell r="C2781" t="str">
            <v>Invoice</v>
          </cell>
          <cell r="D2781">
            <v>38516</v>
          </cell>
          <cell r="F2781" t="str">
            <v>6332</v>
          </cell>
          <cell r="G2781" t="str">
            <v>Videotronic Benelux BV</v>
          </cell>
          <cell r="H2781">
            <v>1</v>
          </cell>
        </row>
        <row r="2782">
          <cell r="B2782" t="str">
            <v>SWC1040-0479</v>
          </cell>
          <cell r="C2782" t="str">
            <v>Invoice</v>
          </cell>
          <cell r="D2782">
            <v>38590</v>
          </cell>
          <cell r="F2782" t="str">
            <v>7708</v>
          </cell>
          <cell r="G2782" t="str">
            <v>Techno Satellite</v>
          </cell>
          <cell r="H2782">
            <v>1</v>
          </cell>
        </row>
        <row r="2783">
          <cell r="B2783" t="str">
            <v>SWC1040-0479</v>
          </cell>
          <cell r="C2783" t="str">
            <v>Invoice</v>
          </cell>
          <cell r="D2783">
            <v>38611</v>
          </cell>
          <cell r="F2783" t="str">
            <v>7968</v>
          </cell>
          <cell r="G2783" t="str">
            <v>Muzak, LLC:Elliott Hardware - Dallas</v>
          </cell>
          <cell r="H2783">
            <v>1</v>
          </cell>
        </row>
        <row r="2784">
          <cell r="B2784" t="str">
            <v>SWC1040-0479</v>
          </cell>
          <cell r="C2784" t="str">
            <v>Invoice</v>
          </cell>
          <cell r="D2784">
            <v>38611</v>
          </cell>
          <cell r="F2784" t="str">
            <v>7969</v>
          </cell>
          <cell r="G2784" t="str">
            <v>Muzak, LLC:Elliott Hardware - Plano</v>
          </cell>
          <cell r="H2784">
            <v>1</v>
          </cell>
        </row>
        <row r="2785">
          <cell r="B2785" t="str">
            <v>SWC1040-0493</v>
          </cell>
          <cell r="C2785" t="str">
            <v>Invoice</v>
          </cell>
          <cell r="D2785">
            <v>38482</v>
          </cell>
          <cell r="F2785" t="str">
            <v>6047</v>
          </cell>
          <cell r="G2785" t="str">
            <v>Gelato Di. Roma International, Inc.:GRI Riverside</v>
          </cell>
          <cell r="H2785">
            <v>1</v>
          </cell>
        </row>
        <row r="2786">
          <cell r="B2786" t="str">
            <v>SWC1040-0493</v>
          </cell>
          <cell r="C2786" t="str">
            <v>Invoice</v>
          </cell>
          <cell r="D2786">
            <v>38499</v>
          </cell>
          <cell r="F2786" t="str">
            <v>6191</v>
          </cell>
          <cell r="G2786" t="str">
            <v>Macy's Florida</v>
          </cell>
          <cell r="H2786">
            <v>1</v>
          </cell>
        </row>
        <row r="2787">
          <cell r="B2787" t="str">
            <v>SWC1040-0493</v>
          </cell>
          <cell r="C2787" t="str">
            <v>Invoice</v>
          </cell>
          <cell r="D2787">
            <v>38509</v>
          </cell>
          <cell r="F2787" t="str">
            <v>6217</v>
          </cell>
          <cell r="G2787" t="str">
            <v>Universal Studios Orlando:Universal Studios Foods</v>
          </cell>
          <cell r="H2787">
            <v>1</v>
          </cell>
        </row>
        <row r="2788">
          <cell r="B2788" t="str">
            <v>SWC1040-0493</v>
          </cell>
          <cell r="C2788" t="str">
            <v>Invoice</v>
          </cell>
          <cell r="D2788">
            <v>38527</v>
          </cell>
          <cell r="F2788" t="str">
            <v>6137</v>
          </cell>
          <cell r="G2788" t="str">
            <v>Muzak, LLC:Dunkin Donuts - Raleigh(Capital Blvd)</v>
          </cell>
          <cell r="H2788">
            <v>1</v>
          </cell>
        </row>
        <row r="2789">
          <cell r="B2789" t="str">
            <v>SWC1040-0493</v>
          </cell>
          <cell r="C2789" t="str">
            <v>Invoice</v>
          </cell>
          <cell r="D2789">
            <v>38533</v>
          </cell>
          <cell r="F2789" t="str">
            <v>5557-I</v>
          </cell>
          <cell r="G2789" t="str">
            <v>Universal Studios Orlando:Universal Studios Foods</v>
          </cell>
          <cell r="H2789">
            <v>1</v>
          </cell>
        </row>
        <row r="2790">
          <cell r="B2790" t="str">
            <v>SWC1040-0493</v>
          </cell>
          <cell r="C2790" t="str">
            <v>Invoice</v>
          </cell>
          <cell r="D2790">
            <v>38538</v>
          </cell>
          <cell r="F2790" t="str">
            <v>7080</v>
          </cell>
          <cell r="G2790" t="str">
            <v>Macy's Florida</v>
          </cell>
          <cell r="H2790">
            <v>1</v>
          </cell>
        </row>
        <row r="2791">
          <cell r="B2791" t="str">
            <v>SWC1040-0493</v>
          </cell>
          <cell r="C2791" t="str">
            <v>Invoice</v>
          </cell>
          <cell r="D2791">
            <v>38539</v>
          </cell>
          <cell r="F2791" t="str">
            <v>7038</v>
          </cell>
          <cell r="G2791" t="str">
            <v>Muzak, LLC:Dunkin Donuts/B. Robbins - Fuquay</v>
          </cell>
          <cell r="H2791">
            <v>1</v>
          </cell>
        </row>
        <row r="2792">
          <cell r="B2792" t="str">
            <v>SWC1040-0493</v>
          </cell>
          <cell r="C2792" t="str">
            <v>Invoice</v>
          </cell>
          <cell r="D2792">
            <v>38562</v>
          </cell>
          <cell r="F2792" t="str">
            <v>6385</v>
          </cell>
          <cell r="G2792" t="str">
            <v>Universal Studios Orlando:Universal Studios Foods</v>
          </cell>
          <cell r="H2792">
            <v>1</v>
          </cell>
        </row>
        <row r="2793">
          <cell r="B2793" t="str">
            <v>SWC1040-0493</v>
          </cell>
          <cell r="C2793" t="str">
            <v>Invoice</v>
          </cell>
          <cell r="D2793">
            <v>38562</v>
          </cell>
          <cell r="F2793" t="str">
            <v>7077</v>
          </cell>
          <cell r="G2793" t="str">
            <v>Macy's Florida</v>
          </cell>
          <cell r="H2793">
            <v>1</v>
          </cell>
        </row>
        <row r="2794">
          <cell r="B2794" t="str">
            <v>SWC1040-0493</v>
          </cell>
          <cell r="C2794" t="str">
            <v>Invoice</v>
          </cell>
          <cell r="D2794">
            <v>38568</v>
          </cell>
          <cell r="F2794" t="str">
            <v>7187</v>
          </cell>
          <cell r="G2794" t="str">
            <v>Muzak, LLC:Dunkin Donuts/B. Robbins - Fuquay</v>
          </cell>
          <cell r="H2794">
            <v>1</v>
          </cell>
        </row>
        <row r="2795">
          <cell r="B2795" t="str">
            <v>SWC1040-0493</v>
          </cell>
          <cell r="C2795" t="str">
            <v>Invoice</v>
          </cell>
          <cell r="D2795">
            <v>38586</v>
          </cell>
          <cell r="F2795" t="str">
            <v>7647</v>
          </cell>
          <cell r="G2795" t="str">
            <v>Muzak, LLC:Freshens - Cambridge</v>
          </cell>
          <cell r="H2795">
            <v>1</v>
          </cell>
        </row>
        <row r="2796">
          <cell r="B2796" t="str">
            <v>SWC1040-0493</v>
          </cell>
          <cell r="C2796" t="str">
            <v>Invoice</v>
          </cell>
          <cell r="D2796">
            <v>38586</v>
          </cell>
          <cell r="F2796" t="str">
            <v>7649</v>
          </cell>
          <cell r="G2796" t="str">
            <v>Muzak, LLC:Freshens - Hyannis</v>
          </cell>
          <cell r="H2796">
            <v>1</v>
          </cell>
        </row>
        <row r="2797">
          <cell r="B2797" t="str">
            <v>SWC1040-0493</v>
          </cell>
          <cell r="C2797" t="str">
            <v>Invoice</v>
          </cell>
          <cell r="D2797">
            <v>38595</v>
          </cell>
          <cell r="F2797" t="str">
            <v>7150</v>
          </cell>
          <cell r="G2797" t="str">
            <v>Universal Studios Orlando:Universal Studios Foods</v>
          </cell>
          <cell r="H2797">
            <v>1</v>
          </cell>
        </row>
        <row r="2798">
          <cell r="B2798" t="str">
            <v>SWC1040-0493</v>
          </cell>
          <cell r="C2798" t="str">
            <v>Invoice</v>
          </cell>
          <cell r="D2798">
            <v>38597</v>
          </cell>
          <cell r="F2798" t="str">
            <v>7088</v>
          </cell>
          <cell r="G2798" t="str">
            <v>Muzak, LLC:Dunkin Donuts/B. Robbins - Fuquay</v>
          </cell>
          <cell r="H2798">
            <v>1</v>
          </cell>
        </row>
        <row r="2799">
          <cell r="B2799" t="str">
            <v>SWC1040-0493</v>
          </cell>
          <cell r="C2799" t="str">
            <v>Invoice</v>
          </cell>
          <cell r="D2799">
            <v>38597</v>
          </cell>
          <cell r="F2799" t="str">
            <v>7820</v>
          </cell>
          <cell r="G2799" t="str">
            <v>ScentAir - Corporate Associates</v>
          </cell>
          <cell r="H2799">
            <v>1</v>
          </cell>
        </row>
        <row r="2800">
          <cell r="B2800" t="str">
            <v>SWC1040-0493</v>
          </cell>
          <cell r="C2800" t="str">
            <v>Invoice</v>
          </cell>
          <cell r="D2800">
            <v>38624</v>
          </cell>
          <cell r="F2800" t="str">
            <v>7650</v>
          </cell>
          <cell r="G2800" t="str">
            <v>Muzak, LLC:Freshens - Cambridge</v>
          </cell>
          <cell r="H2800">
            <v>1</v>
          </cell>
        </row>
        <row r="2801">
          <cell r="B2801" t="str">
            <v>SWC1040-0493</v>
          </cell>
          <cell r="C2801" t="str">
            <v>Invoice</v>
          </cell>
          <cell r="D2801">
            <v>38624</v>
          </cell>
          <cell r="F2801" t="str">
            <v>7653</v>
          </cell>
          <cell r="G2801" t="str">
            <v>Muzak, LLC:Freshens - Hyannis</v>
          </cell>
          <cell r="H2801">
            <v>1</v>
          </cell>
        </row>
        <row r="2802">
          <cell r="B2802" t="str">
            <v>SWC1040-0493</v>
          </cell>
          <cell r="C2802" t="str">
            <v>Invoice</v>
          </cell>
          <cell r="D2802">
            <v>38626</v>
          </cell>
          <cell r="F2802" t="str">
            <v>7502</v>
          </cell>
          <cell r="G2802" t="str">
            <v>Universal Studios Orlando:Universal Studios Foods</v>
          </cell>
          <cell r="H2802">
            <v>1</v>
          </cell>
        </row>
        <row r="2803">
          <cell r="B2803" t="str">
            <v>SWC1040-0496</v>
          </cell>
          <cell r="C2803" t="str">
            <v>Invoice</v>
          </cell>
          <cell r="D2803">
            <v>38461</v>
          </cell>
          <cell r="F2803" t="str">
            <v>5697</v>
          </cell>
          <cell r="G2803" t="str">
            <v>Disney Worldwide:Goofy's Candy Company</v>
          </cell>
          <cell r="H2803">
            <v>1</v>
          </cell>
        </row>
        <row r="2804">
          <cell r="B2804" t="str">
            <v>SWC1040-0496</v>
          </cell>
          <cell r="C2804" t="str">
            <v>Invoice</v>
          </cell>
          <cell r="D2804">
            <v>38491</v>
          </cell>
          <cell r="F2804" t="str">
            <v>6090</v>
          </cell>
          <cell r="G2804" t="str">
            <v>Busch Gardens - Tampa</v>
          </cell>
          <cell r="H2804">
            <v>1</v>
          </cell>
        </row>
        <row r="2805">
          <cell r="B2805" t="str">
            <v>SWC1040-0496</v>
          </cell>
          <cell r="C2805" t="str">
            <v>Invoice</v>
          </cell>
          <cell r="D2805">
            <v>38516</v>
          </cell>
          <cell r="F2805" t="str">
            <v>6315</v>
          </cell>
          <cell r="G2805" t="str">
            <v>Disney Worldwide:Goofy's Candy Company</v>
          </cell>
          <cell r="H2805">
            <v>1</v>
          </cell>
        </row>
        <row r="2806">
          <cell r="B2806" t="str">
            <v>SWC1040-0496</v>
          </cell>
          <cell r="C2806" t="str">
            <v>Invoice</v>
          </cell>
          <cell r="D2806">
            <v>38533</v>
          </cell>
          <cell r="F2806" t="str">
            <v>7041</v>
          </cell>
          <cell r="G2806" t="str">
            <v>Arkitectura Urbana</v>
          </cell>
          <cell r="H2806">
            <v>1</v>
          </cell>
        </row>
        <row r="2807">
          <cell r="B2807" t="str">
            <v>SWC1040-0496</v>
          </cell>
          <cell r="C2807" t="str">
            <v>Invoice</v>
          </cell>
          <cell r="D2807">
            <v>38542</v>
          </cell>
          <cell r="F2807" t="str">
            <v>6322</v>
          </cell>
          <cell r="G2807" t="str">
            <v>Disney Worldwide:Goofy's Candy Company</v>
          </cell>
          <cell r="H2807">
            <v>1</v>
          </cell>
        </row>
        <row r="2808">
          <cell r="B2808" t="str">
            <v>SWC1040-0496</v>
          </cell>
          <cell r="C2808" t="str">
            <v>Invoice</v>
          </cell>
          <cell r="D2808">
            <v>38573</v>
          </cell>
          <cell r="F2808" t="str">
            <v>5595-I</v>
          </cell>
          <cell r="G2808" t="str">
            <v>Disney Worldwide:Goofy's Candy Company</v>
          </cell>
          <cell r="H2808">
            <v>1</v>
          </cell>
        </row>
        <row r="2809">
          <cell r="B2809" t="str">
            <v>SWC1040-0496</v>
          </cell>
          <cell r="C2809" t="str">
            <v>Invoice</v>
          </cell>
          <cell r="D2809">
            <v>38596</v>
          </cell>
          <cell r="F2809" t="str">
            <v>7745</v>
          </cell>
          <cell r="G2809" t="str">
            <v>Muzak, LLC:Muzak (Demo)</v>
          </cell>
          <cell r="H2809">
            <v>1</v>
          </cell>
        </row>
        <row r="2810">
          <cell r="B2810" t="str">
            <v>SWC1040-0496</v>
          </cell>
          <cell r="C2810" t="str">
            <v>Invoice</v>
          </cell>
          <cell r="D2810">
            <v>38604</v>
          </cell>
          <cell r="F2810" t="str">
            <v>7213</v>
          </cell>
          <cell r="G2810" t="str">
            <v>Disney Worldwide:Goofy's Candy Company</v>
          </cell>
          <cell r="H2810">
            <v>1</v>
          </cell>
        </row>
        <row r="2811">
          <cell r="B2811" t="str">
            <v>SWC1040-0534</v>
          </cell>
          <cell r="C2811" t="str">
            <v>Invoice</v>
          </cell>
          <cell r="D2811">
            <v>38603</v>
          </cell>
          <cell r="F2811" t="str">
            <v>7863</v>
          </cell>
          <cell r="G2811" t="str">
            <v>Muzak, LLC:McDonald's - Kokomo</v>
          </cell>
          <cell r="H2811">
            <v>1</v>
          </cell>
        </row>
        <row r="2812">
          <cell r="B2812" t="str">
            <v>SWC1040-0681</v>
          </cell>
          <cell r="C2812" t="str">
            <v>Invoice</v>
          </cell>
          <cell r="D2812">
            <v>38595</v>
          </cell>
          <cell r="F2812" t="str">
            <v>7732</v>
          </cell>
          <cell r="G2812" t="str">
            <v>Northwest Pets</v>
          </cell>
          <cell r="H2812">
            <v>1</v>
          </cell>
        </row>
        <row r="2813">
          <cell r="B2813" t="str">
            <v>SWC1040-0729</v>
          </cell>
          <cell r="C2813" t="str">
            <v>Invoice</v>
          </cell>
          <cell r="D2813">
            <v>38482</v>
          </cell>
          <cell r="F2813" t="str">
            <v>6048</v>
          </cell>
          <cell r="G2813" t="str">
            <v>Sunkist Growers</v>
          </cell>
          <cell r="H2813">
            <v>1</v>
          </cell>
        </row>
        <row r="2814">
          <cell r="B2814" t="str">
            <v>SWC1040-0729</v>
          </cell>
          <cell r="C2814" t="str">
            <v>Invoice</v>
          </cell>
          <cell r="D2814">
            <v>38516</v>
          </cell>
          <cell r="F2814" t="str">
            <v>6287</v>
          </cell>
          <cell r="G2814" t="str">
            <v>Nutraceutical/Fresh Organics</v>
          </cell>
          <cell r="H2814">
            <v>1</v>
          </cell>
        </row>
        <row r="2815">
          <cell r="B2815" t="str">
            <v>SWC1040-0729</v>
          </cell>
          <cell r="C2815" t="str">
            <v>Invoice</v>
          </cell>
          <cell r="D2815">
            <v>38542</v>
          </cell>
          <cell r="F2815" t="str">
            <v>7098</v>
          </cell>
          <cell r="G2815" t="str">
            <v>Nutraceutical/Fresh Organics</v>
          </cell>
          <cell r="H2815">
            <v>1</v>
          </cell>
        </row>
        <row r="2816">
          <cell r="B2816" t="str">
            <v>SWC1040-0729</v>
          </cell>
          <cell r="C2816" t="str">
            <v>Invoice</v>
          </cell>
          <cell r="D2816">
            <v>38603</v>
          </cell>
          <cell r="F2816" t="str">
            <v>7877</v>
          </cell>
          <cell r="G2816" t="str">
            <v>Sunkist Growers</v>
          </cell>
          <cell r="H2816">
            <v>1</v>
          </cell>
        </row>
        <row r="2817">
          <cell r="B2817" t="str">
            <v>SWC1040-0729</v>
          </cell>
          <cell r="C2817" t="str">
            <v>Invoice</v>
          </cell>
          <cell r="D2817">
            <v>38607</v>
          </cell>
          <cell r="F2817" t="str">
            <v>7895</v>
          </cell>
          <cell r="G2817" t="str">
            <v>Muzak, LLC:Inside Out - Overland Park</v>
          </cell>
          <cell r="H2817">
            <v>1</v>
          </cell>
        </row>
        <row r="2818">
          <cell r="B2818" t="str">
            <v>SWC1040-0729</v>
          </cell>
          <cell r="C2818" t="str">
            <v>Invoice</v>
          </cell>
          <cell r="D2818">
            <v>38623</v>
          </cell>
          <cell r="F2818" t="str">
            <v>8147</v>
          </cell>
          <cell r="G2818" t="str">
            <v>Muzak, LLC:Inside Out - Chesterfield</v>
          </cell>
          <cell r="H2818">
            <v>1</v>
          </cell>
        </row>
        <row r="2819">
          <cell r="B2819" t="str">
            <v>SWC1040-0729</v>
          </cell>
          <cell r="C2819" t="str">
            <v>Invoice</v>
          </cell>
          <cell r="D2819">
            <v>38624</v>
          </cell>
          <cell r="F2819" t="str">
            <v>8142</v>
          </cell>
          <cell r="G2819" t="str">
            <v>Muzak, IA:Towner Communications:Inside Outlet - Columbia</v>
          </cell>
          <cell r="H2819">
            <v>1</v>
          </cell>
        </row>
        <row r="2820">
          <cell r="B2820" t="str">
            <v>SWC1040-0766</v>
          </cell>
          <cell r="C2820" t="str">
            <v>Invoice</v>
          </cell>
          <cell r="D2820">
            <v>38509</v>
          </cell>
          <cell r="F2820" t="str">
            <v>6217</v>
          </cell>
          <cell r="G2820" t="str">
            <v>Universal Studios Orlando:Universal Studios Foods</v>
          </cell>
          <cell r="H2820">
            <v>1</v>
          </cell>
        </row>
        <row r="2821">
          <cell r="B2821" t="str">
            <v>SWC1040-0766</v>
          </cell>
          <cell r="C2821" t="str">
            <v>Invoice</v>
          </cell>
          <cell r="D2821">
            <v>38533</v>
          </cell>
          <cell r="F2821" t="str">
            <v>5557-I</v>
          </cell>
          <cell r="G2821" t="str">
            <v>Universal Studios Orlando:Universal Studios Foods</v>
          </cell>
          <cell r="H2821">
            <v>1</v>
          </cell>
        </row>
        <row r="2822">
          <cell r="B2822" t="str">
            <v>SWC1040-0766</v>
          </cell>
          <cell r="C2822" t="str">
            <v>Invoice</v>
          </cell>
          <cell r="D2822">
            <v>38562</v>
          </cell>
          <cell r="F2822" t="str">
            <v>6385</v>
          </cell>
          <cell r="G2822" t="str">
            <v>Universal Studios Orlando:Universal Studios Foods</v>
          </cell>
          <cell r="H2822">
            <v>1</v>
          </cell>
        </row>
        <row r="2823">
          <cell r="B2823" t="str">
            <v>SWC1040-0766</v>
          </cell>
          <cell r="C2823" t="str">
            <v>Invoice</v>
          </cell>
          <cell r="D2823">
            <v>38590</v>
          </cell>
          <cell r="F2823" t="str">
            <v>7707</v>
          </cell>
          <cell r="G2823" t="str">
            <v>Muzak, LLC:Dr Geeta Bhat DDS</v>
          </cell>
          <cell r="H2823">
            <v>1</v>
          </cell>
        </row>
        <row r="2824">
          <cell r="B2824" t="str">
            <v>SWC1040-0766</v>
          </cell>
          <cell r="C2824" t="str">
            <v>Invoice</v>
          </cell>
          <cell r="D2824">
            <v>38595</v>
          </cell>
          <cell r="F2824" t="str">
            <v>7150</v>
          </cell>
          <cell r="G2824" t="str">
            <v>Universal Studios Orlando:Universal Studios Foods</v>
          </cell>
          <cell r="H2824">
            <v>1</v>
          </cell>
        </row>
        <row r="2825">
          <cell r="B2825" t="str">
            <v>SWC1040-0766</v>
          </cell>
          <cell r="C2825" t="str">
            <v>Invoice</v>
          </cell>
          <cell r="D2825">
            <v>38603</v>
          </cell>
          <cell r="F2825" t="str">
            <v>7823</v>
          </cell>
          <cell r="G2825" t="str">
            <v>Skatetown - Roseville</v>
          </cell>
          <cell r="H2825">
            <v>1</v>
          </cell>
        </row>
        <row r="2826">
          <cell r="B2826" t="str">
            <v>SWC1040-0766</v>
          </cell>
          <cell r="C2826" t="str">
            <v>Invoice</v>
          </cell>
          <cell r="D2826">
            <v>38611</v>
          </cell>
          <cell r="F2826" t="str">
            <v>7970</v>
          </cell>
          <cell r="G2826" t="str">
            <v>Muzak, IA:Carolina Sound Communications:Newton Farms</v>
          </cell>
          <cell r="H2826">
            <v>1</v>
          </cell>
        </row>
        <row r="2827">
          <cell r="B2827" t="str">
            <v>SWC1040-0766</v>
          </cell>
          <cell r="C2827" t="str">
            <v>Invoice</v>
          </cell>
          <cell r="D2827">
            <v>38623</v>
          </cell>
          <cell r="F2827" t="str">
            <v>8158</v>
          </cell>
          <cell r="G2827" t="str">
            <v>Muzak, LLC:Michele Pastry Cafe</v>
          </cell>
          <cell r="H2827">
            <v>1</v>
          </cell>
        </row>
        <row r="2828">
          <cell r="B2828" t="str">
            <v>SWC1040-0766</v>
          </cell>
          <cell r="C2828" t="str">
            <v>Invoice</v>
          </cell>
          <cell r="D2828">
            <v>38626</v>
          </cell>
          <cell r="F2828" t="str">
            <v>7502</v>
          </cell>
          <cell r="G2828" t="str">
            <v>Universal Studios Orlando:Universal Studios Foods</v>
          </cell>
          <cell r="H2828">
            <v>1</v>
          </cell>
        </row>
        <row r="2829">
          <cell r="B2829" t="str">
            <v>SWC1040-0766</v>
          </cell>
          <cell r="C2829" t="str">
            <v>Invoice</v>
          </cell>
          <cell r="D2829">
            <v>38630</v>
          </cell>
          <cell r="F2829" t="str">
            <v>7833</v>
          </cell>
          <cell r="G2829" t="str">
            <v>Skatetown - Roseville</v>
          </cell>
          <cell r="H2829">
            <v>1</v>
          </cell>
        </row>
        <row r="2830">
          <cell r="B2830" t="str">
            <v>SWC1040-0774</v>
          </cell>
          <cell r="C2830" t="str">
            <v>Invoice</v>
          </cell>
          <cell r="D2830">
            <v>38603</v>
          </cell>
          <cell r="F2830" t="str">
            <v>7884</v>
          </cell>
          <cell r="G2830" t="str">
            <v>Muzak, LLC:McDonald's - New Castle</v>
          </cell>
          <cell r="H2830">
            <v>1</v>
          </cell>
        </row>
        <row r="2831">
          <cell r="B2831" t="str">
            <v>SWC1040-0774</v>
          </cell>
          <cell r="C2831" t="str">
            <v>Invoice</v>
          </cell>
          <cell r="D2831">
            <v>38616</v>
          </cell>
          <cell r="F2831" t="str">
            <v>8029</v>
          </cell>
          <cell r="G2831" t="str">
            <v>Muzak, LLC:McDonald's #3875/28390</v>
          </cell>
          <cell r="H2831">
            <v>1</v>
          </cell>
        </row>
        <row r="2832">
          <cell r="B2832" t="str">
            <v>SWC1040-0774</v>
          </cell>
          <cell r="C2832" t="str">
            <v>Invoice</v>
          </cell>
          <cell r="D2832">
            <v>38616</v>
          </cell>
          <cell r="F2832" t="str">
            <v>8027</v>
          </cell>
          <cell r="G2832" t="str">
            <v>Muzak, LLC:McDonald's #6762/4764</v>
          </cell>
          <cell r="H2832">
            <v>1</v>
          </cell>
        </row>
        <row r="2833">
          <cell r="B2833" t="str">
            <v>SWC1040-0774</v>
          </cell>
          <cell r="C2833" t="str">
            <v>Invoice</v>
          </cell>
          <cell r="D2833">
            <v>38616</v>
          </cell>
          <cell r="F2833" t="str">
            <v>8025</v>
          </cell>
          <cell r="G2833" t="str">
            <v>Muzak, LLC:McDonald's #6615/25238</v>
          </cell>
          <cell r="H2833">
            <v>1</v>
          </cell>
        </row>
        <row r="2834">
          <cell r="B2834" t="str">
            <v>SWC1040-0774</v>
          </cell>
          <cell r="C2834" t="str">
            <v>Invoice</v>
          </cell>
          <cell r="D2834">
            <v>38616</v>
          </cell>
          <cell r="F2834" t="str">
            <v>8024</v>
          </cell>
          <cell r="G2834" t="str">
            <v>Muzak, LLC:McDonald's #6949/3955</v>
          </cell>
          <cell r="H2834">
            <v>1</v>
          </cell>
        </row>
        <row r="2835">
          <cell r="B2835" t="str">
            <v>SWC1040-0774</v>
          </cell>
          <cell r="C2835" t="str">
            <v>Invoice</v>
          </cell>
          <cell r="D2835">
            <v>38616</v>
          </cell>
          <cell r="F2835" t="str">
            <v>8023</v>
          </cell>
          <cell r="G2835" t="str">
            <v>Muzak, LLC:McDonald's #7276/6015</v>
          </cell>
          <cell r="H2835">
            <v>1</v>
          </cell>
        </row>
        <row r="2836">
          <cell r="B2836" t="str">
            <v>SWC1040-0774</v>
          </cell>
          <cell r="C2836" t="str">
            <v>Invoice</v>
          </cell>
          <cell r="D2836">
            <v>38616</v>
          </cell>
          <cell r="F2836" t="str">
            <v>8021</v>
          </cell>
          <cell r="G2836" t="str">
            <v>Muzak, LLC:McDonald's #2018/11465</v>
          </cell>
          <cell r="H2836">
            <v>1</v>
          </cell>
        </row>
        <row r="2837">
          <cell r="B2837" t="str">
            <v>SWC1040-0774</v>
          </cell>
          <cell r="C2837" t="str">
            <v>Invoice</v>
          </cell>
          <cell r="D2837">
            <v>38616</v>
          </cell>
          <cell r="F2837" t="str">
            <v>8028</v>
          </cell>
          <cell r="G2837" t="str">
            <v>Muzak, LLC:McDonald's #6149/11572</v>
          </cell>
          <cell r="H2837">
            <v>1</v>
          </cell>
        </row>
        <row r="2838">
          <cell r="B2838" t="str">
            <v>SWC1040-0780</v>
          </cell>
          <cell r="C2838" t="str">
            <v>Invoice</v>
          </cell>
          <cell r="D2838">
            <v>38470</v>
          </cell>
          <cell r="F2838" t="str">
            <v>6006</v>
          </cell>
          <cell r="G2838" t="str">
            <v>Techno Satellite</v>
          </cell>
          <cell r="H2838">
            <v>1</v>
          </cell>
        </row>
        <row r="2839">
          <cell r="B2839" t="str">
            <v>SWC1040-0780</v>
          </cell>
          <cell r="C2839" t="str">
            <v>Invoice</v>
          </cell>
          <cell r="D2839">
            <v>38485</v>
          </cell>
          <cell r="F2839" t="str">
            <v>6051</v>
          </cell>
          <cell r="G2839" t="str">
            <v>Promotool</v>
          </cell>
          <cell r="H2839">
            <v>1</v>
          </cell>
        </row>
        <row r="2840">
          <cell r="B2840" t="str">
            <v>SWC1040-0780</v>
          </cell>
          <cell r="C2840" t="str">
            <v>Invoice</v>
          </cell>
          <cell r="D2840">
            <v>38559</v>
          </cell>
          <cell r="F2840" t="str">
            <v>6130</v>
          </cell>
          <cell r="G2840" t="str">
            <v>Western Sizzlin Corporate:Westin Sizzlin HQ - Roanoke</v>
          </cell>
          <cell r="H2840">
            <v>1</v>
          </cell>
        </row>
        <row r="2841">
          <cell r="B2841" t="str">
            <v>SWC1040-0780</v>
          </cell>
          <cell r="C2841" t="str">
            <v>Invoice</v>
          </cell>
          <cell r="D2841">
            <v>38562</v>
          </cell>
          <cell r="F2841" t="str">
            <v>7223</v>
          </cell>
          <cell r="G2841" t="str">
            <v>Muzak, LLC:Mina's Studio</v>
          </cell>
          <cell r="H2841">
            <v>1</v>
          </cell>
        </row>
        <row r="2842">
          <cell r="B2842" t="str">
            <v>SWC1040-0780</v>
          </cell>
          <cell r="C2842" t="str">
            <v>Invoice</v>
          </cell>
          <cell r="D2842">
            <v>38609</v>
          </cell>
          <cell r="F2842" t="str">
            <v>7932</v>
          </cell>
          <cell r="G2842" t="str">
            <v>Muzak, LLC:Sheraton Hotel</v>
          </cell>
          <cell r="H2842">
            <v>1</v>
          </cell>
        </row>
        <row r="2843">
          <cell r="B2843" t="str">
            <v>SWC1040-0782</v>
          </cell>
          <cell r="C2843" t="str">
            <v>Invoice</v>
          </cell>
          <cell r="D2843">
            <v>38602</v>
          </cell>
          <cell r="F2843" t="str">
            <v>7848</v>
          </cell>
          <cell r="G2843" t="str">
            <v>Muzak, LLC:Muzak (Demo)</v>
          </cell>
          <cell r="H2843">
            <v>1</v>
          </cell>
        </row>
        <row r="2844">
          <cell r="B2844" t="str">
            <v>SWC1040-0782</v>
          </cell>
          <cell r="C2844" t="str">
            <v>Invoice</v>
          </cell>
          <cell r="D2844">
            <v>38603</v>
          </cell>
          <cell r="F2844" t="str">
            <v>7841</v>
          </cell>
          <cell r="G2844" t="str">
            <v>Muzak, LLC:Giant Eagle #6384</v>
          </cell>
          <cell r="H2844">
            <v>1</v>
          </cell>
        </row>
        <row r="2845">
          <cell r="B2845" t="str">
            <v>SWC1040-0782</v>
          </cell>
          <cell r="C2845" t="str">
            <v>Invoice</v>
          </cell>
          <cell r="D2845">
            <v>38626</v>
          </cell>
          <cell r="F2845" t="str">
            <v>8164</v>
          </cell>
          <cell r="G2845" t="str">
            <v>Muzak, LLC:Handy Dandy #39</v>
          </cell>
          <cell r="H2845">
            <v>1</v>
          </cell>
        </row>
        <row r="2846">
          <cell r="B2846" t="str">
            <v>SWC1040-0782</v>
          </cell>
          <cell r="C2846" t="str">
            <v>Invoice</v>
          </cell>
          <cell r="D2846">
            <v>38629</v>
          </cell>
          <cell r="F2846" t="str">
            <v>8326</v>
          </cell>
          <cell r="G2846" t="str">
            <v>Muzak, LLC:Muzak (Demo)</v>
          </cell>
          <cell r="H2846">
            <v>1</v>
          </cell>
        </row>
        <row r="2847">
          <cell r="B2847" t="str">
            <v>SWC1040-0783</v>
          </cell>
          <cell r="C2847" t="str">
            <v>Invoice</v>
          </cell>
          <cell r="D2847">
            <v>38561</v>
          </cell>
          <cell r="F2847" t="str">
            <v>7177</v>
          </cell>
          <cell r="G2847" t="str">
            <v>Muzak, LLC:Just Fresh Bakery Cafe &amp; Mkt. - Durham</v>
          </cell>
          <cell r="H2847">
            <v>1</v>
          </cell>
        </row>
        <row r="2848">
          <cell r="B2848" t="str">
            <v>SWC1040-0783</v>
          </cell>
          <cell r="C2848" t="str">
            <v>Invoice</v>
          </cell>
          <cell r="D2848">
            <v>38566</v>
          </cell>
          <cell r="F2848" t="str">
            <v>7265</v>
          </cell>
          <cell r="G2848" t="str">
            <v>Muzak, LLC:Muzak (Demo)</v>
          </cell>
          <cell r="H2848">
            <v>1</v>
          </cell>
        </row>
        <row r="2849">
          <cell r="B2849" t="str">
            <v>SWC1040-0783</v>
          </cell>
          <cell r="C2849" t="str">
            <v>Invoice</v>
          </cell>
          <cell r="D2849">
            <v>38574</v>
          </cell>
          <cell r="F2849" t="str">
            <v>7392</v>
          </cell>
          <cell r="G2849" t="str">
            <v>Muzak, LLC:Muzak (Demo)</v>
          </cell>
          <cell r="H2849">
            <v>1</v>
          </cell>
        </row>
        <row r="2850">
          <cell r="B2850" t="str">
            <v>SWC1040-0783</v>
          </cell>
          <cell r="C2850" t="str">
            <v>Invoice</v>
          </cell>
          <cell r="D2850">
            <v>38574</v>
          </cell>
          <cell r="F2850" t="str">
            <v>7391</v>
          </cell>
          <cell r="G2850" t="str">
            <v>Muzak, LLC:Muzak (Demo)</v>
          </cell>
          <cell r="H2850">
            <v>1</v>
          </cell>
        </row>
        <row r="2851">
          <cell r="B2851" t="str">
            <v>SWC1040-0783</v>
          </cell>
          <cell r="C2851" t="str">
            <v>Invoice</v>
          </cell>
          <cell r="D2851">
            <v>38574</v>
          </cell>
          <cell r="F2851" t="str">
            <v>7390</v>
          </cell>
          <cell r="G2851" t="str">
            <v>Muzak, LLC:Muzak (Demo)</v>
          </cell>
          <cell r="H2851">
            <v>1</v>
          </cell>
        </row>
        <row r="2852">
          <cell r="B2852" t="str">
            <v>SWC1040-0783</v>
          </cell>
          <cell r="C2852" t="str">
            <v>Invoice</v>
          </cell>
          <cell r="D2852">
            <v>38574</v>
          </cell>
          <cell r="F2852" t="str">
            <v>7312</v>
          </cell>
          <cell r="G2852" t="str">
            <v>Muzak, LLC:Muzak (Demo)</v>
          </cell>
          <cell r="H2852">
            <v>1</v>
          </cell>
        </row>
        <row r="2853">
          <cell r="B2853" t="str">
            <v>SWC1040-0783</v>
          </cell>
          <cell r="C2853" t="str">
            <v>Invoice</v>
          </cell>
          <cell r="D2853">
            <v>38575</v>
          </cell>
          <cell r="F2853" t="str">
            <v>7439</v>
          </cell>
          <cell r="G2853" t="str">
            <v>Muzak, LLC:Muzak (Demo)</v>
          </cell>
          <cell r="H2853">
            <v>1</v>
          </cell>
        </row>
        <row r="2854">
          <cell r="B2854" t="str">
            <v>SWC1040-0783</v>
          </cell>
          <cell r="C2854" t="str">
            <v>Invoice</v>
          </cell>
          <cell r="D2854">
            <v>38575</v>
          </cell>
          <cell r="F2854" t="str">
            <v>7441</v>
          </cell>
          <cell r="G2854" t="str">
            <v>Muzak, LLC:Muzak (Demo)</v>
          </cell>
          <cell r="H2854">
            <v>1</v>
          </cell>
        </row>
        <row r="2855">
          <cell r="B2855" t="str">
            <v>SWC1040-0783</v>
          </cell>
          <cell r="C2855" t="str">
            <v>Invoice</v>
          </cell>
          <cell r="D2855">
            <v>38576</v>
          </cell>
          <cell r="F2855" t="str">
            <v>7477</v>
          </cell>
          <cell r="G2855" t="str">
            <v>Muzak, LLC:Muzak (Demo)</v>
          </cell>
          <cell r="H2855">
            <v>1</v>
          </cell>
        </row>
        <row r="2856">
          <cell r="B2856" t="str">
            <v>SWC1040-0783</v>
          </cell>
          <cell r="C2856" t="str">
            <v>Invoice</v>
          </cell>
          <cell r="D2856">
            <v>38576</v>
          </cell>
          <cell r="F2856" t="str">
            <v>7447</v>
          </cell>
          <cell r="G2856" t="str">
            <v>Muzak, LLC:Muzak (Demo)</v>
          </cell>
          <cell r="H2856">
            <v>1</v>
          </cell>
        </row>
        <row r="2857">
          <cell r="B2857" t="str">
            <v>SWC1040-0783</v>
          </cell>
          <cell r="C2857" t="str">
            <v>Invoice</v>
          </cell>
          <cell r="D2857">
            <v>38576</v>
          </cell>
          <cell r="F2857" t="str">
            <v>7476</v>
          </cell>
          <cell r="G2857" t="str">
            <v>Muzak, LLC:Muzak (Demo)</v>
          </cell>
          <cell r="H2857">
            <v>1</v>
          </cell>
        </row>
        <row r="2858">
          <cell r="B2858" t="str">
            <v>SWC1040-0783</v>
          </cell>
          <cell r="C2858" t="str">
            <v>Invoice</v>
          </cell>
          <cell r="D2858">
            <v>38576</v>
          </cell>
          <cell r="F2858" t="str">
            <v>7479</v>
          </cell>
          <cell r="G2858" t="str">
            <v>Muzak, LLC:Muzak (Demo)</v>
          </cell>
          <cell r="H2858">
            <v>1</v>
          </cell>
        </row>
        <row r="2859">
          <cell r="B2859" t="str">
            <v>SWC1040-0783</v>
          </cell>
          <cell r="C2859" t="str">
            <v>Invoice</v>
          </cell>
          <cell r="D2859">
            <v>38576</v>
          </cell>
          <cell r="F2859" t="str">
            <v>7480</v>
          </cell>
          <cell r="G2859" t="str">
            <v>Muzak, LLC:Muzak (Demo)</v>
          </cell>
          <cell r="H2859">
            <v>1</v>
          </cell>
        </row>
        <row r="2860">
          <cell r="B2860" t="str">
            <v>SWC1040-0783</v>
          </cell>
          <cell r="C2860" t="str">
            <v>Invoice</v>
          </cell>
          <cell r="D2860">
            <v>38576</v>
          </cell>
          <cell r="F2860" t="str">
            <v>7481</v>
          </cell>
          <cell r="G2860" t="str">
            <v>Muzak, LLC:Muzak (Demo)</v>
          </cell>
          <cell r="H2860">
            <v>1</v>
          </cell>
        </row>
        <row r="2861">
          <cell r="B2861" t="str">
            <v>SWC1040-0783</v>
          </cell>
          <cell r="C2861" t="str">
            <v>Invoice</v>
          </cell>
          <cell r="D2861">
            <v>38576</v>
          </cell>
          <cell r="F2861" t="str">
            <v>7478</v>
          </cell>
          <cell r="G2861" t="str">
            <v>Muzak, LLC:Muzak (Demo)</v>
          </cell>
          <cell r="H2861">
            <v>1</v>
          </cell>
        </row>
        <row r="2862">
          <cell r="B2862" t="str">
            <v>SWC1040-0783</v>
          </cell>
          <cell r="C2862" t="str">
            <v>Invoice</v>
          </cell>
          <cell r="D2862">
            <v>38580</v>
          </cell>
          <cell r="F2862" t="str">
            <v>7491</v>
          </cell>
          <cell r="G2862" t="str">
            <v>Muzak, LLC:Muzak (Demo)</v>
          </cell>
          <cell r="H2862">
            <v>1</v>
          </cell>
        </row>
        <row r="2863">
          <cell r="B2863" t="str">
            <v>SWC1040-0783</v>
          </cell>
          <cell r="C2863" t="str">
            <v>Invoice</v>
          </cell>
          <cell r="D2863">
            <v>38589</v>
          </cell>
          <cell r="F2863" t="str">
            <v>7693</v>
          </cell>
          <cell r="G2863" t="str">
            <v>Muzak, IA:Texas Wired:Omni Austin Hotel Downtown</v>
          </cell>
          <cell r="H2863">
            <v>1</v>
          </cell>
        </row>
        <row r="2864">
          <cell r="B2864" t="str">
            <v>SWC1040-0783</v>
          </cell>
          <cell r="C2864" t="str">
            <v>Invoice</v>
          </cell>
          <cell r="D2864">
            <v>38597</v>
          </cell>
          <cell r="F2864" t="str">
            <v>7816</v>
          </cell>
          <cell r="G2864" t="str">
            <v>Muzak, LLC:T Darin Moerton</v>
          </cell>
          <cell r="H2864">
            <v>1</v>
          </cell>
        </row>
        <row r="2865">
          <cell r="B2865" t="str">
            <v>SWC1040-0783</v>
          </cell>
          <cell r="C2865" t="str">
            <v>Invoice</v>
          </cell>
          <cell r="D2865">
            <v>38597</v>
          </cell>
          <cell r="F2865" t="str">
            <v>7716</v>
          </cell>
          <cell r="G2865" t="str">
            <v>Muzak, LLC:Atlanta Bread Company</v>
          </cell>
          <cell r="H2865">
            <v>1</v>
          </cell>
        </row>
        <row r="2866">
          <cell r="B2866" t="str">
            <v>SWC1040-0783</v>
          </cell>
          <cell r="C2866" t="str">
            <v>Invoice</v>
          </cell>
          <cell r="D2866">
            <v>38611</v>
          </cell>
          <cell r="F2866" t="str">
            <v>7970</v>
          </cell>
          <cell r="G2866" t="str">
            <v>Muzak, IA:Carolina Sound Communications:Newton Farms</v>
          </cell>
          <cell r="H2866">
            <v>1</v>
          </cell>
        </row>
        <row r="2867">
          <cell r="B2867" t="str">
            <v>SWC1040-0783</v>
          </cell>
          <cell r="C2867" t="str">
            <v>Invoice</v>
          </cell>
          <cell r="D2867">
            <v>38611</v>
          </cell>
          <cell r="F2867" t="str">
            <v>7987</v>
          </cell>
          <cell r="G2867" t="str">
            <v>ScentAir - Corporate Associates:Amy DiCesare</v>
          </cell>
          <cell r="H2867">
            <v>1</v>
          </cell>
        </row>
        <row r="2868">
          <cell r="B2868" t="str">
            <v>SWC1040-0783</v>
          </cell>
          <cell r="C2868" t="str">
            <v>Invoice</v>
          </cell>
          <cell r="D2868">
            <v>38614</v>
          </cell>
          <cell r="F2868" t="str">
            <v>7996</v>
          </cell>
          <cell r="G2868" t="str">
            <v>Hard Rock Hotel and Casino - Las Vegas</v>
          </cell>
          <cell r="H2868">
            <v>1</v>
          </cell>
        </row>
        <row r="2869">
          <cell r="B2869" t="str">
            <v>SWC1040-0783</v>
          </cell>
          <cell r="C2869" t="str">
            <v>Invoice</v>
          </cell>
          <cell r="D2869">
            <v>38617</v>
          </cell>
          <cell r="F2869" t="str">
            <v>8006</v>
          </cell>
          <cell r="G2869" t="str">
            <v>Muzak, IA:Metro Communications</v>
          </cell>
          <cell r="H2869">
            <v>1</v>
          </cell>
        </row>
        <row r="2870">
          <cell r="B2870" t="str">
            <v>SWC1040-0783</v>
          </cell>
          <cell r="C2870" t="str">
            <v>Invoice</v>
          </cell>
          <cell r="D2870">
            <v>38617</v>
          </cell>
          <cell r="F2870" t="str">
            <v>8013</v>
          </cell>
          <cell r="G2870" t="str">
            <v>Muzak, IA:Ohio Musicue</v>
          </cell>
          <cell r="H2870">
            <v>1</v>
          </cell>
        </row>
        <row r="2871">
          <cell r="B2871" t="str">
            <v>SWC1040-0783</v>
          </cell>
          <cell r="C2871" t="str">
            <v>Invoice</v>
          </cell>
          <cell r="D2871">
            <v>38617</v>
          </cell>
          <cell r="F2871" t="str">
            <v>8057</v>
          </cell>
          <cell r="G2871" t="str">
            <v>Muzak, IA:Miami Valley Audio</v>
          </cell>
          <cell r="H2871">
            <v>1</v>
          </cell>
        </row>
        <row r="2872">
          <cell r="B2872" t="str">
            <v>SWC1040-0783</v>
          </cell>
          <cell r="C2872" t="str">
            <v>Invoice</v>
          </cell>
          <cell r="D2872">
            <v>38617</v>
          </cell>
          <cell r="F2872" t="str">
            <v>8007</v>
          </cell>
          <cell r="G2872" t="str">
            <v>Muzak, IA:Warner Communications</v>
          </cell>
          <cell r="H2872">
            <v>1</v>
          </cell>
        </row>
        <row r="2873">
          <cell r="B2873" t="str">
            <v>SWC1040-0783</v>
          </cell>
          <cell r="C2873" t="str">
            <v>Invoice</v>
          </cell>
          <cell r="D2873">
            <v>38621</v>
          </cell>
          <cell r="F2873" t="str">
            <v>7450</v>
          </cell>
          <cell r="G2873" t="str">
            <v>Muzak, LLC:Appliance Direct -035133</v>
          </cell>
          <cell r="H2873">
            <v>1</v>
          </cell>
        </row>
        <row r="2874">
          <cell r="B2874" t="str">
            <v>SWC1040-0783</v>
          </cell>
          <cell r="C2874" t="str">
            <v>Invoice</v>
          </cell>
          <cell r="D2874">
            <v>38621</v>
          </cell>
          <cell r="F2874" t="str">
            <v>7456</v>
          </cell>
          <cell r="G2874" t="str">
            <v>Muzak, LLC:Appliance Direct - 042201</v>
          </cell>
          <cell r="H2874">
            <v>1</v>
          </cell>
        </row>
        <row r="2875">
          <cell r="B2875" t="str">
            <v>SWC1040-0783</v>
          </cell>
          <cell r="C2875" t="str">
            <v>Invoice</v>
          </cell>
          <cell r="D2875">
            <v>38621</v>
          </cell>
          <cell r="F2875" t="str">
            <v>7458</v>
          </cell>
          <cell r="G2875" t="str">
            <v>Muzak, LLC:Appliance Direct - 042172</v>
          </cell>
          <cell r="H2875">
            <v>1</v>
          </cell>
        </row>
        <row r="2876">
          <cell r="B2876" t="str">
            <v>SWC1040-0783</v>
          </cell>
          <cell r="C2876" t="str">
            <v>Invoice</v>
          </cell>
          <cell r="D2876">
            <v>38621</v>
          </cell>
          <cell r="F2876" t="str">
            <v>7459</v>
          </cell>
          <cell r="G2876" t="str">
            <v>Muzak, LLC:Appliance Direct - 038915</v>
          </cell>
          <cell r="H2876">
            <v>1</v>
          </cell>
        </row>
        <row r="2877">
          <cell r="B2877" t="str">
            <v>SWC1040-0783</v>
          </cell>
          <cell r="C2877" t="str">
            <v>Invoice</v>
          </cell>
          <cell r="D2877">
            <v>38621</v>
          </cell>
          <cell r="F2877" t="str">
            <v>7460</v>
          </cell>
          <cell r="G2877" t="str">
            <v>Muzak, LLC:Appliance Direct - 038914</v>
          </cell>
          <cell r="H2877">
            <v>1</v>
          </cell>
        </row>
        <row r="2878">
          <cell r="B2878" t="str">
            <v>SWC1040-0783</v>
          </cell>
          <cell r="C2878" t="str">
            <v>Invoice</v>
          </cell>
          <cell r="D2878">
            <v>38621</v>
          </cell>
          <cell r="F2878" t="str">
            <v>7461</v>
          </cell>
          <cell r="G2878" t="str">
            <v>Muzak, LLC:Appliance Direct - 035387</v>
          </cell>
          <cell r="H2878">
            <v>1</v>
          </cell>
        </row>
        <row r="2879">
          <cell r="B2879" t="str">
            <v>SWC1040-0783</v>
          </cell>
          <cell r="C2879" t="str">
            <v>Invoice</v>
          </cell>
          <cell r="D2879">
            <v>38621</v>
          </cell>
          <cell r="F2879" t="str">
            <v>7462</v>
          </cell>
          <cell r="G2879" t="str">
            <v>Muzak, LLC:Appliance Direct - 034977</v>
          </cell>
          <cell r="H2879">
            <v>1</v>
          </cell>
        </row>
        <row r="2880">
          <cell r="B2880" t="str">
            <v>SWC1040-0783</v>
          </cell>
          <cell r="C2880" t="str">
            <v>Invoice</v>
          </cell>
          <cell r="D2880">
            <v>38621</v>
          </cell>
          <cell r="F2880" t="str">
            <v>7463</v>
          </cell>
          <cell r="G2880" t="str">
            <v>Muzak, LLC:Appliance Direct - 034976</v>
          </cell>
          <cell r="H2880">
            <v>1</v>
          </cell>
        </row>
        <row r="2881">
          <cell r="B2881" t="str">
            <v>SWC1040-0783</v>
          </cell>
          <cell r="C2881" t="str">
            <v>Invoice</v>
          </cell>
          <cell r="D2881">
            <v>38621</v>
          </cell>
          <cell r="F2881" t="str">
            <v>7464</v>
          </cell>
          <cell r="G2881" t="str">
            <v>Muzak, LLC:Appliance Direct - 034975</v>
          </cell>
          <cell r="H2881">
            <v>1</v>
          </cell>
        </row>
        <row r="2882">
          <cell r="B2882" t="str">
            <v>SWC1040-0783</v>
          </cell>
          <cell r="C2882" t="str">
            <v>Invoice</v>
          </cell>
          <cell r="D2882">
            <v>38621</v>
          </cell>
          <cell r="F2882" t="str">
            <v>7465</v>
          </cell>
          <cell r="G2882" t="str">
            <v>Muzak, LLC:Appliance Direct - 034974</v>
          </cell>
          <cell r="H2882">
            <v>1</v>
          </cell>
        </row>
        <row r="2883">
          <cell r="B2883" t="str">
            <v>SWC1040-0783</v>
          </cell>
          <cell r="C2883" t="str">
            <v>Invoice</v>
          </cell>
          <cell r="D2883">
            <v>38621</v>
          </cell>
          <cell r="F2883" t="str">
            <v>7466</v>
          </cell>
          <cell r="G2883" t="str">
            <v>Muzak, LLC:Appliance Direct - 034973</v>
          </cell>
          <cell r="H2883">
            <v>1</v>
          </cell>
        </row>
        <row r="2884">
          <cell r="B2884" t="str">
            <v>SWC1040-0783</v>
          </cell>
          <cell r="C2884" t="str">
            <v>Invoice</v>
          </cell>
          <cell r="D2884">
            <v>38621</v>
          </cell>
          <cell r="F2884" t="str">
            <v>7467</v>
          </cell>
          <cell r="G2884" t="str">
            <v>Muzak, LLC:Appliance Direct - 034972</v>
          </cell>
          <cell r="H2884">
            <v>1</v>
          </cell>
        </row>
        <row r="2885">
          <cell r="B2885" t="str">
            <v>SWC1040-0783</v>
          </cell>
          <cell r="C2885" t="str">
            <v>Invoice</v>
          </cell>
          <cell r="D2885">
            <v>38621</v>
          </cell>
          <cell r="F2885" t="str">
            <v>7468</v>
          </cell>
          <cell r="G2885" t="str">
            <v>Muzak, LLC:Appliance Direct - 034971</v>
          </cell>
          <cell r="H2885">
            <v>1</v>
          </cell>
        </row>
        <row r="2886">
          <cell r="B2886" t="str">
            <v>SWC1040-0783</v>
          </cell>
          <cell r="C2886" t="str">
            <v>Invoice</v>
          </cell>
          <cell r="D2886">
            <v>38622</v>
          </cell>
          <cell r="F2886" t="str">
            <v>8092</v>
          </cell>
          <cell r="G2886" t="str">
            <v>Muzak, IA:Metro Communications</v>
          </cell>
          <cell r="H2886">
            <v>1</v>
          </cell>
        </row>
        <row r="2887">
          <cell r="B2887" t="str">
            <v>SWC1040-0783</v>
          </cell>
          <cell r="C2887" t="str">
            <v>Invoice</v>
          </cell>
          <cell r="D2887">
            <v>38626</v>
          </cell>
          <cell r="F2887" t="str">
            <v>7978</v>
          </cell>
          <cell r="G2887" t="str">
            <v>Muzak, IA:Texas Wired:Omni Austin Hotel Downtown</v>
          </cell>
          <cell r="H2887">
            <v>1</v>
          </cell>
        </row>
        <row r="2888">
          <cell r="B2888" t="str">
            <v>SWC1040-0794</v>
          </cell>
          <cell r="C2888" t="str">
            <v>Invoice</v>
          </cell>
          <cell r="D2888">
            <v>38470</v>
          </cell>
          <cell r="F2888" t="str">
            <v>6006</v>
          </cell>
          <cell r="G2888" t="str">
            <v>Techno Satellite</v>
          </cell>
          <cell r="H2888">
            <v>1</v>
          </cell>
        </row>
        <row r="2889">
          <cell r="B2889" t="str">
            <v>SWC1040-0794</v>
          </cell>
          <cell r="C2889" t="str">
            <v>Invoice</v>
          </cell>
          <cell r="D2889">
            <v>38482</v>
          </cell>
          <cell r="F2889" t="str">
            <v>5728</v>
          </cell>
          <cell r="G2889" t="str">
            <v>Muzak, LLC</v>
          </cell>
          <cell r="H2889">
            <v>1</v>
          </cell>
        </row>
        <row r="2890">
          <cell r="B2890" t="str">
            <v>SWC1040-0794</v>
          </cell>
          <cell r="C2890" t="str">
            <v>Invoice</v>
          </cell>
          <cell r="D2890">
            <v>38512</v>
          </cell>
          <cell r="F2890" t="str">
            <v>6194</v>
          </cell>
          <cell r="G2890" t="str">
            <v>Hershey's, Inc.:Hershey's Chicago</v>
          </cell>
          <cell r="H2890">
            <v>1</v>
          </cell>
        </row>
        <row r="2891">
          <cell r="B2891" t="str">
            <v>SWC1040-0794</v>
          </cell>
          <cell r="C2891" t="str">
            <v>Invoice</v>
          </cell>
          <cell r="D2891">
            <v>38518</v>
          </cell>
          <cell r="F2891" t="str">
            <v>6263</v>
          </cell>
          <cell r="G2891" t="str">
            <v>Hershey's, Inc.:Hershey's Chicago</v>
          </cell>
          <cell r="H2891">
            <v>1</v>
          </cell>
        </row>
        <row r="2892">
          <cell r="B2892" t="str">
            <v>SWC1040-0794</v>
          </cell>
          <cell r="C2892" t="str">
            <v>Invoice</v>
          </cell>
          <cell r="D2892">
            <v>38530</v>
          </cell>
          <cell r="F2892" t="str">
            <v>5589</v>
          </cell>
          <cell r="G2892" t="str">
            <v>Muzak, LLC:Round The Clock</v>
          </cell>
          <cell r="H2892">
            <v>1</v>
          </cell>
        </row>
        <row r="2893">
          <cell r="B2893" t="str">
            <v>SWC1040-0794</v>
          </cell>
          <cell r="C2893" t="str">
            <v>Invoice</v>
          </cell>
          <cell r="D2893">
            <v>38530</v>
          </cell>
          <cell r="F2893" t="str">
            <v>6402</v>
          </cell>
          <cell r="G2893" t="str">
            <v>NBC Experience Store</v>
          </cell>
          <cell r="H2893">
            <v>1</v>
          </cell>
        </row>
        <row r="2894">
          <cell r="B2894" t="str">
            <v>SWC1040-0794</v>
          </cell>
          <cell r="C2894" t="str">
            <v>Invoice</v>
          </cell>
          <cell r="D2894">
            <v>38568</v>
          </cell>
          <cell r="F2894" t="str">
            <v>7276</v>
          </cell>
          <cell r="G2894" t="str">
            <v>Alerion Partners</v>
          </cell>
          <cell r="H2894">
            <v>1</v>
          </cell>
        </row>
        <row r="2895">
          <cell r="B2895" t="str">
            <v>SWC1040-0794</v>
          </cell>
          <cell r="C2895" t="str">
            <v>Invoice</v>
          </cell>
          <cell r="D2895">
            <v>38569</v>
          </cell>
          <cell r="F2895" t="str">
            <v>7303</v>
          </cell>
          <cell r="G2895" t="str">
            <v>Muzak, LLC:Muzak (Demo)</v>
          </cell>
          <cell r="H2895">
            <v>1</v>
          </cell>
        </row>
        <row r="2896">
          <cell r="B2896" t="str">
            <v>SWC1040-0794</v>
          </cell>
          <cell r="C2896" t="str">
            <v>Invoice</v>
          </cell>
          <cell r="D2896">
            <v>38574</v>
          </cell>
          <cell r="F2896" t="str">
            <v>7392</v>
          </cell>
          <cell r="G2896" t="str">
            <v>Muzak, LLC:Muzak (Demo)</v>
          </cell>
          <cell r="H2896">
            <v>1</v>
          </cell>
        </row>
        <row r="2897">
          <cell r="B2897" t="str">
            <v>SWC1040-0794</v>
          </cell>
          <cell r="C2897" t="str">
            <v>Invoice</v>
          </cell>
          <cell r="D2897">
            <v>38574</v>
          </cell>
          <cell r="F2897" t="str">
            <v>7391</v>
          </cell>
          <cell r="G2897" t="str">
            <v>Muzak, LLC:Muzak (Demo)</v>
          </cell>
          <cell r="H2897">
            <v>1</v>
          </cell>
        </row>
        <row r="2898">
          <cell r="B2898" t="str">
            <v>SWC1040-0794</v>
          </cell>
          <cell r="C2898" t="str">
            <v>Invoice</v>
          </cell>
          <cell r="D2898">
            <v>38574</v>
          </cell>
          <cell r="F2898" t="str">
            <v>7298</v>
          </cell>
          <cell r="G2898" t="str">
            <v>Muzak, LLC:Muzak (Demo)</v>
          </cell>
          <cell r="H2898">
            <v>1</v>
          </cell>
        </row>
        <row r="2899">
          <cell r="B2899" t="str">
            <v>SWC1040-0794</v>
          </cell>
          <cell r="C2899" t="str">
            <v>Invoice</v>
          </cell>
          <cell r="D2899">
            <v>38574</v>
          </cell>
          <cell r="F2899" t="str">
            <v>7312</v>
          </cell>
          <cell r="G2899" t="str">
            <v>Muzak, LLC:Muzak (Demo)</v>
          </cell>
          <cell r="H2899">
            <v>1</v>
          </cell>
        </row>
        <row r="2900">
          <cell r="B2900" t="str">
            <v>SWC1040-0794</v>
          </cell>
          <cell r="C2900" t="str">
            <v>Invoice</v>
          </cell>
          <cell r="D2900">
            <v>38575</v>
          </cell>
          <cell r="F2900" t="str">
            <v>7042</v>
          </cell>
          <cell r="G2900" t="str">
            <v>Muzak, LLC:Round The Clock</v>
          </cell>
          <cell r="H2900">
            <v>1</v>
          </cell>
        </row>
        <row r="2901">
          <cell r="B2901" t="str">
            <v>SWC1040-0794</v>
          </cell>
          <cell r="C2901" t="str">
            <v>Invoice</v>
          </cell>
          <cell r="D2901">
            <v>38575</v>
          </cell>
          <cell r="F2901" t="str">
            <v>7444</v>
          </cell>
          <cell r="G2901" t="str">
            <v>Muzak, LLC:Muzak (Demo)</v>
          </cell>
          <cell r="H2901">
            <v>1</v>
          </cell>
        </row>
        <row r="2902">
          <cell r="B2902" t="str">
            <v>SWC1040-0794</v>
          </cell>
          <cell r="C2902" t="str">
            <v>Invoice</v>
          </cell>
          <cell r="D2902">
            <v>38575</v>
          </cell>
          <cell r="F2902" t="str">
            <v>7439</v>
          </cell>
          <cell r="G2902" t="str">
            <v>Muzak, LLC:Muzak (Demo)</v>
          </cell>
          <cell r="H2902">
            <v>1</v>
          </cell>
        </row>
        <row r="2903">
          <cell r="B2903" t="str">
            <v>SWC1040-0794</v>
          </cell>
          <cell r="C2903" t="str">
            <v>Invoice</v>
          </cell>
          <cell r="D2903">
            <v>38575</v>
          </cell>
          <cell r="F2903" t="str">
            <v>7442</v>
          </cell>
          <cell r="G2903" t="str">
            <v>Muzak, LLC:Muzak (Demo)</v>
          </cell>
          <cell r="H2903">
            <v>1</v>
          </cell>
        </row>
        <row r="2904">
          <cell r="B2904" t="str">
            <v>SWC1040-0794</v>
          </cell>
          <cell r="C2904" t="str">
            <v>Invoice</v>
          </cell>
          <cell r="D2904">
            <v>38576</v>
          </cell>
          <cell r="F2904" t="str">
            <v>7476</v>
          </cell>
          <cell r="G2904" t="str">
            <v>Muzak, LLC:Muzak (Demo)</v>
          </cell>
          <cell r="H2904">
            <v>1</v>
          </cell>
        </row>
        <row r="2905">
          <cell r="B2905" t="str">
            <v>SWC1040-0794</v>
          </cell>
          <cell r="C2905" t="str">
            <v>Invoice</v>
          </cell>
          <cell r="D2905">
            <v>38576</v>
          </cell>
          <cell r="F2905" t="str">
            <v>7480</v>
          </cell>
          <cell r="G2905" t="str">
            <v>Muzak, LLC:Muzak (Demo)</v>
          </cell>
          <cell r="H2905">
            <v>1</v>
          </cell>
        </row>
        <row r="2906">
          <cell r="B2906" t="str">
            <v>SWC1040-0794</v>
          </cell>
          <cell r="C2906" t="str">
            <v>Invoice</v>
          </cell>
          <cell r="D2906">
            <v>38576</v>
          </cell>
          <cell r="F2906" t="str">
            <v>7481</v>
          </cell>
          <cell r="G2906" t="str">
            <v>Muzak, LLC:Muzak (Demo)</v>
          </cell>
          <cell r="H2906">
            <v>1</v>
          </cell>
        </row>
        <row r="2907">
          <cell r="B2907" t="str">
            <v>SWC1040-0794</v>
          </cell>
          <cell r="C2907" t="str">
            <v>Invoice</v>
          </cell>
          <cell r="D2907">
            <v>38576</v>
          </cell>
          <cell r="F2907" t="str">
            <v>7478</v>
          </cell>
          <cell r="G2907" t="str">
            <v>Muzak, LLC:Muzak (Demo)</v>
          </cell>
          <cell r="H2907">
            <v>1</v>
          </cell>
        </row>
        <row r="2908">
          <cell r="B2908" t="str">
            <v>SWC1040-0794</v>
          </cell>
          <cell r="C2908" t="str">
            <v>Invoice</v>
          </cell>
          <cell r="D2908">
            <v>38576</v>
          </cell>
          <cell r="F2908" t="str">
            <v>7475</v>
          </cell>
          <cell r="G2908" t="str">
            <v>Muzak, LLC:Muzak (Demo)</v>
          </cell>
          <cell r="H2908">
            <v>1</v>
          </cell>
        </row>
        <row r="2909">
          <cell r="B2909" t="str">
            <v>SWC1040-0794</v>
          </cell>
          <cell r="C2909" t="str">
            <v>Invoice</v>
          </cell>
          <cell r="D2909">
            <v>38580</v>
          </cell>
          <cell r="F2909" t="str">
            <v>7492</v>
          </cell>
          <cell r="G2909" t="str">
            <v>Muzak, LLC:Muzak (Demo)</v>
          </cell>
          <cell r="H2909">
            <v>1</v>
          </cell>
        </row>
        <row r="2910">
          <cell r="B2910" t="str">
            <v>SWC1040-0794</v>
          </cell>
          <cell r="C2910" t="str">
            <v>Invoice</v>
          </cell>
          <cell r="D2910">
            <v>38580</v>
          </cell>
          <cell r="F2910" t="str">
            <v>7491</v>
          </cell>
          <cell r="G2910" t="str">
            <v>Muzak, LLC:Muzak (Demo)</v>
          </cell>
          <cell r="H2910">
            <v>1</v>
          </cell>
        </row>
        <row r="2911">
          <cell r="B2911" t="str">
            <v>SWC1040-0794</v>
          </cell>
          <cell r="C2911" t="str">
            <v>Invoice</v>
          </cell>
          <cell r="D2911">
            <v>38580</v>
          </cell>
          <cell r="F2911" t="str">
            <v>7493</v>
          </cell>
          <cell r="G2911" t="str">
            <v>Muzak, LLC:Muzak (Demo)</v>
          </cell>
          <cell r="H2911">
            <v>1</v>
          </cell>
        </row>
        <row r="2912">
          <cell r="B2912" t="str">
            <v>SWC1040-0794</v>
          </cell>
          <cell r="C2912" t="str">
            <v>Invoice</v>
          </cell>
          <cell r="D2912">
            <v>38582</v>
          </cell>
          <cell r="F2912" t="str">
            <v>7061</v>
          </cell>
          <cell r="G2912" t="str">
            <v>Hershey's, Inc.:Hershey's Chicago</v>
          </cell>
          <cell r="H2912">
            <v>1</v>
          </cell>
        </row>
        <row r="2913">
          <cell r="B2913" t="str">
            <v>SWC1040-0794</v>
          </cell>
          <cell r="C2913" t="str">
            <v>Invoice</v>
          </cell>
          <cell r="D2913">
            <v>38583</v>
          </cell>
          <cell r="F2913" t="str">
            <v>7515</v>
          </cell>
          <cell r="G2913" t="str">
            <v>American Security Bank</v>
          </cell>
          <cell r="H2913">
            <v>1</v>
          </cell>
        </row>
        <row r="2914">
          <cell r="B2914" t="str">
            <v>SWC1040-0794</v>
          </cell>
          <cell r="C2914" t="str">
            <v>Invoice</v>
          </cell>
          <cell r="D2914">
            <v>38587</v>
          </cell>
          <cell r="F2914" t="str">
            <v>7668</v>
          </cell>
          <cell r="G2914" t="str">
            <v>Muzak, LLC:Muzak (Demo)</v>
          </cell>
          <cell r="H2914">
            <v>1</v>
          </cell>
        </row>
        <row r="2915">
          <cell r="B2915" t="str">
            <v>SWC1040-0794</v>
          </cell>
          <cell r="C2915" t="str">
            <v>Invoice</v>
          </cell>
          <cell r="D2915">
            <v>38587</v>
          </cell>
          <cell r="F2915" t="str">
            <v>7667</v>
          </cell>
          <cell r="G2915" t="str">
            <v>Muzak, LLC:Muzak (Demo)</v>
          </cell>
          <cell r="H2915">
            <v>1</v>
          </cell>
        </row>
        <row r="2916">
          <cell r="B2916" t="str">
            <v>SWC1040-0794</v>
          </cell>
          <cell r="C2916" t="str">
            <v>Invoice</v>
          </cell>
          <cell r="D2916">
            <v>38590</v>
          </cell>
          <cell r="F2916" t="str">
            <v>7705</v>
          </cell>
          <cell r="G2916" t="str">
            <v>Muzak, LLC:Muzak (Demo)</v>
          </cell>
          <cell r="H2916">
            <v>1</v>
          </cell>
        </row>
        <row r="2917">
          <cell r="B2917" t="str">
            <v>SWC1040-0794</v>
          </cell>
          <cell r="C2917" t="str">
            <v>Invoice</v>
          </cell>
          <cell r="D2917">
            <v>38595</v>
          </cell>
          <cell r="F2917" t="str">
            <v>7740</v>
          </cell>
          <cell r="G2917" t="str">
            <v>Muzak, LLC:Chevron</v>
          </cell>
          <cell r="H2917">
            <v>1</v>
          </cell>
        </row>
        <row r="2918">
          <cell r="B2918" t="str">
            <v>SWC1040-0794</v>
          </cell>
          <cell r="C2918" t="str">
            <v>Invoice</v>
          </cell>
          <cell r="D2918">
            <v>38596</v>
          </cell>
          <cell r="F2918" t="str">
            <v>7746</v>
          </cell>
          <cell r="G2918" t="str">
            <v>Brown's Country Store</v>
          </cell>
          <cell r="H2918">
            <v>1</v>
          </cell>
        </row>
        <row r="2919">
          <cell r="B2919" t="str">
            <v>SWC1040-0794</v>
          </cell>
          <cell r="C2919" t="str">
            <v>Invoice</v>
          </cell>
          <cell r="D2919">
            <v>38602</v>
          </cell>
          <cell r="F2919" t="str">
            <v>7860</v>
          </cell>
          <cell r="G2919" t="str">
            <v>Hotel Hershey</v>
          </cell>
          <cell r="H2919">
            <v>1</v>
          </cell>
        </row>
        <row r="2920">
          <cell r="B2920" t="str">
            <v>SWC1040-0794</v>
          </cell>
          <cell r="C2920" t="str">
            <v>Invoice</v>
          </cell>
          <cell r="D2920">
            <v>38604</v>
          </cell>
          <cell r="F2920" t="str">
            <v>7184</v>
          </cell>
          <cell r="G2920" t="str">
            <v>Muzak, LLC:Round The Clock</v>
          </cell>
          <cell r="H2920">
            <v>1</v>
          </cell>
        </row>
        <row r="2921">
          <cell r="B2921" t="str">
            <v>SWC1040-0794</v>
          </cell>
          <cell r="C2921" t="str">
            <v>Invoice</v>
          </cell>
          <cell r="D2921">
            <v>38614</v>
          </cell>
          <cell r="F2921" t="str">
            <v>7307</v>
          </cell>
          <cell r="G2921" t="str">
            <v>Hershey's, Inc.:Hershey's Chicago</v>
          </cell>
          <cell r="H2921">
            <v>1</v>
          </cell>
        </row>
        <row r="2922">
          <cell r="B2922" t="str">
            <v>SWC1040-0794</v>
          </cell>
          <cell r="C2922" t="str">
            <v>Invoice</v>
          </cell>
          <cell r="D2922">
            <v>38615</v>
          </cell>
          <cell r="F2922" t="str">
            <v>8009</v>
          </cell>
          <cell r="G2922" t="str">
            <v>Muzak, LLC:Benny's Steak &amp; Seafood</v>
          </cell>
          <cell r="H2922">
            <v>1</v>
          </cell>
        </row>
        <row r="2923">
          <cell r="B2923" t="str">
            <v>SWC1040-0794</v>
          </cell>
          <cell r="C2923" t="str">
            <v>Invoice</v>
          </cell>
          <cell r="D2923">
            <v>38616</v>
          </cell>
          <cell r="F2923" t="str">
            <v>8047</v>
          </cell>
          <cell r="G2923" t="str">
            <v>Muzak, LLC:Peterbrooke Chocolatier 043749</v>
          </cell>
          <cell r="H2923">
            <v>1</v>
          </cell>
        </row>
        <row r="2924">
          <cell r="B2924" t="str">
            <v>SWC1040-0794</v>
          </cell>
          <cell r="C2924" t="str">
            <v>Invoice</v>
          </cell>
          <cell r="D2924">
            <v>38616</v>
          </cell>
          <cell r="F2924" t="str">
            <v>8045</v>
          </cell>
          <cell r="G2924" t="str">
            <v>Muzak, LLC:Peterbrooke Chocolatier 043747</v>
          </cell>
          <cell r="H2924">
            <v>1</v>
          </cell>
        </row>
        <row r="2925">
          <cell r="B2925" t="str">
            <v>SWC1040-0794</v>
          </cell>
          <cell r="C2925" t="str">
            <v>Invoice</v>
          </cell>
          <cell r="D2925">
            <v>38616</v>
          </cell>
          <cell r="F2925" t="str">
            <v>8044</v>
          </cell>
          <cell r="G2925" t="str">
            <v>Muzak, LLC:Peterbrooke Chocolatier 043746</v>
          </cell>
          <cell r="H2925">
            <v>1</v>
          </cell>
        </row>
        <row r="2926">
          <cell r="B2926" t="str">
            <v>SWC1040-0794</v>
          </cell>
          <cell r="C2926" t="str">
            <v>Invoice</v>
          </cell>
          <cell r="D2926">
            <v>38616</v>
          </cell>
          <cell r="F2926" t="str">
            <v>8043</v>
          </cell>
          <cell r="G2926" t="str">
            <v>Muzak, LLC:Peterbrooke Chocolatier 043745</v>
          </cell>
          <cell r="H2926">
            <v>1</v>
          </cell>
        </row>
        <row r="2927">
          <cell r="B2927" t="str">
            <v>SWC1040-0794</v>
          </cell>
          <cell r="C2927" t="str">
            <v>Invoice</v>
          </cell>
          <cell r="D2927">
            <v>38616</v>
          </cell>
          <cell r="F2927" t="str">
            <v>8042</v>
          </cell>
          <cell r="G2927" t="str">
            <v>Muzak, LLC:Peterbrooke Chocolatier 043744</v>
          </cell>
          <cell r="H2927">
            <v>1</v>
          </cell>
        </row>
        <row r="2928">
          <cell r="B2928" t="str">
            <v>SWC1040-0794</v>
          </cell>
          <cell r="C2928" t="str">
            <v>Invoice</v>
          </cell>
          <cell r="D2928">
            <v>38616</v>
          </cell>
          <cell r="F2928" t="str">
            <v>8040</v>
          </cell>
          <cell r="G2928" t="str">
            <v>Muzak, LLC:Peterbrooke Chocolatier 043742</v>
          </cell>
          <cell r="H2928">
            <v>1</v>
          </cell>
        </row>
        <row r="2929">
          <cell r="B2929" t="str">
            <v>SWC1040-0794</v>
          </cell>
          <cell r="C2929" t="str">
            <v>Invoice</v>
          </cell>
          <cell r="D2929">
            <v>38616</v>
          </cell>
          <cell r="F2929" t="str">
            <v>8041</v>
          </cell>
          <cell r="G2929" t="str">
            <v>Muzak, LLC:Peterbrooke Chocolatier 043743</v>
          </cell>
          <cell r="H2929">
            <v>1</v>
          </cell>
        </row>
        <row r="2930">
          <cell r="B2930" t="str">
            <v>SWC1040-0794</v>
          </cell>
          <cell r="C2930" t="str">
            <v>Invoice</v>
          </cell>
          <cell r="D2930">
            <v>38616</v>
          </cell>
          <cell r="F2930" t="str">
            <v>8048</v>
          </cell>
          <cell r="G2930" t="str">
            <v>Muzak, LLC:Peterbrooke Chocolatier 043750</v>
          </cell>
          <cell r="H2930">
            <v>1</v>
          </cell>
        </row>
        <row r="2931">
          <cell r="B2931" t="str">
            <v>SWC1040-0794</v>
          </cell>
          <cell r="C2931" t="str">
            <v>Invoice</v>
          </cell>
          <cell r="D2931">
            <v>38616</v>
          </cell>
          <cell r="F2931" t="str">
            <v>8046</v>
          </cell>
          <cell r="G2931" t="str">
            <v>Muzak, LLC:Peterbrooke Chocolatier 043748</v>
          </cell>
          <cell r="H2931">
            <v>1</v>
          </cell>
        </row>
        <row r="2932">
          <cell r="B2932" t="str">
            <v>SWC1040-0794</v>
          </cell>
          <cell r="C2932" t="str">
            <v>Invoice</v>
          </cell>
          <cell r="D2932">
            <v>38617</v>
          </cell>
          <cell r="F2932" t="str">
            <v>8033-I</v>
          </cell>
          <cell r="G2932" t="str">
            <v>Ethel M Chocolates, Inc.:Ethel's Chocolate Lounge-Armitage</v>
          </cell>
          <cell r="H2932">
            <v>1</v>
          </cell>
        </row>
        <row r="2933">
          <cell r="B2933" t="str">
            <v>SWC1040-0794</v>
          </cell>
          <cell r="C2933" t="str">
            <v>Invoice</v>
          </cell>
          <cell r="D2933">
            <v>38617</v>
          </cell>
          <cell r="F2933" t="str">
            <v>8034</v>
          </cell>
          <cell r="G2933" t="str">
            <v>Ethel M Chocolates, Inc.:Ethel M- Cactus Garden</v>
          </cell>
          <cell r="H2933">
            <v>1</v>
          </cell>
        </row>
        <row r="2934">
          <cell r="B2934" t="str">
            <v>SWC1040-0794</v>
          </cell>
          <cell r="C2934" t="str">
            <v>Invoice</v>
          </cell>
          <cell r="D2934">
            <v>38617</v>
          </cell>
          <cell r="F2934" t="str">
            <v>8006</v>
          </cell>
          <cell r="G2934" t="str">
            <v>Muzak, IA:Metro Communications</v>
          </cell>
          <cell r="H2934">
            <v>1</v>
          </cell>
        </row>
        <row r="2935">
          <cell r="B2935" t="str">
            <v>SWC1040-0794</v>
          </cell>
          <cell r="C2935" t="str">
            <v>Invoice</v>
          </cell>
          <cell r="D2935">
            <v>38622</v>
          </cell>
          <cell r="F2935" t="str">
            <v>8092</v>
          </cell>
          <cell r="G2935" t="str">
            <v>Muzak, IA:Metro Communications</v>
          </cell>
          <cell r="H2935">
            <v>1</v>
          </cell>
        </row>
        <row r="2936">
          <cell r="B2936" t="str">
            <v>SWC1040-0794</v>
          </cell>
          <cell r="C2936" t="str">
            <v>Invoice</v>
          </cell>
          <cell r="D2936">
            <v>38626</v>
          </cell>
          <cell r="F2936" t="str">
            <v>7760-I</v>
          </cell>
          <cell r="G2936" t="str">
            <v>Brown's Country Store</v>
          </cell>
          <cell r="H2936">
            <v>1</v>
          </cell>
        </row>
        <row r="2937">
          <cell r="B2937" t="str">
            <v>SWC1040-0794</v>
          </cell>
          <cell r="C2937" t="str">
            <v>Invoice</v>
          </cell>
          <cell r="D2937">
            <v>38630</v>
          </cell>
          <cell r="F2937" t="str">
            <v>8319</v>
          </cell>
          <cell r="G2937" t="str">
            <v>Muzak, LLC:Candy Time</v>
          </cell>
          <cell r="H2937">
            <v>1</v>
          </cell>
        </row>
        <row r="2938">
          <cell r="B2938" t="str">
            <v>SWC1040-0794</v>
          </cell>
          <cell r="C2938" t="str">
            <v>Invoice</v>
          </cell>
          <cell r="D2938">
            <v>38630</v>
          </cell>
          <cell r="F2938" t="str">
            <v>8347</v>
          </cell>
          <cell r="G2938" t="str">
            <v>Mystic Scenic Studios, Inc.</v>
          </cell>
          <cell r="H2938">
            <v>1</v>
          </cell>
        </row>
        <row r="2939">
          <cell r="B2939" t="str">
            <v>SWC1040-0828</v>
          </cell>
          <cell r="C2939" t="str">
            <v>Invoice</v>
          </cell>
          <cell r="D2939">
            <v>38482</v>
          </cell>
          <cell r="F2939" t="str">
            <v>6049</v>
          </cell>
          <cell r="G2939" t="str">
            <v>Carson Pirie Scott &amp; Co..:CPS Carson's #543</v>
          </cell>
          <cell r="H2939">
            <v>1</v>
          </cell>
        </row>
        <row r="2940">
          <cell r="B2940" t="str">
            <v>SWC1040-0828</v>
          </cell>
          <cell r="C2940" t="str">
            <v>Invoice</v>
          </cell>
          <cell r="D2940">
            <v>38485</v>
          </cell>
          <cell r="F2940" t="str">
            <v>6056</v>
          </cell>
          <cell r="G2940" t="str">
            <v>Muzak, LLC (superceded)</v>
          </cell>
          <cell r="H2940">
            <v>1</v>
          </cell>
        </row>
        <row r="2941">
          <cell r="B2941" t="str">
            <v>SWC1040-0828</v>
          </cell>
          <cell r="C2941" t="str">
            <v>Invoice</v>
          </cell>
          <cell r="D2941">
            <v>38533</v>
          </cell>
          <cell r="F2941" t="str">
            <v>7035</v>
          </cell>
          <cell r="G2941" t="str">
            <v>Carson Pirie Scott &amp; Co..:CPS Carson's #543</v>
          </cell>
          <cell r="H2941">
            <v>1</v>
          </cell>
        </row>
        <row r="2942">
          <cell r="B2942" t="str">
            <v>SWC1040-0828</v>
          </cell>
          <cell r="C2942" t="str">
            <v>Invoice</v>
          </cell>
          <cell r="D2942">
            <v>38539</v>
          </cell>
          <cell r="F2942" t="str">
            <v>7075</v>
          </cell>
          <cell r="G2942" t="str">
            <v>Western Sizzlin Corporate:Great American Steak Buffet</v>
          </cell>
          <cell r="H2942">
            <v>1</v>
          </cell>
        </row>
        <row r="2943">
          <cell r="B2943" t="str">
            <v>SWC1040-0828</v>
          </cell>
          <cell r="C2943" t="str">
            <v>Invoice</v>
          </cell>
          <cell r="D2943">
            <v>38539</v>
          </cell>
          <cell r="F2943" t="str">
            <v>7043</v>
          </cell>
          <cell r="G2943" t="str">
            <v>Western Sizzlin Corporate:Great American Steak - Waldorf</v>
          </cell>
          <cell r="H2943">
            <v>1</v>
          </cell>
        </row>
        <row r="2944">
          <cell r="B2944" t="str">
            <v>SWC1040-0828</v>
          </cell>
          <cell r="C2944" t="str">
            <v>Invoice</v>
          </cell>
          <cell r="D2944">
            <v>38542</v>
          </cell>
          <cell r="F2944" t="str">
            <v>6257</v>
          </cell>
          <cell r="G2944" t="str">
            <v>Muzak, LLC:Arbys - Simpsonville</v>
          </cell>
          <cell r="H2944">
            <v>1</v>
          </cell>
        </row>
        <row r="2945">
          <cell r="B2945" t="str">
            <v>SWC1040-0828</v>
          </cell>
          <cell r="C2945" t="str">
            <v>Invoice</v>
          </cell>
          <cell r="D2945">
            <v>38565</v>
          </cell>
          <cell r="F2945" t="str">
            <v>7239</v>
          </cell>
          <cell r="G2945" t="str">
            <v>Muzak, LLC:Muzak (Demo)</v>
          </cell>
          <cell r="H2945">
            <v>1</v>
          </cell>
        </row>
        <row r="2946">
          <cell r="B2946" t="str">
            <v>SWC1040-0828</v>
          </cell>
          <cell r="C2946" t="str">
            <v>Invoice</v>
          </cell>
          <cell r="D2946">
            <v>38565</v>
          </cell>
          <cell r="F2946" t="str">
            <v>7240</v>
          </cell>
          <cell r="G2946" t="str">
            <v>Muzak, LLC:Just Fresh Bakery Cafe &amp; Mkt. - Durham</v>
          </cell>
          <cell r="H2946">
            <v>1</v>
          </cell>
        </row>
        <row r="2947">
          <cell r="B2947" t="str">
            <v>SWC1040-0828</v>
          </cell>
          <cell r="C2947" t="str">
            <v>Invoice</v>
          </cell>
          <cell r="D2947">
            <v>38575</v>
          </cell>
          <cell r="F2947" t="str">
            <v>7437</v>
          </cell>
          <cell r="G2947" t="str">
            <v>Muzak, LLC:Giant Eagle #229</v>
          </cell>
          <cell r="H2947">
            <v>1</v>
          </cell>
        </row>
        <row r="2948">
          <cell r="B2948" t="str">
            <v>SWC1040-0828</v>
          </cell>
          <cell r="C2948" t="str">
            <v>Invoice</v>
          </cell>
          <cell r="D2948">
            <v>38586</v>
          </cell>
          <cell r="F2948" t="str">
            <v>7638</v>
          </cell>
          <cell r="G2948" t="str">
            <v>Muzak, LLC</v>
          </cell>
          <cell r="H2948">
            <v>1</v>
          </cell>
        </row>
        <row r="2949">
          <cell r="B2949" t="str">
            <v>SWC1040-0828</v>
          </cell>
          <cell r="C2949" t="str">
            <v>Invoice</v>
          </cell>
          <cell r="D2949">
            <v>38587</v>
          </cell>
          <cell r="F2949" t="str">
            <v>7669</v>
          </cell>
          <cell r="G2949" t="str">
            <v>Muzak, LLC:Muzak (Demo)</v>
          </cell>
          <cell r="H2949">
            <v>1</v>
          </cell>
        </row>
        <row r="2950">
          <cell r="B2950" t="str">
            <v>SWC1040-0828</v>
          </cell>
          <cell r="C2950" t="str">
            <v>Invoice</v>
          </cell>
          <cell r="D2950">
            <v>38588</v>
          </cell>
          <cell r="F2950" t="str">
            <v>7664</v>
          </cell>
          <cell r="G2950" t="str">
            <v>Muzak, IA:Carolina Sound Communications</v>
          </cell>
          <cell r="H2950">
            <v>1</v>
          </cell>
        </row>
        <row r="2951">
          <cell r="B2951" t="str">
            <v>SWC1040-0828</v>
          </cell>
          <cell r="C2951" t="str">
            <v>Invoice</v>
          </cell>
          <cell r="D2951">
            <v>38588</v>
          </cell>
          <cell r="F2951" t="str">
            <v>7687</v>
          </cell>
          <cell r="G2951" t="str">
            <v>Muzak, LLC:Folks</v>
          </cell>
          <cell r="H2951">
            <v>1</v>
          </cell>
        </row>
        <row r="2952">
          <cell r="B2952" t="str">
            <v>SWC1040-0828</v>
          </cell>
          <cell r="C2952" t="str">
            <v>Invoice</v>
          </cell>
          <cell r="D2952">
            <v>38590</v>
          </cell>
          <cell r="F2952" t="str">
            <v>7709</v>
          </cell>
          <cell r="G2952" t="str">
            <v>Muzak, LLC:Burger King - #2771</v>
          </cell>
          <cell r="H2952">
            <v>1</v>
          </cell>
        </row>
        <row r="2953">
          <cell r="B2953" t="str">
            <v>SWC1040-0828</v>
          </cell>
          <cell r="C2953" t="str">
            <v>Invoice</v>
          </cell>
          <cell r="D2953">
            <v>38595</v>
          </cell>
          <cell r="F2953" t="str">
            <v>7703</v>
          </cell>
          <cell r="G2953" t="str">
            <v>Muzak, LLC:Just Fresh Bakery Cafe &amp; Mkt. - Durham</v>
          </cell>
          <cell r="H2953">
            <v>1</v>
          </cell>
        </row>
        <row r="2954">
          <cell r="B2954" t="str">
            <v>SWC1040-0828</v>
          </cell>
          <cell r="C2954" t="str">
            <v>Invoice</v>
          </cell>
          <cell r="D2954">
            <v>38597</v>
          </cell>
          <cell r="F2954" t="str">
            <v>7814</v>
          </cell>
          <cell r="G2954" t="str">
            <v>Muzak, LLC:McDonald's - West Hills</v>
          </cell>
          <cell r="H2954">
            <v>1</v>
          </cell>
        </row>
        <row r="2955">
          <cell r="B2955" t="str">
            <v>SWC1040-0828</v>
          </cell>
          <cell r="C2955" t="str">
            <v>Invoice</v>
          </cell>
          <cell r="D2955">
            <v>38601</v>
          </cell>
          <cell r="F2955" t="str">
            <v>7809</v>
          </cell>
          <cell r="G2955" t="str">
            <v>Muzak, LLC:Mossfire Grill</v>
          </cell>
          <cell r="H2955">
            <v>1</v>
          </cell>
        </row>
        <row r="2956">
          <cell r="B2956" t="str">
            <v>SWC1040-0828</v>
          </cell>
          <cell r="C2956" t="str">
            <v>Invoice</v>
          </cell>
          <cell r="D2956">
            <v>38602</v>
          </cell>
          <cell r="F2956" t="str">
            <v>7192</v>
          </cell>
          <cell r="G2956" t="str">
            <v>Muzak, LLC:Arbys - Simpsonville</v>
          </cell>
          <cell r="H2956">
            <v>1</v>
          </cell>
        </row>
        <row r="2957">
          <cell r="B2957" t="str">
            <v>SWC1040-0828</v>
          </cell>
          <cell r="C2957" t="str">
            <v>Invoice</v>
          </cell>
          <cell r="D2957">
            <v>38603</v>
          </cell>
          <cell r="F2957" t="str">
            <v>7841</v>
          </cell>
          <cell r="G2957" t="str">
            <v>Muzak, LLC:Giant Eagle #6384</v>
          </cell>
          <cell r="H2957">
            <v>1</v>
          </cell>
        </row>
        <row r="2958">
          <cell r="B2958" t="str">
            <v>SWC1040-0828</v>
          </cell>
          <cell r="C2958" t="str">
            <v>Invoice</v>
          </cell>
          <cell r="D2958">
            <v>38603</v>
          </cell>
          <cell r="F2958" t="str">
            <v>7882</v>
          </cell>
          <cell r="G2958" t="str">
            <v>Muzak, LLC:McDonald's - Kansas City</v>
          </cell>
          <cell r="H2958">
            <v>1</v>
          </cell>
        </row>
        <row r="2959">
          <cell r="B2959" t="str">
            <v>SWC1040-0828</v>
          </cell>
          <cell r="C2959" t="str">
            <v>Invoice</v>
          </cell>
          <cell r="D2959">
            <v>38607</v>
          </cell>
          <cell r="F2959" t="str">
            <v>7889</v>
          </cell>
          <cell r="G2959" t="str">
            <v>Muzak, IA:Soundcom LLC of Florida - Palm Beach</v>
          </cell>
          <cell r="H2959">
            <v>1</v>
          </cell>
        </row>
        <row r="2960">
          <cell r="B2960" t="str">
            <v>SWC1040-0828</v>
          </cell>
          <cell r="C2960" t="str">
            <v>Invoice</v>
          </cell>
          <cell r="D2960">
            <v>38608</v>
          </cell>
          <cell r="F2960" t="str">
            <v>7911</v>
          </cell>
          <cell r="G2960" t="str">
            <v>Muzak, LLC:Giant Eagle #229</v>
          </cell>
          <cell r="H2960">
            <v>1</v>
          </cell>
        </row>
        <row r="2961">
          <cell r="B2961" t="str">
            <v>SWC1040-0828</v>
          </cell>
          <cell r="C2961" t="str">
            <v>Invoice</v>
          </cell>
          <cell r="D2961">
            <v>38614</v>
          </cell>
          <cell r="F2961" t="str">
            <v>7983</v>
          </cell>
          <cell r="G2961" t="str">
            <v>Muzak, LLC:Firehouse Bar &amp; Grill</v>
          </cell>
          <cell r="H2961">
            <v>1</v>
          </cell>
        </row>
        <row r="2962">
          <cell r="B2962" t="str">
            <v>SWC1040-0828</v>
          </cell>
          <cell r="C2962" t="str">
            <v>Invoice</v>
          </cell>
          <cell r="D2962">
            <v>38617</v>
          </cell>
          <cell r="F2962" t="str">
            <v>8066</v>
          </cell>
          <cell r="G2962" t="str">
            <v>Muzak, LLC:Just Fresh Bakery Cafe &amp; Mkt. - Raleigh</v>
          </cell>
          <cell r="H2962">
            <v>1</v>
          </cell>
        </row>
        <row r="2963">
          <cell r="B2963" t="str">
            <v>SWC1040-0828</v>
          </cell>
          <cell r="C2963" t="str">
            <v>Invoice</v>
          </cell>
          <cell r="D2963">
            <v>38622</v>
          </cell>
          <cell r="F2963" t="str">
            <v>8099</v>
          </cell>
          <cell r="G2963" t="str">
            <v>Muzak, LLC:Coggins</v>
          </cell>
          <cell r="H2963">
            <v>1</v>
          </cell>
        </row>
        <row r="2964">
          <cell r="B2964" t="str">
            <v>SWC1040-0828</v>
          </cell>
          <cell r="C2964" t="str">
            <v>Invoice</v>
          </cell>
          <cell r="D2964">
            <v>38622</v>
          </cell>
          <cell r="F2964" t="str">
            <v>8102</v>
          </cell>
          <cell r="G2964" t="str">
            <v>Muzak, LLC:McDonald's 4584/ 2682</v>
          </cell>
          <cell r="H2964">
            <v>1</v>
          </cell>
        </row>
        <row r="2965">
          <cell r="B2965" t="str">
            <v>SWC1040-0828</v>
          </cell>
          <cell r="C2965" t="str">
            <v>Invoice</v>
          </cell>
          <cell r="D2965">
            <v>38624</v>
          </cell>
          <cell r="F2965" t="str">
            <v>7741</v>
          </cell>
          <cell r="G2965" t="str">
            <v>Muzak, LLC:Chevron</v>
          </cell>
          <cell r="H2965">
            <v>1</v>
          </cell>
        </row>
        <row r="2966">
          <cell r="B2966" t="str">
            <v>SWC1040-0828</v>
          </cell>
          <cell r="C2966" t="str">
            <v>Invoice</v>
          </cell>
          <cell r="D2966">
            <v>38624</v>
          </cell>
          <cell r="F2966" t="str">
            <v>8189</v>
          </cell>
          <cell r="G2966" t="str">
            <v>Muzak, LLC:Muzak (Demo)</v>
          </cell>
          <cell r="H2966">
            <v>1</v>
          </cell>
        </row>
        <row r="2967">
          <cell r="B2967" t="str">
            <v>SWC1040-0828</v>
          </cell>
          <cell r="C2967" t="str">
            <v>Invoice</v>
          </cell>
          <cell r="D2967">
            <v>38628</v>
          </cell>
          <cell r="F2967" t="str">
            <v>7704</v>
          </cell>
          <cell r="G2967" t="str">
            <v>Muzak, LLC:Just Fresh Bakery Cafe &amp; Mkt. - Durham</v>
          </cell>
          <cell r="H2967">
            <v>1</v>
          </cell>
        </row>
        <row r="2968">
          <cell r="B2968" t="str">
            <v>SWC1040-0828</v>
          </cell>
          <cell r="C2968" t="str">
            <v>Invoice</v>
          </cell>
          <cell r="D2968">
            <v>38630</v>
          </cell>
          <cell r="F2968" t="str">
            <v>8318</v>
          </cell>
          <cell r="G2968" t="str">
            <v>Muzak, IA:Texas Wired</v>
          </cell>
          <cell r="H2968">
            <v>1</v>
          </cell>
        </row>
        <row r="2969">
          <cell r="B2969" t="str">
            <v>SWC1040-0829</v>
          </cell>
          <cell r="C2969" t="str">
            <v>Invoice</v>
          </cell>
          <cell r="D2969">
            <v>38623</v>
          </cell>
          <cell r="F2969" t="str">
            <v>8138</v>
          </cell>
          <cell r="G2969" t="str">
            <v>Muzak, LLC:Clarion Floridian</v>
          </cell>
          <cell r="H2969">
            <v>1</v>
          </cell>
        </row>
        <row r="2970">
          <cell r="B2970" t="str">
            <v>SWC1040-0831</v>
          </cell>
          <cell r="C2970" t="str">
            <v>Invoice</v>
          </cell>
          <cell r="D2970">
            <v>38470</v>
          </cell>
          <cell r="F2970" t="str">
            <v>6006</v>
          </cell>
          <cell r="G2970" t="str">
            <v>Techno Satellite</v>
          </cell>
          <cell r="H2970">
            <v>1</v>
          </cell>
        </row>
        <row r="2971">
          <cell r="B2971" t="str">
            <v>SWC1040-0833</v>
          </cell>
          <cell r="C2971" t="str">
            <v>Invoice</v>
          </cell>
          <cell r="D2971">
            <v>38513</v>
          </cell>
          <cell r="F2971" t="str">
            <v>6226</v>
          </cell>
          <cell r="G2971" t="str">
            <v>Universal Studios Orlando:Islands of Adventure Merchandise</v>
          </cell>
          <cell r="H2971">
            <v>1</v>
          </cell>
        </row>
        <row r="2972">
          <cell r="B2972" t="str">
            <v>SWC1040-0833</v>
          </cell>
          <cell r="C2972" t="str">
            <v>Invoice</v>
          </cell>
          <cell r="D2972">
            <v>38533</v>
          </cell>
          <cell r="F2972" t="str">
            <v>6236</v>
          </cell>
          <cell r="G2972" t="str">
            <v>Universal Studios Orlando:Islands of Adventure Merchandise</v>
          </cell>
          <cell r="H2972">
            <v>1</v>
          </cell>
        </row>
        <row r="2973">
          <cell r="B2973" t="str">
            <v>SWC1040-0833</v>
          </cell>
          <cell r="C2973" t="str">
            <v>Invoice</v>
          </cell>
          <cell r="D2973">
            <v>38562</v>
          </cell>
          <cell r="F2973" t="str">
            <v>6383</v>
          </cell>
          <cell r="G2973" t="str">
            <v>Universal Studios Orlando:Islands of Adventure Merchandise</v>
          </cell>
          <cell r="H2973">
            <v>1</v>
          </cell>
        </row>
        <row r="2974">
          <cell r="B2974" t="str">
            <v>SWC1040-0833</v>
          </cell>
          <cell r="C2974" t="str">
            <v>Invoice</v>
          </cell>
          <cell r="D2974">
            <v>38595</v>
          </cell>
          <cell r="F2974" t="str">
            <v>7148</v>
          </cell>
          <cell r="G2974" t="str">
            <v>Universal Studios Orlando:Islands of Adventure Merchandise</v>
          </cell>
          <cell r="H2974">
            <v>1</v>
          </cell>
        </row>
        <row r="2975">
          <cell r="B2975" t="str">
            <v>SWC1040-0833</v>
          </cell>
          <cell r="C2975" t="str">
            <v>Invoice</v>
          </cell>
          <cell r="D2975">
            <v>38618</v>
          </cell>
          <cell r="F2975" t="str">
            <v>6403</v>
          </cell>
          <cell r="G2975" t="str">
            <v>NBC Experience Store</v>
          </cell>
          <cell r="H2975">
            <v>1</v>
          </cell>
        </row>
        <row r="2976">
          <cell r="B2976" t="str">
            <v>SWC1040-0833</v>
          </cell>
          <cell r="C2976" t="str">
            <v>Invoice</v>
          </cell>
          <cell r="D2976">
            <v>38626</v>
          </cell>
          <cell r="F2976" t="str">
            <v>7500</v>
          </cell>
          <cell r="G2976" t="str">
            <v>Universal Studios Orlando:Islands of Adventure Merchandise</v>
          </cell>
          <cell r="H2976">
            <v>1</v>
          </cell>
        </row>
        <row r="2977">
          <cell r="B2977" t="str">
            <v>SWC1040-0834</v>
          </cell>
          <cell r="C2977" t="str">
            <v>Invoice</v>
          </cell>
          <cell r="D2977">
            <v>38595</v>
          </cell>
          <cell r="F2977" t="str">
            <v>7737</v>
          </cell>
          <cell r="G2977" t="str">
            <v>Muzak, LLC:Candy Time</v>
          </cell>
          <cell r="H2977">
            <v>1</v>
          </cell>
        </row>
        <row r="2978">
          <cell r="B2978" t="str">
            <v>SWC1040-0837</v>
          </cell>
          <cell r="C2978" t="str">
            <v>Invoice</v>
          </cell>
          <cell r="D2978">
            <v>38559</v>
          </cell>
          <cell r="F2978" t="str">
            <v>7202</v>
          </cell>
          <cell r="G2978" t="str">
            <v>Pacific Pets Inc.</v>
          </cell>
          <cell r="H2978">
            <v>1</v>
          </cell>
        </row>
        <row r="2979">
          <cell r="B2979" t="str">
            <v>SWC1040-0837</v>
          </cell>
          <cell r="C2979" t="str">
            <v>Invoice</v>
          </cell>
          <cell r="D2979">
            <v>38588</v>
          </cell>
          <cell r="F2979" t="str">
            <v>7203</v>
          </cell>
          <cell r="G2979" t="str">
            <v>Pacific Pets Inc.</v>
          </cell>
          <cell r="H2979">
            <v>1</v>
          </cell>
        </row>
        <row r="2980">
          <cell r="B2980" t="str">
            <v>SWC1040-0837</v>
          </cell>
          <cell r="C2980" t="str">
            <v>Invoice</v>
          </cell>
          <cell r="D2980">
            <v>38618</v>
          </cell>
          <cell r="F2980" t="str">
            <v>7204</v>
          </cell>
          <cell r="G2980" t="str">
            <v>Pacific Pets Inc.</v>
          </cell>
          <cell r="H2980">
            <v>1</v>
          </cell>
        </row>
        <row r="2981">
          <cell r="B2981" t="str">
            <v>SWC1040-0837</v>
          </cell>
          <cell r="C2981" t="str">
            <v>Invoice</v>
          </cell>
          <cell r="D2981">
            <v>38630</v>
          </cell>
          <cell r="F2981" t="str">
            <v>7833</v>
          </cell>
          <cell r="G2981" t="str">
            <v>Skatetown - Roseville</v>
          </cell>
          <cell r="H2981">
            <v>1</v>
          </cell>
        </row>
        <row r="2982">
          <cell r="B2982" t="str">
            <v>SWC1040-0847</v>
          </cell>
          <cell r="C2982" t="str">
            <v>Invoice</v>
          </cell>
          <cell r="D2982">
            <v>38509</v>
          </cell>
          <cell r="F2982" t="str">
            <v>6245</v>
          </cell>
          <cell r="G2982" t="str">
            <v>American Solutions Inc.</v>
          </cell>
          <cell r="H2982">
            <v>1</v>
          </cell>
        </row>
        <row r="2983">
          <cell r="B2983" t="str">
            <v>SWC1040-0847</v>
          </cell>
          <cell r="C2983" t="str">
            <v>Invoice</v>
          </cell>
          <cell r="D2983">
            <v>38533</v>
          </cell>
          <cell r="F2983" t="str">
            <v>7026</v>
          </cell>
          <cell r="G2983" t="str">
            <v>American Solutions Inc.</v>
          </cell>
          <cell r="H2983">
            <v>1</v>
          </cell>
        </row>
        <row r="2984">
          <cell r="B2984" t="str">
            <v>SWC1040-0849</v>
          </cell>
          <cell r="C2984" t="str">
            <v>Invoice</v>
          </cell>
          <cell r="D2984">
            <v>38489</v>
          </cell>
          <cell r="F2984" t="str">
            <v>5728</v>
          </cell>
          <cell r="G2984" t="str">
            <v>Muzak, LLC</v>
          </cell>
          <cell r="H2984">
            <v>1</v>
          </cell>
        </row>
        <row r="2985">
          <cell r="B2985" t="str">
            <v>SWC1040-0849</v>
          </cell>
          <cell r="C2985" t="str">
            <v>Invoice</v>
          </cell>
          <cell r="D2985">
            <v>38490</v>
          </cell>
          <cell r="F2985" t="str">
            <v>6080</v>
          </cell>
          <cell r="G2985" t="str">
            <v>Muzak, LLC (superceded)</v>
          </cell>
          <cell r="H2985">
            <v>1</v>
          </cell>
        </row>
        <row r="2986">
          <cell r="B2986" t="str">
            <v>SWC1040-0849</v>
          </cell>
          <cell r="C2986" t="str">
            <v>Invoice</v>
          </cell>
          <cell r="D2986">
            <v>38533</v>
          </cell>
          <cell r="F2986" t="str">
            <v>7050</v>
          </cell>
          <cell r="G2986" t="str">
            <v>Scent Events, LLC</v>
          </cell>
          <cell r="H2986">
            <v>1</v>
          </cell>
        </row>
        <row r="2987">
          <cell r="B2987" t="str">
            <v>SWC1040-0849</v>
          </cell>
          <cell r="C2987" t="str">
            <v>Invoice</v>
          </cell>
          <cell r="D2987">
            <v>38548</v>
          </cell>
          <cell r="F2987" t="str">
            <v>7142</v>
          </cell>
          <cell r="G2987" t="str">
            <v>Muzak, LLC:Schnuck Markets, Inc. #180</v>
          </cell>
          <cell r="H2987">
            <v>1</v>
          </cell>
        </row>
        <row r="2988">
          <cell r="B2988" t="str">
            <v>SWC1040-0849</v>
          </cell>
          <cell r="C2988" t="str">
            <v>Invoice</v>
          </cell>
          <cell r="D2988">
            <v>38554</v>
          </cell>
          <cell r="F2988" t="str">
            <v>7085</v>
          </cell>
          <cell r="G2988" t="str">
            <v>Muzak, LLC:Central Dermatology Center</v>
          </cell>
          <cell r="H2988">
            <v>1</v>
          </cell>
        </row>
        <row r="2989">
          <cell r="B2989" t="str">
            <v>SWC1040-0849</v>
          </cell>
          <cell r="C2989" t="str">
            <v>Invoice</v>
          </cell>
          <cell r="D2989">
            <v>38594</v>
          </cell>
          <cell r="F2989" t="str">
            <v>7726</v>
          </cell>
          <cell r="G2989" t="str">
            <v>Muzak, LLC:Schnuck Markets, Inc. #180</v>
          </cell>
          <cell r="H2989">
            <v>1</v>
          </cell>
        </row>
        <row r="2990">
          <cell r="B2990" t="str">
            <v>SWC1040-0849</v>
          </cell>
          <cell r="C2990" t="str">
            <v>Invoice</v>
          </cell>
          <cell r="D2990">
            <v>38601</v>
          </cell>
          <cell r="F2990" t="str">
            <v>7838</v>
          </cell>
          <cell r="G2990" t="str">
            <v>Muzak, LLC:Muzak (Demo)</v>
          </cell>
          <cell r="H2990">
            <v>1</v>
          </cell>
        </row>
        <row r="2991">
          <cell r="B2991" t="str">
            <v>SWC1040-0849</v>
          </cell>
          <cell r="C2991" t="str">
            <v>Invoice</v>
          </cell>
          <cell r="D2991">
            <v>38618</v>
          </cell>
          <cell r="F2991" t="str">
            <v>8086</v>
          </cell>
          <cell r="G2991" t="str">
            <v>Muzak, LLC:Muzak (Demo)</v>
          </cell>
          <cell r="H2991">
            <v>1</v>
          </cell>
        </row>
        <row r="2992">
          <cell r="B2992" t="str">
            <v>SWC1040-0849</v>
          </cell>
          <cell r="C2992" t="str">
            <v>Invoice</v>
          </cell>
          <cell r="D2992">
            <v>38624</v>
          </cell>
          <cell r="F2992" t="str">
            <v>7727</v>
          </cell>
          <cell r="G2992" t="str">
            <v>Muzak, LLC:Schnuck Markets, Inc. #180</v>
          </cell>
          <cell r="H2992">
            <v>1</v>
          </cell>
        </row>
        <row r="2993">
          <cell r="B2993" t="str">
            <v>SWC1040-0851</v>
          </cell>
          <cell r="C2993" t="str">
            <v>Invoice</v>
          </cell>
          <cell r="D2993">
            <v>38516</v>
          </cell>
          <cell r="F2993" t="str">
            <v>6333</v>
          </cell>
          <cell r="G2993" t="str">
            <v>GMR Marketing</v>
          </cell>
          <cell r="H2993">
            <v>1</v>
          </cell>
        </row>
        <row r="2994">
          <cell r="B2994" t="str">
            <v>SWC1040-0851</v>
          </cell>
          <cell r="C2994" t="str">
            <v>Invoice</v>
          </cell>
          <cell r="D2994">
            <v>38553</v>
          </cell>
          <cell r="F2994" t="str">
            <v>7175</v>
          </cell>
          <cell r="G2994" t="str">
            <v>Harley Davidson of Cool Springs</v>
          </cell>
          <cell r="H2994">
            <v>1</v>
          </cell>
        </row>
        <row r="2995">
          <cell r="B2995" t="str">
            <v>SWC1040-0851</v>
          </cell>
          <cell r="C2995" t="str">
            <v>Invoice</v>
          </cell>
          <cell r="D2995">
            <v>38554</v>
          </cell>
          <cell r="F2995" t="str">
            <v>7176</v>
          </cell>
          <cell r="G2995" t="str">
            <v>American Solutions Inc.</v>
          </cell>
          <cell r="H2995">
            <v>1</v>
          </cell>
        </row>
        <row r="2996">
          <cell r="B2996" t="str">
            <v>SWC1040-0851</v>
          </cell>
          <cell r="C2996" t="str">
            <v>Invoice</v>
          </cell>
          <cell r="D2996">
            <v>38562</v>
          </cell>
          <cell r="F2996" t="str">
            <v>6283</v>
          </cell>
          <cell r="G2996" t="str">
            <v>Techno Satellite</v>
          </cell>
          <cell r="H2996">
            <v>1</v>
          </cell>
        </row>
        <row r="2997">
          <cell r="B2997" t="str">
            <v>SWC1040-0851</v>
          </cell>
          <cell r="C2997" t="str">
            <v>Invoice</v>
          </cell>
          <cell r="D2997">
            <v>38579</v>
          </cell>
          <cell r="F2997" t="str">
            <v>7180</v>
          </cell>
          <cell r="G2997" t="str">
            <v>Harley Davidson of Cool Springs</v>
          </cell>
          <cell r="H2997">
            <v>1</v>
          </cell>
        </row>
        <row r="2998">
          <cell r="B2998" t="str">
            <v>SWC1040-0851</v>
          </cell>
          <cell r="C2998" t="str">
            <v>Invoice</v>
          </cell>
          <cell r="D2998">
            <v>38596</v>
          </cell>
          <cell r="F2998" t="str">
            <v>7752</v>
          </cell>
          <cell r="G2998" t="str">
            <v>Muzak, LLC:Mattress Zone 042896</v>
          </cell>
          <cell r="H2998">
            <v>1</v>
          </cell>
        </row>
        <row r="2999">
          <cell r="B2999" t="str">
            <v>SWC1040-0851</v>
          </cell>
          <cell r="C2999" t="str">
            <v>Invoice</v>
          </cell>
          <cell r="D2999">
            <v>38596</v>
          </cell>
          <cell r="F2999" t="str">
            <v>7753</v>
          </cell>
          <cell r="G2999" t="str">
            <v>Muzak, LLC:Mattress Zone 042807</v>
          </cell>
          <cell r="H2999">
            <v>1</v>
          </cell>
        </row>
        <row r="3000">
          <cell r="B3000" t="str">
            <v>SWC1040-0851</v>
          </cell>
          <cell r="C3000" t="str">
            <v>Invoice</v>
          </cell>
          <cell r="D3000">
            <v>38596</v>
          </cell>
          <cell r="F3000" t="str">
            <v>7754</v>
          </cell>
          <cell r="G3000" t="str">
            <v>Muzak, LLC:Mattress Zone 042804</v>
          </cell>
          <cell r="H3000">
            <v>1</v>
          </cell>
        </row>
        <row r="3001">
          <cell r="B3001" t="str">
            <v>SWC1040-0851</v>
          </cell>
          <cell r="C3001" t="str">
            <v>Invoice</v>
          </cell>
          <cell r="D3001">
            <v>38597</v>
          </cell>
          <cell r="F3001" t="str">
            <v>7817</v>
          </cell>
          <cell r="G3001" t="str">
            <v>Muzak, LLC:Dessert Gallery</v>
          </cell>
          <cell r="H3001">
            <v>1</v>
          </cell>
        </row>
        <row r="3002">
          <cell r="B3002" t="str">
            <v>SWC1040-0851</v>
          </cell>
          <cell r="C3002" t="str">
            <v>Invoice</v>
          </cell>
          <cell r="D3002">
            <v>38601</v>
          </cell>
          <cell r="F3002" t="str">
            <v>7751</v>
          </cell>
          <cell r="G3002" t="str">
            <v>Muzak, IA:Soundcom LLC of Florida - Palm Beach:Mattress Zone - Jensen Beach</v>
          </cell>
          <cell r="H3002">
            <v>1</v>
          </cell>
        </row>
        <row r="3003">
          <cell r="B3003" t="str">
            <v>SWC1040-0851</v>
          </cell>
          <cell r="C3003" t="str">
            <v>Invoice</v>
          </cell>
          <cell r="D3003">
            <v>38610</v>
          </cell>
          <cell r="F3003" t="str">
            <v>7248</v>
          </cell>
          <cell r="G3003" t="str">
            <v>Harley Davidson of Cool Springs</v>
          </cell>
          <cell r="H3003">
            <v>1</v>
          </cell>
        </row>
        <row r="3004">
          <cell r="B3004" t="str">
            <v>SWC1040-0851</v>
          </cell>
          <cell r="C3004" t="str">
            <v>Invoice</v>
          </cell>
          <cell r="D3004">
            <v>38615</v>
          </cell>
          <cell r="F3004" t="str">
            <v>8004</v>
          </cell>
          <cell r="G3004" t="str">
            <v>American Solutions Inc.</v>
          </cell>
          <cell r="H3004">
            <v>1</v>
          </cell>
        </row>
        <row r="3005">
          <cell r="B3005" t="str">
            <v>SWC1040-0851</v>
          </cell>
          <cell r="C3005" t="str">
            <v>Invoice</v>
          </cell>
          <cell r="D3005">
            <v>38618</v>
          </cell>
          <cell r="F3005" t="str">
            <v>8061</v>
          </cell>
          <cell r="G3005" t="str">
            <v>Muzak, LLC:Hilton Saint Augustine</v>
          </cell>
          <cell r="H3005">
            <v>1</v>
          </cell>
        </row>
        <row r="3006">
          <cell r="B3006" t="str">
            <v>SWC1040-0851</v>
          </cell>
          <cell r="C3006" t="str">
            <v>Invoice</v>
          </cell>
          <cell r="D3006">
            <v>38618</v>
          </cell>
          <cell r="F3006" t="str">
            <v>8085</v>
          </cell>
          <cell r="G3006" t="str">
            <v>Scott Roeb Catering &amp; Events, Inc.</v>
          </cell>
          <cell r="H3006">
            <v>1</v>
          </cell>
        </row>
        <row r="3007">
          <cell r="B3007" t="str">
            <v>SWC1040-0854</v>
          </cell>
          <cell r="C3007" t="str">
            <v>Invoice</v>
          </cell>
          <cell r="D3007">
            <v>38525</v>
          </cell>
          <cell r="F3007" t="str">
            <v>5572</v>
          </cell>
          <cell r="G3007" t="str">
            <v>Busch Gardens - Williamsburg</v>
          </cell>
          <cell r="H3007">
            <v>1</v>
          </cell>
        </row>
        <row r="3008">
          <cell r="B3008" t="str">
            <v>SWC1040-0854</v>
          </cell>
          <cell r="C3008" t="str">
            <v>Invoice</v>
          </cell>
          <cell r="D3008">
            <v>38572</v>
          </cell>
          <cell r="F3008" t="str">
            <v>7333</v>
          </cell>
          <cell r="G3008" t="str">
            <v>Diesel USA, Inc.</v>
          </cell>
          <cell r="H3008">
            <v>1</v>
          </cell>
        </row>
        <row r="3009">
          <cell r="B3009" t="str">
            <v>SWC1040-0854</v>
          </cell>
          <cell r="C3009" t="str">
            <v>Invoice</v>
          </cell>
          <cell r="D3009">
            <v>38583</v>
          </cell>
          <cell r="F3009" t="str">
            <v>7639</v>
          </cell>
          <cell r="G3009" t="str">
            <v>Muzak, LLC:Muzak (Demo)</v>
          </cell>
          <cell r="H3009">
            <v>1</v>
          </cell>
        </row>
        <row r="3010">
          <cell r="B3010" t="str">
            <v>SWC1040-0854</v>
          </cell>
          <cell r="C3010" t="str">
            <v>Invoice</v>
          </cell>
          <cell r="D3010">
            <v>38597</v>
          </cell>
          <cell r="F3010" t="str">
            <v>7335</v>
          </cell>
          <cell r="G3010" t="str">
            <v>Diesel USA, Inc.</v>
          </cell>
          <cell r="H3010">
            <v>1</v>
          </cell>
        </row>
        <row r="3011">
          <cell r="B3011" t="str">
            <v>SWC1040-0854</v>
          </cell>
          <cell r="C3011" t="str">
            <v>Invoice</v>
          </cell>
          <cell r="D3011">
            <v>38618</v>
          </cell>
          <cell r="F3011" t="str">
            <v>8089</v>
          </cell>
          <cell r="G3011" t="str">
            <v>ORB Management</v>
          </cell>
          <cell r="H3011">
            <v>1</v>
          </cell>
        </row>
        <row r="3012">
          <cell r="B3012" t="str">
            <v>SWC1040-0854</v>
          </cell>
          <cell r="C3012" t="str">
            <v>Invoice</v>
          </cell>
          <cell r="D3012">
            <v>38629</v>
          </cell>
          <cell r="F3012" t="str">
            <v>7538</v>
          </cell>
          <cell r="G3012" t="str">
            <v>Diesel USA, Inc.</v>
          </cell>
          <cell r="H3012">
            <v>1</v>
          </cell>
        </row>
        <row r="3013">
          <cell r="B3013" t="str">
            <v>SWC1040-0859</v>
          </cell>
          <cell r="C3013" t="str">
            <v>Invoice</v>
          </cell>
          <cell r="D3013">
            <v>38470</v>
          </cell>
          <cell r="F3013" t="str">
            <v>6006</v>
          </cell>
          <cell r="G3013" t="str">
            <v>Techno Satellite</v>
          </cell>
          <cell r="H3013">
            <v>1</v>
          </cell>
        </row>
        <row r="3014">
          <cell r="B3014" t="str">
            <v>SWC1040-0860</v>
          </cell>
          <cell r="C3014" t="str">
            <v>Invoice</v>
          </cell>
          <cell r="D3014">
            <v>38629</v>
          </cell>
          <cell r="F3014" t="str">
            <v>8317</v>
          </cell>
          <cell r="G3014" t="str">
            <v>Promotool</v>
          </cell>
          <cell r="H3014">
            <v>1</v>
          </cell>
        </row>
        <row r="3015">
          <cell r="B3015" t="str">
            <v>SWC1040-0861</v>
          </cell>
          <cell r="C3015" t="str">
            <v>Invoice</v>
          </cell>
          <cell r="D3015">
            <v>38625</v>
          </cell>
          <cell r="F3015" t="str">
            <v>8096</v>
          </cell>
          <cell r="G3015" t="str">
            <v>Videotronic Benelux BV</v>
          </cell>
          <cell r="H3015">
            <v>1</v>
          </cell>
        </row>
        <row r="3016">
          <cell r="B3016" t="str">
            <v>SWC1040-0869</v>
          </cell>
          <cell r="C3016" t="str">
            <v>Invoice</v>
          </cell>
          <cell r="D3016">
            <v>38533</v>
          </cell>
          <cell r="F3016" t="str">
            <v>7041</v>
          </cell>
          <cell r="G3016" t="str">
            <v>Arkitectura Urbana</v>
          </cell>
          <cell r="H3016">
            <v>1</v>
          </cell>
        </row>
        <row r="3017">
          <cell r="B3017" t="str">
            <v>SWC1040-0892</v>
          </cell>
          <cell r="C3017" t="str">
            <v>Invoice</v>
          </cell>
          <cell r="D3017">
            <v>38539</v>
          </cell>
          <cell r="F3017" t="str">
            <v>7029</v>
          </cell>
          <cell r="G3017" t="str">
            <v>Eddie Bauer, Inc.</v>
          </cell>
          <cell r="H3017">
            <v>1</v>
          </cell>
        </row>
        <row r="3018">
          <cell r="B3018" t="str">
            <v>SWC1040-0892</v>
          </cell>
          <cell r="C3018" t="str">
            <v>Invoice</v>
          </cell>
          <cell r="D3018">
            <v>38544</v>
          </cell>
          <cell r="F3018" t="str">
            <v>7124</v>
          </cell>
          <cell r="G3018" t="str">
            <v>ScentAir - Corporate Associates:Pamela Knock</v>
          </cell>
          <cell r="H3018">
            <v>1</v>
          </cell>
        </row>
        <row r="3019">
          <cell r="B3019" t="str">
            <v>SWC1040-0892</v>
          </cell>
          <cell r="C3019" t="str">
            <v>Invoice</v>
          </cell>
          <cell r="D3019">
            <v>38551</v>
          </cell>
          <cell r="F3019" t="str">
            <v>7086</v>
          </cell>
          <cell r="G3019" t="str">
            <v>Muzak, LLC:City Range Steakhouse &amp; Grill</v>
          </cell>
          <cell r="H3019">
            <v>1</v>
          </cell>
        </row>
        <row r="3020">
          <cell r="B3020" t="str">
            <v>SWC1040-0892</v>
          </cell>
          <cell r="C3020" t="str">
            <v>Invoice</v>
          </cell>
          <cell r="D3020">
            <v>38552</v>
          </cell>
          <cell r="F3020" t="str">
            <v>7164</v>
          </cell>
          <cell r="G3020" t="str">
            <v>Muzak, LLC:Muzak (Demo)</v>
          </cell>
          <cell r="H3020">
            <v>1</v>
          </cell>
        </row>
        <row r="3021">
          <cell r="B3021" t="str">
            <v>SWC1040-0892</v>
          </cell>
          <cell r="C3021" t="str">
            <v>Invoice</v>
          </cell>
          <cell r="D3021">
            <v>38552</v>
          </cell>
          <cell r="F3021" t="str">
            <v>7161</v>
          </cell>
          <cell r="G3021" t="str">
            <v>Carson Pirie Scott &amp; Co..</v>
          </cell>
          <cell r="H3021">
            <v>1</v>
          </cell>
        </row>
        <row r="3022">
          <cell r="B3022" t="str">
            <v>SWC1040-0892</v>
          </cell>
          <cell r="C3022" t="str">
            <v>Invoice</v>
          </cell>
          <cell r="D3022">
            <v>38568</v>
          </cell>
          <cell r="F3022" t="str">
            <v>7282</v>
          </cell>
          <cell r="G3022" t="str">
            <v>Muzak, LLC:Muzak (Demo)</v>
          </cell>
          <cell r="H3022">
            <v>1</v>
          </cell>
        </row>
        <row r="3023">
          <cell r="B3023" t="str">
            <v>SWC1040-0892</v>
          </cell>
          <cell r="C3023" t="str">
            <v>Invoice</v>
          </cell>
          <cell r="D3023">
            <v>38574</v>
          </cell>
          <cell r="F3023" t="str">
            <v>7392</v>
          </cell>
          <cell r="G3023" t="str">
            <v>Muzak, LLC:Muzak (Demo)</v>
          </cell>
          <cell r="H3023">
            <v>1</v>
          </cell>
        </row>
        <row r="3024">
          <cell r="B3024" t="str">
            <v>SWC1040-0892</v>
          </cell>
          <cell r="C3024" t="str">
            <v>Invoice</v>
          </cell>
          <cell r="D3024">
            <v>38574</v>
          </cell>
          <cell r="F3024" t="str">
            <v>7391</v>
          </cell>
          <cell r="G3024" t="str">
            <v>Muzak, LLC:Muzak (Demo)</v>
          </cell>
          <cell r="H3024">
            <v>1</v>
          </cell>
        </row>
        <row r="3025">
          <cell r="B3025" t="str">
            <v>SWC1040-0892</v>
          </cell>
          <cell r="C3025" t="str">
            <v>Invoice</v>
          </cell>
          <cell r="D3025">
            <v>38574</v>
          </cell>
          <cell r="F3025" t="str">
            <v>7390</v>
          </cell>
          <cell r="G3025" t="str">
            <v>Muzak, LLC:Muzak (Demo)</v>
          </cell>
          <cell r="H3025">
            <v>1</v>
          </cell>
        </row>
        <row r="3026">
          <cell r="B3026" t="str">
            <v>SWC1040-0892</v>
          </cell>
          <cell r="C3026" t="str">
            <v>Invoice</v>
          </cell>
          <cell r="D3026">
            <v>38574</v>
          </cell>
          <cell r="F3026" t="str">
            <v>7312</v>
          </cell>
          <cell r="G3026" t="str">
            <v>Muzak, LLC:Muzak (Demo)</v>
          </cell>
          <cell r="H3026">
            <v>1</v>
          </cell>
        </row>
        <row r="3027">
          <cell r="B3027" t="str">
            <v>SWC1040-0892</v>
          </cell>
          <cell r="C3027" t="str">
            <v>Invoice</v>
          </cell>
          <cell r="D3027">
            <v>38575</v>
          </cell>
          <cell r="F3027" t="str">
            <v>7437</v>
          </cell>
          <cell r="G3027" t="str">
            <v>Muzak, LLC:Giant Eagle #229</v>
          </cell>
          <cell r="H3027">
            <v>1</v>
          </cell>
        </row>
        <row r="3028">
          <cell r="B3028" t="str">
            <v>SWC1040-0892</v>
          </cell>
          <cell r="C3028" t="str">
            <v>Invoice</v>
          </cell>
          <cell r="D3028">
            <v>38575</v>
          </cell>
          <cell r="F3028" t="str">
            <v>7439</v>
          </cell>
          <cell r="G3028" t="str">
            <v>Muzak, LLC:Muzak (Demo)</v>
          </cell>
          <cell r="H3028">
            <v>1</v>
          </cell>
        </row>
        <row r="3029">
          <cell r="B3029" t="str">
            <v>SWC1040-0892</v>
          </cell>
          <cell r="C3029" t="str">
            <v>Invoice</v>
          </cell>
          <cell r="D3029">
            <v>38575</v>
          </cell>
          <cell r="F3029" t="str">
            <v>7441</v>
          </cell>
          <cell r="G3029" t="str">
            <v>Muzak, LLC:Muzak (Demo)</v>
          </cell>
          <cell r="H3029">
            <v>1</v>
          </cell>
        </row>
        <row r="3030">
          <cell r="B3030" t="str">
            <v>SWC1040-0892</v>
          </cell>
          <cell r="C3030" t="str">
            <v>Invoice</v>
          </cell>
          <cell r="D3030">
            <v>38576</v>
          </cell>
          <cell r="F3030" t="str">
            <v>7446</v>
          </cell>
          <cell r="G3030" t="str">
            <v>Muzak, LLC:Muzak (Demo)</v>
          </cell>
          <cell r="H3030">
            <v>1</v>
          </cell>
        </row>
        <row r="3031">
          <cell r="B3031" t="str">
            <v>SWC1040-0892</v>
          </cell>
          <cell r="C3031" t="str">
            <v>Invoice</v>
          </cell>
          <cell r="D3031">
            <v>38576</v>
          </cell>
          <cell r="F3031" t="str">
            <v>7476</v>
          </cell>
          <cell r="G3031" t="str">
            <v>Muzak, LLC:Muzak (Demo)</v>
          </cell>
          <cell r="H3031">
            <v>1</v>
          </cell>
        </row>
        <row r="3032">
          <cell r="B3032" t="str">
            <v>SWC1040-0892</v>
          </cell>
          <cell r="C3032" t="str">
            <v>Invoice</v>
          </cell>
          <cell r="D3032">
            <v>38576</v>
          </cell>
          <cell r="F3032" t="str">
            <v>7480</v>
          </cell>
          <cell r="G3032" t="str">
            <v>Muzak, LLC:Muzak (Demo)</v>
          </cell>
          <cell r="H3032">
            <v>1</v>
          </cell>
        </row>
        <row r="3033">
          <cell r="B3033" t="str">
            <v>SWC1040-0892</v>
          </cell>
          <cell r="C3033" t="str">
            <v>Invoice</v>
          </cell>
          <cell r="D3033">
            <v>38576</v>
          </cell>
          <cell r="F3033" t="str">
            <v>7481</v>
          </cell>
          <cell r="G3033" t="str">
            <v>Muzak, LLC:Muzak (Demo)</v>
          </cell>
          <cell r="H3033">
            <v>1</v>
          </cell>
        </row>
        <row r="3034">
          <cell r="B3034" t="str">
            <v>SWC1040-0892</v>
          </cell>
          <cell r="C3034" t="str">
            <v>Invoice</v>
          </cell>
          <cell r="D3034">
            <v>38576</v>
          </cell>
          <cell r="F3034" t="str">
            <v>7478</v>
          </cell>
          <cell r="G3034" t="str">
            <v>Muzak, LLC:Muzak (Demo)</v>
          </cell>
          <cell r="H3034">
            <v>1</v>
          </cell>
        </row>
        <row r="3035">
          <cell r="B3035" t="str">
            <v>SWC1040-0892</v>
          </cell>
          <cell r="C3035" t="str">
            <v>Invoice</v>
          </cell>
          <cell r="D3035">
            <v>38576</v>
          </cell>
          <cell r="F3035" t="str">
            <v>7475</v>
          </cell>
          <cell r="G3035" t="str">
            <v>Muzak, LLC:Muzak (Demo)</v>
          </cell>
          <cell r="H3035">
            <v>1</v>
          </cell>
        </row>
        <row r="3036">
          <cell r="B3036" t="str">
            <v>SWC1040-0892</v>
          </cell>
          <cell r="C3036" t="str">
            <v>Invoice</v>
          </cell>
          <cell r="D3036">
            <v>38580</v>
          </cell>
          <cell r="F3036" t="str">
            <v>7491</v>
          </cell>
          <cell r="G3036" t="str">
            <v>Muzak, LLC:Muzak (Demo)</v>
          </cell>
          <cell r="H3036">
            <v>1</v>
          </cell>
        </row>
        <row r="3037">
          <cell r="B3037" t="str">
            <v>SWC1040-0892</v>
          </cell>
          <cell r="C3037" t="str">
            <v>Invoice</v>
          </cell>
          <cell r="D3037">
            <v>38587</v>
          </cell>
          <cell r="F3037" t="str">
            <v>7668</v>
          </cell>
          <cell r="G3037" t="str">
            <v>Muzak, LLC:Muzak (Demo)</v>
          </cell>
          <cell r="H3037">
            <v>1</v>
          </cell>
        </row>
        <row r="3038">
          <cell r="B3038" t="str">
            <v>SWC1040-0892</v>
          </cell>
          <cell r="C3038" t="str">
            <v>Invoice</v>
          </cell>
          <cell r="D3038">
            <v>38587</v>
          </cell>
          <cell r="F3038" t="str">
            <v>7667</v>
          </cell>
          <cell r="G3038" t="str">
            <v>Muzak, LLC:Muzak (Demo)</v>
          </cell>
          <cell r="H3038">
            <v>1</v>
          </cell>
        </row>
        <row r="3039">
          <cell r="B3039" t="str">
            <v>SWC1040-0892</v>
          </cell>
          <cell r="C3039" t="str">
            <v>Invoice</v>
          </cell>
          <cell r="D3039">
            <v>38588</v>
          </cell>
          <cell r="F3039" t="str">
            <v>7688</v>
          </cell>
          <cell r="G3039" t="str">
            <v>Muzak, LLC:Life Care Center</v>
          </cell>
          <cell r="H3039">
            <v>1</v>
          </cell>
        </row>
        <row r="3040">
          <cell r="B3040" t="str">
            <v>SWC1040-0892</v>
          </cell>
          <cell r="C3040" t="str">
            <v>Invoice</v>
          </cell>
          <cell r="D3040">
            <v>38588</v>
          </cell>
          <cell r="F3040" t="str">
            <v>7683</v>
          </cell>
          <cell r="G3040" t="str">
            <v>Muzak, LLC:American Enterprise Bank</v>
          </cell>
          <cell r="H3040">
            <v>1</v>
          </cell>
        </row>
        <row r="3041">
          <cell r="B3041" t="str">
            <v>SWC1040-0892</v>
          </cell>
          <cell r="C3041" t="str">
            <v>Invoice</v>
          </cell>
          <cell r="D3041">
            <v>38589</v>
          </cell>
          <cell r="F3041" t="str">
            <v>7675</v>
          </cell>
          <cell r="G3041" t="str">
            <v>Klipsch Audio Technologies:Klipsch Audio</v>
          </cell>
          <cell r="H3041">
            <v>1</v>
          </cell>
        </row>
        <row r="3042">
          <cell r="B3042" t="str">
            <v>SWC1040-0892</v>
          </cell>
          <cell r="C3042" t="str">
            <v>Invoice</v>
          </cell>
          <cell r="D3042">
            <v>38597</v>
          </cell>
          <cell r="F3042" t="str">
            <v>7820</v>
          </cell>
          <cell r="G3042" t="str">
            <v>ScentAir - Corporate Associates</v>
          </cell>
          <cell r="H3042">
            <v>1</v>
          </cell>
        </row>
        <row r="3043">
          <cell r="B3043" t="str">
            <v>SWC1040-0892</v>
          </cell>
          <cell r="C3043" t="str">
            <v>Invoice</v>
          </cell>
          <cell r="D3043">
            <v>38597</v>
          </cell>
          <cell r="F3043" t="str">
            <v>7808</v>
          </cell>
          <cell r="G3043" t="str">
            <v>Muzak, LLC:Capital Partners</v>
          </cell>
          <cell r="H3043">
            <v>1</v>
          </cell>
        </row>
        <row r="3044">
          <cell r="B3044" t="str">
            <v>SWC1040-0892</v>
          </cell>
          <cell r="C3044" t="str">
            <v>Invoice</v>
          </cell>
          <cell r="D3044">
            <v>38597</v>
          </cell>
          <cell r="F3044" t="str">
            <v>7819</v>
          </cell>
          <cell r="G3044" t="str">
            <v>ScentAir - Corporate Associates:Pamela Knock</v>
          </cell>
          <cell r="H3044">
            <v>1</v>
          </cell>
        </row>
        <row r="3045">
          <cell r="B3045" t="str">
            <v>SWC1040-0892</v>
          </cell>
          <cell r="C3045" t="str">
            <v>Invoice</v>
          </cell>
          <cell r="D3045">
            <v>38603</v>
          </cell>
          <cell r="F3045" t="str">
            <v>7880</v>
          </cell>
          <cell r="G3045" t="str">
            <v>Muzak, LLC:Salon Rebecca</v>
          </cell>
          <cell r="H3045">
            <v>1</v>
          </cell>
        </row>
        <row r="3046">
          <cell r="B3046" t="str">
            <v>SWC1040-0892</v>
          </cell>
          <cell r="C3046" t="str">
            <v>Invoice</v>
          </cell>
          <cell r="D3046">
            <v>38603</v>
          </cell>
          <cell r="F3046" t="str">
            <v>7888</v>
          </cell>
          <cell r="G3046" t="str">
            <v>Muzak, LLC:Muzak (Demo)</v>
          </cell>
          <cell r="H3046">
            <v>1</v>
          </cell>
        </row>
        <row r="3047">
          <cell r="B3047" t="str">
            <v>SWC1040-0892</v>
          </cell>
          <cell r="C3047" t="str">
            <v>Invoice</v>
          </cell>
          <cell r="D3047">
            <v>38604</v>
          </cell>
          <cell r="F3047" t="str">
            <v>7883</v>
          </cell>
          <cell r="G3047" t="str">
            <v>Muzak, LLC:Gainesville Eye Physicians</v>
          </cell>
          <cell r="H3047">
            <v>1</v>
          </cell>
        </row>
        <row r="3048">
          <cell r="B3048" t="str">
            <v>SWC1040-0892</v>
          </cell>
          <cell r="C3048" t="str">
            <v>Invoice</v>
          </cell>
          <cell r="D3048">
            <v>38608</v>
          </cell>
          <cell r="F3048" t="str">
            <v>7911</v>
          </cell>
          <cell r="G3048" t="str">
            <v>Muzak, LLC:Giant Eagle #229</v>
          </cell>
          <cell r="H3048">
            <v>1</v>
          </cell>
        </row>
        <row r="3049">
          <cell r="B3049" t="str">
            <v>SWC1040-0892</v>
          </cell>
          <cell r="C3049" t="str">
            <v>Invoice</v>
          </cell>
          <cell r="D3049">
            <v>38608</v>
          </cell>
          <cell r="F3049" t="str">
            <v>7926</v>
          </cell>
          <cell r="G3049" t="str">
            <v>Muzak, LLC:Centex Homes</v>
          </cell>
          <cell r="H3049">
            <v>1</v>
          </cell>
        </row>
        <row r="3050">
          <cell r="B3050" t="str">
            <v>SWC1040-0892</v>
          </cell>
          <cell r="C3050" t="str">
            <v>Invoice</v>
          </cell>
          <cell r="D3050">
            <v>38615</v>
          </cell>
          <cell r="F3050" t="str">
            <v>8014</v>
          </cell>
          <cell r="G3050" t="str">
            <v>Muzak, LLC:Hunt Real Estate - 432 Dick Road</v>
          </cell>
          <cell r="H3050">
            <v>1</v>
          </cell>
        </row>
        <row r="3051">
          <cell r="B3051" t="str">
            <v>SWC1040-0892</v>
          </cell>
          <cell r="C3051" t="str">
            <v>Invoice</v>
          </cell>
          <cell r="D3051">
            <v>38622</v>
          </cell>
          <cell r="F3051" t="str">
            <v>8113</v>
          </cell>
          <cell r="G3051" t="str">
            <v>Muzak, IA:Soundcom LLC of Florida - Palm Beach</v>
          </cell>
          <cell r="H3051">
            <v>1</v>
          </cell>
        </row>
        <row r="3052">
          <cell r="B3052" t="str">
            <v>SWC1040-0892</v>
          </cell>
          <cell r="C3052" t="str">
            <v>Invoice</v>
          </cell>
          <cell r="D3052">
            <v>38622</v>
          </cell>
          <cell r="F3052" t="str">
            <v>8092</v>
          </cell>
          <cell r="G3052" t="str">
            <v>Muzak, IA:Metro Communications</v>
          </cell>
          <cell r="H3052">
            <v>1</v>
          </cell>
        </row>
        <row r="3053">
          <cell r="B3053" t="str">
            <v>SWC1040-0892</v>
          </cell>
          <cell r="C3053" t="str">
            <v>Invoice</v>
          </cell>
          <cell r="D3053">
            <v>38628</v>
          </cell>
          <cell r="F3053" t="str">
            <v>8190</v>
          </cell>
          <cell r="G3053" t="str">
            <v>Muzak, LLC:Jim Mullen</v>
          </cell>
          <cell r="H3053">
            <v>1</v>
          </cell>
        </row>
        <row r="3054">
          <cell r="B3054" t="str">
            <v>SWC1040-0892</v>
          </cell>
          <cell r="C3054" t="str">
            <v>Invoice</v>
          </cell>
          <cell r="D3054">
            <v>38630</v>
          </cell>
          <cell r="F3054" t="str">
            <v>8318</v>
          </cell>
          <cell r="G3054" t="str">
            <v>Muzak, IA:Texas Wired</v>
          </cell>
          <cell r="H3054">
            <v>1</v>
          </cell>
        </row>
        <row r="3055">
          <cell r="B3055" t="str">
            <v>SWC1040-0895</v>
          </cell>
          <cell r="C3055" t="str">
            <v>Invoice</v>
          </cell>
          <cell r="D3055">
            <v>38602</v>
          </cell>
          <cell r="F3055" t="str">
            <v>7842</v>
          </cell>
          <cell r="G3055" t="str">
            <v>Muzak, LLC:Serenata Beach Club</v>
          </cell>
          <cell r="H3055">
            <v>1</v>
          </cell>
        </row>
        <row r="3056">
          <cell r="B3056" t="str">
            <v>SWC1040-0895</v>
          </cell>
          <cell r="C3056" t="str">
            <v>Invoice</v>
          </cell>
          <cell r="D3056">
            <v>38614</v>
          </cell>
          <cell r="F3056" t="str">
            <v>7977</v>
          </cell>
          <cell r="G3056" t="str">
            <v>Muzak, LLC:Pollywogs Inc</v>
          </cell>
          <cell r="H3056">
            <v>1</v>
          </cell>
        </row>
        <row r="3057">
          <cell r="B3057" t="str">
            <v>SWC1040-0895</v>
          </cell>
          <cell r="C3057" t="str">
            <v>Invoice</v>
          </cell>
          <cell r="D3057">
            <v>38615</v>
          </cell>
          <cell r="F3057" t="str">
            <v>8001</v>
          </cell>
          <cell r="G3057" t="str">
            <v>Macy's #76</v>
          </cell>
          <cell r="H3057">
            <v>1</v>
          </cell>
        </row>
        <row r="3058">
          <cell r="B3058" t="str">
            <v>SWC1040-0895</v>
          </cell>
          <cell r="C3058" t="str">
            <v>Invoice</v>
          </cell>
          <cell r="D3058">
            <v>38623</v>
          </cell>
          <cell r="F3058" t="str">
            <v>8146</v>
          </cell>
          <cell r="G3058" t="str">
            <v>Meadows Pet Center</v>
          </cell>
          <cell r="H3058">
            <v>1</v>
          </cell>
        </row>
        <row r="3059">
          <cell r="B3059" t="str">
            <v>SWC1040-0912</v>
          </cell>
          <cell r="C3059" t="str">
            <v>Invoice</v>
          </cell>
          <cell r="D3059">
            <v>38520</v>
          </cell>
          <cell r="F3059" t="str">
            <v>6375</v>
          </cell>
          <cell r="G3059" t="str">
            <v>Lucky Brand Jeans:Lucky Brand Jeans SF</v>
          </cell>
          <cell r="H3059">
            <v>1</v>
          </cell>
        </row>
        <row r="3060">
          <cell r="B3060" t="str">
            <v>SWC1040-0912</v>
          </cell>
          <cell r="C3060" t="str">
            <v>Invoice</v>
          </cell>
          <cell r="D3060">
            <v>38539</v>
          </cell>
          <cell r="F3060" t="str">
            <v>7029</v>
          </cell>
          <cell r="G3060" t="str">
            <v>Eddie Bauer, Inc.</v>
          </cell>
          <cell r="H3060">
            <v>1</v>
          </cell>
        </row>
        <row r="3061">
          <cell r="B3061" t="str">
            <v>SWC1040-0912</v>
          </cell>
          <cell r="C3061" t="str">
            <v>Invoice</v>
          </cell>
          <cell r="D3061">
            <v>38545</v>
          </cell>
          <cell r="F3061" t="str">
            <v>6376</v>
          </cell>
          <cell r="G3061" t="str">
            <v>Lucky Brand Jeans:Lucky Brand Jeans SF</v>
          </cell>
          <cell r="H3061">
            <v>1</v>
          </cell>
        </row>
        <row r="3062">
          <cell r="B3062" t="str">
            <v>SWC1040-0912</v>
          </cell>
          <cell r="C3062" t="str">
            <v>Invoice</v>
          </cell>
          <cell r="D3062">
            <v>38572</v>
          </cell>
          <cell r="F3062" t="str">
            <v>7299</v>
          </cell>
          <cell r="G3062" t="str">
            <v>Wickes Furniture - Murrieta</v>
          </cell>
          <cell r="H3062">
            <v>1</v>
          </cell>
        </row>
        <row r="3063">
          <cell r="B3063" t="str">
            <v>SWC1040-0912</v>
          </cell>
          <cell r="C3063" t="str">
            <v>Invoice</v>
          </cell>
          <cell r="D3063">
            <v>38572</v>
          </cell>
          <cell r="F3063" t="str">
            <v>7272</v>
          </cell>
          <cell r="G3063" t="str">
            <v>Lucky Brand Jeans:Lucky Brand Jeans - #604</v>
          </cell>
          <cell r="H3063">
            <v>1</v>
          </cell>
        </row>
        <row r="3064">
          <cell r="B3064" t="str">
            <v>SWC1040-0912</v>
          </cell>
          <cell r="C3064" t="str">
            <v>Invoice</v>
          </cell>
          <cell r="D3064">
            <v>38572</v>
          </cell>
          <cell r="F3064" t="str">
            <v>7271</v>
          </cell>
          <cell r="G3064" t="str">
            <v>Lucky Brand Jeans:Lucky Brand Jeans - #603</v>
          </cell>
          <cell r="H3064">
            <v>1</v>
          </cell>
        </row>
        <row r="3065">
          <cell r="B3065" t="str">
            <v>SWC1040-0912</v>
          </cell>
          <cell r="C3065" t="str">
            <v>Invoice</v>
          </cell>
          <cell r="D3065">
            <v>38572</v>
          </cell>
          <cell r="F3065" t="str">
            <v>7273</v>
          </cell>
          <cell r="G3065" t="str">
            <v>Lucky Brand Jeans:Lucky Brand Jeans - #606</v>
          </cell>
          <cell r="H3065">
            <v>1</v>
          </cell>
        </row>
        <row r="3066">
          <cell r="B3066" t="str">
            <v>SWC1040-0912</v>
          </cell>
          <cell r="C3066" t="str">
            <v>Invoice</v>
          </cell>
          <cell r="D3066">
            <v>38572</v>
          </cell>
          <cell r="F3066" t="str">
            <v>7278</v>
          </cell>
          <cell r="G3066" t="str">
            <v>Lucky Brand Jeans:Lucky Brand Jeans - #643</v>
          </cell>
          <cell r="H3066">
            <v>1</v>
          </cell>
        </row>
        <row r="3067">
          <cell r="B3067" t="str">
            <v>SWC1040-0912</v>
          </cell>
          <cell r="C3067" t="str">
            <v>Invoice</v>
          </cell>
          <cell r="D3067">
            <v>38572</v>
          </cell>
          <cell r="F3067" t="str">
            <v>7277</v>
          </cell>
          <cell r="G3067" t="str">
            <v>Lucky Brand Jeans:Lucky Brand Jeans - #641</v>
          </cell>
          <cell r="H3067">
            <v>1</v>
          </cell>
        </row>
        <row r="3068">
          <cell r="B3068" t="str">
            <v>SWC1040-0912</v>
          </cell>
          <cell r="C3068" t="str">
            <v>Invoice</v>
          </cell>
          <cell r="D3068">
            <v>38572</v>
          </cell>
          <cell r="F3068" t="str">
            <v>7274</v>
          </cell>
          <cell r="G3068" t="str">
            <v>Lucky Brand Jeans:Lucky Brand Jeans - #613</v>
          </cell>
          <cell r="H3068">
            <v>1</v>
          </cell>
        </row>
        <row r="3069">
          <cell r="B3069" t="str">
            <v>SWC1040-0912</v>
          </cell>
          <cell r="C3069" t="str">
            <v>Invoice</v>
          </cell>
          <cell r="D3069">
            <v>38572</v>
          </cell>
          <cell r="F3069" t="str">
            <v>7275</v>
          </cell>
          <cell r="G3069" t="str">
            <v>Lucky Brand Jeans:Lucky Brand Jeans - #640</v>
          </cell>
          <cell r="H3069">
            <v>1</v>
          </cell>
        </row>
        <row r="3070">
          <cell r="B3070" t="str">
            <v>SWC1040-0912</v>
          </cell>
          <cell r="C3070" t="str">
            <v>Invoice</v>
          </cell>
          <cell r="D3070">
            <v>38572</v>
          </cell>
          <cell r="F3070" t="str">
            <v>7280</v>
          </cell>
          <cell r="G3070" t="str">
            <v>Lucky Brand Jeans:Lucky Brand Jeans - #668</v>
          </cell>
          <cell r="H3070">
            <v>1</v>
          </cell>
        </row>
        <row r="3071">
          <cell r="B3071" t="str">
            <v>SWC1040-0912</v>
          </cell>
          <cell r="C3071" t="str">
            <v>Invoice</v>
          </cell>
          <cell r="D3071">
            <v>38572</v>
          </cell>
          <cell r="F3071" t="str">
            <v>7281</v>
          </cell>
          <cell r="G3071" t="str">
            <v>Lucky Brand Jeans:Lucky Brand Jeans - #697</v>
          </cell>
          <cell r="H3071">
            <v>1</v>
          </cell>
        </row>
        <row r="3072">
          <cell r="B3072" t="str">
            <v>SWC1040-0912</v>
          </cell>
          <cell r="C3072" t="str">
            <v>Invoice</v>
          </cell>
          <cell r="D3072">
            <v>38572</v>
          </cell>
          <cell r="F3072" t="str">
            <v>7279</v>
          </cell>
          <cell r="G3072" t="str">
            <v>Lucky Brand Jeans:Lucky Brand Jeans - #648</v>
          </cell>
          <cell r="H3072">
            <v>1</v>
          </cell>
        </row>
        <row r="3073">
          <cell r="B3073" t="str">
            <v>SWC1040-0912</v>
          </cell>
          <cell r="C3073" t="str">
            <v>Invoice</v>
          </cell>
          <cell r="D3073">
            <v>38576</v>
          </cell>
          <cell r="F3073" t="str">
            <v>7147</v>
          </cell>
          <cell r="G3073" t="str">
            <v>Lucky Brand Jeans:Lucky Brand Jeans SF</v>
          </cell>
          <cell r="H3073">
            <v>1</v>
          </cell>
        </row>
        <row r="3074">
          <cell r="B3074" t="str">
            <v>SWC1040-0912</v>
          </cell>
          <cell r="C3074" t="str">
            <v>Invoice</v>
          </cell>
          <cell r="D3074">
            <v>38602</v>
          </cell>
          <cell r="F3074" t="str">
            <v>7285</v>
          </cell>
          <cell r="G3074" t="str">
            <v>Lucky Brand Jeans:Lucky Brand Jeans - #648</v>
          </cell>
          <cell r="H3074">
            <v>1</v>
          </cell>
        </row>
        <row r="3075">
          <cell r="B3075" t="str">
            <v>SWC1040-0912</v>
          </cell>
          <cell r="C3075" t="str">
            <v>Invoice</v>
          </cell>
          <cell r="D3075">
            <v>38602</v>
          </cell>
          <cell r="F3075" t="str">
            <v>7286</v>
          </cell>
          <cell r="G3075" t="str">
            <v>Lucky Brand Jeans:Lucky Brand Jeans - #643</v>
          </cell>
          <cell r="H3075">
            <v>1</v>
          </cell>
        </row>
        <row r="3076">
          <cell r="B3076" t="str">
            <v>SWC1040-0912</v>
          </cell>
          <cell r="C3076" t="str">
            <v>Invoice</v>
          </cell>
          <cell r="D3076">
            <v>38602</v>
          </cell>
          <cell r="F3076" t="str">
            <v>7287</v>
          </cell>
          <cell r="G3076" t="str">
            <v>Lucky Brand Jeans:Lucky Brand Jeans - #641</v>
          </cell>
          <cell r="H3076">
            <v>1</v>
          </cell>
        </row>
        <row r="3077">
          <cell r="B3077" t="str">
            <v>SWC1040-0912</v>
          </cell>
          <cell r="C3077" t="str">
            <v>Invoice</v>
          </cell>
          <cell r="D3077">
            <v>38602</v>
          </cell>
          <cell r="F3077" t="str">
            <v>7289</v>
          </cell>
          <cell r="G3077" t="str">
            <v>Lucky Brand Jeans:Lucky Brand Jeans - #613</v>
          </cell>
          <cell r="H3077">
            <v>1</v>
          </cell>
        </row>
        <row r="3078">
          <cell r="B3078" t="str">
            <v>SWC1040-0912</v>
          </cell>
          <cell r="C3078" t="str">
            <v>Invoice</v>
          </cell>
          <cell r="D3078">
            <v>38602</v>
          </cell>
          <cell r="F3078" t="str">
            <v>7288</v>
          </cell>
          <cell r="G3078" t="str">
            <v>Lucky Brand Jeans:Lucky Brand Jeans - #640</v>
          </cell>
          <cell r="H3078">
            <v>1</v>
          </cell>
        </row>
        <row r="3079">
          <cell r="B3079" t="str">
            <v>SWC1040-0912</v>
          </cell>
          <cell r="C3079" t="str">
            <v>Invoice</v>
          </cell>
          <cell r="D3079">
            <v>38602</v>
          </cell>
          <cell r="F3079" t="str">
            <v>7284</v>
          </cell>
          <cell r="G3079" t="str">
            <v>Lucky Brand Jeans:Lucky Brand Jeans - #668</v>
          </cell>
          <cell r="H3079">
            <v>1</v>
          </cell>
        </row>
        <row r="3080">
          <cell r="B3080" t="str">
            <v>SWC1040-0912</v>
          </cell>
          <cell r="C3080" t="str">
            <v>Invoice</v>
          </cell>
          <cell r="D3080">
            <v>38602</v>
          </cell>
          <cell r="F3080" t="str">
            <v>7291</v>
          </cell>
          <cell r="G3080" t="str">
            <v>Lucky Brand Jeans:Lucky Brand Jeans - #604</v>
          </cell>
          <cell r="H3080">
            <v>1</v>
          </cell>
        </row>
        <row r="3081">
          <cell r="B3081" t="str">
            <v>SWC1040-0912</v>
          </cell>
          <cell r="C3081" t="str">
            <v>Invoice</v>
          </cell>
          <cell r="D3081">
            <v>38602</v>
          </cell>
          <cell r="F3081" t="str">
            <v>7283</v>
          </cell>
          <cell r="G3081" t="str">
            <v>Lucky Brand Jeans:Lucky Brand Jeans - #697</v>
          </cell>
          <cell r="H3081">
            <v>1</v>
          </cell>
        </row>
        <row r="3082">
          <cell r="B3082" t="str">
            <v>SWC1040-0912</v>
          </cell>
          <cell r="C3082" t="str">
            <v>Invoice</v>
          </cell>
          <cell r="D3082">
            <v>38602</v>
          </cell>
          <cell r="F3082" t="str">
            <v>7196</v>
          </cell>
          <cell r="G3082" t="str">
            <v>Muzak, LLC:Highwoods Properties</v>
          </cell>
          <cell r="H3082">
            <v>1</v>
          </cell>
        </row>
        <row r="3083">
          <cell r="B3083" t="str">
            <v>SWC1040-0912</v>
          </cell>
          <cell r="C3083" t="str">
            <v>Invoice</v>
          </cell>
          <cell r="D3083">
            <v>38602</v>
          </cell>
          <cell r="F3083" t="str">
            <v>7484</v>
          </cell>
          <cell r="G3083" t="str">
            <v>Lucky Brand Jeans:Lucky Brand Jeans SF</v>
          </cell>
          <cell r="H3083">
            <v>1</v>
          </cell>
        </row>
        <row r="3084">
          <cell r="B3084" t="str">
            <v>SWC1040-0912</v>
          </cell>
          <cell r="C3084" t="str">
            <v>Invoice</v>
          </cell>
          <cell r="D3084">
            <v>38602</v>
          </cell>
          <cell r="F3084" t="str">
            <v>7292</v>
          </cell>
          <cell r="G3084" t="str">
            <v>Lucky Brand Jeans:Lucky Brand Jeans - #603</v>
          </cell>
          <cell r="H3084">
            <v>1</v>
          </cell>
        </row>
        <row r="3085">
          <cell r="B3085" t="str">
            <v>SWC1040-0912</v>
          </cell>
          <cell r="C3085" t="str">
            <v>Invoice</v>
          </cell>
          <cell r="D3085">
            <v>38602</v>
          </cell>
          <cell r="F3085" t="str">
            <v>7290</v>
          </cell>
          <cell r="G3085" t="str">
            <v>Lucky Brand Jeans:Lucky Brand Jeans - #606</v>
          </cell>
          <cell r="H3085">
            <v>1</v>
          </cell>
        </row>
        <row r="3086">
          <cell r="B3086" t="str">
            <v>SWC1040-0912</v>
          </cell>
          <cell r="C3086" t="str">
            <v>Invoice</v>
          </cell>
          <cell r="D3086">
            <v>38614</v>
          </cell>
          <cell r="F3086" t="str">
            <v>7979</v>
          </cell>
          <cell r="G3086" t="str">
            <v>Muzak, LLC:Muzak (Demo)</v>
          </cell>
          <cell r="H3086">
            <v>1</v>
          </cell>
        </row>
        <row r="3087">
          <cell r="B3087" t="str">
            <v>SWC1040-0912</v>
          </cell>
          <cell r="C3087" t="str">
            <v>Invoice</v>
          </cell>
          <cell r="D3087">
            <v>38618</v>
          </cell>
          <cell r="F3087" t="str">
            <v>8089</v>
          </cell>
          <cell r="G3087" t="str">
            <v>ORB Management</v>
          </cell>
          <cell r="H3087">
            <v>1</v>
          </cell>
        </row>
        <row r="3088">
          <cell r="B3088" t="str">
            <v>SWC1040-0912</v>
          </cell>
          <cell r="C3088" t="str">
            <v>Invoice</v>
          </cell>
          <cell r="D3088">
            <v>38624</v>
          </cell>
          <cell r="F3088" t="str">
            <v>8193</v>
          </cell>
          <cell r="G3088" t="str">
            <v>ORB Management</v>
          </cell>
          <cell r="H3088">
            <v>1</v>
          </cell>
        </row>
        <row r="3089">
          <cell r="B3089" t="str">
            <v>SWC1040-0913</v>
          </cell>
          <cell r="C3089" t="str">
            <v>Invoice</v>
          </cell>
          <cell r="D3089">
            <v>38520</v>
          </cell>
          <cell r="F3089" t="str">
            <v>6267</v>
          </cell>
          <cell r="G3089" t="str">
            <v>Techno Satellite</v>
          </cell>
          <cell r="H3089">
            <v>1</v>
          </cell>
        </row>
        <row r="3090">
          <cell r="B3090" t="str">
            <v>SWC1040-0913</v>
          </cell>
          <cell r="C3090" t="str">
            <v>Invoice</v>
          </cell>
          <cell r="D3090">
            <v>38533</v>
          </cell>
          <cell r="F3090" t="str">
            <v>7002</v>
          </cell>
          <cell r="G3090" t="str">
            <v>ScentAir - Corporate Associates</v>
          </cell>
          <cell r="H3090">
            <v>1</v>
          </cell>
        </row>
        <row r="3091">
          <cell r="B3091" t="str">
            <v>SWC1040-0913</v>
          </cell>
          <cell r="C3091" t="str">
            <v>Invoice</v>
          </cell>
          <cell r="D3091">
            <v>38539</v>
          </cell>
          <cell r="F3091" t="str">
            <v>7043</v>
          </cell>
          <cell r="G3091" t="str">
            <v>Western Sizzlin Corporate:Great American Steak - Waldorf</v>
          </cell>
          <cell r="H3091">
            <v>1</v>
          </cell>
        </row>
        <row r="3092">
          <cell r="B3092" t="str">
            <v>SWC1040-0913</v>
          </cell>
          <cell r="C3092" t="str">
            <v>Invoice</v>
          </cell>
          <cell r="D3092">
            <v>38565</v>
          </cell>
          <cell r="F3092" t="str">
            <v>6398</v>
          </cell>
          <cell r="G3092" t="str">
            <v>Muzak, LLC:Gate City Chop House</v>
          </cell>
          <cell r="H3092">
            <v>1</v>
          </cell>
        </row>
        <row r="3093">
          <cell r="B3093" t="str">
            <v>SWC1040-0913</v>
          </cell>
          <cell r="C3093" t="str">
            <v>Invoice</v>
          </cell>
          <cell r="D3093">
            <v>38566</v>
          </cell>
          <cell r="F3093" t="str">
            <v>7265</v>
          </cell>
          <cell r="G3093" t="str">
            <v>Muzak, LLC:Muzak (Demo)</v>
          </cell>
          <cell r="H3093">
            <v>1</v>
          </cell>
        </row>
        <row r="3094">
          <cell r="B3094" t="str">
            <v>SWC1040-0913</v>
          </cell>
          <cell r="C3094" t="str">
            <v>Invoice</v>
          </cell>
          <cell r="D3094">
            <v>38568</v>
          </cell>
          <cell r="F3094" t="str">
            <v>7044</v>
          </cell>
          <cell r="G3094" t="str">
            <v>Western Sizzlin Corporate:Great American Steak - Waldorf</v>
          </cell>
          <cell r="H3094">
            <v>1</v>
          </cell>
        </row>
        <row r="3095">
          <cell r="B3095" t="str">
            <v>SWC1040-0913</v>
          </cell>
          <cell r="C3095" t="str">
            <v>Invoice</v>
          </cell>
          <cell r="D3095">
            <v>38576</v>
          </cell>
          <cell r="F3095" t="str">
            <v>7370</v>
          </cell>
          <cell r="G3095" t="str">
            <v>Muzak, LLC:Appliance Direct - 034973</v>
          </cell>
          <cell r="H3095">
            <v>1</v>
          </cell>
        </row>
        <row r="3096">
          <cell r="B3096" t="str">
            <v>SWC1040-0913</v>
          </cell>
          <cell r="C3096" t="str">
            <v>Invoice</v>
          </cell>
          <cell r="D3096">
            <v>38576</v>
          </cell>
          <cell r="F3096" t="str">
            <v>7369</v>
          </cell>
          <cell r="G3096" t="str">
            <v>Muzak, LLC:Appliance Direct - 034972</v>
          </cell>
          <cell r="H3096">
            <v>1</v>
          </cell>
        </row>
        <row r="3097">
          <cell r="B3097" t="str">
            <v>SWC1040-0913</v>
          </cell>
          <cell r="C3097" t="str">
            <v>Invoice</v>
          </cell>
          <cell r="D3097">
            <v>38576</v>
          </cell>
          <cell r="F3097" t="str">
            <v>7368</v>
          </cell>
          <cell r="G3097" t="str">
            <v>Muzak, LLC:Appliance Direct - 034971</v>
          </cell>
          <cell r="H3097">
            <v>1</v>
          </cell>
        </row>
        <row r="3098">
          <cell r="B3098" t="str">
            <v>SWC1040-0913</v>
          </cell>
          <cell r="C3098" t="str">
            <v>Invoice</v>
          </cell>
          <cell r="D3098">
            <v>38576</v>
          </cell>
          <cell r="F3098" t="str">
            <v>7387</v>
          </cell>
          <cell r="G3098" t="str">
            <v>Muzak, LLC:Appliance Direct -035133</v>
          </cell>
          <cell r="H3098">
            <v>1</v>
          </cell>
        </row>
        <row r="3099">
          <cell r="B3099" t="str">
            <v>SWC1040-0913</v>
          </cell>
          <cell r="C3099" t="str">
            <v>Invoice</v>
          </cell>
          <cell r="D3099">
            <v>38576</v>
          </cell>
          <cell r="F3099" t="str">
            <v>7386</v>
          </cell>
          <cell r="G3099" t="str">
            <v>Muzak, LLC:Appliance Direct - Pro Kitchen</v>
          </cell>
          <cell r="H3099">
            <v>1</v>
          </cell>
        </row>
        <row r="3100">
          <cell r="B3100" t="str">
            <v>SWC1040-0913</v>
          </cell>
          <cell r="C3100" t="str">
            <v>Invoice</v>
          </cell>
          <cell r="D3100">
            <v>38576</v>
          </cell>
          <cell r="F3100" t="str">
            <v>7385</v>
          </cell>
          <cell r="G3100" t="str">
            <v>Muzak, LLC:Appliance Direct - 034975</v>
          </cell>
          <cell r="H3100">
            <v>1</v>
          </cell>
        </row>
        <row r="3101">
          <cell r="B3101" t="str">
            <v>SWC1040-0913</v>
          </cell>
          <cell r="C3101" t="str">
            <v>Invoice</v>
          </cell>
          <cell r="D3101">
            <v>38576</v>
          </cell>
          <cell r="F3101" t="str">
            <v>7384</v>
          </cell>
          <cell r="G3101" t="str">
            <v>Muzak, LLC:Appliance Direct - 043548</v>
          </cell>
          <cell r="H3101">
            <v>1</v>
          </cell>
        </row>
        <row r="3102">
          <cell r="B3102" t="str">
            <v>SWC1040-0913</v>
          </cell>
          <cell r="C3102" t="str">
            <v>Invoice</v>
          </cell>
          <cell r="D3102">
            <v>38576</v>
          </cell>
          <cell r="F3102" t="str">
            <v>7383</v>
          </cell>
          <cell r="G3102" t="str">
            <v>Muzak, LLC:Appliance Direct - 043547</v>
          </cell>
          <cell r="H3102">
            <v>1</v>
          </cell>
        </row>
        <row r="3103">
          <cell r="B3103" t="str">
            <v>SWC1040-0913</v>
          </cell>
          <cell r="C3103" t="str">
            <v>Invoice</v>
          </cell>
          <cell r="D3103">
            <v>38576</v>
          </cell>
          <cell r="F3103" t="str">
            <v>7382</v>
          </cell>
          <cell r="G3103" t="str">
            <v>Muzak, LLC:Appliance Direct - 043545</v>
          </cell>
          <cell r="H3103">
            <v>1</v>
          </cell>
        </row>
        <row r="3104">
          <cell r="B3104" t="str">
            <v>SWC1040-0913</v>
          </cell>
          <cell r="C3104" t="str">
            <v>Invoice</v>
          </cell>
          <cell r="D3104">
            <v>38576</v>
          </cell>
          <cell r="F3104" t="str">
            <v>7381</v>
          </cell>
          <cell r="G3104" t="str">
            <v>Muzak, LLC:Appliance Direct - 043544</v>
          </cell>
          <cell r="H3104">
            <v>1</v>
          </cell>
        </row>
        <row r="3105">
          <cell r="B3105" t="str">
            <v>SWC1040-0913</v>
          </cell>
          <cell r="C3105" t="str">
            <v>Invoice</v>
          </cell>
          <cell r="D3105">
            <v>38576</v>
          </cell>
          <cell r="F3105" t="str">
            <v>7380</v>
          </cell>
          <cell r="G3105" t="str">
            <v>Muzak, LLC:Appliance Direct - 042201</v>
          </cell>
          <cell r="H3105">
            <v>1</v>
          </cell>
        </row>
        <row r="3106">
          <cell r="B3106" t="str">
            <v>SWC1040-0913</v>
          </cell>
          <cell r="C3106" t="str">
            <v>Invoice</v>
          </cell>
          <cell r="D3106">
            <v>38576</v>
          </cell>
          <cell r="F3106" t="str">
            <v>7379</v>
          </cell>
          <cell r="G3106" t="str">
            <v>Muzak, LLC:Appliance Direct - 042176</v>
          </cell>
          <cell r="H3106">
            <v>1</v>
          </cell>
        </row>
        <row r="3107">
          <cell r="B3107" t="str">
            <v>SWC1040-0913</v>
          </cell>
          <cell r="C3107" t="str">
            <v>Invoice</v>
          </cell>
          <cell r="D3107">
            <v>38576</v>
          </cell>
          <cell r="F3107" t="str">
            <v>7377</v>
          </cell>
          <cell r="G3107" t="str">
            <v>Muzak, LLC:Appliance Direct - 042172</v>
          </cell>
          <cell r="H3107">
            <v>1</v>
          </cell>
        </row>
        <row r="3108">
          <cell r="B3108" t="str">
            <v>SWC1040-0913</v>
          </cell>
          <cell r="C3108" t="str">
            <v>Invoice</v>
          </cell>
          <cell r="D3108">
            <v>38576</v>
          </cell>
          <cell r="F3108" t="str">
            <v>7376</v>
          </cell>
          <cell r="G3108" t="str">
            <v>Muzak, LLC:Appliance Direct - 038915</v>
          </cell>
          <cell r="H3108">
            <v>1</v>
          </cell>
        </row>
        <row r="3109">
          <cell r="B3109" t="str">
            <v>SWC1040-0913</v>
          </cell>
          <cell r="C3109" t="str">
            <v>Invoice</v>
          </cell>
          <cell r="D3109">
            <v>38576</v>
          </cell>
          <cell r="F3109" t="str">
            <v>7375</v>
          </cell>
          <cell r="G3109" t="str">
            <v>Muzak, LLC:Appliance Direct - 038914</v>
          </cell>
          <cell r="H3109">
            <v>1</v>
          </cell>
        </row>
        <row r="3110">
          <cell r="B3110" t="str">
            <v>SWC1040-0913</v>
          </cell>
          <cell r="C3110" t="str">
            <v>Invoice</v>
          </cell>
          <cell r="D3110">
            <v>38576</v>
          </cell>
          <cell r="F3110" t="str">
            <v>7374</v>
          </cell>
          <cell r="G3110" t="str">
            <v>Muzak, LLC:Appliance Direct - 035387</v>
          </cell>
          <cell r="H3110">
            <v>1</v>
          </cell>
        </row>
        <row r="3111">
          <cell r="B3111" t="str">
            <v>SWC1040-0913</v>
          </cell>
          <cell r="C3111" t="str">
            <v>Invoice</v>
          </cell>
          <cell r="D3111">
            <v>38576</v>
          </cell>
          <cell r="F3111" t="str">
            <v>7373</v>
          </cell>
          <cell r="G3111" t="str">
            <v>Muzak, LLC:Appliance Direct - 034977</v>
          </cell>
          <cell r="H3111">
            <v>1</v>
          </cell>
        </row>
        <row r="3112">
          <cell r="B3112" t="str">
            <v>SWC1040-0913</v>
          </cell>
          <cell r="C3112" t="str">
            <v>Invoice</v>
          </cell>
          <cell r="D3112">
            <v>38576</v>
          </cell>
          <cell r="F3112" t="str">
            <v>7372</v>
          </cell>
          <cell r="G3112" t="str">
            <v>Muzak, LLC:Appliance Direct - 034976</v>
          </cell>
          <cell r="H3112">
            <v>1</v>
          </cell>
        </row>
        <row r="3113">
          <cell r="B3113" t="str">
            <v>SWC1040-0913</v>
          </cell>
          <cell r="C3113" t="str">
            <v>Invoice</v>
          </cell>
          <cell r="D3113">
            <v>38576</v>
          </cell>
          <cell r="F3113" t="str">
            <v>7371</v>
          </cell>
          <cell r="G3113" t="str">
            <v>Muzak, LLC:Appliance Direct - 034974</v>
          </cell>
          <cell r="H3113">
            <v>1</v>
          </cell>
        </row>
        <row r="3114">
          <cell r="B3114" t="str">
            <v>SWC1040-0913</v>
          </cell>
          <cell r="C3114" t="str">
            <v>Invoice</v>
          </cell>
          <cell r="D3114">
            <v>38589</v>
          </cell>
          <cell r="F3114" t="str">
            <v>7696</v>
          </cell>
          <cell r="G3114" t="str">
            <v>Muzak, LLC:Muzak (Demo)</v>
          </cell>
          <cell r="H3114">
            <v>1</v>
          </cell>
        </row>
        <row r="3115">
          <cell r="B3115" t="str">
            <v>SWC1040-0913</v>
          </cell>
          <cell r="C3115" t="str">
            <v>Invoice</v>
          </cell>
          <cell r="D3115">
            <v>38590</v>
          </cell>
          <cell r="F3115" t="str">
            <v>7705</v>
          </cell>
          <cell r="G3115" t="str">
            <v>Muzak, LLC:Muzak (Demo)</v>
          </cell>
          <cell r="H3115">
            <v>1</v>
          </cell>
        </row>
        <row r="3116">
          <cell r="B3116" t="str">
            <v>SWC1040-0913</v>
          </cell>
          <cell r="C3116" t="str">
            <v>Invoice</v>
          </cell>
          <cell r="D3116">
            <v>38594</v>
          </cell>
          <cell r="F3116" t="str">
            <v>7723</v>
          </cell>
          <cell r="G3116" t="str">
            <v>Muzak, LLC:Carolina's Diner</v>
          </cell>
          <cell r="H3116">
            <v>1</v>
          </cell>
        </row>
        <row r="3117">
          <cell r="B3117" t="str">
            <v>SWC1040-0913</v>
          </cell>
          <cell r="C3117" t="str">
            <v>Invoice</v>
          </cell>
          <cell r="D3117">
            <v>38597</v>
          </cell>
          <cell r="F3117" t="str">
            <v>7807</v>
          </cell>
          <cell r="G3117" t="str">
            <v>Muzak, LLC:Setzer's Appliances</v>
          </cell>
          <cell r="H3117">
            <v>1</v>
          </cell>
        </row>
        <row r="3118">
          <cell r="B3118" t="str">
            <v>SWC1040-0913</v>
          </cell>
          <cell r="C3118" t="str">
            <v>Invoice</v>
          </cell>
          <cell r="D3118">
            <v>38597</v>
          </cell>
          <cell r="F3118" t="str">
            <v>7819</v>
          </cell>
          <cell r="G3118" t="str">
            <v>ScentAir - Corporate Associates:Pamela Knock</v>
          </cell>
          <cell r="H3118">
            <v>1</v>
          </cell>
        </row>
        <row r="3119">
          <cell r="B3119" t="str">
            <v>SWC1040-0913</v>
          </cell>
          <cell r="C3119" t="str">
            <v>Invoice</v>
          </cell>
          <cell r="D3119">
            <v>38602</v>
          </cell>
          <cell r="F3119" t="str">
            <v>7844</v>
          </cell>
          <cell r="G3119" t="str">
            <v>Muzak, LLC:Fantasy's</v>
          </cell>
          <cell r="H3119">
            <v>1</v>
          </cell>
        </row>
        <row r="3120">
          <cell r="B3120" t="str">
            <v>SWC1040-0913</v>
          </cell>
          <cell r="C3120" t="str">
            <v>Invoice</v>
          </cell>
          <cell r="D3120">
            <v>38602</v>
          </cell>
          <cell r="F3120" t="str">
            <v>7878</v>
          </cell>
          <cell r="G3120" t="str">
            <v>ScentAir - Corporate Associates:Amy DiCesare</v>
          </cell>
          <cell r="H3120">
            <v>1</v>
          </cell>
        </row>
        <row r="3121">
          <cell r="B3121" t="str">
            <v>SWC1040-0913</v>
          </cell>
          <cell r="C3121" t="str">
            <v>Invoice</v>
          </cell>
          <cell r="D3121">
            <v>38603</v>
          </cell>
          <cell r="F3121" t="str">
            <v>7881</v>
          </cell>
          <cell r="G3121" t="str">
            <v>Muzak, LLC:Burger King - #14440</v>
          </cell>
          <cell r="H3121">
            <v>1</v>
          </cell>
        </row>
        <row r="3122">
          <cell r="B3122" t="str">
            <v>SWC1040-0913</v>
          </cell>
          <cell r="C3122" t="str">
            <v>Invoice</v>
          </cell>
          <cell r="D3122">
            <v>38607</v>
          </cell>
          <cell r="F3122" t="str">
            <v>7889</v>
          </cell>
          <cell r="G3122" t="str">
            <v>Muzak, IA:Soundcom LLC of Florida - Palm Beach</v>
          </cell>
          <cell r="H3122">
            <v>1</v>
          </cell>
        </row>
        <row r="3123">
          <cell r="B3123" t="str">
            <v>SWC1040-0913</v>
          </cell>
          <cell r="C3123" t="str">
            <v>Invoice</v>
          </cell>
          <cell r="D3123">
            <v>38608</v>
          </cell>
          <cell r="F3123" t="str">
            <v>7925</v>
          </cell>
          <cell r="G3123" t="str">
            <v>Muzak, LLC:Muzak (Demo)</v>
          </cell>
          <cell r="H3123">
            <v>1</v>
          </cell>
        </row>
        <row r="3124">
          <cell r="B3124" t="str">
            <v>SWC1040-0913</v>
          </cell>
          <cell r="C3124" t="str">
            <v>Invoice</v>
          </cell>
          <cell r="D3124">
            <v>38609</v>
          </cell>
          <cell r="F3124" t="str">
            <v>7943</v>
          </cell>
          <cell r="G3124" t="str">
            <v>Muzak, LLC:Muzak (Demo)</v>
          </cell>
          <cell r="H3124">
            <v>1</v>
          </cell>
        </row>
        <row r="3125">
          <cell r="B3125" t="str">
            <v>SWC1040-0913</v>
          </cell>
          <cell r="C3125" t="str">
            <v>Invoice</v>
          </cell>
          <cell r="D3125">
            <v>38610</v>
          </cell>
          <cell r="F3125" t="str">
            <v>7951</v>
          </cell>
          <cell r="G3125" t="str">
            <v>Muzak, LLC:Muzak (Demo)</v>
          </cell>
          <cell r="H3125">
            <v>1</v>
          </cell>
        </row>
        <row r="3126">
          <cell r="B3126" t="str">
            <v>SWC1040-0913</v>
          </cell>
          <cell r="C3126" t="str">
            <v>Invoice</v>
          </cell>
          <cell r="D3126">
            <v>38611</v>
          </cell>
          <cell r="F3126" t="str">
            <v>7968</v>
          </cell>
          <cell r="G3126" t="str">
            <v>Muzak, LLC:Elliott Hardware - Dallas</v>
          </cell>
          <cell r="H3126">
            <v>1</v>
          </cell>
        </row>
        <row r="3127">
          <cell r="B3127" t="str">
            <v>SWC1040-0913</v>
          </cell>
          <cell r="C3127" t="str">
            <v>Invoice</v>
          </cell>
          <cell r="D3127">
            <v>38611</v>
          </cell>
          <cell r="F3127" t="str">
            <v>7987</v>
          </cell>
          <cell r="G3127" t="str">
            <v>ScentAir - Corporate Associates:Amy DiCesare</v>
          </cell>
          <cell r="H3127">
            <v>1</v>
          </cell>
        </row>
        <row r="3128">
          <cell r="B3128" t="str">
            <v>SWC1040-0913</v>
          </cell>
          <cell r="C3128" t="str">
            <v>Invoice</v>
          </cell>
          <cell r="D3128">
            <v>38616</v>
          </cell>
          <cell r="F3128" t="str">
            <v>8050</v>
          </cell>
          <cell r="G3128" t="str">
            <v>Muzak, LLC:Arco AMPM</v>
          </cell>
          <cell r="H3128">
            <v>1</v>
          </cell>
        </row>
        <row r="3129">
          <cell r="B3129" t="str">
            <v>SWC1040-0913</v>
          </cell>
          <cell r="C3129" t="str">
            <v>Invoice</v>
          </cell>
          <cell r="D3129">
            <v>38616</v>
          </cell>
          <cell r="F3129" t="str">
            <v>8049</v>
          </cell>
          <cell r="G3129" t="str">
            <v>Muzak, LLC:McDonald's - El Monte</v>
          </cell>
          <cell r="H3129">
            <v>1</v>
          </cell>
        </row>
        <row r="3130">
          <cell r="B3130" t="str">
            <v>SWC1040-0913</v>
          </cell>
          <cell r="C3130" t="str">
            <v>Invoice</v>
          </cell>
          <cell r="D3130">
            <v>38617</v>
          </cell>
          <cell r="F3130" t="str">
            <v>8078</v>
          </cell>
          <cell r="G3130" t="str">
            <v>Muzak, IA:Soundcom LLC of Florida - Palm Beach:Mattress Zone - Stuart</v>
          </cell>
          <cell r="H3130">
            <v>1</v>
          </cell>
        </row>
        <row r="3131">
          <cell r="B3131" t="str">
            <v>SWC1040-0913</v>
          </cell>
          <cell r="C3131" t="str">
            <v>Invoice</v>
          </cell>
          <cell r="D3131">
            <v>38617</v>
          </cell>
          <cell r="F3131" t="str">
            <v>8006</v>
          </cell>
          <cell r="G3131" t="str">
            <v>Muzak, IA:Metro Communications</v>
          </cell>
          <cell r="H3131">
            <v>1</v>
          </cell>
        </row>
        <row r="3132">
          <cell r="B3132" t="str">
            <v>SWC1040-0913</v>
          </cell>
          <cell r="C3132" t="str">
            <v>Invoice</v>
          </cell>
          <cell r="D3132">
            <v>38617</v>
          </cell>
          <cell r="F3132" t="str">
            <v>8013</v>
          </cell>
          <cell r="G3132" t="str">
            <v>Muzak, IA:Ohio Musicue</v>
          </cell>
          <cell r="H3132">
            <v>1</v>
          </cell>
        </row>
        <row r="3133">
          <cell r="B3133" t="str">
            <v>SWC1040-0913</v>
          </cell>
          <cell r="C3133" t="str">
            <v>Invoice</v>
          </cell>
          <cell r="D3133">
            <v>38628</v>
          </cell>
          <cell r="F3133" t="str">
            <v>7954</v>
          </cell>
          <cell r="G3133" t="str">
            <v>Muzak, LLC:Mattress Zone 042804</v>
          </cell>
          <cell r="H3133">
            <v>1</v>
          </cell>
        </row>
        <row r="3134">
          <cell r="B3134" t="str">
            <v>SWC1040-0913</v>
          </cell>
          <cell r="C3134" t="str">
            <v>Invoice</v>
          </cell>
          <cell r="D3134">
            <v>38628</v>
          </cell>
          <cell r="F3134" t="str">
            <v>8254</v>
          </cell>
          <cell r="G3134" t="str">
            <v>Muzak, LLC:Muzak (Demo)</v>
          </cell>
          <cell r="H3134">
            <v>1</v>
          </cell>
        </row>
        <row r="3135">
          <cell r="B3135" t="str">
            <v>SWC1040-0913</v>
          </cell>
          <cell r="C3135" t="str">
            <v>Invoice</v>
          </cell>
          <cell r="D3135">
            <v>38628</v>
          </cell>
          <cell r="F3135" t="str">
            <v>8253</v>
          </cell>
          <cell r="G3135" t="str">
            <v>Muzak, LLC:Muzak (Demo)</v>
          </cell>
          <cell r="H3135">
            <v>1</v>
          </cell>
        </row>
        <row r="3136">
          <cell r="B3136" t="str">
            <v>SWC1040-0913</v>
          </cell>
          <cell r="C3136" t="str">
            <v>Invoice</v>
          </cell>
          <cell r="D3136">
            <v>38629</v>
          </cell>
          <cell r="F3136" t="str">
            <v>8287</v>
          </cell>
          <cell r="G3136" t="str">
            <v>Muzak, LLC:Mattress Zone 042896</v>
          </cell>
          <cell r="H3136">
            <v>1</v>
          </cell>
        </row>
        <row r="3137">
          <cell r="B3137" t="str">
            <v>SWC1040-0913</v>
          </cell>
          <cell r="C3137" t="str">
            <v>Invoice</v>
          </cell>
          <cell r="D3137">
            <v>38629</v>
          </cell>
          <cell r="F3137" t="str">
            <v>8266</v>
          </cell>
          <cell r="G3137" t="str">
            <v>Muzak, LLC:Mattress Zone 042807</v>
          </cell>
          <cell r="H3137">
            <v>1</v>
          </cell>
        </row>
        <row r="3138">
          <cell r="B3138" t="str">
            <v>SWC1040-0919</v>
          </cell>
          <cell r="C3138" t="str">
            <v>Invoice</v>
          </cell>
          <cell r="D3138">
            <v>38602</v>
          </cell>
          <cell r="F3138" t="str">
            <v>7839</v>
          </cell>
          <cell r="G3138" t="str">
            <v>Muzak, LLC:El Torro</v>
          </cell>
          <cell r="H3138">
            <v>1</v>
          </cell>
        </row>
        <row r="3139">
          <cell r="B3139" t="str">
            <v>SWC1040-0928</v>
          </cell>
          <cell r="C3139" t="str">
            <v>Invoice</v>
          </cell>
          <cell r="D3139">
            <v>38470</v>
          </cell>
          <cell r="F3139" t="str">
            <v>6006</v>
          </cell>
          <cell r="G3139" t="str">
            <v>Techno Satellite</v>
          </cell>
          <cell r="H3139">
            <v>1</v>
          </cell>
        </row>
        <row r="3140">
          <cell r="B3140" t="str">
            <v>SWC1040-0929</v>
          </cell>
          <cell r="C3140" t="str">
            <v>Invoice</v>
          </cell>
          <cell r="D3140">
            <v>38611</v>
          </cell>
          <cell r="F3140" t="str">
            <v>7968</v>
          </cell>
          <cell r="G3140" t="str">
            <v>Muzak, LLC:Elliott Hardware - Dallas</v>
          </cell>
          <cell r="H3140">
            <v>1</v>
          </cell>
        </row>
        <row r="3141">
          <cell r="B3141" t="str">
            <v>SWC1040-0929</v>
          </cell>
          <cell r="C3141" t="str">
            <v>Invoice</v>
          </cell>
          <cell r="D3141">
            <v>38625</v>
          </cell>
          <cell r="F3141" t="str">
            <v>8199</v>
          </cell>
          <cell r="G3141" t="str">
            <v>Promotool</v>
          </cell>
          <cell r="H3141">
            <v>1</v>
          </cell>
        </row>
        <row r="3142">
          <cell r="B3142" t="str">
            <v>SWC1040-0947</v>
          </cell>
          <cell r="C3142" t="str">
            <v>Invoice</v>
          </cell>
          <cell r="D3142">
            <v>38583</v>
          </cell>
          <cell r="F3142" t="str">
            <v>7100</v>
          </cell>
          <cell r="G3142" t="str">
            <v>Muzak, LLC:City Range Steakhouse &amp; Grill</v>
          </cell>
          <cell r="H3142">
            <v>1</v>
          </cell>
        </row>
        <row r="3143">
          <cell r="B3143" t="str">
            <v>SWC1040-0947</v>
          </cell>
          <cell r="C3143" t="str">
            <v>Invoice</v>
          </cell>
          <cell r="D3143">
            <v>38593</v>
          </cell>
          <cell r="F3143" t="str">
            <v>7713</v>
          </cell>
          <cell r="G3143" t="str">
            <v>Muzak, LLC:Muzak (Demo)</v>
          </cell>
          <cell r="H3143">
            <v>1</v>
          </cell>
        </row>
        <row r="3144">
          <cell r="B3144" t="str">
            <v>SWC1040-0956</v>
          </cell>
          <cell r="C3144" t="str">
            <v>Invoice</v>
          </cell>
          <cell r="D3144">
            <v>38533</v>
          </cell>
          <cell r="F3144" t="str">
            <v>7050</v>
          </cell>
          <cell r="G3144" t="str">
            <v>Scent Events, LLC</v>
          </cell>
          <cell r="H3144">
            <v>1</v>
          </cell>
        </row>
        <row r="3145">
          <cell r="B3145" t="str">
            <v>SWC1040-0956</v>
          </cell>
          <cell r="C3145" t="str">
            <v>Invoice</v>
          </cell>
          <cell r="D3145">
            <v>38533</v>
          </cell>
          <cell r="F3145" t="str">
            <v>7041</v>
          </cell>
          <cell r="G3145" t="str">
            <v>Arkitectura Urbana</v>
          </cell>
          <cell r="H3145">
            <v>1</v>
          </cell>
        </row>
        <row r="3146">
          <cell r="B3146" t="str">
            <v>SWC1040-0956</v>
          </cell>
          <cell r="C3146" t="str">
            <v>Invoice</v>
          </cell>
          <cell r="D3146">
            <v>38553</v>
          </cell>
          <cell r="F3146" t="str">
            <v>7159</v>
          </cell>
          <cell r="G3146" t="str">
            <v>Arkitectura Urbana</v>
          </cell>
          <cell r="H3146">
            <v>1</v>
          </cell>
        </row>
        <row r="3147">
          <cell r="B3147" t="str">
            <v>SWC1040-0960</v>
          </cell>
          <cell r="C3147" t="str">
            <v>Invoice</v>
          </cell>
          <cell r="D3147">
            <v>38525</v>
          </cell>
          <cell r="F3147" t="str">
            <v>5572</v>
          </cell>
          <cell r="G3147" t="str">
            <v>Busch Gardens - Williamsburg</v>
          </cell>
          <cell r="H3147">
            <v>1</v>
          </cell>
        </row>
        <row r="3148">
          <cell r="B3148" t="str">
            <v>SWC1040-0961</v>
          </cell>
          <cell r="C3148" t="str">
            <v>Invoice</v>
          </cell>
          <cell r="D3148">
            <v>38489</v>
          </cell>
          <cell r="F3148" t="str">
            <v>5728</v>
          </cell>
          <cell r="G3148" t="str">
            <v>Muzak, LLC</v>
          </cell>
          <cell r="H3148">
            <v>1</v>
          </cell>
        </row>
        <row r="3149">
          <cell r="B3149" t="str">
            <v>SWC1040-0961</v>
          </cell>
          <cell r="C3149" t="str">
            <v>Invoice</v>
          </cell>
          <cell r="D3149">
            <v>38490</v>
          </cell>
          <cell r="F3149" t="str">
            <v>6080</v>
          </cell>
          <cell r="G3149" t="str">
            <v>Muzak, LLC (superceded)</v>
          </cell>
          <cell r="H3149">
            <v>1</v>
          </cell>
        </row>
        <row r="3150">
          <cell r="B3150" t="str">
            <v>SWC1040-0961</v>
          </cell>
          <cell r="C3150" t="str">
            <v>Invoice</v>
          </cell>
          <cell r="D3150">
            <v>38573</v>
          </cell>
          <cell r="F3150" t="str">
            <v>7314</v>
          </cell>
          <cell r="G3150" t="str">
            <v>Muzak, LLC:Petland</v>
          </cell>
          <cell r="H3150">
            <v>1</v>
          </cell>
        </row>
        <row r="3151">
          <cell r="B3151" t="str">
            <v>SWC1040-0961</v>
          </cell>
          <cell r="C3151" t="str">
            <v>Invoice</v>
          </cell>
          <cell r="D3151">
            <v>38576</v>
          </cell>
          <cell r="F3151" t="str">
            <v>7370</v>
          </cell>
          <cell r="G3151" t="str">
            <v>Muzak, LLC:Appliance Direct - 034973</v>
          </cell>
          <cell r="H3151">
            <v>1</v>
          </cell>
        </row>
        <row r="3152">
          <cell r="B3152" t="str">
            <v>SWC1040-0961</v>
          </cell>
          <cell r="C3152" t="str">
            <v>Invoice</v>
          </cell>
          <cell r="D3152">
            <v>38576</v>
          </cell>
          <cell r="F3152" t="str">
            <v>7369</v>
          </cell>
          <cell r="G3152" t="str">
            <v>Muzak, LLC:Appliance Direct - 034972</v>
          </cell>
          <cell r="H3152">
            <v>1</v>
          </cell>
        </row>
        <row r="3153">
          <cell r="B3153" t="str">
            <v>SWC1040-0961</v>
          </cell>
          <cell r="C3153" t="str">
            <v>Invoice</v>
          </cell>
          <cell r="D3153">
            <v>38576</v>
          </cell>
          <cell r="F3153" t="str">
            <v>7368</v>
          </cell>
          <cell r="G3153" t="str">
            <v>Muzak, LLC:Appliance Direct - 034971</v>
          </cell>
          <cell r="H3153">
            <v>1</v>
          </cell>
        </row>
        <row r="3154">
          <cell r="B3154" t="str">
            <v>SWC1040-0961</v>
          </cell>
          <cell r="C3154" t="str">
            <v>Invoice</v>
          </cell>
          <cell r="D3154">
            <v>38576</v>
          </cell>
          <cell r="F3154" t="str">
            <v>7387</v>
          </cell>
          <cell r="G3154" t="str">
            <v>Muzak, LLC:Appliance Direct -035133</v>
          </cell>
          <cell r="H3154">
            <v>1</v>
          </cell>
        </row>
        <row r="3155">
          <cell r="B3155" t="str">
            <v>SWC1040-0961</v>
          </cell>
          <cell r="C3155" t="str">
            <v>Invoice</v>
          </cell>
          <cell r="D3155">
            <v>38576</v>
          </cell>
          <cell r="F3155" t="str">
            <v>7386</v>
          </cell>
          <cell r="G3155" t="str">
            <v>Muzak, LLC:Appliance Direct - Pro Kitchen</v>
          </cell>
          <cell r="H3155">
            <v>1</v>
          </cell>
        </row>
        <row r="3156">
          <cell r="B3156" t="str">
            <v>SWC1040-0961</v>
          </cell>
          <cell r="C3156" t="str">
            <v>Invoice</v>
          </cell>
          <cell r="D3156">
            <v>38576</v>
          </cell>
          <cell r="F3156" t="str">
            <v>7385</v>
          </cell>
          <cell r="G3156" t="str">
            <v>Muzak, LLC:Appliance Direct - 034975</v>
          </cell>
          <cell r="H3156">
            <v>1</v>
          </cell>
        </row>
        <row r="3157">
          <cell r="B3157" t="str">
            <v>SWC1040-0961</v>
          </cell>
          <cell r="C3157" t="str">
            <v>Invoice</v>
          </cell>
          <cell r="D3157">
            <v>38576</v>
          </cell>
          <cell r="F3157" t="str">
            <v>7384</v>
          </cell>
          <cell r="G3157" t="str">
            <v>Muzak, LLC:Appliance Direct - 043548</v>
          </cell>
          <cell r="H3157">
            <v>1</v>
          </cell>
        </row>
        <row r="3158">
          <cell r="B3158" t="str">
            <v>SWC1040-0961</v>
          </cell>
          <cell r="C3158" t="str">
            <v>Invoice</v>
          </cell>
          <cell r="D3158">
            <v>38576</v>
          </cell>
          <cell r="F3158" t="str">
            <v>7383</v>
          </cell>
          <cell r="G3158" t="str">
            <v>Muzak, LLC:Appliance Direct - 043547</v>
          </cell>
          <cell r="H3158">
            <v>1</v>
          </cell>
        </row>
        <row r="3159">
          <cell r="B3159" t="str">
            <v>SWC1040-0961</v>
          </cell>
          <cell r="C3159" t="str">
            <v>Invoice</v>
          </cell>
          <cell r="D3159">
            <v>38576</v>
          </cell>
          <cell r="F3159" t="str">
            <v>7382</v>
          </cell>
          <cell r="G3159" t="str">
            <v>Muzak, LLC:Appliance Direct - 043545</v>
          </cell>
          <cell r="H3159">
            <v>1</v>
          </cell>
        </row>
        <row r="3160">
          <cell r="B3160" t="str">
            <v>SWC1040-0961</v>
          </cell>
          <cell r="C3160" t="str">
            <v>Invoice</v>
          </cell>
          <cell r="D3160">
            <v>38576</v>
          </cell>
          <cell r="F3160" t="str">
            <v>7381</v>
          </cell>
          <cell r="G3160" t="str">
            <v>Muzak, LLC:Appliance Direct - 043544</v>
          </cell>
          <cell r="H3160">
            <v>1</v>
          </cell>
        </row>
        <row r="3161">
          <cell r="B3161" t="str">
            <v>SWC1040-0961</v>
          </cell>
          <cell r="C3161" t="str">
            <v>Invoice</v>
          </cell>
          <cell r="D3161">
            <v>38576</v>
          </cell>
          <cell r="F3161" t="str">
            <v>7380</v>
          </cell>
          <cell r="G3161" t="str">
            <v>Muzak, LLC:Appliance Direct - 042201</v>
          </cell>
          <cell r="H3161">
            <v>1</v>
          </cell>
        </row>
        <row r="3162">
          <cell r="B3162" t="str">
            <v>SWC1040-0961</v>
          </cell>
          <cell r="C3162" t="str">
            <v>Invoice</v>
          </cell>
          <cell r="D3162">
            <v>38576</v>
          </cell>
          <cell r="F3162" t="str">
            <v>7379</v>
          </cell>
          <cell r="G3162" t="str">
            <v>Muzak, LLC:Appliance Direct - 042176</v>
          </cell>
          <cell r="H3162">
            <v>1</v>
          </cell>
        </row>
        <row r="3163">
          <cell r="B3163" t="str">
            <v>SWC1040-0961</v>
          </cell>
          <cell r="C3163" t="str">
            <v>Invoice</v>
          </cell>
          <cell r="D3163">
            <v>38576</v>
          </cell>
          <cell r="F3163" t="str">
            <v>7377</v>
          </cell>
          <cell r="G3163" t="str">
            <v>Muzak, LLC:Appliance Direct - 042172</v>
          </cell>
          <cell r="H3163">
            <v>1</v>
          </cell>
        </row>
        <row r="3164">
          <cell r="B3164" t="str">
            <v>SWC1040-0961</v>
          </cell>
          <cell r="C3164" t="str">
            <v>Invoice</v>
          </cell>
          <cell r="D3164">
            <v>38576</v>
          </cell>
          <cell r="F3164" t="str">
            <v>7376</v>
          </cell>
          <cell r="G3164" t="str">
            <v>Muzak, LLC:Appliance Direct - 038915</v>
          </cell>
          <cell r="H3164">
            <v>1</v>
          </cell>
        </row>
        <row r="3165">
          <cell r="B3165" t="str">
            <v>SWC1040-0961</v>
          </cell>
          <cell r="C3165" t="str">
            <v>Invoice</v>
          </cell>
          <cell r="D3165">
            <v>38576</v>
          </cell>
          <cell r="F3165" t="str">
            <v>7375</v>
          </cell>
          <cell r="G3165" t="str">
            <v>Muzak, LLC:Appliance Direct - 038914</v>
          </cell>
          <cell r="H3165">
            <v>1</v>
          </cell>
        </row>
        <row r="3166">
          <cell r="B3166" t="str">
            <v>SWC1040-0961</v>
          </cell>
          <cell r="C3166" t="str">
            <v>Invoice</v>
          </cell>
          <cell r="D3166">
            <v>38576</v>
          </cell>
          <cell r="F3166" t="str">
            <v>7374</v>
          </cell>
          <cell r="G3166" t="str">
            <v>Muzak, LLC:Appliance Direct - 035387</v>
          </cell>
          <cell r="H3166">
            <v>1</v>
          </cell>
        </row>
        <row r="3167">
          <cell r="B3167" t="str">
            <v>SWC1040-0961</v>
          </cell>
          <cell r="C3167" t="str">
            <v>Invoice</v>
          </cell>
          <cell r="D3167">
            <v>38576</v>
          </cell>
          <cell r="F3167" t="str">
            <v>7373</v>
          </cell>
          <cell r="G3167" t="str">
            <v>Muzak, LLC:Appliance Direct - 034977</v>
          </cell>
          <cell r="H3167">
            <v>1</v>
          </cell>
        </row>
        <row r="3168">
          <cell r="B3168" t="str">
            <v>SWC1040-0961</v>
          </cell>
          <cell r="C3168" t="str">
            <v>Invoice</v>
          </cell>
          <cell r="D3168">
            <v>38576</v>
          </cell>
          <cell r="F3168" t="str">
            <v>7372</v>
          </cell>
          <cell r="G3168" t="str">
            <v>Muzak, LLC:Appliance Direct - 034976</v>
          </cell>
          <cell r="H3168">
            <v>1</v>
          </cell>
        </row>
        <row r="3169">
          <cell r="B3169" t="str">
            <v>SWC1040-0961</v>
          </cell>
          <cell r="C3169" t="str">
            <v>Invoice</v>
          </cell>
          <cell r="D3169">
            <v>38576</v>
          </cell>
          <cell r="F3169" t="str">
            <v>7371</v>
          </cell>
          <cell r="G3169" t="str">
            <v>Muzak, LLC:Appliance Direct - 034974</v>
          </cell>
          <cell r="H3169">
            <v>1</v>
          </cell>
        </row>
        <row r="3170">
          <cell r="B3170" t="str">
            <v>SWC1040-0961</v>
          </cell>
          <cell r="C3170" t="str">
            <v>Invoice</v>
          </cell>
          <cell r="D3170">
            <v>38587</v>
          </cell>
          <cell r="F3170" t="str">
            <v>7672</v>
          </cell>
          <cell r="G3170" t="str">
            <v>Muzak, LLC:Lee Nails &amp; Day Spa - 031611</v>
          </cell>
          <cell r="H3170">
            <v>1</v>
          </cell>
        </row>
        <row r="3171">
          <cell r="B3171" t="str">
            <v>SWC1040-0961</v>
          </cell>
          <cell r="C3171" t="str">
            <v>Invoice</v>
          </cell>
          <cell r="D3171">
            <v>38587</v>
          </cell>
          <cell r="F3171" t="str">
            <v>7673</v>
          </cell>
          <cell r="G3171" t="str">
            <v>Muzak, LLC:Lee Nails &amp; Day Spa - 039000</v>
          </cell>
          <cell r="H3171">
            <v>1</v>
          </cell>
        </row>
        <row r="3172">
          <cell r="B3172" t="str">
            <v>SWC1040-0961</v>
          </cell>
          <cell r="C3172" t="str">
            <v>Invoice</v>
          </cell>
          <cell r="D3172">
            <v>38596</v>
          </cell>
          <cell r="F3172" t="str">
            <v>7755</v>
          </cell>
          <cell r="G3172" t="str">
            <v>Muzak, LLC:Appliance Direct - 042176</v>
          </cell>
          <cell r="H3172">
            <v>1</v>
          </cell>
        </row>
        <row r="3173">
          <cell r="B3173" t="str">
            <v>SWC1040-0961</v>
          </cell>
          <cell r="C3173" t="str">
            <v>Invoice</v>
          </cell>
          <cell r="D3173">
            <v>38602</v>
          </cell>
          <cell r="F3173" t="str">
            <v>7848</v>
          </cell>
          <cell r="G3173" t="str">
            <v>Muzak, LLC:Muzak (Demo)</v>
          </cell>
          <cell r="H3173">
            <v>1</v>
          </cell>
        </row>
        <row r="3174">
          <cell r="B3174" t="str">
            <v>SWC1040-0961</v>
          </cell>
          <cell r="C3174" t="str">
            <v>Invoice</v>
          </cell>
          <cell r="D3174">
            <v>38608</v>
          </cell>
          <cell r="F3174" t="str">
            <v>7927</v>
          </cell>
          <cell r="G3174" t="str">
            <v>Muzak, LLC:Heritage at Lake Forest</v>
          </cell>
          <cell r="H3174">
            <v>1</v>
          </cell>
        </row>
        <row r="3175">
          <cell r="B3175" t="str">
            <v>SWC1040-0961</v>
          </cell>
          <cell r="C3175" t="str">
            <v>Invoice</v>
          </cell>
          <cell r="D3175">
            <v>38609</v>
          </cell>
          <cell r="F3175" t="str">
            <v>7235</v>
          </cell>
          <cell r="G3175" t="str">
            <v>Sea World Orlando</v>
          </cell>
          <cell r="H3175">
            <v>1</v>
          </cell>
        </row>
        <row r="3176">
          <cell r="B3176" t="str">
            <v>SWC1040-0961</v>
          </cell>
          <cell r="C3176" t="str">
            <v>Invoice</v>
          </cell>
          <cell r="D3176">
            <v>38617</v>
          </cell>
          <cell r="F3176" t="str">
            <v>7315</v>
          </cell>
          <cell r="G3176" t="str">
            <v>Muzak, LLC:Petland</v>
          </cell>
          <cell r="H3176">
            <v>1</v>
          </cell>
        </row>
        <row r="3177">
          <cell r="B3177" t="str">
            <v>SWC1040-0961</v>
          </cell>
          <cell r="C3177" t="str">
            <v>Invoice</v>
          </cell>
          <cell r="D3177">
            <v>38618</v>
          </cell>
          <cell r="F3177" t="str">
            <v>8062</v>
          </cell>
          <cell r="G3177" t="str">
            <v>Muzak, LLC:Merchant Resource Group</v>
          </cell>
          <cell r="H3177">
            <v>1</v>
          </cell>
        </row>
        <row r="3178">
          <cell r="B3178" t="str">
            <v>SWC1040-0961</v>
          </cell>
          <cell r="C3178" t="str">
            <v>Invoice</v>
          </cell>
          <cell r="D3178">
            <v>38621</v>
          </cell>
          <cell r="F3178" t="str">
            <v>7450</v>
          </cell>
          <cell r="G3178" t="str">
            <v>Muzak, LLC:Appliance Direct -035133</v>
          </cell>
          <cell r="H3178">
            <v>1</v>
          </cell>
        </row>
        <row r="3179">
          <cell r="B3179" t="str">
            <v>SWC1040-0961</v>
          </cell>
          <cell r="C3179" t="str">
            <v>Invoice</v>
          </cell>
          <cell r="D3179">
            <v>38621</v>
          </cell>
          <cell r="F3179" t="str">
            <v>7456</v>
          </cell>
          <cell r="G3179" t="str">
            <v>Muzak, LLC:Appliance Direct - 042201</v>
          </cell>
          <cell r="H3179">
            <v>1</v>
          </cell>
        </row>
        <row r="3180">
          <cell r="B3180" t="str">
            <v>SWC1040-0961</v>
          </cell>
          <cell r="C3180" t="str">
            <v>Invoice</v>
          </cell>
          <cell r="D3180">
            <v>38621</v>
          </cell>
          <cell r="F3180" t="str">
            <v>7458</v>
          </cell>
          <cell r="G3180" t="str">
            <v>Muzak, LLC:Appliance Direct - 042172</v>
          </cell>
          <cell r="H3180">
            <v>1</v>
          </cell>
        </row>
        <row r="3181">
          <cell r="B3181" t="str">
            <v>SWC1040-0961</v>
          </cell>
          <cell r="C3181" t="str">
            <v>Invoice</v>
          </cell>
          <cell r="D3181">
            <v>38621</v>
          </cell>
          <cell r="F3181" t="str">
            <v>7459</v>
          </cell>
          <cell r="G3181" t="str">
            <v>Muzak, LLC:Appliance Direct - 038915</v>
          </cell>
          <cell r="H3181">
            <v>1</v>
          </cell>
        </row>
        <row r="3182">
          <cell r="B3182" t="str">
            <v>SWC1040-0961</v>
          </cell>
          <cell r="C3182" t="str">
            <v>Invoice</v>
          </cell>
          <cell r="D3182">
            <v>38621</v>
          </cell>
          <cell r="F3182" t="str">
            <v>7460</v>
          </cell>
          <cell r="G3182" t="str">
            <v>Muzak, LLC:Appliance Direct - 038914</v>
          </cell>
          <cell r="H3182">
            <v>1</v>
          </cell>
        </row>
        <row r="3183">
          <cell r="B3183" t="str">
            <v>SWC1040-0961</v>
          </cell>
          <cell r="C3183" t="str">
            <v>Invoice</v>
          </cell>
          <cell r="D3183">
            <v>38621</v>
          </cell>
          <cell r="F3183" t="str">
            <v>7461</v>
          </cell>
          <cell r="G3183" t="str">
            <v>Muzak, LLC:Appliance Direct - 035387</v>
          </cell>
          <cell r="H3183">
            <v>1</v>
          </cell>
        </row>
        <row r="3184">
          <cell r="B3184" t="str">
            <v>SWC1040-0961</v>
          </cell>
          <cell r="C3184" t="str">
            <v>Invoice</v>
          </cell>
          <cell r="D3184">
            <v>38621</v>
          </cell>
          <cell r="F3184" t="str">
            <v>7462</v>
          </cell>
          <cell r="G3184" t="str">
            <v>Muzak, LLC:Appliance Direct - 034977</v>
          </cell>
          <cell r="H3184">
            <v>1</v>
          </cell>
        </row>
        <row r="3185">
          <cell r="B3185" t="str">
            <v>SWC1040-0961</v>
          </cell>
          <cell r="C3185" t="str">
            <v>Invoice</v>
          </cell>
          <cell r="D3185">
            <v>38621</v>
          </cell>
          <cell r="F3185" t="str">
            <v>7463</v>
          </cell>
          <cell r="G3185" t="str">
            <v>Muzak, LLC:Appliance Direct - 034976</v>
          </cell>
          <cell r="H3185">
            <v>1</v>
          </cell>
        </row>
        <row r="3186">
          <cell r="B3186" t="str">
            <v>SWC1040-0961</v>
          </cell>
          <cell r="C3186" t="str">
            <v>Invoice</v>
          </cell>
          <cell r="D3186">
            <v>38621</v>
          </cell>
          <cell r="F3186" t="str">
            <v>7464</v>
          </cell>
          <cell r="G3186" t="str">
            <v>Muzak, LLC:Appliance Direct - 034975</v>
          </cell>
          <cell r="H3186">
            <v>1</v>
          </cell>
        </row>
        <row r="3187">
          <cell r="B3187" t="str">
            <v>SWC1040-0961</v>
          </cell>
          <cell r="C3187" t="str">
            <v>Invoice</v>
          </cell>
          <cell r="D3187">
            <v>38621</v>
          </cell>
          <cell r="F3187" t="str">
            <v>7465</v>
          </cell>
          <cell r="G3187" t="str">
            <v>Muzak, LLC:Appliance Direct - 034974</v>
          </cell>
          <cell r="H3187">
            <v>1</v>
          </cell>
        </row>
        <row r="3188">
          <cell r="B3188" t="str">
            <v>SWC1040-0961</v>
          </cell>
          <cell r="C3188" t="str">
            <v>Invoice</v>
          </cell>
          <cell r="D3188">
            <v>38621</v>
          </cell>
          <cell r="F3188" t="str">
            <v>7466</v>
          </cell>
          <cell r="G3188" t="str">
            <v>Muzak, LLC:Appliance Direct - 034973</v>
          </cell>
          <cell r="H3188">
            <v>1</v>
          </cell>
        </row>
        <row r="3189">
          <cell r="B3189" t="str">
            <v>SWC1040-0961</v>
          </cell>
          <cell r="C3189" t="str">
            <v>Invoice</v>
          </cell>
          <cell r="D3189">
            <v>38621</v>
          </cell>
          <cell r="F3189" t="str">
            <v>7467</v>
          </cell>
          <cell r="G3189" t="str">
            <v>Muzak, LLC:Appliance Direct - 034972</v>
          </cell>
          <cell r="H3189">
            <v>1</v>
          </cell>
        </row>
        <row r="3190">
          <cell r="B3190" t="str">
            <v>SWC1040-0961</v>
          </cell>
          <cell r="C3190" t="str">
            <v>Invoice</v>
          </cell>
          <cell r="D3190">
            <v>38621</v>
          </cell>
          <cell r="F3190" t="str">
            <v>7468</v>
          </cell>
          <cell r="G3190" t="str">
            <v>Muzak, LLC:Appliance Direct - 034971</v>
          </cell>
          <cell r="H3190">
            <v>1</v>
          </cell>
        </row>
        <row r="3191">
          <cell r="B3191" t="str">
            <v>SWC1040-0963</v>
          </cell>
          <cell r="C3191" t="str">
            <v>Invoice</v>
          </cell>
          <cell r="D3191">
            <v>38520</v>
          </cell>
          <cell r="F3191" t="str">
            <v>6267</v>
          </cell>
          <cell r="G3191" t="str">
            <v>Techno Satellite</v>
          </cell>
          <cell r="H3191">
            <v>1</v>
          </cell>
        </row>
        <row r="3192">
          <cell r="B3192" t="str">
            <v>SWC1040-1016</v>
          </cell>
          <cell r="C3192" t="str">
            <v>Invoice</v>
          </cell>
          <cell r="D3192">
            <v>38488</v>
          </cell>
          <cell r="F3192" t="str">
            <v>6061</v>
          </cell>
          <cell r="G3192" t="str">
            <v>Nova Scotia Liquor Company</v>
          </cell>
          <cell r="H3192">
            <v>1</v>
          </cell>
        </row>
        <row r="3193">
          <cell r="B3193" t="str">
            <v>SWC1040-1016</v>
          </cell>
          <cell r="C3193" t="str">
            <v>Invoice</v>
          </cell>
          <cell r="D3193">
            <v>38517</v>
          </cell>
          <cell r="F3193" t="str">
            <v>5568A</v>
          </cell>
          <cell r="G3193" t="str">
            <v>Cheeseburger in Paradise</v>
          </cell>
          <cell r="H3193">
            <v>1</v>
          </cell>
        </row>
        <row r="3194">
          <cell r="B3194" t="str">
            <v>SWC1040-1016</v>
          </cell>
          <cell r="C3194" t="str">
            <v>Invoice</v>
          </cell>
          <cell r="D3194">
            <v>38542</v>
          </cell>
          <cell r="F3194" t="str">
            <v>6262</v>
          </cell>
          <cell r="G3194" t="str">
            <v>Muzak, LLC:Highwoods Properties</v>
          </cell>
          <cell r="H3194">
            <v>1</v>
          </cell>
        </row>
        <row r="3195">
          <cell r="B3195" t="str">
            <v>SWC1040-1016</v>
          </cell>
          <cell r="C3195" t="str">
            <v>Invoice</v>
          </cell>
          <cell r="D3195">
            <v>38544</v>
          </cell>
          <cell r="F3195" t="str">
            <v>7037</v>
          </cell>
          <cell r="G3195" t="str">
            <v>Muzak, LLC:Anytime Fitness</v>
          </cell>
          <cell r="H3195">
            <v>1</v>
          </cell>
        </row>
        <row r="3196">
          <cell r="B3196" t="str">
            <v>SWC1040-1016</v>
          </cell>
          <cell r="C3196" t="str">
            <v>Invoice</v>
          </cell>
          <cell r="D3196">
            <v>38548</v>
          </cell>
          <cell r="F3196" t="str">
            <v>7142</v>
          </cell>
          <cell r="G3196" t="str">
            <v>Muzak, LLC:Schnuck Markets, Inc. #180</v>
          </cell>
          <cell r="H3196">
            <v>1</v>
          </cell>
        </row>
        <row r="3197">
          <cell r="B3197" t="str">
            <v>SWC1040-1016</v>
          </cell>
          <cell r="C3197" t="str">
            <v>Invoice</v>
          </cell>
          <cell r="D3197">
            <v>38560</v>
          </cell>
          <cell r="F3197" t="str">
            <v>7217</v>
          </cell>
          <cell r="G3197" t="str">
            <v>Muzak, IA:Business Music &amp; Communications, LLC</v>
          </cell>
          <cell r="H3197">
            <v>1</v>
          </cell>
        </row>
        <row r="3198">
          <cell r="B3198" t="str">
            <v>SWC1040-1016</v>
          </cell>
          <cell r="C3198" t="str">
            <v>Invoice</v>
          </cell>
          <cell r="D3198">
            <v>38561</v>
          </cell>
          <cell r="F3198" t="str">
            <v>7197</v>
          </cell>
          <cell r="G3198" t="str">
            <v>Techno Satellite</v>
          </cell>
          <cell r="H3198">
            <v>1</v>
          </cell>
        </row>
        <row r="3199">
          <cell r="B3199" t="str">
            <v>SWC1040-1016</v>
          </cell>
          <cell r="C3199" t="str">
            <v>Invoice</v>
          </cell>
          <cell r="D3199">
            <v>38569</v>
          </cell>
          <cell r="F3199" t="str">
            <v>5588</v>
          </cell>
          <cell r="G3199" t="str">
            <v>Muzak, LLC:Highwoods Properties</v>
          </cell>
          <cell r="H3199">
            <v>1</v>
          </cell>
        </row>
        <row r="3200">
          <cell r="B3200" t="str">
            <v>SWC1040-1016</v>
          </cell>
          <cell r="C3200" t="str">
            <v>Invoice</v>
          </cell>
          <cell r="D3200">
            <v>38575</v>
          </cell>
          <cell r="F3200" t="str">
            <v>7023</v>
          </cell>
          <cell r="G3200" t="str">
            <v>Muzak, LLC:Anytime Fitness</v>
          </cell>
          <cell r="H3200">
            <v>1</v>
          </cell>
        </row>
        <row r="3201">
          <cell r="B3201" t="str">
            <v>SWC1040-1016</v>
          </cell>
          <cell r="C3201" t="str">
            <v>Invoice</v>
          </cell>
          <cell r="D3201">
            <v>38580</v>
          </cell>
          <cell r="F3201" t="str">
            <v>7512</v>
          </cell>
          <cell r="G3201" t="str">
            <v>Global Services Network</v>
          </cell>
          <cell r="H3201">
            <v>1</v>
          </cell>
        </row>
        <row r="3202">
          <cell r="B3202" t="str">
            <v>SWC1040-1016</v>
          </cell>
          <cell r="C3202" t="str">
            <v>Invoice</v>
          </cell>
          <cell r="D3202">
            <v>38589</v>
          </cell>
          <cell r="F3202" t="str">
            <v>7691</v>
          </cell>
          <cell r="G3202" t="str">
            <v>Muzak, LLC:Red 74</v>
          </cell>
          <cell r="H3202">
            <v>1</v>
          </cell>
        </row>
        <row r="3203">
          <cell r="B3203" t="str">
            <v>SWC1040-1016</v>
          </cell>
          <cell r="C3203" t="str">
            <v>Invoice</v>
          </cell>
          <cell r="D3203">
            <v>38589</v>
          </cell>
          <cell r="F3203" t="str">
            <v>7675</v>
          </cell>
          <cell r="G3203" t="str">
            <v>Klipsch Audio Technologies:Klipsch Audio</v>
          </cell>
          <cell r="H3203">
            <v>1</v>
          </cell>
        </row>
        <row r="3204">
          <cell r="B3204" t="str">
            <v>SWC1040-1016</v>
          </cell>
          <cell r="C3204" t="str">
            <v>Invoice</v>
          </cell>
          <cell r="D3204">
            <v>38593</v>
          </cell>
          <cell r="F3204" t="str">
            <v>7713</v>
          </cell>
          <cell r="G3204" t="str">
            <v>Muzak, LLC:Muzak (Demo)</v>
          </cell>
          <cell r="H3204">
            <v>1</v>
          </cell>
        </row>
        <row r="3205">
          <cell r="B3205" t="str">
            <v>SWC1040-1016</v>
          </cell>
          <cell r="C3205" t="str">
            <v>Invoice</v>
          </cell>
          <cell r="D3205">
            <v>38594</v>
          </cell>
          <cell r="F3205" t="str">
            <v>7726</v>
          </cell>
          <cell r="G3205" t="str">
            <v>Muzak, LLC:Schnuck Markets, Inc. #180</v>
          </cell>
          <cell r="H3205">
            <v>1</v>
          </cell>
        </row>
        <row r="3206">
          <cell r="B3206" t="str">
            <v>SWC1040-1016</v>
          </cell>
          <cell r="C3206" t="str">
            <v>Invoice</v>
          </cell>
          <cell r="D3206">
            <v>38597</v>
          </cell>
          <cell r="F3206" t="str">
            <v>7820</v>
          </cell>
          <cell r="G3206" t="str">
            <v>ScentAir - Corporate Associates</v>
          </cell>
          <cell r="H3206">
            <v>1</v>
          </cell>
        </row>
        <row r="3207">
          <cell r="B3207" t="str">
            <v>SWC1040-1016</v>
          </cell>
          <cell r="C3207" t="str">
            <v>Invoice</v>
          </cell>
          <cell r="D3207">
            <v>38597</v>
          </cell>
          <cell r="F3207" t="str">
            <v>7810</v>
          </cell>
          <cell r="G3207" t="str">
            <v>Muzak, LLC:St Johns Seafood &amp; Steaks 026607</v>
          </cell>
          <cell r="H3207">
            <v>1</v>
          </cell>
        </row>
        <row r="3208">
          <cell r="B3208" t="str">
            <v>SWC1040-1016</v>
          </cell>
          <cell r="C3208" t="str">
            <v>Invoice</v>
          </cell>
          <cell r="D3208">
            <v>38597</v>
          </cell>
          <cell r="F3208" t="str">
            <v>7811</v>
          </cell>
          <cell r="G3208" t="str">
            <v>Muzak, LLC:St Johns Seafood &amp; Steaks 030037</v>
          </cell>
          <cell r="H3208">
            <v>1</v>
          </cell>
        </row>
        <row r="3209">
          <cell r="B3209" t="str">
            <v>SWC1040-1016</v>
          </cell>
          <cell r="C3209" t="str">
            <v>Invoice</v>
          </cell>
          <cell r="D3209">
            <v>38597</v>
          </cell>
          <cell r="F3209" t="str">
            <v>7812</v>
          </cell>
          <cell r="G3209" t="str">
            <v>Muzak, LLC:St Johns Seafood &amp; Steaks 030046</v>
          </cell>
          <cell r="H3209">
            <v>1</v>
          </cell>
        </row>
        <row r="3210">
          <cell r="B3210" t="str">
            <v>SWC1040-1016</v>
          </cell>
          <cell r="C3210" t="str">
            <v>Invoice</v>
          </cell>
          <cell r="D3210">
            <v>38603</v>
          </cell>
          <cell r="F3210" t="str">
            <v>7879</v>
          </cell>
          <cell r="G3210" t="str">
            <v>Muzak, LLC:The Palms Tanning Resort - Greenwood Vill</v>
          </cell>
          <cell r="H3210">
            <v>1</v>
          </cell>
        </row>
        <row r="3211">
          <cell r="B3211" t="str">
            <v>SWC1040-1016</v>
          </cell>
          <cell r="C3211" t="str">
            <v>Invoice</v>
          </cell>
          <cell r="D3211">
            <v>38604</v>
          </cell>
          <cell r="F3211" t="str">
            <v>7224</v>
          </cell>
          <cell r="G3211" t="str">
            <v>Muzak, LLC:Anytime Fitness</v>
          </cell>
          <cell r="H3211">
            <v>1</v>
          </cell>
        </row>
        <row r="3212">
          <cell r="B3212" t="str">
            <v>SWC1040-1016</v>
          </cell>
          <cell r="C3212" t="str">
            <v>Invoice</v>
          </cell>
          <cell r="D3212">
            <v>38609</v>
          </cell>
          <cell r="F3212" t="str">
            <v>7930</v>
          </cell>
          <cell r="G3212" t="str">
            <v>Muzak, LLC:Omni Shoreham Hotel</v>
          </cell>
          <cell r="H3212">
            <v>1</v>
          </cell>
        </row>
        <row r="3213">
          <cell r="B3213" t="str">
            <v>SWC1040-1016</v>
          </cell>
          <cell r="C3213" t="str">
            <v>Invoice</v>
          </cell>
          <cell r="D3213">
            <v>38614</v>
          </cell>
          <cell r="F3213" t="str">
            <v>7996</v>
          </cell>
          <cell r="G3213" t="str">
            <v>Hard Rock Hotel and Casino - Las Vegas</v>
          </cell>
          <cell r="H3213">
            <v>1</v>
          </cell>
        </row>
        <row r="3214">
          <cell r="B3214" t="str">
            <v>SWC1040-1016</v>
          </cell>
          <cell r="C3214" t="str">
            <v>Invoice</v>
          </cell>
          <cell r="D3214">
            <v>38622</v>
          </cell>
          <cell r="F3214" t="str">
            <v>8113</v>
          </cell>
          <cell r="G3214" t="str">
            <v>Muzak, IA:Soundcom LLC of Florida - Palm Beach</v>
          </cell>
          <cell r="H3214">
            <v>1</v>
          </cell>
        </row>
        <row r="3215">
          <cell r="B3215" t="str">
            <v>SWC1040-1016</v>
          </cell>
          <cell r="C3215" t="str">
            <v>Invoice</v>
          </cell>
          <cell r="D3215">
            <v>38622</v>
          </cell>
          <cell r="F3215" t="str">
            <v>8132</v>
          </cell>
          <cell r="G3215" t="str">
            <v>Global Services Network</v>
          </cell>
          <cell r="H3215">
            <v>1</v>
          </cell>
        </row>
        <row r="3216">
          <cell r="B3216" t="str">
            <v>SWC1040-1016</v>
          </cell>
          <cell r="C3216" t="str">
            <v>Invoice</v>
          </cell>
          <cell r="D3216">
            <v>38624</v>
          </cell>
          <cell r="F3216" t="str">
            <v>7727</v>
          </cell>
          <cell r="G3216" t="str">
            <v>Muzak, LLC:Schnuck Markets, Inc. #180</v>
          </cell>
          <cell r="H3216">
            <v>1</v>
          </cell>
        </row>
        <row r="3217">
          <cell r="B3217" t="str">
            <v>SWC1040-1031</v>
          </cell>
          <cell r="C3217" t="str">
            <v>Invoice</v>
          </cell>
          <cell r="D3217">
            <v>38593</v>
          </cell>
          <cell r="F3217" t="str">
            <v>7699</v>
          </cell>
          <cell r="G3217" t="str">
            <v>Muzak, LLC:Food Lion #0564 (Bloom Stores)</v>
          </cell>
          <cell r="H3217">
            <v>1</v>
          </cell>
        </row>
        <row r="3218">
          <cell r="B3218" t="str">
            <v>SWC1040-1031</v>
          </cell>
          <cell r="C3218" t="str">
            <v>Invoice</v>
          </cell>
          <cell r="D3218">
            <v>38593</v>
          </cell>
          <cell r="F3218" t="str">
            <v>7698</v>
          </cell>
          <cell r="G3218" t="str">
            <v>Muzak, LLC:Food Lion #0531 (Bloom Stores)</v>
          </cell>
          <cell r="H3218">
            <v>1</v>
          </cell>
        </row>
        <row r="3219">
          <cell r="B3219" t="str">
            <v>SWC1040-1031</v>
          </cell>
          <cell r="C3219" t="str">
            <v>Invoice</v>
          </cell>
          <cell r="D3219">
            <v>38593</v>
          </cell>
          <cell r="F3219" t="str">
            <v>7701</v>
          </cell>
          <cell r="G3219" t="str">
            <v>Muzak, LLC:Food Lion #1438 (Bloom Stores)</v>
          </cell>
          <cell r="H3219">
            <v>1</v>
          </cell>
        </row>
        <row r="3220">
          <cell r="B3220" t="str">
            <v>SWC1040-1031</v>
          </cell>
          <cell r="C3220" t="str">
            <v>Invoice</v>
          </cell>
          <cell r="D3220">
            <v>38593</v>
          </cell>
          <cell r="F3220" t="str">
            <v>7702</v>
          </cell>
          <cell r="G3220" t="str">
            <v>Muzak, LLC:Food Lion #2565 (Bloom Stores)</v>
          </cell>
          <cell r="H3220">
            <v>1</v>
          </cell>
        </row>
        <row r="3221">
          <cell r="B3221" t="str">
            <v>SWC1040-1031</v>
          </cell>
          <cell r="C3221" t="str">
            <v>Invoice</v>
          </cell>
          <cell r="D3221">
            <v>38593</v>
          </cell>
          <cell r="F3221" t="str">
            <v>7700</v>
          </cell>
          <cell r="G3221" t="str">
            <v>Muzak, LLC:Food Lion #1351 (Bloom Stores)</v>
          </cell>
          <cell r="H3221">
            <v>1</v>
          </cell>
        </row>
        <row r="3222">
          <cell r="B3222" t="str">
            <v>SWC1040-1031</v>
          </cell>
          <cell r="C3222" t="str">
            <v>Invoice</v>
          </cell>
          <cell r="D3222">
            <v>38607</v>
          </cell>
          <cell r="F3222" t="str">
            <v>7891</v>
          </cell>
          <cell r="G3222" t="str">
            <v>Muzak, LLC</v>
          </cell>
          <cell r="H3222">
            <v>1</v>
          </cell>
        </row>
        <row r="3223">
          <cell r="B3223" t="str">
            <v>SWC1040-1034</v>
          </cell>
          <cell r="C3223" t="str">
            <v>Invoice</v>
          </cell>
          <cell r="D3223">
            <v>38628</v>
          </cell>
          <cell r="F3223" t="str">
            <v>8191</v>
          </cell>
          <cell r="G3223" t="str">
            <v>Muzak, IA:Texas Wired:Omni San Antonio Hotel</v>
          </cell>
          <cell r="H3223">
            <v>1</v>
          </cell>
        </row>
        <row r="3224">
          <cell r="B3224" t="str">
            <v>SWC1040-1035</v>
          </cell>
          <cell r="C3224" t="str">
            <v>Invoice</v>
          </cell>
          <cell r="D3224">
            <v>38505</v>
          </cell>
          <cell r="F3224" t="str">
            <v>5574A</v>
          </cell>
          <cell r="G3224" t="str">
            <v>Muzak, LLC:Doctor's Urgent Care</v>
          </cell>
          <cell r="H3224">
            <v>1</v>
          </cell>
        </row>
        <row r="3225">
          <cell r="B3225" t="str">
            <v>SWC1040-1035</v>
          </cell>
          <cell r="C3225" t="str">
            <v>Invoice</v>
          </cell>
          <cell r="D3225">
            <v>38525</v>
          </cell>
          <cell r="F3225" t="str">
            <v>5572</v>
          </cell>
          <cell r="G3225" t="str">
            <v>Busch Gardens - Williamsburg</v>
          </cell>
          <cell r="H3225">
            <v>1</v>
          </cell>
        </row>
        <row r="3226">
          <cell r="B3226" t="str">
            <v>SWC1040-1035</v>
          </cell>
          <cell r="C3226" t="str">
            <v>Invoice</v>
          </cell>
          <cell r="D3226">
            <v>38525</v>
          </cell>
          <cell r="F3226" t="str">
            <v>5574-I</v>
          </cell>
          <cell r="G3226" t="str">
            <v>Muzak, LLC:Doctor's Urgent Care</v>
          </cell>
          <cell r="H3226">
            <v>1</v>
          </cell>
        </row>
        <row r="3227">
          <cell r="B3227" t="str">
            <v>SWC1040-1035</v>
          </cell>
          <cell r="C3227" t="str">
            <v>Invoice</v>
          </cell>
          <cell r="D3227">
            <v>38527</v>
          </cell>
          <cell r="F3227" t="str">
            <v>6136</v>
          </cell>
          <cell r="G3227" t="str">
            <v>Muzak, LLC:Sleep to Live - Durham</v>
          </cell>
          <cell r="H3227">
            <v>1</v>
          </cell>
        </row>
        <row r="3228">
          <cell r="B3228" t="str">
            <v>SWC1040-1035</v>
          </cell>
          <cell r="C3228" t="str">
            <v>Invoice</v>
          </cell>
          <cell r="D3228">
            <v>38533</v>
          </cell>
          <cell r="F3228" t="str">
            <v>7050</v>
          </cell>
          <cell r="G3228" t="str">
            <v>Scent Events, LLC</v>
          </cell>
          <cell r="H3228">
            <v>1</v>
          </cell>
        </row>
        <row r="3229">
          <cell r="B3229" t="str">
            <v>SWC1040-1035</v>
          </cell>
          <cell r="C3229" t="str">
            <v>Invoice</v>
          </cell>
          <cell r="D3229">
            <v>38540</v>
          </cell>
          <cell r="F3229" t="str">
            <v>6261</v>
          </cell>
          <cell r="G3229" t="str">
            <v>Muzak, LLC:Sleep to Live - Mebane</v>
          </cell>
          <cell r="H3229">
            <v>1</v>
          </cell>
        </row>
        <row r="3230">
          <cell r="B3230" t="str">
            <v>SWC1040-1035</v>
          </cell>
          <cell r="C3230" t="str">
            <v>Invoice</v>
          </cell>
          <cell r="D3230">
            <v>38542</v>
          </cell>
          <cell r="F3230" t="str">
            <v>6400</v>
          </cell>
          <cell r="G3230" t="str">
            <v>Muzak, LLC:Doctor's Urgent Care</v>
          </cell>
          <cell r="H3230">
            <v>1</v>
          </cell>
        </row>
        <row r="3231">
          <cell r="B3231" t="str">
            <v>SWC1040-1035</v>
          </cell>
          <cell r="C3231" t="str">
            <v>Invoice</v>
          </cell>
          <cell r="D3231">
            <v>38555</v>
          </cell>
          <cell r="F3231" t="str">
            <v>5551-I</v>
          </cell>
          <cell r="G3231" t="str">
            <v>Muzak, LLC:Sleep to Live - Durham</v>
          </cell>
          <cell r="H3231">
            <v>1</v>
          </cell>
        </row>
        <row r="3232">
          <cell r="B3232" t="str">
            <v>SWC1040-1035</v>
          </cell>
          <cell r="C3232" t="str">
            <v>Invoice</v>
          </cell>
          <cell r="D3232">
            <v>38569</v>
          </cell>
          <cell r="F3232" t="str">
            <v>5576-III</v>
          </cell>
          <cell r="G3232" t="str">
            <v>Muzak, LLC:Sleep to Live - Mebane</v>
          </cell>
          <cell r="H3232">
            <v>1</v>
          </cell>
        </row>
        <row r="3233">
          <cell r="B3233" t="str">
            <v>SWC1040-1035</v>
          </cell>
          <cell r="C3233" t="str">
            <v>Invoice</v>
          </cell>
          <cell r="D3233">
            <v>38573</v>
          </cell>
          <cell r="F3233" t="str">
            <v>5593-I</v>
          </cell>
          <cell r="G3233" t="str">
            <v>Muzak, LLC:Doctor's Urgent Care</v>
          </cell>
          <cell r="H3233">
            <v>1</v>
          </cell>
        </row>
        <row r="3234">
          <cell r="B3234" t="str">
            <v>SWC1040-1035</v>
          </cell>
          <cell r="C3234" t="str">
            <v>Invoice</v>
          </cell>
          <cell r="D3234">
            <v>38588</v>
          </cell>
          <cell r="F3234" t="str">
            <v>7121</v>
          </cell>
          <cell r="G3234" t="str">
            <v>Muzak, LLC:Sleep to Live - Durham</v>
          </cell>
          <cell r="H3234">
            <v>1</v>
          </cell>
        </row>
        <row r="3235">
          <cell r="B3235" t="str">
            <v>SWC1040-1035</v>
          </cell>
          <cell r="C3235" t="str">
            <v>Invoice</v>
          </cell>
          <cell r="D3235">
            <v>38588</v>
          </cell>
          <cell r="F3235" t="str">
            <v>7664</v>
          </cell>
          <cell r="G3235" t="str">
            <v>Muzak, IA:Carolina Sound Communications</v>
          </cell>
          <cell r="H3235">
            <v>1</v>
          </cell>
        </row>
        <row r="3236">
          <cell r="B3236" t="str">
            <v>SWC1040-1035</v>
          </cell>
          <cell r="C3236" t="str">
            <v>Invoice</v>
          </cell>
          <cell r="D3236">
            <v>38593</v>
          </cell>
          <cell r="F3236" t="str">
            <v>7706</v>
          </cell>
          <cell r="G3236" t="str">
            <v>Muzak, LLC:Mattress Barn - 043074</v>
          </cell>
          <cell r="H3236">
            <v>1</v>
          </cell>
        </row>
        <row r="3237">
          <cell r="B3237" t="str">
            <v>SWC1040-1035</v>
          </cell>
          <cell r="C3237" t="str">
            <v>Invoice</v>
          </cell>
          <cell r="D3237">
            <v>38594</v>
          </cell>
          <cell r="F3237" t="str">
            <v>7725</v>
          </cell>
          <cell r="G3237" t="str">
            <v>Muzak, LLC:Blue Ridge Mall</v>
          </cell>
          <cell r="H3237">
            <v>1</v>
          </cell>
        </row>
        <row r="3238">
          <cell r="B3238" t="str">
            <v>SWC1040-1035</v>
          </cell>
          <cell r="C3238" t="str">
            <v>Invoice</v>
          </cell>
          <cell r="D3238">
            <v>38595</v>
          </cell>
          <cell r="F3238" t="str">
            <v>7731</v>
          </cell>
          <cell r="G3238" t="str">
            <v>Muzak, IA:Independence Communications, PA</v>
          </cell>
          <cell r="H3238">
            <v>1</v>
          </cell>
        </row>
        <row r="3239">
          <cell r="B3239" t="str">
            <v>SWC1040-1035</v>
          </cell>
          <cell r="C3239" t="str">
            <v>Invoice</v>
          </cell>
          <cell r="D3239">
            <v>38596</v>
          </cell>
          <cell r="F3239" t="str">
            <v>7756</v>
          </cell>
          <cell r="G3239" t="str">
            <v>Muzak, LLC:Mattress Barn - 043695</v>
          </cell>
          <cell r="H3239">
            <v>1</v>
          </cell>
        </row>
        <row r="3240">
          <cell r="B3240" t="str">
            <v>SWC1040-1035</v>
          </cell>
          <cell r="C3240" t="str">
            <v>Invoice</v>
          </cell>
          <cell r="D3240">
            <v>38602</v>
          </cell>
          <cell r="F3240" t="str">
            <v>7875</v>
          </cell>
          <cell r="G3240" t="str">
            <v>ScentAir - Corporate Associates</v>
          </cell>
          <cell r="H3240">
            <v>1</v>
          </cell>
        </row>
        <row r="3241">
          <cell r="B3241" t="str">
            <v>SWC1040-1035</v>
          </cell>
          <cell r="C3241" t="str">
            <v>Invoice</v>
          </cell>
          <cell r="D3241">
            <v>38603</v>
          </cell>
          <cell r="F3241" t="str">
            <v>7825</v>
          </cell>
          <cell r="G3241" t="str">
            <v>Videotronic Benelux BV</v>
          </cell>
          <cell r="H3241">
            <v>1</v>
          </cell>
        </row>
        <row r="3242">
          <cell r="B3242" t="str">
            <v>SWC1040-1035</v>
          </cell>
          <cell r="C3242" t="str">
            <v>Invoice</v>
          </cell>
          <cell r="D3242">
            <v>38604</v>
          </cell>
          <cell r="F3242" t="str">
            <v>7210</v>
          </cell>
          <cell r="G3242" t="str">
            <v>Muzak, LLC:Doctor's Urgent Care</v>
          </cell>
          <cell r="H3242">
            <v>1</v>
          </cell>
        </row>
        <row r="3243">
          <cell r="B3243" t="str">
            <v>SWC1040-1035</v>
          </cell>
          <cell r="C3243" t="str">
            <v>Invoice</v>
          </cell>
          <cell r="D3243">
            <v>38607</v>
          </cell>
          <cell r="F3243" t="str">
            <v>7889</v>
          </cell>
          <cell r="G3243" t="str">
            <v>Muzak, IA:Soundcom LLC of Florida - Palm Beach</v>
          </cell>
          <cell r="H3243">
            <v>1</v>
          </cell>
        </row>
        <row r="3244">
          <cell r="B3244" t="str">
            <v>SWC1040-1035</v>
          </cell>
          <cell r="C3244" t="str">
            <v>Invoice</v>
          </cell>
          <cell r="D3244">
            <v>38607</v>
          </cell>
          <cell r="F3244" t="str">
            <v>7910</v>
          </cell>
          <cell r="G3244" t="str">
            <v>Muzak, LLC:Spalon @ T Carlton</v>
          </cell>
          <cell r="H3244">
            <v>1</v>
          </cell>
        </row>
        <row r="3245">
          <cell r="B3245" t="str">
            <v>SWC1040-1035</v>
          </cell>
          <cell r="C3245" t="str">
            <v>Invoice</v>
          </cell>
          <cell r="D3245">
            <v>38608</v>
          </cell>
          <cell r="F3245" t="str">
            <v>7928</v>
          </cell>
          <cell r="G3245" t="str">
            <v>Muzak, LLC:Spa Nail Tan Palace</v>
          </cell>
          <cell r="H3245">
            <v>1</v>
          </cell>
        </row>
        <row r="3246">
          <cell r="B3246" t="str">
            <v>SWC1040-1035</v>
          </cell>
          <cell r="C3246" t="str">
            <v>Invoice</v>
          </cell>
          <cell r="D3246">
            <v>38608</v>
          </cell>
          <cell r="F3246" t="str">
            <v>7926</v>
          </cell>
          <cell r="G3246" t="str">
            <v>Muzak, LLC:Centex Homes</v>
          </cell>
          <cell r="H3246">
            <v>1</v>
          </cell>
        </row>
        <row r="3247">
          <cell r="B3247" t="str">
            <v>SWC1040-1035</v>
          </cell>
          <cell r="C3247" t="str">
            <v>Invoice</v>
          </cell>
          <cell r="D3247">
            <v>38609</v>
          </cell>
          <cell r="F3247" t="str">
            <v>7939</v>
          </cell>
          <cell r="G3247" t="str">
            <v>Muzak, LLC:Prime Lending</v>
          </cell>
          <cell r="H3247">
            <v>1</v>
          </cell>
        </row>
        <row r="3248">
          <cell r="B3248" t="str">
            <v>SWC1040-1035</v>
          </cell>
          <cell r="C3248" t="str">
            <v>Invoice</v>
          </cell>
          <cell r="D3248">
            <v>38609</v>
          </cell>
          <cell r="F3248" t="str">
            <v>7941</v>
          </cell>
          <cell r="G3248" t="str">
            <v>Muzak, IA:Melody Inc</v>
          </cell>
          <cell r="H3248">
            <v>1</v>
          </cell>
        </row>
        <row r="3249">
          <cell r="B3249" t="str">
            <v>SWC1040-1035</v>
          </cell>
          <cell r="C3249" t="str">
            <v>Invoice</v>
          </cell>
          <cell r="D3249">
            <v>38610</v>
          </cell>
          <cell r="F3249" t="str">
            <v>7962</v>
          </cell>
          <cell r="G3249" t="str">
            <v>Muzak, LLC:Nyack Hospital</v>
          </cell>
          <cell r="H3249">
            <v>1</v>
          </cell>
        </row>
        <row r="3250">
          <cell r="B3250" t="str">
            <v>SWC1040-1055</v>
          </cell>
          <cell r="C3250" t="str">
            <v>Invoice</v>
          </cell>
          <cell r="D3250">
            <v>38513</v>
          </cell>
          <cell r="F3250" t="str">
            <v>6226</v>
          </cell>
          <cell r="G3250" t="str">
            <v>Universal Studios Orlando:Islands of Adventure Merchandise</v>
          </cell>
          <cell r="H3250">
            <v>1</v>
          </cell>
        </row>
        <row r="3251">
          <cell r="B3251" t="str">
            <v>SWC1040-1055</v>
          </cell>
          <cell r="C3251" t="str">
            <v>Invoice</v>
          </cell>
          <cell r="D3251">
            <v>38533</v>
          </cell>
          <cell r="F3251" t="str">
            <v>6236</v>
          </cell>
          <cell r="G3251" t="str">
            <v>Universal Studios Orlando:Islands of Adventure Merchandise</v>
          </cell>
          <cell r="H3251">
            <v>1</v>
          </cell>
        </row>
        <row r="3252">
          <cell r="B3252" t="str">
            <v>SWC1040-1055</v>
          </cell>
          <cell r="C3252" t="str">
            <v>Invoice</v>
          </cell>
          <cell r="D3252">
            <v>38562</v>
          </cell>
          <cell r="F3252" t="str">
            <v>6383</v>
          </cell>
          <cell r="G3252" t="str">
            <v>Universal Studios Orlando:Islands of Adventure Merchandise</v>
          </cell>
          <cell r="H3252">
            <v>1</v>
          </cell>
        </row>
        <row r="3253">
          <cell r="B3253" t="str">
            <v>SWC1040-1055</v>
          </cell>
          <cell r="C3253" t="str">
            <v>Invoice</v>
          </cell>
          <cell r="D3253">
            <v>38568</v>
          </cell>
          <cell r="F3253" t="str">
            <v>7276</v>
          </cell>
          <cell r="G3253" t="str">
            <v>Alerion Partners</v>
          </cell>
          <cell r="H3253">
            <v>1</v>
          </cell>
        </row>
        <row r="3254">
          <cell r="B3254" t="str">
            <v>SWC1040-1055</v>
          </cell>
          <cell r="C3254" t="str">
            <v>Invoice</v>
          </cell>
          <cell r="D3254">
            <v>38595</v>
          </cell>
          <cell r="F3254" t="str">
            <v>7148</v>
          </cell>
          <cell r="G3254" t="str">
            <v>Universal Studios Orlando:Islands of Adventure Merchandise</v>
          </cell>
          <cell r="H3254">
            <v>1</v>
          </cell>
        </row>
        <row r="3255">
          <cell r="B3255" t="str">
            <v>SWC1040-1055</v>
          </cell>
          <cell r="C3255" t="str">
            <v>Invoice</v>
          </cell>
          <cell r="D3255">
            <v>38595</v>
          </cell>
          <cell r="F3255" t="str">
            <v>7079</v>
          </cell>
          <cell r="G3255" t="str">
            <v>Macy's Florida</v>
          </cell>
          <cell r="H3255">
            <v>1</v>
          </cell>
        </row>
        <row r="3256">
          <cell r="B3256" t="str">
            <v>SWC1040-1055</v>
          </cell>
          <cell r="C3256" t="str">
            <v>Invoice</v>
          </cell>
          <cell r="D3256">
            <v>38602</v>
          </cell>
          <cell r="F3256" t="str">
            <v>7848</v>
          </cell>
          <cell r="G3256" t="str">
            <v>Muzak, LLC:Muzak (Demo)</v>
          </cell>
          <cell r="H3256">
            <v>1</v>
          </cell>
        </row>
        <row r="3257">
          <cell r="B3257" t="str">
            <v>SWC1040-1055</v>
          </cell>
          <cell r="C3257" t="str">
            <v>Invoice</v>
          </cell>
          <cell r="D3257">
            <v>38611</v>
          </cell>
          <cell r="F3257" t="str">
            <v>7968</v>
          </cell>
          <cell r="G3257" t="str">
            <v>Muzak, LLC:Elliott Hardware - Dallas</v>
          </cell>
          <cell r="H3257">
            <v>1</v>
          </cell>
        </row>
        <row r="3258">
          <cell r="B3258" t="str">
            <v>SWC1040-1055</v>
          </cell>
          <cell r="C3258" t="str">
            <v>Invoice</v>
          </cell>
          <cell r="D3258">
            <v>38611</v>
          </cell>
          <cell r="F3258" t="str">
            <v>7969</v>
          </cell>
          <cell r="G3258" t="str">
            <v>Muzak, LLC:Elliott Hardware - Plano</v>
          </cell>
          <cell r="H3258">
            <v>1</v>
          </cell>
        </row>
        <row r="3259">
          <cell r="B3259" t="str">
            <v>SWC1040-1055</v>
          </cell>
          <cell r="C3259" t="str">
            <v>Invoice</v>
          </cell>
          <cell r="D3259">
            <v>38622</v>
          </cell>
          <cell r="F3259" t="str">
            <v>8113</v>
          </cell>
          <cell r="G3259" t="str">
            <v>Muzak, IA:Soundcom LLC of Florida - Palm Beach</v>
          </cell>
          <cell r="H3259">
            <v>1</v>
          </cell>
        </row>
        <row r="3260">
          <cell r="B3260" t="str">
            <v>SWC1040-1055</v>
          </cell>
          <cell r="C3260" t="str">
            <v>Invoice</v>
          </cell>
          <cell r="D3260">
            <v>38626</v>
          </cell>
          <cell r="F3260" t="str">
            <v>7500</v>
          </cell>
          <cell r="G3260" t="str">
            <v>Universal Studios Orlando:Islands of Adventure Merchandise</v>
          </cell>
          <cell r="H3260">
            <v>1</v>
          </cell>
        </row>
        <row r="3261">
          <cell r="B3261" t="str">
            <v>SWC1040-1055</v>
          </cell>
          <cell r="C3261" t="str">
            <v>Invoice</v>
          </cell>
          <cell r="D3261">
            <v>38626</v>
          </cell>
          <cell r="F3261" t="str">
            <v>7498</v>
          </cell>
          <cell r="G3261" t="str">
            <v>Macy's Florida</v>
          </cell>
          <cell r="H3261">
            <v>1</v>
          </cell>
        </row>
        <row r="3262">
          <cell r="B3262" t="str">
            <v>SWC1040-1066</v>
          </cell>
          <cell r="C3262" t="str">
            <v>Invoice</v>
          </cell>
          <cell r="D3262">
            <v>38470</v>
          </cell>
          <cell r="F3262" t="str">
            <v>6006</v>
          </cell>
          <cell r="G3262" t="str">
            <v>Techno Satellite</v>
          </cell>
          <cell r="H3262">
            <v>1</v>
          </cell>
        </row>
        <row r="3263">
          <cell r="B3263" t="str">
            <v>SWC1040-1090</v>
          </cell>
          <cell r="C3263" t="str">
            <v>Invoice</v>
          </cell>
          <cell r="D3263">
            <v>38586</v>
          </cell>
          <cell r="F3263" t="str">
            <v>7641</v>
          </cell>
          <cell r="G3263" t="str">
            <v>Muzak, LLC:Citgo &amp; Market Place</v>
          </cell>
          <cell r="H3263">
            <v>1</v>
          </cell>
        </row>
        <row r="3264">
          <cell r="B3264" t="str">
            <v>SWC1040-1090</v>
          </cell>
          <cell r="C3264" t="str">
            <v>Invoice</v>
          </cell>
          <cell r="D3264">
            <v>38586</v>
          </cell>
          <cell r="F3264" t="str">
            <v>7642</v>
          </cell>
          <cell r="G3264" t="str">
            <v>Muzak, LLC:Oakland Center Chevron</v>
          </cell>
          <cell r="H3264">
            <v>1</v>
          </cell>
        </row>
        <row r="3265">
          <cell r="B3265" t="str">
            <v>SWC1040-1090</v>
          </cell>
          <cell r="C3265" t="str">
            <v>Invoice</v>
          </cell>
          <cell r="D3265">
            <v>38588</v>
          </cell>
          <cell r="F3265" t="str">
            <v>7689</v>
          </cell>
          <cell r="G3265" t="str">
            <v>Muzak, LLC:Parker's SSI</v>
          </cell>
          <cell r="H3265">
            <v>1</v>
          </cell>
        </row>
        <row r="3266">
          <cell r="B3266" t="str">
            <v>SWC1040-1090</v>
          </cell>
          <cell r="C3266" t="str">
            <v>Invoice</v>
          </cell>
          <cell r="D3266">
            <v>38588</v>
          </cell>
          <cell r="F3266" t="str">
            <v>7690</v>
          </cell>
          <cell r="G3266" t="str">
            <v>Muzak, LLC:Parker's  - Brunswick</v>
          </cell>
          <cell r="H3266">
            <v>1</v>
          </cell>
        </row>
        <row r="3267">
          <cell r="B3267" t="str">
            <v>SWC1040-1090</v>
          </cell>
          <cell r="C3267" t="str">
            <v>Invoice</v>
          </cell>
          <cell r="D3267">
            <v>38603</v>
          </cell>
          <cell r="F3267" t="str">
            <v>7862</v>
          </cell>
          <cell r="G3267" t="str">
            <v>Muzak, IA:Carolina Sound Communications:Hilton Oceanfront Resort</v>
          </cell>
          <cell r="H3267">
            <v>1</v>
          </cell>
        </row>
        <row r="3268">
          <cell r="B3268" t="str">
            <v>SWC1040-1090</v>
          </cell>
          <cell r="C3268" t="str">
            <v>Invoice</v>
          </cell>
          <cell r="D3268">
            <v>38608</v>
          </cell>
          <cell r="F3268" t="str">
            <v>7929</v>
          </cell>
          <cell r="G3268" t="str">
            <v>Muzak, LLC:Oakland Center Chevron</v>
          </cell>
          <cell r="H3268">
            <v>1</v>
          </cell>
        </row>
        <row r="3269">
          <cell r="B3269" t="str">
            <v>SWC1040-1090</v>
          </cell>
          <cell r="C3269" t="str">
            <v>Invoice</v>
          </cell>
          <cell r="D3269">
            <v>38609</v>
          </cell>
          <cell r="F3269" t="str">
            <v>7930</v>
          </cell>
          <cell r="G3269" t="str">
            <v>Muzak, LLC:Omni Shoreham Hotel</v>
          </cell>
          <cell r="H3269">
            <v>1</v>
          </cell>
        </row>
        <row r="3270">
          <cell r="B3270" t="str">
            <v>SWC1040-1090</v>
          </cell>
          <cell r="C3270" t="str">
            <v>Invoice</v>
          </cell>
          <cell r="D3270">
            <v>38614</v>
          </cell>
          <cell r="F3270" t="str">
            <v>7979</v>
          </cell>
          <cell r="G3270" t="str">
            <v>Muzak, LLC:Muzak (Demo)</v>
          </cell>
          <cell r="H3270">
            <v>1</v>
          </cell>
        </row>
        <row r="3271">
          <cell r="B3271" t="str">
            <v>SWC1040-1090</v>
          </cell>
          <cell r="C3271" t="str">
            <v>Invoice</v>
          </cell>
          <cell r="D3271">
            <v>38615</v>
          </cell>
          <cell r="F3271" t="str">
            <v>8011</v>
          </cell>
          <cell r="G3271" t="str">
            <v>Muzak, LLC:Parker's-Altama</v>
          </cell>
          <cell r="H3271">
            <v>1</v>
          </cell>
        </row>
        <row r="3272">
          <cell r="B3272" t="str">
            <v>SWC1040-1090</v>
          </cell>
          <cell r="C3272" t="str">
            <v>Invoice</v>
          </cell>
          <cell r="D3272">
            <v>38629</v>
          </cell>
          <cell r="F3272" t="str">
            <v>8242</v>
          </cell>
          <cell r="G3272" t="str">
            <v>Muzak, LLC:Anderson Food Shops #168</v>
          </cell>
          <cell r="H3272">
            <v>1</v>
          </cell>
        </row>
        <row r="3273">
          <cell r="B3273" t="str">
            <v>SWC1040-1095</v>
          </cell>
          <cell r="C3273" t="str">
            <v>Invoice</v>
          </cell>
          <cell r="D3273">
            <v>38532</v>
          </cell>
          <cell r="F3273" t="str">
            <v>6237</v>
          </cell>
          <cell r="G3273" t="str">
            <v>Muzak, LLC:Quick Chek - 09</v>
          </cell>
          <cell r="H3273">
            <v>1</v>
          </cell>
        </row>
        <row r="3274">
          <cell r="B3274" t="str">
            <v>SWC1040-1095</v>
          </cell>
          <cell r="C3274" t="str">
            <v>Invoice</v>
          </cell>
          <cell r="D3274">
            <v>38533</v>
          </cell>
          <cell r="F3274" t="str">
            <v>6230</v>
          </cell>
          <cell r="G3274" t="str">
            <v>Muzak, LLC:C. Mini Mart - 147</v>
          </cell>
          <cell r="H3274">
            <v>1</v>
          </cell>
        </row>
        <row r="3275">
          <cell r="B3275" t="str">
            <v>SWC1040-1095</v>
          </cell>
          <cell r="C3275" t="str">
            <v>Invoice</v>
          </cell>
          <cell r="D3275">
            <v>38534</v>
          </cell>
          <cell r="F3275" t="str">
            <v>6231</v>
          </cell>
          <cell r="G3275" t="str">
            <v>Muzak, LLC:Quick Chek - 31</v>
          </cell>
          <cell r="H3275">
            <v>1</v>
          </cell>
        </row>
        <row r="3276">
          <cell r="B3276" t="str">
            <v>SWC1040-1095</v>
          </cell>
          <cell r="C3276" t="str">
            <v>Invoice</v>
          </cell>
          <cell r="D3276">
            <v>38540</v>
          </cell>
          <cell r="F3276" t="str">
            <v>6259</v>
          </cell>
          <cell r="G3276" t="str">
            <v>Muzak, LLC:Dunkin Donuts - Charlotte</v>
          </cell>
          <cell r="H3276">
            <v>1</v>
          </cell>
        </row>
        <row r="3277">
          <cell r="B3277" t="str">
            <v>SWC1040-1095</v>
          </cell>
          <cell r="C3277" t="str">
            <v>Invoice</v>
          </cell>
          <cell r="D3277">
            <v>38548</v>
          </cell>
          <cell r="F3277" t="str">
            <v>7142</v>
          </cell>
          <cell r="G3277" t="str">
            <v>Muzak, LLC:Schnuck Markets, Inc. #180</v>
          </cell>
          <cell r="H3277">
            <v>1</v>
          </cell>
        </row>
        <row r="3278">
          <cell r="B3278" t="str">
            <v>SWC1040-1095</v>
          </cell>
          <cell r="C3278" t="str">
            <v>Invoice</v>
          </cell>
          <cell r="D3278">
            <v>38565</v>
          </cell>
          <cell r="F3278" t="str">
            <v>6387</v>
          </cell>
          <cell r="G3278" t="str">
            <v>Muzak, LLC:C. Mini Mart - 147</v>
          </cell>
          <cell r="H3278">
            <v>1</v>
          </cell>
        </row>
        <row r="3279">
          <cell r="B3279" t="str">
            <v>SWC1040-1095</v>
          </cell>
          <cell r="C3279" t="str">
            <v>Invoice</v>
          </cell>
          <cell r="D3279">
            <v>38571</v>
          </cell>
          <cell r="F3279" t="str">
            <v>5575-II</v>
          </cell>
          <cell r="G3279" t="str">
            <v>Muzak, LLC:Dunkin Donuts - Charlotte</v>
          </cell>
          <cell r="H3279">
            <v>1</v>
          </cell>
        </row>
        <row r="3280">
          <cell r="B3280" t="str">
            <v>SWC1040-1095</v>
          </cell>
          <cell r="C3280" t="str">
            <v>Invoice</v>
          </cell>
          <cell r="D3280">
            <v>38580</v>
          </cell>
          <cell r="F3280" t="str">
            <v>7490</v>
          </cell>
          <cell r="G3280" t="str">
            <v>Muzak, LLC:McDonald's - Lakewood</v>
          </cell>
          <cell r="H3280">
            <v>1</v>
          </cell>
        </row>
        <row r="3281">
          <cell r="B3281" t="str">
            <v>SWC1040-1095</v>
          </cell>
          <cell r="C3281" t="str">
            <v>Invoice</v>
          </cell>
          <cell r="D3281">
            <v>38581</v>
          </cell>
          <cell r="F3281" t="str">
            <v>7509</v>
          </cell>
          <cell r="G3281" t="str">
            <v>Muzak, LLC</v>
          </cell>
          <cell r="H3281">
            <v>1</v>
          </cell>
        </row>
        <row r="3282">
          <cell r="B3282" t="str">
            <v>SWC1040-1095</v>
          </cell>
          <cell r="C3282" t="str">
            <v>Invoice</v>
          </cell>
          <cell r="D3282">
            <v>38583</v>
          </cell>
          <cell r="F3282" t="str">
            <v>7637</v>
          </cell>
          <cell r="G3282" t="str">
            <v>Muzak, LLC:Sell's Mobil</v>
          </cell>
          <cell r="H3282">
            <v>1</v>
          </cell>
        </row>
        <row r="3283">
          <cell r="B3283" t="str">
            <v>SWC1040-1095</v>
          </cell>
          <cell r="C3283" t="str">
            <v>Invoice</v>
          </cell>
          <cell r="D3283">
            <v>38586</v>
          </cell>
          <cell r="F3283" t="str">
            <v>7638</v>
          </cell>
          <cell r="G3283" t="str">
            <v>Muzak, LLC</v>
          </cell>
          <cell r="H3283">
            <v>1</v>
          </cell>
        </row>
        <row r="3284">
          <cell r="B3284" t="str">
            <v>SWC1040-1095</v>
          </cell>
          <cell r="C3284" t="str">
            <v>Invoice</v>
          </cell>
          <cell r="D3284">
            <v>38587</v>
          </cell>
          <cell r="F3284" t="str">
            <v>7668</v>
          </cell>
          <cell r="G3284" t="str">
            <v>Muzak, LLC:Muzak (Demo)</v>
          </cell>
          <cell r="H3284">
            <v>1</v>
          </cell>
        </row>
        <row r="3285">
          <cell r="B3285" t="str">
            <v>SWC1040-1095</v>
          </cell>
          <cell r="C3285" t="str">
            <v>Invoice</v>
          </cell>
          <cell r="D3285">
            <v>38587</v>
          </cell>
          <cell r="F3285" t="str">
            <v>7674</v>
          </cell>
          <cell r="G3285" t="str">
            <v>Muzak, LLC:Muzak (Demo)</v>
          </cell>
          <cell r="H3285">
            <v>1</v>
          </cell>
        </row>
        <row r="3286">
          <cell r="B3286" t="str">
            <v>SWC1040-1095</v>
          </cell>
          <cell r="C3286" t="str">
            <v>Invoice</v>
          </cell>
          <cell r="D3286">
            <v>38587</v>
          </cell>
          <cell r="F3286" t="str">
            <v>7667</v>
          </cell>
          <cell r="G3286" t="str">
            <v>Muzak, LLC:Muzak (Demo)</v>
          </cell>
          <cell r="H3286">
            <v>1</v>
          </cell>
        </row>
        <row r="3287">
          <cell r="B3287" t="str">
            <v>SWC1040-1095</v>
          </cell>
          <cell r="C3287" t="str">
            <v>Invoice</v>
          </cell>
          <cell r="D3287">
            <v>38594</v>
          </cell>
          <cell r="F3287" t="str">
            <v>7721</v>
          </cell>
          <cell r="G3287" t="str">
            <v>Muzak, LLC:Muzak (Demo)</v>
          </cell>
          <cell r="H3287">
            <v>1</v>
          </cell>
        </row>
        <row r="3288">
          <cell r="B3288" t="str">
            <v>SWC1040-1095</v>
          </cell>
          <cell r="C3288" t="str">
            <v>Invoice</v>
          </cell>
          <cell r="D3288">
            <v>38594</v>
          </cell>
          <cell r="F3288" t="str">
            <v>7726</v>
          </cell>
          <cell r="G3288" t="str">
            <v>Muzak, LLC:Schnuck Markets, Inc. #180</v>
          </cell>
          <cell r="H3288">
            <v>1</v>
          </cell>
        </row>
        <row r="3289">
          <cell r="B3289" t="str">
            <v>SWC1040-1095</v>
          </cell>
          <cell r="C3289" t="str">
            <v>Invoice</v>
          </cell>
          <cell r="D3289">
            <v>38596</v>
          </cell>
          <cell r="F3289" t="str">
            <v>7744</v>
          </cell>
          <cell r="G3289" t="str">
            <v>Muzak, LLC:Mobil on the Run</v>
          </cell>
          <cell r="H3289">
            <v>1</v>
          </cell>
        </row>
        <row r="3290">
          <cell r="B3290" t="str">
            <v>SWC1040-1095</v>
          </cell>
          <cell r="C3290" t="str">
            <v>Invoice</v>
          </cell>
          <cell r="D3290">
            <v>38597</v>
          </cell>
          <cell r="F3290" t="str">
            <v>7153</v>
          </cell>
          <cell r="G3290" t="str">
            <v>Muzak, LLC:C. Mini Mart - 147</v>
          </cell>
          <cell r="H3290">
            <v>1</v>
          </cell>
        </row>
        <row r="3291">
          <cell r="B3291" t="str">
            <v>SWC1040-1095</v>
          </cell>
          <cell r="C3291" t="str">
            <v>Invoice</v>
          </cell>
          <cell r="D3291">
            <v>38601</v>
          </cell>
          <cell r="F3291" t="str">
            <v>7194</v>
          </cell>
          <cell r="G3291" t="str">
            <v>Muzak, LLC:Dunkin Donuts - Charlotte</v>
          </cell>
          <cell r="H3291">
            <v>1</v>
          </cell>
        </row>
        <row r="3292">
          <cell r="B3292" t="str">
            <v>SWC1040-1095</v>
          </cell>
          <cell r="C3292" t="str">
            <v>Invoice</v>
          </cell>
          <cell r="D3292">
            <v>38601</v>
          </cell>
          <cell r="F3292" t="str">
            <v>7838</v>
          </cell>
          <cell r="G3292" t="str">
            <v>Muzak, LLC:Muzak (Demo)</v>
          </cell>
          <cell r="H3292">
            <v>1</v>
          </cell>
        </row>
        <row r="3293">
          <cell r="B3293" t="str">
            <v>SWC1040-1095</v>
          </cell>
          <cell r="C3293" t="str">
            <v>Invoice</v>
          </cell>
          <cell r="D3293">
            <v>38602</v>
          </cell>
          <cell r="F3293" t="str">
            <v>7843</v>
          </cell>
          <cell r="G3293" t="str">
            <v>Muzak, LLC:Bucky's Express</v>
          </cell>
          <cell r="H3293">
            <v>1</v>
          </cell>
        </row>
        <row r="3294">
          <cell r="B3294" t="str">
            <v>SWC1040-1095</v>
          </cell>
          <cell r="C3294" t="str">
            <v>Invoice</v>
          </cell>
          <cell r="D3294">
            <v>38610</v>
          </cell>
          <cell r="F3294" t="str">
            <v>7961</v>
          </cell>
          <cell r="G3294" t="str">
            <v>Muzak, LLC:McDonald's - Van Nuys</v>
          </cell>
          <cell r="H3294">
            <v>1</v>
          </cell>
        </row>
        <row r="3295">
          <cell r="B3295" t="str">
            <v>SWC1040-1095</v>
          </cell>
          <cell r="C3295" t="str">
            <v>Invoice</v>
          </cell>
          <cell r="D3295">
            <v>38611</v>
          </cell>
          <cell r="F3295" t="str">
            <v>7968</v>
          </cell>
          <cell r="G3295" t="str">
            <v>Muzak, LLC:Elliott Hardware - Dallas</v>
          </cell>
          <cell r="H3295">
            <v>1</v>
          </cell>
        </row>
        <row r="3296">
          <cell r="B3296" t="str">
            <v>SWC1040-1095</v>
          </cell>
          <cell r="C3296" t="str">
            <v>Invoice</v>
          </cell>
          <cell r="D3296">
            <v>38611</v>
          </cell>
          <cell r="F3296" t="str">
            <v>7969</v>
          </cell>
          <cell r="G3296" t="str">
            <v>Muzak, LLC:Elliott Hardware - Plano</v>
          </cell>
          <cell r="H3296">
            <v>1</v>
          </cell>
        </row>
        <row r="3297">
          <cell r="B3297" t="str">
            <v>SWC1040-1095</v>
          </cell>
          <cell r="C3297" t="str">
            <v>Invoice</v>
          </cell>
          <cell r="D3297">
            <v>38616</v>
          </cell>
          <cell r="F3297" t="str">
            <v>8032</v>
          </cell>
          <cell r="G3297" t="str">
            <v>Muzak, LLC:McDonald's #6679/4392</v>
          </cell>
          <cell r="H3297">
            <v>1</v>
          </cell>
        </row>
        <row r="3298">
          <cell r="B3298" t="str">
            <v>SWC1040-1095</v>
          </cell>
          <cell r="C3298" t="str">
            <v>Invoice</v>
          </cell>
          <cell r="D3298">
            <v>38618</v>
          </cell>
          <cell r="F3298" t="str">
            <v>8079</v>
          </cell>
          <cell r="G3298" t="str">
            <v>Muzak, LLC:Muzak (Demo)</v>
          </cell>
          <cell r="H3298">
            <v>1</v>
          </cell>
        </row>
        <row r="3299">
          <cell r="B3299" t="str">
            <v>SWC1040-1095</v>
          </cell>
          <cell r="C3299" t="str">
            <v>Invoice</v>
          </cell>
          <cell r="D3299">
            <v>38618</v>
          </cell>
          <cell r="F3299" t="str">
            <v>8083</v>
          </cell>
          <cell r="G3299" t="str">
            <v>DDB Worldwide Communications Group Inc.</v>
          </cell>
          <cell r="H3299">
            <v>1</v>
          </cell>
        </row>
        <row r="3300">
          <cell r="B3300" t="str">
            <v>SWC1040-1095</v>
          </cell>
          <cell r="C3300" t="str">
            <v>Invoice</v>
          </cell>
          <cell r="D3300">
            <v>38624</v>
          </cell>
          <cell r="F3300" t="str">
            <v>7727</v>
          </cell>
          <cell r="G3300" t="str">
            <v>Muzak, LLC:Schnuck Markets, Inc. #180</v>
          </cell>
          <cell r="H3300">
            <v>1</v>
          </cell>
        </row>
        <row r="3301">
          <cell r="B3301" t="str">
            <v>SWC1040-1095</v>
          </cell>
          <cell r="C3301" t="str">
            <v>Invoice</v>
          </cell>
          <cell r="D3301">
            <v>38628</v>
          </cell>
          <cell r="F3301" t="str">
            <v>7504</v>
          </cell>
          <cell r="G3301" t="str">
            <v>Muzak, LLC:C. Mini Mart - 147</v>
          </cell>
          <cell r="H3301">
            <v>1</v>
          </cell>
        </row>
        <row r="3302">
          <cell r="B3302" t="str">
            <v>SWC1040-1095</v>
          </cell>
          <cell r="C3302" t="str">
            <v>Invoice</v>
          </cell>
          <cell r="D3302">
            <v>38629</v>
          </cell>
          <cell r="F3302" t="str">
            <v>8311</v>
          </cell>
          <cell r="G3302" t="str">
            <v>Muzak, LLC:McDonald's - Valencia</v>
          </cell>
          <cell r="H3302">
            <v>1</v>
          </cell>
        </row>
        <row r="3303">
          <cell r="B3303" t="str">
            <v>SWC1040-1095</v>
          </cell>
          <cell r="C3303" t="str">
            <v>Invoice</v>
          </cell>
          <cell r="D3303">
            <v>38629</v>
          </cell>
          <cell r="F3303" t="str">
            <v>8312</v>
          </cell>
          <cell r="G3303" t="str">
            <v>Muzak, LLC:McDonald's - Canyon Country</v>
          </cell>
          <cell r="H3303">
            <v>1</v>
          </cell>
        </row>
        <row r="3304">
          <cell r="B3304" t="str">
            <v>SWC1040-1095</v>
          </cell>
          <cell r="C3304" t="str">
            <v>Invoice</v>
          </cell>
          <cell r="D3304">
            <v>38629</v>
          </cell>
          <cell r="F3304" t="str">
            <v>8310</v>
          </cell>
          <cell r="G3304" t="str">
            <v>Muzak, LLC:McDonald's - N McBean Pkwy</v>
          </cell>
          <cell r="H3304">
            <v>1</v>
          </cell>
        </row>
        <row r="3305">
          <cell r="B3305" t="str">
            <v>SWC1040-1095</v>
          </cell>
          <cell r="C3305" t="str">
            <v>Invoice</v>
          </cell>
          <cell r="D3305">
            <v>38629</v>
          </cell>
          <cell r="F3305" t="str">
            <v>8309</v>
          </cell>
          <cell r="G3305" t="str">
            <v>Muzak, LLC:McDonald's - McBean Pkwy</v>
          </cell>
          <cell r="H3305">
            <v>1</v>
          </cell>
        </row>
        <row r="3306">
          <cell r="B3306" t="str">
            <v>SWC1040-1095</v>
          </cell>
          <cell r="C3306" t="str">
            <v>Invoice</v>
          </cell>
          <cell r="D3306">
            <v>38629</v>
          </cell>
          <cell r="F3306" t="str">
            <v>8308</v>
          </cell>
          <cell r="G3306" t="str">
            <v>Muzak, LLC:McDonald's - Sierra Hwy</v>
          </cell>
          <cell r="H3306">
            <v>1</v>
          </cell>
        </row>
        <row r="3307">
          <cell r="B3307" t="str">
            <v>SWC1040-1099</v>
          </cell>
          <cell r="C3307" t="str">
            <v>Invoice</v>
          </cell>
          <cell r="D3307">
            <v>38520</v>
          </cell>
          <cell r="F3307" t="str">
            <v>6267</v>
          </cell>
          <cell r="G3307" t="str">
            <v>Techno Satellite</v>
          </cell>
          <cell r="H3307">
            <v>1</v>
          </cell>
        </row>
        <row r="3308">
          <cell r="B3308" t="str">
            <v>SWC1040-1103</v>
          </cell>
          <cell r="C3308" t="str">
            <v>Invoice</v>
          </cell>
          <cell r="D3308">
            <v>38603</v>
          </cell>
          <cell r="F3308" t="str">
            <v>7840</v>
          </cell>
          <cell r="G3308" t="str">
            <v>Muzak, LLC:Arby's - Mission Hills</v>
          </cell>
          <cell r="H3308">
            <v>1</v>
          </cell>
        </row>
        <row r="3309">
          <cell r="B3309" t="str">
            <v>SWC1040-1104</v>
          </cell>
          <cell r="C3309" t="str">
            <v>Invoice</v>
          </cell>
          <cell r="D3309">
            <v>38586</v>
          </cell>
          <cell r="F3309" t="str">
            <v>7643</v>
          </cell>
          <cell r="G3309" t="str">
            <v>Muzak, LLC:Banks D. Kerr Family YMCA</v>
          </cell>
          <cell r="H3309">
            <v>1</v>
          </cell>
        </row>
        <row r="3310">
          <cell r="B3310" t="str">
            <v>SWC1040-1104</v>
          </cell>
          <cell r="C3310" t="str">
            <v>Invoice</v>
          </cell>
          <cell r="D3310">
            <v>38588</v>
          </cell>
          <cell r="F3310" t="str">
            <v>7679</v>
          </cell>
          <cell r="G3310" t="str">
            <v>Muzak, LLC:Axel Bloom LLC</v>
          </cell>
          <cell r="H3310">
            <v>1</v>
          </cell>
        </row>
        <row r="3311">
          <cell r="B3311" t="str">
            <v>SWC1040-1104</v>
          </cell>
          <cell r="C3311" t="str">
            <v>Invoice</v>
          </cell>
          <cell r="D3311">
            <v>38589</v>
          </cell>
          <cell r="F3311" t="str">
            <v>7692</v>
          </cell>
          <cell r="G3311" t="str">
            <v>Muzak, LLC:Turquoise Day Spa</v>
          </cell>
          <cell r="H3311">
            <v>1</v>
          </cell>
        </row>
        <row r="3312">
          <cell r="B3312" t="str">
            <v>SWC1040-1104</v>
          </cell>
          <cell r="C3312" t="str">
            <v>Invoice</v>
          </cell>
          <cell r="D3312">
            <v>38593</v>
          </cell>
          <cell r="F3312" t="str">
            <v>7720</v>
          </cell>
          <cell r="G3312" t="str">
            <v>Muzak, LLC:Ultimate Exposure - Park Rd</v>
          </cell>
          <cell r="H3312">
            <v>1</v>
          </cell>
        </row>
        <row r="3313">
          <cell r="B3313" t="str">
            <v>SWC1040-1104</v>
          </cell>
          <cell r="C3313" t="str">
            <v>Invoice</v>
          </cell>
          <cell r="D3313">
            <v>38594</v>
          </cell>
          <cell r="F3313" t="str">
            <v>7722</v>
          </cell>
          <cell r="G3313" t="str">
            <v>Muzak, LLC:Ultimate Exposure - Broadway</v>
          </cell>
          <cell r="H3313">
            <v>1</v>
          </cell>
        </row>
        <row r="3314">
          <cell r="B3314" t="str">
            <v>SWC1040-1104</v>
          </cell>
          <cell r="C3314" t="str">
            <v>Invoice</v>
          </cell>
          <cell r="D3314">
            <v>38595</v>
          </cell>
          <cell r="F3314" t="str">
            <v>7735</v>
          </cell>
          <cell r="G3314" t="str">
            <v>Muzak, LLC:TT New York</v>
          </cell>
          <cell r="H3314">
            <v>1</v>
          </cell>
        </row>
        <row r="3315">
          <cell r="B3315" t="str">
            <v>SWC1040-1104</v>
          </cell>
          <cell r="C3315" t="str">
            <v>Invoice</v>
          </cell>
          <cell r="D3315">
            <v>38626</v>
          </cell>
          <cell r="F3315" t="str">
            <v>8179</v>
          </cell>
          <cell r="G3315" t="str">
            <v>Muzak, LLC:TT New York</v>
          </cell>
          <cell r="H3315">
            <v>1</v>
          </cell>
        </row>
        <row r="3316">
          <cell r="B3316" t="str">
            <v>SWC1040-1105</v>
          </cell>
          <cell r="C3316" t="str">
            <v>Invoice</v>
          </cell>
          <cell r="D3316">
            <v>38499</v>
          </cell>
          <cell r="F3316" t="str">
            <v>6191</v>
          </cell>
          <cell r="G3316" t="str">
            <v>Macy's Florida</v>
          </cell>
          <cell r="H3316">
            <v>1</v>
          </cell>
        </row>
        <row r="3317">
          <cell r="B3317" t="str">
            <v>SWC1040-1105</v>
          </cell>
          <cell r="C3317" t="str">
            <v>Invoice</v>
          </cell>
          <cell r="D3317">
            <v>38520</v>
          </cell>
          <cell r="F3317" t="str">
            <v>5576-I</v>
          </cell>
          <cell r="G3317" t="str">
            <v>Jimmy Choo (Corporate Office):Jimmy Choo (Coral Gables)</v>
          </cell>
          <cell r="H3317">
            <v>1</v>
          </cell>
        </row>
        <row r="3318">
          <cell r="B3318" t="str">
            <v>SWC1040-1105</v>
          </cell>
          <cell r="C3318" t="str">
            <v>Invoice</v>
          </cell>
          <cell r="D3318">
            <v>38520</v>
          </cell>
          <cell r="F3318" t="str">
            <v>6366</v>
          </cell>
          <cell r="G3318" t="str">
            <v>Jimmy Choo (Corporate Office):Jimmy Choo (Palm Beach Gardens)</v>
          </cell>
          <cell r="H3318">
            <v>1</v>
          </cell>
        </row>
        <row r="3319">
          <cell r="B3319" t="str">
            <v>SWC1040-1105</v>
          </cell>
          <cell r="C3319" t="str">
            <v>Invoice</v>
          </cell>
          <cell r="D3319">
            <v>38520</v>
          </cell>
          <cell r="F3319" t="str">
            <v>6364</v>
          </cell>
          <cell r="G3319" t="str">
            <v>Jimmy Choo (Corporate Office):Jimmy Choo (Dallas)</v>
          </cell>
          <cell r="H3319">
            <v>1</v>
          </cell>
        </row>
        <row r="3320">
          <cell r="B3320" t="str">
            <v>SWC1040-1105</v>
          </cell>
          <cell r="C3320" t="str">
            <v>Invoice</v>
          </cell>
          <cell r="D3320">
            <v>38520</v>
          </cell>
          <cell r="F3320" t="str">
            <v>6365</v>
          </cell>
          <cell r="G3320" t="str">
            <v>Jimmy Choo (Corporate Office):Jimmy Choo (Madison Ave.)</v>
          </cell>
          <cell r="H3320">
            <v>1</v>
          </cell>
        </row>
        <row r="3321">
          <cell r="B3321" t="str">
            <v>SWC1040-1105</v>
          </cell>
          <cell r="C3321" t="str">
            <v>Invoice</v>
          </cell>
          <cell r="D3321">
            <v>38520</v>
          </cell>
          <cell r="F3321" t="str">
            <v>5575-I</v>
          </cell>
          <cell r="G3321" t="str">
            <v>Jimmy Choo (Corporate Office):Jimmy Choo (51st street)</v>
          </cell>
          <cell r="H3321">
            <v>1</v>
          </cell>
        </row>
        <row r="3322">
          <cell r="B3322" t="str">
            <v>SWC1040-1105</v>
          </cell>
          <cell r="C3322" t="str">
            <v>Invoice</v>
          </cell>
          <cell r="D3322">
            <v>38531</v>
          </cell>
          <cell r="F3322" t="str">
            <v>5590</v>
          </cell>
          <cell r="G3322" t="str">
            <v>Jimmy Choo (Corporate Office):Jimmy Choo (Palm Beach Gardens)</v>
          </cell>
          <cell r="H3322">
            <v>1</v>
          </cell>
        </row>
        <row r="3323">
          <cell r="B3323" t="str">
            <v>SWC1040-1105</v>
          </cell>
          <cell r="C3323" t="str">
            <v>Invoice</v>
          </cell>
          <cell r="D3323">
            <v>38538</v>
          </cell>
          <cell r="F3323" t="str">
            <v>7080</v>
          </cell>
          <cell r="G3323" t="str">
            <v>Macy's Florida</v>
          </cell>
          <cell r="H3323">
            <v>1</v>
          </cell>
        </row>
        <row r="3324">
          <cell r="B3324" t="str">
            <v>SWC1040-1105</v>
          </cell>
          <cell r="C3324" t="str">
            <v>Invoice</v>
          </cell>
          <cell r="D3324">
            <v>38539</v>
          </cell>
          <cell r="F3324" t="str">
            <v>7029</v>
          </cell>
          <cell r="G3324" t="str">
            <v>Eddie Bauer, Inc.</v>
          </cell>
          <cell r="H3324">
            <v>1</v>
          </cell>
        </row>
        <row r="3325">
          <cell r="B3325" t="str">
            <v>SWC1040-1105</v>
          </cell>
          <cell r="C3325" t="str">
            <v>Invoice</v>
          </cell>
          <cell r="D3325">
            <v>38548</v>
          </cell>
          <cell r="F3325" t="str">
            <v>6412</v>
          </cell>
          <cell r="G3325" t="str">
            <v>Jimmy Choo (Corporate Office):Jimmy Choo (51st street)</v>
          </cell>
          <cell r="H3325">
            <v>1</v>
          </cell>
        </row>
        <row r="3326">
          <cell r="B3326" t="str">
            <v>SWC1040-1105</v>
          </cell>
          <cell r="C3326" t="str">
            <v>Invoice</v>
          </cell>
          <cell r="D3326">
            <v>38548</v>
          </cell>
          <cell r="F3326" t="str">
            <v>6414</v>
          </cell>
          <cell r="G3326" t="str">
            <v>Jimmy Choo (Corporate Office):Jimmy Choo (Dallas)</v>
          </cell>
          <cell r="H3326">
            <v>1</v>
          </cell>
        </row>
        <row r="3327">
          <cell r="B3327" t="str">
            <v>SWC1040-1105</v>
          </cell>
          <cell r="C3327" t="str">
            <v>Invoice</v>
          </cell>
          <cell r="D3327">
            <v>38548</v>
          </cell>
          <cell r="F3327" t="str">
            <v>6416</v>
          </cell>
          <cell r="G3327" t="str">
            <v>Jimmy Choo (Corporate Office):Jimmy Choo (Madison Ave.)</v>
          </cell>
          <cell r="H3327">
            <v>1</v>
          </cell>
        </row>
        <row r="3328">
          <cell r="B3328" t="str">
            <v>SWC1040-1105</v>
          </cell>
          <cell r="C3328" t="str">
            <v>Invoice</v>
          </cell>
          <cell r="D3328">
            <v>38548</v>
          </cell>
          <cell r="F3328" t="str">
            <v>6418</v>
          </cell>
          <cell r="G3328" t="str">
            <v>Jimmy Choo (Corporate Office):Jimmy Choo (Palm Beach Gardens)</v>
          </cell>
          <cell r="H3328">
            <v>1</v>
          </cell>
        </row>
        <row r="3329">
          <cell r="B3329" t="str">
            <v>SWC1040-1105</v>
          </cell>
          <cell r="C3329" t="str">
            <v>Invoice</v>
          </cell>
          <cell r="D3329">
            <v>38548</v>
          </cell>
          <cell r="F3329" t="str">
            <v>6410</v>
          </cell>
          <cell r="G3329" t="str">
            <v>Jimmy Choo (Corporate Office):Jimmy Choo (Coral Gables)</v>
          </cell>
          <cell r="H3329">
            <v>1</v>
          </cell>
        </row>
        <row r="3330">
          <cell r="B3330" t="str">
            <v>SWC1040-1105</v>
          </cell>
          <cell r="C3330" t="str">
            <v>Invoice</v>
          </cell>
          <cell r="D3330">
            <v>38562</v>
          </cell>
          <cell r="F3330" t="str">
            <v>7077</v>
          </cell>
          <cell r="G3330" t="str">
            <v>Macy's Florida</v>
          </cell>
          <cell r="H3330">
            <v>1</v>
          </cell>
        </row>
        <row r="3331">
          <cell r="B3331" t="str">
            <v>SWC1040-1105</v>
          </cell>
          <cell r="C3331" t="str">
            <v>Invoice</v>
          </cell>
          <cell r="D3331">
            <v>38569</v>
          </cell>
          <cell r="F3331" t="str">
            <v>5586-I</v>
          </cell>
          <cell r="G3331" t="str">
            <v>Muzak, LLC:Arbys - Simpsonville</v>
          </cell>
          <cell r="H3331">
            <v>1</v>
          </cell>
        </row>
        <row r="3332">
          <cell r="B3332" t="str">
            <v>SWC1040-1105</v>
          </cell>
          <cell r="C3332" t="str">
            <v>Invoice</v>
          </cell>
          <cell r="D3332">
            <v>38574</v>
          </cell>
          <cell r="F3332" t="str">
            <v>7392</v>
          </cell>
          <cell r="G3332" t="str">
            <v>Muzak, LLC:Muzak (Demo)</v>
          </cell>
          <cell r="H3332">
            <v>1</v>
          </cell>
        </row>
        <row r="3333">
          <cell r="B3333" t="str">
            <v>SWC1040-1105</v>
          </cell>
          <cell r="C3333" t="str">
            <v>Invoice</v>
          </cell>
          <cell r="D3333">
            <v>38574</v>
          </cell>
          <cell r="F3333" t="str">
            <v>7391</v>
          </cell>
          <cell r="G3333" t="str">
            <v>Muzak, LLC:Muzak (Demo)</v>
          </cell>
          <cell r="H3333">
            <v>1</v>
          </cell>
        </row>
        <row r="3334">
          <cell r="B3334" t="str">
            <v>SWC1040-1105</v>
          </cell>
          <cell r="C3334" t="str">
            <v>Invoice</v>
          </cell>
          <cell r="D3334">
            <v>38574</v>
          </cell>
          <cell r="F3334" t="str">
            <v>7298</v>
          </cell>
          <cell r="G3334" t="str">
            <v>Muzak, LLC:Muzak (Demo)</v>
          </cell>
          <cell r="H3334">
            <v>1</v>
          </cell>
        </row>
        <row r="3335">
          <cell r="B3335" t="str">
            <v>SWC1040-1105</v>
          </cell>
          <cell r="C3335" t="str">
            <v>Invoice</v>
          </cell>
          <cell r="D3335">
            <v>38574</v>
          </cell>
          <cell r="F3335" t="str">
            <v>7390</v>
          </cell>
          <cell r="G3335" t="str">
            <v>Muzak, LLC:Muzak (Demo)</v>
          </cell>
          <cell r="H3335">
            <v>1</v>
          </cell>
        </row>
        <row r="3336">
          <cell r="B3336" t="str">
            <v>SWC1040-1105</v>
          </cell>
          <cell r="C3336" t="str">
            <v>Invoice</v>
          </cell>
          <cell r="D3336">
            <v>38574</v>
          </cell>
          <cell r="F3336" t="str">
            <v>7312</v>
          </cell>
          <cell r="G3336" t="str">
            <v>Muzak, LLC:Muzak (Demo)</v>
          </cell>
          <cell r="H3336">
            <v>1</v>
          </cell>
        </row>
        <row r="3337">
          <cell r="B3337" t="str">
            <v>SWC1040-1105</v>
          </cell>
          <cell r="C3337" t="str">
            <v>Invoice</v>
          </cell>
          <cell r="D3337">
            <v>38575</v>
          </cell>
          <cell r="F3337" t="str">
            <v>7445</v>
          </cell>
          <cell r="G3337" t="str">
            <v>Muzak, LLC:Muzak (Demo)</v>
          </cell>
          <cell r="H3337">
            <v>1</v>
          </cell>
        </row>
        <row r="3338">
          <cell r="B3338" t="str">
            <v>SWC1040-1105</v>
          </cell>
          <cell r="C3338" t="str">
            <v>Invoice</v>
          </cell>
          <cell r="D3338">
            <v>38575</v>
          </cell>
          <cell r="F3338" t="str">
            <v>7439</v>
          </cell>
          <cell r="G3338" t="str">
            <v>Muzak, LLC:Muzak (Demo)</v>
          </cell>
          <cell r="H3338">
            <v>1</v>
          </cell>
        </row>
        <row r="3339">
          <cell r="B3339" t="str">
            <v>SWC1040-1105</v>
          </cell>
          <cell r="C3339" t="str">
            <v>Invoice</v>
          </cell>
          <cell r="D3339">
            <v>38575</v>
          </cell>
          <cell r="F3339" t="str">
            <v>7441</v>
          </cell>
          <cell r="G3339" t="str">
            <v>Muzak, LLC:Muzak (Demo)</v>
          </cell>
          <cell r="H3339">
            <v>1</v>
          </cell>
        </row>
        <row r="3340">
          <cell r="B3340" t="str">
            <v>SWC1040-1105</v>
          </cell>
          <cell r="C3340" t="str">
            <v>Invoice</v>
          </cell>
          <cell r="D3340">
            <v>38576</v>
          </cell>
          <cell r="F3340" t="str">
            <v>7476</v>
          </cell>
          <cell r="G3340" t="str">
            <v>Muzak, LLC:Muzak (Demo)</v>
          </cell>
          <cell r="H3340">
            <v>1</v>
          </cell>
        </row>
        <row r="3341">
          <cell r="B3341" t="str">
            <v>SWC1040-1105</v>
          </cell>
          <cell r="C3341" t="str">
            <v>Invoice</v>
          </cell>
          <cell r="D3341">
            <v>38576</v>
          </cell>
          <cell r="F3341" t="str">
            <v>7479</v>
          </cell>
          <cell r="G3341" t="str">
            <v>Muzak, LLC:Muzak (Demo)</v>
          </cell>
          <cell r="H3341">
            <v>1</v>
          </cell>
        </row>
        <row r="3342">
          <cell r="B3342" t="str">
            <v>SWC1040-1105</v>
          </cell>
          <cell r="C3342" t="str">
            <v>Invoice</v>
          </cell>
          <cell r="D3342">
            <v>38576</v>
          </cell>
          <cell r="F3342" t="str">
            <v>7480</v>
          </cell>
          <cell r="G3342" t="str">
            <v>Muzak, LLC:Muzak (Demo)</v>
          </cell>
          <cell r="H3342">
            <v>1</v>
          </cell>
        </row>
        <row r="3343">
          <cell r="B3343" t="str">
            <v>SWC1040-1105</v>
          </cell>
          <cell r="C3343" t="str">
            <v>Invoice</v>
          </cell>
          <cell r="D3343">
            <v>38576</v>
          </cell>
          <cell r="F3343" t="str">
            <v>7481</v>
          </cell>
          <cell r="G3343" t="str">
            <v>Muzak, LLC:Muzak (Demo)</v>
          </cell>
          <cell r="H3343">
            <v>1</v>
          </cell>
        </row>
        <row r="3344">
          <cell r="B3344" t="str">
            <v>SWC1040-1105</v>
          </cell>
          <cell r="C3344" t="str">
            <v>Invoice</v>
          </cell>
          <cell r="D3344">
            <v>38576</v>
          </cell>
          <cell r="F3344" t="str">
            <v>7443</v>
          </cell>
          <cell r="G3344" t="str">
            <v>Muzak, LLC:Amergy Bank of Texas</v>
          </cell>
          <cell r="H3344">
            <v>1</v>
          </cell>
        </row>
        <row r="3345">
          <cell r="B3345" t="str">
            <v>SWC1040-1105</v>
          </cell>
          <cell r="C3345" t="str">
            <v>Invoice</v>
          </cell>
          <cell r="D3345">
            <v>38576</v>
          </cell>
          <cell r="F3345" t="str">
            <v>7478</v>
          </cell>
          <cell r="G3345" t="str">
            <v>Muzak, LLC:Muzak (Demo)</v>
          </cell>
          <cell r="H3345">
            <v>1</v>
          </cell>
        </row>
        <row r="3346">
          <cell r="B3346" t="str">
            <v>SWC1040-1105</v>
          </cell>
          <cell r="C3346" t="str">
            <v>Invoice</v>
          </cell>
          <cell r="D3346">
            <v>38576</v>
          </cell>
          <cell r="F3346" t="str">
            <v>7475</v>
          </cell>
          <cell r="G3346" t="str">
            <v>Muzak, LLC:Muzak (Demo)</v>
          </cell>
          <cell r="H3346">
            <v>1</v>
          </cell>
        </row>
        <row r="3347">
          <cell r="B3347" t="str">
            <v>SWC1040-1105</v>
          </cell>
          <cell r="C3347" t="str">
            <v>Invoice</v>
          </cell>
          <cell r="D3347">
            <v>38579</v>
          </cell>
          <cell r="F3347" t="str">
            <v>6419</v>
          </cell>
          <cell r="G3347" t="str">
            <v>Jimmy Choo (Corporate Office):Jimmy Choo (Palm Beach Gardens)</v>
          </cell>
          <cell r="H3347">
            <v>1</v>
          </cell>
        </row>
        <row r="3348">
          <cell r="B3348" t="str">
            <v>SWC1040-1105</v>
          </cell>
          <cell r="C3348" t="str">
            <v>Invoice</v>
          </cell>
          <cell r="D3348">
            <v>38579</v>
          </cell>
          <cell r="F3348" t="str">
            <v>6415</v>
          </cell>
          <cell r="G3348" t="str">
            <v>Jimmy Choo (Corporate Office):Jimmy Choo (Dallas)</v>
          </cell>
          <cell r="H3348">
            <v>1</v>
          </cell>
        </row>
        <row r="3349">
          <cell r="B3349" t="str">
            <v>SWC1040-1105</v>
          </cell>
          <cell r="C3349" t="str">
            <v>Invoice</v>
          </cell>
          <cell r="D3349">
            <v>38579</v>
          </cell>
          <cell r="F3349" t="str">
            <v>6411</v>
          </cell>
          <cell r="G3349" t="str">
            <v>Jimmy Choo (Corporate Office):Jimmy Choo (Coral Gables)</v>
          </cell>
          <cell r="H3349">
            <v>1</v>
          </cell>
        </row>
        <row r="3350">
          <cell r="B3350" t="str">
            <v>SWC1040-1105</v>
          </cell>
          <cell r="C3350" t="str">
            <v>Invoice</v>
          </cell>
          <cell r="D3350">
            <v>38580</v>
          </cell>
          <cell r="F3350" t="str">
            <v>7491</v>
          </cell>
          <cell r="G3350" t="str">
            <v>Muzak, LLC:Muzak (Demo)</v>
          </cell>
          <cell r="H3350">
            <v>1</v>
          </cell>
        </row>
        <row r="3351">
          <cell r="B3351" t="str">
            <v>SWC1040-1105</v>
          </cell>
          <cell r="C3351" t="str">
            <v>Invoice</v>
          </cell>
          <cell r="D3351">
            <v>38580</v>
          </cell>
          <cell r="F3351" t="str">
            <v>6413</v>
          </cell>
          <cell r="G3351" t="str">
            <v>Jimmy Choo (Corporate Office):Jimmy Choo (51st street)</v>
          </cell>
          <cell r="H3351">
            <v>1</v>
          </cell>
        </row>
        <row r="3352">
          <cell r="B3352" t="str">
            <v>SWC1040-1105</v>
          </cell>
          <cell r="C3352" t="str">
            <v>Invoice</v>
          </cell>
          <cell r="D3352">
            <v>38580</v>
          </cell>
          <cell r="F3352" t="str">
            <v>6417</v>
          </cell>
          <cell r="G3352" t="str">
            <v>Jimmy Choo (Corporate Office):Jimmy Choo (Madison Ave.)</v>
          </cell>
          <cell r="H3352">
            <v>1</v>
          </cell>
        </row>
        <row r="3353">
          <cell r="B3353" t="str">
            <v>SWC1040-1105</v>
          </cell>
          <cell r="C3353" t="str">
            <v>Invoice</v>
          </cell>
          <cell r="D3353">
            <v>38581</v>
          </cell>
          <cell r="F3353" t="str">
            <v>7487</v>
          </cell>
          <cell r="G3353" t="str">
            <v>Muzak, LLC:Royal Sonesta Hotel</v>
          </cell>
          <cell r="H3353">
            <v>1</v>
          </cell>
        </row>
        <row r="3354">
          <cell r="B3354" t="str">
            <v>SWC1040-1105</v>
          </cell>
          <cell r="C3354" t="str">
            <v>Invoice</v>
          </cell>
          <cell r="D3354">
            <v>38586</v>
          </cell>
          <cell r="F3354" t="str">
            <v>7643</v>
          </cell>
          <cell r="G3354" t="str">
            <v>Muzak, LLC:Banks D. Kerr Family YMCA</v>
          </cell>
          <cell r="H3354">
            <v>1</v>
          </cell>
        </row>
        <row r="3355">
          <cell r="B3355" t="str">
            <v>SWC1040-1105</v>
          </cell>
          <cell r="C3355" t="str">
            <v>Invoice</v>
          </cell>
          <cell r="D3355">
            <v>38587</v>
          </cell>
          <cell r="F3355" t="str">
            <v>7670</v>
          </cell>
          <cell r="G3355" t="str">
            <v>Muzak, LLC:Bluebird Tavern</v>
          </cell>
          <cell r="H3355">
            <v>1</v>
          </cell>
        </row>
        <row r="3356">
          <cell r="B3356" t="str">
            <v>SWC1040-1105</v>
          </cell>
          <cell r="C3356" t="str">
            <v>Invoice</v>
          </cell>
          <cell r="D3356">
            <v>38589</v>
          </cell>
          <cell r="F3356" t="str">
            <v>7693</v>
          </cell>
          <cell r="G3356" t="str">
            <v>Muzak, IA:Texas Wired:Omni Austin Hotel Downtown</v>
          </cell>
          <cell r="H3356">
            <v>1</v>
          </cell>
        </row>
        <row r="3357">
          <cell r="B3357" t="str">
            <v>SWC1040-1105</v>
          </cell>
          <cell r="C3357" t="str">
            <v>Invoice</v>
          </cell>
          <cell r="D3357">
            <v>38595</v>
          </cell>
          <cell r="F3357" t="str">
            <v>7079</v>
          </cell>
          <cell r="G3357" t="str">
            <v>Macy's Florida</v>
          </cell>
          <cell r="H3357">
            <v>1</v>
          </cell>
        </row>
        <row r="3358">
          <cell r="B3358" t="str">
            <v>SWC1040-1105</v>
          </cell>
          <cell r="C3358" t="str">
            <v>Invoice</v>
          </cell>
          <cell r="D3358">
            <v>38595</v>
          </cell>
          <cell r="F3358" t="str">
            <v>7733</v>
          </cell>
          <cell r="G3358" t="str">
            <v>Muzak, IA:Independence Communications, PA</v>
          </cell>
          <cell r="H3358">
            <v>1</v>
          </cell>
        </row>
        <row r="3359">
          <cell r="B3359" t="str">
            <v>SWC1040-1105</v>
          </cell>
          <cell r="C3359" t="str">
            <v>Invoice</v>
          </cell>
          <cell r="D3359">
            <v>38603</v>
          </cell>
          <cell r="F3359" t="str">
            <v>7862</v>
          </cell>
          <cell r="G3359" t="str">
            <v>Muzak, IA:Carolina Sound Communications:Hilton Oceanfront Resort</v>
          </cell>
          <cell r="H3359">
            <v>1</v>
          </cell>
        </row>
        <row r="3360">
          <cell r="B3360" t="str">
            <v>SWC1040-1105</v>
          </cell>
          <cell r="C3360" t="str">
            <v>Invoice</v>
          </cell>
          <cell r="D3360">
            <v>38608</v>
          </cell>
          <cell r="F3360" t="str">
            <v>7912</v>
          </cell>
          <cell r="G3360" t="str">
            <v>Muzak, LLC:Amergy Bank of Texas</v>
          </cell>
          <cell r="H3360">
            <v>1</v>
          </cell>
        </row>
        <row r="3361">
          <cell r="B3361" t="str">
            <v>SWC1040-1105</v>
          </cell>
          <cell r="C3361" t="str">
            <v>Invoice</v>
          </cell>
          <cell r="D3361">
            <v>38610</v>
          </cell>
          <cell r="F3361" t="str">
            <v>7251</v>
          </cell>
          <cell r="G3361" t="str">
            <v>Jimmy Choo (Corporate Office):Jimmy Choo (Coral Gables)</v>
          </cell>
          <cell r="H3361">
            <v>1</v>
          </cell>
        </row>
        <row r="3362">
          <cell r="B3362" t="str">
            <v>SWC1040-1105</v>
          </cell>
          <cell r="C3362" t="str">
            <v>Invoice</v>
          </cell>
          <cell r="D3362">
            <v>38610</v>
          </cell>
          <cell r="F3362" t="str">
            <v>7249</v>
          </cell>
          <cell r="G3362" t="str">
            <v>Jimmy Choo (Corporate Office):Jimmy Choo (Palm Beach Gardens)</v>
          </cell>
          <cell r="H3362">
            <v>1</v>
          </cell>
        </row>
        <row r="3363">
          <cell r="B3363" t="str">
            <v>SWC1040-1105</v>
          </cell>
          <cell r="C3363" t="str">
            <v>Invoice</v>
          </cell>
          <cell r="D3363">
            <v>38610</v>
          </cell>
          <cell r="F3363" t="str">
            <v>7250</v>
          </cell>
          <cell r="G3363" t="str">
            <v>Jimmy Choo (Corporate Office):Jimmy Choo (Madison Ave.)</v>
          </cell>
          <cell r="H3363">
            <v>1</v>
          </cell>
        </row>
        <row r="3364">
          <cell r="B3364" t="str">
            <v>SWC1040-1105</v>
          </cell>
          <cell r="C3364" t="str">
            <v>Invoice</v>
          </cell>
          <cell r="D3364">
            <v>38610</v>
          </cell>
          <cell r="F3364" t="str">
            <v>7959</v>
          </cell>
          <cell r="G3364" t="str">
            <v>Muzak, LLC:Wingate Inn - Greenville</v>
          </cell>
          <cell r="H3364">
            <v>1</v>
          </cell>
        </row>
        <row r="3365">
          <cell r="B3365" t="str">
            <v>SWC1040-1105</v>
          </cell>
          <cell r="C3365" t="str">
            <v>Invoice</v>
          </cell>
          <cell r="D3365">
            <v>38611</v>
          </cell>
          <cell r="F3365" t="str">
            <v>7294</v>
          </cell>
          <cell r="G3365" t="str">
            <v>Jimmy Choo (Corporate Office):Jimmy Choo (51st street)</v>
          </cell>
          <cell r="H3365">
            <v>1</v>
          </cell>
        </row>
        <row r="3366">
          <cell r="B3366" t="str">
            <v>SWC1040-1105</v>
          </cell>
          <cell r="C3366" t="str">
            <v>Invoice</v>
          </cell>
          <cell r="D3366">
            <v>38611</v>
          </cell>
          <cell r="F3366" t="str">
            <v>7949</v>
          </cell>
          <cell r="G3366" t="str">
            <v>Muzak, IA:Tropical Music Service, Inc</v>
          </cell>
          <cell r="H3366">
            <v>1</v>
          </cell>
        </row>
        <row r="3367">
          <cell r="B3367" t="str">
            <v>SWC1040-1105</v>
          </cell>
          <cell r="C3367" t="str">
            <v>Invoice</v>
          </cell>
          <cell r="D3367">
            <v>38614</v>
          </cell>
          <cell r="F3367" t="str">
            <v>7984</v>
          </cell>
          <cell r="G3367" t="str">
            <v>Muzak, LLC:Clubs of Kingwood Golf Proshop</v>
          </cell>
          <cell r="H3367">
            <v>1</v>
          </cell>
        </row>
        <row r="3368">
          <cell r="B3368" t="str">
            <v>SWC1040-1105</v>
          </cell>
          <cell r="C3368" t="str">
            <v>Invoice</v>
          </cell>
          <cell r="D3368">
            <v>38614</v>
          </cell>
          <cell r="F3368" t="str">
            <v>8000</v>
          </cell>
          <cell r="G3368" t="str">
            <v>Muzak, LLC:Red 74</v>
          </cell>
          <cell r="H3368">
            <v>1</v>
          </cell>
        </row>
        <row r="3369">
          <cell r="B3369" t="str">
            <v>SWC1040-1105</v>
          </cell>
          <cell r="C3369" t="str">
            <v>Invoice</v>
          </cell>
          <cell r="D3369">
            <v>38615</v>
          </cell>
          <cell r="F3369" t="str">
            <v>8010</v>
          </cell>
          <cell r="G3369" t="str">
            <v>Muzak, LLC:Jekyll Island Club Hotel</v>
          </cell>
          <cell r="H3369">
            <v>1</v>
          </cell>
        </row>
        <row r="3370">
          <cell r="B3370" t="str">
            <v>SWC1040-1105</v>
          </cell>
          <cell r="C3370" t="str">
            <v>Invoice</v>
          </cell>
          <cell r="D3370">
            <v>38615</v>
          </cell>
          <cell r="F3370" t="str">
            <v>8015</v>
          </cell>
          <cell r="G3370" t="str">
            <v>Muzak, LLC:Hunt Real Estate - 430 Dick Road</v>
          </cell>
          <cell r="H3370">
            <v>1</v>
          </cell>
        </row>
        <row r="3371">
          <cell r="B3371" t="str">
            <v>SWC1040-1105</v>
          </cell>
          <cell r="C3371" t="str">
            <v>Invoice</v>
          </cell>
          <cell r="D3371">
            <v>38616</v>
          </cell>
          <cell r="F3371" t="str">
            <v>8016</v>
          </cell>
          <cell r="G3371" t="str">
            <v>Muzak, LLC:Royal Sonesta Hotel</v>
          </cell>
          <cell r="H3371">
            <v>1</v>
          </cell>
        </row>
        <row r="3372">
          <cell r="B3372" t="str">
            <v>SWC1040-1105</v>
          </cell>
          <cell r="C3372" t="str">
            <v>Invoice</v>
          </cell>
          <cell r="D3372">
            <v>38617</v>
          </cell>
          <cell r="F3372" t="str">
            <v>8075</v>
          </cell>
          <cell r="G3372" t="str">
            <v>Muzak, LLC:Muzak (Demo)</v>
          </cell>
          <cell r="H3372">
            <v>1</v>
          </cell>
        </row>
        <row r="3373">
          <cell r="B3373" t="str">
            <v>SWC1040-1105</v>
          </cell>
          <cell r="C3373" t="str">
            <v>Invoice</v>
          </cell>
          <cell r="D3373">
            <v>38617</v>
          </cell>
          <cell r="F3373" t="str">
            <v>8006</v>
          </cell>
          <cell r="G3373" t="str">
            <v>Muzak, IA:Metro Communications</v>
          </cell>
          <cell r="H3373">
            <v>1</v>
          </cell>
        </row>
        <row r="3374">
          <cell r="B3374" t="str">
            <v>SWC1040-1105</v>
          </cell>
          <cell r="C3374" t="str">
            <v>Invoice</v>
          </cell>
          <cell r="D3374">
            <v>38617</v>
          </cell>
          <cell r="F3374" t="str">
            <v>8057</v>
          </cell>
          <cell r="G3374" t="str">
            <v>Muzak, IA:Miami Valley Audio</v>
          </cell>
          <cell r="H3374">
            <v>1</v>
          </cell>
        </row>
        <row r="3375">
          <cell r="B3375" t="str">
            <v>SWC1040-1105</v>
          </cell>
          <cell r="C3375" t="str">
            <v>Invoice</v>
          </cell>
          <cell r="D3375">
            <v>38618</v>
          </cell>
          <cell r="F3375" t="str">
            <v>8089</v>
          </cell>
          <cell r="G3375" t="str">
            <v>ORB Management</v>
          </cell>
          <cell r="H3375">
            <v>1</v>
          </cell>
        </row>
        <row r="3376">
          <cell r="B3376" t="str">
            <v>SWC1040-1105</v>
          </cell>
          <cell r="C3376" t="str">
            <v>Invoice</v>
          </cell>
          <cell r="D3376">
            <v>38622</v>
          </cell>
          <cell r="F3376" t="str">
            <v>8100</v>
          </cell>
          <cell r="G3376" t="str">
            <v>Muzak, LLC:M Salon</v>
          </cell>
          <cell r="H3376">
            <v>1</v>
          </cell>
        </row>
        <row r="3377">
          <cell r="B3377" t="str">
            <v>SWC1040-1105</v>
          </cell>
          <cell r="C3377" t="str">
            <v>Invoice</v>
          </cell>
          <cell r="D3377">
            <v>38622</v>
          </cell>
          <cell r="F3377" t="str">
            <v>8092</v>
          </cell>
          <cell r="G3377" t="str">
            <v>Muzak, IA:Metro Communications</v>
          </cell>
          <cell r="H3377">
            <v>1</v>
          </cell>
        </row>
        <row r="3378">
          <cell r="B3378" t="str">
            <v>SWC1040-1105</v>
          </cell>
          <cell r="C3378" t="str">
            <v>Invoice</v>
          </cell>
          <cell r="D3378">
            <v>38623</v>
          </cell>
          <cell r="F3378" t="str">
            <v>8161</v>
          </cell>
          <cell r="G3378" t="str">
            <v>ScentAir - Corporate Associates:Murray Dameron</v>
          </cell>
          <cell r="H3378">
            <v>1</v>
          </cell>
        </row>
        <row r="3379">
          <cell r="B3379" t="str">
            <v>SWC1040-1105</v>
          </cell>
          <cell r="C3379" t="str">
            <v>Invoice</v>
          </cell>
          <cell r="D3379">
            <v>38626</v>
          </cell>
          <cell r="F3379" t="str">
            <v>7498</v>
          </cell>
          <cell r="G3379" t="str">
            <v>Macy's Florida</v>
          </cell>
          <cell r="H3379">
            <v>1</v>
          </cell>
        </row>
        <row r="3380">
          <cell r="B3380" t="str">
            <v>SWC1040-1105</v>
          </cell>
          <cell r="C3380" t="str">
            <v>Invoice</v>
          </cell>
          <cell r="D3380">
            <v>38626</v>
          </cell>
          <cell r="F3380" t="str">
            <v>7978</v>
          </cell>
          <cell r="G3380" t="str">
            <v>Muzak, IA:Texas Wired:Omni Austin Hotel Downtown</v>
          </cell>
          <cell r="H3380">
            <v>1</v>
          </cell>
        </row>
        <row r="3381">
          <cell r="B3381" t="str">
            <v>SWC1040-1105</v>
          </cell>
          <cell r="C3381" t="str">
            <v>Invoice</v>
          </cell>
          <cell r="D3381">
            <v>38628</v>
          </cell>
          <cell r="F3381" t="str">
            <v>8191</v>
          </cell>
          <cell r="G3381" t="str">
            <v>Muzak, IA:Texas Wired:Omni San Antonio Hotel</v>
          </cell>
          <cell r="H3381">
            <v>1</v>
          </cell>
        </row>
        <row r="3382">
          <cell r="B3382" t="str">
            <v>SWC1040-1105</v>
          </cell>
          <cell r="C3382" t="str">
            <v>Invoice</v>
          </cell>
          <cell r="D3382">
            <v>38628</v>
          </cell>
          <cell r="F3382" t="str">
            <v>8216</v>
          </cell>
          <cell r="G3382" t="str">
            <v>Muzak, LLC:Omni Jacksonville Hotel</v>
          </cell>
          <cell r="H3382">
            <v>1</v>
          </cell>
        </row>
        <row r="3383">
          <cell r="B3383" t="str">
            <v>SWC1040-1105</v>
          </cell>
          <cell r="C3383" t="str">
            <v>Invoice</v>
          </cell>
          <cell r="D3383">
            <v>38630</v>
          </cell>
          <cell r="F3383" t="str">
            <v>8318</v>
          </cell>
          <cell r="G3383" t="str">
            <v>Muzak, IA:Texas Wired</v>
          </cell>
          <cell r="H3383">
            <v>1</v>
          </cell>
        </row>
        <row r="3384">
          <cell r="B3384" t="str">
            <v>SWC1040-1106</v>
          </cell>
          <cell r="C3384" t="str">
            <v>Invoice</v>
          </cell>
          <cell r="D3384">
            <v>38615</v>
          </cell>
          <cell r="F3384" t="str">
            <v>7985</v>
          </cell>
          <cell r="G3384" t="str">
            <v>Muzak, IA:Avcom Texas Wired:Trois Estate</v>
          </cell>
          <cell r="H3384">
            <v>1</v>
          </cell>
        </row>
        <row r="3385">
          <cell r="B3385" t="str">
            <v>SWC1040-1106</v>
          </cell>
          <cell r="C3385" t="str">
            <v>Invoice</v>
          </cell>
          <cell r="D3385">
            <v>38618</v>
          </cell>
          <cell r="F3385" t="str">
            <v>8089</v>
          </cell>
          <cell r="G3385" t="str">
            <v>ORB Management</v>
          </cell>
          <cell r="H3385">
            <v>1</v>
          </cell>
        </row>
        <row r="3386">
          <cell r="B3386" t="str">
            <v>SWC1040-1136</v>
          </cell>
          <cell r="C3386" t="str">
            <v>Invoice</v>
          </cell>
          <cell r="D3386">
            <v>38516</v>
          </cell>
          <cell r="F3386" t="str">
            <v>6332</v>
          </cell>
          <cell r="G3386" t="str">
            <v>Videotronic Benelux BV</v>
          </cell>
          <cell r="H3386">
            <v>1</v>
          </cell>
        </row>
        <row r="3387">
          <cell r="B3387" t="str">
            <v>SWC1040-1136</v>
          </cell>
          <cell r="C3387" t="str">
            <v>Invoice</v>
          </cell>
          <cell r="D3387">
            <v>38573</v>
          </cell>
          <cell r="F3387" t="str">
            <v>7340</v>
          </cell>
          <cell r="G3387" t="str">
            <v>Access Artisans Greenwhich Village</v>
          </cell>
          <cell r="H3387">
            <v>1</v>
          </cell>
        </row>
        <row r="3388">
          <cell r="B3388" t="str">
            <v>SWC1040-1136</v>
          </cell>
          <cell r="C3388" t="str">
            <v>Invoice</v>
          </cell>
          <cell r="D3388">
            <v>38602</v>
          </cell>
          <cell r="F3388" t="str">
            <v>7341</v>
          </cell>
          <cell r="G3388" t="str">
            <v>Access Artisans Greenwhich Village</v>
          </cell>
          <cell r="H3388">
            <v>1</v>
          </cell>
        </row>
        <row r="3389">
          <cell r="B3389" t="str">
            <v>SWC1040-1153</v>
          </cell>
          <cell r="C3389" t="str">
            <v>Invoice</v>
          </cell>
          <cell r="D3389">
            <v>38470</v>
          </cell>
          <cell r="F3389" t="str">
            <v>6006</v>
          </cell>
          <cell r="G3389" t="str">
            <v>Techno Satellite</v>
          </cell>
          <cell r="H3389">
            <v>1</v>
          </cell>
        </row>
        <row r="3390">
          <cell r="B3390" t="str">
            <v>SWC1040-1153</v>
          </cell>
          <cell r="C3390" t="str">
            <v>Invoice</v>
          </cell>
          <cell r="D3390">
            <v>38589</v>
          </cell>
          <cell r="F3390" t="str">
            <v>7675</v>
          </cell>
          <cell r="G3390" t="str">
            <v>Klipsch Audio Technologies:Klipsch Audio</v>
          </cell>
          <cell r="H3390">
            <v>1</v>
          </cell>
        </row>
        <row r="3391">
          <cell r="B3391" t="str">
            <v>SWC1040-1168</v>
          </cell>
          <cell r="C3391" t="str">
            <v>Invoice</v>
          </cell>
          <cell r="D3391">
            <v>38461</v>
          </cell>
          <cell r="F3391" t="str">
            <v>5697</v>
          </cell>
          <cell r="G3391" t="str">
            <v>Disney Worldwide:Goofy's Candy Company</v>
          </cell>
          <cell r="H3391">
            <v>1</v>
          </cell>
        </row>
        <row r="3392">
          <cell r="B3392" t="str">
            <v>SWC1040-1168</v>
          </cell>
          <cell r="C3392" t="str">
            <v>Invoice</v>
          </cell>
          <cell r="D3392">
            <v>38513</v>
          </cell>
          <cell r="F3392" t="str">
            <v>6226</v>
          </cell>
          <cell r="G3392" t="str">
            <v>Universal Studios Orlando:Islands of Adventure Merchandise</v>
          </cell>
          <cell r="H3392">
            <v>1</v>
          </cell>
        </row>
        <row r="3393">
          <cell r="B3393" t="str">
            <v>SWC1040-1168</v>
          </cell>
          <cell r="C3393" t="str">
            <v>Invoice</v>
          </cell>
          <cell r="D3393">
            <v>38516</v>
          </cell>
          <cell r="F3393" t="str">
            <v>6315</v>
          </cell>
          <cell r="G3393" t="str">
            <v>Disney Worldwide:Goofy's Candy Company</v>
          </cell>
          <cell r="H3393">
            <v>1</v>
          </cell>
        </row>
        <row r="3394">
          <cell r="B3394" t="str">
            <v>SWC1040-1168</v>
          </cell>
          <cell r="C3394" t="str">
            <v>Invoice</v>
          </cell>
          <cell r="D3394">
            <v>38526</v>
          </cell>
          <cell r="F3394" t="str">
            <v>6422</v>
          </cell>
          <cell r="G3394" t="str">
            <v>Disney Worldwide</v>
          </cell>
          <cell r="H3394">
            <v>1</v>
          </cell>
        </row>
        <row r="3395">
          <cell r="B3395" t="str">
            <v>SWC1040-1168</v>
          </cell>
          <cell r="C3395" t="str">
            <v>Invoice</v>
          </cell>
          <cell r="D3395">
            <v>38530</v>
          </cell>
          <cell r="F3395" t="str">
            <v>6420</v>
          </cell>
          <cell r="G3395" t="str">
            <v>Disney Worldwide:Goofy's Candy Company</v>
          </cell>
          <cell r="H3395">
            <v>1</v>
          </cell>
        </row>
        <row r="3396">
          <cell r="B3396" t="str">
            <v>SWC1040-1168</v>
          </cell>
          <cell r="C3396" t="str">
            <v>Invoice</v>
          </cell>
          <cell r="D3396">
            <v>38533</v>
          </cell>
          <cell r="F3396" t="str">
            <v>6236</v>
          </cell>
          <cell r="G3396" t="str">
            <v>Universal Studios Orlando:Islands of Adventure Merchandise</v>
          </cell>
          <cell r="H3396">
            <v>1</v>
          </cell>
        </row>
        <row r="3397">
          <cell r="B3397" t="str">
            <v>SWC1040-1168</v>
          </cell>
          <cell r="C3397" t="str">
            <v>Invoice</v>
          </cell>
          <cell r="D3397">
            <v>38542</v>
          </cell>
          <cell r="F3397" t="str">
            <v>6322</v>
          </cell>
          <cell r="G3397" t="str">
            <v>Disney Worldwide:Goofy's Candy Company</v>
          </cell>
          <cell r="H3397">
            <v>1</v>
          </cell>
        </row>
        <row r="3398">
          <cell r="B3398" t="str">
            <v>SWC1040-1168</v>
          </cell>
          <cell r="C3398" t="str">
            <v>Invoice</v>
          </cell>
          <cell r="D3398">
            <v>38562</v>
          </cell>
          <cell r="F3398" t="str">
            <v>6383</v>
          </cell>
          <cell r="G3398" t="str">
            <v>Universal Studios Orlando:Islands of Adventure Merchandise</v>
          </cell>
          <cell r="H3398">
            <v>1</v>
          </cell>
        </row>
        <row r="3399">
          <cell r="B3399" t="str">
            <v>SWC1040-1168</v>
          </cell>
          <cell r="C3399" t="str">
            <v>Invoice</v>
          </cell>
          <cell r="D3399">
            <v>38573</v>
          </cell>
          <cell r="F3399" t="str">
            <v>5595-I</v>
          </cell>
          <cell r="G3399" t="str">
            <v>Disney Worldwide:Goofy's Candy Company</v>
          </cell>
          <cell r="H3399">
            <v>1</v>
          </cell>
        </row>
        <row r="3400">
          <cell r="B3400" t="str">
            <v>SWC1040-1168</v>
          </cell>
          <cell r="C3400" t="str">
            <v>Invoice</v>
          </cell>
          <cell r="D3400">
            <v>38595</v>
          </cell>
          <cell r="F3400" t="str">
            <v>7148</v>
          </cell>
          <cell r="G3400" t="str">
            <v>Universal Studios Orlando:Islands of Adventure Merchandise</v>
          </cell>
          <cell r="H3400">
            <v>1</v>
          </cell>
        </row>
        <row r="3401">
          <cell r="B3401" t="str">
            <v>SWC1040-1168</v>
          </cell>
          <cell r="C3401" t="str">
            <v>Invoice</v>
          </cell>
          <cell r="D3401">
            <v>38604</v>
          </cell>
          <cell r="F3401" t="str">
            <v>7213</v>
          </cell>
          <cell r="G3401" t="str">
            <v>Disney Worldwide:Goofy's Candy Company</v>
          </cell>
          <cell r="H3401">
            <v>1</v>
          </cell>
        </row>
        <row r="3402">
          <cell r="B3402" t="str">
            <v>SWC1040-1168</v>
          </cell>
          <cell r="C3402" t="str">
            <v>Invoice</v>
          </cell>
          <cell r="D3402">
            <v>38626</v>
          </cell>
          <cell r="F3402" t="str">
            <v>7500</v>
          </cell>
          <cell r="G3402" t="str">
            <v>Universal Studios Orlando:Islands of Adventure Merchandise</v>
          </cell>
          <cell r="H3402">
            <v>1</v>
          </cell>
        </row>
        <row r="3403">
          <cell r="B3403" t="str">
            <v>SWC1040-1174</v>
          </cell>
          <cell r="C3403" t="str">
            <v>Invoice</v>
          </cell>
          <cell r="D3403">
            <v>38509</v>
          </cell>
          <cell r="F3403" t="str">
            <v>6217</v>
          </cell>
          <cell r="G3403" t="str">
            <v>Universal Studios Orlando:Universal Studios Foods</v>
          </cell>
          <cell r="H3403">
            <v>1</v>
          </cell>
        </row>
        <row r="3404">
          <cell r="B3404" t="str">
            <v>SWC1040-1174</v>
          </cell>
          <cell r="C3404" t="str">
            <v>Invoice</v>
          </cell>
          <cell r="D3404">
            <v>38509</v>
          </cell>
          <cell r="F3404" t="str">
            <v>6225</v>
          </cell>
          <cell r="G3404" t="str">
            <v>Universal Studios Orlando:Islands of Adventure Foods</v>
          </cell>
          <cell r="H3404">
            <v>1</v>
          </cell>
        </row>
        <row r="3405">
          <cell r="B3405" t="str">
            <v>SWC1040-1174</v>
          </cell>
          <cell r="C3405" t="str">
            <v>Invoice</v>
          </cell>
          <cell r="D3405">
            <v>38533</v>
          </cell>
          <cell r="F3405" t="str">
            <v>5562-I</v>
          </cell>
          <cell r="G3405" t="str">
            <v>Universal Studios Orlando:Islands of Adventure Foods</v>
          </cell>
          <cell r="H3405">
            <v>1</v>
          </cell>
        </row>
        <row r="3406">
          <cell r="B3406" t="str">
            <v>SWC1040-1174</v>
          </cell>
          <cell r="C3406" t="str">
            <v>Invoice</v>
          </cell>
          <cell r="D3406">
            <v>38562</v>
          </cell>
          <cell r="F3406" t="str">
            <v>6384</v>
          </cell>
          <cell r="G3406" t="str">
            <v>Universal Studios Orlando:Islands of Adventure Foods</v>
          </cell>
          <cell r="H3406">
            <v>1</v>
          </cell>
        </row>
        <row r="3407">
          <cell r="B3407" t="str">
            <v>SWC1040-1174</v>
          </cell>
          <cell r="C3407" t="str">
            <v>Invoice</v>
          </cell>
          <cell r="D3407">
            <v>38595</v>
          </cell>
          <cell r="F3407" t="str">
            <v>7149</v>
          </cell>
          <cell r="G3407" t="str">
            <v>Universal Studios Orlando:Islands of Adventure Foods</v>
          </cell>
          <cell r="H3407">
            <v>1</v>
          </cell>
        </row>
        <row r="3408">
          <cell r="B3408" t="str">
            <v>SWC1040-1174</v>
          </cell>
          <cell r="C3408" t="str">
            <v>Invoice</v>
          </cell>
          <cell r="D3408">
            <v>38618</v>
          </cell>
          <cell r="F3408" t="str">
            <v>6403</v>
          </cell>
          <cell r="G3408" t="str">
            <v>NBC Experience Store</v>
          </cell>
          <cell r="H3408">
            <v>1</v>
          </cell>
        </row>
        <row r="3409">
          <cell r="B3409" t="str">
            <v>SWC1040-1174</v>
          </cell>
          <cell r="C3409" t="str">
            <v>Invoice</v>
          </cell>
          <cell r="D3409">
            <v>38626</v>
          </cell>
          <cell r="F3409" t="str">
            <v>7501</v>
          </cell>
          <cell r="G3409" t="str">
            <v>Universal Studios Orlando:Islands of Adventure Foods</v>
          </cell>
          <cell r="H3409">
            <v>1</v>
          </cell>
        </row>
        <row r="3410">
          <cell r="B3410" t="str">
            <v>SWC1040-1195</v>
          </cell>
          <cell r="C3410" t="str">
            <v>Invoice</v>
          </cell>
          <cell r="D3410">
            <v>38491</v>
          </cell>
          <cell r="F3410" t="str">
            <v>6100</v>
          </cell>
          <cell r="G3410" t="str">
            <v>Carson Pirie Scott &amp; Co..:CPS Carson's #543</v>
          </cell>
          <cell r="H3410">
            <v>1</v>
          </cell>
        </row>
        <row r="3411">
          <cell r="B3411" t="str">
            <v>SWC1040-1195</v>
          </cell>
          <cell r="C3411" t="str">
            <v>Invoice</v>
          </cell>
          <cell r="D3411">
            <v>38527</v>
          </cell>
          <cell r="F3411" t="str">
            <v>6406</v>
          </cell>
          <cell r="G3411" t="str">
            <v>ScentAir Australia Pty Ltd.</v>
          </cell>
          <cell r="H3411">
            <v>1</v>
          </cell>
        </row>
        <row r="3412">
          <cell r="B3412" t="str">
            <v>SWC1040-1195</v>
          </cell>
          <cell r="C3412" t="str">
            <v>Invoice</v>
          </cell>
          <cell r="D3412">
            <v>38533</v>
          </cell>
          <cell r="F3412" t="str">
            <v>7035</v>
          </cell>
          <cell r="G3412" t="str">
            <v>Carson Pirie Scott &amp; Co..:CPS Carson's #543</v>
          </cell>
          <cell r="H3412">
            <v>1</v>
          </cell>
        </row>
        <row r="3413">
          <cell r="B3413" t="str">
            <v>SWC1040-1200</v>
          </cell>
          <cell r="C3413" t="str">
            <v>Invoice</v>
          </cell>
          <cell r="D3413">
            <v>38595</v>
          </cell>
          <cell r="F3413" t="str">
            <v>7079</v>
          </cell>
          <cell r="G3413" t="str">
            <v>Macy's Florida</v>
          </cell>
          <cell r="H3413">
            <v>1</v>
          </cell>
        </row>
        <row r="3414">
          <cell r="B3414" t="str">
            <v>SWC1040-1200</v>
          </cell>
          <cell r="C3414" t="str">
            <v>Invoice</v>
          </cell>
          <cell r="D3414">
            <v>38602</v>
          </cell>
          <cell r="F3414" t="str">
            <v>7842</v>
          </cell>
          <cell r="G3414" t="str">
            <v>Muzak, LLC:Serenata Beach Club</v>
          </cell>
          <cell r="H3414">
            <v>1</v>
          </cell>
        </row>
        <row r="3415">
          <cell r="B3415" t="str">
            <v>SWC1040-1200</v>
          </cell>
          <cell r="C3415" t="str">
            <v>Invoice</v>
          </cell>
          <cell r="D3415">
            <v>38615</v>
          </cell>
          <cell r="F3415" t="str">
            <v>8005</v>
          </cell>
          <cell r="G3415" t="str">
            <v>Muzak, LLC:Kindercare Learning Center</v>
          </cell>
          <cell r="H3415">
            <v>1</v>
          </cell>
        </row>
        <row r="3416">
          <cell r="B3416" t="str">
            <v>SWC1040-1200</v>
          </cell>
          <cell r="C3416" t="str">
            <v>Invoice</v>
          </cell>
          <cell r="D3416">
            <v>38616</v>
          </cell>
          <cell r="F3416" t="str">
            <v>8056</v>
          </cell>
          <cell r="G3416" t="str">
            <v>Muzak, LLC:Goodwill - Eastern Ave</v>
          </cell>
          <cell r="H3416">
            <v>1</v>
          </cell>
        </row>
        <row r="3417">
          <cell r="B3417" t="str">
            <v>SWC1040-1200</v>
          </cell>
          <cell r="C3417" t="str">
            <v>Invoice</v>
          </cell>
          <cell r="D3417">
            <v>38622</v>
          </cell>
          <cell r="F3417" t="str">
            <v>8101</v>
          </cell>
          <cell r="G3417" t="str">
            <v>Muzak, LLC:Trage Brothers</v>
          </cell>
          <cell r="H3417">
            <v>1</v>
          </cell>
        </row>
        <row r="3418">
          <cell r="B3418" t="str">
            <v>SWC1040-1200</v>
          </cell>
          <cell r="C3418" t="str">
            <v>Invoice</v>
          </cell>
          <cell r="D3418">
            <v>38626</v>
          </cell>
          <cell r="F3418" t="str">
            <v>7558</v>
          </cell>
          <cell r="G3418" t="str">
            <v>Muzak, LLC:Atlanta Bread Company</v>
          </cell>
          <cell r="H3418">
            <v>1</v>
          </cell>
        </row>
        <row r="3419">
          <cell r="B3419" t="str">
            <v>SWC1040-1200</v>
          </cell>
          <cell r="C3419" t="str">
            <v>Invoice</v>
          </cell>
          <cell r="D3419">
            <v>38626</v>
          </cell>
          <cell r="F3419" t="str">
            <v>7498</v>
          </cell>
          <cell r="G3419" t="str">
            <v>Macy's Florida</v>
          </cell>
          <cell r="H3419">
            <v>1</v>
          </cell>
        </row>
        <row r="3420">
          <cell r="B3420" t="str">
            <v>SWC1040-1236</v>
          </cell>
          <cell r="C3420" t="str">
            <v>Invoice</v>
          </cell>
          <cell r="D3420">
            <v>38628</v>
          </cell>
          <cell r="F3420" t="str">
            <v>8194</v>
          </cell>
          <cell r="G3420" t="str">
            <v>Muzak, LLC:UNCG Dining Services</v>
          </cell>
          <cell r="H3420">
            <v>1</v>
          </cell>
        </row>
        <row r="3421">
          <cell r="B3421" t="str">
            <v>SWC1040-1242</v>
          </cell>
          <cell r="C3421" t="str">
            <v>Invoice</v>
          </cell>
          <cell r="D3421">
            <v>38624</v>
          </cell>
          <cell r="F3421" t="str">
            <v>8188</v>
          </cell>
          <cell r="G3421" t="str">
            <v>Muzak, LLC:Muzak (Demo)</v>
          </cell>
          <cell r="H3421">
            <v>1</v>
          </cell>
        </row>
        <row r="3422">
          <cell r="B3422" t="str">
            <v>SWC1040-1254</v>
          </cell>
          <cell r="C3422" t="str">
            <v>Invoice</v>
          </cell>
          <cell r="D3422">
            <v>38509</v>
          </cell>
          <cell r="F3422" t="str">
            <v>6225</v>
          </cell>
          <cell r="G3422" t="str">
            <v>Universal Studios Orlando:Islands of Adventure Foods</v>
          </cell>
          <cell r="H3422">
            <v>1</v>
          </cell>
        </row>
        <row r="3423">
          <cell r="B3423" t="str">
            <v>SWC1040-1254</v>
          </cell>
          <cell r="C3423" t="str">
            <v>Invoice</v>
          </cell>
          <cell r="D3423">
            <v>38520</v>
          </cell>
          <cell r="F3423" t="str">
            <v>6267</v>
          </cell>
          <cell r="G3423" t="str">
            <v>Techno Satellite</v>
          </cell>
          <cell r="H3423">
            <v>1</v>
          </cell>
        </row>
        <row r="3424">
          <cell r="B3424" t="str">
            <v>SWC1040-1254</v>
          </cell>
          <cell r="C3424" t="str">
            <v>Invoice</v>
          </cell>
          <cell r="D3424">
            <v>38532</v>
          </cell>
          <cell r="F3424" t="str">
            <v>6232</v>
          </cell>
          <cell r="G3424" t="str">
            <v>Muzak, LLC:Quick Chek - 20</v>
          </cell>
          <cell r="H3424">
            <v>1</v>
          </cell>
        </row>
        <row r="3425">
          <cell r="B3425" t="str">
            <v>SWC1040-1254</v>
          </cell>
          <cell r="C3425" t="str">
            <v>Invoice</v>
          </cell>
          <cell r="D3425">
            <v>38533</v>
          </cell>
          <cell r="F3425" t="str">
            <v>5562-I</v>
          </cell>
          <cell r="G3425" t="str">
            <v>Universal Studios Orlando:Islands of Adventure Foods</v>
          </cell>
          <cell r="H3425">
            <v>1</v>
          </cell>
        </row>
        <row r="3426">
          <cell r="B3426" t="str">
            <v>SWC1040-1254</v>
          </cell>
          <cell r="C3426" t="str">
            <v>Invoice</v>
          </cell>
          <cell r="D3426">
            <v>38534</v>
          </cell>
          <cell r="F3426" t="str">
            <v>7058</v>
          </cell>
          <cell r="G3426" t="str">
            <v>Muzak, LLC:Just Fresh Bakery Cafe &amp; Mkt. - Durham</v>
          </cell>
          <cell r="H3426">
            <v>1</v>
          </cell>
        </row>
        <row r="3427">
          <cell r="B3427" t="str">
            <v>SWC1040-1254</v>
          </cell>
          <cell r="C3427" t="str">
            <v>Invoice</v>
          </cell>
          <cell r="D3427">
            <v>38538</v>
          </cell>
          <cell r="F3427" t="str">
            <v>7003</v>
          </cell>
          <cell r="G3427" t="str">
            <v>Muzak, LLC:Atlanta Bread Company</v>
          </cell>
          <cell r="H3427">
            <v>1</v>
          </cell>
        </row>
        <row r="3428">
          <cell r="B3428" t="str">
            <v>SWC1040-1254</v>
          </cell>
          <cell r="C3428" t="str">
            <v>Invoice</v>
          </cell>
          <cell r="D3428">
            <v>38561</v>
          </cell>
          <cell r="F3428" t="str">
            <v>7197</v>
          </cell>
          <cell r="G3428" t="str">
            <v>Techno Satellite</v>
          </cell>
          <cell r="H3428">
            <v>1</v>
          </cell>
        </row>
        <row r="3429">
          <cell r="B3429" t="str">
            <v>SWC1040-1254</v>
          </cell>
          <cell r="C3429" t="str">
            <v>Invoice</v>
          </cell>
          <cell r="D3429">
            <v>38562</v>
          </cell>
          <cell r="F3429" t="str">
            <v>6384</v>
          </cell>
          <cell r="G3429" t="str">
            <v>Universal Studios Orlando:Islands of Adventure Foods</v>
          </cell>
          <cell r="H3429">
            <v>1</v>
          </cell>
        </row>
        <row r="3430">
          <cell r="B3430" t="str">
            <v>SWC1040-1254</v>
          </cell>
          <cell r="C3430" t="str">
            <v>Invoice</v>
          </cell>
          <cell r="D3430">
            <v>38576</v>
          </cell>
          <cell r="F3430" t="str">
            <v>7051</v>
          </cell>
          <cell r="G3430" t="str">
            <v>Muzak, LLC:Atlanta Bread Company</v>
          </cell>
          <cell r="H3430">
            <v>1</v>
          </cell>
        </row>
        <row r="3431">
          <cell r="B3431" t="str">
            <v>SWC1040-1254</v>
          </cell>
          <cell r="C3431" t="str">
            <v>Invoice</v>
          </cell>
          <cell r="D3431">
            <v>38587</v>
          </cell>
          <cell r="F3431" t="str">
            <v>7677</v>
          </cell>
          <cell r="G3431" t="str">
            <v>ScentAir - Corporate Associates:Pamela Knock</v>
          </cell>
          <cell r="H3431">
            <v>1</v>
          </cell>
        </row>
        <row r="3432">
          <cell r="B3432" t="str">
            <v>SWC1040-1254</v>
          </cell>
          <cell r="C3432" t="str">
            <v>Invoice</v>
          </cell>
          <cell r="D3432">
            <v>38588</v>
          </cell>
          <cell r="F3432" t="str">
            <v>7664</v>
          </cell>
          <cell r="G3432" t="str">
            <v>Muzak, IA:Carolina Sound Communications</v>
          </cell>
          <cell r="H3432">
            <v>1</v>
          </cell>
        </row>
        <row r="3433">
          <cell r="B3433" t="str">
            <v>SWC1040-1254</v>
          </cell>
          <cell r="C3433" t="str">
            <v>Invoice</v>
          </cell>
          <cell r="D3433">
            <v>38590</v>
          </cell>
          <cell r="F3433" t="str">
            <v>7708</v>
          </cell>
          <cell r="G3433" t="str">
            <v>Techno Satellite</v>
          </cell>
          <cell r="H3433">
            <v>1</v>
          </cell>
        </row>
        <row r="3434">
          <cell r="B3434" t="str">
            <v>SWC1040-1254</v>
          </cell>
          <cell r="C3434" t="str">
            <v>Invoice</v>
          </cell>
          <cell r="D3434">
            <v>38593</v>
          </cell>
          <cell r="F3434" t="str">
            <v>7699</v>
          </cell>
          <cell r="G3434" t="str">
            <v>Muzak, LLC:Food Lion #0564 (Bloom Stores)</v>
          </cell>
          <cell r="H3434">
            <v>1</v>
          </cell>
        </row>
        <row r="3435">
          <cell r="B3435" t="str">
            <v>SWC1040-1254</v>
          </cell>
          <cell r="C3435" t="str">
            <v>Invoice</v>
          </cell>
          <cell r="D3435">
            <v>38593</v>
          </cell>
          <cell r="F3435" t="str">
            <v>7698</v>
          </cell>
          <cell r="G3435" t="str">
            <v>Muzak, LLC:Food Lion #0531 (Bloom Stores)</v>
          </cell>
          <cell r="H3435">
            <v>1</v>
          </cell>
        </row>
        <row r="3436">
          <cell r="B3436" t="str">
            <v>SWC1040-1254</v>
          </cell>
          <cell r="C3436" t="str">
            <v>Invoice</v>
          </cell>
          <cell r="D3436">
            <v>38593</v>
          </cell>
          <cell r="F3436" t="str">
            <v>7701</v>
          </cell>
          <cell r="G3436" t="str">
            <v>Muzak, LLC:Food Lion #1438 (Bloom Stores)</v>
          </cell>
          <cell r="H3436">
            <v>1</v>
          </cell>
        </row>
        <row r="3437">
          <cell r="B3437" t="str">
            <v>SWC1040-1254</v>
          </cell>
          <cell r="C3437" t="str">
            <v>Invoice</v>
          </cell>
          <cell r="D3437">
            <v>38593</v>
          </cell>
          <cell r="F3437" t="str">
            <v>7702</v>
          </cell>
          <cell r="G3437" t="str">
            <v>Muzak, LLC:Food Lion #2565 (Bloom Stores)</v>
          </cell>
          <cell r="H3437">
            <v>1</v>
          </cell>
        </row>
        <row r="3438">
          <cell r="B3438" t="str">
            <v>SWC1040-1254</v>
          </cell>
          <cell r="C3438" t="str">
            <v>Invoice</v>
          </cell>
          <cell r="D3438">
            <v>38593</v>
          </cell>
          <cell r="F3438" t="str">
            <v>7700</v>
          </cell>
          <cell r="G3438" t="str">
            <v>Muzak, LLC:Food Lion #1351 (Bloom Stores)</v>
          </cell>
          <cell r="H3438">
            <v>1</v>
          </cell>
        </row>
        <row r="3439">
          <cell r="B3439" t="str">
            <v>SWC1040-1254</v>
          </cell>
          <cell r="C3439" t="str">
            <v>Invoice</v>
          </cell>
          <cell r="D3439">
            <v>38595</v>
          </cell>
          <cell r="F3439" t="str">
            <v>7149</v>
          </cell>
          <cell r="G3439" t="str">
            <v>Universal Studios Orlando:Islands of Adventure Foods</v>
          </cell>
          <cell r="H3439">
            <v>1</v>
          </cell>
        </row>
        <row r="3440">
          <cell r="B3440" t="str">
            <v>SWC1040-1254</v>
          </cell>
          <cell r="C3440" t="str">
            <v>Invoice</v>
          </cell>
          <cell r="D3440">
            <v>38609</v>
          </cell>
          <cell r="F3440" t="str">
            <v>7930</v>
          </cell>
          <cell r="G3440" t="str">
            <v>Muzak, LLC:Omni Shoreham Hotel</v>
          </cell>
          <cell r="H3440">
            <v>1</v>
          </cell>
        </row>
        <row r="3441">
          <cell r="B3441" t="str">
            <v>SWC1040-1254</v>
          </cell>
          <cell r="C3441" t="str">
            <v>Invoice</v>
          </cell>
          <cell r="D3441">
            <v>38610</v>
          </cell>
          <cell r="F3441" t="str">
            <v>7960</v>
          </cell>
          <cell r="G3441" t="str">
            <v>Muzak, LLC:Piccasso's</v>
          </cell>
          <cell r="H3441">
            <v>1</v>
          </cell>
        </row>
        <row r="3442">
          <cell r="B3442" t="str">
            <v>SWC1040-1254</v>
          </cell>
          <cell r="C3442" t="str">
            <v>Invoice</v>
          </cell>
          <cell r="D3442">
            <v>38626</v>
          </cell>
          <cell r="F3442" t="str">
            <v>7501</v>
          </cell>
          <cell r="G3442" t="str">
            <v>Universal Studios Orlando:Islands of Adventure Foods</v>
          </cell>
          <cell r="H3442">
            <v>1</v>
          </cell>
        </row>
        <row r="3443">
          <cell r="B3443" t="str">
            <v>SWC1040-1254</v>
          </cell>
          <cell r="C3443" t="str">
            <v>Invoice</v>
          </cell>
          <cell r="D3443">
            <v>38628</v>
          </cell>
          <cell r="F3443" t="str">
            <v>8204</v>
          </cell>
          <cell r="G3443" t="str">
            <v>Muzak, LLC:Muzak (Demo)</v>
          </cell>
          <cell r="H3443">
            <v>1</v>
          </cell>
        </row>
        <row r="3444">
          <cell r="B3444" t="str">
            <v>SWC1040-1254</v>
          </cell>
          <cell r="C3444" t="str">
            <v>Invoice</v>
          </cell>
          <cell r="D3444">
            <v>38629</v>
          </cell>
          <cell r="F3444" t="str">
            <v>8317</v>
          </cell>
          <cell r="G3444" t="str">
            <v>Promotool</v>
          </cell>
          <cell r="H3444">
            <v>1</v>
          </cell>
        </row>
        <row r="3445">
          <cell r="B3445" t="str">
            <v>SWC1040-1258</v>
          </cell>
          <cell r="C3445" t="str">
            <v>Invoice</v>
          </cell>
          <cell r="D3445">
            <v>38509</v>
          </cell>
          <cell r="F3445" t="str">
            <v>6217</v>
          </cell>
          <cell r="G3445" t="str">
            <v>Universal Studios Orlando:Universal Studios Foods</v>
          </cell>
          <cell r="H3445">
            <v>1</v>
          </cell>
        </row>
        <row r="3446">
          <cell r="B3446" t="str">
            <v>SWC1040-1258</v>
          </cell>
          <cell r="C3446" t="str">
            <v>Invoice</v>
          </cell>
          <cell r="D3446">
            <v>38533</v>
          </cell>
          <cell r="F3446" t="str">
            <v>5557-I</v>
          </cell>
          <cell r="G3446" t="str">
            <v>Universal Studios Orlando:Universal Studios Foods</v>
          </cell>
          <cell r="H3446">
            <v>1</v>
          </cell>
        </row>
        <row r="3447">
          <cell r="B3447" t="str">
            <v>SWC1040-1258</v>
          </cell>
          <cell r="C3447" t="str">
            <v>Invoice</v>
          </cell>
          <cell r="D3447">
            <v>38562</v>
          </cell>
          <cell r="F3447" t="str">
            <v>6385</v>
          </cell>
          <cell r="G3447" t="str">
            <v>Universal Studios Orlando:Universal Studios Foods</v>
          </cell>
          <cell r="H3447">
            <v>1</v>
          </cell>
        </row>
        <row r="3448">
          <cell r="B3448" t="str">
            <v>SWC1040-1258</v>
          </cell>
          <cell r="C3448" t="str">
            <v>Invoice</v>
          </cell>
          <cell r="D3448">
            <v>38595</v>
          </cell>
          <cell r="F3448" t="str">
            <v>7150</v>
          </cell>
          <cell r="G3448" t="str">
            <v>Universal Studios Orlando:Universal Studios Foods</v>
          </cell>
          <cell r="H3448">
            <v>1</v>
          </cell>
        </row>
        <row r="3449">
          <cell r="B3449" t="str">
            <v>SWC1040-1258</v>
          </cell>
          <cell r="C3449" t="str">
            <v>Invoice</v>
          </cell>
          <cell r="D3449">
            <v>38623</v>
          </cell>
          <cell r="F3449" t="str">
            <v>8138</v>
          </cell>
          <cell r="G3449" t="str">
            <v>Muzak, LLC:Clarion Floridian</v>
          </cell>
          <cell r="H3449">
            <v>1</v>
          </cell>
        </row>
        <row r="3450">
          <cell r="B3450" t="str">
            <v>SWC1040-1258</v>
          </cell>
          <cell r="C3450" t="str">
            <v>Invoice</v>
          </cell>
          <cell r="D3450">
            <v>38626</v>
          </cell>
          <cell r="F3450" t="str">
            <v>7502</v>
          </cell>
          <cell r="G3450" t="str">
            <v>Universal Studios Orlando:Universal Studios Foods</v>
          </cell>
          <cell r="H3450">
            <v>1</v>
          </cell>
        </row>
        <row r="3451">
          <cell r="B3451" t="str">
            <v>SWC1040-1311</v>
          </cell>
          <cell r="C3451" t="str">
            <v>Invoice</v>
          </cell>
          <cell r="D3451">
            <v>38628</v>
          </cell>
          <cell r="F3451" t="str">
            <v>8204</v>
          </cell>
          <cell r="G3451" t="str">
            <v>Muzak, LLC:Muzak (Demo)</v>
          </cell>
          <cell r="H3451">
            <v>1</v>
          </cell>
        </row>
        <row r="3452">
          <cell r="B3452" t="str">
            <v>SWC1040-1340</v>
          </cell>
          <cell r="C3452" t="str">
            <v>Invoice</v>
          </cell>
          <cell r="D3452">
            <v>38485</v>
          </cell>
          <cell r="F3452" t="str">
            <v>6056</v>
          </cell>
          <cell r="G3452" t="str">
            <v>Muzak, LLC (superceded)</v>
          </cell>
          <cell r="H3452">
            <v>1</v>
          </cell>
        </row>
        <row r="3453">
          <cell r="B3453" t="str">
            <v>SWC1040-1340</v>
          </cell>
          <cell r="C3453" t="str">
            <v>Invoice</v>
          </cell>
          <cell r="D3453">
            <v>38615</v>
          </cell>
          <cell r="F3453" t="str">
            <v>7986</v>
          </cell>
          <cell r="G3453" t="str">
            <v>Muzak, LLC:Budwey's Supermarket - Tonewanda</v>
          </cell>
          <cell r="H3453">
            <v>1</v>
          </cell>
        </row>
        <row r="3454">
          <cell r="B3454" t="str">
            <v>SWC1040-1341</v>
          </cell>
          <cell r="C3454" t="str">
            <v>Invoice</v>
          </cell>
          <cell r="D3454">
            <v>38520</v>
          </cell>
          <cell r="F3454" t="str">
            <v>6267</v>
          </cell>
          <cell r="G3454" t="str">
            <v>Techno Satellite</v>
          </cell>
          <cell r="H3454">
            <v>1</v>
          </cell>
        </row>
        <row r="3455">
          <cell r="B3455" t="str">
            <v>SWC1040-1341</v>
          </cell>
          <cell r="C3455" t="str">
            <v>Invoice</v>
          </cell>
          <cell r="D3455">
            <v>38538</v>
          </cell>
          <cell r="F3455" t="str">
            <v>7004</v>
          </cell>
          <cell r="G3455" t="str">
            <v>Muzak, LLC:McDonald's - Raleigh</v>
          </cell>
          <cell r="H3455">
            <v>1</v>
          </cell>
        </row>
        <row r="3456">
          <cell r="B3456" t="str">
            <v>SWC1040-1341</v>
          </cell>
          <cell r="C3456" t="str">
            <v>Invoice</v>
          </cell>
          <cell r="D3456">
            <v>38554</v>
          </cell>
          <cell r="F3456" t="str">
            <v>7178</v>
          </cell>
          <cell r="G3456" t="str">
            <v>Ameristar Casinos, Inc.:Ameristar Casinos, Inc. St. Charles</v>
          </cell>
          <cell r="H3456">
            <v>1</v>
          </cell>
        </row>
        <row r="3457">
          <cell r="B3457" t="str">
            <v>SWC1040-1341</v>
          </cell>
          <cell r="C3457" t="str">
            <v>Invoice</v>
          </cell>
          <cell r="D3457">
            <v>38559</v>
          </cell>
          <cell r="F3457" t="str">
            <v>7209</v>
          </cell>
          <cell r="G3457" t="str">
            <v>Circle K West Coast Business Unit</v>
          </cell>
          <cell r="H3457">
            <v>1</v>
          </cell>
        </row>
        <row r="3458">
          <cell r="B3458" t="str">
            <v>SWC1040-1341</v>
          </cell>
          <cell r="C3458" t="str">
            <v>Invoice</v>
          </cell>
          <cell r="D3458">
            <v>38561</v>
          </cell>
          <cell r="F3458" t="str">
            <v>7197</v>
          </cell>
          <cell r="G3458" t="str">
            <v>Techno Satellite</v>
          </cell>
          <cell r="H3458">
            <v>1</v>
          </cell>
        </row>
        <row r="3459">
          <cell r="B3459" t="str">
            <v>SWC1040-1341</v>
          </cell>
          <cell r="C3459" t="str">
            <v>Invoice</v>
          </cell>
          <cell r="D3459">
            <v>38575</v>
          </cell>
          <cell r="F3459" t="str">
            <v>7031</v>
          </cell>
          <cell r="G3459" t="str">
            <v>Muzak, LLC:McDonald's - Raleigh</v>
          </cell>
          <cell r="H3459">
            <v>1</v>
          </cell>
        </row>
        <row r="3460">
          <cell r="B3460" t="str">
            <v>SWC1040-1341</v>
          </cell>
          <cell r="C3460" t="str">
            <v>Invoice</v>
          </cell>
          <cell r="D3460">
            <v>38582</v>
          </cell>
          <cell r="F3460" t="str">
            <v>7179</v>
          </cell>
          <cell r="G3460" t="str">
            <v>Ameristar Casinos, Inc.:Ameristar Casinos, Inc. St. Charles</v>
          </cell>
          <cell r="H3460">
            <v>1</v>
          </cell>
        </row>
        <row r="3461">
          <cell r="B3461" t="str">
            <v>SWC1040-1341</v>
          </cell>
          <cell r="C3461" t="str">
            <v>Invoice</v>
          </cell>
          <cell r="D3461">
            <v>38604</v>
          </cell>
          <cell r="F3461" t="str">
            <v>7032</v>
          </cell>
          <cell r="G3461" t="str">
            <v>Muzak, LLC:McDonald's - Raleigh</v>
          </cell>
          <cell r="H3461">
            <v>1</v>
          </cell>
        </row>
        <row r="3462">
          <cell r="B3462" t="str">
            <v>SWC1040-1341</v>
          </cell>
          <cell r="C3462" t="str">
            <v>Invoice</v>
          </cell>
          <cell r="D3462">
            <v>38616</v>
          </cell>
          <cell r="F3462" t="str">
            <v>8026</v>
          </cell>
          <cell r="G3462" t="str">
            <v>Muzak, LLC:McDonald's #6317/2675</v>
          </cell>
          <cell r="H3462">
            <v>1</v>
          </cell>
        </row>
        <row r="3463">
          <cell r="B3463" t="str">
            <v>SWC1040-1341</v>
          </cell>
          <cell r="C3463" t="str">
            <v>Invoice</v>
          </cell>
          <cell r="D3463">
            <v>38618</v>
          </cell>
          <cell r="F3463" t="str">
            <v>8089</v>
          </cell>
          <cell r="G3463" t="str">
            <v>ORB Management</v>
          </cell>
          <cell r="H3463">
            <v>1</v>
          </cell>
        </row>
        <row r="3464">
          <cell r="B3464" t="str">
            <v>SWC1040-1341</v>
          </cell>
          <cell r="C3464" t="str">
            <v>Invoice</v>
          </cell>
          <cell r="D3464">
            <v>38628</v>
          </cell>
          <cell r="F3464" t="str">
            <v>8178</v>
          </cell>
          <cell r="G3464" t="str">
            <v>Muzak, LLC:Sell's Mobil</v>
          </cell>
          <cell r="H3464">
            <v>1</v>
          </cell>
        </row>
        <row r="3465">
          <cell r="B3465" t="str">
            <v>SWC1040-1341</v>
          </cell>
          <cell r="C3465" t="str">
            <v>Invoice</v>
          </cell>
          <cell r="D3465">
            <v>38628</v>
          </cell>
          <cell r="F3465" t="str">
            <v>8194</v>
          </cell>
          <cell r="G3465" t="str">
            <v>Muzak, LLC:UNCG Dining Services</v>
          </cell>
          <cell r="H3465">
            <v>1</v>
          </cell>
        </row>
        <row r="3466">
          <cell r="B3466" t="str">
            <v>SWC1040-1353</v>
          </cell>
          <cell r="C3466" t="str">
            <v>Invoice</v>
          </cell>
          <cell r="D3466">
            <v>38603</v>
          </cell>
          <cell r="F3466" t="str">
            <v>7825</v>
          </cell>
          <cell r="G3466" t="str">
            <v>Videotronic Benelux BV</v>
          </cell>
          <cell r="H3466">
            <v>1</v>
          </cell>
        </row>
        <row r="3467">
          <cell r="B3467" t="str">
            <v>SWC1040-1364</v>
          </cell>
          <cell r="C3467" t="str">
            <v>Invoice</v>
          </cell>
          <cell r="D3467">
            <v>38485</v>
          </cell>
          <cell r="F3467" t="str">
            <v>6056</v>
          </cell>
          <cell r="G3467" t="str">
            <v>Muzak, LLC (superceded)</v>
          </cell>
          <cell r="H3467">
            <v>1</v>
          </cell>
        </row>
        <row r="3468">
          <cell r="B3468" t="str">
            <v>SWC1040-1364</v>
          </cell>
          <cell r="C3468" t="str">
            <v>Invoice</v>
          </cell>
          <cell r="D3468">
            <v>38489</v>
          </cell>
          <cell r="F3468" t="str">
            <v>5728</v>
          </cell>
          <cell r="G3468" t="str">
            <v>Muzak, LLC</v>
          </cell>
          <cell r="H3468">
            <v>1</v>
          </cell>
        </row>
        <row r="3469">
          <cell r="B3469" t="str">
            <v>SWC1040-1364</v>
          </cell>
          <cell r="C3469" t="str">
            <v>Invoice</v>
          </cell>
          <cell r="D3469">
            <v>38490</v>
          </cell>
          <cell r="F3469" t="str">
            <v>6080</v>
          </cell>
          <cell r="G3469" t="str">
            <v>Muzak, LLC (superceded)</v>
          </cell>
          <cell r="H3469">
            <v>1</v>
          </cell>
        </row>
        <row r="3470">
          <cell r="B3470" t="str">
            <v>SWC1040-1364</v>
          </cell>
          <cell r="C3470" t="str">
            <v>Invoice</v>
          </cell>
          <cell r="D3470">
            <v>38491</v>
          </cell>
          <cell r="F3470" t="str">
            <v>6100</v>
          </cell>
          <cell r="G3470" t="str">
            <v>Carson Pirie Scott &amp; Co..:CPS Carson's #543</v>
          </cell>
          <cell r="H3470">
            <v>1</v>
          </cell>
        </row>
        <row r="3471">
          <cell r="B3471" t="str">
            <v>SWC1040-1364</v>
          </cell>
          <cell r="C3471" t="str">
            <v>Invoice</v>
          </cell>
          <cell r="D3471">
            <v>38524</v>
          </cell>
          <cell r="F3471" t="str">
            <v>6401</v>
          </cell>
          <cell r="G3471" t="str">
            <v>Techno Satellite</v>
          </cell>
          <cell r="H3471">
            <v>1</v>
          </cell>
        </row>
        <row r="3472">
          <cell r="B3472" t="str">
            <v>SWC1040-1364</v>
          </cell>
          <cell r="C3472" t="str">
            <v>Invoice</v>
          </cell>
          <cell r="D3472">
            <v>38527</v>
          </cell>
          <cell r="F3472" t="str">
            <v>6137</v>
          </cell>
          <cell r="G3472" t="str">
            <v>Muzak, LLC:Dunkin Donuts - Raleigh(Capital Blvd)</v>
          </cell>
          <cell r="H3472">
            <v>1</v>
          </cell>
        </row>
        <row r="3473">
          <cell r="B3473" t="str">
            <v>SWC1040-1364</v>
          </cell>
          <cell r="C3473" t="str">
            <v>Invoice</v>
          </cell>
          <cell r="D3473">
            <v>38533</v>
          </cell>
          <cell r="F3473" t="str">
            <v>7035</v>
          </cell>
          <cell r="G3473" t="str">
            <v>Carson Pirie Scott &amp; Co..:CPS Carson's #543</v>
          </cell>
          <cell r="H3473">
            <v>1</v>
          </cell>
        </row>
        <row r="3474">
          <cell r="B3474" t="str">
            <v>SWC1040-1364</v>
          </cell>
          <cell r="C3474" t="str">
            <v>Invoice</v>
          </cell>
          <cell r="D3474">
            <v>38533</v>
          </cell>
          <cell r="F3474" t="str">
            <v>7022</v>
          </cell>
          <cell r="G3474" t="str">
            <v>Cumberland Farms, Inc.:Cumberland Farms #3508</v>
          </cell>
          <cell r="H3474">
            <v>1</v>
          </cell>
        </row>
        <row r="3475">
          <cell r="B3475" t="str">
            <v>SWC1040-1364</v>
          </cell>
          <cell r="C3475" t="str">
            <v>Invoice</v>
          </cell>
          <cell r="D3475">
            <v>38533</v>
          </cell>
          <cell r="F3475" t="str">
            <v>7020</v>
          </cell>
          <cell r="G3475" t="str">
            <v>Cumberland Farms, Inc.:Cumberland Farms #0202</v>
          </cell>
          <cell r="H3475">
            <v>1</v>
          </cell>
        </row>
        <row r="3476">
          <cell r="B3476" t="str">
            <v>SWC1040-1364</v>
          </cell>
          <cell r="C3476" t="str">
            <v>Invoice</v>
          </cell>
          <cell r="D3476">
            <v>38533</v>
          </cell>
          <cell r="F3476" t="str">
            <v>7017</v>
          </cell>
          <cell r="G3476" t="str">
            <v>Cumberland Farms, Inc.:Cumberland Farms #0131</v>
          </cell>
          <cell r="H3476">
            <v>1</v>
          </cell>
        </row>
        <row r="3477">
          <cell r="B3477" t="str">
            <v>SWC1040-1364</v>
          </cell>
          <cell r="C3477" t="str">
            <v>Invoice</v>
          </cell>
          <cell r="D3477">
            <v>38533</v>
          </cell>
          <cell r="F3477" t="str">
            <v>7021</v>
          </cell>
          <cell r="G3477" t="str">
            <v>Cumberland Farms, Inc.:Cumberland Farms #2312</v>
          </cell>
          <cell r="H3477">
            <v>1</v>
          </cell>
        </row>
        <row r="3478">
          <cell r="B3478" t="str">
            <v>SWC1040-1364</v>
          </cell>
          <cell r="C3478" t="str">
            <v>Invoice</v>
          </cell>
          <cell r="D3478">
            <v>38533</v>
          </cell>
          <cell r="F3478" t="str">
            <v>7019</v>
          </cell>
          <cell r="G3478" t="str">
            <v>Cumberland Farms, Inc.:Cumberland Farms #0187</v>
          </cell>
          <cell r="H3478">
            <v>1</v>
          </cell>
        </row>
        <row r="3479">
          <cell r="B3479" t="str">
            <v>SWC1040-1364</v>
          </cell>
          <cell r="C3479" t="str">
            <v>Invoice</v>
          </cell>
          <cell r="D3479">
            <v>38540</v>
          </cell>
          <cell r="F3479" t="str">
            <v>6308</v>
          </cell>
          <cell r="G3479" t="str">
            <v>Muzak, LLC:Spink - 191</v>
          </cell>
          <cell r="H3479">
            <v>1</v>
          </cell>
        </row>
        <row r="3480">
          <cell r="B3480" t="str">
            <v>SWC1040-1364</v>
          </cell>
          <cell r="C3480" t="str">
            <v>Invoice</v>
          </cell>
          <cell r="D3480">
            <v>38540</v>
          </cell>
          <cell r="F3480" t="str">
            <v>6310</v>
          </cell>
          <cell r="G3480" t="str">
            <v>Muzak, LLC:Spinx - 100</v>
          </cell>
          <cell r="H3480">
            <v>1</v>
          </cell>
        </row>
        <row r="3481">
          <cell r="B3481" t="str">
            <v>SWC1040-1364</v>
          </cell>
          <cell r="C3481" t="str">
            <v>Invoice</v>
          </cell>
          <cell r="D3481">
            <v>38542</v>
          </cell>
          <cell r="F3481" t="str">
            <v>7089</v>
          </cell>
          <cell r="G3481" t="str">
            <v>Muzak, LLC:One Stop Food Store</v>
          </cell>
          <cell r="H3481">
            <v>1</v>
          </cell>
        </row>
        <row r="3482">
          <cell r="B3482" t="str">
            <v>SWC1040-1364</v>
          </cell>
          <cell r="C3482" t="str">
            <v>Invoice</v>
          </cell>
          <cell r="D3482">
            <v>38558</v>
          </cell>
          <cell r="F3482" t="str">
            <v>7183</v>
          </cell>
          <cell r="G3482" t="str">
            <v>Muzak, LLC:Greenville Hilton</v>
          </cell>
          <cell r="H3482">
            <v>1</v>
          </cell>
        </row>
        <row r="3483">
          <cell r="B3483" t="str">
            <v>SWC1040-1364</v>
          </cell>
          <cell r="C3483" t="str">
            <v>Invoice</v>
          </cell>
          <cell r="D3483">
            <v>38560</v>
          </cell>
          <cell r="F3483" t="str">
            <v>7217</v>
          </cell>
          <cell r="G3483" t="str">
            <v>Muzak, IA:Business Music &amp; Communications, LLC</v>
          </cell>
          <cell r="H3483">
            <v>1</v>
          </cell>
        </row>
        <row r="3484">
          <cell r="B3484" t="str">
            <v>SWC1040-1364</v>
          </cell>
          <cell r="C3484" t="str">
            <v>Invoice</v>
          </cell>
          <cell r="D3484">
            <v>38566</v>
          </cell>
          <cell r="F3484" t="str">
            <v>7242</v>
          </cell>
          <cell r="G3484" t="str">
            <v>Ingle's Markets</v>
          </cell>
          <cell r="H3484">
            <v>1</v>
          </cell>
        </row>
        <row r="3485">
          <cell r="B3485" t="str">
            <v>SWC1040-1364</v>
          </cell>
          <cell r="C3485" t="str">
            <v>Invoice</v>
          </cell>
          <cell r="D3485">
            <v>38569</v>
          </cell>
          <cell r="F3485" t="str">
            <v>6309</v>
          </cell>
          <cell r="G3485" t="str">
            <v>Muzak, LLC:Spink - 191</v>
          </cell>
          <cell r="H3485">
            <v>1</v>
          </cell>
        </row>
        <row r="3486">
          <cell r="B3486" t="str">
            <v>SWC1040-1364</v>
          </cell>
          <cell r="C3486" t="str">
            <v>Invoice</v>
          </cell>
          <cell r="D3486">
            <v>38569</v>
          </cell>
          <cell r="F3486" t="str">
            <v>5585-I</v>
          </cell>
          <cell r="G3486" t="str">
            <v>Muzak, LLC:Spinx - 100</v>
          </cell>
          <cell r="H3486">
            <v>1</v>
          </cell>
        </row>
        <row r="3487">
          <cell r="B3487" t="str">
            <v>SWC1040-1364</v>
          </cell>
          <cell r="C3487" t="str">
            <v>Invoice</v>
          </cell>
          <cell r="D3487">
            <v>38581</v>
          </cell>
          <cell r="F3487" t="str">
            <v>7506</v>
          </cell>
          <cell r="G3487" t="str">
            <v>Muzak, LLC:Radisson - Atlanta</v>
          </cell>
          <cell r="H3487">
            <v>1</v>
          </cell>
        </row>
        <row r="3488">
          <cell r="B3488" t="str">
            <v>SWC1040-1364</v>
          </cell>
          <cell r="C3488" t="str">
            <v>Invoice</v>
          </cell>
          <cell r="D3488">
            <v>38587</v>
          </cell>
          <cell r="F3488" t="str">
            <v>7185</v>
          </cell>
          <cell r="G3488" t="str">
            <v>Muzak, LLC:Greenville Hilton</v>
          </cell>
          <cell r="H3488">
            <v>1</v>
          </cell>
        </row>
        <row r="3489">
          <cell r="B3489" t="str">
            <v>SWC1040-1364</v>
          </cell>
          <cell r="C3489" t="str">
            <v>Invoice</v>
          </cell>
          <cell r="D3489">
            <v>38597</v>
          </cell>
          <cell r="F3489" t="str">
            <v>7813</v>
          </cell>
          <cell r="G3489" t="str">
            <v>Muzak, IA:Business Music &amp; Communications, LLC</v>
          </cell>
          <cell r="H3489">
            <v>1</v>
          </cell>
        </row>
        <row r="3490">
          <cell r="B3490" t="str">
            <v>SWC1040-1364</v>
          </cell>
          <cell r="C3490" t="str">
            <v>Invoice</v>
          </cell>
          <cell r="D3490">
            <v>38603</v>
          </cell>
          <cell r="F3490" t="str">
            <v>7855</v>
          </cell>
          <cell r="G3490" t="str">
            <v>Muzak, LLC:The Daily Bagel</v>
          </cell>
          <cell r="H3490">
            <v>1</v>
          </cell>
        </row>
        <row r="3491">
          <cell r="B3491" t="str">
            <v>SWC1040-1364</v>
          </cell>
          <cell r="C3491" t="str">
            <v>Invoice</v>
          </cell>
          <cell r="D3491">
            <v>38607</v>
          </cell>
          <cell r="F3491" t="str">
            <v>7894</v>
          </cell>
          <cell r="G3491" t="str">
            <v>Muzak, LLC:Xtension Food Mart</v>
          </cell>
          <cell r="H3491">
            <v>1</v>
          </cell>
        </row>
        <row r="3492">
          <cell r="B3492" t="str">
            <v>SWC1040-1364</v>
          </cell>
          <cell r="C3492" t="str">
            <v>Invoice</v>
          </cell>
          <cell r="D3492">
            <v>38616</v>
          </cell>
          <cell r="F3492" t="str">
            <v>8030</v>
          </cell>
          <cell r="G3492" t="str">
            <v>Muzak, LLC:McDonald's #4679</v>
          </cell>
          <cell r="H3492">
            <v>1</v>
          </cell>
        </row>
        <row r="3493">
          <cell r="B3493" t="str">
            <v>SWC1040-1364</v>
          </cell>
          <cell r="C3493" t="str">
            <v>Invoice</v>
          </cell>
          <cell r="D3493">
            <v>38616</v>
          </cell>
          <cell r="F3493" t="str">
            <v>8031</v>
          </cell>
          <cell r="G3493" t="str">
            <v>Muzak, LLC:McDonald's #3371/16858</v>
          </cell>
          <cell r="H3493">
            <v>1</v>
          </cell>
        </row>
        <row r="3494">
          <cell r="B3494" t="str">
            <v>SWC1040-1364</v>
          </cell>
          <cell r="C3494" t="str">
            <v>Invoice</v>
          </cell>
          <cell r="D3494">
            <v>38617</v>
          </cell>
          <cell r="F3494" t="str">
            <v>7350</v>
          </cell>
          <cell r="G3494" t="str">
            <v>Muzak, LLC:Greenville Hilton</v>
          </cell>
          <cell r="H3494">
            <v>1</v>
          </cell>
        </row>
        <row r="3495">
          <cell r="B3495" t="str">
            <v>SWC1040-1364</v>
          </cell>
          <cell r="C3495" t="str">
            <v>Invoice</v>
          </cell>
          <cell r="D3495">
            <v>38624</v>
          </cell>
          <cell r="F3495" t="str">
            <v>8157</v>
          </cell>
          <cell r="G3495" t="str">
            <v>Muzak, LLC:McDonald's OKE201</v>
          </cell>
          <cell r="H3495">
            <v>1</v>
          </cell>
        </row>
        <row r="3496">
          <cell r="B3496" t="str">
            <v>SWC1040-1364</v>
          </cell>
          <cell r="C3496" t="str">
            <v>Invoice</v>
          </cell>
          <cell r="D3496">
            <v>38628</v>
          </cell>
          <cell r="F3496" t="str">
            <v>8176</v>
          </cell>
          <cell r="G3496" t="str">
            <v>Muzak, LLC:Radisson - Atlanta</v>
          </cell>
          <cell r="H3496">
            <v>1</v>
          </cell>
        </row>
        <row r="3497">
          <cell r="B3497" t="str">
            <v>SWC1040-1396</v>
          </cell>
          <cell r="C3497" t="str">
            <v>Invoice</v>
          </cell>
          <cell r="D3497">
            <v>38566</v>
          </cell>
          <cell r="F3497" t="str">
            <v>7265</v>
          </cell>
          <cell r="G3497" t="str">
            <v>Muzak, LLC:Muzak (Demo)</v>
          </cell>
          <cell r="H3497">
            <v>1</v>
          </cell>
        </row>
        <row r="3498">
          <cell r="B3498" t="str">
            <v>SWC1040-1399</v>
          </cell>
          <cell r="C3498" t="str">
            <v>Invoice</v>
          </cell>
          <cell r="D3498">
            <v>38551</v>
          </cell>
          <cell r="F3498" t="str">
            <v>7162</v>
          </cell>
          <cell r="G3498" t="str">
            <v>It's A Grind</v>
          </cell>
          <cell r="H3498">
            <v>1</v>
          </cell>
        </row>
        <row r="3499">
          <cell r="B3499" t="str">
            <v>SWC1040-1399</v>
          </cell>
          <cell r="C3499" t="str">
            <v>Invoice</v>
          </cell>
          <cell r="D3499">
            <v>38616</v>
          </cell>
          <cell r="F3499" t="str">
            <v>8038</v>
          </cell>
          <cell r="G3499" t="str">
            <v>It's A Grind</v>
          </cell>
          <cell r="H3499">
            <v>1</v>
          </cell>
        </row>
        <row r="3500">
          <cell r="B3500" t="str">
            <v>SWC1040-1402</v>
          </cell>
          <cell r="C3500" t="str">
            <v>Invoice</v>
          </cell>
          <cell r="D3500">
            <v>38499</v>
          </cell>
          <cell r="F3500" t="str">
            <v>6191</v>
          </cell>
          <cell r="G3500" t="str">
            <v>Macy's Florida</v>
          </cell>
          <cell r="H3500">
            <v>1</v>
          </cell>
        </row>
        <row r="3501">
          <cell r="B3501" t="str">
            <v>SWC1040-1402</v>
          </cell>
          <cell r="C3501" t="str">
            <v>Invoice</v>
          </cell>
          <cell r="D3501">
            <v>38538</v>
          </cell>
          <cell r="F3501" t="str">
            <v>7080</v>
          </cell>
          <cell r="G3501" t="str">
            <v>Macy's Florida</v>
          </cell>
          <cell r="H3501">
            <v>1</v>
          </cell>
        </row>
        <row r="3502">
          <cell r="B3502" t="str">
            <v>SWC1040-1402</v>
          </cell>
          <cell r="C3502" t="str">
            <v>Invoice</v>
          </cell>
          <cell r="D3502">
            <v>38562</v>
          </cell>
          <cell r="F3502" t="str">
            <v>7077</v>
          </cell>
          <cell r="G3502" t="str">
            <v>Macy's Florida</v>
          </cell>
          <cell r="H3502">
            <v>1</v>
          </cell>
        </row>
        <row r="3503">
          <cell r="B3503" t="str">
            <v>SWC1040-1402</v>
          </cell>
          <cell r="C3503" t="str">
            <v>Invoice</v>
          </cell>
          <cell r="D3503">
            <v>38595</v>
          </cell>
          <cell r="F3503" t="str">
            <v>7079</v>
          </cell>
          <cell r="G3503" t="str">
            <v>Macy's Florida</v>
          </cell>
          <cell r="H3503">
            <v>1</v>
          </cell>
        </row>
        <row r="3504">
          <cell r="B3504" t="str">
            <v>SWC1040-1402</v>
          </cell>
          <cell r="C3504" t="str">
            <v>Invoice</v>
          </cell>
          <cell r="D3504">
            <v>38597</v>
          </cell>
          <cell r="F3504" t="str">
            <v>7819</v>
          </cell>
          <cell r="G3504" t="str">
            <v>ScentAir - Corporate Associates:Pamela Knock</v>
          </cell>
          <cell r="H3504">
            <v>1</v>
          </cell>
        </row>
        <row r="3505">
          <cell r="B3505" t="str">
            <v>SWC1040-1402</v>
          </cell>
          <cell r="C3505" t="str">
            <v>Invoice</v>
          </cell>
          <cell r="D3505">
            <v>38615</v>
          </cell>
          <cell r="F3505" t="str">
            <v>8001</v>
          </cell>
          <cell r="G3505" t="str">
            <v>Macy's #76</v>
          </cell>
          <cell r="H3505">
            <v>1</v>
          </cell>
        </row>
        <row r="3506">
          <cell r="B3506" t="str">
            <v>SWC1040-1402</v>
          </cell>
          <cell r="C3506" t="str">
            <v>Invoice</v>
          </cell>
          <cell r="D3506">
            <v>38626</v>
          </cell>
          <cell r="F3506" t="str">
            <v>7498</v>
          </cell>
          <cell r="G3506" t="str">
            <v>Macy's Florida</v>
          </cell>
          <cell r="H3506">
            <v>1</v>
          </cell>
        </row>
        <row r="3507">
          <cell r="B3507" t="str">
            <v>SWC1040-1403</v>
          </cell>
          <cell r="C3507" t="str">
            <v>Invoice</v>
          </cell>
          <cell r="D3507">
            <v>38499</v>
          </cell>
          <cell r="F3507" t="str">
            <v>6191</v>
          </cell>
          <cell r="G3507" t="str">
            <v>Macy's Florida</v>
          </cell>
          <cell r="H3507">
            <v>1</v>
          </cell>
        </row>
        <row r="3508">
          <cell r="B3508" t="str">
            <v>SWC1040-1403</v>
          </cell>
          <cell r="C3508" t="str">
            <v>Invoice</v>
          </cell>
          <cell r="D3508">
            <v>38538</v>
          </cell>
          <cell r="F3508" t="str">
            <v>7080</v>
          </cell>
          <cell r="G3508" t="str">
            <v>Macy's Florida</v>
          </cell>
          <cell r="H3508">
            <v>1</v>
          </cell>
        </row>
        <row r="3509">
          <cell r="B3509" t="str">
            <v>SWC1040-1403</v>
          </cell>
          <cell r="C3509" t="str">
            <v>Invoice</v>
          </cell>
          <cell r="D3509">
            <v>38562</v>
          </cell>
          <cell r="F3509" t="str">
            <v>7077</v>
          </cell>
          <cell r="G3509" t="str">
            <v>Macy's Florida</v>
          </cell>
          <cell r="H3509">
            <v>1</v>
          </cell>
        </row>
        <row r="3510">
          <cell r="B3510" t="str">
            <v>SWC1040-1404</v>
          </cell>
          <cell r="C3510" t="str">
            <v>Invoice</v>
          </cell>
          <cell r="D3510">
            <v>38597</v>
          </cell>
          <cell r="F3510" t="str">
            <v>7819</v>
          </cell>
          <cell r="G3510" t="str">
            <v>ScentAir - Corporate Associates:Pamela Knock</v>
          </cell>
          <cell r="H3510">
            <v>1</v>
          </cell>
        </row>
        <row r="3511">
          <cell r="B3511" t="str">
            <v>SWC1040-1408</v>
          </cell>
          <cell r="C3511" t="str">
            <v>Invoice</v>
          </cell>
          <cell r="D3511">
            <v>38573</v>
          </cell>
          <cell r="F3511" t="str">
            <v>7090</v>
          </cell>
          <cell r="G3511" t="str">
            <v>Muzak, LLC:One Stop Food Store</v>
          </cell>
          <cell r="H3511">
            <v>1</v>
          </cell>
        </row>
        <row r="3512">
          <cell r="B3512" t="str">
            <v>SWC1040-1408</v>
          </cell>
          <cell r="C3512" t="str">
            <v>Invoice</v>
          </cell>
          <cell r="D3512">
            <v>38594</v>
          </cell>
          <cell r="F3512" t="str">
            <v>7081</v>
          </cell>
          <cell r="G3512" t="str">
            <v>Muzak, LLC:Anderson Food Shops #168</v>
          </cell>
          <cell r="H3512">
            <v>1</v>
          </cell>
        </row>
        <row r="3513">
          <cell r="B3513" t="str">
            <v>SWC1040-1408</v>
          </cell>
          <cell r="C3513" t="str">
            <v>Invoice</v>
          </cell>
          <cell r="D3513">
            <v>38595</v>
          </cell>
          <cell r="F3513" t="str">
            <v>7734</v>
          </cell>
          <cell r="G3513" t="str">
            <v>Muzak, LLC:Mill's Squeegee #2</v>
          </cell>
          <cell r="H3513">
            <v>1</v>
          </cell>
        </row>
        <row r="3514">
          <cell r="B3514" t="str">
            <v>SWC1040-1408</v>
          </cell>
          <cell r="C3514" t="str">
            <v>Invoice</v>
          </cell>
          <cell r="D3514">
            <v>38608</v>
          </cell>
          <cell r="F3514" t="str">
            <v>7925</v>
          </cell>
          <cell r="G3514" t="str">
            <v>Muzak, LLC:Muzak (Demo)</v>
          </cell>
          <cell r="H3514">
            <v>1</v>
          </cell>
        </row>
        <row r="3515">
          <cell r="B3515" t="str">
            <v>SWC1040-1408</v>
          </cell>
          <cell r="C3515" t="str">
            <v>Invoice</v>
          </cell>
          <cell r="D3515">
            <v>38609</v>
          </cell>
          <cell r="F3515" t="str">
            <v>7943</v>
          </cell>
          <cell r="G3515" t="str">
            <v>Muzak, LLC:Muzak (Demo)</v>
          </cell>
          <cell r="H3515">
            <v>1</v>
          </cell>
        </row>
        <row r="3516">
          <cell r="B3516" t="str">
            <v>SWC1040-1408</v>
          </cell>
          <cell r="C3516" t="str">
            <v>Invoice</v>
          </cell>
          <cell r="D3516">
            <v>38618</v>
          </cell>
          <cell r="F3516" t="str">
            <v>8083</v>
          </cell>
          <cell r="G3516" t="str">
            <v>DDB Worldwide Communications Group Inc.</v>
          </cell>
          <cell r="H3516">
            <v>1</v>
          </cell>
        </row>
        <row r="3517">
          <cell r="B3517" t="str">
            <v>SWC1040-1408</v>
          </cell>
          <cell r="C3517" t="str">
            <v>Invoice</v>
          </cell>
          <cell r="D3517">
            <v>38623</v>
          </cell>
          <cell r="F3517" t="str">
            <v>8118</v>
          </cell>
          <cell r="G3517" t="str">
            <v>Muzak, LLC:McDonald's - Lakewood</v>
          </cell>
          <cell r="H3517">
            <v>1</v>
          </cell>
        </row>
        <row r="3518">
          <cell r="B3518" t="str">
            <v>SWC1040-1409</v>
          </cell>
          <cell r="C3518" t="str">
            <v>Invoice</v>
          </cell>
          <cell r="D3518">
            <v>38542</v>
          </cell>
          <cell r="F3518" t="str">
            <v>7091</v>
          </cell>
          <cell r="G3518" t="str">
            <v>Muzak, LLC:Savvy Salon and Day Spa</v>
          </cell>
          <cell r="H3518">
            <v>1</v>
          </cell>
        </row>
        <row r="3519">
          <cell r="B3519" t="str">
            <v>SWC1040-1409</v>
          </cell>
          <cell r="C3519" t="str">
            <v>Invoice</v>
          </cell>
          <cell r="D3519">
            <v>38586</v>
          </cell>
          <cell r="F3519" t="str">
            <v>7092</v>
          </cell>
          <cell r="G3519" t="str">
            <v>Muzak, LLC:Savvy Salon and Day Spa</v>
          </cell>
          <cell r="H3519">
            <v>1</v>
          </cell>
        </row>
        <row r="3520">
          <cell r="B3520" t="str">
            <v>SWC1040-1409</v>
          </cell>
          <cell r="C3520" t="str">
            <v>Invoice</v>
          </cell>
          <cell r="D3520">
            <v>38616</v>
          </cell>
          <cell r="F3520" t="str">
            <v>7337</v>
          </cell>
          <cell r="G3520" t="str">
            <v>Muzak, LLC:Savvy Salon and Day Spa</v>
          </cell>
          <cell r="H3520">
            <v>1</v>
          </cell>
        </row>
        <row r="3521">
          <cell r="B3521" t="str">
            <v>SWC1040-1410</v>
          </cell>
          <cell r="C3521" t="str">
            <v>Invoice</v>
          </cell>
          <cell r="D3521">
            <v>38574</v>
          </cell>
          <cell r="F3521" t="str">
            <v>7389</v>
          </cell>
          <cell r="G3521" t="str">
            <v>Muzak, LLC</v>
          </cell>
          <cell r="H3521">
            <v>1</v>
          </cell>
        </row>
        <row r="3522">
          <cell r="B3522" t="str">
            <v>SWC1040-1410</v>
          </cell>
          <cell r="C3522" t="str">
            <v>Invoice</v>
          </cell>
          <cell r="D3522">
            <v>38583</v>
          </cell>
          <cell r="F3522" t="str">
            <v>7636</v>
          </cell>
          <cell r="G3522" t="str">
            <v>Muzak, LLC:TT New York</v>
          </cell>
          <cell r="H3522">
            <v>1</v>
          </cell>
        </row>
        <row r="3523">
          <cell r="B3523" t="str">
            <v>SWC1040-1410</v>
          </cell>
          <cell r="C3523" t="str">
            <v>Invoice</v>
          </cell>
          <cell r="D3523">
            <v>38583</v>
          </cell>
          <cell r="F3523" t="str">
            <v>7629</v>
          </cell>
          <cell r="G3523" t="str">
            <v>Muzak, LLC:Carr's Barber Club - 1032 Town Park Ave.</v>
          </cell>
          <cell r="H3523">
            <v>1</v>
          </cell>
        </row>
        <row r="3524">
          <cell r="B3524" t="str">
            <v>SWC1040-1410</v>
          </cell>
          <cell r="C3524" t="str">
            <v>Invoice</v>
          </cell>
          <cell r="D3524">
            <v>38583</v>
          </cell>
          <cell r="F3524" t="str">
            <v>7630</v>
          </cell>
          <cell r="G3524" t="str">
            <v>Muzak, LLC:Carr's Barber Club - 2401 E. 434</v>
          </cell>
          <cell r="H3524">
            <v>1</v>
          </cell>
        </row>
        <row r="3525">
          <cell r="B3525" t="str">
            <v>SWC1040-1410</v>
          </cell>
          <cell r="C3525" t="str">
            <v>Invoice</v>
          </cell>
          <cell r="D3525">
            <v>38583</v>
          </cell>
          <cell r="F3525" t="str">
            <v>7635</v>
          </cell>
          <cell r="G3525" t="str">
            <v>Muzak, LLC:Carr's Barber Club - 7600 Dr. Phillips</v>
          </cell>
          <cell r="H3525">
            <v>1</v>
          </cell>
        </row>
        <row r="3526">
          <cell r="B3526" t="str">
            <v>SWC1040-1410</v>
          </cell>
          <cell r="C3526" t="str">
            <v>Invoice</v>
          </cell>
          <cell r="D3526">
            <v>38583</v>
          </cell>
          <cell r="F3526" t="str">
            <v>7634</v>
          </cell>
          <cell r="G3526" t="str">
            <v>Muzak, LLC:Carr's Barber Club - 715 Bloom St.</v>
          </cell>
          <cell r="H3526">
            <v>1</v>
          </cell>
        </row>
        <row r="3527">
          <cell r="B3527" t="str">
            <v>SWC1040-1410</v>
          </cell>
          <cell r="C3527" t="str">
            <v>Invoice</v>
          </cell>
          <cell r="D3527">
            <v>38583</v>
          </cell>
          <cell r="F3527" t="str">
            <v>7633</v>
          </cell>
          <cell r="G3527" t="str">
            <v>Muzak, LLC:Carr's Barber Club - 701 E. Washington</v>
          </cell>
          <cell r="H3527">
            <v>1</v>
          </cell>
        </row>
        <row r="3528">
          <cell r="B3528" t="str">
            <v>SWC1040-1410</v>
          </cell>
          <cell r="C3528" t="str">
            <v>Invoice</v>
          </cell>
          <cell r="D3528">
            <v>38583</v>
          </cell>
          <cell r="F3528" t="str">
            <v>7632</v>
          </cell>
          <cell r="G3528" t="str">
            <v>Muzak, LLC:Carr's Barber Club - 4800 New Broad St.</v>
          </cell>
          <cell r="H3528">
            <v>1</v>
          </cell>
        </row>
        <row r="3529">
          <cell r="B3529" t="str">
            <v>SWC1040-1410</v>
          </cell>
          <cell r="C3529" t="str">
            <v>Invoice</v>
          </cell>
          <cell r="D3529">
            <v>38583</v>
          </cell>
          <cell r="F3529" t="str">
            <v>7631</v>
          </cell>
          <cell r="G3529" t="str">
            <v>Muzak, LLC:Carr's Barber Club - 346 Park Ave.</v>
          </cell>
          <cell r="H3529">
            <v>1</v>
          </cell>
        </row>
        <row r="3530">
          <cell r="B3530" t="str">
            <v>SWC1040-1410</v>
          </cell>
          <cell r="C3530" t="str">
            <v>Invoice</v>
          </cell>
          <cell r="D3530">
            <v>38589</v>
          </cell>
          <cell r="F3530" t="str">
            <v>7675</v>
          </cell>
          <cell r="G3530" t="str">
            <v>Klipsch Audio Technologies:Klipsch Audio</v>
          </cell>
          <cell r="H3530">
            <v>1</v>
          </cell>
        </row>
        <row r="3531">
          <cell r="B3531" t="str">
            <v>SWC1040-1410</v>
          </cell>
          <cell r="C3531" t="str">
            <v>Invoice</v>
          </cell>
          <cell r="D3531">
            <v>38621</v>
          </cell>
          <cell r="F3531" t="str">
            <v>8097</v>
          </cell>
          <cell r="G3531" t="str">
            <v>Muzak, LLC:Muzak (Demo)</v>
          </cell>
          <cell r="H3531">
            <v>1</v>
          </cell>
        </row>
        <row r="3532">
          <cell r="B3532" t="str">
            <v>SWC1040-1410</v>
          </cell>
          <cell r="C3532" t="str">
            <v>Invoice</v>
          </cell>
          <cell r="D3532">
            <v>38630</v>
          </cell>
          <cell r="F3532" t="str">
            <v>8251</v>
          </cell>
          <cell r="G3532" t="str">
            <v>Muzak, LLC:Carr's Barber Club - 715 Bloom St.</v>
          </cell>
          <cell r="H3532">
            <v>1</v>
          </cell>
        </row>
        <row r="3533">
          <cell r="B3533" t="str">
            <v>SWC1040-1410</v>
          </cell>
          <cell r="C3533" t="str">
            <v>Invoice</v>
          </cell>
          <cell r="D3533">
            <v>38630</v>
          </cell>
          <cell r="F3533" t="str">
            <v>8252</v>
          </cell>
          <cell r="G3533" t="str">
            <v>Muzak, LLC:Carr's Barber Club - 7600 Dr. Phillips</v>
          </cell>
          <cell r="H3533">
            <v>1</v>
          </cell>
        </row>
        <row r="3534">
          <cell r="B3534" t="str">
            <v>SWC1040-1410</v>
          </cell>
          <cell r="C3534" t="str">
            <v>Invoice</v>
          </cell>
          <cell r="D3534">
            <v>38630</v>
          </cell>
          <cell r="F3534" t="str">
            <v>8250</v>
          </cell>
          <cell r="G3534" t="str">
            <v>Muzak, LLC:Carr's Barber Club - 701 E. Washington</v>
          </cell>
          <cell r="H3534">
            <v>1</v>
          </cell>
        </row>
        <row r="3535">
          <cell r="B3535" t="str">
            <v>SWC1040-1410</v>
          </cell>
          <cell r="C3535" t="str">
            <v>Invoice</v>
          </cell>
          <cell r="D3535">
            <v>38630</v>
          </cell>
          <cell r="F3535" t="str">
            <v>8249</v>
          </cell>
          <cell r="G3535" t="str">
            <v>Muzak, LLC:Carr's Barber Club - 4800 New Broad St.</v>
          </cell>
          <cell r="H3535">
            <v>1</v>
          </cell>
        </row>
        <row r="3536">
          <cell r="B3536" t="str">
            <v>SWC1040-1410</v>
          </cell>
          <cell r="C3536" t="str">
            <v>Invoice</v>
          </cell>
          <cell r="D3536">
            <v>38630</v>
          </cell>
          <cell r="F3536" t="str">
            <v>8247</v>
          </cell>
          <cell r="G3536" t="str">
            <v>Muzak, LLC:Carr's Barber Club - 2401 E. 434</v>
          </cell>
          <cell r="H3536">
            <v>1</v>
          </cell>
        </row>
        <row r="3537">
          <cell r="B3537" t="str">
            <v>SWC1040-1410</v>
          </cell>
          <cell r="C3537" t="str">
            <v>Invoice</v>
          </cell>
          <cell r="D3537">
            <v>38630</v>
          </cell>
          <cell r="F3537" t="str">
            <v>8248</v>
          </cell>
          <cell r="G3537" t="str">
            <v>Muzak, LLC:Carr's Barber Club - 346 Park Ave.</v>
          </cell>
          <cell r="H3537">
            <v>1</v>
          </cell>
        </row>
        <row r="3538">
          <cell r="B3538" t="str">
            <v>SWC1040-1410</v>
          </cell>
          <cell r="C3538" t="str">
            <v>Invoice</v>
          </cell>
          <cell r="D3538">
            <v>38630</v>
          </cell>
          <cell r="F3538" t="str">
            <v>8177</v>
          </cell>
          <cell r="G3538" t="str">
            <v>Muzak, LLC:Carr's Barber Club - 1032 Town Park Ave.</v>
          </cell>
          <cell r="H3538">
            <v>1</v>
          </cell>
        </row>
        <row r="3539">
          <cell r="B3539" t="str">
            <v>SWC1040-1412</v>
          </cell>
          <cell r="C3539" t="str">
            <v>Invoice</v>
          </cell>
          <cell r="D3539">
            <v>38553</v>
          </cell>
          <cell r="F3539" t="str">
            <v>7171</v>
          </cell>
          <cell r="G3539" t="str">
            <v>Hotel Hershey</v>
          </cell>
          <cell r="H3539">
            <v>1</v>
          </cell>
        </row>
        <row r="3540">
          <cell r="B3540" t="str">
            <v>SWC1040-1412</v>
          </cell>
          <cell r="C3540" t="str">
            <v>Invoice</v>
          </cell>
          <cell r="D3540">
            <v>38558</v>
          </cell>
          <cell r="F3540" t="str">
            <v>CR4924</v>
          </cell>
          <cell r="G3540" t="str">
            <v>Hotel Hershey</v>
          </cell>
          <cell r="H3540">
            <v>1</v>
          </cell>
        </row>
        <row r="3541">
          <cell r="B3541" t="str">
            <v>SWC1040-1412</v>
          </cell>
          <cell r="C3541" t="str">
            <v>Invoice</v>
          </cell>
          <cell r="D3541">
            <v>38581</v>
          </cell>
          <cell r="F3541" t="str">
            <v>7172</v>
          </cell>
          <cell r="G3541" t="str">
            <v>Hotel Hershey</v>
          </cell>
          <cell r="H3541">
            <v>1</v>
          </cell>
        </row>
        <row r="3542">
          <cell r="B3542" t="str">
            <v>SWC1040-1412</v>
          </cell>
          <cell r="C3542" t="str">
            <v>Invoice</v>
          </cell>
          <cell r="D3542">
            <v>38614</v>
          </cell>
          <cell r="F3542" t="str">
            <v>7293</v>
          </cell>
          <cell r="G3542" t="str">
            <v>Hotel Hershey</v>
          </cell>
          <cell r="H3542">
            <v>1</v>
          </cell>
        </row>
        <row r="3543">
          <cell r="B3543" t="str">
            <v>SWC1040-1417</v>
          </cell>
          <cell r="C3543" t="str">
            <v>Invoice</v>
          </cell>
          <cell r="D3543">
            <v>38590</v>
          </cell>
          <cell r="F3543" t="str">
            <v>7710</v>
          </cell>
          <cell r="G3543" t="str">
            <v>Global Services Network</v>
          </cell>
          <cell r="H3543">
            <v>1</v>
          </cell>
        </row>
        <row r="3544">
          <cell r="B3544" t="str">
            <v>SWC1040-1418</v>
          </cell>
          <cell r="C3544" t="str">
            <v>Invoice</v>
          </cell>
          <cell r="D3544">
            <v>38618</v>
          </cell>
          <cell r="F3544" t="str">
            <v>8060</v>
          </cell>
          <cell r="G3544" t="str">
            <v>Muzak, LLC:Casa Monica Hotel</v>
          </cell>
          <cell r="H3544">
            <v>1</v>
          </cell>
        </row>
        <row r="3545">
          <cell r="B3545" t="str">
            <v>SWC1040-C48</v>
          </cell>
          <cell r="C3545" t="str">
            <v>Invoice</v>
          </cell>
          <cell r="D3545">
            <v>38568</v>
          </cell>
          <cell r="F3545" t="str">
            <v>7276</v>
          </cell>
          <cell r="G3545" t="str">
            <v>Alerion Partners</v>
          </cell>
          <cell r="H3545">
            <v>1</v>
          </cell>
        </row>
        <row r="3546">
          <cell r="B3546" t="str">
            <v>SWC1040-C65</v>
          </cell>
          <cell r="C3546" t="str">
            <v>Invoice</v>
          </cell>
          <cell r="D3546">
            <v>38533</v>
          </cell>
          <cell r="F3546" t="str">
            <v>7001</v>
          </cell>
          <cell r="G3546" t="str">
            <v>Starwood Hotels:The Essex Hotel</v>
          </cell>
          <cell r="H3546">
            <v>1</v>
          </cell>
        </row>
        <row r="3547">
          <cell r="B3547" t="str">
            <v>SWC1040-C65</v>
          </cell>
          <cell r="C3547" t="str">
            <v>Invoice</v>
          </cell>
          <cell r="D3547">
            <v>38583</v>
          </cell>
          <cell r="F3547" t="str">
            <v>7270</v>
          </cell>
          <cell r="G3547" t="str">
            <v>Starwood Hotels:The Essex Hotel</v>
          </cell>
          <cell r="H3547">
            <v>1</v>
          </cell>
        </row>
        <row r="3548">
          <cell r="B3548" t="str">
            <v>SWC1040-OTHER</v>
          </cell>
          <cell r="C3548" t="str">
            <v>Invoice</v>
          </cell>
          <cell r="D3548">
            <v>38568</v>
          </cell>
          <cell r="F3548" t="str">
            <v>7297</v>
          </cell>
          <cell r="G3548" t="str">
            <v>ScentAir Australia Pty Ltd.</v>
          </cell>
          <cell r="H3548">
            <v>1</v>
          </cell>
        </row>
        <row r="3549">
          <cell r="B3549" t="str">
            <v>SWC1040-OTHER</v>
          </cell>
          <cell r="C3549" t="str">
            <v>Invoice</v>
          </cell>
          <cell r="D3549">
            <v>38601</v>
          </cell>
          <cell r="F3549" t="str">
            <v>7821</v>
          </cell>
          <cell r="G3549" t="str">
            <v>AroMarketing:AroMarketing - Guadalajara</v>
          </cell>
          <cell r="H3549">
            <v>1</v>
          </cell>
        </row>
        <row r="3550">
          <cell r="B3550" t="str">
            <v>SWC1040-OTHER</v>
          </cell>
          <cell r="C3550" t="str">
            <v>Invoice</v>
          </cell>
          <cell r="D3550">
            <v>38601</v>
          </cell>
          <cell r="F3550" t="str">
            <v>7821</v>
          </cell>
          <cell r="G3550" t="str">
            <v>AroMarketing:AroMarketing - Guadalajara</v>
          </cell>
          <cell r="H3550">
            <v>1</v>
          </cell>
        </row>
        <row r="3551">
          <cell r="B3551" t="str">
            <v>SWC1040-OTHER</v>
          </cell>
          <cell r="C3551" t="str">
            <v>Invoice</v>
          </cell>
          <cell r="D3551">
            <v>38601</v>
          </cell>
          <cell r="F3551" t="str">
            <v>7822</v>
          </cell>
          <cell r="G3551" t="str">
            <v>AroMarketing:AroMarketing - Guadalajara</v>
          </cell>
          <cell r="H3551">
            <v>1</v>
          </cell>
        </row>
        <row r="3552">
          <cell r="B3552" t="str">
            <v>SWC1040-OTHER</v>
          </cell>
          <cell r="C3552" t="str">
            <v>Invoice</v>
          </cell>
          <cell r="D3552">
            <v>38601</v>
          </cell>
          <cell r="F3552" t="str">
            <v>7822</v>
          </cell>
          <cell r="G3552" t="str">
            <v>AroMarketing:AroMarketing - Guadalajara</v>
          </cell>
          <cell r="H3552">
            <v>1</v>
          </cell>
        </row>
        <row r="3553">
          <cell r="B3553" t="str">
            <v>SWC1040-OTHER</v>
          </cell>
          <cell r="C3553" t="str">
            <v>Invoice</v>
          </cell>
          <cell r="D3553">
            <v>38601</v>
          </cell>
          <cell r="F3553" t="str">
            <v>7822</v>
          </cell>
          <cell r="G3553" t="str">
            <v>AroMarketing:AroMarketing - Guadalajara</v>
          </cell>
          <cell r="H3553">
            <v>1</v>
          </cell>
        </row>
        <row r="3554">
          <cell r="B3554" t="str">
            <v>SWC1040-OTHER</v>
          </cell>
          <cell r="C3554" t="str">
            <v>Invoice</v>
          </cell>
          <cell r="D3554">
            <v>38615</v>
          </cell>
          <cell r="F3554" t="str">
            <v>7976</v>
          </cell>
          <cell r="G3554" t="str">
            <v>Promotool</v>
          </cell>
          <cell r="H3554">
            <v>1</v>
          </cell>
        </row>
        <row r="3555">
          <cell r="B3555" t="str">
            <v>SWC1040-OTHER</v>
          </cell>
          <cell r="C3555" t="str">
            <v>Invoice</v>
          </cell>
          <cell r="D3555">
            <v>38615</v>
          </cell>
          <cell r="F3555" t="str">
            <v>7980</v>
          </cell>
          <cell r="G3555" t="str">
            <v>Georgie Yost</v>
          </cell>
          <cell r="H3555">
            <v>1</v>
          </cell>
        </row>
        <row r="3556">
          <cell r="B3556" t="str">
            <v>SWC1060-0794</v>
          </cell>
          <cell r="C3556" t="str">
            <v>Invoice</v>
          </cell>
          <cell r="D3556">
            <v>38525</v>
          </cell>
          <cell r="F3556" t="str">
            <v>6395</v>
          </cell>
          <cell r="G3556" t="str">
            <v>Hotel Hershey</v>
          </cell>
          <cell r="H3556">
            <v>1</v>
          </cell>
        </row>
        <row r="3557">
          <cell r="B3557" t="str">
            <v>SWC-1062</v>
          </cell>
          <cell r="C3557" t="str">
            <v>Invoice</v>
          </cell>
          <cell r="D3557">
            <v>38378</v>
          </cell>
          <cell r="F3557" t="str">
            <v>5141</v>
          </cell>
          <cell r="G3557" t="str">
            <v>Arkitectura Urbana</v>
          </cell>
          <cell r="H3557">
            <v>1</v>
          </cell>
        </row>
        <row r="3558">
          <cell r="B3558" t="str">
            <v>SWC-1095</v>
          </cell>
          <cell r="C3558" t="str">
            <v>Invoice</v>
          </cell>
          <cell r="D3558">
            <v>38378</v>
          </cell>
          <cell r="F3558" t="str">
            <v>5270</v>
          </cell>
          <cell r="G3558" t="str">
            <v>Exxon DDB Worldwide:Exxon DDB Worldwide #15022</v>
          </cell>
          <cell r="H3558">
            <v>1</v>
          </cell>
        </row>
        <row r="3559">
          <cell r="B3559" t="str">
            <v>SWC-1095</v>
          </cell>
          <cell r="C3559" t="str">
            <v>Invoice</v>
          </cell>
          <cell r="D3559">
            <v>38378</v>
          </cell>
          <cell r="F3559" t="str">
            <v>5272</v>
          </cell>
          <cell r="G3559" t="str">
            <v>Exxon DDB Worldwide:Exxon DDB Worldwide #24239</v>
          </cell>
          <cell r="H3559">
            <v>1</v>
          </cell>
        </row>
        <row r="3560">
          <cell r="B3560" t="str">
            <v>SWC-1095</v>
          </cell>
          <cell r="C3560" t="str">
            <v>Invoice</v>
          </cell>
          <cell r="D3560">
            <v>38378</v>
          </cell>
          <cell r="F3560" t="str">
            <v>5266</v>
          </cell>
          <cell r="G3560" t="str">
            <v>Exxon DDB Worldwide#10241</v>
          </cell>
          <cell r="H3560">
            <v>1</v>
          </cell>
        </row>
        <row r="3561">
          <cell r="B3561" t="str">
            <v>SWC-1095</v>
          </cell>
          <cell r="C3561" t="str">
            <v>Invoice</v>
          </cell>
          <cell r="D3561">
            <v>38378</v>
          </cell>
          <cell r="F3561" t="str">
            <v>5268</v>
          </cell>
          <cell r="G3561" t="str">
            <v>Exxon DDB Worldwide:Exxon DDB Worldwide #11644</v>
          </cell>
          <cell r="H3561">
            <v>1</v>
          </cell>
        </row>
        <row r="3562">
          <cell r="B3562" t="str">
            <v>SWC-1095</v>
          </cell>
          <cell r="C3562" t="str">
            <v>Invoice</v>
          </cell>
          <cell r="D3562">
            <v>38378</v>
          </cell>
          <cell r="F3562" t="str">
            <v>5276</v>
          </cell>
          <cell r="G3562" t="str">
            <v>Exxon DDB Worldwide:Exxon DDB Worldwide #30618</v>
          </cell>
          <cell r="H3562">
            <v>1</v>
          </cell>
        </row>
        <row r="3563">
          <cell r="B3563" t="str">
            <v>SWC-1095</v>
          </cell>
          <cell r="C3563" t="str">
            <v>Invoice</v>
          </cell>
          <cell r="D3563">
            <v>38378</v>
          </cell>
          <cell r="F3563" t="str">
            <v>5267</v>
          </cell>
          <cell r="G3563" t="str">
            <v>Exxon DDB Worldwide#11640</v>
          </cell>
          <cell r="H3563">
            <v>1</v>
          </cell>
        </row>
        <row r="3564">
          <cell r="B3564" t="str">
            <v>SWC-1095</v>
          </cell>
          <cell r="C3564" t="str">
            <v>Invoice</v>
          </cell>
          <cell r="D3564">
            <v>38378</v>
          </cell>
          <cell r="F3564" t="str">
            <v>5271</v>
          </cell>
          <cell r="G3564" t="str">
            <v>Exxon DDB Worldwide:Exxon DDB Worldwide #20407</v>
          </cell>
          <cell r="H3564">
            <v>1</v>
          </cell>
        </row>
        <row r="3565">
          <cell r="B3565" t="str">
            <v>SWC-1095</v>
          </cell>
          <cell r="C3565" t="str">
            <v>Invoice</v>
          </cell>
          <cell r="D3565">
            <v>38378</v>
          </cell>
          <cell r="F3565" t="str">
            <v>5270</v>
          </cell>
          <cell r="G3565" t="str">
            <v>Exxon DDB Worldwide:Exxon DDB Worldwide #15022</v>
          </cell>
          <cell r="H3565">
            <v>1</v>
          </cell>
        </row>
        <row r="3566">
          <cell r="B3566" t="str">
            <v>SWC-1095</v>
          </cell>
          <cell r="C3566" t="str">
            <v>Invoice</v>
          </cell>
          <cell r="D3566">
            <v>38378</v>
          </cell>
          <cell r="F3566" t="str">
            <v>5270</v>
          </cell>
          <cell r="G3566" t="str">
            <v>Exxon DDB Worldwide:Exxon DDB Worldwide #15022</v>
          </cell>
          <cell r="H3566">
            <v>1</v>
          </cell>
        </row>
        <row r="3567">
          <cell r="B3567" t="str">
            <v>SWC-1095</v>
          </cell>
          <cell r="C3567" t="str">
            <v>Invoice</v>
          </cell>
          <cell r="D3567">
            <v>38378</v>
          </cell>
          <cell r="F3567" t="str">
            <v>5276</v>
          </cell>
          <cell r="G3567" t="str">
            <v>Exxon DDB Worldwide:Exxon DDB Worldwide #30618</v>
          </cell>
          <cell r="H3567">
            <v>1</v>
          </cell>
        </row>
        <row r="3568">
          <cell r="B3568" t="str">
            <v>SWC-1095</v>
          </cell>
          <cell r="C3568" t="str">
            <v>Invoice</v>
          </cell>
          <cell r="D3568">
            <v>38378</v>
          </cell>
          <cell r="F3568" t="str">
            <v>5271</v>
          </cell>
          <cell r="G3568" t="str">
            <v>Exxon DDB Worldwide:Exxon DDB Worldwide #20407</v>
          </cell>
          <cell r="H3568">
            <v>1</v>
          </cell>
        </row>
        <row r="3569">
          <cell r="B3569" t="str">
            <v>SWC-1105</v>
          </cell>
          <cell r="C3569" t="str">
            <v>Invoice</v>
          </cell>
          <cell r="D3569">
            <v>38383</v>
          </cell>
          <cell r="F3569" t="str">
            <v>5201</v>
          </cell>
          <cell r="G3569" t="str">
            <v>Andrew &amp; Andrew</v>
          </cell>
          <cell r="H3569">
            <v>1</v>
          </cell>
        </row>
        <row r="3570">
          <cell r="B3570" t="str">
            <v>SWC-1195</v>
          </cell>
          <cell r="C3570" t="str">
            <v>Invoice</v>
          </cell>
          <cell r="D3570">
            <v>38378</v>
          </cell>
          <cell r="F3570" t="str">
            <v>5150</v>
          </cell>
          <cell r="G3570" t="str">
            <v>Celebration Hotel</v>
          </cell>
          <cell r="H3570">
            <v>1</v>
          </cell>
        </row>
        <row r="3571">
          <cell r="B3571" t="str">
            <v>SWC-1195</v>
          </cell>
          <cell r="C3571" t="str">
            <v>Invoice</v>
          </cell>
          <cell r="D3571">
            <v>38383</v>
          </cell>
          <cell r="F3571" t="str">
            <v>5239</v>
          </cell>
          <cell r="G3571" t="str">
            <v>Sea World Orlando</v>
          </cell>
          <cell r="H3571">
            <v>1</v>
          </cell>
        </row>
        <row r="3572">
          <cell r="B3572" t="str">
            <v>SWC-1229</v>
          </cell>
          <cell r="C3572" t="str">
            <v>Invoice</v>
          </cell>
          <cell r="D3572">
            <v>38357</v>
          </cell>
          <cell r="F3572" t="str">
            <v>5148</v>
          </cell>
          <cell r="G3572" t="str">
            <v>Sea World Orlando</v>
          </cell>
          <cell r="H3572">
            <v>1</v>
          </cell>
        </row>
        <row r="3573">
          <cell r="B3573" t="str">
            <v>SWC-1254</v>
          </cell>
          <cell r="C3573" t="str">
            <v>Invoice</v>
          </cell>
          <cell r="D3573">
            <v>38393</v>
          </cell>
          <cell r="F3573" t="str">
            <v>5298</v>
          </cell>
          <cell r="G3573" t="str">
            <v>Parigi International</v>
          </cell>
          <cell r="H3573">
            <v>1</v>
          </cell>
        </row>
        <row r="3574">
          <cell r="B3574" t="str">
            <v>SWC-153</v>
          </cell>
          <cell r="C3574" t="str">
            <v>Invoice</v>
          </cell>
          <cell r="D3574">
            <v>38393</v>
          </cell>
          <cell r="F3574" t="str">
            <v>5297</v>
          </cell>
          <cell r="G3574" t="str">
            <v>LindyLazar Marketing Communications,LLC</v>
          </cell>
          <cell r="H3574">
            <v>1</v>
          </cell>
        </row>
        <row r="3575">
          <cell r="B3575" t="str">
            <v>SWC-174</v>
          </cell>
          <cell r="C3575" t="str">
            <v>Invoice</v>
          </cell>
          <cell r="D3575">
            <v>38383</v>
          </cell>
          <cell r="F3575" t="str">
            <v>5239</v>
          </cell>
          <cell r="G3575" t="str">
            <v>Sea World Orlando</v>
          </cell>
          <cell r="H3575">
            <v>1</v>
          </cell>
        </row>
        <row r="3576">
          <cell r="B3576" t="str">
            <v>SWC2000-0142</v>
          </cell>
          <cell r="C3576" t="str">
            <v>Invoice</v>
          </cell>
          <cell r="D3576">
            <v>38539</v>
          </cell>
          <cell r="F3576" t="str">
            <v>7028-I</v>
          </cell>
          <cell r="G3576" t="str">
            <v>Raytheon</v>
          </cell>
          <cell r="H3576">
            <v>1</v>
          </cell>
        </row>
        <row r="3577">
          <cell r="B3577" t="str">
            <v>SWC2000-0153</v>
          </cell>
          <cell r="C3577" t="str">
            <v>Invoice</v>
          </cell>
          <cell r="D3577">
            <v>38519</v>
          </cell>
          <cell r="F3577" t="str">
            <v>6291</v>
          </cell>
          <cell r="G3577" t="str">
            <v>Celebration Health</v>
          </cell>
          <cell r="H3577">
            <v>1</v>
          </cell>
        </row>
        <row r="3578">
          <cell r="B3578" t="str">
            <v>SWC2000-0153</v>
          </cell>
          <cell r="C3578" t="str">
            <v>Invoice</v>
          </cell>
          <cell r="D3578">
            <v>38562</v>
          </cell>
          <cell r="F3578" t="str">
            <v>6292</v>
          </cell>
          <cell r="G3578" t="str">
            <v>Celebration Health</v>
          </cell>
          <cell r="H3578">
            <v>1</v>
          </cell>
        </row>
        <row r="3579">
          <cell r="B3579" t="str">
            <v>SWC2000-0153</v>
          </cell>
          <cell r="C3579" t="str">
            <v>Invoice</v>
          </cell>
          <cell r="D3579">
            <v>38609</v>
          </cell>
          <cell r="F3579" t="str">
            <v>6293</v>
          </cell>
          <cell r="G3579" t="str">
            <v>Celebration Health</v>
          </cell>
          <cell r="H3579">
            <v>1</v>
          </cell>
        </row>
        <row r="3580">
          <cell r="B3580" t="str">
            <v>SWC2000-0174</v>
          </cell>
          <cell r="C3580" t="str">
            <v>Invoice</v>
          </cell>
          <cell r="D3580">
            <v>38519</v>
          </cell>
          <cell r="F3580" t="str">
            <v>6291</v>
          </cell>
          <cell r="G3580" t="str">
            <v>Celebration Health</v>
          </cell>
          <cell r="H3580">
            <v>1</v>
          </cell>
        </row>
        <row r="3581">
          <cell r="B3581" t="str">
            <v>SWC2000-0174</v>
          </cell>
          <cell r="C3581" t="str">
            <v>Invoice</v>
          </cell>
          <cell r="D3581">
            <v>38562</v>
          </cell>
          <cell r="F3581" t="str">
            <v>6292</v>
          </cell>
          <cell r="G3581" t="str">
            <v>Celebration Health</v>
          </cell>
          <cell r="H3581">
            <v>1</v>
          </cell>
        </row>
        <row r="3582">
          <cell r="B3582" t="str">
            <v>SWC2000-0174</v>
          </cell>
          <cell r="C3582" t="str">
            <v>Invoice</v>
          </cell>
          <cell r="D3582">
            <v>38609</v>
          </cell>
          <cell r="F3582" t="str">
            <v>6293</v>
          </cell>
          <cell r="G3582" t="str">
            <v>Celebration Health</v>
          </cell>
          <cell r="H3582">
            <v>1</v>
          </cell>
        </row>
        <row r="3583">
          <cell r="B3583" t="str">
            <v>SWC2000-0219</v>
          </cell>
          <cell r="C3583" t="str">
            <v>Invoice</v>
          </cell>
          <cell r="D3583">
            <v>38539</v>
          </cell>
          <cell r="F3583" t="str">
            <v>7028-I</v>
          </cell>
          <cell r="G3583" t="str">
            <v>Raytheon</v>
          </cell>
          <cell r="H3583">
            <v>1</v>
          </cell>
        </row>
        <row r="3584">
          <cell r="B3584" t="str">
            <v>SWC2000-0794</v>
          </cell>
          <cell r="C3584" t="str">
            <v>Invoice</v>
          </cell>
          <cell r="D3584">
            <v>38504</v>
          </cell>
          <cell r="F3584" t="str">
            <v>6195</v>
          </cell>
          <cell r="G3584" t="str">
            <v>Hershey's, Inc.:Hershey's - Time's Square</v>
          </cell>
          <cell r="H3584">
            <v>1</v>
          </cell>
        </row>
        <row r="3585">
          <cell r="B3585" t="str">
            <v>SWC2000-0794</v>
          </cell>
          <cell r="C3585" t="str">
            <v>Invoice</v>
          </cell>
          <cell r="D3585">
            <v>38533</v>
          </cell>
          <cell r="F3585" t="str">
            <v>6196</v>
          </cell>
          <cell r="G3585" t="str">
            <v>Hershey's, Inc.:Hershey's - Time's Square</v>
          </cell>
          <cell r="H3585">
            <v>1</v>
          </cell>
        </row>
        <row r="3586">
          <cell r="B3586" t="str">
            <v>SWC2000-0794</v>
          </cell>
          <cell r="C3586" t="str">
            <v>Invoice</v>
          </cell>
          <cell r="D3586">
            <v>38595</v>
          </cell>
          <cell r="F3586" t="str">
            <v>7157</v>
          </cell>
          <cell r="G3586" t="str">
            <v>Hershey's, Inc.:Hershey's - Time's Square</v>
          </cell>
          <cell r="H3586">
            <v>1</v>
          </cell>
        </row>
        <row r="3587">
          <cell r="B3587" t="str">
            <v>SWC2000-0794</v>
          </cell>
          <cell r="C3587" t="str">
            <v>Invoice</v>
          </cell>
          <cell r="D3587">
            <v>38626</v>
          </cell>
          <cell r="F3587" t="str">
            <v>7505</v>
          </cell>
          <cell r="G3587" t="str">
            <v>Hershey's, Inc.:Hershey's - Time's Square</v>
          </cell>
          <cell r="H3587">
            <v>1</v>
          </cell>
        </row>
        <row r="3588">
          <cell r="B3588" t="str">
            <v>SWC2000-0888</v>
          </cell>
          <cell r="C3588" t="str">
            <v>Invoice</v>
          </cell>
          <cell r="D3588">
            <v>38516</v>
          </cell>
          <cell r="F3588" t="str">
            <v>6317</v>
          </cell>
          <cell r="G3588" t="str">
            <v>Disney Worldwide:Ye Olde Christmas Shop</v>
          </cell>
          <cell r="H3588">
            <v>1</v>
          </cell>
        </row>
        <row r="3589">
          <cell r="B3589" t="str">
            <v>SWC2000-0888</v>
          </cell>
          <cell r="C3589" t="str">
            <v>Invoice</v>
          </cell>
          <cell r="D3589">
            <v>38544</v>
          </cell>
          <cell r="F3589" t="str">
            <v>6320</v>
          </cell>
          <cell r="G3589" t="str">
            <v>Disney Worldwide:Ye Olde Christmas Shop</v>
          </cell>
          <cell r="H3589">
            <v>1</v>
          </cell>
        </row>
        <row r="3590">
          <cell r="B3590" t="str">
            <v>SWC2000-0888</v>
          </cell>
          <cell r="C3590" t="str">
            <v>Invoice</v>
          </cell>
          <cell r="D3590">
            <v>38574</v>
          </cell>
          <cell r="F3590" t="str">
            <v>5594-I</v>
          </cell>
          <cell r="G3590" t="str">
            <v>Disney Worldwide:Ye Olde Christmas Shop</v>
          </cell>
          <cell r="H3590">
            <v>1</v>
          </cell>
        </row>
        <row r="3591">
          <cell r="B3591" t="str">
            <v>SWC2000-0888</v>
          </cell>
          <cell r="C3591" t="str">
            <v>Invoice</v>
          </cell>
          <cell r="D3591">
            <v>38604</v>
          </cell>
          <cell r="F3591" t="str">
            <v>7211</v>
          </cell>
          <cell r="G3591" t="str">
            <v>Disney Worldwide:Ye Olde Christmas Shop</v>
          </cell>
          <cell r="H3591">
            <v>1</v>
          </cell>
        </row>
        <row r="3592">
          <cell r="B3592" t="str">
            <v>SWC2000-1095</v>
          </cell>
          <cell r="C3592" t="str">
            <v>Invoice</v>
          </cell>
          <cell r="D3592">
            <v>38448</v>
          </cell>
          <cell r="F3592" t="str">
            <v>5585</v>
          </cell>
          <cell r="G3592" t="str">
            <v>The Eleven Agency</v>
          </cell>
          <cell r="H3592">
            <v>1</v>
          </cell>
        </row>
        <row r="3593">
          <cell r="B3593" t="str">
            <v>SWC2000-1095</v>
          </cell>
          <cell r="C3593" t="str">
            <v>Invoice</v>
          </cell>
          <cell r="D3593">
            <v>38533</v>
          </cell>
          <cell r="F3593" t="str">
            <v>7041</v>
          </cell>
          <cell r="G3593" t="str">
            <v>Arkitectura Urbana</v>
          </cell>
          <cell r="H3593">
            <v>1</v>
          </cell>
        </row>
        <row r="3594">
          <cell r="B3594" t="str">
            <v>SWC2000-1168</v>
          </cell>
          <cell r="C3594" t="str">
            <v>Invoice</v>
          </cell>
          <cell r="D3594">
            <v>38516</v>
          </cell>
          <cell r="F3594" t="str">
            <v>6316</v>
          </cell>
          <cell r="G3594" t="str">
            <v>Disney Worldwide:Main Street Confectionary</v>
          </cell>
          <cell r="H3594">
            <v>1</v>
          </cell>
        </row>
        <row r="3595">
          <cell r="B3595" t="str">
            <v>SWC2000-1168</v>
          </cell>
          <cell r="C3595" t="str">
            <v>Invoice</v>
          </cell>
          <cell r="D3595">
            <v>38542</v>
          </cell>
          <cell r="F3595" t="str">
            <v>6321</v>
          </cell>
          <cell r="G3595" t="str">
            <v>Disney Worldwide:Main Street Confectionary</v>
          </cell>
          <cell r="H3595">
            <v>1</v>
          </cell>
        </row>
        <row r="3596">
          <cell r="B3596" t="str">
            <v>SWC2000-1168</v>
          </cell>
          <cell r="C3596" t="str">
            <v>Invoice</v>
          </cell>
          <cell r="D3596">
            <v>38573</v>
          </cell>
          <cell r="F3596" t="str">
            <v>6405</v>
          </cell>
          <cell r="G3596" t="str">
            <v>Disney Worldwide:Main Street Confectionary</v>
          </cell>
          <cell r="H3596">
            <v>1</v>
          </cell>
        </row>
        <row r="3597">
          <cell r="B3597" t="str">
            <v>SWC2000-1168</v>
          </cell>
          <cell r="C3597" t="str">
            <v>Invoice</v>
          </cell>
          <cell r="D3597">
            <v>38604</v>
          </cell>
          <cell r="F3597" t="str">
            <v>7212</v>
          </cell>
          <cell r="G3597" t="str">
            <v>Disney Worldwide:Main Street Confectionary</v>
          </cell>
          <cell r="H3597">
            <v>1</v>
          </cell>
        </row>
        <row r="3598">
          <cell r="B3598" t="str">
            <v>SWC2000-1260</v>
          </cell>
          <cell r="C3598" t="str">
            <v>Invoice</v>
          </cell>
          <cell r="D3598">
            <v>38539</v>
          </cell>
          <cell r="F3598" t="str">
            <v>7028-I</v>
          </cell>
          <cell r="G3598" t="str">
            <v>Raytheon</v>
          </cell>
          <cell r="H3598">
            <v>1</v>
          </cell>
        </row>
        <row r="3599">
          <cell r="B3599" t="str">
            <v>SWC2040-0153</v>
          </cell>
          <cell r="C3599" t="str">
            <v>Invoice</v>
          </cell>
          <cell r="D3599">
            <v>38509</v>
          </cell>
          <cell r="F3599" t="str">
            <v>6252</v>
          </cell>
          <cell r="G3599" t="str">
            <v>Muzak, LLC:Finley YMCA</v>
          </cell>
          <cell r="H3599">
            <v>1</v>
          </cell>
        </row>
        <row r="3600">
          <cell r="B3600" t="str">
            <v>SWC2040-0357</v>
          </cell>
          <cell r="C3600" t="str">
            <v>Invoice</v>
          </cell>
          <cell r="D3600">
            <v>38470</v>
          </cell>
          <cell r="F3600" t="str">
            <v>6006</v>
          </cell>
          <cell r="G3600" t="str">
            <v>Techno Satellite</v>
          </cell>
          <cell r="H3600">
            <v>1</v>
          </cell>
        </row>
        <row r="3601">
          <cell r="B3601" t="str">
            <v>SWC2040-0402</v>
          </cell>
          <cell r="C3601" t="str">
            <v>Invoice</v>
          </cell>
          <cell r="D3601">
            <v>38491</v>
          </cell>
          <cell r="F3601" t="str">
            <v>6113</v>
          </cell>
          <cell r="G3601" t="str">
            <v>Lucky Brand Jeans</v>
          </cell>
          <cell r="H3601">
            <v>1</v>
          </cell>
        </row>
        <row r="3602">
          <cell r="B3602" t="str">
            <v>SWC2040-0479</v>
          </cell>
          <cell r="C3602" t="str">
            <v>Invoice</v>
          </cell>
          <cell r="D3602">
            <v>38554</v>
          </cell>
          <cell r="F3602" t="str">
            <v>7144</v>
          </cell>
          <cell r="G3602" t="str">
            <v>ScentAir Australia Pty Ltd.</v>
          </cell>
          <cell r="H3602">
            <v>1</v>
          </cell>
        </row>
        <row r="3603">
          <cell r="B3603" t="str">
            <v>SWC2040-0479</v>
          </cell>
          <cell r="C3603" t="str">
            <v>Invoice</v>
          </cell>
          <cell r="D3603">
            <v>38601</v>
          </cell>
          <cell r="F3603" t="str">
            <v>7815</v>
          </cell>
          <cell r="G3603" t="str">
            <v>ScentAir Australia Pty Ltd.</v>
          </cell>
          <cell r="H3603">
            <v>1</v>
          </cell>
        </row>
        <row r="3604">
          <cell r="B3604" t="str">
            <v>SWC2040-0493</v>
          </cell>
          <cell r="C3604" t="str">
            <v>Invoice</v>
          </cell>
          <cell r="D3604">
            <v>38554</v>
          </cell>
          <cell r="F3604" t="str">
            <v>7144</v>
          </cell>
          <cell r="G3604" t="str">
            <v>ScentAir Australia Pty Ltd.</v>
          </cell>
          <cell r="H3604">
            <v>1</v>
          </cell>
        </row>
        <row r="3605">
          <cell r="B3605" t="str">
            <v>SWC2040-0496</v>
          </cell>
          <cell r="C3605" t="str">
            <v>Invoice</v>
          </cell>
          <cell r="D3605">
            <v>38447</v>
          </cell>
          <cell r="F3605" t="str">
            <v>5566-I</v>
          </cell>
          <cell r="G3605" t="str">
            <v>Birthday Mania</v>
          </cell>
          <cell r="H3605">
            <v>1</v>
          </cell>
        </row>
        <row r="3606">
          <cell r="B3606" t="str">
            <v>SWC2040-0496</v>
          </cell>
          <cell r="C3606" t="str">
            <v>Invoice</v>
          </cell>
          <cell r="D3606">
            <v>38461</v>
          </cell>
          <cell r="F3606" t="str">
            <v>5697</v>
          </cell>
          <cell r="G3606" t="str">
            <v>Disney Worldwide:Goofy's Candy Company</v>
          </cell>
          <cell r="H3606">
            <v>1</v>
          </cell>
        </row>
        <row r="3607">
          <cell r="B3607" t="str">
            <v>SWC2040-0496</v>
          </cell>
          <cell r="C3607" t="str">
            <v>Invoice</v>
          </cell>
          <cell r="D3607">
            <v>38470</v>
          </cell>
          <cell r="F3607" t="str">
            <v>6006</v>
          </cell>
          <cell r="G3607" t="str">
            <v>Techno Satellite</v>
          </cell>
          <cell r="H3607">
            <v>1</v>
          </cell>
        </row>
        <row r="3608">
          <cell r="B3608" t="str">
            <v>SWC2040-0496</v>
          </cell>
          <cell r="C3608" t="str">
            <v>Invoice</v>
          </cell>
          <cell r="D3608">
            <v>38516</v>
          </cell>
          <cell r="F3608" t="str">
            <v>6315</v>
          </cell>
          <cell r="G3608" t="str">
            <v>Disney Worldwide:Goofy's Candy Company</v>
          </cell>
          <cell r="H3608">
            <v>1</v>
          </cell>
        </row>
        <row r="3609">
          <cell r="B3609" t="str">
            <v>SWC2040-0496</v>
          </cell>
          <cell r="C3609" t="str">
            <v>Invoice</v>
          </cell>
          <cell r="D3609">
            <v>38520</v>
          </cell>
          <cell r="F3609" t="str">
            <v>6267</v>
          </cell>
          <cell r="G3609" t="str">
            <v>Techno Satellite</v>
          </cell>
          <cell r="H3609">
            <v>1</v>
          </cell>
        </row>
        <row r="3610">
          <cell r="B3610" t="str">
            <v>SWC2040-0496</v>
          </cell>
          <cell r="C3610" t="str">
            <v>Invoice</v>
          </cell>
          <cell r="D3610">
            <v>38542</v>
          </cell>
          <cell r="F3610" t="str">
            <v>6322</v>
          </cell>
          <cell r="G3610" t="str">
            <v>Disney Worldwide:Goofy's Candy Company</v>
          </cell>
          <cell r="H3610">
            <v>1</v>
          </cell>
        </row>
        <row r="3611">
          <cell r="B3611" t="str">
            <v>SWC2040-0496</v>
          </cell>
          <cell r="C3611" t="str">
            <v>Invoice</v>
          </cell>
          <cell r="D3611">
            <v>38573</v>
          </cell>
          <cell r="F3611" t="str">
            <v>5595-I</v>
          </cell>
          <cell r="G3611" t="str">
            <v>Disney Worldwide:Goofy's Candy Company</v>
          </cell>
          <cell r="H3611">
            <v>1</v>
          </cell>
        </row>
        <row r="3612">
          <cell r="B3612" t="str">
            <v>SWC2040-0496</v>
          </cell>
          <cell r="C3612" t="str">
            <v>Invoice</v>
          </cell>
          <cell r="D3612">
            <v>38586</v>
          </cell>
          <cell r="F3612" t="str">
            <v>7646</v>
          </cell>
          <cell r="G3612" t="str">
            <v>Disney Worldwide:Goofy's Candy Company</v>
          </cell>
          <cell r="H3612">
            <v>1</v>
          </cell>
        </row>
        <row r="3613">
          <cell r="B3613" t="str">
            <v>SWC2040-0496</v>
          </cell>
          <cell r="C3613" t="str">
            <v>Invoice</v>
          </cell>
          <cell r="D3613">
            <v>38601</v>
          </cell>
          <cell r="F3613" t="str">
            <v>7815</v>
          </cell>
          <cell r="G3613" t="str">
            <v>ScentAir Australia Pty Ltd.</v>
          </cell>
          <cell r="H3613">
            <v>1</v>
          </cell>
        </row>
        <row r="3614">
          <cell r="B3614" t="str">
            <v>SWC2040-0534</v>
          </cell>
          <cell r="C3614" t="str">
            <v>Invoice</v>
          </cell>
          <cell r="D3614">
            <v>38565</v>
          </cell>
          <cell r="F3614" t="str">
            <v>7222</v>
          </cell>
          <cell r="G3614" t="str">
            <v>Scent Events, LLC</v>
          </cell>
          <cell r="H3614">
            <v>1</v>
          </cell>
        </row>
        <row r="3615">
          <cell r="B3615" t="str">
            <v>SWC2040-0729</v>
          </cell>
          <cell r="C3615" t="str">
            <v>Invoice</v>
          </cell>
          <cell r="D3615">
            <v>38554</v>
          </cell>
          <cell r="F3615" t="str">
            <v>7144</v>
          </cell>
          <cell r="G3615" t="str">
            <v>ScentAir Australia Pty Ltd.</v>
          </cell>
          <cell r="H3615">
            <v>1</v>
          </cell>
        </row>
        <row r="3616">
          <cell r="B3616" t="str">
            <v>SWC2040-0766</v>
          </cell>
          <cell r="C3616" t="str">
            <v>Invoice</v>
          </cell>
          <cell r="D3616">
            <v>38470</v>
          </cell>
          <cell r="F3616" t="str">
            <v>6006</v>
          </cell>
          <cell r="G3616" t="str">
            <v>Techno Satellite</v>
          </cell>
          <cell r="H3616">
            <v>1</v>
          </cell>
        </row>
        <row r="3617">
          <cell r="B3617" t="str">
            <v>SWC2040-0780</v>
          </cell>
          <cell r="C3617" t="str">
            <v>Invoice</v>
          </cell>
          <cell r="D3617">
            <v>38554</v>
          </cell>
          <cell r="F3617" t="str">
            <v>7144</v>
          </cell>
          <cell r="G3617" t="str">
            <v>ScentAir Australia Pty Ltd.</v>
          </cell>
          <cell r="H3617">
            <v>1</v>
          </cell>
        </row>
        <row r="3618">
          <cell r="B3618" t="str">
            <v>SWC2040-0780</v>
          </cell>
          <cell r="C3618" t="str">
            <v>Invoice</v>
          </cell>
          <cell r="D3618">
            <v>38601</v>
          </cell>
          <cell r="F3618" t="str">
            <v>7815</v>
          </cell>
          <cell r="G3618" t="str">
            <v>ScentAir Australia Pty Ltd.</v>
          </cell>
          <cell r="H3618">
            <v>1</v>
          </cell>
        </row>
        <row r="3619">
          <cell r="B3619" t="str">
            <v>SWC2040-0794</v>
          </cell>
          <cell r="C3619" t="str">
            <v>Invoice</v>
          </cell>
          <cell r="D3619">
            <v>38533</v>
          </cell>
          <cell r="F3619" t="str">
            <v>7030</v>
          </cell>
          <cell r="G3619" t="str">
            <v>Biotech Calender</v>
          </cell>
          <cell r="H3619">
            <v>1</v>
          </cell>
        </row>
        <row r="3620">
          <cell r="B3620" t="str">
            <v>SWC2040-0794</v>
          </cell>
          <cell r="C3620" t="str">
            <v>Invoice</v>
          </cell>
          <cell r="D3620">
            <v>38554</v>
          </cell>
          <cell r="F3620" t="str">
            <v>7144</v>
          </cell>
          <cell r="G3620" t="str">
            <v>ScentAir Australia Pty Ltd.</v>
          </cell>
          <cell r="H3620">
            <v>1</v>
          </cell>
        </row>
        <row r="3621">
          <cell r="B3621" t="str">
            <v>SWC2040-0794</v>
          </cell>
          <cell r="C3621" t="str">
            <v>Invoice</v>
          </cell>
          <cell r="D3621">
            <v>38582</v>
          </cell>
          <cell r="F3621" t="str">
            <v>7508</v>
          </cell>
          <cell r="G3621" t="str">
            <v>Muzak, LLC</v>
          </cell>
          <cell r="H3621">
            <v>1</v>
          </cell>
        </row>
        <row r="3622">
          <cell r="B3622" t="str">
            <v>SWC2040-0828</v>
          </cell>
          <cell r="C3622" t="str">
            <v>Invoice</v>
          </cell>
          <cell r="D3622">
            <v>38554</v>
          </cell>
          <cell r="F3622" t="str">
            <v>7144</v>
          </cell>
          <cell r="G3622" t="str">
            <v>ScentAir Australia Pty Ltd.</v>
          </cell>
          <cell r="H3622">
            <v>1</v>
          </cell>
        </row>
        <row r="3623">
          <cell r="B3623" t="str">
            <v>SWC2040-0836</v>
          </cell>
          <cell r="C3623" t="str">
            <v>Invoice</v>
          </cell>
          <cell r="D3623">
            <v>38533</v>
          </cell>
          <cell r="F3623" t="str">
            <v>7030</v>
          </cell>
          <cell r="G3623" t="str">
            <v>Biotech Calender</v>
          </cell>
          <cell r="H3623">
            <v>1</v>
          </cell>
        </row>
        <row r="3624">
          <cell r="B3624" t="str">
            <v>SWC2040-0838</v>
          </cell>
          <cell r="C3624" t="str">
            <v>Invoice</v>
          </cell>
          <cell r="D3624">
            <v>38575</v>
          </cell>
          <cell r="F3624" t="str">
            <v>7394</v>
          </cell>
          <cell r="G3624" t="str">
            <v>ScentAir Australia Pty Ltd.</v>
          </cell>
          <cell r="H3624">
            <v>1</v>
          </cell>
        </row>
        <row r="3625">
          <cell r="B3625" t="str">
            <v>SWC2040-0841</v>
          </cell>
          <cell r="C3625" t="str">
            <v>Invoice</v>
          </cell>
          <cell r="D3625">
            <v>38554</v>
          </cell>
          <cell r="F3625" t="str">
            <v>7144</v>
          </cell>
          <cell r="G3625" t="str">
            <v>ScentAir Australia Pty Ltd.</v>
          </cell>
          <cell r="H3625">
            <v>1</v>
          </cell>
        </row>
        <row r="3626">
          <cell r="B3626" t="str">
            <v>SWC2040-0849</v>
          </cell>
          <cell r="C3626" t="str">
            <v>Invoice</v>
          </cell>
          <cell r="D3626">
            <v>38524</v>
          </cell>
          <cell r="F3626" t="str">
            <v>6249</v>
          </cell>
          <cell r="G3626" t="str">
            <v>Muzak, LLC:Central Dermatology Center</v>
          </cell>
          <cell r="H3626">
            <v>1</v>
          </cell>
        </row>
        <row r="3627">
          <cell r="B3627" t="str">
            <v>SWC2040-0849</v>
          </cell>
          <cell r="C3627" t="str">
            <v>Invoice</v>
          </cell>
          <cell r="D3627">
            <v>38582</v>
          </cell>
          <cell r="F3627" t="str">
            <v>7508</v>
          </cell>
          <cell r="G3627" t="str">
            <v>Muzak, LLC</v>
          </cell>
          <cell r="H3627">
            <v>1</v>
          </cell>
        </row>
        <row r="3628">
          <cell r="B3628" t="str">
            <v>SWC2040-0851</v>
          </cell>
          <cell r="C3628" t="str">
            <v>Invoice</v>
          </cell>
          <cell r="D3628">
            <v>38554</v>
          </cell>
          <cell r="F3628" t="str">
            <v>7144</v>
          </cell>
          <cell r="G3628" t="str">
            <v>ScentAir Australia Pty Ltd.</v>
          </cell>
          <cell r="H3628">
            <v>1</v>
          </cell>
        </row>
        <row r="3629">
          <cell r="B3629" t="str">
            <v>SWC2040-0854</v>
          </cell>
          <cell r="C3629" t="str">
            <v>Invoice</v>
          </cell>
          <cell r="D3629">
            <v>38614</v>
          </cell>
          <cell r="F3629" t="str">
            <v>7997</v>
          </cell>
          <cell r="G3629" t="str">
            <v>ScentAir - Corporate Associates:Dave Van Epps</v>
          </cell>
          <cell r="H3629">
            <v>1</v>
          </cell>
        </row>
        <row r="3630">
          <cell r="B3630" t="str">
            <v>SWC2040-0880</v>
          </cell>
          <cell r="C3630" t="str">
            <v>Invoice</v>
          </cell>
          <cell r="D3630">
            <v>38625</v>
          </cell>
          <cell r="F3630" t="str">
            <v>8200</v>
          </cell>
          <cell r="G3630" t="str">
            <v>ScentAir Australia Pty Ltd.</v>
          </cell>
          <cell r="H3630">
            <v>1</v>
          </cell>
        </row>
        <row r="3631">
          <cell r="B3631" t="str">
            <v>SWC2040-0912</v>
          </cell>
          <cell r="C3631" t="str">
            <v>Invoice</v>
          </cell>
          <cell r="D3631">
            <v>38491</v>
          </cell>
          <cell r="F3631" t="str">
            <v>6113</v>
          </cell>
          <cell r="G3631" t="str">
            <v>Lucky Brand Jeans</v>
          </cell>
          <cell r="H3631">
            <v>1</v>
          </cell>
        </row>
        <row r="3632">
          <cell r="B3632" t="str">
            <v>SWC2040-0913</v>
          </cell>
          <cell r="C3632" t="str">
            <v>Invoice</v>
          </cell>
          <cell r="D3632">
            <v>38621</v>
          </cell>
          <cell r="F3632" t="str">
            <v>8051</v>
          </cell>
          <cell r="G3632" t="str">
            <v>Muzak, LLC:Food Lion #0531 (Bloom Stores)</v>
          </cell>
          <cell r="H3632">
            <v>1</v>
          </cell>
        </row>
        <row r="3633">
          <cell r="B3633" t="str">
            <v>SWC2040-0913</v>
          </cell>
          <cell r="C3633" t="str">
            <v>Invoice</v>
          </cell>
          <cell r="D3633">
            <v>38621</v>
          </cell>
          <cell r="F3633" t="str">
            <v>8052</v>
          </cell>
          <cell r="G3633" t="str">
            <v>Muzak, LLC:Food Lion #0564 (Bloom Stores)</v>
          </cell>
          <cell r="H3633">
            <v>1</v>
          </cell>
        </row>
        <row r="3634">
          <cell r="B3634" t="str">
            <v>SWC2040-0913</v>
          </cell>
          <cell r="C3634" t="str">
            <v>Invoice</v>
          </cell>
          <cell r="D3634">
            <v>38621</v>
          </cell>
          <cell r="F3634" t="str">
            <v>8053</v>
          </cell>
          <cell r="G3634" t="str">
            <v>Muzak, LLC:Food Lion #1351 (Bloom Stores)</v>
          </cell>
          <cell r="H3634">
            <v>1</v>
          </cell>
        </row>
        <row r="3635">
          <cell r="B3635" t="str">
            <v>SWC2040-0913</v>
          </cell>
          <cell r="C3635" t="str">
            <v>Invoice</v>
          </cell>
          <cell r="D3635">
            <v>38621</v>
          </cell>
          <cell r="F3635" t="str">
            <v>8054</v>
          </cell>
          <cell r="G3635" t="str">
            <v>Muzak, LLC:Food Lion #1438 (Bloom Stores)</v>
          </cell>
          <cell r="H3635">
            <v>1</v>
          </cell>
        </row>
        <row r="3636">
          <cell r="B3636" t="str">
            <v>SWC2040-0913</v>
          </cell>
          <cell r="C3636" t="str">
            <v>Invoice</v>
          </cell>
          <cell r="D3636">
            <v>38621</v>
          </cell>
          <cell r="F3636" t="str">
            <v>8055</v>
          </cell>
          <cell r="G3636" t="str">
            <v>Muzak, LLC:Food Lion #2565 (Bloom Stores)</v>
          </cell>
          <cell r="H3636">
            <v>1</v>
          </cell>
        </row>
        <row r="3637">
          <cell r="B3637" t="str">
            <v>SWC2040-0956</v>
          </cell>
          <cell r="C3637" t="str">
            <v>Invoice</v>
          </cell>
          <cell r="D3637">
            <v>38587</v>
          </cell>
          <cell r="F3637" t="str">
            <v>7665</v>
          </cell>
          <cell r="G3637" t="str">
            <v>Muzak, LLC:Muzak (Demo)</v>
          </cell>
          <cell r="H3637">
            <v>1</v>
          </cell>
        </row>
        <row r="3638">
          <cell r="B3638" t="str">
            <v>SWC2040-0963</v>
          </cell>
          <cell r="C3638" t="str">
            <v>Invoice</v>
          </cell>
          <cell r="D3638">
            <v>38588</v>
          </cell>
          <cell r="F3638" t="str">
            <v>7671</v>
          </cell>
          <cell r="G3638" t="str">
            <v>ScentAir Australia Pty Ltd.</v>
          </cell>
          <cell r="H3638">
            <v>1</v>
          </cell>
        </row>
        <row r="3639">
          <cell r="B3639" t="str">
            <v>SWC2040-1016</v>
          </cell>
          <cell r="C3639" t="str">
            <v>Invoice</v>
          </cell>
          <cell r="D3639">
            <v>38491</v>
          </cell>
          <cell r="F3639" t="str">
            <v>6289</v>
          </cell>
          <cell r="G3639" t="str">
            <v>Cheeseburger in Paradise</v>
          </cell>
          <cell r="H3639">
            <v>1</v>
          </cell>
        </row>
        <row r="3640">
          <cell r="B3640" t="str">
            <v>SWC2040-1016</v>
          </cell>
          <cell r="C3640" t="str">
            <v>Invoice</v>
          </cell>
          <cell r="D3640">
            <v>38505</v>
          </cell>
          <cell r="F3640" t="str">
            <v>5569A</v>
          </cell>
          <cell r="G3640" t="str">
            <v>Muzak, LLC:Anytime Fitness</v>
          </cell>
          <cell r="H3640">
            <v>1</v>
          </cell>
        </row>
        <row r="3641">
          <cell r="B3641" t="str">
            <v>SWC2040-1031</v>
          </cell>
          <cell r="C3641" t="str">
            <v>Invoice</v>
          </cell>
          <cell r="D3641">
            <v>38565</v>
          </cell>
          <cell r="F3641" t="str">
            <v>7222</v>
          </cell>
          <cell r="G3641" t="str">
            <v>Scent Events, LLC</v>
          </cell>
          <cell r="H3641">
            <v>1</v>
          </cell>
        </row>
        <row r="3642">
          <cell r="B3642" t="str">
            <v>SWC2040-1031</v>
          </cell>
          <cell r="C3642" t="str">
            <v>Invoice</v>
          </cell>
          <cell r="D3642">
            <v>38621</v>
          </cell>
          <cell r="F3642" t="str">
            <v>8051</v>
          </cell>
          <cell r="G3642" t="str">
            <v>Muzak, LLC:Food Lion #0531 (Bloom Stores)</v>
          </cell>
          <cell r="H3642">
            <v>1</v>
          </cell>
        </row>
        <row r="3643">
          <cell r="B3643" t="str">
            <v>SWC2040-1031</v>
          </cell>
          <cell r="C3643" t="str">
            <v>Invoice</v>
          </cell>
          <cell r="D3643">
            <v>38621</v>
          </cell>
          <cell r="F3643" t="str">
            <v>8052</v>
          </cell>
          <cell r="G3643" t="str">
            <v>Muzak, LLC:Food Lion #0564 (Bloom Stores)</v>
          </cell>
          <cell r="H3643">
            <v>1</v>
          </cell>
        </row>
        <row r="3644">
          <cell r="B3644" t="str">
            <v>SWC2040-1031</v>
          </cell>
          <cell r="C3644" t="str">
            <v>Invoice</v>
          </cell>
          <cell r="D3644">
            <v>38621</v>
          </cell>
          <cell r="F3644" t="str">
            <v>8053</v>
          </cell>
          <cell r="G3644" t="str">
            <v>Muzak, LLC:Food Lion #1351 (Bloom Stores)</v>
          </cell>
          <cell r="H3644">
            <v>1</v>
          </cell>
        </row>
        <row r="3645">
          <cell r="B3645" t="str">
            <v>SWC2040-1031</v>
          </cell>
          <cell r="C3645" t="str">
            <v>Invoice</v>
          </cell>
          <cell r="D3645">
            <v>38621</v>
          </cell>
          <cell r="F3645" t="str">
            <v>8054</v>
          </cell>
          <cell r="G3645" t="str">
            <v>Muzak, LLC:Food Lion #1438 (Bloom Stores)</v>
          </cell>
          <cell r="H3645">
            <v>1</v>
          </cell>
        </row>
        <row r="3646">
          <cell r="B3646" t="str">
            <v>SWC2040-1031</v>
          </cell>
          <cell r="C3646" t="str">
            <v>Invoice</v>
          </cell>
          <cell r="D3646">
            <v>38621</v>
          </cell>
          <cell r="F3646" t="str">
            <v>8055</v>
          </cell>
          <cell r="G3646" t="str">
            <v>Muzak, LLC:Food Lion #2565 (Bloom Stores)</v>
          </cell>
          <cell r="H3646">
            <v>1</v>
          </cell>
        </row>
        <row r="3647">
          <cell r="B3647" t="str">
            <v>SWC2040-1035</v>
          </cell>
          <cell r="C3647" t="str">
            <v>Invoice</v>
          </cell>
          <cell r="D3647">
            <v>38513</v>
          </cell>
          <cell r="F3647" t="str">
            <v>5553A</v>
          </cell>
          <cell r="G3647" t="str">
            <v>Muzak, LLC:Doctor's Urgent Care</v>
          </cell>
          <cell r="H3647">
            <v>1</v>
          </cell>
        </row>
        <row r="3648">
          <cell r="B3648" t="str">
            <v>SWC2040-1095</v>
          </cell>
          <cell r="C3648" t="str">
            <v>Invoice</v>
          </cell>
          <cell r="D3648">
            <v>38503</v>
          </cell>
          <cell r="F3648" t="str">
            <v>6190</v>
          </cell>
          <cell r="G3648" t="str">
            <v>Cumberland Farms, Inc.:Cumberland Farms #0131</v>
          </cell>
          <cell r="H3648">
            <v>1</v>
          </cell>
        </row>
        <row r="3649">
          <cell r="B3649" t="str">
            <v>SWC2040-1095</v>
          </cell>
          <cell r="C3649" t="str">
            <v>Invoice</v>
          </cell>
          <cell r="D3649">
            <v>38503</v>
          </cell>
          <cell r="F3649" t="str">
            <v>6198</v>
          </cell>
          <cell r="G3649" t="str">
            <v>Cumberland Farms, Inc.:Cumberland Farms #0187</v>
          </cell>
          <cell r="H3649">
            <v>1</v>
          </cell>
        </row>
        <row r="3650">
          <cell r="B3650" t="str">
            <v>SWC2040-1095</v>
          </cell>
          <cell r="C3650" t="str">
            <v>Invoice</v>
          </cell>
          <cell r="D3650">
            <v>38503</v>
          </cell>
          <cell r="F3650" t="str">
            <v>6199</v>
          </cell>
          <cell r="G3650" t="str">
            <v>Cumberland Farms, Inc.:Cumberland Farms #0202</v>
          </cell>
          <cell r="H3650">
            <v>1</v>
          </cell>
        </row>
        <row r="3651">
          <cell r="B3651" t="str">
            <v>SWC2040-1095</v>
          </cell>
          <cell r="C3651" t="str">
            <v>Invoice</v>
          </cell>
          <cell r="D3651">
            <v>38503</v>
          </cell>
          <cell r="F3651" t="str">
            <v>6200</v>
          </cell>
          <cell r="G3651" t="str">
            <v>Cumberland Farms, Inc.:Cumberland Farms #2312</v>
          </cell>
          <cell r="H3651">
            <v>1</v>
          </cell>
        </row>
        <row r="3652">
          <cell r="B3652" t="str">
            <v>SWC2040-1095</v>
          </cell>
          <cell r="C3652" t="str">
            <v>Invoice</v>
          </cell>
          <cell r="D3652">
            <v>38503</v>
          </cell>
          <cell r="F3652" t="str">
            <v>6201</v>
          </cell>
          <cell r="G3652" t="str">
            <v>Cumberland Farms, Inc.:Cumberland Farms #3508</v>
          </cell>
          <cell r="H3652">
            <v>1</v>
          </cell>
        </row>
        <row r="3653">
          <cell r="B3653" t="str">
            <v>SWC2040-1095</v>
          </cell>
          <cell r="C3653" t="str">
            <v>Invoice</v>
          </cell>
          <cell r="D3653">
            <v>38504</v>
          </cell>
          <cell r="F3653" t="str">
            <v>6220</v>
          </cell>
          <cell r="G3653" t="str">
            <v>Muzak, LLC:Quick Chek - 09</v>
          </cell>
          <cell r="H3653">
            <v>1</v>
          </cell>
        </row>
        <row r="3654">
          <cell r="B3654" t="str">
            <v>SWC2040-1095</v>
          </cell>
          <cell r="C3654" t="str">
            <v>Invoice</v>
          </cell>
          <cell r="D3654">
            <v>38510</v>
          </cell>
          <cell r="F3654" t="str">
            <v>6253</v>
          </cell>
          <cell r="G3654" t="str">
            <v>Muzak, LLC:Dunkin Donuts - Charlotte</v>
          </cell>
          <cell r="H3654">
            <v>1</v>
          </cell>
        </row>
        <row r="3655">
          <cell r="B3655" t="str">
            <v>SWC2040-1099</v>
          </cell>
          <cell r="C3655" t="str">
            <v>Invoice</v>
          </cell>
          <cell r="D3655">
            <v>38495</v>
          </cell>
          <cell r="F3655" t="str">
            <v>6123</v>
          </cell>
          <cell r="G3655" t="str">
            <v>Vita-Mix Corporation:VMC Coporate Office</v>
          </cell>
          <cell r="H3655">
            <v>1</v>
          </cell>
        </row>
        <row r="3656">
          <cell r="B3656" t="str">
            <v>SWC2040-1105</v>
          </cell>
          <cell r="C3656" t="str">
            <v>Invoice</v>
          </cell>
          <cell r="D3656">
            <v>38544</v>
          </cell>
          <cell r="F3656" t="str">
            <v>7124</v>
          </cell>
          <cell r="G3656" t="str">
            <v>ScentAir - Corporate Associates:Pamela Knock</v>
          </cell>
          <cell r="H3656">
            <v>1</v>
          </cell>
        </row>
        <row r="3657">
          <cell r="B3657" t="str">
            <v>SWC2040-1105</v>
          </cell>
          <cell r="C3657" t="str">
            <v>Invoice</v>
          </cell>
          <cell r="D3657">
            <v>38607</v>
          </cell>
          <cell r="F3657" t="str">
            <v>7890</v>
          </cell>
          <cell r="G3657" t="str">
            <v>ScentAir Australia Pty Ltd.</v>
          </cell>
          <cell r="H3657">
            <v>1</v>
          </cell>
        </row>
        <row r="3658">
          <cell r="B3658" t="str">
            <v>SWC2040-1105</v>
          </cell>
          <cell r="C3658" t="str">
            <v>Invoice</v>
          </cell>
          <cell r="D3658">
            <v>38625</v>
          </cell>
          <cell r="F3658" t="str">
            <v>8200</v>
          </cell>
          <cell r="G3658" t="str">
            <v>ScentAir Australia Pty Ltd.</v>
          </cell>
          <cell r="H3658">
            <v>1</v>
          </cell>
        </row>
        <row r="3659">
          <cell r="B3659" t="str">
            <v>SWC2040-1136</v>
          </cell>
          <cell r="C3659" t="str">
            <v>Invoice</v>
          </cell>
          <cell r="D3659">
            <v>38625</v>
          </cell>
          <cell r="F3659" t="str">
            <v>8200</v>
          </cell>
          <cell r="G3659" t="str">
            <v>ScentAir Australia Pty Ltd.</v>
          </cell>
          <cell r="H3659">
            <v>1</v>
          </cell>
        </row>
        <row r="3660">
          <cell r="B3660" t="str">
            <v>SWC2040-1254</v>
          </cell>
          <cell r="C3660" t="str">
            <v>Invoice</v>
          </cell>
          <cell r="D3660">
            <v>38470</v>
          </cell>
          <cell r="F3660" t="str">
            <v>6006</v>
          </cell>
          <cell r="G3660" t="str">
            <v>Techno Satellite</v>
          </cell>
          <cell r="H3660">
            <v>1</v>
          </cell>
        </row>
        <row r="3661">
          <cell r="B3661" t="str">
            <v>SWC2040-1258</v>
          </cell>
          <cell r="C3661" t="str">
            <v>Invoice</v>
          </cell>
          <cell r="D3661">
            <v>38470</v>
          </cell>
          <cell r="F3661" t="str">
            <v>6006</v>
          </cell>
          <cell r="G3661" t="str">
            <v>Techno Satellite</v>
          </cell>
          <cell r="H3661">
            <v>1</v>
          </cell>
        </row>
        <row r="3662">
          <cell r="B3662" t="str">
            <v>SWC2040-1340</v>
          </cell>
          <cell r="C3662" t="str">
            <v>Invoice</v>
          </cell>
          <cell r="D3662">
            <v>38525</v>
          </cell>
          <cell r="F3662" t="str">
            <v>6189</v>
          </cell>
          <cell r="G3662" t="str">
            <v>Lee-Moore Oil Company:Exxon OTR - 21</v>
          </cell>
          <cell r="H3662">
            <v>1</v>
          </cell>
        </row>
        <row r="3663">
          <cell r="B3663" t="str">
            <v>SWC2040-1340</v>
          </cell>
          <cell r="C3663" t="str">
            <v>Invoice</v>
          </cell>
          <cell r="D3663">
            <v>38525</v>
          </cell>
          <cell r="F3663" t="str">
            <v>6182</v>
          </cell>
          <cell r="G3663" t="str">
            <v>Lee-Moore Oil Company:Exxon OTR - 70</v>
          </cell>
          <cell r="H3663">
            <v>1</v>
          </cell>
        </row>
        <row r="3664">
          <cell r="B3664" t="str">
            <v>SWC2040-1340</v>
          </cell>
          <cell r="C3664" t="str">
            <v>Invoice</v>
          </cell>
          <cell r="D3664">
            <v>38525</v>
          </cell>
          <cell r="F3664" t="str">
            <v>6122</v>
          </cell>
          <cell r="G3664" t="str">
            <v>Lee-Moore Oil Company:Exxon OTR - 22</v>
          </cell>
          <cell r="H3664">
            <v>1</v>
          </cell>
        </row>
        <row r="3665">
          <cell r="B3665" t="str">
            <v>SWC2040-1340</v>
          </cell>
          <cell r="C3665" t="str">
            <v>Invoice</v>
          </cell>
          <cell r="D3665">
            <v>38525</v>
          </cell>
          <cell r="F3665" t="str">
            <v>6183</v>
          </cell>
          <cell r="G3665" t="str">
            <v>Lee-Moore Oil Company:Exxon OTR - 42</v>
          </cell>
          <cell r="H3665">
            <v>1</v>
          </cell>
        </row>
        <row r="3666">
          <cell r="B3666" t="str">
            <v>SWC2040-1340</v>
          </cell>
          <cell r="C3666" t="str">
            <v>Invoice</v>
          </cell>
          <cell r="D3666">
            <v>38525</v>
          </cell>
          <cell r="F3666" t="str">
            <v>6184</v>
          </cell>
          <cell r="G3666" t="str">
            <v>Lee-Moore Oil Company:Exxon OTR - 41</v>
          </cell>
          <cell r="H3666">
            <v>1</v>
          </cell>
        </row>
        <row r="3667">
          <cell r="B3667" t="str">
            <v>SWC2040-1340</v>
          </cell>
          <cell r="C3667" t="str">
            <v>Invoice</v>
          </cell>
          <cell r="D3667">
            <v>38525</v>
          </cell>
          <cell r="F3667" t="str">
            <v>6176</v>
          </cell>
          <cell r="G3667" t="str">
            <v>Lee-Moore Oil Company:Exxon OTR - 36</v>
          </cell>
          <cell r="H3667">
            <v>1</v>
          </cell>
        </row>
        <row r="3668">
          <cell r="B3668" t="str">
            <v>SWC2040-1340</v>
          </cell>
          <cell r="C3668" t="str">
            <v>Invoice</v>
          </cell>
          <cell r="D3668">
            <v>38525</v>
          </cell>
          <cell r="F3668" t="str">
            <v>6181</v>
          </cell>
          <cell r="G3668" t="str">
            <v>Lee-Moore Oil Company:Exxon OTR - 71</v>
          </cell>
          <cell r="H3668">
            <v>1</v>
          </cell>
        </row>
        <row r="3669">
          <cell r="B3669" t="str">
            <v>SWC2040-1340</v>
          </cell>
          <cell r="C3669" t="str">
            <v>Invoice</v>
          </cell>
          <cell r="D3669">
            <v>38525</v>
          </cell>
          <cell r="F3669" t="str">
            <v>6187</v>
          </cell>
          <cell r="G3669" t="str">
            <v>Lee-Moore Oil Company:Exxon OTR - 20</v>
          </cell>
          <cell r="H3669">
            <v>1</v>
          </cell>
        </row>
        <row r="3670">
          <cell r="B3670" t="str">
            <v>SWC2040-1340</v>
          </cell>
          <cell r="C3670" t="str">
            <v>Invoice</v>
          </cell>
          <cell r="D3670">
            <v>38525</v>
          </cell>
          <cell r="F3670" t="str">
            <v>6185</v>
          </cell>
          <cell r="G3670" t="str">
            <v>Lee-Moore Oil Company:Exxon OTR - 30</v>
          </cell>
          <cell r="H3670">
            <v>1</v>
          </cell>
        </row>
        <row r="3671">
          <cell r="B3671" t="str">
            <v>SWC2040-1340</v>
          </cell>
          <cell r="C3671" t="str">
            <v>Invoice</v>
          </cell>
          <cell r="D3671">
            <v>38525</v>
          </cell>
          <cell r="F3671" t="str">
            <v>6186</v>
          </cell>
          <cell r="G3671" t="str">
            <v>Lee-Moore Oil Company:Exxon OTR - 29</v>
          </cell>
          <cell r="H3671">
            <v>1</v>
          </cell>
        </row>
        <row r="3672">
          <cell r="B3672" t="str">
            <v>SWC2040-1340</v>
          </cell>
          <cell r="C3672" t="str">
            <v>Invoice</v>
          </cell>
          <cell r="D3672">
            <v>38539</v>
          </cell>
          <cell r="F3672" t="str">
            <v>7073</v>
          </cell>
          <cell r="G3672" t="str">
            <v>Lee-Moore Oil Company:Exxon OTR - 42</v>
          </cell>
          <cell r="H3672">
            <v>1</v>
          </cell>
        </row>
        <row r="3673">
          <cell r="B3673" t="str">
            <v>SWC2040-1340</v>
          </cell>
          <cell r="C3673" t="str">
            <v>Invoice</v>
          </cell>
          <cell r="D3673">
            <v>38580</v>
          </cell>
          <cell r="F3673" t="str">
            <v>7069</v>
          </cell>
          <cell r="G3673" t="str">
            <v>Lee-Moore Oil Company:Exxon OTR - 37</v>
          </cell>
          <cell r="H3673">
            <v>1</v>
          </cell>
        </row>
        <row r="3674">
          <cell r="B3674" t="str">
            <v>SWC2040-1340</v>
          </cell>
          <cell r="C3674" t="str">
            <v>Invoice</v>
          </cell>
          <cell r="D3674">
            <v>38580</v>
          </cell>
          <cell r="F3674" t="str">
            <v>7068</v>
          </cell>
          <cell r="G3674" t="str">
            <v>Lee-Moore Oil Company:Exxon OTR - 20</v>
          </cell>
          <cell r="H3674">
            <v>1</v>
          </cell>
        </row>
        <row r="3675">
          <cell r="B3675" t="str">
            <v>SWC2040-1340</v>
          </cell>
          <cell r="C3675" t="str">
            <v>Invoice</v>
          </cell>
          <cell r="D3675">
            <v>38580</v>
          </cell>
          <cell r="F3675" t="str">
            <v>7067</v>
          </cell>
          <cell r="G3675" t="str">
            <v>Lee-Moore Oil Company:Exxon OTR - 29</v>
          </cell>
          <cell r="H3675">
            <v>1</v>
          </cell>
        </row>
        <row r="3676">
          <cell r="B3676" t="str">
            <v>SWC2040-1340</v>
          </cell>
          <cell r="C3676" t="str">
            <v>Invoice</v>
          </cell>
          <cell r="D3676">
            <v>38580</v>
          </cell>
          <cell r="F3676" t="str">
            <v>7066</v>
          </cell>
          <cell r="G3676" t="str">
            <v>Lee-Moore Oil Company:Exxon OTR - 30</v>
          </cell>
          <cell r="H3676">
            <v>1</v>
          </cell>
        </row>
        <row r="3677">
          <cell r="B3677" t="str">
            <v>SWC2040-1340</v>
          </cell>
          <cell r="C3677" t="str">
            <v>Invoice</v>
          </cell>
          <cell r="D3677">
            <v>38580</v>
          </cell>
          <cell r="F3677" t="str">
            <v>7071</v>
          </cell>
          <cell r="G3677" t="str">
            <v>Lee-Moore Oil Company:Exxon OTR - 21</v>
          </cell>
          <cell r="H3677">
            <v>1</v>
          </cell>
        </row>
        <row r="3678">
          <cell r="B3678" t="str">
            <v>SWC2040-1340</v>
          </cell>
          <cell r="C3678" t="str">
            <v>Invoice</v>
          </cell>
          <cell r="D3678">
            <v>38580</v>
          </cell>
          <cell r="F3678" t="str">
            <v>7062</v>
          </cell>
          <cell r="G3678" t="str">
            <v>Lee-Moore Oil Company:Exxon OTR - 71</v>
          </cell>
          <cell r="H3678">
            <v>1</v>
          </cell>
        </row>
        <row r="3679">
          <cell r="B3679" t="str">
            <v>SWC2040-1340</v>
          </cell>
          <cell r="C3679" t="str">
            <v>Invoice</v>
          </cell>
          <cell r="D3679">
            <v>38580</v>
          </cell>
          <cell r="F3679" t="str">
            <v>7070</v>
          </cell>
          <cell r="G3679" t="str">
            <v>Lee-Moore Oil Company:Exxon OTR - 36</v>
          </cell>
          <cell r="H3679">
            <v>1</v>
          </cell>
        </row>
        <row r="3680">
          <cell r="B3680" t="str">
            <v>SWC2040-1340</v>
          </cell>
          <cell r="C3680" t="str">
            <v>Invoice</v>
          </cell>
          <cell r="D3680">
            <v>38580</v>
          </cell>
          <cell r="F3680" t="str">
            <v>7072</v>
          </cell>
          <cell r="G3680" t="str">
            <v>Lee-Moore Oil Company:Exxon OTR - 22</v>
          </cell>
          <cell r="H3680">
            <v>1</v>
          </cell>
        </row>
        <row r="3681">
          <cell r="B3681" t="str">
            <v>SWC2040-1340</v>
          </cell>
          <cell r="C3681" t="str">
            <v>Invoice</v>
          </cell>
          <cell r="D3681">
            <v>38580</v>
          </cell>
          <cell r="F3681" t="str">
            <v>7063</v>
          </cell>
          <cell r="G3681" t="str">
            <v>Lee-Moore Oil Company:Exxon OTR - 70</v>
          </cell>
          <cell r="H3681">
            <v>1</v>
          </cell>
        </row>
        <row r="3682">
          <cell r="B3682" t="str">
            <v>SWC2040-1340</v>
          </cell>
          <cell r="C3682" t="str">
            <v>Invoice</v>
          </cell>
          <cell r="D3682">
            <v>38580</v>
          </cell>
          <cell r="F3682" t="str">
            <v>7065</v>
          </cell>
          <cell r="G3682" t="str">
            <v>Lee-Moore Oil Company:Exxon OTR - 41</v>
          </cell>
          <cell r="H3682">
            <v>1</v>
          </cell>
        </row>
        <row r="3683">
          <cell r="B3683" t="str">
            <v>SWC2040-1340</v>
          </cell>
          <cell r="C3683" t="str">
            <v>Invoice</v>
          </cell>
          <cell r="D3683">
            <v>38580</v>
          </cell>
          <cell r="F3683" t="str">
            <v>7064</v>
          </cell>
          <cell r="G3683" t="str">
            <v>Lee-Moore Oil Company:Exxon OTR - 42</v>
          </cell>
          <cell r="H3683">
            <v>1</v>
          </cell>
        </row>
        <row r="3684">
          <cell r="B3684" t="str">
            <v>SWC2040-1364</v>
          </cell>
          <cell r="C3684" t="str">
            <v>Invoice</v>
          </cell>
          <cell r="D3684">
            <v>38503</v>
          </cell>
          <cell r="F3684" t="str">
            <v>6190</v>
          </cell>
          <cell r="G3684" t="str">
            <v>Cumberland Farms, Inc.:Cumberland Farms #0131</v>
          </cell>
          <cell r="H3684">
            <v>1</v>
          </cell>
        </row>
        <row r="3685">
          <cell r="B3685" t="str">
            <v>SWC2040-1364</v>
          </cell>
          <cell r="C3685" t="str">
            <v>Invoice</v>
          </cell>
          <cell r="D3685">
            <v>38503</v>
          </cell>
          <cell r="F3685" t="str">
            <v>6198</v>
          </cell>
          <cell r="G3685" t="str">
            <v>Cumberland Farms, Inc.:Cumberland Farms #0187</v>
          </cell>
          <cell r="H3685">
            <v>1</v>
          </cell>
        </row>
        <row r="3686">
          <cell r="B3686" t="str">
            <v>SWC2040-1364</v>
          </cell>
          <cell r="C3686" t="str">
            <v>Invoice</v>
          </cell>
          <cell r="D3686">
            <v>38503</v>
          </cell>
          <cell r="F3686" t="str">
            <v>6199</v>
          </cell>
          <cell r="G3686" t="str">
            <v>Cumberland Farms, Inc.:Cumberland Farms #0202</v>
          </cell>
          <cell r="H3686">
            <v>1</v>
          </cell>
        </row>
        <row r="3687">
          <cell r="B3687" t="str">
            <v>SWC2040-1364</v>
          </cell>
          <cell r="C3687" t="str">
            <v>Invoice</v>
          </cell>
          <cell r="D3687">
            <v>38503</v>
          </cell>
          <cell r="F3687" t="str">
            <v>6200</v>
          </cell>
          <cell r="G3687" t="str">
            <v>Cumberland Farms, Inc.:Cumberland Farms #2312</v>
          </cell>
          <cell r="H3687">
            <v>1</v>
          </cell>
        </row>
        <row r="3688">
          <cell r="B3688" t="str">
            <v>SWC2040-1364</v>
          </cell>
          <cell r="C3688" t="str">
            <v>Invoice</v>
          </cell>
          <cell r="D3688">
            <v>38503</v>
          </cell>
          <cell r="F3688" t="str">
            <v>6201</v>
          </cell>
          <cell r="G3688" t="str">
            <v>Cumberland Farms, Inc.:Cumberland Farms #3508</v>
          </cell>
          <cell r="H3688">
            <v>1</v>
          </cell>
        </row>
        <row r="3689">
          <cell r="B3689" t="str">
            <v>SWC2040-1364</v>
          </cell>
          <cell r="C3689" t="str">
            <v>Invoice</v>
          </cell>
          <cell r="D3689">
            <v>38511</v>
          </cell>
          <cell r="F3689" t="str">
            <v>6286</v>
          </cell>
          <cell r="G3689" t="str">
            <v>Muzak, LLC:Spink - 191</v>
          </cell>
          <cell r="H3689">
            <v>1</v>
          </cell>
        </row>
        <row r="3690">
          <cell r="B3690" t="str">
            <v>SWC2040-1364</v>
          </cell>
          <cell r="C3690" t="str">
            <v>Invoice</v>
          </cell>
          <cell r="D3690">
            <v>38511</v>
          </cell>
          <cell r="F3690" t="str">
            <v>6285</v>
          </cell>
          <cell r="G3690" t="str">
            <v>Muzak, LLC:Spinx - 100</v>
          </cell>
          <cell r="H3690">
            <v>1</v>
          </cell>
        </row>
        <row r="3691">
          <cell r="B3691" t="str">
            <v>SWC2040-1364</v>
          </cell>
          <cell r="C3691" t="str">
            <v>Invoice</v>
          </cell>
          <cell r="D3691">
            <v>38512</v>
          </cell>
          <cell r="F3691" t="str">
            <v>6319</v>
          </cell>
          <cell r="G3691" t="str">
            <v>Muzak, LLC:Triangle Stop Food Store - 215</v>
          </cell>
          <cell r="H3691">
            <v>1</v>
          </cell>
        </row>
        <row r="3692">
          <cell r="B3692" t="str">
            <v>SWC2040-1364</v>
          </cell>
          <cell r="C3692" t="str">
            <v>Invoice</v>
          </cell>
          <cell r="D3692">
            <v>38512</v>
          </cell>
          <cell r="F3692" t="str">
            <v>6318</v>
          </cell>
          <cell r="G3692" t="str">
            <v>Muzak, LLC:One Stop Food Store</v>
          </cell>
          <cell r="H3692">
            <v>1</v>
          </cell>
        </row>
        <row r="3693">
          <cell r="B3693" t="str">
            <v>SWC2040-1364</v>
          </cell>
          <cell r="C3693" t="str">
            <v>Invoice</v>
          </cell>
          <cell r="D3693">
            <v>38520</v>
          </cell>
          <cell r="F3693" t="str">
            <v>6371</v>
          </cell>
          <cell r="G3693" t="str">
            <v>Ingle's Markets</v>
          </cell>
          <cell r="H3693">
            <v>1</v>
          </cell>
        </row>
        <row r="3694">
          <cell r="B3694" t="str">
            <v>SWC2040-1364</v>
          </cell>
          <cell r="C3694" t="str">
            <v>Invoice</v>
          </cell>
          <cell r="D3694">
            <v>38525</v>
          </cell>
          <cell r="F3694" t="str">
            <v>6188</v>
          </cell>
          <cell r="G3694" t="str">
            <v>Lee-Moore Oil Company:Exxon OTR - 37</v>
          </cell>
          <cell r="H3694">
            <v>1</v>
          </cell>
        </row>
        <row r="3695">
          <cell r="B3695" t="str">
            <v>SWC2040-1408</v>
          </cell>
          <cell r="C3695" t="str">
            <v>Invoice</v>
          </cell>
          <cell r="D3695">
            <v>38602</v>
          </cell>
          <cell r="F3695" t="str">
            <v>7829</v>
          </cell>
          <cell r="G3695" t="str">
            <v>Exxon DDB Worldwide:ExxonMobil #60121</v>
          </cell>
          <cell r="H3695">
            <v>1</v>
          </cell>
        </row>
        <row r="3696">
          <cell r="B3696" t="str">
            <v>SWC2040-1408</v>
          </cell>
          <cell r="C3696" t="str">
            <v>Invoice</v>
          </cell>
          <cell r="D3696">
            <v>38602</v>
          </cell>
          <cell r="F3696" t="str">
            <v>7830</v>
          </cell>
          <cell r="G3696" t="str">
            <v>Exxon DDB Worldwide:ExxonMobil #62065</v>
          </cell>
          <cell r="H3696">
            <v>1</v>
          </cell>
        </row>
        <row r="3697">
          <cell r="B3697" t="str">
            <v>SWC2040-1408</v>
          </cell>
          <cell r="C3697" t="str">
            <v>Invoice</v>
          </cell>
          <cell r="D3697">
            <v>38602</v>
          </cell>
          <cell r="F3697" t="str">
            <v>7831</v>
          </cell>
          <cell r="G3697" t="str">
            <v>Exxon DDB Worldwide:ExxonMobil #80158</v>
          </cell>
          <cell r="H3697">
            <v>1</v>
          </cell>
        </row>
        <row r="3698">
          <cell r="B3698" t="str">
            <v>SWC2040-1408</v>
          </cell>
          <cell r="C3698" t="str">
            <v>Invoice</v>
          </cell>
          <cell r="D3698">
            <v>38602</v>
          </cell>
          <cell r="F3698" t="str">
            <v>7826</v>
          </cell>
          <cell r="G3698" t="str">
            <v>Exxon DDB Worldwide:ExxonMobil #20432</v>
          </cell>
          <cell r="H3698">
            <v>1</v>
          </cell>
        </row>
        <row r="3699">
          <cell r="B3699" t="str">
            <v>SWC2040-1408</v>
          </cell>
          <cell r="C3699" t="str">
            <v>Invoice</v>
          </cell>
          <cell r="D3699">
            <v>38602</v>
          </cell>
          <cell r="F3699" t="str">
            <v>7827</v>
          </cell>
          <cell r="G3699" t="str">
            <v>Exxon DDB Worldwide:ExxonMobil #25329</v>
          </cell>
          <cell r="H3699">
            <v>1</v>
          </cell>
        </row>
        <row r="3700">
          <cell r="B3700" t="str">
            <v>SWC2040-1408</v>
          </cell>
          <cell r="C3700" t="str">
            <v>Invoice</v>
          </cell>
          <cell r="D3700">
            <v>38602</v>
          </cell>
          <cell r="F3700" t="str">
            <v>7828</v>
          </cell>
          <cell r="G3700" t="str">
            <v>Exxon DDB Worldwide:ExxonMobil #27925</v>
          </cell>
          <cell r="H3700">
            <v>1</v>
          </cell>
        </row>
        <row r="3701">
          <cell r="B3701" t="str">
            <v>SWC2040-1408</v>
          </cell>
          <cell r="C3701" t="str">
            <v>Invoice</v>
          </cell>
          <cell r="D3701">
            <v>38603</v>
          </cell>
          <cell r="F3701" t="str">
            <v>7835</v>
          </cell>
          <cell r="G3701" t="str">
            <v>Exxon DDB Worldwide:ExxonMobil #40595</v>
          </cell>
          <cell r="H3701">
            <v>1</v>
          </cell>
        </row>
        <row r="3702">
          <cell r="B3702" t="str">
            <v>SWC2040-1408</v>
          </cell>
          <cell r="C3702" t="str">
            <v>Invoice</v>
          </cell>
          <cell r="D3702">
            <v>38603</v>
          </cell>
          <cell r="F3702" t="str">
            <v>7836</v>
          </cell>
          <cell r="G3702" t="str">
            <v>Exxon DDB Worldwide:ExxonMobil #40600</v>
          </cell>
          <cell r="H3702">
            <v>1</v>
          </cell>
        </row>
        <row r="3703">
          <cell r="B3703" t="str">
            <v>SWC2040-1408</v>
          </cell>
          <cell r="C3703" t="str">
            <v>Invoice</v>
          </cell>
          <cell r="D3703">
            <v>38603</v>
          </cell>
          <cell r="F3703" t="str">
            <v>7837</v>
          </cell>
          <cell r="G3703" t="str">
            <v>Exxon DDB Worldwide:ExxonMobil #47373</v>
          </cell>
          <cell r="H3703">
            <v>1</v>
          </cell>
        </row>
        <row r="3704">
          <cell r="B3704" t="str">
            <v>SWC2040-1408</v>
          </cell>
          <cell r="C3704" t="str">
            <v>Invoice</v>
          </cell>
          <cell r="D3704">
            <v>38623</v>
          </cell>
          <cell r="F3704" t="str">
            <v>8109</v>
          </cell>
          <cell r="G3704" t="str">
            <v>Exxon DDB Worldwide:ExxonMobil #60121</v>
          </cell>
          <cell r="H3704">
            <v>1</v>
          </cell>
        </row>
        <row r="3705">
          <cell r="B3705" t="str">
            <v>SWC2040-1408</v>
          </cell>
          <cell r="C3705" t="str">
            <v>Invoice</v>
          </cell>
          <cell r="D3705">
            <v>38623</v>
          </cell>
          <cell r="F3705" t="str">
            <v>8105</v>
          </cell>
          <cell r="G3705" t="str">
            <v>Exxon DDB Worldwide:ExxonMobil #27925</v>
          </cell>
          <cell r="H3705">
            <v>1</v>
          </cell>
        </row>
        <row r="3706">
          <cell r="B3706" t="str">
            <v>SWC2040-1408</v>
          </cell>
          <cell r="C3706" t="str">
            <v>Invoice</v>
          </cell>
          <cell r="D3706">
            <v>38623</v>
          </cell>
          <cell r="F3706" t="str">
            <v>8107</v>
          </cell>
          <cell r="G3706" t="str">
            <v>Exxon DDB Worldwide:ExxonMobil #40600</v>
          </cell>
          <cell r="H3706">
            <v>1</v>
          </cell>
        </row>
        <row r="3707">
          <cell r="B3707" t="str">
            <v>SWC2040-1408</v>
          </cell>
          <cell r="C3707" t="str">
            <v>Invoice</v>
          </cell>
          <cell r="D3707">
            <v>38623</v>
          </cell>
          <cell r="F3707" t="str">
            <v>8106</v>
          </cell>
          <cell r="G3707" t="str">
            <v>Exxon DDB Worldwide:ExxonMobil #40595</v>
          </cell>
          <cell r="H3707">
            <v>1</v>
          </cell>
        </row>
        <row r="3708">
          <cell r="B3708" t="str">
            <v>SWC2040-1408</v>
          </cell>
          <cell r="C3708" t="str">
            <v>Invoice</v>
          </cell>
          <cell r="D3708">
            <v>38623</v>
          </cell>
          <cell r="F3708" t="str">
            <v>8108</v>
          </cell>
          <cell r="G3708" t="str">
            <v>Exxon DDB Worldwide:ExxonMobil #47373</v>
          </cell>
          <cell r="H3708">
            <v>1</v>
          </cell>
        </row>
        <row r="3709">
          <cell r="B3709" t="str">
            <v>SWC2040-1408</v>
          </cell>
          <cell r="C3709" t="str">
            <v>Invoice</v>
          </cell>
          <cell r="D3709">
            <v>38623</v>
          </cell>
          <cell r="F3709" t="str">
            <v>8111</v>
          </cell>
          <cell r="G3709" t="str">
            <v>Exxon DDB Worldwide:ExxonMobil #80158</v>
          </cell>
          <cell r="H3709">
            <v>1</v>
          </cell>
        </row>
        <row r="3710">
          <cell r="B3710" t="str">
            <v>SWC2040-1408</v>
          </cell>
          <cell r="C3710" t="str">
            <v>Invoice</v>
          </cell>
          <cell r="D3710">
            <v>38623</v>
          </cell>
          <cell r="F3710" t="str">
            <v>8110</v>
          </cell>
          <cell r="G3710" t="str">
            <v>Exxon DDB Worldwide:ExxonMobil #62065</v>
          </cell>
          <cell r="H3710">
            <v>1</v>
          </cell>
        </row>
        <row r="3711">
          <cell r="B3711" t="str">
            <v>SWC2040-1408</v>
          </cell>
          <cell r="C3711" t="str">
            <v>Invoice</v>
          </cell>
          <cell r="D3711">
            <v>38623</v>
          </cell>
          <cell r="F3711" t="str">
            <v>8103</v>
          </cell>
          <cell r="G3711" t="str">
            <v>Exxon DDB Worldwide:ExxonMobil #20432</v>
          </cell>
          <cell r="H3711">
            <v>1</v>
          </cell>
        </row>
        <row r="3712">
          <cell r="B3712" t="str">
            <v>SWC2040-1408</v>
          </cell>
          <cell r="C3712" t="str">
            <v>Invoice</v>
          </cell>
          <cell r="D3712">
            <v>38623</v>
          </cell>
          <cell r="F3712" t="str">
            <v>8104</v>
          </cell>
          <cell r="G3712" t="str">
            <v>Exxon DDB Worldwide:ExxonMobil #25329</v>
          </cell>
          <cell r="H3712">
            <v>1</v>
          </cell>
        </row>
        <row r="3713">
          <cell r="B3713" t="str">
            <v>SWC2040-1410</v>
          </cell>
          <cell r="C3713" t="str">
            <v>Invoice</v>
          </cell>
          <cell r="D3713">
            <v>38582</v>
          </cell>
          <cell r="F3713" t="str">
            <v>7508</v>
          </cell>
          <cell r="G3713" t="str">
            <v>Muzak, LLC</v>
          </cell>
          <cell r="H3713">
            <v>1</v>
          </cell>
        </row>
        <row r="3714">
          <cell r="B3714" t="str">
            <v>SWC2040-1411</v>
          </cell>
          <cell r="C3714" t="str">
            <v>Invoice</v>
          </cell>
          <cell r="D3714">
            <v>38552</v>
          </cell>
          <cell r="F3714" t="str">
            <v>6214</v>
          </cell>
          <cell r="G3714" t="str">
            <v>Lee-Moore Oil Company:Exxon OTR - 22</v>
          </cell>
          <cell r="H3714">
            <v>1</v>
          </cell>
        </row>
        <row r="3715">
          <cell r="B3715" t="str">
            <v>SWC2040-1411</v>
          </cell>
          <cell r="C3715" t="str">
            <v>Invoice</v>
          </cell>
          <cell r="D3715">
            <v>38552</v>
          </cell>
          <cell r="F3715" t="str">
            <v>6206</v>
          </cell>
          <cell r="G3715" t="str">
            <v>Lee-Moore Oil Company:Exxon OTR - 42</v>
          </cell>
          <cell r="H3715">
            <v>1</v>
          </cell>
        </row>
        <row r="3716">
          <cell r="B3716" t="str">
            <v>SWC2040-1411</v>
          </cell>
          <cell r="C3716" t="str">
            <v>Invoice</v>
          </cell>
          <cell r="D3716">
            <v>38552</v>
          </cell>
          <cell r="F3716" t="str">
            <v>6210</v>
          </cell>
          <cell r="G3716" t="str">
            <v>Lee-Moore Oil Company:Exxon OTR - 20</v>
          </cell>
          <cell r="H3716">
            <v>1</v>
          </cell>
        </row>
        <row r="3717">
          <cell r="B3717" t="str">
            <v>SWC2040-1411</v>
          </cell>
          <cell r="C3717" t="str">
            <v>Invoice</v>
          </cell>
          <cell r="D3717">
            <v>38552</v>
          </cell>
          <cell r="F3717" t="str">
            <v>6211</v>
          </cell>
          <cell r="G3717" t="str">
            <v>Lee-Moore Oil Company:Exxon OTR - 37</v>
          </cell>
          <cell r="H3717">
            <v>1</v>
          </cell>
        </row>
        <row r="3718">
          <cell r="B3718" t="str">
            <v>SWC2040-1411</v>
          </cell>
          <cell r="C3718" t="str">
            <v>Invoice</v>
          </cell>
          <cell r="D3718">
            <v>38552</v>
          </cell>
          <cell r="F3718" t="str">
            <v>6213</v>
          </cell>
          <cell r="G3718" t="str">
            <v>Lee-Moore Oil Company:Exxon OTR - 21</v>
          </cell>
          <cell r="H3718">
            <v>1</v>
          </cell>
        </row>
        <row r="3719">
          <cell r="B3719" t="str">
            <v>SWC2040-1411</v>
          </cell>
          <cell r="C3719" t="str">
            <v>Invoice</v>
          </cell>
          <cell r="D3719">
            <v>38552</v>
          </cell>
          <cell r="F3719" t="str">
            <v>6212</v>
          </cell>
          <cell r="G3719" t="str">
            <v>Lee-Moore Oil Company:Exxon OTR - 36</v>
          </cell>
          <cell r="H3719">
            <v>1</v>
          </cell>
        </row>
        <row r="3720">
          <cell r="B3720" t="str">
            <v>SWC2040-1411</v>
          </cell>
          <cell r="C3720" t="str">
            <v>Invoice</v>
          </cell>
          <cell r="D3720">
            <v>38552</v>
          </cell>
          <cell r="F3720" t="str">
            <v>6207</v>
          </cell>
          <cell r="G3720" t="str">
            <v>Lee-Moore Oil Company:Exxon OTR - 41</v>
          </cell>
          <cell r="H3720">
            <v>1</v>
          </cell>
        </row>
        <row r="3721">
          <cell r="B3721" t="str">
            <v>SWC2040-1411</v>
          </cell>
          <cell r="C3721" t="str">
            <v>Invoice</v>
          </cell>
          <cell r="D3721">
            <v>38552</v>
          </cell>
          <cell r="F3721" t="str">
            <v>6208</v>
          </cell>
          <cell r="G3721" t="str">
            <v>Lee-Moore Oil Company:Exxon OTR - 30</v>
          </cell>
          <cell r="H3721">
            <v>1</v>
          </cell>
        </row>
        <row r="3722">
          <cell r="B3722" t="str">
            <v>SWC2040-1411</v>
          </cell>
          <cell r="C3722" t="str">
            <v>Invoice</v>
          </cell>
          <cell r="D3722">
            <v>38552</v>
          </cell>
          <cell r="F3722" t="str">
            <v>6205</v>
          </cell>
          <cell r="G3722" t="str">
            <v>Lee-Moore Oil Company:Exxon OTR - 70</v>
          </cell>
          <cell r="H3722">
            <v>1</v>
          </cell>
        </row>
        <row r="3723">
          <cell r="B3723" t="str">
            <v>SWC2040-1411</v>
          </cell>
          <cell r="C3723" t="str">
            <v>Invoice</v>
          </cell>
          <cell r="D3723">
            <v>38552</v>
          </cell>
          <cell r="F3723" t="str">
            <v>6209</v>
          </cell>
          <cell r="G3723" t="str">
            <v>Lee-Moore Oil Company:Exxon OTR - 29</v>
          </cell>
          <cell r="H3723">
            <v>1</v>
          </cell>
        </row>
        <row r="3724">
          <cell r="B3724" t="str">
            <v>SWC2040-1411</v>
          </cell>
          <cell r="C3724" t="str">
            <v>Invoice</v>
          </cell>
          <cell r="D3724">
            <v>38552</v>
          </cell>
          <cell r="F3724" t="str">
            <v>6204</v>
          </cell>
          <cell r="G3724" t="str">
            <v>Lee-Moore Oil Company:Exxon OTR - 71</v>
          </cell>
          <cell r="H3724">
            <v>1</v>
          </cell>
        </row>
        <row r="3725">
          <cell r="B3725" t="str">
            <v>SWC2040-1411</v>
          </cell>
          <cell r="C3725" t="str">
            <v>Invoice</v>
          </cell>
          <cell r="D3725">
            <v>38566</v>
          </cell>
          <cell r="F3725" t="str">
            <v>7245</v>
          </cell>
          <cell r="G3725" t="str">
            <v>Exxon DDB Worldwide:ExxonMobil #60121</v>
          </cell>
          <cell r="H3725">
            <v>1</v>
          </cell>
        </row>
        <row r="3726">
          <cell r="B3726" t="str">
            <v>SWC2040-1411</v>
          </cell>
          <cell r="C3726" t="str">
            <v>Invoice</v>
          </cell>
          <cell r="D3726">
            <v>38566</v>
          </cell>
          <cell r="F3726" t="str">
            <v>7247</v>
          </cell>
          <cell r="G3726" t="str">
            <v>Exxon DDB Worldwide:ExxonMobil #80158</v>
          </cell>
          <cell r="H3726">
            <v>1</v>
          </cell>
        </row>
        <row r="3727">
          <cell r="B3727" t="str">
            <v>SWC2040-1411</v>
          </cell>
          <cell r="C3727" t="str">
            <v>Invoice</v>
          </cell>
          <cell r="D3727">
            <v>38566</v>
          </cell>
          <cell r="F3727" t="str">
            <v>7244</v>
          </cell>
          <cell r="G3727" t="str">
            <v>Exxon DDB Worldwide:ExxonMobil #27925</v>
          </cell>
          <cell r="H3727">
            <v>1</v>
          </cell>
        </row>
        <row r="3728">
          <cell r="B3728" t="str">
            <v>SWC2040-1411</v>
          </cell>
          <cell r="C3728" t="str">
            <v>Invoice</v>
          </cell>
          <cell r="D3728">
            <v>38566</v>
          </cell>
          <cell r="F3728" t="str">
            <v>7243</v>
          </cell>
          <cell r="G3728" t="str">
            <v>Exxon DDB Worldwide:ExxonMobil #25329</v>
          </cell>
          <cell r="H3728">
            <v>1</v>
          </cell>
        </row>
        <row r="3729">
          <cell r="B3729" t="str">
            <v>SWC2040-1411</v>
          </cell>
          <cell r="C3729" t="str">
            <v>Invoice</v>
          </cell>
          <cell r="D3729">
            <v>38566</v>
          </cell>
          <cell r="F3729" t="str">
            <v>7246</v>
          </cell>
          <cell r="G3729" t="str">
            <v>Exxon DDB Worldwide:ExxonMobil #62065</v>
          </cell>
          <cell r="H3729">
            <v>1</v>
          </cell>
        </row>
        <row r="3730">
          <cell r="B3730" t="str">
            <v>SWC2040-1411</v>
          </cell>
          <cell r="C3730" t="str">
            <v>Invoice</v>
          </cell>
          <cell r="D3730">
            <v>38566</v>
          </cell>
          <cell r="F3730" t="str">
            <v>7241</v>
          </cell>
          <cell r="G3730" t="str">
            <v>Exxon DDB Worldwide:ExxonMobil #20432</v>
          </cell>
          <cell r="H3730">
            <v>1</v>
          </cell>
        </row>
        <row r="3731">
          <cell r="B3731" t="str">
            <v>SWC2040-1411</v>
          </cell>
          <cell r="C3731" t="str">
            <v>Invoice</v>
          </cell>
          <cell r="D3731">
            <v>38574</v>
          </cell>
          <cell r="F3731" t="str">
            <v>7347</v>
          </cell>
          <cell r="G3731" t="str">
            <v>Exxon DDB Worldwide:ExxonMobil #47373</v>
          </cell>
          <cell r="H3731">
            <v>1</v>
          </cell>
        </row>
        <row r="3732">
          <cell r="B3732" t="str">
            <v>SWC2040-1411</v>
          </cell>
          <cell r="C3732" t="str">
            <v>Invoice</v>
          </cell>
          <cell r="D3732">
            <v>38574</v>
          </cell>
          <cell r="F3732" t="str">
            <v>7346</v>
          </cell>
          <cell r="G3732" t="str">
            <v>Exxon DDB Worldwide:ExxonMobil #40600</v>
          </cell>
          <cell r="H3732">
            <v>1</v>
          </cell>
        </row>
        <row r="3733">
          <cell r="B3733" t="str">
            <v>SWC2040-1411</v>
          </cell>
          <cell r="C3733" t="str">
            <v>Invoice</v>
          </cell>
          <cell r="D3733">
            <v>38574</v>
          </cell>
          <cell r="F3733" t="str">
            <v>7345</v>
          </cell>
          <cell r="G3733" t="str">
            <v>Exxon DDB Worldwide:ExxonMobil #40595</v>
          </cell>
          <cell r="H3733">
            <v>1</v>
          </cell>
        </row>
        <row r="3734">
          <cell r="B3734" t="str">
            <v>SWC2040-1419</v>
          </cell>
          <cell r="C3734" t="str">
            <v>Invoice</v>
          </cell>
          <cell r="D3734">
            <v>38610</v>
          </cell>
          <cell r="F3734" t="str">
            <v>7252</v>
          </cell>
          <cell r="G3734" t="str">
            <v>Lee-Moore Oil Company:Exxon OTR - 71</v>
          </cell>
          <cell r="H3734">
            <v>1</v>
          </cell>
        </row>
        <row r="3735">
          <cell r="B3735" t="str">
            <v>SWC2040-1419</v>
          </cell>
          <cell r="C3735" t="str">
            <v>Invoice</v>
          </cell>
          <cell r="D3735">
            <v>38610</v>
          </cell>
          <cell r="F3735" t="str">
            <v>7253</v>
          </cell>
          <cell r="G3735" t="str">
            <v>Lee-Moore Oil Company:Exxon OTR - 70</v>
          </cell>
          <cell r="H3735">
            <v>1</v>
          </cell>
        </row>
        <row r="3736">
          <cell r="B3736" t="str">
            <v>SWC2040-1419</v>
          </cell>
          <cell r="C3736" t="str">
            <v>Invoice</v>
          </cell>
          <cell r="D3736">
            <v>38610</v>
          </cell>
          <cell r="F3736" t="str">
            <v>7254</v>
          </cell>
          <cell r="G3736" t="str">
            <v>Lee-Moore Oil Company:Exxon OTR - 42</v>
          </cell>
          <cell r="H3736">
            <v>1</v>
          </cell>
        </row>
        <row r="3737">
          <cell r="B3737" t="str">
            <v>SWC2040-1419</v>
          </cell>
          <cell r="C3737" t="str">
            <v>Invoice</v>
          </cell>
          <cell r="D3737">
            <v>38610</v>
          </cell>
          <cell r="F3737" t="str">
            <v>7255</v>
          </cell>
          <cell r="G3737" t="str">
            <v>Lee-Moore Oil Company:Exxon OTR - 41</v>
          </cell>
          <cell r="H3737">
            <v>1</v>
          </cell>
        </row>
        <row r="3738">
          <cell r="B3738" t="str">
            <v>SWC2040-1419</v>
          </cell>
          <cell r="C3738" t="str">
            <v>Invoice</v>
          </cell>
          <cell r="D3738">
            <v>38610</v>
          </cell>
          <cell r="F3738" t="str">
            <v>7256</v>
          </cell>
          <cell r="G3738" t="str">
            <v>Lee-Moore Oil Company:Exxon OTR - 30</v>
          </cell>
          <cell r="H3738">
            <v>1</v>
          </cell>
        </row>
        <row r="3739">
          <cell r="B3739" t="str">
            <v>SWC2040-1419</v>
          </cell>
          <cell r="C3739" t="str">
            <v>Invoice</v>
          </cell>
          <cell r="D3739">
            <v>38610</v>
          </cell>
          <cell r="F3739" t="str">
            <v>7257</v>
          </cell>
          <cell r="G3739" t="str">
            <v>Lee-Moore Oil Company:Exxon OTR - 29</v>
          </cell>
          <cell r="H3739">
            <v>1</v>
          </cell>
        </row>
        <row r="3740">
          <cell r="B3740" t="str">
            <v>SWC2040-1419</v>
          </cell>
          <cell r="C3740" t="str">
            <v>Invoice</v>
          </cell>
          <cell r="D3740">
            <v>38610</v>
          </cell>
          <cell r="F3740" t="str">
            <v>7258</v>
          </cell>
          <cell r="G3740" t="str">
            <v>Lee-Moore Oil Company:Exxon OTR - 20</v>
          </cell>
          <cell r="H3740">
            <v>1</v>
          </cell>
        </row>
        <row r="3741">
          <cell r="B3741" t="str">
            <v>SWC2040-1419</v>
          </cell>
          <cell r="C3741" t="str">
            <v>Invoice</v>
          </cell>
          <cell r="D3741">
            <v>38610</v>
          </cell>
          <cell r="F3741" t="str">
            <v>7259</v>
          </cell>
          <cell r="G3741" t="str">
            <v>Lee-Moore Oil Company:Exxon OTR - 37</v>
          </cell>
          <cell r="H3741">
            <v>1</v>
          </cell>
        </row>
        <row r="3742">
          <cell r="B3742" t="str">
            <v>SWC2040-1419</v>
          </cell>
          <cell r="C3742" t="str">
            <v>Invoice</v>
          </cell>
          <cell r="D3742">
            <v>38610</v>
          </cell>
          <cell r="F3742" t="str">
            <v>7260</v>
          </cell>
          <cell r="G3742" t="str">
            <v>Lee-Moore Oil Company:Exxon OTR - 36</v>
          </cell>
          <cell r="H3742">
            <v>1</v>
          </cell>
        </row>
        <row r="3743">
          <cell r="B3743" t="str">
            <v>SWC2040-1419</v>
          </cell>
          <cell r="C3743" t="str">
            <v>Invoice</v>
          </cell>
          <cell r="D3743">
            <v>38610</v>
          </cell>
          <cell r="F3743" t="str">
            <v>7261</v>
          </cell>
          <cell r="G3743" t="str">
            <v>Lee-Moore Oil Company:Exxon OTR - 21</v>
          </cell>
          <cell r="H3743">
            <v>1</v>
          </cell>
        </row>
        <row r="3744">
          <cell r="B3744" t="str">
            <v>SWC2040-1419</v>
          </cell>
          <cell r="C3744" t="str">
            <v>Invoice</v>
          </cell>
          <cell r="D3744">
            <v>38610</v>
          </cell>
          <cell r="F3744" t="str">
            <v>7262</v>
          </cell>
          <cell r="G3744" t="str">
            <v>Lee-Moore Oil Company:Exxon OTR - 22</v>
          </cell>
          <cell r="H3744">
            <v>1</v>
          </cell>
        </row>
        <row r="3745">
          <cell r="B3745" t="str">
            <v>SWC2050-0913</v>
          </cell>
          <cell r="C3745" t="str">
            <v>Invoice</v>
          </cell>
          <cell r="D3745">
            <v>38455</v>
          </cell>
          <cell r="F3745" t="str">
            <v>5600</v>
          </cell>
          <cell r="G3745" t="str">
            <v>Techno Satellite</v>
          </cell>
          <cell r="H3745">
            <v>1</v>
          </cell>
        </row>
        <row r="3746">
          <cell r="B3746" t="str">
            <v>SWC2060-1016</v>
          </cell>
          <cell r="C3746" t="str">
            <v>Invoice</v>
          </cell>
          <cell r="D3746">
            <v>38513</v>
          </cell>
          <cell r="F3746" t="str">
            <v>6288</v>
          </cell>
          <cell r="G3746" t="str">
            <v>Del Sol, LC</v>
          </cell>
          <cell r="H3746">
            <v>1</v>
          </cell>
        </row>
        <row r="3747">
          <cell r="B3747" t="str">
            <v>SWC2060-1095</v>
          </cell>
          <cell r="C3747" t="str">
            <v>Invoice</v>
          </cell>
          <cell r="D3747">
            <v>38470</v>
          </cell>
          <cell r="F3747" t="str">
            <v>6006</v>
          </cell>
          <cell r="G3747" t="str">
            <v>Techno Satellite</v>
          </cell>
          <cell r="H3747">
            <v>1</v>
          </cell>
        </row>
        <row r="3748">
          <cell r="B3748" t="str">
            <v>SWC-209</v>
          </cell>
          <cell r="C3748" t="str">
            <v>Invoice</v>
          </cell>
          <cell r="D3748">
            <v>38362</v>
          </cell>
          <cell r="F3748" t="str">
            <v>5168</v>
          </cell>
          <cell r="G3748" t="str">
            <v>Ecko Unlimited</v>
          </cell>
          <cell r="H3748">
            <v>1</v>
          </cell>
        </row>
        <row r="3749">
          <cell r="B3749" t="str">
            <v>SWC-231</v>
          </cell>
          <cell r="C3749" t="str">
            <v>Invoice</v>
          </cell>
          <cell r="D3749">
            <v>38383</v>
          </cell>
          <cell r="F3749" t="str">
            <v>5261</v>
          </cell>
          <cell r="G3749" t="str">
            <v>Boca by Design</v>
          </cell>
          <cell r="H3749">
            <v>1</v>
          </cell>
        </row>
        <row r="3750">
          <cell r="B3750" t="str">
            <v>SWC-234</v>
          </cell>
          <cell r="C3750" t="str">
            <v>Invoice</v>
          </cell>
          <cell r="D3750">
            <v>38391</v>
          </cell>
          <cell r="F3750" t="str">
            <v>5292</v>
          </cell>
          <cell r="G3750" t="str">
            <v>Walton's Florist</v>
          </cell>
          <cell r="H3750">
            <v>1</v>
          </cell>
        </row>
        <row r="3751">
          <cell r="B3751" t="str">
            <v>SWC-234</v>
          </cell>
          <cell r="C3751" t="str">
            <v>Invoice</v>
          </cell>
          <cell r="D3751">
            <v>38391</v>
          </cell>
          <cell r="F3751" t="str">
            <v>5292</v>
          </cell>
          <cell r="G3751" t="str">
            <v>Walton's Florist</v>
          </cell>
          <cell r="H3751">
            <v>1</v>
          </cell>
        </row>
        <row r="3752">
          <cell r="B3752" t="str">
            <v>SWC-402</v>
          </cell>
          <cell r="C3752" t="str">
            <v>Invoice</v>
          </cell>
          <cell r="D3752">
            <v>38378</v>
          </cell>
          <cell r="F3752" t="str">
            <v>5166</v>
          </cell>
          <cell r="G3752" t="str">
            <v>The Grace Museum</v>
          </cell>
          <cell r="H3752">
            <v>1</v>
          </cell>
        </row>
        <row r="3753">
          <cell r="B3753" t="str">
            <v>SWC-496</v>
          </cell>
          <cell r="C3753" t="str">
            <v>Invoice</v>
          </cell>
          <cell r="D3753">
            <v>38383</v>
          </cell>
          <cell r="F3753" t="str">
            <v>5235</v>
          </cell>
          <cell r="G3753" t="str">
            <v>Dylan's Candy Bar - NYC</v>
          </cell>
          <cell r="H3753">
            <v>1</v>
          </cell>
        </row>
        <row r="3754">
          <cell r="B3754" t="str">
            <v>SWC-534</v>
          </cell>
          <cell r="C3754" t="str">
            <v>Invoice</v>
          </cell>
          <cell r="D3754">
            <v>38385</v>
          </cell>
          <cell r="F3754" t="str">
            <v>5300</v>
          </cell>
          <cell r="G3754" t="str">
            <v>Regal Cinemas</v>
          </cell>
          <cell r="H3754">
            <v>1</v>
          </cell>
        </row>
        <row r="3755">
          <cell r="B3755" t="str">
            <v>SWC720-0794</v>
          </cell>
          <cell r="C3755" t="str">
            <v>Invoice</v>
          </cell>
          <cell r="D3755">
            <v>38614</v>
          </cell>
          <cell r="F3755" t="str">
            <v>7996</v>
          </cell>
          <cell r="G3755" t="str">
            <v>Hard Rock Hotel and Casino - Las Vegas</v>
          </cell>
          <cell r="H3755">
            <v>1</v>
          </cell>
        </row>
        <row r="3756">
          <cell r="B3756" t="str">
            <v>SWC720-1035</v>
          </cell>
          <cell r="C3756" t="str">
            <v>Invoice</v>
          </cell>
          <cell r="D3756">
            <v>38614</v>
          </cell>
          <cell r="F3756" t="str">
            <v>7996</v>
          </cell>
          <cell r="G3756" t="str">
            <v>Hard Rock Hotel and Casino - Las Vegas</v>
          </cell>
          <cell r="H3756">
            <v>1</v>
          </cell>
        </row>
        <row r="3757">
          <cell r="B3757" t="str">
            <v>SWC-774</v>
          </cell>
          <cell r="C3757" t="str">
            <v>Invoice</v>
          </cell>
          <cell r="D3757">
            <v>38378</v>
          </cell>
          <cell r="F3757" t="str">
            <v>5137</v>
          </cell>
          <cell r="G3757" t="str">
            <v>Shay Bustenay</v>
          </cell>
          <cell r="H3757">
            <v>1</v>
          </cell>
        </row>
        <row r="3758">
          <cell r="B3758" t="str">
            <v>SWC-780</v>
          </cell>
          <cell r="C3758" t="str">
            <v>Invoice</v>
          </cell>
          <cell r="D3758">
            <v>38378</v>
          </cell>
          <cell r="F3758" t="str">
            <v>5251</v>
          </cell>
          <cell r="G3758" t="str">
            <v>Fine Nails</v>
          </cell>
          <cell r="H3758">
            <v>1</v>
          </cell>
        </row>
        <row r="3759">
          <cell r="B3759" t="str">
            <v>SWC-780</v>
          </cell>
          <cell r="C3759" t="str">
            <v>Invoice</v>
          </cell>
          <cell r="D3759">
            <v>38393</v>
          </cell>
          <cell r="F3759" t="str">
            <v>5298</v>
          </cell>
          <cell r="G3759" t="str">
            <v>Parigi International</v>
          </cell>
          <cell r="H3759">
            <v>1</v>
          </cell>
        </row>
        <row r="3760">
          <cell r="B3760" t="str">
            <v>SWC-783</v>
          </cell>
          <cell r="C3760" t="str">
            <v>Invoice</v>
          </cell>
          <cell r="D3760">
            <v>38365</v>
          </cell>
          <cell r="F3760" t="str">
            <v>5185</v>
          </cell>
          <cell r="G3760" t="str">
            <v>Guckenheimer - Wexner Commons</v>
          </cell>
          <cell r="H3760">
            <v>1</v>
          </cell>
        </row>
        <row r="3761">
          <cell r="B3761" t="str">
            <v>SWC-794</v>
          </cell>
          <cell r="C3761" t="str">
            <v>Invoice</v>
          </cell>
          <cell r="D3761">
            <v>38362</v>
          </cell>
          <cell r="F3761" t="str">
            <v>5151</v>
          </cell>
          <cell r="G3761" t="str">
            <v>Harry and David #564</v>
          </cell>
          <cell r="H3761">
            <v>1</v>
          </cell>
        </row>
        <row r="3762">
          <cell r="B3762" t="str">
            <v>SWC-794</v>
          </cell>
          <cell r="C3762" t="str">
            <v>Invoice</v>
          </cell>
          <cell r="D3762">
            <v>38364</v>
          </cell>
          <cell r="F3762" t="str">
            <v>5176A</v>
          </cell>
          <cell r="G3762" t="str">
            <v>ScentAir Australia Pty Ltd.</v>
          </cell>
          <cell r="H3762">
            <v>1</v>
          </cell>
        </row>
        <row r="3763">
          <cell r="B3763" t="str">
            <v>SWC-794</v>
          </cell>
          <cell r="C3763" t="str">
            <v>Invoice</v>
          </cell>
          <cell r="D3763">
            <v>38385</v>
          </cell>
          <cell r="F3763" t="str">
            <v>5300</v>
          </cell>
          <cell r="G3763" t="str">
            <v>Regal Cinemas</v>
          </cell>
          <cell r="H3763">
            <v>1</v>
          </cell>
        </row>
        <row r="3764">
          <cell r="B3764" t="str">
            <v>SWC-794</v>
          </cell>
          <cell r="C3764" t="str">
            <v>Invoice</v>
          </cell>
          <cell r="D3764">
            <v>38391</v>
          </cell>
          <cell r="F3764" t="str">
            <v>5238</v>
          </cell>
          <cell r="G3764" t="str">
            <v>Harry and David #564</v>
          </cell>
          <cell r="H3764">
            <v>1</v>
          </cell>
        </row>
        <row r="3765">
          <cell r="B3765" t="str">
            <v>SWC-794</v>
          </cell>
          <cell r="C3765" t="str">
            <v>Invoice</v>
          </cell>
          <cell r="D3765">
            <v>38393</v>
          </cell>
          <cell r="F3765" t="str">
            <v>5309</v>
          </cell>
          <cell r="G3765" t="str">
            <v>Klipsch Audio Technologies</v>
          </cell>
          <cell r="H3765">
            <v>1</v>
          </cell>
        </row>
        <row r="3766">
          <cell r="B3766" t="str">
            <v>SWC-831</v>
          </cell>
          <cell r="C3766" t="str">
            <v>Invoice</v>
          </cell>
          <cell r="D3766">
            <v>38393</v>
          </cell>
          <cell r="F3766" t="str">
            <v>5309</v>
          </cell>
          <cell r="G3766" t="str">
            <v>Klipsch Audio Technologies</v>
          </cell>
          <cell r="H3766">
            <v>1</v>
          </cell>
        </row>
        <row r="3767">
          <cell r="B3767" t="str">
            <v>SWC-837</v>
          </cell>
          <cell r="C3767" t="str">
            <v>Invoice</v>
          </cell>
          <cell r="D3767">
            <v>38364</v>
          </cell>
          <cell r="F3767" t="str">
            <v>5183</v>
          </cell>
          <cell r="G3767" t="str">
            <v>American Solutions Inc.</v>
          </cell>
          <cell r="H3767">
            <v>1</v>
          </cell>
        </row>
        <row r="3768">
          <cell r="B3768" t="str">
            <v>SWC-837</v>
          </cell>
          <cell r="C3768" t="str">
            <v>Invoice</v>
          </cell>
          <cell r="D3768">
            <v>38378</v>
          </cell>
          <cell r="F3768" t="str">
            <v>5197</v>
          </cell>
          <cell r="G3768" t="str">
            <v>Arkitectura Urbana</v>
          </cell>
          <cell r="H3768">
            <v>1</v>
          </cell>
        </row>
        <row r="3769">
          <cell r="B3769" t="str">
            <v>SWC-838</v>
          </cell>
          <cell r="C3769" t="str">
            <v>Invoice</v>
          </cell>
          <cell r="D3769">
            <v>38391</v>
          </cell>
          <cell r="F3769" t="str">
            <v>5198</v>
          </cell>
          <cell r="G3769" t="str">
            <v>Wayside Cleaners</v>
          </cell>
          <cell r="H3769">
            <v>1</v>
          </cell>
        </row>
        <row r="3770">
          <cell r="B3770" t="str">
            <v>SWC-909</v>
          </cell>
          <cell r="C3770" t="str">
            <v>Invoice</v>
          </cell>
          <cell r="D3770">
            <v>38378</v>
          </cell>
          <cell r="F3770" t="str">
            <v>5197</v>
          </cell>
          <cell r="G3770" t="str">
            <v>Arkitectura Urbana</v>
          </cell>
          <cell r="H3770">
            <v>1</v>
          </cell>
        </row>
        <row r="3771">
          <cell r="B3771" t="str">
            <v>SWC-912</v>
          </cell>
          <cell r="C3771" t="str">
            <v>Invoice</v>
          </cell>
          <cell r="D3771">
            <v>38362</v>
          </cell>
          <cell r="F3771" t="str">
            <v>5168</v>
          </cell>
          <cell r="G3771" t="str">
            <v>Ecko Unlimited</v>
          </cell>
          <cell r="H3771">
            <v>1</v>
          </cell>
        </row>
        <row r="3772">
          <cell r="B3772" t="str">
            <v>SWC-913</v>
          </cell>
          <cell r="C3772" t="str">
            <v>Invoice</v>
          </cell>
          <cell r="D3772">
            <v>38383</v>
          </cell>
          <cell r="F3772" t="str">
            <v>5257</v>
          </cell>
          <cell r="G3772" t="str">
            <v>H.H. Gregg, Inc.</v>
          </cell>
          <cell r="H3772">
            <v>1</v>
          </cell>
        </row>
        <row r="3773">
          <cell r="B3773" t="str">
            <v>SWC-913</v>
          </cell>
          <cell r="C3773" t="str">
            <v>Invoice</v>
          </cell>
          <cell r="D3773">
            <v>38383</v>
          </cell>
          <cell r="F3773" t="str">
            <v>5256</v>
          </cell>
          <cell r="G3773" t="str">
            <v>H.H. Gregg, Inc.</v>
          </cell>
          <cell r="H3773">
            <v>1</v>
          </cell>
        </row>
        <row r="3774">
          <cell r="B3774" t="str">
            <v>SWC-913</v>
          </cell>
          <cell r="C3774" t="str">
            <v>Invoice</v>
          </cell>
          <cell r="D3774">
            <v>38383</v>
          </cell>
          <cell r="F3774" t="str">
            <v>5258</v>
          </cell>
          <cell r="G3774" t="str">
            <v>H.H. Gregg, Inc.</v>
          </cell>
          <cell r="H3774">
            <v>1</v>
          </cell>
        </row>
        <row r="3775">
          <cell r="B3775" t="str">
            <v>SWC-913</v>
          </cell>
          <cell r="C3775" t="str">
            <v>Invoice</v>
          </cell>
          <cell r="D3775">
            <v>38383</v>
          </cell>
          <cell r="F3775" t="str">
            <v>5255</v>
          </cell>
          <cell r="G3775" t="str">
            <v>H.H. Gregg, Inc.</v>
          </cell>
          <cell r="H3775">
            <v>1</v>
          </cell>
        </row>
        <row r="3776">
          <cell r="B3776" t="str">
            <v>SWC-961</v>
          </cell>
          <cell r="C3776" t="str">
            <v>Invoice</v>
          </cell>
          <cell r="D3776">
            <v>38383</v>
          </cell>
          <cell r="F3776" t="str">
            <v>5239</v>
          </cell>
          <cell r="G3776" t="str">
            <v>Sea World Orlando</v>
          </cell>
          <cell r="H3776">
            <v>1</v>
          </cell>
        </row>
        <row r="3777">
          <cell r="B3777" t="str">
            <v>SWC-Blank</v>
          </cell>
          <cell r="C3777" t="str">
            <v>Invoice</v>
          </cell>
          <cell r="D3777">
            <v>38456</v>
          </cell>
          <cell r="F3777" t="str">
            <v>5622</v>
          </cell>
          <cell r="G3777" t="str">
            <v>Seal-It</v>
          </cell>
          <cell r="H3777">
            <v>1</v>
          </cell>
        </row>
        <row r="3778">
          <cell r="B3778" t="str">
            <v>SWD1000B</v>
          </cell>
          <cell r="C3778" t="str">
            <v>Invoice</v>
          </cell>
          <cell r="D3778">
            <v>38362</v>
          </cell>
          <cell r="F3778" t="str">
            <v>5165A</v>
          </cell>
          <cell r="G3778" t="str">
            <v>Ecko Unlimited</v>
          </cell>
          <cell r="H3778">
            <v>1</v>
          </cell>
        </row>
        <row r="3779">
          <cell r="B3779" t="str">
            <v>SWD1000B</v>
          </cell>
          <cell r="C3779" t="str">
            <v>Invoice</v>
          </cell>
          <cell r="D3779">
            <v>38364</v>
          </cell>
          <cell r="F3779" t="str">
            <v>5176A</v>
          </cell>
          <cell r="G3779" t="str">
            <v>ScentAir Australia Pty Ltd.</v>
          </cell>
          <cell r="H3779">
            <v>1</v>
          </cell>
        </row>
        <row r="3780">
          <cell r="B3780" t="str">
            <v>SWD1000B</v>
          </cell>
          <cell r="C3780" t="str">
            <v>Invoice</v>
          </cell>
          <cell r="D3780">
            <v>38385</v>
          </cell>
          <cell r="F3780" t="str">
            <v>5300</v>
          </cell>
          <cell r="G3780" t="str">
            <v>Regal Cinemas</v>
          </cell>
          <cell r="H3780">
            <v>1</v>
          </cell>
        </row>
        <row r="3781">
          <cell r="B3781" t="str">
            <v>SWD1000B</v>
          </cell>
          <cell r="C3781" t="str">
            <v>Invoice</v>
          </cell>
          <cell r="D3781">
            <v>38391</v>
          </cell>
          <cell r="F3781" t="str">
            <v>5292</v>
          </cell>
          <cell r="G3781" t="str">
            <v>Walton's Florist</v>
          </cell>
          <cell r="H3781">
            <v>1</v>
          </cell>
        </row>
        <row r="3782">
          <cell r="B3782" t="str">
            <v>SWD1000B</v>
          </cell>
          <cell r="C3782" t="str">
            <v>Invoice</v>
          </cell>
          <cell r="D3782">
            <v>38393</v>
          </cell>
          <cell r="F3782" t="str">
            <v>5297</v>
          </cell>
          <cell r="G3782" t="str">
            <v>LindyLazar Marketing Communications,LLC</v>
          </cell>
          <cell r="H3782">
            <v>1</v>
          </cell>
        </row>
        <row r="3783">
          <cell r="B3783" t="str">
            <v>SWD1000B</v>
          </cell>
          <cell r="C3783" t="str">
            <v>Invoice</v>
          </cell>
          <cell r="D3783">
            <v>38393</v>
          </cell>
          <cell r="F3783" t="str">
            <v>5298</v>
          </cell>
          <cell r="G3783" t="str">
            <v>Parigi International</v>
          </cell>
          <cell r="H3783">
            <v>1</v>
          </cell>
        </row>
        <row r="3784">
          <cell r="B3784" t="str">
            <v>SWD1000B</v>
          </cell>
          <cell r="C3784" t="str">
            <v>Invoice</v>
          </cell>
          <cell r="D3784">
            <v>38398</v>
          </cell>
          <cell r="F3784" t="str">
            <v>5315</v>
          </cell>
          <cell r="G3784" t="str">
            <v>Pueblo International</v>
          </cell>
          <cell r="H3784">
            <v>1</v>
          </cell>
        </row>
        <row r="3785">
          <cell r="B3785" t="str">
            <v>SWD1000B</v>
          </cell>
          <cell r="C3785" t="str">
            <v>Invoice</v>
          </cell>
          <cell r="D3785">
            <v>38405</v>
          </cell>
          <cell r="F3785" t="str">
            <v>5358</v>
          </cell>
          <cell r="G3785" t="str">
            <v>Andrew &amp; Andrew</v>
          </cell>
          <cell r="H3785">
            <v>1</v>
          </cell>
        </row>
        <row r="3786">
          <cell r="B3786" t="str">
            <v>SWD1000B</v>
          </cell>
          <cell r="C3786" t="str">
            <v>Invoice</v>
          </cell>
          <cell r="D3786">
            <v>38411</v>
          </cell>
          <cell r="F3786" t="str">
            <v>5344</v>
          </cell>
          <cell r="G3786" t="str">
            <v>Videotronic Benelux BV</v>
          </cell>
          <cell r="H3786">
            <v>1</v>
          </cell>
        </row>
        <row r="3787">
          <cell r="B3787" t="str">
            <v>SWD1000B</v>
          </cell>
          <cell r="C3787" t="str">
            <v>Invoice</v>
          </cell>
          <cell r="D3787">
            <v>38411</v>
          </cell>
          <cell r="F3787" t="str">
            <v>5375</v>
          </cell>
          <cell r="G3787" t="str">
            <v>Southern Kitchen and Bath</v>
          </cell>
          <cell r="H3787">
            <v>1</v>
          </cell>
        </row>
        <row r="3788">
          <cell r="B3788" t="str">
            <v>SWD1000B</v>
          </cell>
          <cell r="C3788" t="str">
            <v>Invoice</v>
          </cell>
          <cell r="D3788">
            <v>38421</v>
          </cell>
          <cell r="F3788" t="str">
            <v>5452</v>
          </cell>
          <cell r="G3788" t="str">
            <v>Bloomingdale's #20</v>
          </cell>
          <cell r="H3788">
            <v>1</v>
          </cell>
        </row>
        <row r="3789">
          <cell r="B3789" t="str">
            <v>SWD1000B</v>
          </cell>
          <cell r="C3789" t="str">
            <v>Invoice</v>
          </cell>
          <cell r="D3789">
            <v>38422</v>
          </cell>
          <cell r="F3789" t="str">
            <v>5444</v>
          </cell>
          <cell r="G3789" t="str">
            <v>Bingeman's</v>
          </cell>
          <cell r="H3789">
            <v>1</v>
          </cell>
        </row>
        <row r="3790">
          <cell r="B3790" t="str">
            <v>SWD1000B</v>
          </cell>
          <cell r="C3790" t="str">
            <v>Invoice</v>
          </cell>
          <cell r="D3790">
            <v>38422</v>
          </cell>
          <cell r="F3790" t="str">
            <v>5440</v>
          </cell>
          <cell r="G3790" t="str">
            <v>Car's The Star</v>
          </cell>
          <cell r="H3790">
            <v>1</v>
          </cell>
        </row>
        <row r="3791">
          <cell r="B3791" t="str">
            <v>SWD1000B</v>
          </cell>
          <cell r="C3791" t="str">
            <v>Invoice</v>
          </cell>
          <cell r="D3791">
            <v>38442</v>
          </cell>
          <cell r="F3791" t="str">
            <v>5561-I</v>
          </cell>
          <cell r="G3791" t="str">
            <v>Hard Rock Hotel</v>
          </cell>
          <cell r="H3791">
            <v>1</v>
          </cell>
        </row>
        <row r="3792">
          <cell r="B3792" t="str">
            <v>SWD1000B</v>
          </cell>
          <cell r="C3792" t="str">
            <v>Invoice</v>
          </cell>
          <cell r="D3792">
            <v>38442</v>
          </cell>
          <cell r="F3792" t="str">
            <v>5574</v>
          </cell>
          <cell r="G3792" t="str">
            <v>Canadian Tire Corp</v>
          </cell>
          <cell r="H3792">
            <v>1</v>
          </cell>
        </row>
        <row r="3793">
          <cell r="B3793" t="str">
            <v>SWD1000B</v>
          </cell>
          <cell r="C3793" t="str">
            <v>Invoice</v>
          </cell>
          <cell r="D3793">
            <v>38442</v>
          </cell>
          <cell r="F3793" t="str">
            <v>5568</v>
          </cell>
          <cell r="G3793" t="str">
            <v>Pinch A Penny Pool Patio Spa</v>
          </cell>
          <cell r="H3793">
            <v>1</v>
          </cell>
        </row>
        <row r="3794">
          <cell r="B3794" t="str">
            <v>SWD1000B</v>
          </cell>
          <cell r="C3794" t="str">
            <v>Invoice</v>
          </cell>
          <cell r="D3794">
            <v>38447</v>
          </cell>
          <cell r="F3794" t="str">
            <v>5566-I</v>
          </cell>
          <cell r="G3794" t="str">
            <v>Birthday Mania</v>
          </cell>
          <cell r="H3794">
            <v>1</v>
          </cell>
        </row>
        <row r="3795">
          <cell r="B3795" t="str">
            <v>SWD1000B</v>
          </cell>
          <cell r="C3795" t="str">
            <v>Invoice</v>
          </cell>
          <cell r="D3795">
            <v>38447</v>
          </cell>
          <cell r="F3795" t="str">
            <v>5578</v>
          </cell>
          <cell r="G3795" t="str">
            <v>Arrc Technologies</v>
          </cell>
          <cell r="H3795">
            <v>1</v>
          </cell>
        </row>
        <row r="3796">
          <cell r="B3796" t="str">
            <v>SWD1000B</v>
          </cell>
          <cell r="C3796" t="str">
            <v>Invoice</v>
          </cell>
          <cell r="D3796">
            <v>38448</v>
          </cell>
          <cell r="F3796" t="str">
            <v>5593</v>
          </cell>
          <cell r="G3796" t="str">
            <v>NBC Experience Store</v>
          </cell>
          <cell r="H3796">
            <v>1</v>
          </cell>
        </row>
        <row r="3797">
          <cell r="B3797" t="str">
            <v>SWD1000B</v>
          </cell>
          <cell r="C3797" t="str">
            <v>Invoice</v>
          </cell>
          <cell r="D3797">
            <v>38448</v>
          </cell>
          <cell r="F3797" t="str">
            <v>5576</v>
          </cell>
          <cell r="G3797" t="str">
            <v>Proffitt's Riverchase</v>
          </cell>
          <cell r="H3797">
            <v>1</v>
          </cell>
        </row>
        <row r="3798">
          <cell r="B3798" t="str">
            <v>SWD1000B</v>
          </cell>
          <cell r="C3798" t="str">
            <v>Invoice</v>
          </cell>
          <cell r="D3798">
            <v>38455</v>
          </cell>
          <cell r="F3798" t="str">
            <v>5618</v>
          </cell>
          <cell r="G3798" t="str">
            <v>Jo Ann Stores</v>
          </cell>
          <cell r="H3798">
            <v>1</v>
          </cell>
        </row>
        <row r="3799">
          <cell r="B3799" t="str">
            <v>SWD1000B</v>
          </cell>
          <cell r="C3799" t="str">
            <v>Invoice</v>
          </cell>
          <cell r="D3799">
            <v>38455</v>
          </cell>
          <cell r="F3799" t="str">
            <v>5616</v>
          </cell>
          <cell r="G3799" t="str">
            <v>Pure Beauty-Encino</v>
          </cell>
          <cell r="H3799">
            <v>1</v>
          </cell>
        </row>
        <row r="3800">
          <cell r="B3800" t="str">
            <v>SWD1000B</v>
          </cell>
          <cell r="C3800" t="str">
            <v>Invoice</v>
          </cell>
          <cell r="D3800">
            <v>38456</v>
          </cell>
          <cell r="F3800" t="str">
            <v>5607</v>
          </cell>
          <cell r="G3800" t="str">
            <v>Circle K West Coast Business Unit</v>
          </cell>
          <cell r="H3800">
            <v>1</v>
          </cell>
        </row>
        <row r="3801">
          <cell r="B3801" t="str">
            <v>SWD1000B</v>
          </cell>
          <cell r="C3801" t="str">
            <v>Invoice</v>
          </cell>
          <cell r="D3801">
            <v>38461</v>
          </cell>
          <cell r="F3801" t="str">
            <v>5679</v>
          </cell>
          <cell r="G3801" t="str">
            <v>Ingle's Markets</v>
          </cell>
          <cell r="H3801">
            <v>1</v>
          </cell>
        </row>
        <row r="3802">
          <cell r="B3802" t="str">
            <v>SWD1000B</v>
          </cell>
          <cell r="C3802" t="str">
            <v>Invoice</v>
          </cell>
          <cell r="D3802">
            <v>38461</v>
          </cell>
          <cell r="F3802" t="str">
            <v>5691</v>
          </cell>
          <cell r="G3802" t="str">
            <v>Coffee Beanery</v>
          </cell>
          <cell r="H3802">
            <v>1</v>
          </cell>
        </row>
        <row r="3803">
          <cell r="B3803" t="str">
            <v>SWD1000B</v>
          </cell>
          <cell r="C3803" t="str">
            <v>Invoice</v>
          </cell>
          <cell r="D3803">
            <v>38461</v>
          </cell>
          <cell r="F3803" t="str">
            <v>5684</v>
          </cell>
          <cell r="G3803" t="str">
            <v>Ingle's Markets</v>
          </cell>
          <cell r="H3803">
            <v>1</v>
          </cell>
        </row>
        <row r="3804">
          <cell r="B3804" t="str">
            <v>SWD1000B</v>
          </cell>
          <cell r="C3804" t="str">
            <v>Invoice</v>
          </cell>
          <cell r="D3804">
            <v>38461</v>
          </cell>
          <cell r="F3804" t="str">
            <v>5612</v>
          </cell>
          <cell r="G3804" t="str">
            <v>Hallmark Cards - Kansas City, MO</v>
          </cell>
          <cell r="H3804">
            <v>1</v>
          </cell>
        </row>
        <row r="3805">
          <cell r="B3805" t="str">
            <v>SWD1000B</v>
          </cell>
          <cell r="C3805" t="str">
            <v>Invoice</v>
          </cell>
          <cell r="D3805">
            <v>38467</v>
          </cell>
          <cell r="F3805" t="str">
            <v>5595</v>
          </cell>
          <cell r="G3805" t="str">
            <v>Hershey's, Inc.:Hershey's Chicago</v>
          </cell>
          <cell r="H3805">
            <v>1</v>
          </cell>
        </row>
        <row r="3806">
          <cell r="B3806" t="str">
            <v>SWD1000B</v>
          </cell>
          <cell r="C3806" t="str">
            <v>Invoice</v>
          </cell>
          <cell r="D3806">
            <v>38468</v>
          </cell>
          <cell r="F3806" t="str">
            <v>6004</v>
          </cell>
          <cell r="G3806" t="str">
            <v>Zale Corporation</v>
          </cell>
          <cell r="H3806">
            <v>1</v>
          </cell>
        </row>
        <row r="3807">
          <cell r="B3807" t="str">
            <v>SWD1000B</v>
          </cell>
          <cell r="C3807" t="str">
            <v>Invoice</v>
          </cell>
          <cell r="D3807">
            <v>38468</v>
          </cell>
          <cell r="F3807" t="str">
            <v>6005</v>
          </cell>
          <cell r="G3807" t="str">
            <v>7-ElevenA</v>
          </cell>
          <cell r="H3807">
            <v>1</v>
          </cell>
        </row>
        <row r="3808">
          <cell r="B3808" t="str">
            <v>SWD1000B</v>
          </cell>
          <cell r="C3808" t="str">
            <v>Invoice</v>
          </cell>
          <cell r="D3808">
            <v>38468</v>
          </cell>
          <cell r="F3808" t="str">
            <v>6003</v>
          </cell>
          <cell r="G3808" t="str">
            <v>Coffee Beanery</v>
          </cell>
          <cell r="H3808">
            <v>1</v>
          </cell>
        </row>
        <row r="3809">
          <cell r="B3809" t="str">
            <v>SWD1000B</v>
          </cell>
          <cell r="C3809" t="str">
            <v>Invoice</v>
          </cell>
          <cell r="D3809">
            <v>38468</v>
          </cell>
          <cell r="F3809" t="str">
            <v>5706</v>
          </cell>
          <cell r="G3809" t="str">
            <v>Starwood Hotels Corporate Office</v>
          </cell>
          <cell r="H3809">
            <v>1</v>
          </cell>
        </row>
        <row r="3810">
          <cell r="B3810" t="str">
            <v>SWD1000B</v>
          </cell>
          <cell r="C3810" t="str">
            <v>Invoice</v>
          </cell>
          <cell r="D3810">
            <v>38468</v>
          </cell>
          <cell r="F3810" t="str">
            <v>5711</v>
          </cell>
          <cell r="G3810" t="str">
            <v>Starwood Hotels Corporate Office</v>
          </cell>
          <cell r="H3810">
            <v>1</v>
          </cell>
        </row>
        <row r="3811">
          <cell r="B3811" t="str">
            <v>SWD1000B</v>
          </cell>
          <cell r="C3811" t="str">
            <v>Invoice</v>
          </cell>
          <cell r="D3811">
            <v>38468</v>
          </cell>
          <cell r="F3811" t="str">
            <v>5707</v>
          </cell>
          <cell r="G3811" t="str">
            <v>Starwood Hotels Corporate Office</v>
          </cell>
          <cell r="H3811">
            <v>1</v>
          </cell>
        </row>
        <row r="3812">
          <cell r="B3812" t="str">
            <v>SWD1000B</v>
          </cell>
          <cell r="C3812" t="str">
            <v>Invoice</v>
          </cell>
          <cell r="D3812">
            <v>38468</v>
          </cell>
          <cell r="F3812" t="str">
            <v>5708</v>
          </cell>
          <cell r="G3812" t="str">
            <v>Starwood Hotels Corporate Office</v>
          </cell>
          <cell r="H3812">
            <v>1</v>
          </cell>
        </row>
        <row r="3813">
          <cell r="B3813" t="str">
            <v>SWD1000B</v>
          </cell>
          <cell r="C3813" t="str">
            <v>Invoice</v>
          </cell>
          <cell r="D3813">
            <v>38468</v>
          </cell>
          <cell r="F3813" t="str">
            <v>5709</v>
          </cell>
          <cell r="G3813" t="str">
            <v>Starwood Hotels Corporate Office</v>
          </cell>
          <cell r="H3813">
            <v>1</v>
          </cell>
        </row>
        <row r="3814">
          <cell r="B3814" t="str">
            <v>SWD1000B</v>
          </cell>
          <cell r="C3814" t="str">
            <v>Invoice</v>
          </cell>
          <cell r="D3814">
            <v>38468</v>
          </cell>
          <cell r="F3814" t="str">
            <v>5710</v>
          </cell>
          <cell r="G3814" t="str">
            <v>Starwood Hotels Corporate Office</v>
          </cell>
          <cell r="H3814">
            <v>1</v>
          </cell>
        </row>
        <row r="3815">
          <cell r="B3815" t="str">
            <v>SWD1000B</v>
          </cell>
          <cell r="C3815" t="str">
            <v>Invoice</v>
          </cell>
          <cell r="D3815">
            <v>38469</v>
          </cell>
          <cell r="F3815" t="str">
            <v>5713</v>
          </cell>
          <cell r="G3815" t="str">
            <v>Curves Greenville</v>
          </cell>
          <cell r="H3815">
            <v>1</v>
          </cell>
        </row>
        <row r="3816">
          <cell r="B3816" t="str">
            <v>SWD1000B</v>
          </cell>
          <cell r="C3816" t="str">
            <v>Invoice</v>
          </cell>
          <cell r="D3816">
            <v>38471</v>
          </cell>
          <cell r="F3816" t="str">
            <v>6024</v>
          </cell>
          <cell r="G3816" t="str">
            <v>Jimmy Choo (Madison Ave.)</v>
          </cell>
          <cell r="H3816">
            <v>1</v>
          </cell>
        </row>
        <row r="3817">
          <cell r="B3817" t="str">
            <v>SWD1000B</v>
          </cell>
          <cell r="C3817" t="str">
            <v>Invoice</v>
          </cell>
          <cell r="D3817">
            <v>38471</v>
          </cell>
          <cell r="F3817" t="str">
            <v>6029</v>
          </cell>
          <cell r="G3817" t="str">
            <v>Bristol Farms</v>
          </cell>
          <cell r="H3817">
            <v>1</v>
          </cell>
        </row>
        <row r="3818">
          <cell r="B3818" t="str">
            <v>SWD1000B</v>
          </cell>
          <cell r="C3818" t="str">
            <v>Invoice</v>
          </cell>
          <cell r="D3818">
            <v>38471</v>
          </cell>
          <cell r="F3818" t="str">
            <v>6030</v>
          </cell>
          <cell r="G3818" t="str">
            <v>It's A Grind</v>
          </cell>
          <cell r="H3818">
            <v>1</v>
          </cell>
        </row>
        <row r="3819">
          <cell r="B3819" t="str">
            <v>SWD1000B</v>
          </cell>
          <cell r="C3819" t="str">
            <v>Invoice</v>
          </cell>
          <cell r="D3819">
            <v>38471</v>
          </cell>
          <cell r="F3819" t="str">
            <v>6028</v>
          </cell>
          <cell r="G3819" t="str">
            <v>Radio Shack Coporation</v>
          </cell>
          <cell r="H3819">
            <v>1</v>
          </cell>
        </row>
        <row r="3820">
          <cell r="B3820" t="str">
            <v>SWD1000B</v>
          </cell>
          <cell r="C3820" t="str">
            <v>Invoice</v>
          </cell>
          <cell r="D3820">
            <v>38471</v>
          </cell>
          <cell r="F3820" t="str">
            <v>6032</v>
          </cell>
          <cell r="G3820" t="str">
            <v>Franklin Covey</v>
          </cell>
          <cell r="H3820">
            <v>1</v>
          </cell>
        </row>
        <row r="3821">
          <cell r="B3821" t="str">
            <v>SWD1000B</v>
          </cell>
          <cell r="C3821" t="str">
            <v>Invoice</v>
          </cell>
          <cell r="D3821">
            <v>38473</v>
          </cell>
          <cell r="F3821" t="str">
            <v>5678</v>
          </cell>
          <cell r="G3821" t="str">
            <v>Lane Bryant</v>
          </cell>
          <cell r="H3821">
            <v>1</v>
          </cell>
        </row>
        <row r="3822">
          <cell r="B3822" t="str">
            <v>SWD1000B</v>
          </cell>
          <cell r="C3822" t="str">
            <v>Invoice</v>
          </cell>
          <cell r="D3822">
            <v>38477</v>
          </cell>
          <cell r="F3822" t="str">
            <v>6037</v>
          </cell>
          <cell r="G3822" t="str">
            <v>Promotool</v>
          </cell>
          <cell r="H3822">
            <v>1</v>
          </cell>
        </row>
        <row r="3823">
          <cell r="B3823" t="str">
            <v>SWD1000B</v>
          </cell>
          <cell r="C3823" t="str">
            <v>Invoice</v>
          </cell>
          <cell r="D3823">
            <v>38477</v>
          </cell>
          <cell r="F3823" t="str">
            <v>6035</v>
          </cell>
          <cell r="G3823" t="str">
            <v>GMR Marketing</v>
          </cell>
          <cell r="H3823">
            <v>1</v>
          </cell>
        </row>
        <row r="3824">
          <cell r="B3824" t="str">
            <v>SWD1000B</v>
          </cell>
          <cell r="C3824" t="str">
            <v>Invoice</v>
          </cell>
          <cell r="D3824">
            <v>38477</v>
          </cell>
          <cell r="F3824" t="str">
            <v>6036-I</v>
          </cell>
          <cell r="G3824" t="str">
            <v>GMR Marketing</v>
          </cell>
          <cell r="H3824">
            <v>1</v>
          </cell>
        </row>
        <row r="3825">
          <cell r="B3825" t="str">
            <v>SWD1000B</v>
          </cell>
          <cell r="C3825" t="str">
            <v>Invoice</v>
          </cell>
          <cell r="D3825">
            <v>38481</v>
          </cell>
          <cell r="F3825" t="str">
            <v>6044</v>
          </cell>
          <cell r="G3825" t="str">
            <v>American Eagle Outfitters:AEO New Concept Office</v>
          </cell>
          <cell r="H3825">
            <v>1</v>
          </cell>
        </row>
        <row r="3826">
          <cell r="B3826" t="str">
            <v>SWD1000B</v>
          </cell>
          <cell r="C3826" t="str">
            <v>Invoice</v>
          </cell>
          <cell r="D3826">
            <v>38481</v>
          </cell>
          <cell r="F3826" t="str">
            <v>6045</v>
          </cell>
          <cell r="G3826" t="str">
            <v>Henke Design:HD Music Land</v>
          </cell>
          <cell r="H3826">
            <v>1</v>
          </cell>
        </row>
        <row r="3827">
          <cell r="B3827" t="str">
            <v>SWD1000B</v>
          </cell>
          <cell r="C3827" t="str">
            <v>Invoice</v>
          </cell>
          <cell r="D3827">
            <v>38481</v>
          </cell>
          <cell r="F3827" t="str">
            <v>6041</v>
          </cell>
          <cell r="G3827" t="str">
            <v>Wickes Furniture:Wickes-001</v>
          </cell>
          <cell r="H3827">
            <v>1</v>
          </cell>
        </row>
        <row r="3828">
          <cell r="B3828" t="str">
            <v>SWD1000B</v>
          </cell>
          <cell r="C3828" t="str">
            <v>Invoice</v>
          </cell>
          <cell r="D3828">
            <v>38481</v>
          </cell>
          <cell r="F3828" t="str">
            <v>5724</v>
          </cell>
          <cell r="G3828" t="str">
            <v>7-ElevenA</v>
          </cell>
          <cell r="H3828">
            <v>1</v>
          </cell>
        </row>
        <row r="3829">
          <cell r="B3829" t="str">
            <v>SWD1000B</v>
          </cell>
          <cell r="C3829" t="str">
            <v>Invoice</v>
          </cell>
          <cell r="D3829">
            <v>38482</v>
          </cell>
          <cell r="F3829" t="str">
            <v>6047</v>
          </cell>
          <cell r="G3829" t="str">
            <v>Gelato Di. Roma International, Inc.:GRI Riverside</v>
          </cell>
          <cell r="H3829">
            <v>1</v>
          </cell>
        </row>
        <row r="3830">
          <cell r="B3830" t="str">
            <v>SWD1000B</v>
          </cell>
          <cell r="C3830" t="str">
            <v>Invoice</v>
          </cell>
          <cell r="D3830">
            <v>38482</v>
          </cell>
          <cell r="F3830" t="str">
            <v>6048</v>
          </cell>
          <cell r="G3830" t="str">
            <v>Sunkist Growers</v>
          </cell>
          <cell r="H3830">
            <v>1</v>
          </cell>
        </row>
        <row r="3831">
          <cell r="B3831" t="str">
            <v>SWD1000B</v>
          </cell>
          <cell r="C3831" t="str">
            <v>Invoice</v>
          </cell>
          <cell r="D3831">
            <v>38482</v>
          </cell>
          <cell r="F3831" t="str">
            <v>5728</v>
          </cell>
          <cell r="G3831" t="str">
            <v>Muzak, LLC</v>
          </cell>
          <cell r="H3831">
            <v>1</v>
          </cell>
        </row>
        <row r="3832">
          <cell r="B3832" t="str">
            <v>SWD1000B</v>
          </cell>
          <cell r="C3832" t="str">
            <v>Invoice</v>
          </cell>
          <cell r="D3832">
            <v>38482</v>
          </cell>
          <cell r="F3832" t="str">
            <v>6034</v>
          </cell>
          <cell r="G3832" t="str">
            <v>Pyramid Title Company</v>
          </cell>
          <cell r="H3832">
            <v>1</v>
          </cell>
        </row>
        <row r="3833">
          <cell r="B3833" t="str">
            <v>SWD1000B</v>
          </cell>
          <cell r="C3833" t="str">
            <v>Invoice</v>
          </cell>
          <cell r="D3833">
            <v>38484</v>
          </cell>
          <cell r="F3833" t="str">
            <v>6016</v>
          </cell>
          <cell r="G3833" t="str">
            <v>VendMax International Inc.</v>
          </cell>
          <cell r="H3833">
            <v>1</v>
          </cell>
        </row>
        <row r="3834">
          <cell r="B3834" t="str">
            <v>SWD1000B</v>
          </cell>
          <cell r="C3834" t="str">
            <v>Invoice</v>
          </cell>
          <cell r="D3834">
            <v>38484</v>
          </cell>
          <cell r="F3834" t="str">
            <v>5620</v>
          </cell>
          <cell r="G3834" t="str">
            <v>Videotronic Benelux BV</v>
          </cell>
          <cell r="H3834">
            <v>1</v>
          </cell>
        </row>
        <row r="3835">
          <cell r="B3835" t="str">
            <v>SWD1000B</v>
          </cell>
          <cell r="C3835" t="str">
            <v>Invoice</v>
          </cell>
          <cell r="D3835">
            <v>38485</v>
          </cell>
          <cell r="F3835" t="str">
            <v>6056</v>
          </cell>
          <cell r="G3835" t="str">
            <v>Muzak, LLC (superceded)</v>
          </cell>
          <cell r="H3835">
            <v>1</v>
          </cell>
        </row>
        <row r="3836">
          <cell r="B3836" t="str">
            <v>SWD1000B</v>
          </cell>
          <cell r="C3836" t="str">
            <v>Invoice</v>
          </cell>
          <cell r="D3836">
            <v>38488</v>
          </cell>
          <cell r="F3836" t="str">
            <v>6061</v>
          </cell>
          <cell r="G3836" t="str">
            <v>Nova Scotia Liquor Company</v>
          </cell>
          <cell r="H3836">
            <v>1</v>
          </cell>
        </row>
        <row r="3837">
          <cell r="B3837" t="str">
            <v>SWD1000B</v>
          </cell>
          <cell r="C3837" t="str">
            <v>Invoice</v>
          </cell>
          <cell r="D3837">
            <v>38488</v>
          </cell>
          <cell r="F3837" t="str">
            <v>6059</v>
          </cell>
          <cell r="G3837" t="str">
            <v>ScentAir - Corporate Associates</v>
          </cell>
          <cell r="H3837">
            <v>1</v>
          </cell>
        </row>
        <row r="3838">
          <cell r="B3838" t="str">
            <v>SWD1000B</v>
          </cell>
          <cell r="C3838" t="str">
            <v>Invoice</v>
          </cell>
          <cell r="D3838">
            <v>38489</v>
          </cell>
          <cell r="F3838" t="str">
            <v>5728</v>
          </cell>
          <cell r="G3838" t="str">
            <v>Muzak, LLC</v>
          </cell>
          <cell r="H3838">
            <v>1</v>
          </cell>
        </row>
        <row r="3839">
          <cell r="B3839" t="str">
            <v>SWD1000B</v>
          </cell>
          <cell r="C3839" t="str">
            <v>Invoice</v>
          </cell>
          <cell r="D3839">
            <v>38490</v>
          </cell>
          <cell r="F3839" t="str">
            <v>6085</v>
          </cell>
          <cell r="G3839" t="str">
            <v>Muzak, LLC (superceded)</v>
          </cell>
          <cell r="H3839">
            <v>1</v>
          </cell>
        </row>
        <row r="3840">
          <cell r="B3840" t="str">
            <v>SWD1000B</v>
          </cell>
          <cell r="C3840" t="str">
            <v>Invoice</v>
          </cell>
          <cell r="D3840">
            <v>38490</v>
          </cell>
          <cell r="F3840" t="str">
            <v>6084</v>
          </cell>
          <cell r="G3840" t="str">
            <v>Bonterra Builders</v>
          </cell>
          <cell r="H3840">
            <v>1</v>
          </cell>
        </row>
        <row r="3841">
          <cell r="B3841" t="str">
            <v>SWD1000B</v>
          </cell>
          <cell r="C3841" t="str">
            <v>Invoice</v>
          </cell>
          <cell r="D3841">
            <v>38490</v>
          </cell>
          <cell r="F3841" t="str">
            <v>6087</v>
          </cell>
          <cell r="G3841" t="str">
            <v>24 Hour Fitness</v>
          </cell>
          <cell r="H3841">
            <v>1</v>
          </cell>
        </row>
        <row r="3842">
          <cell r="B3842" t="str">
            <v>SWD1000B</v>
          </cell>
          <cell r="C3842" t="str">
            <v>Invoice</v>
          </cell>
          <cell r="D3842">
            <v>38490</v>
          </cell>
          <cell r="F3842" t="str">
            <v>6080</v>
          </cell>
          <cell r="G3842" t="str">
            <v>Muzak, LLC (superceded)</v>
          </cell>
          <cell r="H3842">
            <v>1</v>
          </cell>
        </row>
        <row r="3843">
          <cell r="B3843" t="str">
            <v>SWD1000B</v>
          </cell>
          <cell r="C3843" t="str">
            <v>Invoice</v>
          </cell>
          <cell r="D3843">
            <v>38491</v>
          </cell>
          <cell r="F3843" t="str">
            <v>6070</v>
          </cell>
          <cell r="G3843" t="str">
            <v>Lee-Moore Oil Company:Exxon OTR - 22</v>
          </cell>
          <cell r="H3843">
            <v>1</v>
          </cell>
        </row>
        <row r="3844">
          <cell r="B3844" t="str">
            <v>SWD1000B</v>
          </cell>
          <cell r="C3844" t="str">
            <v>Invoice</v>
          </cell>
          <cell r="D3844">
            <v>38491</v>
          </cell>
          <cell r="F3844" t="str">
            <v>6073</v>
          </cell>
          <cell r="G3844" t="str">
            <v>Lee-Moore Oil Company:Exxon OTR - 36</v>
          </cell>
          <cell r="H3844">
            <v>1</v>
          </cell>
        </row>
        <row r="3845">
          <cell r="B3845" t="str">
            <v>SWD1000B</v>
          </cell>
          <cell r="C3845" t="str">
            <v>Invoice</v>
          </cell>
          <cell r="D3845">
            <v>38491</v>
          </cell>
          <cell r="F3845" t="str">
            <v>6074</v>
          </cell>
          <cell r="G3845" t="str">
            <v>Lee-Moore Oil Company:Exxon OTR - 37</v>
          </cell>
          <cell r="H3845">
            <v>1</v>
          </cell>
        </row>
        <row r="3846">
          <cell r="B3846" t="str">
            <v>SWD1000B</v>
          </cell>
          <cell r="C3846" t="str">
            <v>Invoice</v>
          </cell>
          <cell r="D3846">
            <v>38491</v>
          </cell>
          <cell r="F3846" t="str">
            <v>6078</v>
          </cell>
          <cell r="G3846" t="str">
            <v>Lee-Moore Oil Company:Exxon OTR - 71</v>
          </cell>
          <cell r="H3846">
            <v>1</v>
          </cell>
        </row>
        <row r="3847">
          <cell r="B3847" t="str">
            <v>SWD1000B</v>
          </cell>
          <cell r="C3847" t="str">
            <v>Invoice</v>
          </cell>
          <cell r="D3847">
            <v>38491</v>
          </cell>
          <cell r="F3847" t="str">
            <v>6075</v>
          </cell>
          <cell r="G3847" t="str">
            <v>Lee-Moore Oil Company:Exxon OTR - 41</v>
          </cell>
          <cell r="H3847">
            <v>1</v>
          </cell>
        </row>
        <row r="3848">
          <cell r="B3848" t="str">
            <v>SWD1000B</v>
          </cell>
          <cell r="C3848" t="str">
            <v>Invoice</v>
          </cell>
          <cell r="D3848">
            <v>38491</v>
          </cell>
          <cell r="F3848" t="str">
            <v>6069</v>
          </cell>
          <cell r="G3848" t="str">
            <v>Lee-Moore Oil Company:Exxon OTR - 21</v>
          </cell>
          <cell r="H3848">
            <v>1</v>
          </cell>
        </row>
        <row r="3849">
          <cell r="B3849" t="str">
            <v>SWD1000B</v>
          </cell>
          <cell r="C3849" t="str">
            <v>Invoice</v>
          </cell>
          <cell r="D3849">
            <v>38491</v>
          </cell>
          <cell r="F3849" t="str">
            <v>6072</v>
          </cell>
          <cell r="G3849" t="str">
            <v>Lee-Moore Oil Company:Exxon OTR - 30</v>
          </cell>
          <cell r="H3849">
            <v>1</v>
          </cell>
        </row>
        <row r="3850">
          <cell r="B3850" t="str">
            <v>SWD1000B</v>
          </cell>
          <cell r="C3850" t="str">
            <v>Invoice</v>
          </cell>
          <cell r="D3850">
            <v>38491</v>
          </cell>
          <cell r="F3850" t="str">
            <v>6076</v>
          </cell>
          <cell r="G3850" t="str">
            <v>Lee-Moore Oil Company:Exxon OTR - 42</v>
          </cell>
          <cell r="H3850">
            <v>1</v>
          </cell>
        </row>
        <row r="3851">
          <cell r="B3851" t="str">
            <v>SWD1000B</v>
          </cell>
          <cell r="C3851" t="str">
            <v>Invoice</v>
          </cell>
          <cell r="D3851">
            <v>38491</v>
          </cell>
          <cell r="F3851" t="str">
            <v>6068</v>
          </cell>
          <cell r="G3851" t="str">
            <v>Lee-Moore Oil Company:Exxon OTR - 20</v>
          </cell>
          <cell r="H3851">
            <v>1</v>
          </cell>
        </row>
        <row r="3852">
          <cell r="B3852" t="str">
            <v>SWD1000B</v>
          </cell>
          <cell r="C3852" t="str">
            <v>Invoice</v>
          </cell>
          <cell r="D3852">
            <v>38491</v>
          </cell>
          <cell r="F3852" t="str">
            <v>6077</v>
          </cell>
          <cell r="G3852" t="str">
            <v>Lee-Moore Oil Company:Exxon OTR - 70</v>
          </cell>
          <cell r="H3852">
            <v>1</v>
          </cell>
        </row>
        <row r="3853">
          <cell r="B3853" t="str">
            <v>SWD1000B</v>
          </cell>
          <cell r="C3853" t="str">
            <v>Invoice</v>
          </cell>
          <cell r="D3853">
            <v>38491</v>
          </cell>
          <cell r="F3853" t="str">
            <v>6113</v>
          </cell>
          <cell r="G3853" t="str">
            <v>Lucky Brand Jeans</v>
          </cell>
          <cell r="H3853">
            <v>1</v>
          </cell>
        </row>
        <row r="3854">
          <cell r="B3854" t="str">
            <v>SWD1000B</v>
          </cell>
          <cell r="C3854" t="str">
            <v>Invoice</v>
          </cell>
          <cell r="D3854">
            <v>38491</v>
          </cell>
          <cell r="F3854" t="str">
            <v>6090</v>
          </cell>
          <cell r="G3854" t="str">
            <v>Busch Gardens - Tampa</v>
          </cell>
          <cell r="H3854">
            <v>1</v>
          </cell>
        </row>
        <row r="3855">
          <cell r="B3855" t="str">
            <v>SWD1000B</v>
          </cell>
          <cell r="C3855" t="str">
            <v>Invoice</v>
          </cell>
          <cell r="D3855">
            <v>38491</v>
          </cell>
          <cell r="F3855" t="str">
            <v>6071</v>
          </cell>
          <cell r="G3855" t="str">
            <v>Lee-Moore Oil Company:Exxon OTR - 29</v>
          </cell>
          <cell r="H3855">
            <v>1</v>
          </cell>
        </row>
        <row r="3856">
          <cell r="B3856" t="str">
            <v>SWD1000B</v>
          </cell>
          <cell r="C3856" t="str">
            <v>Invoice</v>
          </cell>
          <cell r="D3856">
            <v>38495</v>
          </cell>
          <cell r="F3856" t="str">
            <v>6123</v>
          </cell>
          <cell r="G3856" t="str">
            <v>Vita-Mix Corporation:VMC Coporate Office</v>
          </cell>
          <cell r="H3856">
            <v>1</v>
          </cell>
        </row>
        <row r="3857">
          <cell r="B3857" t="str">
            <v>SWD1000B</v>
          </cell>
          <cell r="C3857" t="str">
            <v>Invoice</v>
          </cell>
          <cell r="D3857">
            <v>38496</v>
          </cell>
          <cell r="F3857" t="str">
            <v>6135</v>
          </cell>
          <cell r="G3857" t="str">
            <v>Muzak, LLC:Sleep to Live - Durham</v>
          </cell>
          <cell r="H3857">
            <v>1</v>
          </cell>
        </row>
        <row r="3858">
          <cell r="B3858" t="str">
            <v>SWD1000B</v>
          </cell>
          <cell r="C3858" t="str">
            <v>Invoice</v>
          </cell>
          <cell r="D3858">
            <v>38496</v>
          </cell>
          <cell r="F3858" t="str">
            <v>6134</v>
          </cell>
          <cell r="G3858" t="str">
            <v>Muzak, LLC:Dunkin Donuts - Raleigh(Capital Blvd)</v>
          </cell>
          <cell r="H3858">
            <v>1</v>
          </cell>
        </row>
        <row r="3859">
          <cell r="B3859" t="str">
            <v>SWD1000B</v>
          </cell>
          <cell r="C3859" t="str">
            <v>Invoice</v>
          </cell>
          <cell r="D3859">
            <v>38497</v>
          </cell>
          <cell r="F3859" t="str">
            <v>6143</v>
          </cell>
          <cell r="G3859" t="str">
            <v>Hustler Hollywood - Lexington, KY</v>
          </cell>
          <cell r="H3859">
            <v>1</v>
          </cell>
        </row>
        <row r="3860">
          <cell r="B3860" t="str">
            <v>SWD1000B</v>
          </cell>
          <cell r="C3860" t="str">
            <v>Invoice</v>
          </cell>
          <cell r="D3860">
            <v>38497</v>
          </cell>
          <cell r="F3860" t="str">
            <v>6139</v>
          </cell>
          <cell r="G3860" t="str">
            <v>Shay Bustenay</v>
          </cell>
          <cell r="H3860">
            <v>1</v>
          </cell>
        </row>
        <row r="3861">
          <cell r="B3861" t="str">
            <v>SWD1000B</v>
          </cell>
          <cell r="C3861" t="str">
            <v>Invoice</v>
          </cell>
          <cell r="D3861">
            <v>38503</v>
          </cell>
          <cell r="F3861" t="str">
            <v>6190</v>
          </cell>
          <cell r="G3861" t="str">
            <v>Cumberland Farms, Inc.:Cumberland Farms #0131</v>
          </cell>
          <cell r="H3861">
            <v>1</v>
          </cell>
        </row>
        <row r="3862">
          <cell r="B3862" t="str">
            <v>SWD1000B</v>
          </cell>
          <cell r="C3862" t="str">
            <v>Invoice</v>
          </cell>
          <cell r="D3862">
            <v>38503</v>
          </cell>
          <cell r="F3862" t="str">
            <v>6198</v>
          </cell>
          <cell r="G3862" t="str">
            <v>Cumberland Farms, Inc.:Cumberland Farms #0187</v>
          </cell>
          <cell r="H3862">
            <v>1</v>
          </cell>
        </row>
        <row r="3863">
          <cell r="B3863" t="str">
            <v>SWD1000B</v>
          </cell>
          <cell r="C3863" t="str">
            <v>Invoice</v>
          </cell>
          <cell r="D3863">
            <v>38503</v>
          </cell>
          <cell r="F3863" t="str">
            <v>6199</v>
          </cell>
          <cell r="G3863" t="str">
            <v>Cumberland Farms, Inc.:Cumberland Farms #0202</v>
          </cell>
          <cell r="H3863">
            <v>1</v>
          </cell>
        </row>
        <row r="3864">
          <cell r="B3864" t="str">
            <v>SWD1000B</v>
          </cell>
          <cell r="C3864" t="str">
            <v>Invoice</v>
          </cell>
          <cell r="D3864">
            <v>38503</v>
          </cell>
          <cell r="F3864" t="str">
            <v>6200</v>
          </cell>
          <cell r="G3864" t="str">
            <v>Cumberland Farms, Inc.:Cumberland Farms #2312</v>
          </cell>
          <cell r="H3864">
            <v>1</v>
          </cell>
        </row>
        <row r="3865">
          <cell r="B3865" t="str">
            <v>SWD1000B</v>
          </cell>
          <cell r="C3865" t="str">
            <v>Invoice</v>
          </cell>
          <cell r="D3865">
            <v>38503</v>
          </cell>
          <cell r="F3865" t="str">
            <v>6201</v>
          </cell>
          <cell r="G3865" t="str">
            <v>Cumberland Farms, Inc.:Cumberland Farms #3508</v>
          </cell>
          <cell r="H3865">
            <v>1</v>
          </cell>
        </row>
        <row r="3866">
          <cell r="B3866" t="str">
            <v>SWD1000B</v>
          </cell>
          <cell r="C3866" t="str">
            <v>Invoice</v>
          </cell>
          <cell r="D3866">
            <v>38504</v>
          </cell>
          <cell r="F3866" t="str">
            <v>6219</v>
          </cell>
          <cell r="G3866" t="str">
            <v>Muzak, LLC:Quick Chek - 20</v>
          </cell>
          <cell r="H3866">
            <v>1</v>
          </cell>
        </row>
        <row r="3867">
          <cell r="B3867" t="str">
            <v>SWD1000B</v>
          </cell>
          <cell r="C3867" t="str">
            <v>Invoice</v>
          </cell>
          <cell r="D3867">
            <v>38504</v>
          </cell>
          <cell r="F3867" t="str">
            <v>6220</v>
          </cell>
          <cell r="G3867" t="str">
            <v>Muzak, LLC:Quick Chek - 09</v>
          </cell>
          <cell r="H3867">
            <v>1</v>
          </cell>
        </row>
        <row r="3868">
          <cell r="B3868" t="str">
            <v>SWD1000B</v>
          </cell>
          <cell r="C3868" t="str">
            <v>Invoice</v>
          </cell>
          <cell r="D3868">
            <v>38505</v>
          </cell>
          <cell r="F3868" t="str">
            <v>6227</v>
          </cell>
          <cell r="G3868" t="str">
            <v>Muzak, LLC:C. Mini Mart - 147</v>
          </cell>
          <cell r="H3868">
            <v>1</v>
          </cell>
        </row>
        <row r="3869">
          <cell r="B3869" t="str">
            <v>SWD1000B</v>
          </cell>
          <cell r="C3869" t="str">
            <v>Invoice</v>
          </cell>
          <cell r="D3869">
            <v>38505</v>
          </cell>
          <cell r="F3869" t="str">
            <v>5569A</v>
          </cell>
          <cell r="G3869" t="str">
            <v>Muzak, LLC:Anytime Fitness</v>
          </cell>
          <cell r="H3869">
            <v>1</v>
          </cell>
        </row>
        <row r="3870">
          <cell r="B3870" t="str">
            <v>SWD1000B</v>
          </cell>
          <cell r="C3870" t="str">
            <v>Invoice</v>
          </cell>
          <cell r="D3870">
            <v>38508</v>
          </cell>
          <cell r="F3870" t="str">
            <v>6254</v>
          </cell>
          <cell r="G3870" t="str">
            <v>Muzak, LLC:USA Baby</v>
          </cell>
          <cell r="H3870">
            <v>1</v>
          </cell>
        </row>
        <row r="3871">
          <cell r="B3871" t="str">
            <v>SWD1000B</v>
          </cell>
          <cell r="C3871" t="str">
            <v>Invoice</v>
          </cell>
          <cell r="D3871">
            <v>38509</v>
          </cell>
          <cell r="F3871" t="str">
            <v>6245</v>
          </cell>
          <cell r="G3871" t="str">
            <v>American Solutions Inc.</v>
          </cell>
          <cell r="H3871">
            <v>1</v>
          </cell>
        </row>
        <row r="3872">
          <cell r="B3872" t="str">
            <v>SWD1000B</v>
          </cell>
          <cell r="C3872" t="str">
            <v>Invoice</v>
          </cell>
          <cell r="D3872">
            <v>38509</v>
          </cell>
          <cell r="F3872" t="str">
            <v>6247</v>
          </cell>
          <cell r="G3872" t="str">
            <v>Muzak, LLC:Central Dermatology Center</v>
          </cell>
          <cell r="H3872">
            <v>1</v>
          </cell>
        </row>
        <row r="3873">
          <cell r="B3873" t="str">
            <v>SWD1000B</v>
          </cell>
          <cell r="C3873" t="str">
            <v>Invoice</v>
          </cell>
          <cell r="D3873">
            <v>38509</v>
          </cell>
          <cell r="F3873" t="str">
            <v>6252</v>
          </cell>
          <cell r="G3873" t="str">
            <v>Muzak, LLC:Finley YMCA</v>
          </cell>
          <cell r="H3873">
            <v>1</v>
          </cell>
        </row>
        <row r="3874">
          <cell r="B3874" t="str">
            <v>SWD1000B</v>
          </cell>
          <cell r="C3874" t="str">
            <v>Invoice</v>
          </cell>
          <cell r="D3874">
            <v>38510</v>
          </cell>
          <cell r="F3874" t="str">
            <v>6251</v>
          </cell>
          <cell r="G3874" t="str">
            <v>Muzak, LLC:Sleep to Live - Mebane</v>
          </cell>
          <cell r="H3874">
            <v>1</v>
          </cell>
        </row>
        <row r="3875">
          <cell r="B3875" t="str">
            <v>SWD1000B</v>
          </cell>
          <cell r="C3875" t="str">
            <v>Invoice</v>
          </cell>
          <cell r="D3875">
            <v>38510</v>
          </cell>
          <cell r="F3875" t="str">
            <v>6253</v>
          </cell>
          <cell r="G3875" t="str">
            <v>Muzak, LLC:Dunkin Donuts - Charlotte</v>
          </cell>
          <cell r="H3875">
            <v>1</v>
          </cell>
        </row>
        <row r="3876">
          <cell r="B3876" t="str">
            <v>SWD1000B</v>
          </cell>
          <cell r="C3876" t="str">
            <v>Invoice</v>
          </cell>
          <cell r="D3876">
            <v>38511</v>
          </cell>
          <cell r="F3876" t="str">
            <v>6286</v>
          </cell>
          <cell r="G3876" t="str">
            <v>Muzak, LLC:Spink - 191</v>
          </cell>
          <cell r="H3876">
            <v>1</v>
          </cell>
        </row>
        <row r="3877">
          <cell r="B3877" t="str">
            <v>SWD1000B</v>
          </cell>
          <cell r="C3877" t="str">
            <v>Invoice</v>
          </cell>
          <cell r="D3877">
            <v>38511</v>
          </cell>
          <cell r="F3877" t="str">
            <v>6285</v>
          </cell>
          <cell r="G3877" t="str">
            <v>Muzak, LLC:Spinx - 100</v>
          </cell>
          <cell r="H3877">
            <v>1</v>
          </cell>
        </row>
        <row r="3878">
          <cell r="B3878" t="str">
            <v>SWD1000B</v>
          </cell>
          <cell r="C3878" t="str">
            <v>Invoice</v>
          </cell>
          <cell r="D3878">
            <v>38512</v>
          </cell>
          <cell r="F3878" t="str">
            <v>6256</v>
          </cell>
          <cell r="G3878" t="str">
            <v>Muzak, LLC:Arbys - Simpsonville</v>
          </cell>
          <cell r="H3878">
            <v>1</v>
          </cell>
        </row>
        <row r="3879">
          <cell r="B3879" t="str">
            <v>SWD1000B</v>
          </cell>
          <cell r="C3879" t="str">
            <v>Invoice</v>
          </cell>
          <cell r="D3879">
            <v>38512</v>
          </cell>
          <cell r="F3879" t="str">
            <v>6319</v>
          </cell>
          <cell r="G3879" t="str">
            <v>Muzak, LLC:Triangle Stop Food Store - 215</v>
          </cell>
          <cell r="H3879">
            <v>1</v>
          </cell>
        </row>
        <row r="3880">
          <cell r="B3880" t="str">
            <v>SWD1000B</v>
          </cell>
          <cell r="C3880" t="str">
            <v>Invoice</v>
          </cell>
          <cell r="D3880">
            <v>38512</v>
          </cell>
          <cell r="F3880" t="str">
            <v>6318</v>
          </cell>
          <cell r="G3880" t="str">
            <v>Muzak, LLC:One Stop Food Store</v>
          </cell>
          <cell r="H3880">
            <v>1</v>
          </cell>
        </row>
        <row r="3881">
          <cell r="B3881" t="str">
            <v>SWD1000B</v>
          </cell>
          <cell r="C3881" t="str">
            <v>Invoice</v>
          </cell>
          <cell r="D3881">
            <v>38512</v>
          </cell>
          <cell r="F3881" t="str">
            <v>6250</v>
          </cell>
          <cell r="G3881" t="str">
            <v>Muzak, LLC:Highwoods Properties</v>
          </cell>
          <cell r="H3881">
            <v>1</v>
          </cell>
        </row>
        <row r="3882">
          <cell r="B3882" t="str">
            <v>SWD1000B</v>
          </cell>
          <cell r="C3882" t="str">
            <v>Invoice</v>
          </cell>
          <cell r="D3882">
            <v>38513</v>
          </cell>
          <cell r="F3882" t="str">
            <v>5553A</v>
          </cell>
          <cell r="G3882" t="str">
            <v>Muzak, LLC:Doctor's Urgent Care</v>
          </cell>
          <cell r="H3882">
            <v>1</v>
          </cell>
        </row>
        <row r="3883">
          <cell r="B3883" t="str">
            <v>SWD1000B</v>
          </cell>
          <cell r="C3883" t="str">
            <v>Invoice</v>
          </cell>
          <cell r="D3883">
            <v>38516</v>
          </cell>
          <cell r="F3883" t="str">
            <v>6333</v>
          </cell>
          <cell r="G3883" t="str">
            <v>GMR Marketing</v>
          </cell>
          <cell r="H3883">
            <v>1</v>
          </cell>
        </row>
        <row r="3884">
          <cell r="B3884" t="str">
            <v>SWD1000B</v>
          </cell>
          <cell r="C3884" t="str">
            <v>Invoice</v>
          </cell>
          <cell r="D3884">
            <v>38516</v>
          </cell>
          <cell r="F3884" t="str">
            <v>5533A</v>
          </cell>
          <cell r="G3884" t="str">
            <v>S &amp; M Amusements</v>
          </cell>
          <cell r="H3884">
            <v>1</v>
          </cell>
        </row>
        <row r="3885">
          <cell r="B3885" t="str">
            <v>SWD1000B</v>
          </cell>
          <cell r="C3885" t="str">
            <v>Invoice</v>
          </cell>
          <cell r="D3885">
            <v>38516</v>
          </cell>
          <cell r="F3885" t="str">
            <v>6287</v>
          </cell>
          <cell r="G3885" t="str">
            <v>Nutraceutical/Fresh Organics</v>
          </cell>
          <cell r="H3885">
            <v>1</v>
          </cell>
        </row>
        <row r="3886">
          <cell r="B3886" t="str">
            <v>SWD1000B</v>
          </cell>
          <cell r="C3886" t="str">
            <v>Invoice</v>
          </cell>
          <cell r="D3886">
            <v>38517</v>
          </cell>
          <cell r="F3886" t="str">
            <v>6243</v>
          </cell>
          <cell r="G3886" t="str">
            <v>Starwood Hotels:The Essex Hotel</v>
          </cell>
          <cell r="H3886">
            <v>1</v>
          </cell>
        </row>
        <row r="3887">
          <cell r="B3887" t="str">
            <v>SWD1000B</v>
          </cell>
          <cell r="C3887" t="str">
            <v>Invoice</v>
          </cell>
          <cell r="D3887">
            <v>38520</v>
          </cell>
          <cell r="F3887" t="str">
            <v>5576-I</v>
          </cell>
          <cell r="G3887" t="str">
            <v>Jimmy Choo (Corporate Office):Jimmy Choo (Coral Gables)</v>
          </cell>
          <cell r="H3887">
            <v>1</v>
          </cell>
        </row>
        <row r="3888">
          <cell r="B3888" t="str">
            <v>SWD1000B</v>
          </cell>
          <cell r="C3888" t="str">
            <v>Invoice</v>
          </cell>
          <cell r="D3888">
            <v>38520</v>
          </cell>
          <cell r="F3888" t="str">
            <v>6364</v>
          </cell>
          <cell r="G3888" t="str">
            <v>Jimmy Choo (Corporate Office):Jimmy Choo (Dallas)</v>
          </cell>
          <cell r="H3888">
            <v>1</v>
          </cell>
        </row>
        <row r="3889">
          <cell r="B3889" t="str">
            <v>SWD1000B</v>
          </cell>
          <cell r="C3889" t="str">
            <v>Invoice</v>
          </cell>
          <cell r="D3889">
            <v>38520</v>
          </cell>
          <cell r="F3889" t="str">
            <v>6371</v>
          </cell>
          <cell r="G3889" t="str">
            <v>Ingle's Markets</v>
          </cell>
          <cell r="H3889">
            <v>1</v>
          </cell>
        </row>
        <row r="3890">
          <cell r="B3890" t="str">
            <v>SWD1000B</v>
          </cell>
          <cell r="C3890" t="str">
            <v>Invoice</v>
          </cell>
          <cell r="D3890">
            <v>38520</v>
          </cell>
          <cell r="F3890" t="str">
            <v>6367</v>
          </cell>
          <cell r="G3890" t="str">
            <v>Muzak, LLC:City Range Steakhouse &amp; Grill</v>
          </cell>
          <cell r="H3890">
            <v>1</v>
          </cell>
        </row>
        <row r="3891">
          <cell r="B3891" t="str">
            <v>SWD1000B</v>
          </cell>
          <cell r="C3891" t="str">
            <v>Invoice</v>
          </cell>
          <cell r="D3891">
            <v>38520</v>
          </cell>
          <cell r="F3891" t="str">
            <v>6267</v>
          </cell>
          <cell r="G3891" t="str">
            <v>Techno Satellite</v>
          </cell>
          <cell r="H3891">
            <v>1</v>
          </cell>
        </row>
        <row r="3892">
          <cell r="B3892" t="str">
            <v>SWD1000B</v>
          </cell>
          <cell r="C3892" t="str">
            <v>Invoice</v>
          </cell>
          <cell r="D3892">
            <v>38520</v>
          </cell>
          <cell r="F3892" t="str">
            <v>5571-I</v>
          </cell>
          <cell r="G3892" t="str">
            <v>Muzak, LLC:Gate City Chop House</v>
          </cell>
          <cell r="H3892">
            <v>1</v>
          </cell>
        </row>
        <row r="3893">
          <cell r="B3893" t="str">
            <v>SWD1000B</v>
          </cell>
          <cell r="C3893" t="str">
            <v>Invoice</v>
          </cell>
          <cell r="D3893">
            <v>38520</v>
          </cell>
          <cell r="F3893" t="str">
            <v>6373</v>
          </cell>
          <cell r="G3893" t="str">
            <v>Muzak, LLC:Eastern Mountain Sports:EMS - Nashua</v>
          </cell>
          <cell r="H3893">
            <v>1</v>
          </cell>
        </row>
        <row r="3894">
          <cell r="B3894" t="str">
            <v>SWD1000B</v>
          </cell>
          <cell r="C3894" t="str">
            <v>Invoice</v>
          </cell>
          <cell r="D3894">
            <v>38525</v>
          </cell>
          <cell r="F3894" t="str">
            <v>6395</v>
          </cell>
          <cell r="G3894" t="str">
            <v>Hotel Hershey</v>
          </cell>
          <cell r="H3894">
            <v>1</v>
          </cell>
        </row>
        <row r="3895">
          <cell r="B3895" t="str">
            <v>SWD1000B</v>
          </cell>
          <cell r="C3895" t="str">
            <v>Invoice</v>
          </cell>
          <cell r="D3895">
            <v>38526</v>
          </cell>
          <cell r="F3895" t="str">
            <v>6408</v>
          </cell>
          <cell r="G3895" t="str">
            <v>Pilot Travel Centers</v>
          </cell>
          <cell r="H3895">
            <v>1</v>
          </cell>
        </row>
        <row r="3896">
          <cell r="B3896" t="str">
            <v>SWD1000B</v>
          </cell>
          <cell r="C3896" t="str">
            <v>Invoice</v>
          </cell>
          <cell r="D3896">
            <v>38530</v>
          </cell>
          <cell r="F3896" t="str">
            <v>5589</v>
          </cell>
          <cell r="G3896" t="str">
            <v>Muzak, LLC:Round The Clock</v>
          </cell>
          <cell r="H3896">
            <v>1</v>
          </cell>
        </row>
        <row r="3897">
          <cell r="B3897" t="str">
            <v>SWD1000B</v>
          </cell>
          <cell r="C3897" t="str">
            <v>Invoice</v>
          </cell>
          <cell r="D3897">
            <v>38533</v>
          </cell>
          <cell r="F3897" t="str">
            <v>7002</v>
          </cell>
          <cell r="G3897" t="str">
            <v>ScentAir - Corporate Associates</v>
          </cell>
          <cell r="H3897">
            <v>1</v>
          </cell>
        </row>
        <row r="3898">
          <cell r="B3898" t="str">
            <v>SWD1000B</v>
          </cell>
          <cell r="C3898" t="str">
            <v>Invoice</v>
          </cell>
          <cell r="D3898">
            <v>38533</v>
          </cell>
          <cell r="F3898" t="str">
            <v>7005</v>
          </cell>
          <cell r="G3898" t="str">
            <v>Exxon DDB Worldwide:ExxonMobil #20432</v>
          </cell>
          <cell r="H3898">
            <v>1</v>
          </cell>
        </row>
        <row r="3899">
          <cell r="B3899" t="str">
            <v>SWD1000B</v>
          </cell>
          <cell r="C3899" t="str">
            <v>Invoice</v>
          </cell>
          <cell r="D3899">
            <v>38533</v>
          </cell>
          <cell r="F3899" t="str">
            <v>7006</v>
          </cell>
          <cell r="G3899" t="str">
            <v>Exxon DDB Worldwide:ExxonMobil #25329</v>
          </cell>
          <cell r="H3899">
            <v>1</v>
          </cell>
        </row>
        <row r="3900">
          <cell r="B3900" t="str">
            <v>SWD1000B</v>
          </cell>
          <cell r="C3900" t="str">
            <v>Invoice</v>
          </cell>
          <cell r="D3900">
            <v>38533</v>
          </cell>
          <cell r="F3900" t="str">
            <v>7007</v>
          </cell>
          <cell r="G3900" t="str">
            <v>Exxon DDB Worldwide:ExxonMobil #27925</v>
          </cell>
          <cell r="H3900">
            <v>1</v>
          </cell>
        </row>
        <row r="3901">
          <cell r="B3901" t="str">
            <v>SWD1000B</v>
          </cell>
          <cell r="C3901" t="str">
            <v>Invoice</v>
          </cell>
          <cell r="D3901">
            <v>38533</v>
          </cell>
          <cell r="F3901" t="str">
            <v>7011</v>
          </cell>
          <cell r="G3901" t="str">
            <v>Exxon DDB Worldwide:ExxonMobil #60121</v>
          </cell>
          <cell r="H3901">
            <v>1</v>
          </cell>
        </row>
        <row r="3902">
          <cell r="B3902" t="str">
            <v>SWD1000B</v>
          </cell>
          <cell r="C3902" t="str">
            <v>Invoice</v>
          </cell>
          <cell r="D3902">
            <v>38533</v>
          </cell>
          <cell r="F3902" t="str">
            <v>7012</v>
          </cell>
          <cell r="G3902" t="str">
            <v>Exxon DDB Worldwide:ExxonMobil #62065</v>
          </cell>
          <cell r="H3902">
            <v>1</v>
          </cell>
        </row>
        <row r="3903">
          <cell r="B3903" t="str">
            <v>SWD1000B</v>
          </cell>
          <cell r="C3903" t="str">
            <v>Invoice</v>
          </cell>
          <cell r="D3903">
            <v>38533</v>
          </cell>
          <cell r="F3903" t="str">
            <v>7013</v>
          </cell>
          <cell r="G3903" t="str">
            <v>Exxon DDB Worldwide:ExxonMobil #80158</v>
          </cell>
          <cell r="H3903">
            <v>1</v>
          </cell>
        </row>
        <row r="3904">
          <cell r="B3904" t="str">
            <v>SWD1000B</v>
          </cell>
          <cell r="C3904" t="str">
            <v>Invoice</v>
          </cell>
          <cell r="D3904">
            <v>38533</v>
          </cell>
          <cell r="F3904" t="str">
            <v>7008</v>
          </cell>
          <cell r="G3904" t="str">
            <v>Exxon DDB Worldwide:ExxonMobil #40595</v>
          </cell>
          <cell r="H3904">
            <v>1</v>
          </cell>
        </row>
        <row r="3905">
          <cell r="B3905" t="str">
            <v>SWD1000B</v>
          </cell>
          <cell r="C3905" t="str">
            <v>Invoice</v>
          </cell>
          <cell r="D3905">
            <v>38533</v>
          </cell>
          <cell r="F3905" t="str">
            <v>7009</v>
          </cell>
          <cell r="G3905" t="str">
            <v>Exxon DDB Worldwide:ExxonMobil #40600</v>
          </cell>
          <cell r="H3905">
            <v>1</v>
          </cell>
        </row>
        <row r="3906">
          <cell r="B3906" t="str">
            <v>SWD1000B</v>
          </cell>
          <cell r="C3906" t="str">
            <v>Invoice</v>
          </cell>
          <cell r="D3906">
            <v>38533</v>
          </cell>
          <cell r="F3906" t="str">
            <v>7010</v>
          </cell>
          <cell r="G3906" t="str">
            <v>Exxon DDB Worldwide:ExxonMobil #47373</v>
          </cell>
          <cell r="H3906">
            <v>1</v>
          </cell>
        </row>
        <row r="3907">
          <cell r="B3907" t="str">
            <v>SWD1000B</v>
          </cell>
          <cell r="C3907" t="str">
            <v>Invoice</v>
          </cell>
          <cell r="D3907">
            <v>38534</v>
          </cell>
          <cell r="F3907" t="str">
            <v>7058</v>
          </cell>
          <cell r="G3907" t="str">
            <v>Muzak, LLC:Just Fresh Bakery Cafe &amp; Mkt. - Durham</v>
          </cell>
          <cell r="H3907">
            <v>1</v>
          </cell>
        </row>
        <row r="3908">
          <cell r="B3908" t="str">
            <v>SWD1000B</v>
          </cell>
          <cell r="C3908" t="str">
            <v>Invoice</v>
          </cell>
          <cell r="D3908">
            <v>38538</v>
          </cell>
          <cell r="F3908" t="str">
            <v>7004</v>
          </cell>
          <cell r="G3908" t="str">
            <v>Muzak, LLC:McDonald's - Raleigh</v>
          </cell>
          <cell r="H3908">
            <v>1</v>
          </cell>
        </row>
        <row r="3909">
          <cell r="B3909" t="str">
            <v>SWD1000B</v>
          </cell>
          <cell r="C3909" t="str">
            <v>Invoice</v>
          </cell>
          <cell r="D3909">
            <v>38538</v>
          </cell>
          <cell r="F3909" t="str">
            <v>7003</v>
          </cell>
          <cell r="G3909" t="str">
            <v>Muzak, LLC:Atlanta Bread Company</v>
          </cell>
          <cell r="H3909">
            <v>1</v>
          </cell>
        </row>
        <row r="3910">
          <cell r="B3910" t="str">
            <v>SWD1000B</v>
          </cell>
          <cell r="C3910" t="str">
            <v>Invoice</v>
          </cell>
          <cell r="D3910">
            <v>38539</v>
          </cell>
          <cell r="F3910" t="str">
            <v>7038</v>
          </cell>
          <cell r="G3910" t="str">
            <v>Muzak, LLC:Dunkin Donuts/B. Robbins - Fuquay</v>
          </cell>
          <cell r="H3910">
            <v>1</v>
          </cell>
        </row>
        <row r="3911">
          <cell r="B3911" t="str">
            <v>SWD1000B</v>
          </cell>
          <cell r="C3911" t="str">
            <v>Invoice</v>
          </cell>
          <cell r="D3911">
            <v>38539</v>
          </cell>
          <cell r="F3911" t="str">
            <v>7043</v>
          </cell>
          <cell r="G3911" t="str">
            <v>Western Sizzlin Corporate:Great American Steak - Waldorf</v>
          </cell>
          <cell r="H3911">
            <v>1</v>
          </cell>
        </row>
        <row r="3912">
          <cell r="B3912" t="str">
            <v>SWD1000B</v>
          </cell>
          <cell r="C3912" t="str">
            <v>Invoice</v>
          </cell>
          <cell r="D3912">
            <v>38540</v>
          </cell>
          <cell r="F3912" t="str">
            <v>7015</v>
          </cell>
          <cell r="G3912" t="str">
            <v>ScentAir - Corporate Associates</v>
          </cell>
          <cell r="H3912">
            <v>1</v>
          </cell>
        </row>
        <row r="3913">
          <cell r="B3913" t="str">
            <v>SWD1000B</v>
          </cell>
          <cell r="C3913" t="str">
            <v>Invoice</v>
          </cell>
          <cell r="D3913">
            <v>38542</v>
          </cell>
          <cell r="F3913" t="str">
            <v>7091</v>
          </cell>
          <cell r="G3913" t="str">
            <v>Muzak, LLC:Savvy Salon and Day Spa</v>
          </cell>
          <cell r="H3913">
            <v>1</v>
          </cell>
        </row>
        <row r="3914">
          <cell r="B3914" t="str">
            <v>SWD1000B</v>
          </cell>
          <cell r="C3914" t="str">
            <v>Invoice</v>
          </cell>
          <cell r="D3914">
            <v>38546</v>
          </cell>
          <cell r="F3914" t="str">
            <v>7137</v>
          </cell>
          <cell r="G3914" t="str">
            <v>Mane USA/Arcade</v>
          </cell>
          <cell r="H3914">
            <v>1</v>
          </cell>
        </row>
        <row r="3915">
          <cell r="B3915" t="str">
            <v>SWD1000B</v>
          </cell>
          <cell r="C3915" t="str">
            <v>Invoice</v>
          </cell>
          <cell r="D3915">
            <v>38548</v>
          </cell>
          <cell r="F3915" t="str">
            <v>7145</v>
          </cell>
          <cell r="G3915" t="str">
            <v>Muzak, LLC:Just Fresh Bakery Cafe &amp; Mkt. - Durham</v>
          </cell>
          <cell r="H3915">
            <v>1</v>
          </cell>
        </row>
        <row r="3916">
          <cell r="B3916" t="str">
            <v>SWD1000B</v>
          </cell>
          <cell r="C3916" t="str">
            <v>Invoice</v>
          </cell>
          <cell r="D3916">
            <v>38552</v>
          </cell>
          <cell r="F3916" t="str">
            <v>7163</v>
          </cell>
          <cell r="G3916" t="str">
            <v>Cheeseburger in Paradise</v>
          </cell>
          <cell r="H3916">
            <v>1</v>
          </cell>
        </row>
        <row r="3917">
          <cell r="B3917" t="str">
            <v>SWD1000B</v>
          </cell>
          <cell r="C3917" t="str">
            <v>Invoice</v>
          </cell>
          <cell r="D3917">
            <v>38552</v>
          </cell>
          <cell r="F3917" t="str">
            <v>7164</v>
          </cell>
          <cell r="G3917" t="str">
            <v>Muzak, LLC:Muzak (Demo)</v>
          </cell>
          <cell r="H3917">
            <v>1</v>
          </cell>
        </row>
        <row r="3918">
          <cell r="B3918" t="str">
            <v>SWD1000B</v>
          </cell>
          <cell r="C3918" t="str">
            <v>Invoice</v>
          </cell>
          <cell r="D3918">
            <v>38553</v>
          </cell>
          <cell r="F3918" t="str">
            <v>7174</v>
          </cell>
          <cell r="G3918" t="str">
            <v>ScentAir - Corporate Associates</v>
          </cell>
          <cell r="H3918">
            <v>1</v>
          </cell>
        </row>
        <row r="3919">
          <cell r="B3919" t="str">
            <v>SWD1000B</v>
          </cell>
          <cell r="C3919" t="str">
            <v>Invoice</v>
          </cell>
          <cell r="D3919">
            <v>38553</v>
          </cell>
          <cell r="F3919" t="str">
            <v>7166</v>
          </cell>
          <cell r="G3919" t="str">
            <v>Nutraceutical/Fresh Organics</v>
          </cell>
          <cell r="H3919">
            <v>1</v>
          </cell>
        </row>
        <row r="3920">
          <cell r="B3920" t="str">
            <v>SWD1000B</v>
          </cell>
          <cell r="C3920" t="str">
            <v>Invoice</v>
          </cell>
          <cell r="D3920">
            <v>38553</v>
          </cell>
          <cell r="F3920" t="str">
            <v>7169</v>
          </cell>
          <cell r="G3920" t="str">
            <v>Arlies</v>
          </cell>
          <cell r="H3920">
            <v>1</v>
          </cell>
        </row>
        <row r="3921">
          <cell r="B3921" t="str">
            <v>SWD1000B</v>
          </cell>
          <cell r="C3921" t="str">
            <v>Invoice</v>
          </cell>
          <cell r="D3921">
            <v>38554</v>
          </cell>
          <cell r="F3921" t="str">
            <v>7176</v>
          </cell>
          <cell r="G3921" t="str">
            <v>American Solutions Inc.</v>
          </cell>
          <cell r="H3921">
            <v>1</v>
          </cell>
        </row>
        <row r="3922">
          <cell r="B3922" t="str">
            <v>SWD1000B</v>
          </cell>
          <cell r="C3922" t="str">
            <v>Invoice</v>
          </cell>
          <cell r="D3922">
            <v>38554</v>
          </cell>
          <cell r="F3922" t="str">
            <v>7178</v>
          </cell>
          <cell r="G3922" t="str">
            <v>Ameristar Casinos, Inc.:Ameristar Casinos, Inc. St. Charles</v>
          </cell>
          <cell r="H3922">
            <v>1</v>
          </cell>
        </row>
        <row r="3923">
          <cell r="B3923" t="str">
            <v>SWD1000B</v>
          </cell>
          <cell r="C3923" t="str">
            <v>Invoice</v>
          </cell>
          <cell r="D3923">
            <v>38558</v>
          </cell>
          <cell r="F3923" t="str">
            <v>7183</v>
          </cell>
          <cell r="G3923" t="str">
            <v>Muzak, LLC:Greenville Hilton</v>
          </cell>
          <cell r="H3923">
            <v>1</v>
          </cell>
        </row>
        <row r="3924">
          <cell r="B3924" t="str">
            <v>SWD1000B</v>
          </cell>
          <cell r="C3924" t="str">
            <v>Invoice</v>
          </cell>
          <cell r="D3924">
            <v>38559</v>
          </cell>
          <cell r="F3924" t="str">
            <v>7202</v>
          </cell>
          <cell r="G3924" t="str">
            <v>Pacific Pets Inc.</v>
          </cell>
          <cell r="H3924">
            <v>1</v>
          </cell>
        </row>
        <row r="3925">
          <cell r="B3925" t="str">
            <v>SWD1000B</v>
          </cell>
          <cell r="C3925" t="str">
            <v>Invoice</v>
          </cell>
          <cell r="D3925">
            <v>38562</v>
          </cell>
          <cell r="F3925" t="str">
            <v>7223</v>
          </cell>
          <cell r="G3925" t="str">
            <v>Muzak, LLC:Mina's Studio</v>
          </cell>
          <cell r="H3925">
            <v>1</v>
          </cell>
        </row>
        <row r="3926">
          <cell r="B3926" t="str">
            <v>SWD1000B</v>
          </cell>
          <cell r="C3926" t="str">
            <v>Invoice</v>
          </cell>
          <cell r="D3926">
            <v>38565</v>
          </cell>
          <cell r="F3926" t="str">
            <v>7263</v>
          </cell>
          <cell r="G3926" t="str">
            <v>Muzak, LLC</v>
          </cell>
          <cell r="H3926">
            <v>1</v>
          </cell>
        </row>
        <row r="3927">
          <cell r="B3927" t="str">
            <v>SWD1000B</v>
          </cell>
          <cell r="C3927" t="str">
            <v>Invoice</v>
          </cell>
          <cell r="D3927">
            <v>38572</v>
          </cell>
          <cell r="F3927" t="str">
            <v>7272</v>
          </cell>
          <cell r="G3927" t="str">
            <v>Lucky Brand Jeans:Lucky Brand Jeans - #604</v>
          </cell>
          <cell r="H3927">
            <v>1</v>
          </cell>
        </row>
        <row r="3928">
          <cell r="B3928" t="str">
            <v>SWD1000B</v>
          </cell>
          <cell r="C3928" t="str">
            <v>Invoice</v>
          </cell>
          <cell r="D3928">
            <v>38572</v>
          </cell>
          <cell r="F3928" t="str">
            <v>7271</v>
          </cell>
          <cell r="G3928" t="str">
            <v>Lucky Brand Jeans:Lucky Brand Jeans - #603</v>
          </cell>
          <cell r="H3928">
            <v>1</v>
          </cell>
        </row>
        <row r="3929">
          <cell r="B3929" t="str">
            <v>SWD1000B</v>
          </cell>
          <cell r="C3929" t="str">
            <v>Invoice</v>
          </cell>
          <cell r="D3929">
            <v>38572</v>
          </cell>
          <cell r="F3929" t="str">
            <v>7273</v>
          </cell>
          <cell r="G3929" t="str">
            <v>Lucky Brand Jeans:Lucky Brand Jeans - #606</v>
          </cell>
          <cell r="H3929">
            <v>1</v>
          </cell>
        </row>
        <row r="3930">
          <cell r="B3930" t="str">
            <v>SWD1000B</v>
          </cell>
          <cell r="C3930" t="str">
            <v>Invoice</v>
          </cell>
          <cell r="D3930">
            <v>38572</v>
          </cell>
          <cell r="F3930" t="str">
            <v>7278</v>
          </cell>
          <cell r="G3930" t="str">
            <v>Lucky Brand Jeans:Lucky Brand Jeans - #643</v>
          </cell>
          <cell r="H3930">
            <v>1</v>
          </cell>
        </row>
        <row r="3931">
          <cell r="B3931" t="str">
            <v>SWD1000B</v>
          </cell>
          <cell r="C3931" t="str">
            <v>Invoice</v>
          </cell>
          <cell r="D3931">
            <v>38572</v>
          </cell>
          <cell r="F3931" t="str">
            <v>7277</v>
          </cell>
          <cell r="G3931" t="str">
            <v>Lucky Brand Jeans:Lucky Brand Jeans - #641</v>
          </cell>
          <cell r="H3931">
            <v>1</v>
          </cell>
        </row>
        <row r="3932">
          <cell r="B3932" t="str">
            <v>SWD1000B</v>
          </cell>
          <cell r="C3932" t="str">
            <v>Invoice</v>
          </cell>
          <cell r="D3932">
            <v>38572</v>
          </cell>
          <cell r="F3932" t="str">
            <v>7274</v>
          </cell>
          <cell r="G3932" t="str">
            <v>Lucky Brand Jeans:Lucky Brand Jeans - #613</v>
          </cell>
          <cell r="H3932">
            <v>1</v>
          </cell>
        </row>
        <row r="3933">
          <cell r="B3933" t="str">
            <v>SWD1000B</v>
          </cell>
          <cell r="C3933" t="str">
            <v>Invoice</v>
          </cell>
          <cell r="D3933">
            <v>38572</v>
          </cell>
          <cell r="F3933" t="str">
            <v>7275</v>
          </cell>
          <cell r="G3933" t="str">
            <v>Lucky Brand Jeans:Lucky Brand Jeans - #640</v>
          </cell>
          <cell r="H3933">
            <v>1</v>
          </cell>
        </row>
        <row r="3934">
          <cell r="B3934" t="str">
            <v>SWD1000B</v>
          </cell>
          <cell r="C3934" t="str">
            <v>Invoice</v>
          </cell>
          <cell r="D3934">
            <v>38572</v>
          </cell>
          <cell r="F3934" t="str">
            <v>7280</v>
          </cell>
          <cell r="G3934" t="str">
            <v>Lucky Brand Jeans:Lucky Brand Jeans - #668</v>
          </cell>
          <cell r="H3934">
            <v>1</v>
          </cell>
        </row>
        <row r="3935">
          <cell r="B3935" t="str">
            <v>SWD1000B</v>
          </cell>
          <cell r="C3935" t="str">
            <v>Invoice</v>
          </cell>
          <cell r="D3935">
            <v>38572</v>
          </cell>
          <cell r="F3935" t="str">
            <v>7281</v>
          </cell>
          <cell r="G3935" t="str">
            <v>Lucky Brand Jeans:Lucky Brand Jeans - #697</v>
          </cell>
          <cell r="H3935">
            <v>1</v>
          </cell>
        </row>
        <row r="3936">
          <cell r="B3936" t="str">
            <v>SWD1000B</v>
          </cell>
          <cell r="C3936" t="str">
            <v>Invoice</v>
          </cell>
          <cell r="D3936">
            <v>38572</v>
          </cell>
          <cell r="F3936" t="str">
            <v>7279</v>
          </cell>
          <cell r="G3936" t="str">
            <v>Lucky Brand Jeans:Lucky Brand Jeans - #648</v>
          </cell>
          <cell r="H3936">
            <v>1</v>
          </cell>
        </row>
        <row r="3937">
          <cell r="B3937" t="str">
            <v>SWD1000B</v>
          </cell>
          <cell r="C3937" t="str">
            <v>Invoice</v>
          </cell>
          <cell r="D3937">
            <v>38583</v>
          </cell>
          <cell r="F3937" t="str">
            <v>7515</v>
          </cell>
          <cell r="G3937" t="str">
            <v>American Security Bank</v>
          </cell>
          <cell r="H3937">
            <v>1</v>
          </cell>
        </row>
        <row r="3938">
          <cell r="B3938" t="str">
            <v>SWD1000B</v>
          </cell>
          <cell r="C3938" t="str">
            <v>Invoice</v>
          </cell>
          <cell r="D3938">
            <v>38588</v>
          </cell>
          <cell r="F3938" t="str">
            <v>7688</v>
          </cell>
          <cell r="G3938" t="str">
            <v>Muzak, LLC:Life Care Center</v>
          </cell>
          <cell r="H3938">
            <v>1</v>
          </cell>
        </row>
        <row r="3939">
          <cell r="B3939" t="str">
            <v>SWD1000B</v>
          </cell>
          <cell r="C3939" t="str">
            <v>Invoice</v>
          </cell>
          <cell r="D3939">
            <v>38588</v>
          </cell>
          <cell r="F3939" t="str">
            <v>7683</v>
          </cell>
          <cell r="G3939" t="str">
            <v>Muzak, LLC:American Enterprise Bank</v>
          </cell>
          <cell r="H3939">
            <v>1</v>
          </cell>
        </row>
        <row r="3940">
          <cell r="B3940" t="str">
            <v>SWD1000B</v>
          </cell>
          <cell r="C3940" t="str">
            <v>Invoice</v>
          </cell>
          <cell r="D3940">
            <v>38593</v>
          </cell>
          <cell r="F3940" t="str">
            <v>7720</v>
          </cell>
          <cell r="G3940" t="str">
            <v>Muzak, LLC:Ultimate Exposure - Park Rd</v>
          </cell>
          <cell r="H3940">
            <v>1</v>
          </cell>
        </row>
        <row r="3941">
          <cell r="B3941" t="str">
            <v>SWD1000B</v>
          </cell>
          <cell r="C3941" t="str">
            <v>Invoice</v>
          </cell>
          <cell r="D3941">
            <v>38594</v>
          </cell>
          <cell r="F3941" t="str">
            <v>7725</v>
          </cell>
          <cell r="G3941" t="str">
            <v>Muzak, LLC:Blue Ridge Mall</v>
          </cell>
          <cell r="H3941">
            <v>1</v>
          </cell>
        </row>
        <row r="3942">
          <cell r="B3942" t="str">
            <v>SWD1000B</v>
          </cell>
          <cell r="C3942" t="str">
            <v>Invoice</v>
          </cell>
          <cell r="D3942">
            <v>38594</v>
          </cell>
          <cell r="F3942" t="str">
            <v>7722</v>
          </cell>
          <cell r="G3942" t="str">
            <v>Muzak, LLC:Ultimate Exposure - Broadway</v>
          </cell>
          <cell r="H3942">
            <v>1</v>
          </cell>
        </row>
        <row r="3943">
          <cell r="B3943" t="str">
            <v>SWD1000B</v>
          </cell>
          <cell r="C3943" t="str">
            <v>Invoice</v>
          </cell>
          <cell r="D3943">
            <v>38595</v>
          </cell>
          <cell r="F3943" t="str">
            <v>7734</v>
          </cell>
          <cell r="G3943" t="str">
            <v>Muzak, LLC:Mill's Squeegee #2</v>
          </cell>
          <cell r="H3943">
            <v>1</v>
          </cell>
        </row>
        <row r="3944">
          <cell r="B3944" t="str">
            <v>SWD1000B</v>
          </cell>
          <cell r="C3944" t="str">
            <v>Invoice</v>
          </cell>
          <cell r="D3944">
            <v>38595</v>
          </cell>
          <cell r="F3944" t="str">
            <v>7732</v>
          </cell>
          <cell r="G3944" t="str">
            <v>Northwest Pets</v>
          </cell>
          <cell r="H3944">
            <v>1</v>
          </cell>
        </row>
        <row r="3945">
          <cell r="B3945" t="str">
            <v>SWD1000B</v>
          </cell>
          <cell r="C3945" t="str">
            <v>Invoice</v>
          </cell>
          <cell r="D3945">
            <v>38595</v>
          </cell>
          <cell r="F3945" t="str">
            <v>7740</v>
          </cell>
          <cell r="G3945" t="str">
            <v>Muzak, LLC:Chevron</v>
          </cell>
          <cell r="H3945">
            <v>1</v>
          </cell>
        </row>
        <row r="3946">
          <cell r="B3946" t="str">
            <v>SWD1000B</v>
          </cell>
          <cell r="C3946" t="str">
            <v>Invoice</v>
          </cell>
          <cell r="D3946">
            <v>38595</v>
          </cell>
          <cell r="F3946" t="str">
            <v>7739</v>
          </cell>
          <cell r="G3946" t="str">
            <v>Muzak, LLC:Renaissance Asheville Hotel</v>
          </cell>
          <cell r="H3946">
            <v>1</v>
          </cell>
        </row>
        <row r="3947">
          <cell r="B3947" t="str">
            <v>SWD1000B</v>
          </cell>
          <cell r="C3947" t="str">
            <v>Invoice</v>
          </cell>
          <cell r="D3947">
            <v>38595</v>
          </cell>
          <cell r="F3947" t="str">
            <v>7737</v>
          </cell>
          <cell r="G3947" t="str">
            <v>Muzak, LLC:Candy Time</v>
          </cell>
          <cell r="H3947">
            <v>1</v>
          </cell>
        </row>
        <row r="3948">
          <cell r="B3948" t="str">
            <v>SWD1000B</v>
          </cell>
          <cell r="C3948" t="str">
            <v>Invoice</v>
          </cell>
          <cell r="D3948">
            <v>38596</v>
          </cell>
          <cell r="F3948" t="str">
            <v>7746</v>
          </cell>
          <cell r="G3948" t="str">
            <v>Brown's Country Store</v>
          </cell>
          <cell r="H3948">
            <v>1</v>
          </cell>
        </row>
        <row r="3949">
          <cell r="B3949" t="str">
            <v>SWD1000B</v>
          </cell>
          <cell r="C3949" t="str">
            <v>Invoice</v>
          </cell>
          <cell r="D3949">
            <v>38596</v>
          </cell>
          <cell r="F3949" t="str">
            <v>7752</v>
          </cell>
          <cell r="G3949" t="str">
            <v>Muzak, LLC:Mattress Zone 042896</v>
          </cell>
          <cell r="H3949">
            <v>1</v>
          </cell>
        </row>
        <row r="3950">
          <cell r="B3950" t="str">
            <v>SWD1000B</v>
          </cell>
          <cell r="C3950" t="str">
            <v>Invoice</v>
          </cell>
          <cell r="D3950">
            <v>38596</v>
          </cell>
          <cell r="F3950" t="str">
            <v>7753</v>
          </cell>
          <cell r="G3950" t="str">
            <v>Muzak, LLC:Mattress Zone 042807</v>
          </cell>
          <cell r="H3950">
            <v>1</v>
          </cell>
        </row>
        <row r="3951">
          <cell r="B3951" t="str">
            <v>SWD1000B</v>
          </cell>
          <cell r="C3951" t="str">
            <v>Invoice</v>
          </cell>
          <cell r="D3951">
            <v>38596</v>
          </cell>
          <cell r="F3951" t="str">
            <v>7754</v>
          </cell>
          <cell r="G3951" t="str">
            <v>Muzak, LLC:Mattress Zone 042804</v>
          </cell>
          <cell r="H3951">
            <v>1</v>
          </cell>
        </row>
        <row r="3952">
          <cell r="B3952" t="str">
            <v>SWD1000B</v>
          </cell>
          <cell r="C3952" t="str">
            <v>Invoice</v>
          </cell>
          <cell r="D3952">
            <v>38596</v>
          </cell>
          <cell r="F3952" t="str">
            <v>7744</v>
          </cell>
          <cell r="G3952" t="str">
            <v>Muzak, LLC:Mobil on the Run</v>
          </cell>
          <cell r="H3952">
            <v>1</v>
          </cell>
        </row>
        <row r="3953">
          <cell r="B3953" t="str">
            <v>SWD1000B</v>
          </cell>
          <cell r="C3953" t="str">
            <v>Invoice</v>
          </cell>
          <cell r="D3953">
            <v>38596</v>
          </cell>
          <cell r="F3953" t="str">
            <v>7756</v>
          </cell>
          <cell r="G3953" t="str">
            <v>Muzak, LLC:Mattress Barn - 043695</v>
          </cell>
          <cell r="H3953">
            <v>1</v>
          </cell>
        </row>
        <row r="3954">
          <cell r="B3954" t="str">
            <v>SWD1000B</v>
          </cell>
          <cell r="C3954" t="str">
            <v>Invoice</v>
          </cell>
          <cell r="D3954">
            <v>38597</v>
          </cell>
          <cell r="F3954" t="str">
            <v>7807</v>
          </cell>
          <cell r="G3954" t="str">
            <v>Muzak, LLC:Setzer's Appliances</v>
          </cell>
          <cell r="H3954">
            <v>1</v>
          </cell>
        </row>
        <row r="3955">
          <cell r="B3955" t="str">
            <v>SWD1000B</v>
          </cell>
          <cell r="C3955" t="str">
            <v>Invoice</v>
          </cell>
          <cell r="D3955">
            <v>38597</v>
          </cell>
          <cell r="F3955" t="str">
            <v>7816</v>
          </cell>
          <cell r="G3955" t="str">
            <v>Muzak, LLC:T Darin Moerton</v>
          </cell>
          <cell r="H3955">
            <v>1</v>
          </cell>
        </row>
        <row r="3956">
          <cell r="B3956" t="str">
            <v>SWD1000B</v>
          </cell>
          <cell r="C3956" t="str">
            <v>Invoice</v>
          </cell>
          <cell r="D3956">
            <v>38597</v>
          </cell>
          <cell r="F3956" t="str">
            <v>7810</v>
          </cell>
          <cell r="G3956" t="str">
            <v>Muzak, LLC:St Johns Seafood &amp; Steaks 026607</v>
          </cell>
          <cell r="H3956">
            <v>1</v>
          </cell>
        </row>
        <row r="3957">
          <cell r="B3957" t="str">
            <v>SWD1000B</v>
          </cell>
          <cell r="C3957" t="str">
            <v>Invoice</v>
          </cell>
          <cell r="D3957">
            <v>38597</v>
          </cell>
          <cell r="F3957" t="str">
            <v>7811</v>
          </cell>
          <cell r="G3957" t="str">
            <v>Muzak, LLC:St Johns Seafood &amp; Steaks 030037</v>
          </cell>
          <cell r="H3957">
            <v>1</v>
          </cell>
        </row>
        <row r="3958">
          <cell r="B3958" t="str">
            <v>SWD1000B</v>
          </cell>
          <cell r="C3958" t="str">
            <v>Invoice</v>
          </cell>
          <cell r="D3958">
            <v>38597</v>
          </cell>
          <cell r="F3958" t="str">
            <v>7812</v>
          </cell>
          <cell r="G3958" t="str">
            <v>Muzak, LLC:St Johns Seafood &amp; Steaks 030046</v>
          </cell>
          <cell r="H3958">
            <v>1</v>
          </cell>
        </row>
        <row r="3959">
          <cell r="B3959" t="str">
            <v>SWD1000B</v>
          </cell>
          <cell r="C3959" t="str">
            <v>Invoice</v>
          </cell>
          <cell r="D3959">
            <v>38597</v>
          </cell>
          <cell r="F3959" t="str">
            <v>7818</v>
          </cell>
          <cell r="G3959" t="str">
            <v>Army:Food Concessions</v>
          </cell>
          <cell r="H3959">
            <v>1</v>
          </cell>
        </row>
        <row r="3960">
          <cell r="B3960" t="str">
            <v>SWD1000B</v>
          </cell>
          <cell r="C3960" t="str">
            <v>Invoice</v>
          </cell>
          <cell r="D3960">
            <v>38597</v>
          </cell>
          <cell r="F3960" t="str">
            <v>7814</v>
          </cell>
          <cell r="G3960" t="str">
            <v>Muzak, LLC:McDonald's - West Hills</v>
          </cell>
          <cell r="H3960">
            <v>1</v>
          </cell>
        </row>
        <row r="3961">
          <cell r="B3961" t="str">
            <v>SWD1000B</v>
          </cell>
          <cell r="C3961" t="str">
            <v>Invoice</v>
          </cell>
          <cell r="D3961">
            <v>38597</v>
          </cell>
          <cell r="F3961" t="str">
            <v>7817</v>
          </cell>
          <cell r="G3961" t="str">
            <v>Muzak, LLC:Dessert Gallery</v>
          </cell>
          <cell r="H3961">
            <v>1</v>
          </cell>
        </row>
        <row r="3962">
          <cell r="B3962" t="str">
            <v>SWD1000B</v>
          </cell>
          <cell r="C3962" t="str">
            <v>Invoice</v>
          </cell>
          <cell r="D3962">
            <v>38597</v>
          </cell>
          <cell r="F3962" t="str">
            <v>7808</v>
          </cell>
          <cell r="G3962" t="str">
            <v>Muzak, LLC:Capital Partners</v>
          </cell>
          <cell r="H3962">
            <v>1</v>
          </cell>
        </row>
        <row r="3963">
          <cell r="B3963" t="str">
            <v>SWD1000B</v>
          </cell>
          <cell r="C3963" t="str">
            <v>Invoice</v>
          </cell>
          <cell r="D3963">
            <v>38601</v>
          </cell>
          <cell r="F3963" t="str">
            <v>7751</v>
          </cell>
          <cell r="G3963" t="str">
            <v>Muzak, IA:Soundcom LLC of Florida - Palm Beach:Mattress Zone - Jensen Beach</v>
          </cell>
          <cell r="H3963">
            <v>1</v>
          </cell>
        </row>
        <row r="3964">
          <cell r="B3964" t="str">
            <v>SWD1000B</v>
          </cell>
          <cell r="C3964" t="str">
            <v>Invoice</v>
          </cell>
          <cell r="D3964">
            <v>38601</v>
          </cell>
          <cell r="F3964" t="str">
            <v>7809</v>
          </cell>
          <cell r="G3964" t="str">
            <v>Muzak, LLC:Mossfire Grill</v>
          </cell>
          <cell r="H3964">
            <v>1</v>
          </cell>
        </row>
        <row r="3965">
          <cell r="B3965" t="str">
            <v>SWD1000B</v>
          </cell>
          <cell r="C3965" t="str">
            <v>Invoice</v>
          </cell>
          <cell r="D3965">
            <v>38602</v>
          </cell>
          <cell r="F3965" t="str">
            <v>7843</v>
          </cell>
          <cell r="G3965" t="str">
            <v>Muzak, LLC:Bucky's Express</v>
          </cell>
          <cell r="H3965">
            <v>1</v>
          </cell>
        </row>
        <row r="3966">
          <cell r="B3966" t="str">
            <v>SWD1000B</v>
          </cell>
          <cell r="C3966" t="str">
            <v>Invoice</v>
          </cell>
          <cell r="D3966">
            <v>38602</v>
          </cell>
          <cell r="F3966" t="str">
            <v>7848</v>
          </cell>
          <cell r="G3966" t="str">
            <v>Muzak, LLC:Muzak (Demo)</v>
          </cell>
          <cell r="H3966">
            <v>1</v>
          </cell>
        </row>
        <row r="3967">
          <cell r="B3967" t="str">
            <v>SWD1000B</v>
          </cell>
          <cell r="C3967" t="str">
            <v>Invoice</v>
          </cell>
          <cell r="D3967">
            <v>38602</v>
          </cell>
          <cell r="F3967" t="str">
            <v>7850</v>
          </cell>
          <cell r="G3967" t="str">
            <v>Muzak, LLC:Muzak (Demo)</v>
          </cell>
          <cell r="H3967">
            <v>1</v>
          </cell>
        </row>
        <row r="3968">
          <cell r="B3968" t="str">
            <v>SWD1000B</v>
          </cell>
          <cell r="C3968" t="str">
            <v>Invoice</v>
          </cell>
          <cell r="D3968">
            <v>38602</v>
          </cell>
          <cell r="F3968" t="str">
            <v>7844</v>
          </cell>
          <cell r="G3968" t="str">
            <v>Muzak, LLC:Fantasy's</v>
          </cell>
          <cell r="H3968">
            <v>1</v>
          </cell>
        </row>
        <row r="3969">
          <cell r="B3969" t="str">
            <v>SWD1000B</v>
          </cell>
          <cell r="C3969" t="str">
            <v>Invoice</v>
          </cell>
          <cell r="D3969">
            <v>38602</v>
          </cell>
          <cell r="F3969" t="str">
            <v>7839</v>
          </cell>
          <cell r="G3969" t="str">
            <v>Muzak, LLC:El Torro</v>
          </cell>
          <cell r="H3969">
            <v>1</v>
          </cell>
        </row>
        <row r="3970">
          <cell r="B3970" t="str">
            <v>SWD1000B</v>
          </cell>
          <cell r="C3970" t="str">
            <v>Invoice</v>
          </cell>
          <cell r="D3970">
            <v>38603</v>
          </cell>
          <cell r="F3970" t="str">
            <v>7884</v>
          </cell>
          <cell r="G3970" t="str">
            <v>Muzak, LLC:McDonald's - New Castle</v>
          </cell>
          <cell r="H3970">
            <v>1</v>
          </cell>
        </row>
        <row r="3971">
          <cell r="B3971" t="str">
            <v>SWD1000B</v>
          </cell>
          <cell r="C3971" t="str">
            <v>Invoice</v>
          </cell>
          <cell r="D3971">
            <v>38603</v>
          </cell>
          <cell r="F3971" t="str">
            <v>7855</v>
          </cell>
          <cell r="G3971" t="str">
            <v>Muzak, LLC:The Daily Bagel</v>
          </cell>
          <cell r="H3971">
            <v>1</v>
          </cell>
        </row>
        <row r="3972">
          <cell r="B3972" t="str">
            <v>SWD1000B</v>
          </cell>
          <cell r="C3972" t="str">
            <v>Invoice</v>
          </cell>
          <cell r="D3972">
            <v>38603</v>
          </cell>
          <cell r="F3972" t="str">
            <v>7879</v>
          </cell>
          <cell r="G3972" t="str">
            <v>Muzak, LLC:The Palms Tanning Resort - Greenwood Vill</v>
          </cell>
          <cell r="H3972">
            <v>1</v>
          </cell>
        </row>
        <row r="3973">
          <cell r="B3973" t="str">
            <v>SWD1000B</v>
          </cell>
          <cell r="C3973" t="str">
            <v>Invoice</v>
          </cell>
          <cell r="D3973">
            <v>38603</v>
          </cell>
          <cell r="F3973" t="str">
            <v>7881</v>
          </cell>
          <cell r="G3973" t="str">
            <v>Muzak, LLC:Burger King - #14440</v>
          </cell>
          <cell r="H3973">
            <v>1</v>
          </cell>
        </row>
        <row r="3974">
          <cell r="B3974" t="str">
            <v>SWD1000B</v>
          </cell>
          <cell r="C3974" t="str">
            <v>Invoice</v>
          </cell>
          <cell r="D3974">
            <v>38603</v>
          </cell>
          <cell r="F3974" t="str">
            <v>7840</v>
          </cell>
          <cell r="G3974" t="str">
            <v>Muzak, LLC:Arby's - Mission Hills</v>
          </cell>
          <cell r="H3974">
            <v>1</v>
          </cell>
        </row>
        <row r="3975">
          <cell r="B3975" t="str">
            <v>SWD1000B</v>
          </cell>
          <cell r="C3975" t="str">
            <v>Invoice</v>
          </cell>
          <cell r="D3975">
            <v>38603</v>
          </cell>
          <cell r="F3975" t="str">
            <v>7880</v>
          </cell>
          <cell r="G3975" t="str">
            <v>Muzak, LLC:Salon Rebecca</v>
          </cell>
          <cell r="H3975">
            <v>1</v>
          </cell>
        </row>
        <row r="3976">
          <cell r="B3976" t="str">
            <v>SWD1000B</v>
          </cell>
          <cell r="C3976" t="str">
            <v>Invoice</v>
          </cell>
          <cell r="D3976">
            <v>38603</v>
          </cell>
          <cell r="F3976" t="str">
            <v>7863</v>
          </cell>
          <cell r="G3976" t="str">
            <v>Muzak, LLC:McDonald's - Kokomo</v>
          </cell>
          <cell r="H3976">
            <v>1</v>
          </cell>
        </row>
        <row r="3977">
          <cell r="B3977" t="str">
            <v>SWD1000B</v>
          </cell>
          <cell r="C3977" t="str">
            <v>Invoice</v>
          </cell>
          <cell r="D3977">
            <v>38603</v>
          </cell>
          <cell r="F3977" t="str">
            <v>7882</v>
          </cell>
          <cell r="G3977" t="str">
            <v>Muzak, LLC:McDonald's - Kansas City</v>
          </cell>
          <cell r="H3977">
            <v>1</v>
          </cell>
        </row>
        <row r="3978">
          <cell r="B3978" t="str">
            <v>SWD1000B</v>
          </cell>
          <cell r="C3978" t="str">
            <v>Invoice</v>
          </cell>
          <cell r="D3978">
            <v>38603</v>
          </cell>
          <cell r="F3978" t="str">
            <v>7888</v>
          </cell>
          <cell r="G3978" t="str">
            <v>Muzak, LLC:Muzak (Demo)</v>
          </cell>
          <cell r="H3978">
            <v>1</v>
          </cell>
        </row>
        <row r="3979">
          <cell r="B3979" t="str">
            <v>SWD1000B</v>
          </cell>
          <cell r="C3979" t="str">
            <v>Invoice</v>
          </cell>
          <cell r="D3979">
            <v>38604</v>
          </cell>
          <cell r="F3979" t="str">
            <v>7883</v>
          </cell>
          <cell r="G3979" t="str">
            <v>Muzak, LLC:Gainesville Eye Physicians</v>
          </cell>
          <cell r="H3979">
            <v>1</v>
          </cell>
        </row>
        <row r="3980">
          <cell r="B3980" t="str">
            <v>SWD1000B</v>
          </cell>
          <cell r="C3980" t="str">
            <v>Invoice</v>
          </cell>
          <cell r="D3980">
            <v>38607</v>
          </cell>
          <cell r="F3980" t="str">
            <v>7894</v>
          </cell>
          <cell r="G3980" t="str">
            <v>Muzak, LLC:Xtension Food Mart</v>
          </cell>
          <cell r="H3980">
            <v>1</v>
          </cell>
        </row>
        <row r="3981">
          <cell r="B3981" t="str">
            <v>SWD1000B</v>
          </cell>
          <cell r="C3981" t="str">
            <v>Invoice</v>
          </cell>
          <cell r="D3981">
            <v>38607</v>
          </cell>
          <cell r="F3981" t="str">
            <v>7895</v>
          </cell>
          <cell r="G3981" t="str">
            <v>Muzak, LLC:Inside Out - Overland Park</v>
          </cell>
          <cell r="H3981">
            <v>1</v>
          </cell>
        </row>
        <row r="3982">
          <cell r="B3982" t="str">
            <v>SWD1000B</v>
          </cell>
          <cell r="C3982" t="str">
            <v>Invoice</v>
          </cell>
          <cell r="D3982">
            <v>38608</v>
          </cell>
          <cell r="F3982" t="str">
            <v>7892</v>
          </cell>
          <cell r="G3982" t="str">
            <v>ScentAir - Corporate Associates:Amy DiCesare</v>
          </cell>
          <cell r="H3982">
            <v>1</v>
          </cell>
        </row>
        <row r="3983">
          <cell r="B3983" t="str">
            <v>SWD1000B</v>
          </cell>
          <cell r="C3983" t="str">
            <v>Invoice</v>
          </cell>
          <cell r="D3983">
            <v>38608</v>
          </cell>
          <cell r="F3983" t="str">
            <v>7928</v>
          </cell>
          <cell r="G3983" t="str">
            <v>Muzak, LLC:Spa Nail Tan Palace</v>
          </cell>
          <cell r="H3983">
            <v>1</v>
          </cell>
        </row>
        <row r="3984">
          <cell r="B3984" t="str">
            <v>SWD1000B</v>
          </cell>
          <cell r="C3984" t="str">
            <v>Invoice</v>
          </cell>
          <cell r="D3984">
            <v>38609</v>
          </cell>
          <cell r="F3984" t="str">
            <v>7939</v>
          </cell>
          <cell r="G3984" t="str">
            <v>Muzak, LLC:Prime Lending</v>
          </cell>
          <cell r="H3984">
            <v>1</v>
          </cell>
        </row>
        <row r="3985">
          <cell r="B3985" t="str">
            <v>SWD1000B</v>
          </cell>
          <cell r="C3985" t="str">
            <v>Invoice</v>
          </cell>
          <cell r="D3985">
            <v>38609</v>
          </cell>
          <cell r="F3985" t="str">
            <v>7932</v>
          </cell>
          <cell r="G3985" t="str">
            <v>Muzak, LLC:Sheraton Hotel</v>
          </cell>
          <cell r="H3985">
            <v>1</v>
          </cell>
        </row>
        <row r="3986">
          <cell r="B3986" t="str">
            <v>SWD1000B</v>
          </cell>
          <cell r="C3986" t="str">
            <v>Invoice</v>
          </cell>
          <cell r="D3986">
            <v>38610</v>
          </cell>
          <cell r="F3986" t="str">
            <v>7959</v>
          </cell>
          <cell r="G3986" t="str">
            <v>Muzak, LLC:Wingate Inn - Greenville</v>
          </cell>
          <cell r="H3986">
            <v>1</v>
          </cell>
        </row>
        <row r="3987">
          <cell r="B3987" t="str">
            <v>SWD1000B</v>
          </cell>
          <cell r="C3987" t="str">
            <v>Invoice</v>
          </cell>
          <cell r="D3987">
            <v>38610</v>
          </cell>
          <cell r="F3987" t="str">
            <v>7960</v>
          </cell>
          <cell r="G3987" t="str">
            <v>Muzak, LLC:Piccasso's</v>
          </cell>
          <cell r="H3987">
            <v>1</v>
          </cell>
        </row>
        <row r="3988">
          <cell r="B3988" t="str">
            <v>SWD1000B</v>
          </cell>
          <cell r="C3988" t="str">
            <v>Invoice</v>
          </cell>
          <cell r="D3988">
            <v>38610</v>
          </cell>
          <cell r="F3988" t="str">
            <v>7961</v>
          </cell>
          <cell r="G3988" t="str">
            <v>Muzak, LLC:McDonald's - Van Nuys</v>
          </cell>
          <cell r="H3988">
            <v>1</v>
          </cell>
        </row>
        <row r="3989">
          <cell r="B3989" t="str">
            <v>SWD1000B</v>
          </cell>
          <cell r="C3989" t="str">
            <v>Invoice</v>
          </cell>
          <cell r="D3989">
            <v>38610</v>
          </cell>
          <cell r="F3989" t="str">
            <v>7962</v>
          </cell>
          <cell r="G3989" t="str">
            <v>Muzak, LLC:Nyack Hospital</v>
          </cell>
          <cell r="H3989">
            <v>1</v>
          </cell>
        </row>
        <row r="3990">
          <cell r="B3990" t="str">
            <v>SWD1000B</v>
          </cell>
          <cell r="C3990" t="str">
            <v>Invoice</v>
          </cell>
          <cell r="D3990">
            <v>38611</v>
          </cell>
          <cell r="F3990" t="str">
            <v>7987</v>
          </cell>
          <cell r="G3990" t="str">
            <v>ScentAir - Corporate Associates:Amy DiCesare</v>
          </cell>
          <cell r="H3990">
            <v>1</v>
          </cell>
        </row>
        <row r="3991">
          <cell r="B3991" t="str">
            <v>SWD1000B</v>
          </cell>
          <cell r="C3991" t="str">
            <v>Invoice</v>
          </cell>
          <cell r="D3991">
            <v>38614</v>
          </cell>
          <cell r="F3991" t="str">
            <v>7983</v>
          </cell>
          <cell r="G3991" t="str">
            <v>Muzak, LLC:Firehouse Bar &amp; Grill</v>
          </cell>
          <cell r="H3991">
            <v>1</v>
          </cell>
        </row>
        <row r="3992">
          <cell r="B3992" t="str">
            <v>SWD1000B</v>
          </cell>
          <cell r="C3992" t="str">
            <v>Invoice</v>
          </cell>
          <cell r="D3992">
            <v>38615</v>
          </cell>
          <cell r="F3992" t="str">
            <v>7980</v>
          </cell>
          <cell r="G3992" t="str">
            <v>Georgie Yost</v>
          </cell>
          <cell r="H3992">
            <v>1</v>
          </cell>
        </row>
        <row r="3993">
          <cell r="B3993" t="str">
            <v>SWD1000B</v>
          </cell>
          <cell r="C3993" t="str">
            <v>Invoice</v>
          </cell>
          <cell r="D3993">
            <v>38616</v>
          </cell>
          <cell r="F3993" t="str">
            <v>8026</v>
          </cell>
          <cell r="G3993" t="str">
            <v>Muzak, LLC:McDonald's #6317/2675</v>
          </cell>
          <cell r="H3993">
            <v>1</v>
          </cell>
        </row>
        <row r="3994">
          <cell r="B3994" t="str">
            <v>SWD1000B</v>
          </cell>
          <cell r="C3994" t="str">
            <v>Invoice</v>
          </cell>
          <cell r="D3994">
            <v>38616</v>
          </cell>
          <cell r="F3994" t="str">
            <v>8030</v>
          </cell>
          <cell r="G3994" t="str">
            <v>Muzak, LLC:McDonald's #4679</v>
          </cell>
          <cell r="H3994">
            <v>1</v>
          </cell>
        </row>
        <row r="3995">
          <cell r="B3995" t="str">
            <v>SWD1000B</v>
          </cell>
          <cell r="C3995" t="str">
            <v>Invoice</v>
          </cell>
          <cell r="D3995">
            <v>38616</v>
          </cell>
          <cell r="F3995" t="str">
            <v>8031</v>
          </cell>
          <cell r="G3995" t="str">
            <v>Muzak, LLC:McDonald's #3371/16858</v>
          </cell>
          <cell r="H3995">
            <v>1</v>
          </cell>
        </row>
        <row r="3996">
          <cell r="B3996" t="str">
            <v>SWD1000B</v>
          </cell>
          <cell r="C3996" t="str">
            <v>Invoice</v>
          </cell>
          <cell r="D3996">
            <v>38616</v>
          </cell>
          <cell r="F3996" t="str">
            <v>8032</v>
          </cell>
          <cell r="G3996" t="str">
            <v>Muzak, LLC:McDonald's #6679/4392</v>
          </cell>
          <cell r="H3996">
            <v>1</v>
          </cell>
        </row>
        <row r="3997">
          <cell r="B3997" t="str">
            <v>SWD1000B</v>
          </cell>
          <cell r="C3997" t="str">
            <v>Invoice</v>
          </cell>
          <cell r="D3997">
            <v>38616</v>
          </cell>
          <cell r="F3997" t="str">
            <v>8029</v>
          </cell>
          <cell r="G3997" t="str">
            <v>Muzak, LLC:McDonald's #3875/28390</v>
          </cell>
          <cell r="H3997">
            <v>1</v>
          </cell>
        </row>
        <row r="3998">
          <cell r="B3998" t="str">
            <v>SWD1000B</v>
          </cell>
          <cell r="C3998" t="str">
            <v>Invoice</v>
          </cell>
          <cell r="D3998">
            <v>38616</v>
          </cell>
          <cell r="F3998" t="str">
            <v>8027</v>
          </cell>
          <cell r="G3998" t="str">
            <v>Muzak, LLC:McDonald's #6762/4764</v>
          </cell>
          <cell r="H3998">
            <v>1</v>
          </cell>
        </row>
        <row r="3999">
          <cell r="B3999" t="str">
            <v>SWD1000B</v>
          </cell>
          <cell r="C3999" t="str">
            <v>Invoice</v>
          </cell>
          <cell r="D3999">
            <v>38616</v>
          </cell>
          <cell r="F3999" t="str">
            <v>8025</v>
          </cell>
          <cell r="G3999" t="str">
            <v>Muzak, LLC:McDonald's #6615/25238</v>
          </cell>
          <cell r="H3999">
            <v>1</v>
          </cell>
        </row>
        <row r="4000">
          <cell r="B4000" t="str">
            <v>SWD1000B</v>
          </cell>
          <cell r="C4000" t="str">
            <v>Invoice</v>
          </cell>
          <cell r="D4000">
            <v>38616</v>
          </cell>
          <cell r="F4000" t="str">
            <v>8024</v>
          </cell>
          <cell r="G4000" t="str">
            <v>Muzak, LLC:McDonald's #6949/3955</v>
          </cell>
          <cell r="H4000">
            <v>1</v>
          </cell>
        </row>
        <row r="4001">
          <cell r="B4001" t="str">
            <v>SWD1000B</v>
          </cell>
          <cell r="C4001" t="str">
            <v>Invoice</v>
          </cell>
          <cell r="D4001">
            <v>38616</v>
          </cell>
          <cell r="F4001" t="str">
            <v>8023</v>
          </cell>
          <cell r="G4001" t="str">
            <v>Muzak, LLC:McDonald's #7276/6015</v>
          </cell>
          <cell r="H4001">
            <v>1</v>
          </cell>
        </row>
        <row r="4002">
          <cell r="B4002" t="str">
            <v>SWD1000B</v>
          </cell>
          <cell r="C4002" t="str">
            <v>Invoice</v>
          </cell>
          <cell r="D4002">
            <v>38616</v>
          </cell>
          <cell r="F4002" t="str">
            <v>8021</v>
          </cell>
          <cell r="G4002" t="str">
            <v>Muzak, LLC:McDonald's #2018/11465</v>
          </cell>
          <cell r="H4002">
            <v>1</v>
          </cell>
        </row>
        <row r="4003">
          <cell r="B4003" t="str">
            <v>SWD1000B</v>
          </cell>
          <cell r="C4003" t="str">
            <v>Invoice</v>
          </cell>
          <cell r="D4003">
            <v>38616</v>
          </cell>
          <cell r="F4003" t="str">
            <v>8028</v>
          </cell>
          <cell r="G4003" t="str">
            <v>Muzak, LLC:McDonald's #6149/11572</v>
          </cell>
          <cell r="H4003">
            <v>1</v>
          </cell>
        </row>
        <row r="4004">
          <cell r="B4004" t="str">
            <v>SWD1000B</v>
          </cell>
          <cell r="C4004" t="str">
            <v>Invoice</v>
          </cell>
          <cell r="D4004">
            <v>38617</v>
          </cell>
          <cell r="F4004" t="str">
            <v>8033-I</v>
          </cell>
          <cell r="G4004" t="str">
            <v>Ethel M Chocolates, Inc.:Ethel's Chocolate Lounge-Armitage</v>
          </cell>
          <cell r="H4004">
            <v>1</v>
          </cell>
        </row>
        <row r="4005">
          <cell r="B4005" t="str">
            <v>SWD1000B</v>
          </cell>
          <cell r="C4005" t="str">
            <v>Invoice</v>
          </cell>
          <cell r="D4005">
            <v>38617</v>
          </cell>
          <cell r="F4005" t="str">
            <v>8034</v>
          </cell>
          <cell r="G4005" t="str">
            <v>Ethel M Chocolates, Inc.:Ethel M- Cactus Garden</v>
          </cell>
          <cell r="H4005">
            <v>1</v>
          </cell>
        </row>
        <row r="4006">
          <cell r="B4006" t="str">
            <v>SWD1000B</v>
          </cell>
          <cell r="C4006" t="str">
            <v>Invoice</v>
          </cell>
          <cell r="D4006">
            <v>38622</v>
          </cell>
          <cell r="F4006" t="str">
            <v>8091</v>
          </cell>
          <cell r="G4006" t="str">
            <v>Pulse</v>
          </cell>
          <cell r="H4006">
            <v>1</v>
          </cell>
        </row>
        <row r="4007">
          <cell r="B4007" t="str">
            <v>SWD1000B</v>
          </cell>
          <cell r="C4007" t="str">
            <v>Invoice</v>
          </cell>
          <cell r="D4007">
            <v>38622</v>
          </cell>
          <cell r="F4007" t="str">
            <v>8099</v>
          </cell>
          <cell r="G4007" t="str">
            <v>Muzak, LLC:Coggins</v>
          </cell>
          <cell r="H4007">
            <v>1</v>
          </cell>
        </row>
        <row r="4008">
          <cell r="B4008" t="str">
            <v>SWD1000B</v>
          </cell>
          <cell r="C4008" t="str">
            <v>Invoice</v>
          </cell>
          <cell r="D4008">
            <v>38622</v>
          </cell>
          <cell r="F4008" t="str">
            <v>8102</v>
          </cell>
          <cell r="G4008" t="str">
            <v>Muzak, LLC:McDonald's 4584/ 2682</v>
          </cell>
          <cell r="H4008">
            <v>1</v>
          </cell>
        </row>
        <row r="4009">
          <cell r="B4009" t="str">
            <v>SWD1000B</v>
          </cell>
          <cell r="C4009" t="str">
            <v>Invoice</v>
          </cell>
          <cell r="D4009">
            <v>38623</v>
          </cell>
          <cell r="F4009" t="str">
            <v>8146</v>
          </cell>
          <cell r="G4009" t="str">
            <v>Meadows Pet Center</v>
          </cell>
          <cell r="H4009">
            <v>1</v>
          </cell>
        </row>
        <row r="4010">
          <cell r="B4010" t="str">
            <v>SWD1000B</v>
          </cell>
          <cell r="C4010" t="str">
            <v>Invoice</v>
          </cell>
          <cell r="D4010">
            <v>38624</v>
          </cell>
          <cell r="F4010" t="str">
            <v>8186</v>
          </cell>
          <cell r="G4010" t="str">
            <v>Muzak, LLC:Muzak (Demo)</v>
          </cell>
          <cell r="H4010">
            <v>1</v>
          </cell>
        </row>
        <row r="4011">
          <cell r="B4011" t="str">
            <v>SWD1000B</v>
          </cell>
          <cell r="C4011" t="str">
            <v>Invoice</v>
          </cell>
          <cell r="D4011">
            <v>38628</v>
          </cell>
          <cell r="F4011" t="str">
            <v>8187</v>
          </cell>
          <cell r="G4011" t="str">
            <v>Mystic Scenic Studios, Inc.</v>
          </cell>
          <cell r="H4011">
            <v>1</v>
          </cell>
        </row>
        <row r="4012">
          <cell r="B4012" t="str">
            <v>SWD1000W</v>
          </cell>
          <cell r="C4012" t="str">
            <v>Invoice</v>
          </cell>
          <cell r="D4012">
            <v>38520</v>
          </cell>
          <cell r="F4012" t="str">
            <v>6372</v>
          </cell>
          <cell r="G4012" t="str">
            <v>American Solutions Inc.</v>
          </cell>
          <cell r="H4012">
            <v>1</v>
          </cell>
        </row>
        <row r="4013">
          <cell r="B4013" t="str">
            <v>SWD1000W</v>
          </cell>
          <cell r="C4013" t="str">
            <v>Invoice</v>
          </cell>
          <cell r="D4013">
            <v>38533</v>
          </cell>
          <cell r="F4013" t="str">
            <v>7024</v>
          </cell>
          <cell r="G4013" t="str">
            <v>Dr Horton Homebuilders</v>
          </cell>
          <cell r="H4013">
            <v>1</v>
          </cell>
        </row>
        <row r="4014">
          <cell r="B4014" t="str">
            <v>SWD1000W</v>
          </cell>
          <cell r="C4014" t="str">
            <v>Invoice</v>
          </cell>
          <cell r="D4014">
            <v>38533</v>
          </cell>
          <cell r="F4014" t="str">
            <v>7030</v>
          </cell>
          <cell r="G4014" t="str">
            <v>Biotech Calender</v>
          </cell>
          <cell r="H4014">
            <v>1</v>
          </cell>
        </row>
        <row r="4015">
          <cell r="B4015" t="str">
            <v>SWD1000W</v>
          </cell>
          <cell r="C4015" t="str">
            <v>Invoice</v>
          </cell>
          <cell r="D4015">
            <v>38539</v>
          </cell>
          <cell r="F4015" t="str">
            <v>7029</v>
          </cell>
          <cell r="G4015" t="str">
            <v>Eddie Bauer, Inc.</v>
          </cell>
          <cell r="H4015">
            <v>1</v>
          </cell>
        </row>
        <row r="4016">
          <cell r="B4016" t="str">
            <v>SWD1000W</v>
          </cell>
          <cell r="C4016" t="str">
            <v>Invoice</v>
          </cell>
          <cell r="D4016">
            <v>38548</v>
          </cell>
          <cell r="F4016" t="str">
            <v>6410</v>
          </cell>
          <cell r="G4016" t="str">
            <v>Jimmy Choo (Corporate Office):Jimmy Choo (Coral Gables)</v>
          </cell>
          <cell r="H4016">
            <v>1</v>
          </cell>
        </row>
        <row r="4017">
          <cell r="B4017" t="str">
            <v>SWD1000W</v>
          </cell>
          <cell r="C4017" t="str">
            <v>Invoice</v>
          </cell>
          <cell r="D4017">
            <v>38552</v>
          </cell>
          <cell r="F4017" t="str">
            <v>7161</v>
          </cell>
          <cell r="G4017" t="str">
            <v>Carson Pirie Scott &amp; Co..</v>
          </cell>
          <cell r="H4017">
            <v>1</v>
          </cell>
        </row>
        <row r="4018">
          <cell r="B4018" t="str">
            <v>SWD1000W</v>
          </cell>
          <cell r="C4018" t="str">
            <v>Invoice</v>
          </cell>
          <cell r="D4018">
            <v>38553</v>
          </cell>
          <cell r="F4018" t="str">
            <v>7174</v>
          </cell>
          <cell r="G4018" t="str">
            <v>ScentAir - Corporate Associates</v>
          </cell>
          <cell r="H4018">
            <v>1</v>
          </cell>
        </row>
        <row r="4019">
          <cell r="B4019" t="str">
            <v>SWD1000W</v>
          </cell>
          <cell r="C4019" t="str">
            <v>Invoice</v>
          </cell>
          <cell r="D4019">
            <v>38565</v>
          </cell>
          <cell r="F4019" t="str">
            <v>7225</v>
          </cell>
          <cell r="G4019" t="str">
            <v>Jimmy Choo (Corporate Office):Jimmy Choo (Dallas)</v>
          </cell>
          <cell r="H4019">
            <v>1</v>
          </cell>
        </row>
        <row r="4020">
          <cell r="B4020" t="str">
            <v>SWD1000W</v>
          </cell>
          <cell r="C4020" t="str">
            <v>Invoice</v>
          </cell>
          <cell r="D4020">
            <v>38568</v>
          </cell>
          <cell r="F4020" t="str">
            <v>7276</v>
          </cell>
          <cell r="G4020" t="str">
            <v>Alerion Partners</v>
          </cell>
          <cell r="H4020">
            <v>1</v>
          </cell>
        </row>
        <row r="4021">
          <cell r="B4021" t="str">
            <v>SWD1000W</v>
          </cell>
          <cell r="C4021" t="str">
            <v>Invoice</v>
          </cell>
          <cell r="D4021">
            <v>38568</v>
          </cell>
          <cell r="F4021" t="str">
            <v>7304</v>
          </cell>
          <cell r="G4021" t="str">
            <v>Muzak, LLC:Muzak (Demo)</v>
          </cell>
          <cell r="H4021">
            <v>1</v>
          </cell>
        </row>
        <row r="4022">
          <cell r="B4022" t="str">
            <v>SWD1000W</v>
          </cell>
          <cell r="C4022" t="str">
            <v>Invoice</v>
          </cell>
          <cell r="D4022">
            <v>38569</v>
          </cell>
          <cell r="F4022" t="str">
            <v>7303</v>
          </cell>
          <cell r="G4022" t="str">
            <v>Muzak, LLC:Muzak (Demo)</v>
          </cell>
          <cell r="H4022">
            <v>1</v>
          </cell>
        </row>
        <row r="4023">
          <cell r="B4023" t="str">
            <v>SWD1000W</v>
          </cell>
          <cell r="C4023" t="str">
            <v>Invoice</v>
          </cell>
          <cell r="D4023">
            <v>38572</v>
          </cell>
          <cell r="F4023" t="str">
            <v>7333</v>
          </cell>
          <cell r="G4023" t="str">
            <v>Diesel USA, Inc.</v>
          </cell>
          <cell r="H4023">
            <v>1</v>
          </cell>
        </row>
        <row r="4024">
          <cell r="B4024" t="str">
            <v>SWD1000W</v>
          </cell>
          <cell r="C4024" t="str">
            <v>Invoice</v>
          </cell>
          <cell r="D4024">
            <v>38573</v>
          </cell>
          <cell r="F4024" t="str">
            <v>7340</v>
          </cell>
          <cell r="G4024" t="str">
            <v>Access Artisans Greenwhich Village</v>
          </cell>
          <cell r="H4024">
            <v>1</v>
          </cell>
        </row>
        <row r="4025">
          <cell r="B4025" t="str">
            <v>SWD1000W</v>
          </cell>
          <cell r="C4025" t="str">
            <v>Invoice</v>
          </cell>
          <cell r="D4025">
            <v>38573</v>
          </cell>
          <cell r="F4025" t="str">
            <v>7314</v>
          </cell>
          <cell r="G4025" t="str">
            <v>Muzak, LLC:Petland</v>
          </cell>
          <cell r="H4025">
            <v>1</v>
          </cell>
        </row>
        <row r="4026">
          <cell r="B4026" t="str">
            <v>SWD1000W</v>
          </cell>
          <cell r="C4026" t="str">
            <v>Invoice</v>
          </cell>
          <cell r="D4026">
            <v>38574</v>
          </cell>
          <cell r="F4026" t="str">
            <v>7389</v>
          </cell>
          <cell r="G4026" t="str">
            <v>Muzak, LLC</v>
          </cell>
          <cell r="H4026">
            <v>1</v>
          </cell>
        </row>
        <row r="4027">
          <cell r="B4027" t="str">
            <v>SWD1000W</v>
          </cell>
          <cell r="C4027" t="str">
            <v>Invoice</v>
          </cell>
          <cell r="D4027">
            <v>38575</v>
          </cell>
          <cell r="F4027" t="str">
            <v>7444</v>
          </cell>
          <cell r="G4027" t="str">
            <v>Muzak, LLC:Muzak (Demo)</v>
          </cell>
          <cell r="H4027">
            <v>1</v>
          </cell>
        </row>
        <row r="4028">
          <cell r="B4028" t="str">
            <v>SWD1000W</v>
          </cell>
          <cell r="C4028" t="str">
            <v>Invoice</v>
          </cell>
          <cell r="D4028">
            <v>38575</v>
          </cell>
          <cell r="F4028" t="str">
            <v>7442</v>
          </cell>
          <cell r="G4028" t="str">
            <v>Muzak, LLC:Muzak (Demo)</v>
          </cell>
          <cell r="H4028">
            <v>1</v>
          </cell>
        </row>
        <row r="4029">
          <cell r="B4029" t="str">
            <v>SWD1000W</v>
          </cell>
          <cell r="C4029" t="str">
            <v>Invoice</v>
          </cell>
          <cell r="D4029">
            <v>38575</v>
          </cell>
          <cell r="F4029" t="str">
            <v>7395</v>
          </cell>
          <cell r="G4029" t="str">
            <v>Muzak, LLC:Exceptional Urgent Care</v>
          </cell>
          <cell r="H4029">
            <v>1</v>
          </cell>
        </row>
        <row r="4030">
          <cell r="B4030" t="str">
            <v>SWD1000W</v>
          </cell>
          <cell r="C4030" t="str">
            <v>Invoice</v>
          </cell>
          <cell r="D4030">
            <v>38576</v>
          </cell>
          <cell r="F4030" t="str">
            <v>7446</v>
          </cell>
          <cell r="G4030" t="str">
            <v>Muzak, LLC:Muzak (Demo)</v>
          </cell>
          <cell r="H4030">
            <v>1</v>
          </cell>
        </row>
        <row r="4031">
          <cell r="B4031" t="str">
            <v>SWD1000W</v>
          </cell>
          <cell r="C4031" t="str">
            <v>Invoice</v>
          </cell>
          <cell r="D4031">
            <v>38576</v>
          </cell>
          <cell r="F4031" t="str">
            <v>7443</v>
          </cell>
          <cell r="G4031" t="str">
            <v>Muzak, LLC:Amergy Bank of Texas</v>
          </cell>
          <cell r="H4031">
            <v>1</v>
          </cell>
        </row>
        <row r="4032">
          <cell r="B4032" t="str">
            <v>SWD1000W</v>
          </cell>
          <cell r="C4032" t="str">
            <v>Invoice</v>
          </cell>
          <cell r="D4032">
            <v>38580</v>
          </cell>
          <cell r="F4032" t="str">
            <v>7490</v>
          </cell>
          <cell r="G4032" t="str">
            <v>Muzak, LLC:McDonald's - Lakewood</v>
          </cell>
          <cell r="H4032">
            <v>1</v>
          </cell>
        </row>
        <row r="4033">
          <cell r="B4033" t="str">
            <v>SWD1000W</v>
          </cell>
          <cell r="C4033" t="str">
            <v>Invoice</v>
          </cell>
          <cell r="D4033">
            <v>38580</v>
          </cell>
          <cell r="F4033" t="str">
            <v>7482</v>
          </cell>
          <cell r="G4033" t="str">
            <v>Muzak, LLC:Burger King - #2771</v>
          </cell>
          <cell r="H4033">
            <v>1</v>
          </cell>
        </row>
        <row r="4034">
          <cell r="B4034" t="str">
            <v>SWD1000W</v>
          </cell>
          <cell r="C4034" t="str">
            <v>Invoice</v>
          </cell>
          <cell r="D4034">
            <v>38580</v>
          </cell>
          <cell r="F4034" t="str">
            <v>7512</v>
          </cell>
          <cell r="G4034" t="str">
            <v>Global Services Network</v>
          </cell>
          <cell r="H4034">
            <v>1</v>
          </cell>
        </row>
        <row r="4035">
          <cell r="B4035" t="str">
            <v>SWD1000W</v>
          </cell>
          <cell r="C4035" t="str">
            <v>Invoice</v>
          </cell>
          <cell r="D4035">
            <v>38581</v>
          </cell>
          <cell r="F4035" t="str">
            <v>7487</v>
          </cell>
          <cell r="G4035" t="str">
            <v>Muzak, LLC:Royal Sonesta Hotel</v>
          </cell>
          <cell r="H4035">
            <v>1</v>
          </cell>
        </row>
        <row r="4036">
          <cell r="B4036" t="str">
            <v>SWD1000W</v>
          </cell>
          <cell r="C4036" t="str">
            <v>Invoice</v>
          </cell>
          <cell r="D4036">
            <v>38583</v>
          </cell>
          <cell r="F4036" t="str">
            <v>7636</v>
          </cell>
          <cell r="G4036" t="str">
            <v>Muzak, LLC:TT New York</v>
          </cell>
          <cell r="H4036">
            <v>1</v>
          </cell>
        </row>
        <row r="4037">
          <cell r="B4037" t="str">
            <v>SWD1000W</v>
          </cell>
          <cell r="C4037" t="str">
            <v>Invoice</v>
          </cell>
          <cell r="D4037">
            <v>38583</v>
          </cell>
          <cell r="F4037" t="str">
            <v>7629</v>
          </cell>
          <cell r="G4037" t="str">
            <v>Muzak, LLC:Carr's Barber Club - 1032 Town Park Ave.</v>
          </cell>
          <cell r="H4037">
            <v>1</v>
          </cell>
        </row>
        <row r="4038">
          <cell r="B4038" t="str">
            <v>SWD1000W</v>
          </cell>
          <cell r="C4038" t="str">
            <v>Invoice</v>
          </cell>
          <cell r="D4038">
            <v>38583</v>
          </cell>
          <cell r="F4038" t="str">
            <v>7630</v>
          </cell>
          <cell r="G4038" t="str">
            <v>Muzak, LLC:Carr's Barber Club - 2401 E. 434</v>
          </cell>
          <cell r="H4038">
            <v>1</v>
          </cell>
        </row>
        <row r="4039">
          <cell r="B4039" t="str">
            <v>SWD1000W</v>
          </cell>
          <cell r="C4039" t="str">
            <v>Invoice</v>
          </cell>
          <cell r="D4039">
            <v>38583</v>
          </cell>
          <cell r="F4039" t="str">
            <v>7635</v>
          </cell>
          <cell r="G4039" t="str">
            <v>Muzak, LLC:Carr's Barber Club - 7600 Dr. Phillips</v>
          </cell>
          <cell r="H4039">
            <v>1</v>
          </cell>
        </row>
        <row r="4040">
          <cell r="B4040" t="str">
            <v>SWD1000W</v>
          </cell>
          <cell r="C4040" t="str">
            <v>Invoice</v>
          </cell>
          <cell r="D4040">
            <v>38583</v>
          </cell>
          <cell r="F4040" t="str">
            <v>7634</v>
          </cell>
          <cell r="G4040" t="str">
            <v>Muzak, LLC:Carr's Barber Club - 715 Bloom St.</v>
          </cell>
          <cell r="H4040">
            <v>1</v>
          </cell>
        </row>
        <row r="4041">
          <cell r="B4041" t="str">
            <v>SWD1000W</v>
          </cell>
          <cell r="C4041" t="str">
            <v>Invoice</v>
          </cell>
          <cell r="D4041">
            <v>38583</v>
          </cell>
          <cell r="F4041" t="str">
            <v>7633</v>
          </cell>
          <cell r="G4041" t="str">
            <v>Muzak, LLC:Carr's Barber Club - 701 E. Washington</v>
          </cell>
          <cell r="H4041">
            <v>1</v>
          </cell>
        </row>
        <row r="4042">
          <cell r="B4042" t="str">
            <v>SWD1000W</v>
          </cell>
          <cell r="C4042" t="str">
            <v>Invoice</v>
          </cell>
          <cell r="D4042">
            <v>38583</v>
          </cell>
          <cell r="F4042" t="str">
            <v>7632</v>
          </cell>
          <cell r="G4042" t="str">
            <v>Muzak, LLC:Carr's Barber Club - 4800 New Broad St.</v>
          </cell>
          <cell r="H4042">
            <v>1</v>
          </cell>
        </row>
        <row r="4043">
          <cell r="B4043" t="str">
            <v>SWD1000W</v>
          </cell>
          <cell r="C4043" t="str">
            <v>Invoice</v>
          </cell>
          <cell r="D4043">
            <v>38583</v>
          </cell>
          <cell r="F4043" t="str">
            <v>7631</v>
          </cell>
          <cell r="G4043" t="str">
            <v>Muzak, LLC:Carr's Barber Club - 346 Park Ave.</v>
          </cell>
          <cell r="H4043">
            <v>1</v>
          </cell>
        </row>
        <row r="4044">
          <cell r="B4044" t="str">
            <v>SWD1000W</v>
          </cell>
          <cell r="C4044" t="str">
            <v>Invoice</v>
          </cell>
          <cell r="D4044">
            <v>38583</v>
          </cell>
          <cell r="F4044" t="str">
            <v>7637</v>
          </cell>
          <cell r="G4044" t="str">
            <v>Muzak, LLC:Sell's Mobil</v>
          </cell>
          <cell r="H4044">
            <v>1</v>
          </cell>
        </row>
        <row r="4045">
          <cell r="B4045" t="str">
            <v>SWD1000W</v>
          </cell>
          <cell r="C4045" t="str">
            <v>Invoice</v>
          </cell>
          <cell r="D4045">
            <v>38583</v>
          </cell>
          <cell r="F4045" t="str">
            <v>7639</v>
          </cell>
          <cell r="G4045" t="str">
            <v>Muzak, LLC:Muzak (Demo)</v>
          </cell>
          <cell r="H4045">
            <v>1</v>
          </cell>
        </row>
        <row r="4046">
          <cell r="B4046" t="str">
            <v>SWD1000W</v>
          </cell>
          <cell r="C4046" t="str">
            <v>Invoice</v>
          </cell>
          <cell r="D4046">
            <v>38586</v>
          </cell>
          <cell r="F4046" t="str">
            <v>7647</v>
          </cell>
          <cell r="G4046" t="str">
            <v>Muzak, LLC:Freshens - Cambridge</v>
          </cell>
          <cell r="H4046">
            <v>1</v>
          </cell>
        </row>
        <row r="4047">
          <cell r="B4047" t="str">
            <v>SWD1000W</v>
          </cell>
          <cell r="C4047" t="str">
            <v>Invoice</v>
          </cell>
          <cell r="D4047">
            <v>38586</v>
          </cell>
          <cell r="F4047" t="str">
            <v>7641</v>
          </cell>
          <cell r="G4047" t="str">
            <v>Muzak, LLC:Citgo &amp; Market Place</v>
          </cell>
          <cell r="H4047">
            <v>1</v>
          </cell>
        </row>
        <row r="4048">
          <cell r="B4048" t="str">
            <v>SWD1000W</v>
          </cell>
          <cell r="C4048" t="str">
            <v>Invoice</v>
          </cell>
          <cell r="D4048">
            <v>38586</v>
          </cell>
          <cell r="F4048" t="str">
            <v>7642</v>
          </cell>
          <cell r="G4048" t="str">
            <v>Muzak, LLC:Oakland Center Chevron</v>
          </cell>
          <cell r="H4048">
            <v>1</v>
          </cell>
        </row>
        <row r="4049">
          <cell r="B4049" t="str">
            <v>SWD1000W</v>
          </cell>
          <cell r="C4049" t="str">
            <v>Invoice</v>
          </cell>
          <cell r="D4049">
            <v>38586</v>
          </cell>
          <cell r="F4049" t="str">
            <v>7649</v>
          </cell>
          <cell r="G4049" t="str">
            <v>Muzak, LLC:Freshens - Hyannis</v>
          </cell>
          <cell r="H4049">
            <v>1</v>
          </cell>
        </row>
        <row r="4050">
          <cell r="B4050" t="str">
            <v>SWD1000W</v>
          </cell>
          <cell r="C4050" t="str">
            <v>Invoice</v>
          </cell>
          <cell r="D4050">
            <v>38587</v>
          </cell>
          <cell r="F4050" t="str">
            <v>7670</v>
          </cell>
          <cell r="G4050" t="str">
            <v>Muzak, LLC:Bluebird Tavern</v>
          </cell>
          <cell r="H4050">
            <v>1</v>
          </cell>
        </row>
        <row r="4051">
          <cell r="B4051" t="str">
            <v>SWD1000W</v>
          </cell>
          <cell r="C4051" t="str">
            <v>Invoice</v>
          </cell>
          <cell r="D4051">
            <v>38587</v>
          </cell>
          <cell r="F4051" t="str">
            <v>7644</v>
          </cell>
          <cell r="G4051" t="str">
            <v>Muzak, LLC:McDonald's - Garner</v>
          </cell>
          <cell r="H4051">
            <v>1</v>
          </cell>
        </row>
        <row r="4052">
          <cell r="B4052" t="str">
            <v>SWD1000W</v>
          </cell>
          <cell r="C4052" t="str">
            <v>Invoice</v>
          </cell>
          <cell r="D4052">
            <v>38587</v>
          </cell>
          <cell r="F4052" t="str">
            <v>7672</v>
          </cell>
          <cell r="G4052" t="str">
            <v>Muzak, LLC:Lee Nails &amp; Day Spa - 031611</v>
          </cell>
          <cell r="H4052">
            <v>1</v>
          </cell>
        </row>
        <row r="4053">
          <cell r="B4053" t="str">
            <v>SWD1000W</v>
          </cell>
          <cell r="C4053" t="str">
            <v>Invoice</v>
          </cell>
          <cell r="D4053">
            <v>38587</v>
          </cell>
          <cell r="F4053" t="str">
            <v>7673</v>
          </cell>
          <cell r="G4053" t="str">
            <v>Muzak, LLC:Lee Nails &amp; Day Spa - 039000</v>
          </cell>
          <cell r="H4053">
            <v>1</v>
          </cell>
        </row>
        <row r="4054">
          <cell r="B4054" t="str">
            <v>SWD1000W</v>
          </cell>
          <cell r="C4054" t="str">
            <v>Invoice</v>
          </cell>
          <cell r="D4054">
            <v>38588</v>
          </cell>
          <cell r="F4054" t="str">
            <v>7679</v>
          </cell>
          <cell r="G4054" t="str">
            <v>Muzak, LLC:Axel Bloom LLC</v>
          </cell>
          <cell r="H4054">
            <v>1</v>
          </cell>
        </row>
        <row r="4055">
          <cell r="B4055" t="str">
            <v>SWD1000W</v>
          </cell>
          <cell r="C4055" t="str">
            <v>Invoice</v>
          </cell>
          <cell r="D4055">
            <v>38588</v>
          </cell>
          <cell r="F4055" t="str">
            <v>7689</v>
          </cell>
          <cell r="G4055" t="str">
            <v>Muzak, LLC:Parker's SSI</v>
          </cell>
          <cell r="H4055">
            <v>1</v>
          </cell>
        </row>
        <row r="4056">
          <cell r="B4056" t="str">
            <v>SWD1000W</v>
          </cell>
          <cell r="C4056" t="str">
            <v>Invoice</v>
          </cell>
          <cell r="D4056">
            <v>38588</v>
          </cell>
          <cell r="F4056" t="str">
            <v>7690</v>
          </cell>
          <cell r="G4056" t="str">
            <v>Muzak, LLC:Parker's  - Brunswick</v>
          </cell>
          <cell r="H4056">
            <v>1</v>
          </cell>
        </row>
        <row r="4057">
          <cell r="B4057" t="str">
            <v>SWD1000W</v>
          </cell>
          <cell r="C4057" t="str">
            <v>Invoice</v>
          </cell>
          <cell r="D4057">
            <v>38588</v>
          </cell>
          <cell r="F4057" t="str">
            <v>7687</v>
          </cell>
          <cell r="G4057" t="str">
            <v>Muzak, LLC:Folks</v>
          </cell>
          <cell r="H4057">
            <v>1</v>
          </cell>
        </row>
        <row r="4058">
          <cell r="B4058" t="str">
            <v>SWD1000W</v>
          </cell>
          <cell r="C4058" t="str">
            <v>Invoice</v>
          </cell>
          <cell r="D4058">
            <v>38589</v>
          </cell>
          <cell r="F4058" t="str">
            <v>7692</v>
          </cell>
          <cell r="G4058" t="str">
            <v>Muzak, LLC:Turquoise Day Spa</v>
          </cell>
          <cell r="H4058">
            <v>1</v>
          </cell>
        </row>
        <row r="4059">
          <cell r="B4059" t="str">
            <v>SWD1000W</v>
          </cell>
          <cell r="C4059" t="str">
            <v>Invoice</v>
          </cell>
          <cell r="D4059">
            <v>38589</v>
          </cell>
          <cell r="F4059" t="str">
            <v>7691</v>
          </cell>
          <cell r="G4059" t="str">
            <v>Muzak, LLC:Red 74</v>
          </cell>
          <cell r="H4059">
            <v>1</v>
          </cell>
        </row>
        <row r="4060">
          <cell r="B4060" t="str">
            <v>SWD1000W</v>
          </cell>
          <cell r="C4060" t="str">
            <v>Invoice</v>
          </cell>
          <cell r="D4060">
            <v>38590</v>
          </cell>
          <cell r="F4060" t="str">
            <v>7707</v>
          </cell>
          <cell r="G4060" t="str">
            <v>Muzak, LLC:Dr Geeta Bhat DDS</v>
          </cell>
          <cell r="H4060">
            <v>1</v>
          </cell>
        </row>
        <row r="4061">
          <cell r="B4061" t="str">
            <v>SWD1000W</v>
          </cell>
          <cell r="C4061" t="str">
            <v>Invoice</v>
          </cell>
          <cell r="D4061">
            <v>38590</v>
          </cell>
          <cell r="F4061" t="str">
            <v>7711</v>
          </cell>
          <cell r="G4061" t="str">
            <v>ScentAir - Corporate Associates:Pamela Knock</v>
          </cell>
          <cell r="H4061">
            <v>1</v>
          </cell>
        </row>
        <row r="4062">
          <cell r="B4062" t="str">
            <v>SWD1000W</v>
          </cell>
          <cell r="C4062" t="str">
            <v>Invoice</v>
          </cell>
          <cell r="D4062">
            <v>38593</v>
          </cell>
          <cell r="F4062" t="str">
            <v>7706</v>
          </cell>
          <cell r="G4062" t="str">
            <v>Muzak, LLC:Mattress Barn - 043074</v>
          </cell>
          <cell r="H4062">
            <v>1</v>
          </cell>
        </row>
        <row r="4063">
          <cell r="B4063" t="str">
            <v>SWD1000W</v>
          </cell>
          <cell r="C4063" t="str">
            <v>Invoice</v>
          </cell>
          <cell r="D4063">
            <v>38593</v>
          </cell>
          <cell r="F4063" t="str">
            <v>7699</v>
          </cell>
          <cell r="G4063" t="str">
            <v>Muzak, LLC:Food Lion #0564 (Bloom Stores)</v>
          </cell>
          <cell r="H4063">
            <v>1</v>
          </cell>
        </row>
        <row r="4064">
          <cell r="B4064" t="str">
            <v>SWD1000W</v>
          </cell>
          <cell r="C4064" t="str">
            <v>Invoice</v>
          </cell>
          <cell r="D4064">
            <v>38593</v>
          </cell>
          <cell r="F4064" t="str">
            <v>7698</v>
          </cell>
          <cell r="G4064" t="str">
            <v>Muzak, LLC:Food Lion #0531 (Bloom Stores)</v>
          </cell>
          <cell r="H4064">
            <v>1</v>
          </cell>
        </row>
        <row r="4065">
          <cell r="B4065" t="str">
            <v>SWD1000W</v>
          </cell>
          <cell r="C4065" t="str">
            <v>Invoice</v>
          </cell>
          <cell r="D4065">
            <v>38593</v>
          </cell>
          <cell r="F4065" t="str">
            <v>7701</v>
          </cell>
          <cell r="G4065" t="str">
            <v>Muzak, LLC:Food Lion #1438 (Bloom Stores)</v>
          </cell>
          <cell r="H4065">
            <v>1</v>
          </cell>
        </row>
        <row r="4066">
          <cell r="B4066" t="str">
            <v>SWD1000W</v>
          </cell>
          <cell r="C4066" t="str">
            <v>Invoice</v>
          </cell>
          <cell r="D4066">
            <v>38593</v>
          </cell>
          <cell r="F4066" t="str">
            <v>7702</v>
          </cell>
          <cell r="G4066" t="str">
            <v>Muzak, LLC:Food Lion #2565 (Bloom Stores)</v>
          </cell>
          <cell r="H4066">
            <v>1</v>
          </cell>
        </row>
        <row r="4067">
          <cell r="B4067" t="str">
            <v>SWD1000W</v>
          </cell>
          <cell r="C4067" t="str">
            <v>Invoice</v>
          </cell>
          <cell r="D4067">
            <v>38593</v>
          </cell>
          <cell r="F4067" t="str">
            <v>7700</v>
          </cell>
          <cell r="G4067" t="str">
            <v>Muzak, LLC:Food Lion #1351 (Bloom Stores)</v>
          </cell>
          <cell r="H4067">
            <v>1</v>
          </cell>
        </row>
        <row r="4068">
          <cell r="B4068" t="str">
            <v>SWD1000W</v>
          </cell>
          <cell r="C4068" t="str">
            <v>Invoice</v>
          </cell>
          <cell r="D4068">
            <v>38594</v>
          </cell>
          <cell r="F4068" t="str">
            <v>7723</v>
          </cell>
          <cell r="G4068" t="str">
            <v>Muzak, LLC:Carolina's Diner</v>
          </cell>
          <cell r="H4068">
            <v>1</v>
          </cell>
        </row>
        <row r="4069">
          <cell r="B4069" t="str">
            <v>SWD1000W</v>
          </cell>
          <cell r="C4069" t="str">
            <v>Invoice</v>
          </cell>
          <cell r="D4069">
            <v>38594</v>
          </cell>
          <cell r="F4069" t="str">
            <v>7081</v>
          </cell>
          <cell r="G4069" t="str">
            <v>Muzak, LLC:Anderson Food Shops #168</v>
          </cell>
          <cell r="H4069">
            <v>1</v>
          </cell>
        </row>
        <row r="4070">
          <cell r="B4070" t="str">
            <v>SWD1000W</v>
          </cell>
          <cell r="C4070" t="str">
            <v>Invoice</v>
          </cell>
          <cell r="D4070">
            <v>38602</v>
          </cell>
          <cell r="F4070" t="str">
            <v>7875</v>
          </cell>
          <cell r="G4070" t="str">
            <v>ScentAir - Corporate Associates</v>
          </cell>
          <cell r="H4070">
            <v>1</v>
          </cell>
        </row>
        <row r="4071">
          <cell r="B4071" t="str">
            <v>SWD1000W</v>
          </cell>
          <cell r="C4071" t="str">
            <v>Invoice</v>
          </cell>
          <cell r="D4071">
            <v>38603</v>
          </cell>
          <cell r="F4071" t="str">
            <v>7862</v>
          </cell>
          <cell r="G4071" t="str">
            <v>Muzak, IA:Carolina Sound Communications:Hilton Oceanfront Resort</v>
          </cell>
          <cell r="H4071">
            <v>1</v>
          </cell>
        </row>
        <row r="4072">
          <cell r="B4072" t="str">
            <v>SWD1000W</v>
          </cell>
          <cell r="C4072" t="str">
            <v>Invoice</v>
          </cell>
          <cell r="D4072">
            <v>38603</v>
          </cell>
          <cell r="F4072" t="str">
            <v>7888</v>
          </cell>
          <cell r="G4072" t="str">
            <v>Muzak, LLC:Muzak (Demo)</v>
          </cell>
          <cell r="H4072">
            <v>1</v>
          </cell>
        </row>
        <row r="4073">
          <cell r="B4073" t="str">
            <v>SWD1000W</v>
          </cell>
          <cell r="C4073" t="str">
            <v>Invoice</v>
          </cell>
          <cell r="D4073">
            <v>38608</v>
          </cell>
          <cell r="F4073" t="str">
            <v>7927</v>
          </cell>
          <cell r="G4073" t="str">
            <v>Muzak, LLC:Heritage at Lake Forest</v>
          </cell>
          <cell r="H4073">
            <v>1</v>
          </cell>
        </row>
        <row r="4074">
          <cell r="B4074" t="str">
            <v>SWD1000W</v>
          </cell>
          <cell r="C4074" t="str">
            <v>Invoice</v>
          </cell>
          <cell r="D4074">
            <v>38608</v>
          </cell>
          <cell r="F4074" t="str">
            <v>7929</v>
          </cell>
          <cell r="G4074" t="str">
            <v>Muzak, LLC:Oakland Center Chevron</v>
          </cell>
          <cell r="H4074">
            <v>1</v>
          </cell>
        </row>
        <row r="4075">
          <cell r="B4075" t="str">
            <v>SWD1000W</v>
          </cell>
          <cell r="C4075" t="str">
            <v>Invoice</v>
          </cell>
          <cell r="D4075">
            <v>38611</v>
          </cell>
          <cell r="F4075" t="str">
            <v>7987</v>
          </cell>
          <cell r="G4075" t="str">
            <v>ScentAir - Corporate Associates:Amy DiCesare</v>
          </cell>
          <cell r="H4075">
            <v>1</v>
          </cell>
        </row>
        <row r="4076">
          <cell r="B4076" t="str">
            <v>SWD1000W</v>
          </cell>
          <cell r="C4076" t="str">
            <v>Invoice</v>
          </cell>
          <cell r="D4076">
            <v>38614</v>
          </cell>
          <cell r="F4076" t="str">
            <v>7984</v>
          </cell>
          <cell r="G4076" t="str">
            <v>Muzak, LLC:Clubs of Kingwood Golf Proshop</v>
          </cell>
          <cell r="H4076">
            <v>1</v>
          </cell>
        </row>
        <row r="4077">
          <cell r="B4077" t="str">
            <v>SWD1000W</v>
          </cell>
          <cell r="C4077" t="str">
            <v>Invoice</v>
          </cell>
          <cell r="D4077">
            <v>38614</v>
          </cell>
          <cell r="F4077" t="str">
            <v>7977</v>
          </cell>
          <cell r="G4077" t="str">
            <v>Muzak, LLC:Pollywogs Inc</v>
          </cell>
          <cell r="H4077">
            <v>1</v>
          </cell>
        </row>
        <row r="4078">
          <cell r="B4078" t="str">
            <v>SWD1000W</v>
          </cell>
          <cell r="C4078" t="str">
            <v>Invoice</v>
          </cell>
          <cell r="D4078">
            <v>38615</v>
          </cell>
          <cell r="F4078" t="str">
            <v>7986</v>
          </cell>
          <cell r="G4078" t="str">
            <v>Muzak, LLC:Budwey's Supermarket - Tonewanda</v>
          </cell>
          <cell r="H4078">
            <v>1</v>
          </cell>
        </row>
        <row r="4079">
          <cell r="B4079" t="str">
            <v>SWD1000W</v>
          </cell>
          <cell r="C4079" t="str">
            <v>Invoice</v>
          </cell>
          <cell r="D4079">
            <v>38615</v>
          </cell>
          <cell r="F4079" t="str">
            <v>7985</v>
          </cell>
          <cell r="G4079" t="str">
            <v>Muzak, IA:Avcom Texas Wired:Trois Estate</v>
          </cell>
          <cell r="H4079">
            <v>1</v>
          </cell>
        </row>
        <row r="4080">
          <cell r="B4080" t="str">
            <v>SWD1000W</v>
          </cell>
          <cell r="C4080" t="str">
            <v>Invoice</v>
          </cell>
          <cell r="D4080">
            <v>38615</v>
          </cell>
          <cell r="F4080" t="str">
            <v>8010</v>
          </cell>
          <cell r="G4080" t="str">
            <v>Muzak, LLC:Jekyll Island Club Hotel</v>
          </cell>
          <cell r="H4080">
            <v>1</v>
          </cell>
        </row>
        <row r="4081">
          <cell r="B4081" t="str">
            <v>SWD1000W</v>
          </cell>
          <cell r="C4081" t="str">
            <v>Invoice</v>
          </cell>
          <cell r="D4081">
            <v>38615</v>
          </cell>
          <cell r="F4081" t="str">
            <v>8009</v>
          </cell>
          <cell r="G4081" t="str">
            <v>Muzak, LLC:Benny's Steak &amp; Seafood</v>
          </cell>
          <cell r="H4081">
            <v>1</v>
          </cell>
        </row>
        <row r="4082">
          <cell r="B4082" t="str">
            <v>SWD1000W</v>
          </cell>
          <cell r="C4082" t="str">
            <v>Invoice</v>
          </cell>
          <cell r="D4082">
            <v>38615</v>
          </cell>
          <cell r="F4082" t="str">
            <v>8005</v>
          </cell>
          <cell r="G4082" t="str">
            <v>Muzak, LLC:Kindercare Learning Center</v>
          </cell>
          <cell r="H4082">
            <v>1</v>
          </cell>
        </row>
        <row r="4083">
          <cell r="B4083" t="str">
            <v>SWD1000W</v>
          </cell>
          <cell r="C4083" t="str">
            <v>Invoice</v>
          </cell>
          <cell r="D4083">
            <v>38615</v>
          </cell>
          <cell r="F4083" t="str">
            <v>8014</v>
          </cell>
          <cell r="G4083" t="str">
            <v>Muzak, LLC:Hunt Real Estate - 432 Dick Road</v>
          </cell>
          <cell r="H4083">
            <v>1</v>
          </cell>
        </row>
        <row r="4084">
          <cell r="B4084" t="str">
            <v>SWD1000W</v>
          </cell>
          <cell r="C4084" t="str">
            <v>Invoice</v>
          </cell>
          <cell r="D4084">
            <v>38615</v>
          </cell>
          <cell r="F4084" t="str">
            <v>8015</v>
          </cell>
          <cell r="G4084" t="str">
            <v>Muzak, LLC:Hunt Real Estate - 430 Dick Road</v>
          </cell>
          <cell r="H4084">
            <v>1</v>
          </cell>
        </row>
        <row r="4085">
          <cell r="B4085" t="str">
            <v>SWD1000W</v>
          </cell>
          <cell r="C4085" t="str">
            <v>Invoice</v>
          </cell>
          <cell r="D4085">
            <v>38615</v>
          </cell>
          <cell r="F4085" t="str">
            <v>8011</v>
          </cell>
          <cell r="G4085" t="str">
            <v>Muzak, LLC:Parker's-Altama</v>
          </cell>
          <cell r="H4085">
            <v>1</v>
          </cell>
        </row>
        <row r="4086">
          <cell r="B4086" t="str">
            <v>SWD1000W</v>
          </cell>
          <cell r="C4086" t="str">
            <v>Invoice</v>
          </cell>
          <cell r="D4086">
            <v>38616</v>
          </cell>
          <cell r="F4086" t="str">
            <v>8047</v>
          </cell>
          <cell r="G4086" t="str">
            <v>Muzak, LLC:Peterbrooke Chocolatier 043749</v>
          </cell>
          <cell r="H4086">
            <v>1</v>
          </cell>
        </row>
        <row r="4087">
          <cell r="B4087" t="str">
            <v>SWD1000W</v>
          </cell>
          <cell r="C4087" t="str">
            <v>Invoice</v>
          </cell>
          <cell r="D4087">
            <v>38616</v>
          </cell>
          <cell r="F4087" t="str">
            <v>8045</v>
          </cell>
          <cell r="G4087" t="str">
            <v>Muzak, LLC:Peterbrooke Chocolatier 043747</v>
          </cell>
          <cell r="H4087">
            <v>1</v>
          </cell>
        </row>
        <row r="4088">
          <cell r="B4088" t="str">
            <v>SWD1000W</v>
          </cell>
          <cell r="C4088" t="str">
            <v>Invoice</v>
          </cell>
          <cell r="D4088">
            <v>38616</v>
          </cell>
          <cell r="F4088" t="str">
            <v>8044</v>
          </cell>
          <cell r="G4088" t="str">
            <v>Muzak, LLC:Peterbrooke Chocolatier 043746</v>
          </cell>
          <cell r="H4088">
            <v>1</v>
          </cell>
        </row>
        <row r="4089">
          <cell r="B4089" t="str">
            <v>SWD1000W</v>
          </cell>
          <cell r="C4089" t="str">
            <v>Invoice</v>
          </cell>
          <cell r="D4089">
            <v>38616</v>
          </cell>
          <cell r="F4089" t="str">
            <v>8043</v>
          </cell>
          <cell r="G4089" t="str">
            <v>Muzak, LLC:Peterbrooke Chocolatier 043745</v>
          </cell>
          <cell r="H4089">
            <v>1</v>
          </cell>
        </row>
        <row r="4090">
          <cell r="B4090" t="str">
            <v>SWD1000W</v>
          </cell>
          <cell r="C4090" t="str">
            <v>Invoice</v>
          </cell>
          <cell r="D4090">
            <v>38616</v>
          </cell>
          <cell r="F4090" t="str">
            <v>8042</v>
          </cell>
          <cell r="G4090" t="str">
            <v>Muzak, LLC:Peterbrooke Chocolatier 043744</v>
          </cell>
          <cell r="H4090">
            <v>1</v>
          </cell>
        </row>
        <row r="4091">
          <cell r="B4091" t="str">
            <v>SWD1000W</v>
          </cell>
          <cell r="C4091" t="str">
            <v>Invoice</v>
          </cell>
          <cell r="D4091">
            <v>38616</v>
          </cell>
          <cell r="F4091" t="str">
            <v>8040</v>
          </cell>
          <cell r="G4091" t="str">
            <v>Muzak, LLC:Peterbrooke Chocolatier 043742</v>
          </cell>
          <cell r="H4091">
            <v>1</v>
          </cell>
        </row>
        <row r="4092">
          <cell r="B4092" t="str">
            <v>SWD1000W</v>
          </cell>
          <cell r="C4092" t="str">
            <v>Invoice</v>
          </cell>
          <cell r="D4092">
            <v>38616</v>
          </cell>
          <cell r="F4092" t="str">
            <v>8041</v>
          </cell>
          <cell r="G4092" t="str">
            <v>Muzak, LLC:Peterbrooke Chocolatier 043743</v>
          </cell>
          <cell r="H4092">
            <v>1</v>
          </cell>
        </row>
        <row r="4093">
          <cell r="B4093" t="str">
            <v>SWD1000W</v>
          </cell>
          <cell r="C4093" t="str">
            <v>Invoice</v>
          </cell>
          <cell r="D4093">
            <v>38616</v>
          </cell>
          <cell r="F4093" t="str">
            <v>8048</v>
          </cell>
          <cell r="G4093" t="str">
            <v>Muzak, LLC:Peterbrooke Chocolatier 043750</v>
          </cell>
          <cell r="H4093">
            <v>1</v>
          </cell>
        </row>
        <row r="4094">
          <cell r="B4094" t="str">
            <v>SWD1000W</v>
          </cell>
          <cell r="C4094" t="str">
            <v>Invoice</v>
          </cell>
          <cell r="D4094">
            <v>38616</v>
          </cell>
          <cell r="F4094" t="str">
            <v>8046</v>
          </cell>
          <cell r="G4094" t="str">
            <v>Muzak, LLC:Peterbrooke Chocolatier 043748</v>
          </cell>
          <cell r="H4094">
            <v>1</v>
          </cell>
        </row>
        <row r="4095">
          <cell r="B4095" t="str">
            <v>SWD1000W</v>
          </cell>
          <cell r="C4095" t="str">
            <v>Invoice</v>
          </cell>
          <cell r="D4095">
            <v>38616</v>
          </cell>
          <cell r="F4095" t="str">
            <v>8050</v>
          </cell>
          <cell r="G4095" t="str">
            <v>Muzak, LLC:Arco AMPM</v>
          </cell>
          <cell r="H4095">
            <v>1</v>
          </cell>
        </row>
        <row r="4096">
          <cell r="B4096" t="str">
            <v>SWD1000W</v>
          </cell>
          <cell r="C4096" t="str">
            <v>Invoice</v>
          </cell>
          <cell r="D4096">
            <v>38616</v>
          </cell>
          <cell r="F4096" t="str">
            <v>8049</v>
          </cell>
          <cell r="G4096" t="str">
            <v>Muzak, LLC:McDonald's - El Monte</v>
          </cell>
          <cell r="H4096">
            <v>1</v>
          </cell>
        </row>
        <row r="4097">
          <cell r="B4097" t="str">
            <v>SWD1000W</v>
          </cell>
          <cell r="C4097" t="str">
            <v>Invoice</v>
          </cell>
          <cell r="D4097">
            <v>38617</v>
          </cell>
          <cell r="F4097" t="str">
            <v>8078</v>
          </cell>
          <cell r="G4097" t="str">
            <v>Muzak, IA:Soundcom LLC of Florida - Palm Beach:Mattress Zone - Stuart</v>
          </cell>
          <cell r="H4097">
            <v>1</v>
          </cell>
        </row>
        <row r="4098">
          <cell r="B4098" t="str">
            <v>SWD1000W</v>
          </cell>
          <cell r="C4098" t="str">
            <v>Invoice</v>
          </cell>
          <cell r="D4098">
            <v>38617</v>
          </cell>
          <cell r="F4098" t="str">
            <v>8007</v>
          </cell>
          <cell r="G4098" t="str">
            <v>Muzak, IA:Warner Communications</v>
          </cell>
          <cell r="H4098">
            <v>1</v>
          </cell>
        </row>
        <row r="4099">
          <cell r="B4099" t="str">
            <v>SWD1000W</v>
          </cell>
          <cell r="C4099" t="str">
            <v>Invoice</v>
          </cell>
          <cell r="D4099">
            <v>38618</v>
          </cell>
          <cell r="F4099" t="str">
            <v>8061</v>
          </cell>
          <cell r="G4099" t="str">
            <v>Muzak, LLC:Hilton Saint Augustine</v>
          </cell>
          <cell r="H4099">
            <v>1</v>
          </cell>
        </row>
        <row r="4100">
          <cell r="B4100" t="str">
            <v>SWD1000W</v>
          </cell>
          <cell r="C4100" t="str">
            <v>Invoice</v>
          </cell>
          <cell r="D4100">
            <v>38618</v>
          </cell>
          <cell r="F4100" t="str">
            <v>8059</v>
          </cell>
          <cell r="G4100" t="str">
            <v>Muzak, LLC:Cabana Club</v>
          </cell>
          <cell r="H4100">
            <v>1</v>
          </cell>
        </row>
        <row r="4101">
          <cell r="B4101" t="str">
            <v>SWD1000W</v>
          </cell>
          <cell r="C4101" t="str">
            <v>Invoice</v>
          </cell>
          <cell r="D4101">
            <v>38618</v>
          </cell>
          <cell r="F4101" t="str">
            <v>8062</v>
          </cell>
          <cell r="G4101" t="str">
            <v>Muzak, LLC:Merchant Resource Group</v>
          </cell>
          <cell r="H4101">
            <v>1</v>
          </cell>
        </row>
        <row r="4102">
          <cell r="B4102" t="str">
            <v>SWD1000W</v>
          </cell>
          <cell r="C4102" t="str">
            <v>Invoice</v>
          </cell>
          <cell r="D4102">
            <v>38618</v>
          </cell>
          <cell r="F4102" t="str">
            <v>8060</v>
          </cell>
          <cell r="G4102" t="str">
            <v>Muzak, LLC:Casa Monica Hotel</v>
          </cell>
          <cell r="H4102">
            <v>1</v>
          </cell>
        </row>
        <row r="4103">
          <cell r="B4103" t="str">
            <v>SWD1000W</v>
          </cell>
          <cell r="C4103" t="str">
            <v>Invoice</v>
          </cell>
          <cell r="D4103">
            <v>38618</v>
          </cell>
          <cell r="F4103" t="str">
            <v>8083</v>
          </cell>
          <cell r="G4103" t="str">
            <v>DDB Worldwide Communications Group Inc.</v>
          </cell>
          <cell r="H4103">
            <v>1</v>
          </cell>
        </row>
        <row r="4104">
          <cell r="B4104" t="str">
            <v>SWD1000W</v>
          </cell>
          <cell r="C4104" t="str">
            <v>Invoice</v>
          </cell>
          <cell r="D4104">
            <v>38622</v>
          </cell>
          <cell r="F4104" t="str">
            <v>8091</v>
          </cell>
          <cell r="G4104" t="str">
            <v>Pulse</v>
          </cell>
          <cell r="H4104">
            <v>1</v>
          </cell>
        </row>
        <row r="4105">
          <cell r="B4105" t="str">
            <v>SWD1000W</v>
          </cell>
          <cell r="C4105" t="str">
            <v>Invoice</v>
          </cell>
          <cell r="D4105">
            <v>38622</v>
          </cell>
          <cell r="F4105" t="str">
            <v>8100</v>
          </cell>
          <cell r="G4105" t="str">
            <v>Muzak, LLC:M Salon</v>
          </cell>
          <cell r="H4105">
            <v>1</v>
          </cell>
        </row>
        <row r="4106">
          <cell r="B4106" t="str">
            <v>SWD1000W</v>
          </cell>
          <cell r="C4106" t="str">
            <v>Invoice</v>
          </cell>
          <cell r="D4106">
            <v>38622</v>
          </cell>
          <cell r="F4106" t="str">
            <v>8101</v>
          </cell>
          <cell r="G4106" t="str">
            <v>Muzak, LLC:Trage Brothers</v>
          </cell>
          <cell r="H4106">
            <v>1</v>
          </cell>
        </row>
        <row r="4107">
          <cell r="B4107" t="str">
            <v>SWD1000W</v>
          </cell>
          <cell r="C4107" t="str">
            <v>Invoice</v>
          </cell>
          <cell r="D4107">
            <v>38622</v>
          </cell>
          <cell r="F4107" t="str">
            <v>8112</v>
          </cell>
          <cell r="G4107" t="str">
            <v>Muzak, LLC:Koja Sushi Inc</v>
          </cell>
          <cell r="H4107">
            <v>1</v>
          </cell>
        </row>
        <row r="4108">
          <cell r="B4108" t="str">
            <v>SWD1000W</v>
          </cell>
          <cell r="C4108" t="str">
            <v>Invoice</v>
          </cell>
          <cell r="D4108">
            <v>38623</v>
          </cell>
          <cell r="F4108" t="str">
            <v>8147</v>
          </cell>
          <cell r="G4108" t="str">
            <v>Muzak, LLC:Inside Out - Chesterfield</v>
          </cell>
          <cell r="H4108">
            <v>1</v>
          </cell>
        </row>
        <row r="4109">
          <cell r="B4109" t="str">
            <v>SWD1000W</v>
          </cell>
          <cell r="C4109" t="str">
            <v>Invoice</v>
          </cell>
          <cell r="D4109">
            <v>38623</v>
          </cell>
          <cell r="F4109" t="str">
            <v>8158</v>
          </cell>
          <cell r="G4109" t="str">
            <v>Muzak, LLC:Michele Pastry Cafe</v>
          </cell>
          <cell r="H4109">
            <v>1</v>
          </cell>
        </row>
        <row r="4110">
          <cell r="B4110" t="str">
            <v>SWD1000W</v>
          </cell>
          <cell r="C4110" t="str">
            <v>Invoice</v>
          </cell>
          <cell r="D4110">
            <v>38624</v>
          </cell>
          <cell r="F4110" t="str">
            <v>8142</v>
          </cell>
          <cell r="G4110" t="str">
            <v>Muzak, IA:Towner Communications:Inside Outlet - Columbia</v>
          </cell>
          <cell r="H4110">
            <v>1</v>
          </cell>
        </row>
        <row r="4111">
          <cell r="B4111" t="str">
            <v>SWD1000W</v>
          </cell>
          <cell r="C4111" t="str">
            <v>Invoice</v>
          </cell>
          <cell r="D4111">
            <v>38624</v>
          </cell>
          <cell r="F4111" t="str">
            <v>8157</v>
          </cell>
          <cell r="G4111" t="str">
            <v>Muzak, LLC:McDonald's OKE201</v>
          </cell>
          <cell r="H4111">
            <v>1</v>
          </cell>
        </row>
        <row r="4112">
          <cell r="B4112" t="str">
            <v>SWD1000W</v>
          </cell>
          <cell r="C4112" t="str">
            <v>Invoice</v>
          </cell>
          <cell r="D4112">
            <v>38626</v>
          </cell>
          <cell r="F4112" t="str">
            <v>8164</v>
          </cell>
          <cell r="G4112" t="str">
            <v>Muzak, LLC:Handy Dandy #39</v>
          </cell>
          <cell r="H4112">
            <v>1</v>
          </cell>
        </row>
        <row r="4113">
          <cell r="B4113" t="str">
            <v>SWD1000W</v>
          </cell>
          <cell r="C4113" t="str">
            <v>Invoice</v>
          </cell>
          <cell r="D4113">
            <v>38628</v>
          </cell>
          <cell r="F4113" t="str">
            <v>8190</v>
          </cell>
          <cell r="G4113" t="str">
            <v>Muzak, LLC:Jim Mullen</v>
          </cell>
          <cell r="H4113">
            <v>1</v>
          </cell>
        </row>
        <row r="4114">
          <cell r="B4114" t="str">
            <v>SWD1000W</v>
          </cell>
          <cell r="C4114" t="str">
            <v>Invoice</v>
          </cell>
          <cell r="D4114">
            <v>38629</v>
          </cell>
          <cell r="F4114" t="str">
            <v>8311</v>
          </cell>
          <cell r="G4114" t="str">
            <v>Muzak, LLC:McDonald's - Valencia</v>
          </cell>
          <cell r="H4114">
            <v>1</v>
          </cell>
        </row>
        <row r="4115">
          <cell r="B4115" t="str">
            <v>SWD1000W</v>
          </cell>
          <cell r="C4115" t="str">
            <v>Invoice</v>
          </cell>
          <cell r="D4115">
            <v>38629</v>
          </cell>
          <cell r="F4115" t="str">
            <v>8312</v>
          </cell>
          <cell r="G4115" t="str">
            <v>Muzak, LLC:McDonald's - Canyon Country</v>
          </cell>
          <cell r="H4115">
            <v>1</v>
          </cell>
        </row>
        <row r="4116">
          <cell r="B4116" t="str">
            <v>SWD1000W</v>
          </cell>
          <cell r="C4116" t="str">
            <v>Invoice</v>
          </cell>
          <cell r="D4116">
            <v>38629</v>
          </cell>
          <cell r="F4116" t="str">
            <v>8310</v>
          </cell>
          <cell r="G4116" t="str">
            <v>Muzak, LLC:McDonald's - N McBean Pkwy</v>
          </cell>
          <cell r="H4116">
            <v>1</v>
          </cell>
        </row>
        <row r="4117">
          <cell r="B4117" t="str">
            <v>SWD1000W</v>
          </cell>
          <cell r="C4117" t="str">
            <v>Invoice</v>
          </cell>
          <cell r="D4117">
            <v>38629</v>
          </cell>
          <cell r="F4117" t="str">
            <v>8309</v>
          </cell>
          <cell r="G4117" t="str">
            <v>Muzak, LLC:McDonald's - McBean Pkwy</v>
          </cell>
          <cell r="H4117">
            <v>1</v>
          </cell>
        </row>
        <row r="4118">
          <cell r="B4118" t="str">
            <v>SWD1000W</v>
          </cell>
          <cell r="C4118" t="str">
            <v>Invoice</v>
          </cell>
          <cell r="D4118">
            <v>38629</v>
          </cell>
          <cell r="F4118" t="str">
            <v>8308</v>
          </cell>
          <cell r="G4118" t="str">
            <v>Muzak, LLC:McDonald's - Sierra Hwy</v>
          </cell>
          <cell r="H4118">
            <v>1</v>
          </cell>
        </row>
        <row r="4119">
          <cell r="B4119" t="str">
            <v>SWD1020-1364</v>
          </cell>
          <cell r="C4119" t="str">
            <v>Invoice</v>
          </cell>
          <cell r="D4119">
            <v>38448</v>
          </cell>
          <cell r="F4119" t="str">
            <v>5576</v>
          </cell>
          <cell r="G4119" t="str">
            <v>Proffitt's Riverchase</v>
          </cell>
          <cell r="H4119">
            <v>1</v>
          </cell>
        </row>
        <row r="4120">
          <cell r="B4120" t="str">
            <v>SWD1020-783</v>
          </cell>
          <cell r="C4120" t="str">
            <v>Invoice</v>
          </cell>
          <cell r="D4120">
            <v>38398</v>
          </cell>
          <cell r="F4120" t="str">
            <v>5315</v>
          </cell>
          <cell r="G4120" t="str">
            <v>Pueblo International</v>
          </cell>
          <cell r="H4120">
            <v>1</v>
          </cell>
        </row>
        <row r="4121">
          <cell r="B4121" t="str">
            <v>SWI2000-OTHER</v>
          </cell>
          <cell r="C4121" t="str">
            <v>Invoice</v>
          </cell>
          <cell r="D4121">
            <v>38491</v>
          </cell>
          <cell r="F4121" t="str">
            <v>6070</v>
          </cell>
          <cell r="G4121" t="str">
            <v>Lee-Moore Oil Company:Exxon OTR - 22</v>
          </cell>
          <cell r="H4121">
            <v>1</v>
          </cell>
        </row>
        <row r="4122">
          <cell r="B4122" t="str">
            <v>SWI2000-OTHER</v>
          </cell>
          <cell r="C4122" t="str">
            <v>Invoice</v>
          </cell>
          <cell r="D4122">
            <v>38491</v>
          </cell>
          <cell r="F4122" t="str">
            <v>6073</v>
          </cell>
          <cell r="G4122" t="str">
            <v>Lee-Moore Oil Company:Exxon OTR - 36</v>
          </cell>
          <cell r="H4122">
            <v>1</v>
          </cell>
        </row>
        <row r="4123">
          <cell r="B4123" t="str">
            <v>SWI2000-OTHER</v>
          </cell>
          <cell r="C4123" t="str">
            <v>Invoice</v>
          </cell>
          <cell r="D4123">
            <v>38491</v>
          </cell>
          <cell r="F4123" t="str">
            <v>6074</v>
          </cell>
          <cell r="G4123" t="str">
            <v>Lee-Moore Oil Company:Exxon OTR - 37</v>
          </cell>
          <cell r="H4123">
            <v>1</v>
          </cell>
        </row>
        <row r="4124">
          <cell r="B4124" t="str">
            <v>SWI2000-OTHER</v>
          </cell>
          <cell r="C4124" t="str">
            <v>Invoice</v>
          </cell>
          <cell r="D4124">
            <v>38491</v>
          </cell>
          <cell r="F4124" t="str">
            <v>6078</v>
          </cell>
          <cell r="G4124" t="str">
            <v>Lee-Moore Oil Company:Exxon OTR - 71</v>
          </cell>
          <cell r="H4124">
            <v>1</v>
          </cell>
        </row>
        <row r="4125">
          <cell r="B4125" t="str">
            <v>SWI2000-OTHER</v>
          </cell>
          <cell r="C4125" t="str">
            <v>Invoice</v>
          </cell>
          <cell r="D4125">
            <v>38491</v>
          </cell>
          <cell r="F4125" t="str">
            <v>6075</v>
          </cell>
          <cell r="G4125" t="str">
            <v>Lee-Moore Oil Company:Exxon OTR - 41</v>
          </cell>
          <cell r="H4125">
            <v>1</v>
          </cell>
        </row>
        <row r="4126">
          <cell r="B4126" t="str">
            <v>SWI2000-OTHER</v>
          </cell>
          <cell r="C4126" t="str">
            <v>Invoice</v>
          </cell>
          <cell r="D4126">
            <v>38491</v>
          </cell>
          <cell r="F4126" t="str">
            <v>6069</v>
          </cell>
          <cell r="G4126" t="str">
            <v>Lee-Moore Oil Company:Exxon OTR - 21</v>
          </cell>
          <cell r="H4126">
            <v>1</v>
          </cell>
        </row>
        <row r="4127">
          <cell r="B4127" t="str">
            <v>SWI2000-OTHER</v>
          </cell>
          <cell r="C4127" t="str">
            <v>Invoice</v>
          </cell>
          <cell r="D4127">
            <v>38491</v>
          </cell>
          <cell r="F4127" t="str">
            <v>6072</v>
          </cell>
          <cell r="G4127" t="str">
            <v>Lee-Moore Oil Company:Exxon OTR - 30</v>
          </cell>
          <cell r="H4127">
            <v>1</v>
          </cell>
        </row>
        <row r="4128">
          <cell r="B4128" t="str">
            <v>SWI2000-OTHER</v>
          </cell>
          <cell r="C4128" t="str">
            <v>Invoice</v>
          </cell>
          <cell r="D4128">
            <v>38491</v>
          </cell>
          <cell r="F4128" t="str">
            <v>6076</v>
          </cell>
          <cell r="G4128" t="str">
            <v>Lee-Moore Oil Company:Exxon OTR - 42</v>
          </cell>
          <cell r="H4128">
            <v>1</v>
          </cell>
        </row>
        <row r="4129">
          <cell r="B4129" t="str">
            <v>SWI2000-OTHER</v>
          </cell>
          <cell r="C4129" t="str">
            <v>Invoice</v>
          </cell>
          <cell r="D4129">
            <v>38491</v>
          </cell>
          <cell r="F4129" t="str">
            <v>6068</v>
          </cell>
          <cell r="G4129" t="str">
            <v>Lee-Moore Oil Company:Exxon OTR - 20</v>
          </cell>
          <cell r="H4129">
            <v>1</v>
          </cell>
        </row>
        <row r="4130">
          <cell r="B4130" t="str">
            <v>SWI2000-OTHER</v>
          </cell>
          <cell r="C4130" t="str">
            <v>Invoice</v>
          </cell>
          <cell r="D4130">
            <v>38491</v>
          </cell>
          <cell r="F4130" t="str">
            <v>6077</v>
          </cell>
          <cell r="G4130" t="str">
            <v>Lee-Moore Oil Company:Exxon OTR - 70</v>
          </cell>
          <cell r="H4130">
            <v>1</v>
          </cell>
        </row>
        <row r="4131">
          <cell r="B4131" t="str">
            <v>SWI2000-OTHER</v>
          </cell>
          <cell r="C4131" t="str">
            <v>Invoice</v>
          </cell>
          <cell r="D4131">
            <v>38491</v>
          </cell>
          <cell r="F4131" t="str">
            <v>6071</v>
          </cell>
          <cell r="G4131" t="str">
            <v>Lee-Moore Oil Company:Exxon OTR - 29</v>
          </cell>
          <cell r="H4131">
            <v>1</v>
          </cell>
        </row>
        <row r="4132">
          <cell r="B4132" t="str">
            <v>SWI2000-OTHER</v>
          </cell>
          <cell r="C4132" t="str">
            <v>Invoice</v>
          </cell>
          <cell r="D4132">
            <v>38495</v>
          </cell>
          <cell r="F4132" t="str">
            <v>6145</v>
          </cell>
          <cell r="G4132" t="str">
            <v>Carolina Sound Communications:CSC Piggly Wiggly</v>
          </cell>
          <cell r="H4132">
            <v>1</v>
          </cell>
        </row>
        <row r="4133">
          <cell r="B4133" t="str">
            <v>SWI2000-OTHER</v>
          </cell>
          <cell r="C4133" t="str">
            <v>Invoice</v>
          </cell>
          <cell r="D4133">
            <v>38495</v>
          </cell>
          <cell r="F4133" t="str">
            <v>6145</v>
          </cell>
          <cell r="G4133" t="str">
            <v>Carolina Sound Communications:CSC Piggly Wiggly</v>
          </cell>
          <cell r="H4133">
            <v>1</v>
          </cell>
        </row>
        <row r="4134">
          <cell r="B4134" t="str">
            <v>SWI2000-OTHER</v>
          </cell>
          <cell r="C4134" t="str">
            <v>Invoice</v>
          </cell>
          <cell r="D4134">
            <v>38496</v>
          </cell>
          <cell r="F4134" t="str">
            <v>6135</v>
          </cell>
          <cell r="G4134" t="str">
            <v>Muzak, LLC:Sleep to Live - Durham</v>
          </cell>
          <cell r="H4134">
            <v>1</v>
          </cell>
        </row>
        <row r="4135">
          <cell r="B4135" t="str">
            <v>SWI2000-OTHER</v>
          </cell>
          <cell r="C4135" t="str">
            <v>Invoice</v>
          </cell>
          <cell r="D4135">
            <v>38496</v>
          </cell>
          <cell r="F4135" t="str">
            <v>6134</v>
          </cell>
          <cell r="G4135" t="str">
            <v>Muzak, LLC:Dunkin Donuts - Raleigh(Capital Blvd)</v>
          </cell>
          <cell r="H4135">
            <v>1</v>
          </cell>
        </row>
        <row r="4136">
          <cell r="B4136" t="str">
            <v>SWI2000-OTHER</v>
          </cell>
          <cell r="C4136" t="str">
            <v>Invoice</v>
          </cell>
          <cell r="D4136">
            <v>38496</v>
          </cell>
          <cell r="F4136" t="str">
            <v>6134</v>
          </cell>
          <cell r="G4136" t="str">
            <v>Muzak, LLC:Dunkin Donuts - Raleigh(Capital Blvd)</v>
          </cell>
          <cell r="H4136">
            <v>1</v>
          </cell>
        </row>
        <row r="4137">
          <cell r="B4137" t="str">
            <v>SWI2000-OTHER</v>
          </cell>
          <cell r="C4137" t="str">
            <v>Invoice</v>
          </cell>
          <cell r="D4137">
            <v>38497</v>
          </cell>
          <cell r="F4137" t="str">
            <v>6140</v>
          </cell>
          <cell r="G4137" t="str">
            <v>24 Hour Fitness</v>
          </cell>
          <cell r="H4137">
            <v>1</v>
          </cell>
        </row>
        <row r="4138">
          <cell r="B4138" t="str">
            <v>SWI2000-OTHER</v>
          </cell>
          <cell r="C4138" t="str">
            <v>Invoice</v>
          </cell>
          <cell r="D4138">
            <v>38497</v>
          </cell>
          <cell r="F4138" t="str">
            <v>6139</v>
          </cell>
          <cell r="G4138" t="str">
            <v>Shay Bustenay</v>
          </cell>
          <cell r="H4138">
            <v>1</v>
          </cell>
        </row>
        <row r="4139">
          <cell r="B4139" t="str">
            <v>SWI2000-OTHER</v>
          </cell>
          <cell r="C4139" t="str">
            <v>Invoice</v>
          </cell>
          <cell r="D4139">
            <v>38503</v>
          </cell>
          <cell r="F4139" t="str">
            <v>6007</v>
          </cell>
          <cell r="G4139" t="str">
            <v>Techno Satellite</v>
          </cell>
          <cell r="H4139">
            <v>1</v>
          </cell>
        </row>
        <row r="4140">
          <cell r="B4140" t="str">
            <v>SWI2000-OTHER</v>
          </cell>
          <cell r="C4140" t="str">
            <v>Invoice</v>
          </cell>
          <cell r="D4140">
            <v>38504</v>
          </cell>
          <cell r="F4140" t="str">
            <v>6219</v>
          </cell>
          <cell r="G4140" t="str">
            <v>Muzak, LLC:Quick Chek - 20</v>
          </cell>
          <cell r="H4140">
            <v>1</v>
          </cell>
        </row>
        <row r="4141">
          <cell r="B4141" t="str">
            <v>SWI2000-OTHER</v>
          </cell>
          <cell r="C4141" t="str">
            <v>Invoice</v>
          </cell>
          <cell r="D4141">
            <v>38505</v>
          </cell>
          <cell r="F4141" t="str">
            <v>6227</v>
          </cell>
          <cell r="G4141" t="str">
            <v>Muzak, LLC:C. Mini Mart - 147</v>
          </cell>
          <cell r="H4141">
            <v>1</v>
          </cell>
        </row>
        <row r="4142">
          <cell r="B4142" t="str">
            <v>SWI2000-OTHER</v>
          </cell>
          <cell r="C4142" t="str">
            <v>Invoice</v>
          </cell>
          <cell r="D4142">
            <v>38509</v>
          </cell>
          <cell r="F4142" t="str">
            <v>6247</v>
          </cell>
          <cell r="G4142" t="str">
            <v>Muzak, LLC:Central Dermatology Center</v>
          </cell>
          <cell r="H4142">
            <v>1</v>
          </cell>
        </row>
        <row r="4143">
          <cell r="B4143" t="str">
            <v>SWI2000-OTHER</v>
          </cell>
          <cell r="C4143" t="str">
            <v>Invoice</v>
          </cell>
          <cell r="D4143">
            <v>38510</v>
          </cell>
          <cell r="F4143" t="str">
            <v>6251</v>
          </cell>
          <cell r="G4143" t="str">
            <v>Muzak, LLC:Sleep to Live - Mebane</v>
          </cell>
          <cell r="H4143">
            <v>1</v>
          </cell>
        </row>
        <row r="4144">
          <cell r="B4144" t="str">
            <v>SWI2000-OTHER</v>
          </cell>
          <cell r="C4144" t="str">
            <v>Invoice</v>
          </cell>
          <cell r="D4144">
            <v>38512</v>
          </cell>
          <cell r="F4144" t="str">
            <v>6250</v>
          </cell>
          <cell r="G4144" t="str">
            <v>Muzak, LLC:Highwoods Properties</v>
          </cell>
          <cell r="H4144">
            <v>1</v>
          </cell>
        </row>
        <row r="4145">
          <cell r="B4145" t="str">
            <v>SWI2000-OTHER</v>
          </cell>
          <cell r="C4145" t="str">
            <v>Invoice</v>
          </cell>
          <cell r="D4145">
            <v>38516</v>
          </cell>
          <cell r="F4145" t="str">
            <v>5566A</v>
          </cell>
          <cell r="G4145" t="str">
            <v>Starwood Hotels:Westin Stamford</v>
          </cell>
          <cell r="H4145">
            <v>1</v>
          </cell>
        </row>
        <row r="4146">
          <cell r="B4146" t="str">
            <v>SWI2000-OTHER</v>
          </cell>
          <cell r="C4146" t="str">
            <v>Invoice</v>
          </cell>
          <cell r="D4146">
            <v>38517</v>
          </cell>
          <cell r="F4146" t="str">
            <v>6243</v>
          </cell>
          <cell r="G4146" t="str">
            <v>Starwood Hotels:The Essex Hotel</v>
          </cell>
          <cell r="H4146">
            <v>1</v>
          </cell>
        </row>
        <row r="4147">
          <cell r="B4147" t="str">
            <v>SWI2000-OTHER</v>
          </cell>
          <cell r="C4147" t="str">
            <v>Invoice</v>
          </cell>
          <cell r="D4147">
            <v>38541</v>
          </cell>
          <cell r="F4147" t="str">
            <v>7018</v>
          </cell>
          <cell r="G4147" t="str">
            <v>Starwood Hotels:Westin Stamford</v>
          </cell>
          <cell r="H4147">
            <v>1</v>
          </cell>
        </row>
        <row r="4148">
          <cell r="B4148" t="str">
            <v>TIMER</v>
          </cell>
          <cell r="C4148" t="str">
            <v>Invoice</v>
          </cell>
          <cell r="D4148">
            <v>38586</v>
          </cell>
          <cell r="F4148" t="str">
            <v>7647</v>
          </cell>
          <cell r="G4148" t="str">
            <v>Muzak, LLC:Freshens - Cambridge</v>
          </cell>
          <cell r="H4148">
            <v>1</v>
          </cell>
        </row>
        <row r="4149">
          <cell r="B4149" t="str">
            <v>TIMER</v>
          </cell>
          <cell r="C4149" t="str">
            <v>Invoice</v>
          </cell>
          <cell r="D4149">
            <v>38586</v>
          </cell>
          <cell r="F4149" t="str">
            <v>7649</v>
          </cell>
          <cell r="G4149" t="str">
            <v>Muzak, LLC:Freshens - Hyannis</v>
          </cell>
          <cell r="H4149">
            <v>1</v>
          </cell>
        </row>
        <row r="4150">
          <cell r="B4150" t="str">
            <v>TIMER</v>
          </cell>
          <cell r="C4150" t="str">
            <v>Invoice</v>
          </cell>
          <cell r="D4150">
            <v>38588</v>
          </cell>
          <cell r="F4150" t="str">
            <v>7679</v>
          </cell>
          <cell r="G4150" t="str">
            <v>Muzak, LLC:Axel Bloom LLC</v>
          </cell>
          <cell r="H4150">
            <v>1</v>
          </cell>
        </row>
        <row r="4151">
          <cell r="B4151" t="str">
            <v>TIMER</v>
          </cell>
          <cell r="C4151" t="str">
            <v>Invoice</v>
          </cell>
          <cell r="D4151">
            <v>38588</v>
          </cell>
          <cell r="F4151" t="str">
            <v>7689</v>
          </cell>
          <cell r="G4151" t="str">
            <v>Muzak, LLC:Parker's SSI</v>
          </cell>
          <cell r="H4151">
            <v>1</v>
          </cell>
        </row>
        <row r="4152">
          <cell r="B4152" t="str">
            <v>TIMER</v>
          </cell>
          <cell r="C4152" t="str">
            <v>Invoice</v>
          </cell>
          <cell r="D4152">
            <v>38588</v>
          </cell>
          <cell r="F4152" t="str">
            <v>7690</v>
          </cell>
          <cell r="G4152" t="str">
            <v>Muzak, LLC:Parker's  - Brunswick</v>
          </cell>
          <cell r="H4152">
            <v>1</v>
          </cell>
        </row>
        <row r="4153">
          <cell r="B4153" t="str">
            <v>TIMER</v>
          </cell>
          <cell r="C4153" t="str">
            <v>Invoice</v>
          </cell>
          <cell r="D4153">
            <v>38588</v>
          </cell>
          <cell r="F4153" t="str">
            <v>7687</v>
          </cell>
          <cell r="G4153" t="str">
            <v>Muzak, LLC:Folks</v>
          </cell>
          <cell r="H4153">
            <v>1</v>
          </cell>
        </row>
        <row r="4154">
          <cell r="B4154" t="str">
            <v>TIMER</v>
          </cell>
          <cell r="C4154" t="str">
            <v>Invoice</v>
          </cell>
          <cell r="D4154">
            <v>38588</v>
          </cell>
          <cell r="F4154" t="str">
            <v>7688</v>
          </cell>
          <cell r="G4154" t="str">
            <v>Muzak, LLC:Life Care Center</v>
          </cell>
          <cell r="H4154">
            <v>1</v>
          </cell>
        </row>
        <row r="4155">
          <cell r="B4155" t="str">
            <v>TIMER</v>
          </cell>
          <cell r="C4155" t="str">
            <v>Invoice</v>
          </cell>
          <cell r="D4155">
            <v>38588</v>
          </cell>
          <cell r="F4155" t="str">
            <v>7683</v>
          </cell>
          <cell r="G4155" t="str">
            <v>Muzak, LLC:American Enterprise Bank</v>
          </cell>
          <cell r="H4155">
            <v>1</v>
          </cell>
        </row>
        <row r="4156">
          <cell r="B4156" t="str">
            <v>TIMER</v>
          </cell>
          <cell r="C4156" t="str">
            <v>Invoice</v>
          </cell>
          <cell r="D4156">
            <v>38589</v>
          </cell>
          <cell r="F4156" t="str">
            <v>7692</v>
          </cell>
          <cell r="G4156" t="str">
            <v>Muzak, LLC:Turquoise Day Spa</v>
          </cell>
          <cell r="H4156">
            <v>1</v>
          </cell>
        </row>
        <row r="4157">
          <cell r="B4157" t="str">
            <v>TIMER</v>
          </cell>
          <cell r="C4157" t="str">
            <v>Invoice</v>
          </cell>
          <cell r="D4157">
            <v>38589</v>
          </cell>
          <cell r="F4157" t="str">
            <v>7691</v>
          </cell>
          <cell r="G4157" t="str">
            <v>Muzak, LLC:Red 74</v>
          </cell>
          <cell r="H4157">
            <v>1</v>
          </cell>
        </row>
        <row r="4158">
          <cell r="B4158" t="str">
            <v>TIMER</v>
          </cell>
          <cell r="C4158" t="str">
            <v>Invoice</v>
          </cell>
          <cell r="D4158">
            <v>38590</v>
          </cell>
          <cell r="F4158" t="str">
            <v>7707</v>
          </cell>
          <cell r="G4158" t="str">
            <v>Muzak, LLC:Dr Geeta Bhat DDS</v>
          </cell>
          <cell r="H4158">
            <v>1</v>
          </cell>
        </row>
        <row r="4159">
          <cell r="B4159" t="str">
            <v>TIMER</v>
          </cell>
          <cell r="C4159" t="str">
            <v>Invoice</v>
          </cell>
          <cell r="D4159">
            <v>38590</v>
          </cell>
          <cell r="F4159" t="str">
            <v>7711</v>
          </cell>
          <cell r="G4159" t="str">
            <v>ScentAir - Corporate Associates:Pamela Knock</v>
          </cell>
          <cell r="H4159">
            <v>1</v>
          </cell>
        </row>
        <row r="4160">
          <cell r="B4160" t="str">
            <v>TIMER</v>
          </cell>
          <cell r="C4160" t="str">
            <v>Invoice</v>
          </cell>
          <cell r="D4160">
            <v>38593</v>
          </cell>
          <cell r="F4160" t="str">
            <v>7706</v>
          </cell>
          <cell r="G4160" t="str">
            <v>Muzak, LLC:Mattress Barn - 043074</v>
          </cell>
          <cell r="H4160">
            <v>1</v>
          </cell>
        </row>
        <row r="4161">
          <cell r="B4161" t="str">
            <v>TIMER</v>
          </cell>
          <cell r="C4161" t="str">
            <v>Invoice</v>
          </cell>
          <cell r="D4161">
            <v>38593</v>
          </cell>
          <cell r="F4161" t="str">
            <v>7720</v>
          </cell>
          <cell r="G4161" t="str">
            <v>Muzak, LLC:Ultimate Exposure - Park Rd</v>
          </cell>
          <cell r="H4161">
            <v>1</v>
          </cell>
        </row>
        <row r="4162">
          <cell r="B4162" t="str">
            <v>TIMER</v>
          </cell>
          <cell r="C4162" t="str">
            <v>Invoice</v>
          </cell>
          <cell r="D4162">
            <v>38594</v>
          </cell>
          <cell r="F4162" t="str">
            <v>7725</v>
          </cell>
          <cell r="G4162" t="str">
            <v>Muzak, LLC:Blue Ridge Mall</v>
          </cell>
          <cell r="H4162">
            <v>1</v>
          </cell>
        </row>
        <row r="4163">
          <cell r="B4163" t="str">
            <v>TIMER</v>
          </cell>
          <cell r="C4163" t="str">
            <v>Invoice</v>
          </cell>
          <cell r="D4163">
            <v>38594</v>
          </cell>
          <cell r="F4163" t="str">
            <v>7722</v>
          </cell>
          <cell r="G4163" t="str">
            <v>Muzak, LLC:Ultimate Exposure - Broadway</v>
          </cell>
          <cell r="H4163">
            <v>1</v>
          </cell>
        </row>
        <row r="4164">
          <cell r="B4164" t="str">
            <v>TIMER</v>
          </cell>
          <cell r="C4164" t="str">
            <v>Invoice</v>
          </cell>
          <cell r="D4164">
            <v>38594</v>
          </cell>
          <cell r="F4164" t="str">
            <v>7723</v>
          </cell>
          <cell r="G4164" t="str">
            <v>Muzak, LLC:Carolina's Diner</v>
          </cell>
          <cell r="H4164">
            <v>1</v>
          </cell>
        </row>
        <row r="4165">
          <cell r="B4165" t="str">
            <v>TIMER</v>
          </cell>
          <cell r="C4165" t="str">
            <v>Invoice</v>
          </cell>
          <cell r="D4165">
            <v>38594</v>
          </cell>
          <cell r="F4165" t="str">
            <v>7081</v>
          </cell>
          <cell r="G4165" t="str">
            <v>Muzak, LLC:Anderson Food Shops #168</v>
          </cell>
          <cell r="H4165">
            <v>1</v>
          </cell>
        </row>
        <row r="4166">
          <cell r="B4166" t="str">
            <v>TIMER</v>
          </cell>
          <cell r="C4166" t="str">
            <v>Invoice</v>
          </cell>
          <cell r="D4166">
            <v>38595</v>
          </cell>
          <cell r="F4166" t="str">
            <v>7734</v>
          </cell>
          <cell r="G4166" t="str">
            <v>Muzak, LLC:Mill's Squeegee #2</v>
          </cell>
          <cell r="H4166">
            <v>1</v>
          </cell>
        </row>
        <row r="4167">
          <cell r="B4167" t="str">
            <v>TIMER</v>
          </cell>
          <cell r="C4167" t="str">
            <v>Invoice</v>
          </cell>
          <cell r="D4167">
            <v>38595</v>
          </cell>
          <cell r="F4167" t="str">
            <v>7740</v>
          </cell>
          <cell r="G4167" t="str">
            <v>Muzak, LLC:Chevron</v>
          </cell>
          <cell r="H4167">
            <v>1</v>
          </cell>
        </row>
        <row r="4168">
          <cell r="B4168" t="str">
            <v>TIMER</v>
          </cell>
          <cell r="C4168" t="str">
            <v>Invoice</v>
          </cell>
          <cell r="D4168">
            <v>38595</v>
          </cell>
          <cell r="F4168" t="str">
            <v>7739</v>
          </cell>
          <cell r="G4168" t="str">
            <v>Muzak, LLC:Renaissance Asheville Hotel</v>
          </cell>
          <cell r="H4168">
            <v>1</v>
          </cell>
        </row>
        <row r="4169">
          <cell r="B4169" t="str">
            <v>TIMER</v>
          </cell>
          <cell r="C4169" t="str">
            <v>Invoice</v>
          </cell>
          <cell r="D4169">
            <v>38595</v>
          </cell>
          <cell r="F4169" t="str">
            <v>7737</v>
          </cell>
          <cell r="G4169" t="str">
            <v>Muzak, LLC:Candy Time</v>
          </cell>
          <cell r="H4169">
            <v>1</v>
          </cell>
        </row>
        <row r="4170">
          <cell r="B4170" t="str">
            <v>TIMER</v>
          </cell>
          <cell r="C4170" t="str">
            <v>Invoice</v>
          </cell>
          <cell r="D4170">
            <v>38596</v>
          </cell>
          <cell r="F4170" t="str">
            <v>7746</v>
          </cell>
          <cell r="G4170" t="str">
            <v>Brown's Country Store</v>
          </cell>
          <cell r="H4170">
            <v>1</v>
          </cell>
        </row>
        <row r="4171">
          <cell r="B4171" t="str">
            <v>TIMER</v>
          </cell>
          <cell r="C4171" t="str">
            <v>Invoice</v>
          </cell>
          <cell r="D4171">
            <v>38596</v>
          </cell>
          <cell r="F4171" t="str">
            <v>7752</v>
          </cell>
          <cell r="G4171" t="str">
            <v>Muzak, LLC:Mattress Zone 042896</v>
          </cell>
          <cell r="H4171">
            <v>1</v>
          </cell>
        </row>
        <row r="4172">
          <cell r="B4172" t="str">
            <v>TIMER</v>
          </cell>
          <cell r="C4172" t="str">
            <v>Invoice</v>
          </cell>
          <cell r="D4172">
            <v>38596</v>
          </cell>
          <cell r="F4172" t="str">
            <v>7753</v>
          </cell>
          <cell r="G4172" t="str">
            <v>Muzak, LLC:Mattress Zone 042807</v>
          </cell>
          <cell r="H4172">
            <v>1</v>
          </cell>
        </row>
        <row r="4173">
          <cell r="B4173" t="str">
            <v>TIMER</v>
          </cell>
          <cell r="C4173" t="str">
            <v>Invoice</v>
          </cell>
          <cell r="D4173">
            <v>38596</v>
          </cell>
          <cell r="F4173" t="str">
            <v>7754</v>
          </cell>
          <cell r="G4173" t="str">
            <v>Muzak, LLC:Mattress Zone 042804</v>
          </cell>
          <cell r="H4173">
            <v>1</v>
          </cell>
        </row>
        <row r="4174">
          <cell r="B4174" t="str">
            <v>TIMER</v>
          </cell>
          <cell r="C4174" t="str">
            <v>Invoice</v>
          </cell>
          <cell r="D4174">
            <v>38596</v>
          </cell>
          <cell r="F4174" t="str">
            <v>7744</v>
          </cell>
          <cell r="G4174" t="str">
            <v>Muzak, LLC:Mobil on the Run</v>
          </cell>
          <cell r="H4174">
            <v>1</v>
          </cell>
        </row>
        <row r="4175">
          <cell r="B4175" t="str">
            <v>TIMER</v>
          </cell>
          <cell r="C4175" t="str">
            <v>Invoice</v>
          </cell>
          <cell r="D4175">
            <v>38596</v>
          </cell>
          <cell r="F4175" t="str">
            <v>7756</v>
          </cell>
          <cell r="G4175" t="str">
            <v>Muzak, LLC:Mattress Barn - 043695</v>
          </cell>
          <cell r="H4175">
            <v>1</v>
          </cell>
        </row>
        <row r="4176">
          <cell r="B4176" t="str">
            <v>TIMER</v>
          </cell>
          <cell r="C4176" t="str">
            <v>Invoice</v>
          </cell>
          <cell r="D4176">
            <v>38597</v>
          </cell>
          <cell r="F4176" t="str">
            <v>7807</v>
          </cell>
          <cell r="G4176" t="str">
            <v>Muzak, LLC:Setzer's Appliances</v>
          </cell>
          <cell r="H4176">
            <v>1</v>
          </cell>
        </row>
        <row r="4177">
          <cell r="B4177" t="str">
            <v>TIMER</v>
          </cell>
          <cell r="C4177" t="str">
            <v>Invoice</v>
          </cell>
          <cell r="D4177">
            <v>38597</v>
          </cell>
          <cell r="F4177" t="str">
            <v>7816</v>
          </cell>
          <cell r="G4177" t="str">
            <v>Muzak, LLC:T Darin Moerton</v>
          </cell>
          <cell r="H4177">
            <v>1</v>
          </cell>
        </row>
        <row r="4178">
          <cell r="B4178" t="str">
            <v>TIMER</v>
          </cell>
          <cell r="C4178" t="str">
            <v>Invoice</v>
          </cell>
          <cell r="D4178">
            <v>38597</v>
          </cell>
          <cell r="F4178" t="str">
            <v>7810</v>
          </cell>
          <cell r="G4178" t="str">
            <v>Muzak, LLC:St Johns Seafood &amp; Steaks 026607</v>
          </cell>
          <cell r="H4178">
            <v>1</v>
          </cell>
        </row>
        <row r="4179">
          <cell r="B4179" t="str">
            <v>TIMER</v>
          </cell>
          <cell r="C4179" t="str">
            <v>Invoice</v>
          </cell>
          <cell r="D4179">
            <v>38597</v>
          </cell>
          <cell r="F4179" t="str">
            <v>7811</v>
          </cell>
          <cell r="G4179" t="str">
            <v>Muzak, LLC:St Johns Seafood &amp; Steaks 030037</v>
          </cell>
          <cell r="H4179">
            <v>1</v>
          </cell>
        </row>
        <row r="4180">
          <cell r="B4180" t="str">
            <v>TIMER</v>
          </cell>
          <cell r="C4180" t="str">
            <v>Invoice</v>
          </cell>
          <cell r="D4180">
            <v>38597</v>
          </cell>
          <cell r="F4180" t="str">
            <v>7812</v>
          </cell>
          <cell r="G4180" t="str">
            <v>Muzak, LLC:St Johns Seafood &amp; Steaks 030046</v>
          </cell>
          <cell r="H4180">
            <v>1</v>
          </cell>
        </row>
        <row r="4181">
          <cell r="B4181" t="str">
            <v>TIMER</v>
          </cell>
          <cell r="C4181" t="str">
            <v>Invoice</v>
          </cell>
          <cell r="D4181">
            <v>38597</v>
          </cell>
          <cell r="F4181" t="str">
            <v>7814</v>
          </cell>
          <cell r="G4181" t="str">
            <v>Muzak, LLC:McDonald's - West Hills</v>
          </cell>
          <cell r="H4181">
            <v>1</v>
          </cell>
        </row>
        <row r="4182">
          <cell r="B4182" t="str">
            <v>TIMER</v>
          </cell>
          <cell r="C4182" t="str">
            <v>Invoice</v>
          </cell>
          <cell r="D4182">
            <v>38597</v>
          </cell>
          <cell r="F4182" t="str">
            <v>7817</v>
          </cell>
          <cell r="G4182" t="str">
            <v>Muzak, LLC:Dessert Gallery</v>
          </cell>
          <cell r="H4182">
            <v>1</v>
          </cell>
        </row>
        <row r="4183">
          <cell r="B4183" t="str">
            <v>TIMER</v>
          </cell>
          <cell r="C4183" t="str">
            <v>Invoice</v>
          </cell>
          <cell r="D4183">
            <v>38597</v>
          </cell>
          <cell r="F4183" t="str">
            <v>7808</v>
          </cell>
          <cell r="G4183" t="str">
            <v>Muzak, LLC:Capital Partners</v>
          </cell>
          <cell r="H4183">
            <v>1</v>
          </cell>
        </row>
        <row r="4184">
          <cell r="B4184" t="str">
            <v>TIMER</v>
          </cell>
          <cell r="C4184" t="str">
            <v>Invoice</v>
          </cell>
          <cell r="D4184">
            <v>38601</v>
          </cell>
          <cell r="F4184" t="str">
            <v>7751</v>
          </cell>
          <cell r="G4184" t="str">
            <v>Muzak, IA:Soundcom LLC of Florida - Palm Beach:Mattress Zone - Jensen Beach</v>
          </cell>
          <cell r="H4184">
            <v>1</v>
          </cell>
        </row>
        <row r="4185">
          <cell r="B4185" t="str">
            <v>TIMER</v>
          </cell>
          <cell r="C4185" t="str">
            <v>Invoice</v>
          </cell>
          <cell r="D4185">
            <v>38601</v>
          </cell>
          <cell r="F4185" t="str">
            <v>7809</v>
          </cell>
          <cell r="G4185" t="str">
            <v>Muzak, LLC:Mossfire Grill</v>
          </cell>
          <cell r="H4185">
            <v>1</v>
          </cell>
        </row>
        <row r="4186">
          <cell r="B4186" t="str">
            <v>TIMER</v>
          </cell>
          <cell r="C4186" t="str">
            <v>Invoice</v>
          </cell>
          <cell r="D4186">
            <v>38602</v>
          </cell>
          <cell r="F4186" t="str">
            <v>7843</v>
          </cell>
          <cell r="G4186" t="str">
            <v>Muzak, LLC:Bucky's Express</v>
          </cell>
          <cell r="H4186">
            <v>1</v>
          </cell>
        </row>
        <row r="4187">
          <cell r="B4187" t="str">
            <v>TIMER</v>
          </cell>
          <cell r="C4187" t="str">
            <v>Invoice</v>
          </cell>
          <cell r="D4187">
            <v>38602</v>
          </cell>
          <cell r="F4187" t="str">
            <v>7844</v>
          </cell>
          <cell r="G4187" t="str">
            <v>Muzak, LLC:Fantasy's</v>
          </cell>
          <cell r="H4187">
            <v>1</v>
          </cell>
        </row>
        <row r="4188">
          <cell r="B4188" t="str">
            <v>TIMER</v>
          </cell>
          <cell r="C4188" t="str">
            <v>Invoice</v>
          </cell>
          <cell r="D4188">
            <v>38602</v>
          </cell>
          <cell r="F4188" t="str">
            <v>7839</v>
          </cell>
          <cell r="G4188" t="str">
            <v>Muzak, LLC:El Torro</v>
          </cell>
          <cell r="H4188">
            <v>1</v>
          </cell>
        </row>
        <row r="4189">
          <cell r="B4189" t="str">
            <v>TIMER</v>
          </cell>
          <cell r="C4189" t="str">
            <v>Invoice</v>
          </cell>
          <cell r="D4189">
            <v>38603</v>
          </cell>
          <cell r="F4189" t="str">
            <v>7884</v>
          </cell>
          <cell r="G4189" t="str">
            <v>Muzak, LLC:McDonald's - New Castle</v>
          </cell>
          <cell r="H4189">
            <v>1</v>
          </cell>
        </row>
        <row r="4190">
          <cell r="B4190" t="str">
            <v>TIMER</v>
          </cell>
          <cell r="C4190" t="str">
            <v>Invoice</v>
          </cell>
          <cell r="D4190">
            <v>38603</v>
          </cell>
          <cell r="F4190" t="str">
            <v>7855</v>
          </cell>
          <cell r="G4190" t="str">
            <v>Muzak, LLC:The Daily Bagel</v>
          </cell>
          <cell r="H4190">
            <v>1</v>
          </cell>
        </row>
        <row r="4191">
          <cell r="B4191" t="str">
            <v>TIMER</v>
          </cell>
          <cell r="C4191" t="str">
            <v>Invoice</v>
          </cell>
          <cell r="D4191">
            <v>38603</v>
          </cell>
          <cell r="F4191" t="str">
            <v>7879</v>
          </cell>
          <cell r="G4191" t="str">
            <v>Muzak, LLC:The Palms Tanning Resort - Greenwood Vill</v>
          </cell>
          <cell r="H4191">
            <v>1</v>
          </cell>
        </row>
        <row r="4192">
          <cell r="B4192" t="str">
            <v>TIMER</v>
          </cell>
          <cell r="C4192" t="str">
            <v>Invoice</v>
          </cell>
          <cell r="D4192">
            <v>38603</v>
          </cell>
          <cell r="F4192" t="str">
            <v>7881</v>
          </cell>
          <cell r="G4192" t="str">
            <v>Muzak, LLC:Burger King - #14440</v>
          </cell>
          <cell r="H4192">
            <v>1</v>
          </cell>
        </row>
        <row r="4193">
          <cell r="B4193" t="str">
            <v>TIMER</v>
          </cell>
          <cell r="C4193" t="str">
            <v>Invoice</v>
          </cell>
          <cell r="D4193">
            <v>38603</v>
          </cell>
          <cell r="F4193" t="str">
            <v>7840</v>
          </cell>
          <cell r="G4193" t="str">
            <v>Muzak, LLC:Arby's - Mission Hills</v>
          </cell>
          <cell r="H4193">
            <v>1</v>
          </cell>
        </row>
        <row r="4194">
          <cell r="B4194" t="str">
            <v>TIMER</v>
          </cell>
          <cell r="C4194" t="str">
            <v>Invoice</v>
          </cell>
          <cell r="D4194">
            <v>38603</v>
          </cell>
          <cell r="F4194" t="str">
            <v>7880</v>
          </cell>
          <cell r="G4194" t="str">
            <v>Muzak, LLC:Salon Rebecca</v>
          </cell>
          <cell r="H4194">
            <v>1</v>
          </cell>
        </row>
        <row r="4195">
          <cell r="B4195" t="str">
            <v>TIMER</v>
          </cell>
          <cell r="C4195" t="str">
            <v>Invoice</v>
          </cell>
          <cell r="D4195">
            <v>38603</v>
          </cell>
          <cell r="F4195" t="str">
            <v>7863</v>
          </cell>
          <cell r="G4195" t="str">
            <v>Muzak, LLC:McDonald's - Kokomo</v>
          </cell>
          <cell r="H4195">
            <v>1</v>
          </cell>
        </row>
        <row r="4196">
          <cell r="B4196" t="str">
            <v>TIMER</v>
          </cell>
          <cell r="C4196" t="str">
            <v>Invoice</v>
          </cell>
          <cell r="D4196">
            <v>38603</v>
          </cell>
          <cell r="F4196" t="str">
            <v>7882</v>
          </cell>
          <cell r="G4196" t="str">
            <v>Muzak, LLC:McDonald's - Kansas City</v>
          </cell>
          <cell r="H4196">
            <v>1</v>
          </cell>
        </row>
        <row r="4197">
          <cell r="B4197" t="str">
            <v>TIMER</v>
          </cell>
          <cell r="C4197" t="str">
            <v>Invoice</v>
          </cell>
          <cell r="D4197">
            <v>38604</v>
          </cell>
          <cell r="F4197" t="str">
            <v>7883</v>
          </cell>
          <cell r="G4197" t="str">
            <v>Muzak, LLC:Gainesville Eye Physicians</v>
          </cell>
          <cell r="H4197">
            <v>1</v>
          </cell>
        </row>
        <row r="4198">
          <cell r="B4198" t="str">
            <v>TIMER</v>
          </cell>
          <cell r="C4198" t="str">
            <v>Invoice</v>
          </cell>
          <cell r="D4198">
            <v>38607</v>
          </cell>
          <cell r="F4198" t="str">
            <v>7894</v>
          </cell>
          <cell r="G4198" t="str">
            <v>Muzak, LLC:Xtension Food Mart</v>
          </cell>
          <cell r="H4198">
            <v>1</v>
          </cell>
        </row>
        <row r="4199">
          <cell r="B4199" t="str">
            <v>TIMER</v>
          </cell>
          <cell r="C4199" t="str">
            <v>Invoice</v>
          </cell>
          <cell r="D4199">
            <v>38607</v>
          </cell>
          <cell r="F4199" t="str">
            <v>7895</v>
          </cell>
          <cell r="G4199" t="str">
            <v>Muzak, LLC:Inside Out - Overland Park</v>
          </cell>
          <cell r="H4199">
            <v>1</v>
          </cell>
        </row>
        <row r="4200">
          <cell r="B4200" t="str">
            <v>TIMER</v>
          </cell>
          <cell r="C4200" t="str">
            <v>Invoice</v>
          </cell>
          <cell r="D4200">
            <v>38608</v>
          </cell>
          <cell r="F4200" t="str">
            <v>7927</v>
          </cell>
          <cell r="G4200" t="str">
            <v>Muzak, LLC:Heritage at Lake Forest</v>
          </cell>
          <cell r="H4200">
            <v>1</v>
          </cell>
        </row>
        <row r="4201">
          <cell r="B4201" t="str">
            <v>TIMER</v>
          </cell>
          <cell r="C4201" t="str">
            <v>Invoice</v>
          </cell>
          <cell r="D4201">
            <v>38608</v>
          </cell>
          <cell r="F4201" t="str">
            <v>7928</v>
          </cell>
          <cell r="G4201" t="str">
            <v>Muzak, LLC:Spa Nail Tan Palace</v>
          </cell>
          <cell r="H4201">
            <v>1</v>
          </cell>
        </row>
        <row r="4202">
          <cell r="B4202" t="str">
            <v>TIMER</v>
          </cell>
          <cell r="C4202" t="str">
            <v>Invoice</v>
          </cell>
          <cell r="D4202">
            <v>38608</v>
          </cell>
          <cell r="F4202" t="str">
            <v>7929</v>
          </cell>
          <cell r="G4202" t="str">
            <v>Muzak, LLC:Oakland Center Chevron</v>
          </cell>
          <cell r="H4202">
            <v>1</v>
          </cell>
        </row>
        <row r="4203">
          <cell r="B4203" t="str">
            <v>TIMER</v>
          </cell>
          <cell r="C4203" t="str">
            <v>Invoice</v>
          </cell>
          <cell r="D4203">
            <v>38609</v>
          </cell>
          <cell r="F4203" t="str">
            <v>7939</v>
          </cell>
          <cell r="G4203" t="str">
            <v>Muzak, LLC:Prime Lending</v>
          </cell>
          <cell r="H4203">
            <v>1</v>
          </cell>
        </row>
        <row r="4204">
          <cell r="B4204" t="str">
            <v>TIMER</v>
          </cell>
          <cell r="C4204" t="str">
            <v>Invoice</v>
          </cell>
          <cell r="D4204">
            <v>38609</v>
          </cell>
          <cell r="F4204" t="str">
            <v>7932</v>
          </cell>
          <cell r="G4204" t="str">
            <v>Muzak, LLC:Sheraton Hotel</v>
          </cell>
          <cell r="H4204">
            <v>1</v>
          </cell>
        </row>
        <row r="4205">
          <cell r="B4205" t="str">
            <v>TIMER</v>
          </cell>
          <cell r="C4205" t="str">
            <v>Invoice</v>
          </cell>
          <cell r="D4205">
            <v>38610</v>
          </cell>
          <cell r="F4205" t="str">
            <v>7959</v>
          </cell>
          <cell r="G4205" t="str">
            <v>Muzak, LLC:Wingate Inn - Greenville</v>
          </cell>
          <cell r="H4205">
            <v>1</v>
          </cell>
        </row>
        <row r="4206">
          <cell r="B4206" t="str">
            <v>TIMER</v>
          </cell>
          <cell r="C4206" t="str">
            <v>Invoice</v>
          </cell>
          <cell r="D4206">
            <v>38610</v>
          </cell>
          <cell r="F4206" t="str">
            <v>7960</v>
          </cell>
          <cell r="G4206" t="str">
            <v>Muzak, LLC:Piccasso's</v>
          </cell>
          <cell r="H4206">
            <v>1</v>
          </cell>
        </row>
        <row r="4207">
          <cell r="B4207" t="str">
            <v>TIMER</v>
          </cell>
          <cell r="C4207" t="str">
            <v>Invoice</v>
          </cell>
          <cell r="D4207">
            <v>38610</v>
          </cell>
          <cell r="F4207" t="str">
            <v>7961</v>
          </cell>
          <cell r="G4207" t="str">
            <v>Muzak, LLC:McDonald's - Van Nuys</v>
          </cell>
          <cell r="H4207">
            <v>1</v>
          </cell>
        </row>
        <row r="4208">
          <cell r="B4208" t="str">
            <v>TIMER</v>
          </cell>
          <cell r="C4208" t="str">
            <v>Invoice</v>
          </cell>
          <cell r="D4208">
            <v>38610</v>
          </cell>
          <cell r="F4208" t="str">
            <v>7962</v>
          </cell>
          <cell r="G4208" t="str">
            <v>Muzak, LLC:Nyack Hospital</v>
          </cell>
          <cell r="H4208">
            <v>1</v>
          </cell>
        </row>
        <row r="4209">
          <cell r="B4209" t="str">
            <v>TIMER</v>
          </cell>
          <cell r="C4209" t="str">
            <v>Invoice</v>
          </cell>
          <cell r="D4209">
            <v>38614</v>
          </cell>
          <cell r="F4209" t="str">
            <v>7983</v>
          </cell>
          <cell r="G4209" t="str">
            <v>Muzak, LLC:Firehouse Bar &amp; Grill</v>
          </cell>
          <cell r="H4209">
            <v>1</v>
          </cell>
        </row>
        <row r="4210">
          <cell r="B4210" t="str">
            <v>TIMER</v>
          </cell>
          <cell r="C4210" t="str">
            <v>Invoice</v>
          </cell>
          <cell r="D4210">
            <v>38614</v>
          </cell>
          <cell r="F4210" t="str">
            <v>7984</v>
          </cell>
          <cell r="G4210" t="str">
            <v>Muzak, LLC:Clubs of Kingwood Golf Proshop</v>
          </cell>
          <cell r="H4210">
            <v>1</v>
          </cell>
        </row>
        <row r="4211">
          <cell r="B4211" t="str">
            <v>TIMER</v>
          </cell>
          <cell r="C4211" t="str">
            <v>Invoice</v>
          </cell>
          <cell r="D4211">
            <v>38614</v>
          </cell>
          <cell r="F4211" t="str">
            <v>7997</v>
          </cell>
          <cell r="G4211" t="str">
            <v>ScentAir - Corporate Associates:Dave Van Epps</v>
          </cell>
          <cell r="H4211">
            <v>1</v>
          </cell>
        </row>
        <row r="4212">
          <cell r="B4212" t="str">
            <v>TIMER</v>
          </cell>
          <cell r="C4212" t="str">
            <v>Invoice</v>
          </cell>
          <cell r="D4212">
            <v>38614</v>
          </cell>
          <cell r="F4212" t="str">
            <v>7977</v>
          </cell>
          <cell r="G4212" t="str">
            <v>Muzak, LLC:Pollywogs Inc</v>
          </cell>
          <cell r="H4212">
            <v>1</v>
          </cell>
        </row>
        <row r="4213">
          <cell r="B4213" t="str">
            <v>TIMER</v>
          </cell>
          <cell r="C4213" t="str">
            <v>Invoice</v>
          </cell>
          <cell r="D4213">
            <v>38615</v>
          </cell>
          <cell r="F4213" t="str">
            <v>7986</v>
          </cell>
          <cell r="G4213" t="str">
            <v>Muzak, LLC:Budwey's Supermarket - Tonewanda</v>
          </cell>
          <cell r="H4213">
            <v>1</v>
          </cell>
        </row>
        <row r="4214">
          <cell r="B4214" t="str">
            <v>TIMER</v>
          </cell>
          <cell r="C4214" t="str">
            <v>Invoice</v>
          </cell>
          <cell r="D4214">
            <v>38615</v>
          </cell>
          <cell r="F4214" t="str">
            <v>7985</v>
          </cell>
          <cell r="G4214" t="str">
            <v>Muzak, IA:Avcom Texas Wired:Trois Estate</v>
          </cell>
          <cell r="H4214">
            <v>1</v>
          </cell>
        </row>
        <row r="4215">
          <cell r="B4215" t="str">
            <v>TIMER</v>
          </cell>
          <cell r="C4215" t="str">
            <v>Invoice</v>
          </cell>
          <cell r="D4215">
            <v>38615</v>
          </cell>
          <cell r="F4215" t="str">
            <v>8010</v>
          </cell>
          <cell r="G4215" t="str">
            <v>Muzak, LLC:Jekyll Island Club Hotel</v>
          </cell>
          <cell r="H4215">
            <v>1</v>
          </cell>
        </row>
        <row r="4216">
          <cell r="B4216" t="str">
            <v>TIMER</v>
          </cell>
          <cell r="C4216" t="str">
            <v>Invoice</v>
          </cell>
          <cell r="D4216">
            <v>38615</v>
          </cell>
          <cell r="F4216" t="str">
            <v>8009</v>
          </cell>
          <cell r="G4216" t="str">
            <v>Muzak, LLC:Benny's Steak &amp; Seafood</v>
          </cell>
          <cell r="H4216">
            <v>1</v>
          </cell>
        </row>
        <row r="4217">
          <cell r="B4217" t="str">
            <v>TIMER</v>
          </cell>
          <cell r="C4217" t="str">
            <v>Invoice</v>
          </cell>
          <cell r="D4217">
            <v>38615</v>
          </cell>
          <cell r="F4217" t="str">
            <v>8005</v>
          </cell>
          <cell r="G4217" t="str">
            <v>Muzak, LLC:Kindercare Learning Center</v>
          </cell>
          <cell r="H4217">
            <v>1</v>
          </cell>
        </row>
        <row r="4218">
          <cell r="B4218" t="str">
            <v>TIMER</v>
          </cell>
          <cell r="C4218" t="str">
            <v>Invoice</v>
          </cell>
          <cell r="D4218">
            <v>38615</v>
          </cell>
          <cell r="F4218" t="str">
            <v>8014</v>
          </cell>
          <cell r="G4218" t="str">
            <v>Muzak, LLC:Hunt Real Estate - 432 Dick Road</v>
          </cell>
          <cell r="H4218">
            <v>1</v>
          </cell>
        </row>
        <row r="4219">
          <cell r="B4219" t="str">
            <v>TIMER</v>
          </cell>
          <cell r="C4219" t="str">
            <v>Invoice</v>
          </cell>
          <cell r="D4219">
            <v>38615</v>
          </cell>
          <cell r="F4219" t="str">
            <v>8015</v>
          </cell>
          <cell r="G4219" t="str">
            <v>Muzak, LLC:Hunt Real Estate - 430 Dick Road</v>
          </cell>
          <cell r="H4219">
            <v>1</v>
          </cell>
        </row>
        <row r="4220">
          <cell r="B4220" t="str">
            <v>TIMER</v>
          </cell>
          <cell r="C4220" t="str">
            <v>Invoice</v>
          </cell>
          <cell r="D4220">
            <v>38615</v>
          </cell>
          <cell r="F4220" t="str">
            <v>8011</v>
          </cell>
          <cell r="G4220" t="str">
            <v>Muzak, LLC:Parker's-Altama</v>
          </cell>
          <cell r="H4220">
            <v>1</v>
          </cell>
        </row>
        <row r="4221">
          <cell r="B4221" t="str">
            <v>TIMER</v>
          </cell>
          <cell r="C4221" t="str">
            <v>Invoice</v>
          </cell>
          <cell r="D4221">
            <v>38616</v>
          </cell>
          <cell r="F4221" t="str">
            <v>8026</v>
          </cell>
          <cell r="G4221" t="str">
            <v>Muzak, LLC:McDonald's #6317/2675</v>
          </cell>
          <cell r="H4221">
            <v>1</v>
          </cell>
        </row>
        <row r="4222">
          <cell r="B4222" t="str">
            <v>TIMER</v>
          </cell>
          <cell r="C4222" t="str">
            <v>Invoice</v>
          </cell>
          <cell r="D4222">
            <v>38616</v>
          </cell>
          <cell r="F4222" t="str">
            <v>8030</v>
          </cell>
          <cell r="G4222" t="str">
            <v>Muzak, LLC:McDonald's #4679</v>
          </cell>
          <cell r="H4222">
            <v>1</v>
          </cell>
        </row>
        <row r="4223">
          <cell r="B4223" t="str">
            <v>TIMER</v>
          </cell>
          <cell r="C4223" t="str">
            <v>Invoice</v>
          </cell>
          <cell r="D4223">
            <v>38616</v>
          </cell>
          <cell r="F4223" t="str">
            <v>8031</v>
          </cell>
          <cell r="G4223" t="str">
            <v>Muzak, LLC:McDonald's #3371/16858</v>
          </cell>
          <cell r="H4223">
            <v>1</v>
          </cell>
        </row>
        <row r="4224">
          <cell r="B4224" t="str">
            <v>TIMER</v>
          </cell>
          <cell r="C4224" t="str">
            <v>Invoice</v>
          </cell>
          <cell r="D4224">
            <v>38616</v>
          </cell>
          <cell r="F4224" t="str">
            <v>8032</v>
          </cell>
          <cell r="G4224" t="str">
            <v>Muzak, LLC:McDonald's #6679/4392</v>
          </cell>
          <cell r="H4224">
            <v>1</v>
          </cell>
        </row>
        <row r="4225">
          <cell r="B4225" t="str">
            <v>TIMER</v>
          </cell>
          <cell r="C4225" t="str">
            <v>Invoice</v>
          </cell>
          <cell r="D4225">
            <v>38616</v>
          </cell>
          <cell r="F4225" t="str">
            <v>8029</v>
          </cell>
          <cell r="G4225" t="str">
            <v>Muzak, LLC:McDonald's #3875/28390</v>
          </cell>
          <cell r="H4225">
            <v>1</v>
          </cell>
        </row>
        <row r="4226">
          <cell r="B4226" t="str">
            <v>TIMER</v>
          </cell>
          <cell r="C4226" t="str">
            <v>Invoice</v>
          </cell>
          <cell r="D4226">
            <v>38616</v>
          </cell>
          <cell r="F4226" t="str">
            <v>8027</v>
          </cell>
          <cell r="G4226" t="str">
            <v>Muzak, LLC:McDonald's #6762/4764</v>
          </cell>
          <cell r="H4226">
            <v>1</v>
          </cell>
        </row>
        <row r="4227">
          <cell r="B4227" t="str">
            <v>TIMER</v>
          </cell>
          <cell r="C4227" t="str">
            <v>Invoice</v>
          </cell>
          <cell r="D4227">
            <v>38616</v>
          </cell>
          <cell r="F4227" t="str">
            <v>8025</v>
          </cell>
          <cell r="G4227" t="str">
            <v>Muzak, LLC:McDonald's #6615/25238</v>
          </cell>
          <cell r="H4227">
            <v>1</v>
          </cell>
        </row>
        <row r="4228">
          <cell r="B4228" t="str">
            <v>TIMER</v>
          </cell>
          <cell r="C4228" t="str">
            <v>Invoice</v>
          </cell>
          <cell r="D4228">
            <v>38616</v>
          </cell>
          <cell r="F4228" t="str">
            <v>8024</v>
          </cell>
          <cell r="G4228" t="str">
            <v>Muzak, LLC:McDonald's #6949/3955</v>
          </cell>
          <cell r="H4228">
            <v>1</v>
          </cell>
        </row>
        <row r="4229">
          <cell r="B4229" t="str">
            <v>TIMER</v>
          </cell>
          <cell r="C4229" t="str">
            <v>Invoice</v>
          </cell>
          <cell r="D4229">
            <v>38616</v>
          </cell>
          <cell r="F4229" t="str">
            <v>8023</v>
          </cell>
          <cell r="G4229" t="str">
            <v>Muzak, LLC:McDonald's #7276/6015</v>
          </cell>
          <cell r="H4229">
            <v>1</v>
          </cell>
        </row>
        <row r="4230">
          <cell r="B4230" t="str">
            <v>TIMER</v>
          </cell>
          <cell r="C4230" t="str">
            <v>Invoice</v>
          </cell>
          <cell r="D4230">
            <v>38616</v>
          </cell>
          <cell r="F4230" t="str">
            <v>8021</v>
          </cell>
          <cell r="G4230" t="str">
            <v>Muzak, LLC:McDonald's #2018/11465</v>
          </cell>
          <cell r="H4230">
            <v>1</v>
          </cell>
        </row>
        <row r="4231">
          <cell r="B4231" t="str">
            <v>TIMER</v>
          </cell>
          <cell r="C4231" t="str">
            <v>Invoice</v>
          </cell>
          <cell r="D4231">
            <v>38616</v>
          </cell>
          <cell r="F4231" t="str">
            <v>8028</v>
          </cell>
          <cell r="G4231" t="str">
            <v>Muzak, LLC:McDonald's #6149/11572</v>
          </cell>
          <cell r="H4231">
            <v>1</v>
          </cell>
        </row>
        <row r="4232">
          <cell r="B4232" t="str">
            <v>TIMER</v>
          </cell>
          <cell r="C4232" t="str">
            <v>Invoice</v>
          </cell>
          <cell r="D4232">
            <v>38616</v>
          </cell>
          <cell r="F4232" t="str">
            <v>8047</v>
          </cell>
          <cell r="G4232" t="str">
            <v>Muzak, LLC:Peterbrooke Chocolatier 043749</v>
          </cell>
          <cell r="H4232">
            <v>1</v>
          </cell>
        </row>
        <row r="4233">
          <cell r="B4233" t="str">
            <v>TIMER</v>
          </cell>
          <cell r="C4233" t="str">
            <v>Invoice</v>
          </cell>
          <cell r="D4233">
            <v>38616</v>
          </cell>
          <cell r="F4233" t="str">
            <v>8045</v>
          </cell>
          <cell r="G4233" t="str">
            <v>Muzak, LLC:Peterbrooke Chocolatier 043747</v>
          </cell>
          <cell r="H4233">
            <v>1</v>
          </cell>
        </row>
        <row r="4234">
          <cell r="B4234" t="str">
            <v>TIMER</v>
          </cell>
          <cell r="C4234" t="str">
            <v>Invoice</v>
          </cell>
          <cell r="D4234">
            <v>38616</v>
          </cell>
          <cell r="F4234" t="str">
            <v>8044</v>
          </cell>
          <cell r="G4234" t="str">
            <v>Muzak, LLC:Peterbrooke Chocolatier 043746</v>
          </cell>
          <cell r="H4234">
            <v>1</v>
          </cell>
        </row>
        <row r="4235">
          <cell r="B4235" t="str">
            <v>TIMER</v>
          </cell>
          <cell r="C4235" t="str">
            <v>Invoice</v>
          </cell>
          <cell r="D4235">
            <v>38616</v>
          </cell>
          <cell r="F4235" t="str">
            <v>8043</v>
          </cell>
          <cell r="G4235" t="str">
            <v>Muzak, LLC:Peterbrooke Chocolatier 043745</v>
          </cell>
          <cell r="H4235">
            <v>1</v>
          </cell>
        </row>
        <row r="4236">
          <cell r="B4236" t="str">
            <v>TIMER</v>
          </cell>
          <cell r="C4236" t="str">
            <v>Invoice</v>
          </cell>
          <cell r="D4236">
            <v>38616</v>
          </cell>
          <cell r="F4236" t="str">
            <v>8042</v>
          </cell>
          <cell r="G4236" t="str">
            <v>Muzak, LLC:Peterbrooke Chocolatier 043744</v>
          </cell>
          <cell r="H4236">
            <v>1</v>
          </cell>
        </row>
        <row r="4237">
          <cell r="B4237" t="str">
            <v>TIMER</v>
          </cell>
          <cell r="C4237" t="str">
            <v>Invoice</v>
          </cell>
          <cell r="D4237">
            <v>38616</v>
          </cell>
          <cell r="F4237" t="str">
            <v>8040</v>
          </cell>
          <cell r="G4237" t="str">
            <v>Muzak, LLC:Peterbrooke Chocolatier 043742</v>
          </cell>
          <cell r="H4237">
            <v>1</v>
          </cell>
        </row>
        <row r="4238">
          <cell r="B4238" t="str">
            <v>TIMER</v>
          </cell>
          <cell r="C4238" t="str">
            <v>Invoice</v>
          </cell>
          <cell r="D4238">
            <v>38616</v>
          </cell>
          <cell r="F4238" t="str">
            <v>8041</v>
          </cell>
          <cell r="G4238" t="str">
            <v>Muzak, LLC:Peterbrooke Chocolatier 043743</v>
          </cell>
          <cell r="H4238">
            <v>1</v>
          </cell>
        </row>
        <row r="4239">
          <cell r="B4239" t="str">
            <v>TIMER</v>
          </cell>
          <cell r="C4239" t="str">
            <v>Invoice</v>
          </cell>
          <cell r="D4239">
            <v>38616</v>
          </cell>
          <cell r="F4239" t="str">
            <v>8048</v>
          </cell>
          <cell r="G4239" t="str">
            <v>Muzak, LLC:Peterbrooke Chocolatier 043750</v>
          </cell>
          <cell r="H4239">
            <v>1</v>
          </cell>
        </row>
        <row r="4240">
          <cell r="B4240" t="str">
            <v>TIMER</v>
          </cell>
          <cell r="C4240" t="str">
            <v>Invoice</v>
          </cell>
          <cell r="D4240">
            <v>38616</v>
          </cell>
          <cell r="F4240" t="str">
            <v>8046</v>
          </cell>
          <cell r="G4240" t="str">
            <v>Muzak, LLC:Peterbrooke Chocolatier 043748</v>
          </cell>
          <cell r="H4240">
            <v>1</v>
          </cell>
        </row>
        <row r="4241">
          <cell r="B4241" t="str">
            <v>TIMER</v>
          </cell>
          <cell r="C4241" t="str">
            <v>Invoice</v>
          </cell>
          <cell r="D4241">
            <v>38616</v>
          </cell>
          <cell r="F4241" t="str">
            <v>8050</v>
          </cell>
          <cell r="G4241" t="str">
            <v>Muzak, LLC:Arco AMPM</v>
          </cell>
          <cell r="H4241">
            <v>1</v>
          </cell>
        </row>
        <row r="4242">
          <cell r="B4242" t="str">
            <v>TIMER</v>
          </cell>
          <cell r="C4242" t="str">
            <v>Invoice</v>
          </cell>
          <cell r="D4242">
            <v>38616</v>
          </cell>
          <cell r="F4242" t="str">
            <v>8049</v>
          </cell>
          <cell r="G4242" t="str">
            <v>Muzak, LLC:McDonald's - El Monte</v>
          </cell>
          <cell r="H4242">
            <v>1</v>
          </cell>
        </row>
        <row r="4243">
          <cell r="B4243" t="str">
            <v>TIMER</v>
          </cell>
          <cell r="C4243" t="str">
            <v>Invoice</v>
          </cell>
          <cell r="D4243">
            <v>38617</v>
          </cell>
          <cell r="F4243" t="str">
            <v>8033-I</v>
          </cell>
          <cell r="G4243" t="str">
            <v>Ethel M Chocolates, Inc.:Ethel's Chocolate Lounge-Armitage</v>
          </cell>
          <cell r="H4243">
            <v>1</v>
          </cell>
        </row>
        <row r="4244">
          <cell r="B4244" t="str">
            <v>TIMER</v>
          </cell>
          <cell r="C4244" t="str">
            <v>Invoice</v>
          </cell>
          <cell r="D4244">
            <v>38617</v>
          </cell>
          <cell r="F4244" t="str">
            <v>8078</v>
          </cell>
          <cell r="G4244" t="str">
            <v>Muzak, IA:Soundcom LLC of Florida - Palm Beach:Mattress Zone - Stuart</v>
          </cell>
          <cell r="H4244">
            <v>1</v>
          </cell>
        </row>
        <row r="4245">
          <cell r="B4245" t="str">
            <v>TIMER</v>
          </cell>
          <cell r="C4245" t="str">
            <v>Invoice</v>
          </cell>
          <cell r="D4245">
            <v>38617</v>
          </cell>
          <cell r="F4245" t="str">
            <v>8034</v>
          </cell>
          <cell r="G4245" t="str">
            <v>Ethel M Chocolates, Inc.:Ethel M- Cactus Garden</v>
          </cell>
          <cell r="H4245">
            <v>1</v>
          </cell>
        </row>
        <row r="4246">
          <cell r="B4246" t="str">
            <v>TIMER</v>
          </cell>
          <cell r="C4246" t="str">
            <v>Invoice</v>
          </cell>
          <cell r="D4246">
            <v>38618</v>
          </cell>
          <cell r="F4246" t="str">
            <v>8061</v>
          </cell>
          <cell r="G4246" t="str">
            <v>Muzak, LLC:Hilton Saint Augustine</v>
          </cell>
          <cell r="H4246">
            <v>1</v>
          </cell>
        </row>
        <row r="4247">
          <cell r="B4247" t="str">
            <v>TIMER</v>
          </cell>
          <cell r="C4247" t="str">
            <v>Invoice</v>
          </cell>
          <cell r="D4247">
            <v>38618</v>
          </cell>
          <cell r="F4247" t="str">
            <v>8059</v>
          </cell>
          <cell r="G4247" t="str">
            <v>Muzak, LLC:Cabana Club</v>
          </cell>
          <cell r="H4247">
            <v>1</v>
          </cell>
        </row>
        <row r="4248">
          <cell r="B4248" t="str">
            <v>TIMER</v>
          </cell>
          <cell r="C4248" t="str">
            <v>Invoice</v>
          </cell>
          <cell r="D4248">
            <v>38618</v>
          </cell>
          <cell r="F4248" t="str">
            <v>8062</v>
          </cell>
          <cell r="G4248" t="str">
            <v>Muzak, LLC:Merchant Resource Group</v>
          </cell>
          <cell r="H4248">
            <v>1</v>
          </cell>
        </row>
        <row r="4249">
          <cell r="B4249" t="str">
            <v>TIMER</v>
          </cell>
          <cell r="C4249" t="str">
            <v>Invoice</v>
          </cell>
          <cell r="D4249">
            <v>38618</v>
          </cell>
          <cell r="F4249" t="str">
            <v>8060</v>
          </cell>
          <cell r="G4249" t="str">
            <v>Muzak, LLC:Casa Monica Hotel</v>
          </cell>
          <cell r="H4249">
            <v>1</v>
          </cell>
        </row>
        <row r="4250">
          <cell r="B4250" t="str">
            <v>TIMER</v>
          </cell>
          <cell r="C4250" t="str">
            <v>Invoice</v>
          </cell>
          <cell r="D4250">
            <v>38622</v>
          </cell>
          <cell r="F4250" t="str">
            <v>8100</v>
          </cell>
          <cell r="G4250" t="str">
            <v>Muzak, LLC:M Salon</v>
          </cell>
          <cell r="H4250">
            <v>1</v>
          </cell>
        </row>
        <row r="4251">
          <cell r="B4251" t="str">
            <v>TIMER</v>
          </cell>
          <cell r="C4251" t="str">
            <v>Invoice</v>
          </cell>
          <cell r="D4251">
            <v>38622</v>
          </cell>
          <cell r="F4251" t="str">
            <v>8101</v>
          </cell>
          <cell r="G4251" t="str">
            <v>Muzak, LLC:Trage Brothers</v>
          </cell>
          <cell r="H4251">
            <v>1</v>
          </cell>
        </row>
        <row r="4252">
          <cell r="B4252" t="str">
            <v>TIMER</v>
          </cell>
          <cell r="C4252" t="str">
            <v>Invoice</v>
          </cell>
          <cell r="D4252">
            <v>38622</v>
          </cell>
          <cell r="F4252" t="str">
            <v>8099</v>
          </cell>
          <cell r="G4252" t="str">
            <v>Muzak, LLC:Coggins</v>
          </cell>
          <cell r="H4252">
            <v>1</v>
          </cell>
        </row>
        <row r="4253">
          <cell r="B4253" t="str">
            <v>TIMER</v>
          </cell>
          <cell r="C4253" t="str">
            <v>Invoice</v>
          </cell>
          <cell r="D4253">
            <v>38622</v>
          </cell>
          <cell r="F4253" t="str">
            <v>8102</v>
          </cell>
          <cell r="G4253" t="str">
            <v>Muzak, LLC:McDonald's 4584/ 2682</v>
          </cell>
          <cell r="H4253">
            <v>1</v>
          </cell>
        </row>
        <row r="4254">
          <cell r="B4254" t="str">
            <v>TIMER</v>
          </cell>
          <cell r="C4254" t="str">
            <v>Invoice</v>
          </cell>
          <cell r="D4254">
            <v>38622</v>
          </cell>
          <cell r="F4254" t="str">
            <v>8112</v>
          </cell>
          <cell r="G4254" t="str">
            <v>Muzak, LLC:Koja Sushi Inc</v>
          </cell>
          <cell r="H4254">
            <v>1</v>
          </cell>
        </row>
        <row r="4255">
          <cell r="B4255" t="str">
            <v>TIMER</v>
          </cell>
          <cell r="C4255" t="str">
            <v>Invoice</v>
          </cell>
          <cell r="D4255">
            <v>38623</v>
          </cell>
          <cell r="F4255" t="str">
            <v>8147</v>
          </cell>
          <cell r="G4255" t="str">
            <v>Muzak, LLC:Inside Out - Chesterfield</v>
          </cell>
          <cell r="H4255">
            <v>1</v>
          </cell>
        </row>
        <row r="4256">
          <cell r="B4256" t="str">
            <v>TIMER</v>
          </cell>
          <cell r="C4256" t="str">
            <v>Invoice</v>
          </cell>
          <cell r="D4256">
            <v>38623</v>
          </cell>
          <cell r="F4256" t="str">
            <v>8146</v>
          </cell>
          <cell r="G4256" t="str">
            <v>Meadows Pet Center</v>
          </cell>
          <cell r="H4256">
            <v>1</v>
          </cell>
        </row>
        <row r="4257">
          <cell r="B4257" t="str">
            <v>TIMER</v>
          </cell>
          <cell r="C4257" t="str">
            <v>Invoice</v>
          </cell>
          <cell r="D4257">
            <v>38623</v>
          </cell>
          <cell r="F4257" t="str">
            <v>8158</v>
          </cell>
          <cell r="G4257" t="str">
            <v>Muzak, LLC:Michele Pastry Cafe</v>
          </cell>
          <cell r="H4257">
            <v>1</v>
          </cell>
        </row>
        <row r="4258">
          <cell r="B4258" t="str">
            <v>TIMER</v>
          </cell>
          <cell r="C4258" t="str">
            <v>Invoice</v>
          </cell>
          <cell r="D4258">
            <v>38624</v>
          </cell>
          <cell r="F4258" t="str">
            <v>8142</v>
          </cell>
          <cell r="G4258" t="str">
            <v>Muzak, IA:Towner Communications:Inside Outlet - Columbia</v>
          </cell>
          <cell r="H4258">
            <v>1</v>
          </cell>
        </row>
        <row r="4259">
          <cell r="B4259" t="str">
            <v>TIMER</v>
          </cell>
          <cell r="C4259" t="str">
            <v>Invoice</v>
          </cell>
          <cell r="D4259">
            <v>38624</v>
          </cell>
          <cell r="F4259" t="str">
            <v>8157</v>
          </cell>
          <cell r="G4259" t="str">
            <v>Muzak, LLC:McDonald's OKE201</v>
          </cell>
          <cell r="H4259">
            <v>1</v>
          </cell>
        </row>
        <row r="4260">
          <cell r="B4260" t="str">
            <v>TIMER</v>
          </cell>
          <cell r="C4260" t="str">
            <v>Invoice</v>
          </cell>
          <cell r="D4260">
            <v>38626</v>
          </cell>
          <cell r="F4260" t="str">
            <v>8164</v>
          </cell>
          <cell r="G4260" t="str">
            <v>Muzak, LLC:Handy Dandy #39</v>
          </cell>
          <cell r="H4260">
            <v>1</v>
          </cell>
        </row>
        <row r="4261">
          <cell r="B4261" t="str">
            <v>TIMER</v>
          </cell>
          <cell r="C4261" t="str">
            <v>Invoice</v>
          </cell>
          <cell r="D4261">
            <v>38628</v>
          </cell>
          <cell r="F4261" t="str">
            <v>8187</v>
          </cell>
          <cell r="G4261" t="str">
            <v>Mystic Scenic Studios, Inc.</v>
          </cell>
          <cell r="H4261">
            <v>1</v>
          </cell>
        </row>
        <row r="4262">
          <cell r="B4262" t="str">
            <v>TIMER</v>
          </cell>
          <cell r="C4262" t="str">
            <v>Invoice</v>
          </cell>
          <cell r="D4262">
            <v>38628</v>
          </cell>
          <cell r="F4262" t="str">
            <v>8190</v>
          </cell>
          <cell r="G4262" t="str">
            <v>Muzak, LLC:Jim Mullen</v>
          </cell>
          <cell r="H4262">
            <v>1</v>
          </cell>
        </row>
        <row r="4263">
          <cell r="B4263" t="str">
            <v>TIMER</v>
          </cell>
          <cell r="C4263" t="str">
            <v>Invoice</v>
          </cell>
          <cell r="D4263">
            <v>38629</v>
          </cell>
          <cell r="F4263" t="str">
            <v>8311</v>
          </cell>
          <cell r="G4263" t="str">
            <v>Muzak, LLC:McDonald's - Valencia</v>
          </cell>
          <cell r="H4263">
            <v>1</v>
          </cell>
        </row>
        <row r="4264">
          <cell r="B4264" t="str">
            <v>TIMER</v>
          </cell>
          <cell r="C4264" t="str">
            <v>Invoice</v>
          </cell>
          <cell r="D4264">
            <v>38629</v>
          </cell>
          <cell r="F4264" t="str">
            <v>8312</v>
          </cell>
          <cell r="G4264" t="str">
            <v>Muzak, LLC:McDonald's - Canyon Country</v>
          </cell>
          <cell r="H4264">
            <v>1</v>
          </cell>
        </row>
        <row r="4265">
          <cell r="B4265" t="str">
            <v>TIMER</v>
          </cell>
          <cell r="C4265" t="str">
            <v>Invoice</v>
          </cell>
          <cell r="D4265">
            <v>38629</v>
          </cell>
          <cell r="F4265" t="str">
            <v>8310</v>
          </cell>
          <cell r="G4265" t="str">
            <v>Muzak, LLC:McDonald's - N McBean Pkwy</v>
          </cell>
          <cell r="H4265">
            <v>1</v>
          </cell>
        </row>
        <row r="4266">
          <cell r="B4266" t="str">
            <v>TIMER</v>
          </cell>
          <cell r="C4266" t="str">
            <v>Invoice</v>
          </cell>
          <cell r="D4266">
            <v>38629</v>
          </cell>
          <cell r="F4266" t="str">
            <v>8309</v>
          </cell>
          <cell r="G4266" t="str">
            <v>Muzak, LLC:McDonald's - McBean Pkwy</v>
          </cell>
          <cell r="H4266">
            <v>1</v>
          </cell>
        </row>
        <row r="4267">
          <cell r="B4267" t="str">
            <v>TIMER</v>
          </cell>
          <cell r="C4267" t="str">
            <v>Invoice</v>
          </cell>
          <cell r="D4267">
            <v>38629</v>
          </cell>
          <cell r="F4267" t="str">
            <v>8308</v>
          </cell>
          <cell r="G4267" t="str">
            <v>Muzak, LLC:McDonald's - Sierra Hwy</v>
          </cell>
          <cell r="H4267">
            <v>1</v>
          </cell>
        </row>
        <row r="4268">
          <cell r="B4268" t="str">
            <v>Timer&amp;Pegs</v>
          </cell>
          <cell r="C4268" t="str">
            <v>Invoice</v>
          </cell>
          <cell r="D4268">
            <v>38421</v>
          </cell>
          <cell r="F4268" t="str">
            <v>5452</v>
          </cell>
          <cell r="G4268" t="str">
            <v>Bloomingdale's #20</v>
          </cell>
          <cell r="H4268">
            <v>1</v>
          </cell>
        </row>
        <row r="4269">
          <cell r="B4269" t="str">
            <v>Timer&amp;Pegs</v>
          </cell>
          <cell r="C4269" t="str">
            <v>Invoice</v>
          </cell>
          <cell r="D4269">
            <v>38442</v>
          </cell>
          <cell r="F4269" t="str">
            <v>5561-I</v>
          </cell>
          <cell r="G4269" t="str">
            <v>Hard Rock Hotel</v>
          </cell>
          <cell r="H4269">
            <v>1</v>
          </cell>
        </row>
        <row r="4270">
          <cell r="B4270" t="str">
            <v>Timer&amp;Pegs</v>
          </cell>
          <cell r="C4270" t="str">
            <v>Invoice</v>
          </cell>
          <cell r="D4270">
            <v>38461</v>
          </cell>
          <cell r="F4270" t="str">
            <v>5612</v>
          </cell>
          <cell r="G4270" t="str">
            <v>Hallmark Cards - Kansas City, MO</v>
          </cell>
          <cell r="H4270">
            <v>1</v>
          </cell>
        </row>
        <row r="4271">
          <cell r="B4271" t="str">
            <v>Timer&amp;Pegs</v>
          </cell>
          <cell r="C4271" t="str">
            <v>Invoice</v>
          </cell>
          <cell r="D4271">
            <v>38471</v>
          </cell>
          <cell r="F4271" t="str">
            <v>5722</v>
          </cell>
          <cell r="G4271" t="str">
            <v>M &amp; M World</v>
          </cell>
          <cell r="H4271">
            <v>1</v>
          </cell>
        </row>
        <row r="4272">
          <cell r="B4272" t="str">
            <v>Timer&amp;Pegs</v>
          </cell>
          <cell r="C4272" t="str">
            <v>Invoice</v>
          </cell>
          <cell r="D4272">
            <v>38481</v>
          </cell>
          <cell r="F4272" t="str">
            <v>5724</v>
          </cell>
          <cell r="G4272" t="str">
            <v>7-ElevenA</v>
          </cell>
          <cell r="H4272">
            <v>1</v>
          </cell>
        </row>
        <row r="4273">
          <cell r="B4273" t="str">
            <v>Timer&amp;Pegs</v>
          </cell>
          <cell r="C4273" t="str">
            <v>Invoice</v>
          </cell>
          <cell r="D4273">
            <v>38491</v>
          </cell>
          <cell r="F4273" t="str">
            <v>6090</v>
          </cell>
          <cell r="G4273" t="str">
            <v>Busch Gardens - Tampa</v>
          </cell>
          <cell r="H4273">
            <v>1</v>
          </cell>
        </row>
        <row r="4274">
          <cell r="B4274" t="str">
            <v>Timer&amp;Pegs</v>
          </cell>
          <cell r="C4274" t="str">
            <v>Invoice</v>
          </cell>
          <cell r="D4274">
            <v>38510</v>
          </cell>
          <cell r="F4274" t="str">
            <v>6269</v>
          </cell>
          <cell r="G4274" t="str">
            <v>Starwood Hotels:The Essex Hotel</v>
          </cell>
          <cell r="H4274">
            <v>1</v>
          </cell>
        </row>
        <row r="4275">
          <cell r="B4275" t="str">
            <v>Timer&amp;Pegs</v>
          </cell>
          <cell r="C4275" t="str">
            <v>Invoice</v>
          </cell>
          <cell r="D4275">
            <v>38526</v>
          </cell>
          <cell r="F4275" t="str">
            <v>6409</v>
          </cell>
          <cell r="G4275" t="str">
            <v>Starwood Hotels Corporate Office</v>
          </cell>
          <cell r="H4275">
            <v>1</v>
          </cell>
        </row>
        <row r="4276">
          <cell r="B4276" t="str">
            <v>Timer&amp;Pegs</v>
          </cell>
          <cell r="C4276" t="str">
            <v>Invoice</v>
          </cell>
          <cell r="D4276">
            <v>38533</v>
          </cell>
          <cell r="F4276" t="str">
            <v>7001</v>
          </cell>
          <cell r="G4276" t="str">
            <v>Starwood Hotels:The Essex Hotel</v>
          </cell>
          <cell r="H4276">
            <v>1</v>
          </cell>
        </row>
        <row r="4277">
          <cell r="B4277" t="str">
            <v>Timer&amp;Pegs</v>
          </cell>
          <cell r="C4277" t="str">
            <v>Invoice</v>
          </cell>
          <cell r="D4277">
            <v>38559</v>
          </cell>
          <cell r="F4277" t="str">
            <v>7202</v>
          </cell>
          <cell r="G4277" t="str">
            <v>Pacific Pets Inc.</v>
          </cell>
          <cell r="H4277">
            <v>1</v>
          </cell>
        </row>
        <row r="4278">
          <cell r="B4278" t="str">
            <v>Timer&amp;Pegs</v>
          </cell>
          <cell r="C4278" t="str">
            <v>Invoice</v>
          </cell>
          <cell r="D4278">
            <v>38561</v>
          </cell>
          <cell r="F4278" t="str">
            <v>7220</v>
          </cell>
          <cell r="G4278" t="str">
            <v>Muzak, LLC:Doctor's Urgent Care</v>
          </cell>
          <cell r="H4278">
            <v>1</v>
          </cell>
        </row>
        <row r="4279">
          <cell r="B4279" t="str">
            <v>Timer&amp;Pegs</v>
          </cell>
          <cell r="C4279" t="str">
            <v>Invoice</v>
          </cell>
          <cell r="D4279">
            <v>38565</v>
          </cell>
          <cell r="F4279" t="str">
            <v>7225</v>
          </cell>
          <cell r="G4279" t="str">
            <v>Jimmy Choo (Corporate Office):Jimmy Choo (Dallas)</v>
          </cell>
          <cell r="H4279">
            <v>1</v>
          </cell>
        </row>
        <row r="4280">
          <cell r="B4280" t="str">
            <v>WC2000-BLANK</v>
          </cell>
          <cell r="C4280" t="str">
            <v>Invoice</v>
          </cell>
          <cell r="D4280">
            <v>38468</v>
          </cell>
          <cell r="F4280" t="str">
            <v>5706</v>
          </cell>
          <cell r="G4280" t="str">
            <v>Starwood Hotels Corporate Office</v>
          </cell>
          <cell r="H4280">
            <v>1</v>
          </cell>
        </row>
        <row r="4281">
          <cell r="B4281" t="str">
            <v>WC2000-BLANK</v>
          </cell>
          <cell r="C4281" t="str">
            <v>Invoice</v>
          </cell>
          <cell r="D4281">
            <v>38468</v>
          </cell>
          <cell r="F4281" t="str">
            <v>5711</v>
          </cell>
          <cell r="G4281" t="str">
            <v>Starwood Hotels Corporate Office</v>
          </cell>
          <cell r="H4281">
            <v>1</v>
          </cell>
        </row>
        <row r="4282">
          <cell r="B4282" t="str">
            <v>WC2000-BLANK</v>
          </cell>
          <cell r="C4282" t="str">
            <v>Invoice</v>
          </cell>
          <cell r="D4282">
            <v>38468</v>
          </cell>
          <cell r="F4282" t="str">
            <v>5708</v>
          </cell>
          <cell r="G4282" t="str">
            <v>Starwood Hotels Corporate Office</v>
          </cell>
          <cell r="H4282">
            <v>1</v>
          </cell>
        </row>
        <row r="4283">
          <cell r="B4283" t="str">
            <v>WC2000-BLANK</v>
          </cell>
          <cell r="C4283" t="str">
            <v>Invoice</v>
          </cell>
          <cell r="D4283">
            <v>38468</v>
          </cell>
          <cell r="F4283" t="str">
            <v>5709</v>
          </cell>
          <cell r="G4283" t="str">
            <v>Starwood Hotels Corporate Office</v>
          </cell>
          <cell r="H4283">
            <v>1</v>
          </cell>
        </row>
        <row r="4284">
          <cell r="B4284" t="str">
            <v>WC2000-BLANK</v>
          </cell>
          <cell r="C4284" t="str">
            <v>Invoice</v>
          </cell>
          <cell r="D4284">
            <v>38468</v>
          </cell>
          <cell r="F4284" t="str">
            <v>5710</v>
          </cell>
          <cell r="G4284" t="str">
            <v>Starwood Hotels Corporate Office</v>
          </cell>
          <cell r="H4284">
            <v>1</v>
          </cell>
        </row>
        <row r="4285">
          <cell r="B4285" t="str">
            <v>WC2000-BLANK</v>
          </cell>
          <cell r="C4285" t="str">
            <v>Invoice</v>
          </cell>
          <cell r="D4285">
            <v>38471</v>
          </cell>
          <cell r="F4285" t="str">
            <v>6021</v>
          </cell>
          <cell r="G4285" t="str">
            <v>Starwood Hotels Corporate Office</v>
          </cell>
          <cell r="H4285">
            <v>1</v>
          </cell>
        </row>
        <row r="4286">
          <cell r="B4286" t="str">
            <v>2ounce</v>
          </cell>
          <cell r="C4286" t="str">
            <v>Invoice</v>
          </cell>
          <cell r="D4286">
            <v>38355</v>
          </cell>
          <cell r="F4286" t="str">
            <v>4997</v>
          </cell>
          <cell r="G4286" t="str">
            <v>AroMarketing:AroMarketing - Guadalajara</v>
          </cell>
          <cell r="H4286">
            <v>2</v>
          </cell>
        </row>
        <row r="4287">
          <cell r="B4287" t="str">
            <v>ES1020-729</v>
          </cell>
          <cell r="C4287" t="str">
            <v>Invoice</v>
          </cell>
          <cell r="D4287">
            <v>38455</v>
          </cell>
          <cell r="F4287" t="str">
            <v>5610</v>
          </cell>
          <cell r="G4287" t="str">
            <v>Tracy Locke Partnership</v>
          </cell>
          <cell r="H4287">
            <v>2</v>
          </cell>
        </row>
        <row r="4288">
          <cell r="B4288" t="str">
            <v>ESS - SCENT SERVICE</v>
          </cell>
          <cell r="C4288" t="str">
            <v>Invoice</v>
          </cell>
          <cell r="D4288">
            <v>38498</v>
          </cell>
          <cell r="F4288" t="str">
            <v>6162</v>
          </cell>
          <cell r="G4288" t="str">
            <v>Sony Style Denver (Old)</v>
          </cell>
          <cell r="H4288">
            <v>2</v>
          </cell>
        </row>
        <row r="4289">
          <cell r="B4289" t="str">
            <v>ESS - SCENT SERVICE</v>
          </cell>
          <cell r="C4289" t="str">
            <v>Invoice</v>
          </cell>
          <cell r="D4289">
            <v>38498</v>
          </cell>
          <cell r="F4289" t="str">
            <v>6156</v>
          </cell>
          <cell r="G4289" t="str">
            <v>Sony Style #53</v>
          </cell>
          <cell r="H4289">
            <v>2</v>
          </cell>
        </row>
        <row r="4290">
          <cell r="B4290" t="str">
            <v>ESS - SCENT SERVICE</v>
          </cell>
          <cell r="C4290" t="str">
            <v>Invoice</v>
          </cell>
          <cell r="D4290">
            <v>38498</v>
          </cell>
          <cell r="F4290" t="str">
            <v>6157</v>
          </cell>
          <cell r="G4290" t="str">
            <v>Sony Style #54</v>
          </cell>
          <cell r="H4290">
            <v>2</v>
          </cell>
        </row>
        <row r="4291">
          <cell r="B4291" t="str">
            <v>ESS - SCENT SERVICE</v>
          </cell>
          <cell r="C4291" t="str">
            <v>Invoice</v>
          </cell>
          <cell r="D4291">
            <v>38498</v>
          </cell>
          <cell r="F4291" t="str">
            <v>6163</v>
          </cell>
          <cell r="G4291" t="str">
            <v>Sony Style #63</v>
          </cell>
          <cell r="H4291">
            <v>2</v>
          </cell>
        </row>
        <row r="4292">
          <cell r="B4292" t="str">
            <v>ESS - SCENT SERVICE</v>
          </cell>
          <cell r="C4292" t="str">
            <v>Invoice</v>
          </cell>
          <cell r="D4292">
            <v>38498</v>
          </cell>
          <cell r="F4292" t="str">
            <v>6153</v>
          </cell>
          <cell r="G4292" t="str">
            <v>Sony Style #49</v>
          </cell>
          <cell r="H4292">
            <v>2</v>
          </cell>
        </row>
        <row r="4293">
          <cell r="B4293" t="str">
            <v>ESS - SCENT SERVICE</v>
          </cell>
          <cell r="C4293" t="str">
            <v>Invoice</v>
          </cell>
          <cell r="D4293">
            <v>38498</v>
          </cell>
          <cell r="F4293" t="str">
            <v>6161</v>
          </cell>
          <cell r="G4293" t="str">
            <v>Sony Style #58</v>
          </cell>
          <cell r="H4293">
            <v>2</v>
          </cell>
        </row>
        <row r="4294">
          <cell r="B4294" t="str">
            <v>ESS - SCENT SERVICE</v>
          </cell>
          <cell r="C4294" t="str">
            <v>Invoice</v>
          </cell>
          <cell r="D4294">
            <v>38498</v>
          </cell>
          <cell r="F4294" t="str">
            <v>6152</v>
          </cell>
          <cell r="G4294" t="str">
            <v>Sony Style #60</v>
          </cell>
          <cell r="H4294">
            <v>2</v>
          </cell>
        </row>
        <row r="4295">
          <cell r="B4295" t="str">
            <v>ESS - SCENT SERVICE</v>
          </cell>
          <cell r="C4295" t="str">
            <v>Invoice</v>
          </cell>
          <cell r="D4295">
            <v>38498</v>
          </cell>
          <cell r="F4295" t="str">
            <v>6158</v>
          </cell>
          <cell r="G4295" t="str">
            <v>Sony Style #55</v>
          </cell>
          <cell r="H4295">
            <v>2</v>
          </cell>
        </row>
        <row r="4296">
          <cell r="B4296" t="str">
            <v>ESS - SCENT SERVICE</v>
          </cell>
          <cell r="C4296" t="str">
            <v>Invoice</v>
          </cell>
          <cell r="D4296">
            <v>38498</v>
          </cell>
          <cell r="F4296" t="str">
            <v>6160</v>
          </cell>
          <cell r="G4296" t="str">
            <v>Sony Style #57</v>
          </cell>
          <cell r="H4296">
            <v>2</v>
          </cell>
        </row>
        <row r="4297">
          <cell r="B4297" t="str">
            <v>ESS - SCENT SERVICE</v>
          </cell>
          <cell r="C4297" t="str">
            <v>Invoice</v>
          </cell>
          <cell r="D4297">
            <v>38498</v>
          </cell>
          <cell r="F4297" t="str">
            <v>6154</v>
          </cell>
          <cell r="G4297" t="str">
            <v>Sony Style #51</v>
          </cell>
          <cell r="H4297">
            <v>2</v>
          </cell>
        </row>
        <row r="4298">
          <cell r="B4298" t="str">
            <v>ESS - SCENT SERVICE</v>
          </cell>
          <cell r="C4298" t="str">
            <v>Invoice</v>
          </cell>
          <cell r="D4298">
            <v>38498</v>
          </cell>
          <cell r="F4298" t="str">
            <v>6159</v>
          </cell>
          <cell r="G4298" t="str">
            <v>Sony Style #56</v>
          </cell>
          <cell r="H4298">
            <v>2</v>
          </cell>
        </row>
        <row r="4299">
          <cell r="B4299" t="str">
            <v>ESS - SCENT SERVICE</v>
          </cell>
          <cell r="C4299" t="str">
            <v>Invoice</v>
          </cell>
          <cell r="D4299">
            <v>38509</v>
          </cell>
          <cell r="F4299" t="str">
            <v>6225</v>
          </cell>
          <cell r="G4299" t="str">
            <v>Universal Studios Orlando:Islands of Adventure Foods</v>
          </cell>
          <cell r="H4299">
            <v>2</v>
          </cell>
        </row>
        <row r="4300">
          <cell r="B4300" t="str">
            <v>ESS - SCENT SERVICE</v>
          </cell>
          <cell r="C4300" t="str">
            <v>Invoice</v>
          </cell>
          <cell r="D4300">
            <v>38512</v>
          </cell>
          <cell r="F4300" t="str">
            <v>6228</v>
          </cell>
          <cell r="G4300" t="str">
            <v>Sony Style #xx (Kenwood Ctr)</v>
          </cell>
          <cell r="H4300">
            <v>2</v>
          </cell>
        </row>
        <row r="4301">
          <cell r="B4301" t="str">
            <v>ESS - SCENT SERVICE</v>
          </cell>
          <cell r="C4301" t="str">
            <v>Invoice</v>
          </cell>
          <cell r="D4301">
            <v>38513</v>
          </cell>
          <cell r="F4301" t="str">
            <v>6300</v>
          </cell>
          <cell r="G4301" t="str">
            <v>M &amp; M World</v>
          </cell>
          <cell r="H4301">
            <v>2</v>
          </cell>
        </row>
        <row r="4302">
          <cell r="B4302" t="str">
            <v>ESS - SCENT SERVICE</v>
          </cell>
          <cell r="C4302" t="str">
            <v>Invoice</v>
          </cell>
          <cell r="D4302">
            <v>38516</v>
          </cell>
          <cell r="F4302" t="str">
            <v>6351</v>
          </cell>
          <cell r="G4302" t="str">
            <v>Florida Aquarium</v>
          </cell>
          <cell r="H4302">
            <v>2</v>
          </cell>
        </row>
        <row r="4303">
          <cell r="B4303" t="str">
            <v>ESS - SCENT SERVICE</v>
          </cell>
          <cell r="C4303" t="str">
            <v>Invoice</v>
          </cell>
          <cell r="D4303">
            <v>38516</v>
          </cell>
          <cell r="F4303" t="str">
            <v>6315</v>
          </cell>
          <cell r="G4303" t="str">
            <v>Disney Worldwide:Goofy's Candy Company</v>
          </cell>
          <cell r="H4303">
            <v>2</v>
          </cell>
        </row>
        <row r="4304">
          <cell r="B4304" t="str">
            <v>ESS - SCENT SERVICE</v>
          </cell>
          <cell r="C4304" t="str">
            <v>Invoice</v>
          </cell>
          <cell r="D4304">
            <v>38526</v>
          </cell>
          <cell r="F4304" t="str">
            <v>6392</v>
          </cell>
          <cell r="G4304" t="str">
            <v>Hustler Hollywood - Nashville, TN</v>
          </cell>
          <cell r="H4304">
            <v>2</v>
          </cell>
        </row>
        <row r="4305">
          <cell r="B4305" t="str">
            <v>ESS - SCENT SERVICE</v>
          </cell>
          <cell r="C4305" t="str">
            <v>Invoice</v>
          </cell>
          <cell r="D4305">
            <v>38526</v>
          </cell>
          <cell r="F4305" t="str">
            <v>5536-I</v>
          </cell>
          <cell r="G4305" t="str">
            <v>Sony Style #64</v>
          </cell>
          <cell r="H4305">
            <v>2</v>
          </cell>
        </row>
        <row r="4306">
          <cell r="B4306" t="str">
            <v>ESS - SCENT SERVICE</v>
          </cell>
          <cell r="C4306" t="str">
            <v>Invoice</v>
          </cell>
          <cell r="D4306">
            <v>38526</v>
          </cell>
          <cell r="F4306" t="str">
            <v>5540-I</v>
          </cell>
          <cell r="G4306" t="str">
            <v>Sony Style #61</v>
          </cell>
          <cell r="H4306">
            <v>2</v>
          </cell>
        </row>
        <row r="4307">
          <cell r="B4307" t="str">
            <v>ESS - SCENT SERVICE</v>
          </cell>
          <cell r="C4307" t="str">
            <v>Invoice</v>
          </cell>
          <cell r="D4307">
            <v>38526</v>
          </cell>
          <cell r="F4307" t="str">
            <v>6032-I</v>
          </cell>
          <cell r="G4307" t="str">
            <v>Sony Style #49</v>
          </cell>
          <cell r="H4307">
            <v>2</v>
          </cell>
        </row>
        <row r="4308">
          <cell r="B4308" t="str">
            <v>ESS - SCENT SERVICE</v>
          </cell>
          <cell r="C4308" t="str">
            <v>Invoice</v>
          </cell>
          <cell r="D4308">
            <v>38526</v>
          </cell>
          <cell r="F4308" t="str">
            <v>6026-I</v>
          </cell>
          <cell r="G4308" t="str">
            <v>Sony Style #53</v>
          </cell>
          <cell r="H4308">
            <v>2</v>
          </cell>
        </row>
        <row r="4309">
          <cell r="B4309" t="str">
            <v>ESS - SCENT SERVICE</v>
          </cell>
          <cell r="C4309" t="str">
            <v>Invoice</v>
          </cell>
          <cell r="D4309">
            <v>38526</v>
          </cell>
          <cell r="F4309" t="str">
            <v>5542-I</v>
          </cell>
          <cell r="G4309" t="str">
            <v>Sony Style #58</v>
          </cell>
          <cell r="H4309">
            <v>2</v>
          </cell>
        </row>
        <row r="4310">
          <cell r="B4310" t="str">
            <v>ESS - SCENT SERVICE</v>
          </cell>
          <cell r="C4310" t="str">
            <v>Invoice</v>
          </cell>
          <cell r="D4310">
            <v>38526</v>
          </cell>
          <cell r="F4310" t="str">
            <v>5546-I</v>
          </cell>
          <cell r="G4310" t="str">
            <v>Sony Style #56</v>
          </cell>
          <cell r="H4310">
            <v>2</v>
          </cell>
        </row>
        <row r="4311">
          <cell r="B4311" t="str">
            <v>ESS - SCENT SERVICE</v>
          </cell>
          <cell r="C4311" t="str">
            <v>Invoice</v>
          </cell>
          <cell r="D4311">
            <v>38526</v>
          </cell>
          <cell r="F4311" t="str">
            <v>6024-I</v>
          </cell>
          <cell r="G4311" t="str">
            <v>Sony Style #54</v>
          </cell>
          <cell r="H4311">
            <v>2</v>
          </cell>
        </row>
        <row r="4312">
          <cell r="B4312" t="str">
            <v>ESS - SCENT SERVICE</v>
          </cell>
          <cell r="C4312" t="str">
            <v>Invoice</v>
          </cell>
          <cell r="D4312">
            <v>38526</v>
          </cell>
          <cell r="F4312" t="str">
            <v>5538-I</v>
          </cell>
          <cell r="G4312" t="str">
            <v>Sony Style #63</v>
          </cell>
          <cell r="H4312">
            <v>2</v>
          </cell>
        </row>
        <row r="4313">
          <cell r="B4313" t="str">
            <v>ESS - SCENT SERVICE</v>
          </cell>
          <cell r="C4313" t="str">
            <v>Invoice</v>
          </cell>
          <cell r="D4313">
            <v>38526</v>
          </cell>
          <cell r="F4313" t="str">
            <v>6028-I</v>
          </cell>
          <cell r="G4313" t="str">
            <v>Sony Style #52</v>
          </cell>
          <cell r="H4313">
            <v>2</v>
          </cell>
        </row>
        <row r="4314">
          <cell r="B4314" t="str">
            <v>ESS - SCENT SERVICE</v>
          </cell>
          <cell r="C4314" t="str">
            <v>Invoice</v>
          </cell>
          <cell r="D4314">
            <v>38526</v>
          </cell>
          <cell r="F4314" t="str">
            <v>6030-I</v>
          </cell>
          <cell r="G4314" t="str">
            <v>Sony Style #51</v>
          </cell>
          <cell r="H4314">
            <v>2</v>
          </cell>
        </row>
        <row r="4315">
          <cell r="B4315" t="str">
            <v>ESS - SCENT SERVICE</v>
          </cell>
          <cell r="C4315" t="str">
            <v>Invoice</v>
          </cell>
          <cell r="D4315">
            <v>38526</v>
          </cell>
          <cell r="F4315" t="str">
            <v>5544</v>
          </cell>
          <cell r="G4315" t="str">
            <v>Sony Style #57</v>
          </cell>
          <cell r="H4315">
            <v>2</v>
          </cell>
        </row>
        <row r="4316">
          <cell r="B4316" t="str">
            <v>ESS - SCENT SERVICE</v>
          </cell>
          <cell r="C4316" t="str">
            <v>Invoice</v>
          </cell>
          <cell r="D4316">
            <v>38526</v>
          </cell>
          <cell r="F4316" t="str">
            <v>5548</v>
          </cell>
          <cell r="G4316" t="str">
            <v>Sony Style #55</v>
          </cell>
          <cell r="H4316">
            <v>2</v>
          </cell>
        </row>
        <row r="4317">
          <cell r="B4317" t="str">
            <v>ESS - SCENT SERVICE</v>
          </cell>
          <cell r="C4317" t="str">
            <v>Invoice</v>
          </cell>
          <cell r="D4317">
            <v>38526</v>
          </cell>
          <cell r="F4317" t="str">
            <v>6192</v>
          </cell>
          <cell r="G4317" t="str">
            <v>Sony Style #60</v>
          </cell>
          <cell r="H4317">
            <v>2</v>
          </cell>
        </row>
        <row r="4318">
          <cell r="B4318" t="str">
            <v>ESS - SCENT SERVICE</v>
          </cell>
          <cell r="C4318" t="str">
            <v>Invoice</v>
          </cell>
          <cell r="D4318">
            <v>38530</v>
          </cell>
          <cell r="F4318" t="str">
            <v>5537-I</v>
          </cell>
          <cell r="G4318" t="str">
            <v>Sony Style #64</v>
          </cell>
          <cell r="H4318">
            <v>2</v>
          </cell>
        </row>
        <row r="4319">
          <cell r="B4319" t="str">
            <v>ESS - SCENT SERVICE</v>
          </cell>
          <cell r="C4319" t="str">
            <v>Invoice</v>
          </cell>
          <cell r="D4319">
            <v>38530</v>
          </cell>
          <cell r="F4319" t="str">
            <v>6306</v>
          </cell>
          <cell r="G4319" t="str">
            <v>Hustler Hollywood - Cincinnati, OH</v>
          </cell>
          <cell r="H4319">
            <v>2</v>
          </cell>
        </row>
        <row r="4320">
          <cell r="B4320" t="str">
            <v>ESS - SCENT SERVICE</v>
          </cell>
          <cell r="C4320" t="str">
            <v>Invoice</v>
          </cell>
          <cell r="D4320">
            <v>38530</v>
          </cell>
          <cell r="F4320" t="str">
            <v>6266</v>
          </cell>
          <cell r="G4320" t="str">
            <v>Hustler Hollywood - Monroe, OH</v>
          </cell>
          <cell r="H4320">
            <v>2</v>
          </cell>
        </row>
        <row r="4321">
          <cell r="B4321" t="str">
            <v>ESS - SCENT SERVICE</v>
          </cell>
          <cell r="C4321" t="str">
            <v>Invoice</v>
          </cell>
          <cell r="D4321">
            <v>38533</v>
          </cell>
          <cell r="F4321" t="str">
            <v>5562-I</v>
          </cell>
          <cell r="G4321" t="str">
            <v>Universal Studios Orlando:Islands of Adventure Foods</v>
          </cell>
          <cell r="H4321">
            <v>2</v>
          </cell>
        </row>
        <row r="4322">
          <cell r="B4322" t="str">
            <v>ESS - SCENT SERVICE</v>
          </cell>
          <cell r="C4322" t="str">
            <v>Invoice</v>
          </cell>
          <cell r="D4322">
            <v>38533</v>
          </cell>
          <cell r="F4322" t="str">
            <v>7027</v>
          </cell>
          <cell r="G4322" t="str">
            <v>Hustler Hollywood - Monroe, OH</v>
          </cell>
          <cell r="H4322">
            <v>2</v>
          </cell>
        </row>
        <row r="4323">
          <cell r="B4323" t="str">
            <v>ESS - SCENT SERVICE</v>
          </cell>
          <cell r="C4323" t="str">
            <v>Invoice</v>
          </cell>
          <cell r="D4323">
            <v>38542</v>
          </cell>
          <cell r="F4323" t="str">
            <v>6322</v>
          </cell>
          <cell r="G4323" t="str">
            <v>Disney Worldwide:Goofy's Candy Company</v>
          </cell>
          <cell r="H4323">
            <v>2</v>
          </cell>
        </row>
        <row r="4324">
          <cell r="B4324" t="str">
            <v>ESS - SCENT SERVICE</v>
          </cell>
          <cell r="C4324" t="str">
            <v>Invoice</v>
          </cell>
          <cell r="D4324">
            <v>38542</v>
          </cell>
          <cell r="F4324" t="str">
            <v>6352</v>
          </cell>
          <cell r="G4324" t="str">
            <v>Florida Aquarium</v>
          </cell>
          <cell r="H4324">
            <v>2</v>
          </cell>
        </row>
        <row r="4325">
          <cell r="B4325" t="str">
            <v>ESS - SCENT SERVICE</v>
          </cell>
          <cell r="C4325" t="str">
            <v>Invoice</v>
          </cell>
          <cell r="D4325">
            <v>38542</v>
          </cell>
          <cell r="F4325" t="str">
            <v>6301</v>
          </cell>
          <cell r="G4325" t="str">
            <v>M &amp; M World</v>
          </cell>
          <cell r="H4325">
            <v>2</v>
          </cell>
        </row>
        <row r="4326">
          <cell r="B4326" t="str">
            <v>ESS - SCENT SERVICE</v>
          </cell>
          <cell r="C4326" t="str">
            <v>Invoice</v>
          </cell>
          <cell r="D4326">
            <v>38546</v>
          </cell>
          <cell r="F4326" t="str">
            <v>7140</v>
          </cell>
          <cell r="G4326" t="str">
            <v>Muzak, LLC:Eastern Mountain Sports:EMS - Concord</v>
          </cell>
          <cell r="H4326">
            <v>2</v>
          </cell>
        </row>
        <row r="4327">
          <cell r="B4327" t="str">
            <v>ESS - SCENT SERVICE</v>
          </cell>
          <cell r="C4327" t="str">
            <v>Invoice</v>
          </cell>
          <cell r="D4327">
            <v>38546</v>
          </cell>
          <cell r="F4327" t="str">
            <v>7139</v>
          </cell>
          <cell r="G4327" t="str">
            <v>Muzak, LLC:Eastern Mountain Sports:EMS - Portland</v>
          </cell>
          <cell r="H4327">
            <v>2</v>
          </cell>
        </row>
        <row r="4328">
          <cell r="B4328" t="str">
            <v>ESS - SCENT SERVICE</v>
          </cell>
          <cell r="C4328" t="str">
            <v>Invoice</v>
          </cell>
          <cell r="D4328">
            <v>38548</v>
          </cell>
          <cell r="F4328" t="str">
            <v>6393</v>
          </cell>
          <cell r="G4328" t="str">
            <v>Hustler Hollywood - Nashville, TN</v>
          </cell>
          <cell r="H4328">
            <v>2</v>
          </cell>
        </row>
        <row r="4329">
          <cell r="B4329" t="str">
            <v>ESS - SCENT SERVICE</v>
          </cell>
          <cell r="C4329" t="str">
            <v>Invoice</v>
          </cell>
          <cell r="D4329">
            <v>38553</v>
          </cell>
          <cell r="F4329" t="str">
            <v>7175</v>
          </cell>
          <cell r="G4329" t="str">
            <v>Harley Davidson of Cool Springs</v>
          </cell>
          <cell r="H4329">
            <v>2</v>
          </cell>
        </row>
        <row r="4330">
          <cell r="B4330" t="str">
            <v>ESS - SCENT SERVICE</v>
          </cell>
          <cell r="C4330" t="str">
            <v>Invoice</v>
          </cell>
          <cell r="D4330">
            <v>38555</v>
          </cell>
          <cell r="F4330" t="str">
            <v>6027</v>
          </cell>
          <cell r="G4330" t="str">
            <v>Sony Style #53</v>
          </cell>
          <cell r="H4330">
            <v>2</v>
          </cell>
        </row>
        <row r="4331">
          <cell r="B4331" t="str">
            <v>ESS - SCENT SERVICE</v>
          </cell>
          <cell r="C4331" t="str">
            <v>Invoice</v>
          </cell>
          <cell r="D4331">
            <v>38555</v>
          </cell>
          <cell r="F4331" t="str">
            <v>6025-I</v>
          </cell>
          <cell r="G4331" t="str">
            <v>Sony Style #54</v>
          </cell>
          <cell r="H4331">
            <v>2</v>
          </cell>
        </row>
        <row r="4332">
          <cell r="B4332" t="str">
            <v>ESS - SCENT SERVICE</v>
          </cell>
          <cell r="C4332" t="str">
            <v>Invoice</v>
          </cell>
          <cell r="D4332">
            <v>38555</v>
          </cell>
          <cell r="F4332" t="str">
            <v>6031-I</v>
          </cell>
          <cell r="G4332" t="str">
            <v>Sony Style #51</v>
          </cell>
          <cell r="H4332">
            <v>2</v>
          </cell>
        </row>
        <row r="4333">
          <cell r="B4333" t="str">
            <v>ESS - SCENT SERVICE</v>
          </cell>
          <cell r="C4333" t="str">
            <v>Invoice</v>
          </cell>
          <cell r="D4333">
            <v>38555</v>
          </cell>
          <cell r="F4333" t="str">
            <v>6033-I</v>
          </cell>
          <cell r="G4333" t="str">
            <v>Sony Style #49</v>
          </cell>
          <cell r="H4333">
            <v>2</v>
          </cell>
        </row>
        <row r="4334">
          <cell r="B4334" t="str">
            <v>ESS - SCENT SERVICE</v>
          </cell>
          <cell r="C4334" t="str">
            <v>Invoice</v>
          </cell>
          <cell r="D4334">
            <v>38555</v>
          </cell>
          <cell r="F4334" t="str">
            <v>6029-I</v>
          </cell>
          <cell r="G4334" t="str">
            <v>Sony Style #52</v>
          </cell>
          <cell r="H4334">
            <v>2</v>
          </cell>
        </row>
        <row r="4335">
          <cell r="B4335" t="str">
            <v>ESS - SCENT SERVICE</v>
          </cell>
          <cell r="C4335" t="str">
            <v>Invoice</v>
          </cell>
          <cell r="D4335">
            <v>38555</v>
          </cell>
          <cell r="F4335" t="str">
            <v>6331</v>
          </cell>
          <cell r="G4335" t="str">
            <v>Sony Style #60</v>
          </cell>
          <cell r="H4335">
            <v>2</v>
          </cell>
        </row>
        <row r="4336">
          <cell r="B4336" t="str">
            <v>ESS - SCENT SERVICE</v>
          </cell>
          <cell r="C4336" t="str">
            <v>Invoice</v>
          </cell>
          <cell r="D4336">
            <v>38555</v>
          </cell>
          <cell r="F4336" t="str">
            <v>5545-I</v>
          </cell>
          <cell r="G4336" t="str">
            <v>Sony Style #57</v>
          </cell>
          <cell r="H4336">
            <v>2</v>
          </cell>
        </row>
        <row r="4337">
          <cell r="B4337" t="str">
            <v>ESS - SCENT SERVICE</v>
          </cell>
          <cell r="C4337" t="str">
            <v>Invoice</v>
          </cell>
          <cell r="D4337">
            <v>38555</v>
          </cell>
          <cell r="F4337" t="str">
            <v>5541-I</v>
          </cell>
          <cell r="G4337" t="str">
            <v>Sony Style #61</v>
          </cell>
          <cell r="H4337">
            <v>2</v>
          </cell>
        </row>
        <row r="4338">
          <cell r="B4338" t="str">
            <v>ESS - SCENT SERVICE</v>
          </cell>
          <cell r="C4338" t="str">
            <v>Invoice</v>
          </cell>
          <cell r="D4338">
            <v>38555</v>
          </cell>
          <cell r="F4338" t="str">
            <v>5543</v>
          </cell>
          <cell r="G4338" t="str">
            <v>Sony Style #58</v>
          </cell>
          <cell r="H4338">
            <v>2</v>
          </cell>
        </row>
        <row r="4339">
          <cell r="B4339" t="str">
            <v>ESS - SCENT SERVICE</v>
          </cell>
          <cell r="C4339" t="str">
            <v>Invoice</v>
          </cell>
          <cell r="D4339">
            <v>38555</v>
          </cell>
          <cell r="F4339" t="str">
            <v>5539</v>
          </cell>
          <cell r="G4339" t="str">
            <v>Sony Style #63</v>
          </cell>
          <cell r="H4339">
            <v>2</v>
          </cell>
        </row>
        <row r="4340">
          <cell r="B4340" t="str">
            <v>ESS - SCENT SERVICE</v>
          </cell>
          <cell r="C4340" t="str">
            <v>Invoice</v>
          </cell>
          <cell r="D4340">
            <v>38555</v>
          </cell>
          <cell r="F4340" t="str">
            <v>5547</v>
          </cell>
          <cell r="G4340" t="str">
            <v>Sony Style #56</v>
          </cell>
          <cell r="H4340">
            <v>2</v>
          </cell>
        </row>
        <row r="4341">
          <cell r="B4341" t="str">
            <v>ESS - SCENT SERVICE</v>
          </cell>
          <cell r="C4341" t="str">
            <v>Invoice</v>
          </cell>
          <cell r="D4341">
            <v>38555</v>
          </cell>
          <cell r="F4341" t="str">
            <v>6329</v>
          </cell>
          <cell r="G4341" t="str">
            <v>Hustler Hollywood - Cincinnati, OH</v>
          </cell>
          <cell r="H4341">
            <v>2</v>
          </cell>
        </row>
        <row r="4342">
          <cell r="B4342" t="str">
            <v>ESS - SCENT SERVICE</v>
          </cell>
          <cell r="C4342" t="str">
            <v>Invoice</v>
          </cell>
          <cell r="D4342">
            <v>38555</v>
          </cell>
          <cell r="F4342" t="str">
            <v>5549-I</v>
          </cell>
          <cell r="G4342" t="str">
            <v>Sony Style #55</v>
          </cell>
          <cell r="H4342">
            <v>2</v>
          </cell>
        </row>
        <row r="4343">
          <cell r="B4343" t="str">
            <v>ESS - SCENT SERVICE</v>
          </cell>
          <cell r="C4343" t="str">
            <v>Invoice</v>
          </cell>
          <cell r="D4343">
            <v>38555</v>
          </cell>
          <cell r="F4343" t="str">
            <v>6238</v>
          </cell>
          <cell r="G4343" t="str">
            <v>Sony Style #xx (Kenwood Ctr)</v>
          </cell>
          <cell r="H4343">
            <v>2</v>
          </cell>
        </row>
        <row r="4344">
          <cell r="B4344" t="str">
            <v>ESS - SCENT SERVICE</v>
          </cell>
          <cell r="C4344" t="str">
            <v>Invoice</v>
          </cell>
          <cell r="D4344">
            <v>38558</v>
          </cell>
          <cell r="F4344" t="str">
            <v>5565</v>
          </cell>
          <cell r="G4344" t="str">
            <v>Hustler Hollywood - Monroe, OH</v>
          </cell>
          <cell r="H4344">
            <v>2</v>
          </cell>
        </row>
        <row r="4345">
          <cell r="B4345" t="str">
            <v>ESS - SCENT SERVICE</v>
          </cell>
          <cell r="C4345" t="str">
            <v>Invoice</v>
          </cell>
          <cell r="D4345">
            <v>38562</v>
          </cell>
          <cell r="F4345" t="str">
            <v>6384</v>
          </cell>
          <cell r="G4345" t="str">
            <v>Universal Studios Orlando:Islands of Adventure Foods</v>
          </cell>
          <cell r="H4345">
            <v>2</v>
          </cell>
        </row>
        <row r="4346">
          <cell r="B4346" t="str">
            <v>ESS - SCENT SERVICE</v>
          </cell>
          <cell r="C4346" t="str">
            <v>Invoice</v>
          </cell>
          <cell r="D4346">
            <v>38569</v>
          </cell>
          <cell r="F4346" t="str">
            <v>5582</v>
          </cell>
          <cell r="G4346" t="str">
            <v>Florida Aquarium</v>
          </cell>
          <cell r="H4346">
            <v>2</v>
          </cell>
        </row>
        <row r="4347">
          <cell r="B4347" t="str">
            <v>ESS - SCENT SERVICE</v>
          </cell>
          <cell r="C4347" t="str">
            <v>Invoice</v>
          </cell>
          <cell r="D4347">
            <v>38572</v>
          </cell>
          <cell r="F4347" t="str">
            <v>7313</v>
          </cell>
          <cell r="G4347" t="str">
            <v>Canadian Niagara Hotels:The Hershey Store</v>
          </cell>
          <cell r="H4347">
            <v>2</v>
          </cell>
        </row>
        <row r="4348">
          <cell r="B4348" t="str">
            <v>ESS - SCENT SERVICE</v>
          </cell>
          <cell r="C4348" t="str">
            <v>Invoice</v>
          </cell>
          <cell r="D4348">
            <v>38573</v>
          </cell>
          <cell r="F4348" t="str">
            <v>5596-I</v>
          </cell>
          <cell r="G4348" t="str">
            <v>M &amp; M World</v>
          </cell>
          <cell r="H4348">
            <v>2</v>
          </cell>
        </row>
        <row r="4349">
          <cell r="B4349" t="str">
            <v>ESS - SCENT SERVICE</v>
          </cell>
          <cell r="C4349" t="str">
            <v>Invoice</v>
          </cell>
          <cell r="D4349">
            <v>38573</v>
          </cell>
          <cell r="F4349" t="str">
            <v>5595-I</v>
          </cell>
          <cell r="G4349" t="str">
            <v>Disney Worldwide:Goofy's Candy Company</v>
          </cell>
          <cell r="H4349">
            <v>2</v>
          </cell>
        </row>
        <row r="4350">
          <cell r="B4350" t="str">
            <v>ESS - SCENT SERVICE</v>
          </cell>
          <cell r="C4350" t="str">
            <v>Invoice</v>
          </cell>
          <cell r="D4350">
            <v>38574</v>
          </cell>
          <cell r="F4350" t="str">
            <v>7348</v>
          </cell>
          <cell r="G4350" t="str">
            <v>Sony Style #XX Fashion Center</v>
          </cell>
          <cell r="H4350">
            <v>2</v>
          </cell>
        </row>
        <row r="4351">
          <cell r="B4351" t="str">
            <v>ESS - SCENT SERVICE</v>
          </cell>
          <cell r="C4351" t="str">
            <v>Invoice</v>
          </cell>
          <cell r="D4351">
            <v>38576</v>
          </cell>
          <cell r="F4351" t="str">
            <v>7370</v>
          </cell>
          <cell r="G4351" t="str">
            <v>Muzak, LLC:Appliance Direct - 034973</v>
          </cell>
          <cell r="H4351">
            <v>2</v>
          </cell>
        </row>
        <row r="4352">
          <cell r="B4352" t="str">
            <v>ESS - SCENT SERVICE</v>
          </cell>
          <cell r="C4352" t="str">
            <v>Invoice</v>
          </cell>
          <cell r="D4352">
            <v>38576</v>
          </cell>
          <cell r="F4352" t="str">
            <v>7369</v>
          </cell>
          <cell r="G4352" t="str">
            <v>Muzak, LLC:Appliance Direct - 034972</v>
          </cell>
          <cell r="H4352">
            <v>2</v>
          </cell>
        </row>
        <row r="4353">
          <cell r="B4353" t="str">
            <v>ESS - SCENT SERVICE</v>
          </cell>
          <cell r="C4353" t="str">
            <v>Invoice</v>
          </cell>
          <cell r="D4353">
            <v>38576</v>
          </cell>
          <cell r="F4353" t="str">
            <v>7368</v>
          </cell>
          <cell r="G4353" t="str">
            <v>Muzak, LLC:Appliance Direct - 034971</v>
          </cell>
          <cell r="H4353">
            <v>2</v>
          </cell>
        </row>
        <row r="4354">
          <cell r="B4354" t="str">
            <v>ESS - SCENT SERVICE</v>
          </cell>
          <cell r="C4354" t="str">
            <v>Invoice</v>
          </cell>
          <cell r="D4354">
            <v>38576</v>
          </cell>
          <cell r="F4354" t="str">
            <v>7387</v>
          </cell>
          <cell r="G4354" t="str">
            <v>Muzak, LLC:Appliance Direct -035133</v>
          </cell>
          <cell r="H4354">
            <v>2</v>
          </cell>
        </row>
        <row r="4355">
          <cell r="B4355" t="str">
            <v>ESS - SCENT SERVICE</v>
          </cell>
          <cell r="C4355" t="str">
            <v>Invoice</v>
          </cell>
          <cell r="D4355">
            <v>38576</v>
          </cell>
          <cell r="F4355" t="str">
            <v>7386</v>
          </cell>
          <cell r="G4355" t="str">
            <v>Muzak, LLC:Appliance Direct - Pro Kitchen</v>
          </cell>
          <cell r="H4355">
            <v>2</v>
          </cell>
        </row>
        <row r="4356">
          <cell r="B4356" t="str">
            <v>ESS - SCENT SERVICE</v>
          </cell>
          <cell r="C4356" t="str">
            <v>Invoice</v>
          </cell>
          <cell r="D4356">
            <v>38576</v>
          </cell>
          <cell r="F4356" t="str">
            <v>7385</v>
          </cell>
          <cell r="G4356" t="str">
            <v>Muzak, LLC:Appliance Direct - 034975</v>
          </cell>
          <cell r="H4356">
            <v>2</v>
          </cell>
        </row>
        <row r="4357">
          <cell r="B4357" t="str">
            <v>ESS - SCENT SERVICE</v>
          </cell>
          <cell r="C4357" t="str">
            <v>Invoice</v>
          </cell>
          <cell r="D4357">
            <v>38576</v>
          </cell>
          <cell r="F4357" t="str">
            <v>7384</v>
          </cell>
          <cell r="G4357" t="str">
            <v>Muzak, LLC:Appliance Direct - 043548</v>
          </cell>
          <cell r="H4357">
            <v>2</v>
          </cell>
        </row>
        <row r="4358">
          <cell r="B4358" t="str">
            <v>ESS - SCENT SERVICE</v>
          </cell>
          <cell r="C4358" t="str">
            <v>Invoice</v>
          </cell>
          <cell r="D4358">
            <v>38576</v>
          </cell>
          <cell r="F4358" t="str">
            <v>7383</v>
          </cell>
          <cell r="G4358" t="str">
            <v>Muzak, LLC:Appliance Direct - 043547</v>
          </cell>
          <cell r="H4358">
            <v>2</v>
          </cell>
        </row>
        <row r="4359">
          <cell r="B4359" t="str">
            <v>ESS - SCENT SERVICE</v>
          </cell>
          <cell r="C4359" t="str">
            <v>Invoice</v>
          </cell>
          <cell r="D4359">
            <v>38576</v>
          </cell>
          <cell r="F4359" t="str">
            <v>7382</v>
          </cell>
          <cell r="G4359" t="str">
            <v>Muzak, LLC:Appliance Direct - 043545</v>
          </cell>
          <cell r="H4359">
            <v>2</v>
          </cell>
        </row>
        <row r="4360">
          <cell r="B4360" t="str">
            <v>ESS - SCENT SERVICE</v>
          </cell>
          <cell r="C4360" t="str">
            <v>Invoice</v>
          </cell>
          <cell r="D4360">
            <v>38576</v>
          </cell>
          <cell r="F4360" t="str">
            <v>7381</v>
          </cell>
          <cell r="G4360" t="str">
            <v>Muzak, LLC:Appliance Direct - 043544</v>
          </cell>
          <cell r="H4360">
            <v>2</v>
          </cell>
        </row>
        <row r="4361">
          <cell r="B4361" t="str">
            <v>ESS - SCENT SERVICE</v>
          </cell>
          <cell r="C4361" t="str">
            <v>Invoice</v>
          </cell>
          <cell r="D4361">
            <v>38576</v>
          </cell>
          <cell r="F4361" t="str">
            <v>7380</v>
          </cell>
          <cell r="G4361" t="str">
            <v>Muzak, LLC:Appliance Direct - 042201</v>
          </cell>
          <cell r="H4361">
            <v>2</v>
          </cell>
        </row>
        <row r="4362">
          <cell r="B4362" t="str">
            <v>ESS - SCENT SERVICE</v>
          </cell>
          <cell r="C4362" t="str">
            <v>Invoice</v>
          </cell>
          <cell r="D4362">
            <v>38576</v>
          </cell>
          <cell r="F4362" t="str">
            <v>7379</v>
          </cell>
          <cell r="G4362" t="str">
            <v>Muzak, LLC:Appliance Direct - 042176</v>
          </cell>
          <cell r="H4362">
            <v>2</v>
          </cell>
        </row>
        <row r="4363">
          <cell r="B4363" t="str">
            <v>ESS - SCENT SERVICE</v>
          </cell>
          <cell r="C4363" t="str">
            <v>Invoice</v>
          </cell>
          <cell r="D4363">
            <v>38576</v>
          </cell>
          <cell r="F4363" t="str">
            <v>7377</v>
          </cell>
          <cell r="G4363" t="str">
            <v>Muzak, LLC:Appliance Direct - 042172</v>
          </cell>
          <cell r="H4363">
            <v>2</v>
          </cell>
        </row>
        <row r="4364">
          <cell r="B4364" t="str">
            <v>ESS - SCENT SERVICE</v>
          </cell>
          <cell r="C4364" t="str">
            <v>Invoice</v>
          </cell>
          <cell r="D4364">
            <v>38576</v>
          </cell>
          <cell r="F4364" t="str">
            <v>7376</v>
          </cell>
          <cell r="G4364" t="str">
            <v>Muzak, LLC:Appliance Direct - 038915</v>
          </cell>
          <cell r="H4364">
            <v>2</v>
          </cell>
        </row>
        <row r="4365">
          <cell r="B4365" t="str">
            <v>ESS - SCENT SERVICE</v>
          </cell>
          <cell r="C4365" t="str">
            <v>Invoice</v>
          </cell>
          <cell r="D4365">
            <v>38576</v>
          </cell>
          <cell r="F4365" t="str">
            <v>7375</v>
          </cell>
          <cell r="G4365" t="str">
            <v>Muzak, LLC:Appliance Direct - 038914</v>
          </cell>
          <cell r="H4365">
            <v>2</v>
          </cell>
        </row>
        <row r="4366">
          <cell r="B4366" t="str">
            <v>ESS - SCENT SERVICE</v>
          </cell>
          <cell r="C4366" t="str">
            <v>Invoice</v>
          </cell>
          <cell r="D4366">
            <v>38576</v>
          </cell>
          <cell r="F4366" t="str">
            <v>7374</v>
          </cell>
          <cell r="G4366" t="str">
            <v>Muzak, LLC:Appliance Direct - 035387</v>
          </cell>
          <cell r="H4366">
            <v>2</v>
          </cell>
        </row>
        <row r="4367">
          <cell r="B4367" t="str">
            <v>ESS - SCENT SERVICE</v>
          </cell>
          <cell r="C4367" t="str">
            <v>Invoice</v>
          </cell>
          <cell r="D4367">
            <v>38576</v>
          </cell>
          <cell r="F4367" t="str">
            <v>7373</v>
          </cell>
          <cell r="G4367" t="str">
            <v>Muzak, LLC:Appliance Direct - 034977</v>
          </cell>
          <cell r="H4367">
            <v>2</v>
          </cell>
        </row>
        <row r="4368">
          <cell r="B4368" t="str">
            <v>ESS - SCENT SERVICE</v>
          </cell>
          <cell r="C4368" t="str">
            <v>Invoice</v>
          </cell>
          <cell r="D4368">
            <v>38576</v>
          </cell>
          <cell r="F4368" t="str">
            <v>7372</v>
          </cell>
          <cell r="G4368" t="str">
            <v>Muzak, LLC:Appliance Direct - 034976</v>
          </cell>
          <cell r="H4368">
            <v>2</v>
          </cell>
        </row>
        <row r="4369">
          <cell r="B4369" t="str">
            <v>ESS - SCENT SERVICE</v>
          </cell>
          <cell r="C4369" t="str">
            <v>Invoice</v>
          </cell>
          <cell r="D4369">
            <v>38576</v>
          </cell>
          <cell r="F4369" t="str">
            <v>7371</v>
          </cell>
          <cell r="G4369" t="str">
            <v>Muzak, LLC:Appliance Direct - 034974</v>
          </cell>
          <cell r="H4369">
            <v>2</v>
          </cell>
        </row>
        <row r="4370">
          <cell r="B4370" t="str">
            <v>ESS - SCENT SERVICE</v>
          </cell>
          <cell r="C4370" t="str">
            <v>Invoice</v>
          </cell>
          <cell r="D4370">
            <v>38579</v>
          </cell>
          <cell r="F4370" t="str">
            <v>7180</v>
          </cell>
          <cell r="G4370" t="str">
            <v>Harley Davidson of Cool Springs</v>
          </cell>
          <cell r="H4370">
            <v>2</v>
          </cell>
        </row>
        <row r="4371">
          <cell r="B4371" t="str">
            <v>ESS - SCENT SERVICE</v>
          </cell>
          <cell r="C4371" t="str">
            <v>Invoice</v>
          </cell>
          <cell r="D4371">
            <v>38586</v>
          </cell>
          <cell r="F4371" t="str">
            <v>7643</v>
          </cell>
          <cell r="G4371" t="str">
            <v>Muzak, LLC:Banks D. Kerr Family YMCA</v>
          </cell>
          <cell r="H4371">
            <v>2</v>
          </cell>
        </row>
        <row r="4372">
          <cell r="B4372" t="str">
            <v>ESS - SCENT SERVICE</v>
          </cell>
          <cell r="C4372" t="str">
            <v>Invoice</v>
          </cell>
          <cell r="D4372">
            <v>38587</v>
          </cell>
          <cell r="F4372" t="str">
            <v>7109</v>
          </cell>
          <cell r="G4372" t="str">
            <v>Sony Style #58</v>
          </cell>
          <cell r="H4372">
            <v>2</v>
          </cell>
        </row>
        <row r="4373">
          <cell r="B4373" t="str">
            <v>ESS - SCENT SERVICE</v>
          </cell>
          <cell r="C4373" t="str">
            <v>Invoice</v>
          </cell>
          <cell r="D4373">
            <v>38587</v>
          </cell>
          <cell r="F4373" t="str">
            <v>7104</v>
          </cell>
          <cell r="G4373" t="str">
            <v>Sony Style #66</v>
          </cell>
          <cell r="H4373">
            <v>2</v>
          </cell>
        </row>
        <row r="4374">
          <cell r="B4374" t="str">
            <v>ESS - SCENT SERVICE</v>
          </cell>
          <cell r="C4374" t="str">
            <v>Invoice</v>
          </cell>
          <cell r="D4374">
            <v>38587</v>
          </cell>
          <cell r="F4374" t="str">
            <v>7105</v>
          </cell>
          <cell r="G4374" t="str">
            <v>Sony Style #xx (Kenwood Ctr)</v>
          </cell>
          <cell r="H4374">
            <v>2</v>
          </cell>
        </row>
        <row r="4375">
          <cell r="B4375" t="str">
            <v>ESS - SCENT SERVICE</v>
          </cell>
          <cell r="C4375" t="str">
            <v>Invoice</v>
          </cell>
          <cell r="D4375">
            <v>38587</v>
          </cell>
          <cell r="F4375" t="str">
            <v>7106</v>
          </cell>
          <cell r="G4375" t="str">
            <v>Sony Style #64</v>
          </cell>
          <cell r="H4375">
            <v>2</v>
          </cell>
        </row>
        <row r="4376">
          <cell r="B4376" t="str">
            <v>ESS - SCENT SERVICE</v>
          </cell>
          <cell r="C4376" t="str">
            <v>Invoice</v>
          </cell>
          <cell r="D4376">
            <v>38587</v>
          </cell>
          <cell r="F4376" t="str">
            <v>7107</v>
          </cell>
          <cell r="G4376" t="str">
            <v>Sony Style #63</v>
          </cell>
          <cell r="H4376">
            <v>2</v>
          </cell>
        </row>
        <row r="4377">
          <cell r="B4377" t="str">
            <v>ESS - SCENT SERVICE</v>
          </cell>
          <cell r="C4377" t="str">
            <v>Invoice</v>
          </cell>
          <cell r="D4377">
            <v>38587</v>
          </cell>
          <cell r="F4377" t="str">
            <v>7108</v>
          </cell>
          <cell r="G4377" t="str">
            <v>Sony Style #61</v>
          </cell>
          <cell r="H4377">
            <v>2</v>
          </cell>
        </row>
        <row r="4378">
          <cell r="B4378" t="str">
            <v>ESS - SCENT SERVICE</v>
          </cell>
          <cell r="C4378" t="str">
            <v>Invoice</v>
          </cell>
          <cell r="D4378">
            <v>38587</v>
          </cell>
          <cell r="F4378" t="str">
            <v>7110</v>
          </cell>
          <cell r="G4378" t="str">
            <v>Sony Style #57</v>
          </cell>
          <cell r="H4378">
            <v>2</v>
          </cell>
        </row>
        <row r="4379">
          <cell r="B4379" t="str">
            <v>ESS - SCENT SERVICE</v>
          </cell>
          <cell r="C4379" t="str">
            <v>Invoice</v>
          </cell>
          <cell r="D4379">
            <v>38587</v>
          </cell>
          <cell r="F4379" t="str">
            <v>7111</v>
          </cell>
          <cell r="G4379" t="str">
            <v>Sony Style #56</v>
          </cell>
          <cell r="H4379">
            <v>2</v>
          </cell>
        </row>
        <row r="4380">
          <cell r="B4380" t="str">
            <v>ESS - SCENT SERVICE</v>
          </cell>
          <cell r="C4380" t="str">
            <v>Invoice</v>
          </cell>
          <cell r="D4380">
            <v>38587</v>
          </cell>
          <cell r="F4380" t="str">
            <v>7112</v>
          </cell>
          <cell r="G4380" t="str">
            <v>Sony Style #55</v>
          </cell>
          <cell r="H4380">
            <v>2</v>
          </cell>
        </row>
        <row r="4381">
          <cell r="B4381" t="str">
            <v>ESS - SCENT SERVICE</v>
          </cell>
          <cell r="C4381" t="str">
            <v>Invoice</v>
          </cell>
          <cell r="D4381">
            <v>38587</v>
          </cell>
          <cell r="F4381" t="str">
            <v>7113</v>
          </cell>
          <cell r="G4381" t="str">
            <v>Sony Style #54</v>
          </cell>
          <cell r="H4381">
            <v>2</v>
          </cell>
        </row>
        <row r="4382">
          <cell r="B4382" t="str">
            <v>ESS - SCENT SERVICE</v>
          </cell>
          <cell r="C4382" t="str">
            <v>Invoice</v>
          </cell>
          <cell r="D4382">
            <v>38587</v>
          </cell>
          <cell r="F4382" t="str">
            <v>7114</v>
          </cell>
          <cell r="G4382" t="str">
            <v>Sony Style #53</v>
          </cell>
          <cell r="H4382">
            <v>2</v>
          </cell>
        </row>
        <row r="4383">
          <cell r="B4383" t="str">
            <v>ESS - SCENT SERVICE</v>
          </cell>
          <cell r="C4383" t="str">
            <v>Invoice</v>
          </cell>
          <cell r="D4383">
            <v>38587</v>
          </cell>
          <cell r="F4383" t="str">
            <v>7115</v>
          </cell>
          <cell r="G4383" t="str">
            <v>Sony Style #52</v>
          </cell>
          <cell r="H4383">
            <v>2</v>
          </cell>
        </row>
        <row r="4384">
          <cell r="B4384" t="str">
            <v>ESS - SCENT SERVICE</v>
          </cell>
          <cell r="C4384" t="str">
            <v>Invoice</v>
          </cell>
          <cell r="D4384">
            <v>38587</v>
          </cell>
          <cell r="F4384" t="str">
            <v>7116</v>
          </cell>
          <cell r="G4384" t="str">
            <v>Sony Style #51</v>
          </cell>
          <cell r="H4384">
            <v>2</v>
          </cell>
        </row>
        <row r="4385">
          <cell r="B4385" t="str">
            <v>ESS - SCENT SERVICE</v>
          </cell>
          <cell r="C4385" t="str">
            <v>Invoice</v>
          </cell>
          <cell r="D4385">
            <v>38587</v>
          </cell>
          <cell r="F4385" t="str">
            <v>7117</v>
          </cell>
          <cell r="G4385" t="str">
            <v>Sony Style #49</v>
          </cell>
          <cell r="H4385">
            <v>2</v>
          </cell>
        </row>
        <row r="4386">
          <cell r="B4386" t="str">
            <v>ESS - SCENT SERVICE</v>
          </cell>
          <cell r="C4386" t="str">
            <v>Invoice</v>
          </cell>
          <cell r="D4386">
            <v>38587</v>
          </cell>
          <cell r="F4386" t="str">
            <v>7120</v>
          </cell>
          <cell r="G4386" t="str">
            <v>Sony Style #60</v>
          </cell>
          <cell r="H4386">
            <v>2</v>
          </cell>
        </row>
        <row r="4387">
          <cell r="B4387" t="str">
            <v>ESS - SCENT SERVICE</v>
          </cell>
          <cell r="C4387" t="str">
            <v>Invoice</v>
          </cell>
          <cell r="D4387">
            <v>38587</v>
          </cell>
          <cell r="F4387" t="str">
            <v>7119</v>
          </cell>
          <cell r="G4387" t="str">
            <v>Hustler Hollywood - Cincinnati, OH</v>
          </cell>
          <cell r="H4387">
            <v>2</v>
          </cell>
        </row>
        <row r="4388">
          <cell r="B4388" t="str">
            <v>ESS - SCENT SERVICE</v>
          </cell>
          <cell r="C4388" t="str">
            <v>Invoice</v>
          </cell>
          <cell r="D4388">
            <v>38589</v>
          </cell>
          <cell r="F4388" t="str">
            <v>7693</v>
          </cell>
          <cell r="G4388" t="str">
            <v>Muzak, IA:Texas Wired:Omni Austin Hotel Downtown</v>
          </cell>
          <cell r="H4388">
            <v>2</v>
          </cell>
        </row>
        <row r="4389">
          <cell r="B4389" t="str">
            <v>ESS - SCENT SERVICE</v>
          </cell>
          <cell r="C4389" t="str">
            <v>Invoice</v>
          </cell>
          <cell r="D4389">
            <v>38589</v>
          </cell>
          <cell r="F4389" t="str">
            <v>7129</v>
          </cell>
          <cell r="G4389" t="str">
            <v>Hustler Hollywood - Monroe, OH</v>
          </cell>
          <cell r="H4389">
            <v>2</v>
          </cell>
        </row>
        <row r="4390">
          <cell r="B4390" t="str">
            <v>ESS - SCENT SERVICE</v>
          </cell>
          <cell r="C4390" t="str">
            <v>Invoice</v>
          </cell>
          <cell r="D4390">
            <v>38595</v>
          </cell>
          <cell r="F4390" t="str">
            <v>7149</v>
          </cell>
          <cell r="G4390" t="str">
            <v>Universal Studios Orlando:Islands of Adventure Foods</v>
          </cell>
          <cell r="H4390">
            <v>2</v>
          </cell>
        </row>
        <row r="4391">
          <cell r="B4391" t="str">
            <v>ESS - SCENT SERVICE</v>
          </cell>
          <cell r="C4391" t="str">
            <v>Invoice</v>
          </cell>
          <cell r="D4391">
            <v>38597</v>
          </cell>
          <cell r="F4391" t="str">
            <v>7806</v>
          </cell>
          <cell r="G4391" t="str">
            <v>Muzak, LLC:Spalon @ T Carlton</v>
          </cell>
          <cell r="H4391">
            <v>2</v>
          </cell>
        </row>
        <row r="4392">
          <cell r="B4392" t="str">
            <v>ESS - SCENT SERVICE</v>
          </cell>
          <cell r="C4392" t="str">
            <v>Invoice</v>
          </cell>
          <cell r="D4392">
            <v>38602</v>
          </cell>
          <cell r="F4392" t="str">
            <v>7188</v>
          </cell>
          <cell r="G4392" t="str">
            <v>Florida Aquarium</v>
          </cell>
          <cell r="H4392">
            <v>2</v>
          </cell>
        </row>
        <row r="4393">
          <cell r="B4393" t="str">
            <v>ESS - SCENT SERVICE</v>
          </cell>
          <cell r="C4393" t="str">
            <v>Invoice</v>
          </cell>
          <cell r="D4393">
            <v>38603</v>
          </cell>
          <cell r="F4393" t="str">
            <v>7823</v>
          </cell>
          <cell r="G4393" t="str">
            <v>Skatetown - Roseville</v>
          </cell>
          <cell r="H4393">
            <v>2</v>
          </cell>
        </row>
        <row r="4394">
          <cell r="B4394" t="str">
            <v>ESS - SCENT SERVICE</v>
          </cell>
          <cell r="C4394" t="str">
            <v>Invoice</v>
          </cell>
          <cell r="D4394">
            <v>38603</v>
          </cell>
          <cell r="F4394" t="str">
            <v>7841</v>
          </cell>
          <cell r="G4394" t="str">
            <v>Muzak, LLC:Giant Eagle #6384</v>
          </cell>
          <cell r="H4394">
            <v>2</v>
          </cell>
        </row>
        <row r="4395">
          <cell r="B4395" t="str">
            <v>ESS - SCENT SERVICE</v>
          </cell>
          <cell r="C4395" t="str">
            <v>Invoice</v>
          </cell>
          <cell r="D4395">
            <v>38603</v>
          </cell>
          <cell r="F4395" t="str">
            <v>7214</v>
          </cell>
          <cell r="G4395" t="str">
            <v>M &amp; M World</v>
          </cell>
          <cell r="H4395">
            <v>2</v>
          </cell>
        </row>
        <row r="4396">
          <cell r="B4396" t="str">
            <v>ESS - SCENT SERVICE</v>
          </cell>
          <cell r="C4396" t="str">
            <v>Invoice</v>
          </cell>
          <cell r="D4396">
            <v>38604</v>
          </cell>
          <cell r="F4396" t="str">
            <v>7656</v>
          </cell>
          <cell r="G4396" t="str">
            <v>Sony Style # XX San Antonio</v>
          </cell>
          <cell r="H4396">
            <v>2</v>
          </cell>
        </row>
        <row r="4397">
          <cell r="B4397" t="str">
            <v>ESS - SCENT SERVICE</v>
          </cell>
          <cell r="C4397" t="str">
            <v>Invoice</v>
          </cell>
          <cell r="D4397">
            <v>38604</v>
          </cell>
          <cell r="F4397" t="str">
            <v>7349</v>
          </cell>
          <cell r="G4397" t="str">
            <v>Sony Style #XX Fashion Center</v>
          </cell>
          <cell r="H4397">
            <v>2</v>
          </cell>
        </row>
        <row r="4398">
          <cell r="B4398" t="str">
            <v>ESS - SCENT SERVICE</v>
          </cell>
          <cell r="C4398" t="str">
            <v>Invoice</v>
          </cell>
          <cell r="D4398">
            <v>38604</v>
          </cell>
          <cell r="F4398" t="str">
            <v>7213</v>
          </cell>
          <cell r="G4398" t="str">
            <v>Disney Worldwide:Goofy's Candy Company</v>
          </cell>
          <cell r="H4398">
            <v>2</v>
          </cell>
        </row>
        <row r="4399">
          <cell r="B4399" t="str">
            <v>ESS - SCENT SERVICE</v>
          </cell>
          <cell r="C4399" t="str">
            <v>Invoice</v>
          </cell>
          <cell r="D4399">
            <v>38604</v>
          </cell>
          <cell r="F4399" t="str">
            <v>7213</v>
          </cell>
          <cell r="G4399" t="str">
            <v>Disney Worldwide:Goofy's Candy Company</v>
          </cell>
          <cell r="H4399">
            <v>2</v>
          </cell>
        </row>
        <row r="4400">
          <cell r="B4400" t="str">
            <v>ESS - SCENT SERVICE</v>
          </cell>
          <cell r="C4400" t="str">
            <v>Invoice</v>
          </cell>
          <cell r="D4400">
            <v>38604</v>
          </cell>
          <cell r="F4400" t="str">
            <v>7883</v>
          </cell>
          <cell r="G4400" t="str">
            <v>Muzak, LLC:Gainesville Eye Physicians</v>
          </cell>
          <cell r="H4400">
            <v>2</v>
          </cell>
        </row>
        <row r="4401">
          <cell r="B4401" t="str">
            <v>ESS - SCENT SERVICE</v>
          </cell>
          <cell r="C4401" t="str">
            <v>Invoice</v>
          </cell>
          <cell r="D4401">
            <v>38608</v>
          </cell>
          <cell r="F4401" t="str">
            <v>7911</v>
          </cell>
          <cell r="G4401" t="str">
            <v>Muzak, LLC:Giant Eagle #229</v>
          </cell>
          <cell r="H4401">
            <v>2</v>
          </cell>
        </row>
        <row r="4402">
          <cell r="B4402" t="str">
            <v>ESS - SCENT SERVICE</v>
          </cell>
          <cell r="C4402" t="str">
            <v>Invoice</v>
          </cell>
          <cell r="D4402">
            <v>38608</v>
          </cell>
          <cell r="F4402" t="str">
            <v>7926</v>
          </cell>
          <cell r="G4402" t="str">
            <v>Muzak, LLC:Centex Homes</v>
          </cell>
          <cell r="H4402">
            <v>2</v>
          </cell>
        </row>
        <row r="4403">
          <cell r="B4403" t="str">
            <v>ESS - SCENT SERVICE</v>
          </cell>
          <cell r="C4403" t="str">
            <v>Invoice</v>
          </cell>
          <cell r="D4403">
            <v>38610</v>
          </cell>
          <cell r="F4403" t="str">
            <v>7248</v>
          </cell>
          <cell r="G4403" t="str">
            <v>Harley Davidson of Cool Springs</v>
          </cell>
          <cell r="H4403">
            <v>2</v>
          </cell>
        </row>
        <row r="4404">
          <cell r="B4404" t="str">
            <v>ESS - SCENT SERVICE</v>
          </cell>
          <cell r="C4404" t="str">
            <v>Invoice</v>
          </cell>
          <cell r="D4404">
            <v>38610</v>
          </cell>
          <cell r="F4404" t="str">
            <v>7952</v>
          </cell>
          <cell r="G4404" t="str">
            <v>Muzak, LLC:Flat Rock Grille #201</v>
          </cell>
          <cell r="H4404">
            <v>2</v>
          </cell>
        </row>
        <row r="4405">
          <cell r="B4405" t="str">
            <v>ESS - SCENT SERVICE</v>
          </cell>
          <cell r="C4405" t="str">
            <v>Invoice</v>
          </cell>
          <cell r="D4405">
            <v>38610</v>
          </cell>
          <cell r="F4405" t="str">
            <v>7953</v>
          </cell>
          <cell r="G4405" t="str">
            <v>Muzak, LLC:Flat Rock Grille #200</v>
          </cell>
          <cell r="H4405">
            <v>2</v>
          </cell>
        </row>
        <row r="4406">
          <cell r="B4406" t="str">
            <v>ESS - SCENT SERVICE</v>
          </cell>
          <cell r="C4406" t="str">
            <v>Invoice</v>
          </cell>
          <cell r="D4406">
            <v>38611</v>
          </cell>
          <cell r="F4406" t="str">
            <v>7970</v>
          </cell>
          <cell r="G4406" t="str">
            <v>Muzak, IA:Carolina Sound Communications:Newton Farms</v>
          </cell>
          <cell r="H4406">
            <v>2</v>
          </cell>
        </row>
        <row r="4407">
          <cell r="B4407" t="str">
            <v>ESS - SCENT SERVICE</v>
          </cell>
          <cell r="C4407" t="str">
            <v>Invoice</v>
          </cell>
          <cell r="D4407">
            <v>38614</v>
          </cell>
          <cell r="F4407" t="str">
            <v>7988</v>
          </cell>
          <cell r="G4407" t="str">
            <v>Muzak, LLC:Eastern Mountain Sports:EMS - Concord</v>
          </cell>
          <cell r="H4407">
            <v>2</v>
          </cell>
        </row>
        <row r="4408">
          <cell r="B4408" t="str">
            <v>ESS - SCENT SERVICE</v>
          </cell>
          <cell r="C4408" t="str">
            <v>Invoice</v>
          </cell>
          <cell r="D4408">
            <v>38614</v>
          </cell>
          <cell r="F4408" t="str">
            <v>7989</v>
          </cell>
          <cell r="G4408" t="str">
            <v>Muzak, LLC:Eastern Mountain Sports:EMS - Nashua</v>
          </cell>
          <cell r="H4408">
            <v>2</v>
          </cell>
        </row>
        <row r="4409">
          <cell r="B4409" t="str">
            <v>ESS - SCENT SERVICE</v>
          </cell>
          <cell r="C4409" t="str">
            <v>Invoice</v>
          </cell>
          <cell r="D4409">
            <v>38614</v>
          </cell>
          <cell r="F4409" t="str">
            <v>7990</v>
          </cell>
          <cell r="G4409" t="str">
            <v>Muzak, LLC:Eastern Mountain Sports:EMS - Portland</v>
          </cell>
          <cell r="H4409">
            <v>2</v>
          </cell>
        </row>
        <row r="4410">
          <cell r="B4410" t="str">
            <v>ESS - SCENT SERVICE</v>
          </cell>
          <cell r="C4410" t="str">
            <v>Invoice</v>
          </cell>
          <cell r="D4410">
            <v>38615</v>
          </cell>
          <cell r="F4410" t="str">
            <v>8001</v>
          </cell>
          <cell r="G4410" t="str">
            <v>Macy's #76</v>
          </cell>
          <cell r="H4410">
            <v>2</v>
          </cell>
        </row>
        <row r="4411">
          <cell r="B4411" t="str">
            <v>ESS - SCENT SERVICE</v>
          </cell>
          <cell r="C4411" t="str">
            <v>Invoice</v>
          </cell>
          <cell r="D4411">
            <v>38617</v>
          </cell>
          <cell r="F4411" t="str">
            <v>7366</v>
          </cell>
          <cell r="G4411" t="str">
            <v>Hustler Hollywood - Cincinnati, OH</v>
          </cell>
          <cell r="H4411">
            <v>2</v>
          </cell>
        </row>
        <row r="4412">
          <cell r="B4412" t="str">
            <v>ESS - SCENT SERVICE</v>
          </cell>
          <cell r="C4412" t="str">
            <v>Invoice</v>
          </cell>
          <cell r="D4412">
            <v>38617</v>
          </cell>
          <cell r="F4412" t="str">
            <v>7363</v>
          </cell>
          <cell r="G4412" t="str">
            <v>Sony Style #52</v>
          </cell>
          <cell r="H4412">
            <v>2</v>
          </cell>
        </row>
        <row r="4413">
          <cell r="B4413" t="str">
            <v>ESS - SCENT SERVICE</v>
          </cell>
          <cell r="C4413" t="str">
            <v>Invoice</v>
          </cell>
          <cell r="D4413">
            <v>38617</v>
          </cell>
          <cell r="F4413" t="str">
            <v>7361</v>
          </cell>
          <cell r="G4413" t="str">
            <v>Sony Style #54</v>
          </cell>
          <cell r="H4413">
            <v>2</v>
          </cell>
        </row>
        <row r="4414">
          <cell r="B4414" t="str">
            <v>ESS - SCENT SERVICE</v>
          </cell>
          <cell r="C4414" t="str">
            <v>Invoice</v>
          </cell>
          <cell r="D4414">
            <v>38617</v>
          </cell>
          <cell r="F4414" t="str">
            <v>7364</v>
          </cell>
          <cell r="G4414" t="str">
            <v>Sony Style #51</v>
          </cell>
          <cell r="H4414">
            <v>2</v>
          </cell>
        </row>
        <row r="4415">
          <cell r="B4415" t="str">
            <v>ESS - SCENT SERVICE</v>
          </cell>
          <cell r="C4415" t="str">
            <v>Invoice</v>
          </cell>
          <cell r="D4415">
            <v>38618</v>
          </cell>
          <cell r="F4415" t="str">
            <v>6403</v>
          </cell>
          <cell r="G4415" t="str">
            <v>NBC Experience Store</v>
          </cell>
          <cell r="H4415">
            <v>2</v>
          </cell>
        </row>
        <row r="4416">
          <cell r="B4416" t="str">
            <v>ESS - SCENT SERVICE</v>
          </cell>
          <cell r="C4416" t="str">
            <v>Invoice</v>
          </cell>
          <cell r="D4416">
            <v>38618</v>
          </cell>
          <cell r="F4416" t="str">
            <v>7470</v>
          </cell>
          <cell r="G4416" t="str">
            <v>Hustler Hollywood - Monroe, OH</v>
          </cell>
          <cell r="H4416">
            <v>2</v>
          </cell>
        </row>
        <row r="4417">
          <cell r="B4417" t="str">
            <v>ESS - SCENT SERVICE</v>
          </cell>
          <cell r="C4417" t="str">
            <v>Invoice</v>
          </cell>
          <cell r="D4417">
            <v>38618</v>
          </cell>
          <cell r="F4417" t="str">
            <v>7352</v>
          </cell>
          <cell r="G4417" t="str">
            <v>Sony Style #66</v>
          </cell>
          <cell r="H4417">
            <v>2</v>
          </cell>
        </row>
        <row r="4418">
          <cell r="B4418" t="str">
            <v>ESS - SCENT SERVICE</v>
          </cell>
          <cell r="C4418" t="str">
            <v>Invoice</v>
          </cell>
          <cell r="D4418">
            <v>38618</v>
          </cell>
          <cell r="F4418" t="str">
            <v>7353</v>
          </cell>
          <cell r="G4418" t="str">
            <v>Sony Style #xx (Kenwood Ctr)</v>
          </cell>
          <cell r="H4418">
            <v>2</v>
          </cell>
        </row>
        <row r="4419">
          <cell r="B4419" t="str">
            <v>ESS - SCENT SERVICE</v>
          </cell>
          <cell r="C4419" t="str">
            <v>Invoice</v>
          </cell>
          <cell r="D4419">
            <v>38618</v>
          </cell>
          <cell r="F4419" t="str">
            <v>7354</v>
          </cell>
          <cell r="G4419" t="str">
            <v>Sony Style #64</v>
          </cell>
          <cell r="H4419">
            <v>2</v>
          </cell>
        </row>
        <row r="4420">
          <cell r="B4420" t="str">
            <v>ESS - SCENT SERVICE</v>
          </cell>
          <cell r="C4420" t="str">
            <v>Invoice</v>
          </cell>
          <cell r="D4420">
            <v>38618</v>
          </cell>
          <cell r="F4420" t="str">
            <v>7355</v>
          </cell>
          <cell r="G4420" t="str">
            <v>Sony Style #63</v>
          </cell>
          <cell r="H4420">
            <v>2</v>
          </cell>
        </row>
        <row r="4421">
          <cell r="B4421" t="str">
            <v>ESS - SCENT SERVICE</v>
          </cell>
          <cell r="C4421" t="str">
            <v>Invoice</v>
          </cell>
          <cell r="D4421">
            <v>38618</v>
          </cell>
          <cell r="F4421" t="str">
            <v>7356</v>
          </cell>
          <cell r="G4421" t="str">
            <v>Sony Style #61</v>
          </cell>
          <cell r="H4421">
            <v>2</v>
          </cell>
        </row>
        <row r="4422">
          <cell r="B4422" t="str">
            <v>ESS - SCENT SERVICE</v>
          </cell>
          <cell r="C4422" t="str">
            <v>Invoice</v>
          </cell>
          <cell r="D4422">
            <v>38618</v>
          </cell>
          <cell r="F4422" t="str">
            <v>7357</v>
          </cell>
          <cell r="G4422" t="str">
            <v>Sony Style #58</v>
          </cell>
          <cell r="H4422">
            <v>2</v>
          </cell>
        </row>
        <row r="4423">
          <cell r="B4423" t="str">
            <v>ESS - SCENT SERVICE</v>
          </cell>
          <cell r="C4423" t="str">
            <v>Invoice</v>
          </cell>
          <cell r="D4423">
            <v>38618</v>
          </cell>
          <cell r="F4423" t="str">
            <v>7358</v>
          </cell>
          <cell r="G4423" t="str">
            <v>Sony Style #57</v>
          </cell>
          <cell r="H4423">
            <v>2</v>
          </cell>
        </row>
        <row r="4424">
          <cell r="B4424" t="str">
            <v>ESS - SCENT SERVICE</v>
          </cell>
          <cell r="C4424" t="str">
            <v>Invoice</v>
          </cell>
          <cell r="D4424">
            <v>38618</v>
          </cell>
          <cell r="F4424" t="str">
            <v>7359</v>
          </cell>
          <cell r="G4424" t="str">
            <v>Sony Style #56</v>
          </cell>
          <cell r="H4424">
            <v>2</v>
          </cell>
        </row>
        <row r="4425">
          <cell r="B4425" t="str">
            <v>ESS - SCENT SERVICE</v>
          </cell>
          <cell r="C4425" t="str">
            <v>Invoice</v>
          </cell>
          <cell r="D4425">
            <v>38618</v>
          </cell>
          <cell r="F4425" t="str">
            <v>7360</v>
          </cell>
          <cell r="G4425" t="str">
            <v>Sony Style #55</v>
          </cell>
          <cell r="H4425">
            <v>2</v>
          </cell>
        </row>
        <row r="4426">
          <cell r="B4426" t="str">
            <v>ESS - SCENT SERVICE</v>
          </cell>
          <cell r="C4426" t="str">
            <v>Invoice</v>
          </cell>
          <cell r="D4426">
            <v>38618</v>
          </cell>
          <cell r="F4426" t="str">
            <v>7367</v>
          </cell>
          <cell r="G4426" t="str">
            <v>Sony Style #60</v>
          </cell>
          <cell r="H4426">
            <v>2</v>
          </cell>
        </row>
        <row r="4427">
          <cell r="B4427" t="str">
            <v>ESS - SCENT SERVICE</v>
          </cell>
          <cell r="C4427" t="str">
            <v>Invoice</v>
          </cell>
          <cell r="D4427">
            <v>38618</v>
          </cell>
          <cell r="F4427" t="str">
            <v>7362</v>
          </cell>
          <cell r="G4427" t="str">
            <v>Sony Style #53</v>
          </cell>
          <cell r="H4427">
            <v>2</v>
          </cell>
        </row>
        <row r="4428">
          <cell r="B4428" t="str">
            <v>ESS - SCENT SERVICE</v>
          </cell>
          <cell r="C4428" t="str">
            <v>Invoice</v>
          </cell>
          <cell r="D4428">
            <v>38618</v>
          </cell>
          <cell r="F4428" t="str">
            <v>7218</v>
          </cell>
          <cell r="G4428" t="str">
            <v>Sony Style #49</v>
          </cell>
          <cell r="H4428">
            <v>2</v>
          </cell>
        </row>
        <row r="4429">
          <cell r="B4429" t="str">
            <v>ESS - SCENT SERVICE</v>
          </cell>
          <cell r="C4429" t="str">
            <v>Invoice</v>
          </cell>
          <cell r="D4429">
            <v>38621</v>
          </cell>
          <cell r="F4429" t="str">
            <v>7450</v>
          </cell>
          <cell r="G4429" t="str">
            <v>Muzak, LLC:Appliance Direct -035133</v>
          </cell>
          <cell r="H4429">
            <v>2</v>
          </cell>
        </row>
        <row r="4430">
          <cell r="B4430" t="str">
            <v>ESS - SCENT SERVICE</v>
          </cell>
          <cell r="C4430" t="str">
            <v>Invoice</v>
          </cell>
          <cell r="D4430">
            <v>38621</v>
          </cell>
          <cell r="F4430" t="str">
            <v>7456</v>
          </cell>
          <cell r="G4430" t="str">
            <v>Muzak, LLC:Appliance Direct - 042201</v>
          </cell>
          <cell r="H4430">
            <v>2</v>
          </cell>
        </row>
        <row r="4431">
          <cell r="B4431" t="str">
            <v>ESS - SCENT SERVICE</v>
          </cell>
          <cell r="C4431" t="str">
            <v>Invoice</v>
          </cell>
          <cell r="D4431">
            <v>38621</v>
          </cell>
          <cell r="F4431" t="str">
            <v>7458</v>
          </cell>
          <cell r="G4431" t="str">
            <v>Muzak, LLC:Appliance Direct - 042172</v>
          </cell>
          <cell r="H4431">
            <v>2</v>
          </cell>
        </row>
        <row r="4432">
          <cell r="B4432" t="str">
            <v>ESS - SCENT SERVICE</v>
          </cell>
          <cell r="C4432" t="str">
            <v>Invoice</v>
          </cell>
          <cell r="D4432">
            <v>38621</v>
          </cell>
          <cell r="F4432" t="str">
            <v>7459</v>
          </cell>
          <cell r="G4432" t="str">
            <v>Muzak, LLC:Appliance Direct - 038915</v>
          </cell>
          <cell r="H4432">
            <v>2</v>
          </cell>
        </row>
        <row r="4433">
          <cell r="B4433" t="str">
            <v>ESS - SCENT SERVICE</v>
          </cell>
          <cell r="C4433" t="str">
            <v>Invoice</v>
          </cell>
          <cell r="D4433">
            <v>38621</v>
          </cell>
          <cell r="F4433" t="str">
            <v>7460</v>
          </cell>
          <cell r="G4433" t="str">
            <v>Muzak, LLC:Appliance Direct - 038914</v>
          </cell>
          <cell r="H4433">
            <v>2</v>
          </cell>
        </row>
        <row r="4434">
          <cell r="B4434" t="str">
            <v>ESS - SCENT SERVICE</v>
          </cell>
          <cell r="C4434" t="str">
            <v>Invoice</v>
          </cell>
          <cell r="D4434">
            <v>38621</v>
          </cell>
          <cell r="F4434" t="str">
            <v>7461</v>
          </cell>
          <cell r="G4434" t="str">
            <v>Muzak, LLC:Appliance Direct - 035387</v>
          </cell>
          <cell r="H4434">
            <v>2</v>
          </cell>
        </row>
        <row r="4435">
          <cell r="B4435" t="str">
            <v>ESS - SCENT SERVICE</v>
          </cell>
          <cell r="C4435" t="str">
            <v>Invoice</v>
          </cell>
          <cell r="D4435">
            <v>38621</v>
          </cell>
          <cell r="F4435" t="str">
            <v>7462</v>
          </cell>
          <cell r="G4435" t="str">
            <v>Muzak, LLC:Appliance Direct - 034977</v>
          </cell>
          <cell r="H4435">
            <v>2</v>
          </cell>
        </row>
        <row r="4436">
          <cell r="B4436" t="str">
            <v>ESS - SCENT SERVICE</v>
          </cell>
          <cell r="C4436" t="str">
            <v>Invoice</v>
          </cell>
          <cell r="D4436">
            <v>38621</v>
          </cell>
          <cell r="F4436" t="str">
            <v>7463</v>
          </cell>
          <cell r="G4436" t="str">
            <v>Muzak, LLC:Appliance Direct - 034976</v>
          </cell>
          <cell r="H4436">
            <v>2</v>
          </cell>
        </row>
        <row r="4437">
          <cell r="B4437" t="str">
            <v>ESS - SCENT SERVICE</v>
          </cell>
          <cell r="C4437" t="str">
            <v>Invoice</v>
          </cell>
          <cell r="D4437">
            <v>38621</v>
          </cell>
          <cell r="F4437" t="str">
            <v>7464</v>
          </cell>
          <cell r="G4437" t="str">
            <v>Muzak, LLC:Appliance Direct - 034975</v>
          </cell>
          <cell r="H4437">
            <v>2</v>
          </cell>
        </row>
        <row r="4438">
          <cell r="B4438" t="str">
            <v>ESS - SCENT SERVICE</v>
          </cell>
          <cell r="C4438" t="str">
            <v>Invoice</v>
          </cell>
          <cell r="D4438">
            <v>38621</v>
          </cell>
          <cell r="F4438" t="str">
            <v>7465</v>
          </cell>
          <cell r="G4438" t="str">
            <v>Muzak, LLC:Appliance Direct - 034974</v>
          </cell>
          <cell r="H4438">
            <v>2</v>
          </cell>
        </row>
        <row r="4439">
          <cell r="B4439" t="str">
            <v>ESS - SCENT SERVICE</v>
          </cell>
          <cell r="C4439" t="str">
            <v>Invoice</v>
          </cell>
          <cell r="D4439">
            <v>38621</v>
          </cell>
          <cell r="F4439" t="str">
            <v>7466</v>
          </cell>
          <cell r="G4439" t="str">
            <v>Muzak, LLC:Appliance Direct - 034973</v>
          </cell>
          <cell r="H4439">
            <v>2</v>
          </cell>
        </row>
        <row r="4440">
          <cell r="B4440" t="str">
            <v>ESS - SCENT SERVICE</v>
          </cell>
          <cell r="C4440" t="str">
            <v>Invoice</v>
          </cell>
          <cell r="D4440">
            <v>38621</v>
          </cell>
          <cell r="F4440" t="str">
            <v>7467</v>
          </cell>
          <cell r="G4440" t="str">
            <v>Muzak, LLC:Appliance Direct - 034972</v>
          </cell>
          <cell r="H4440">
            <v>2</v>
          </cell>
        </row>
        <row r="4441">
          <cell r="B4441" t="str">
            <v>ESS - SCENT SERVICE</v>
          </cell>
          <cell r="C4441" t="str">
            <v>Invoice</v>
          </cell>
          <cell r="D4441">
            <v>38621</v>
          </cell>
          <cell r="F4441" t="str">
            <v>7468</v>
          </cell>
          <cell r="G4441" t="str">
            <v>Muzak, LLC:Appliance Direct - 034971</v>
          </cell>
          <cell r="H4441">
            <v>2</v>
          </cell>
        </row>
        <row r="4442">
          <cell r="B4442" t="str">
            <v>ESS - SCENT SERVICE</v>
          </cell>
          <cell r="C4442" t="str">
            <v>Invoice</v>
          </cell>
          <cell r="D4442">
            <v>38622</v>
          </cell>
          <cell r="F4442" t="str">
            <v>8091</v>
          </cell>
          <cell r="G4442" t="str">
            <v>Pulse</v>
          </cell>
          <cell r="H4442">
            <v>2</v>
          </cell>
        </row>
        <row r="4443">
          <cell r="B4443" t="str">
            <v>ESS - SCENT SERVICE</v>
          </cell>
          <cell r="C4443" t="str">
            <v>Invoice</v>
          </cell>
          <cell r="D4443">
            <v>38623</v>
          </cell>
          <cell r="F4443" t="str">
            <v>8138</v>
          </cell>
          <cell r="G4443" t="str">
            <v>Muzak, LLC:Clarion Floridian</v>
          </cell>
          <cell r="H4443">
            <v>2</v>
          </cell>
        </row>
        <row r="4444">
          <cell r="B4444" t="str">
            <v>ESS - SCENT SERVICE</v>
          </cell>
          <cell r="C4444" t="str">
            <v>Invoice</v>
          </cell>
          <cell r="D4444">
            <v>38624</v>
          </cell>
          <cell r="F4444" t="str">
            <v>7714</v>
          </cell>
          <cell r="G4444" t="str">
            <v>Muzak, LLC:Banks D. Kerr Family YMCA</v>
          </cell>
          <cell r="H4444">
            <v>2</v>
          </cell>
        </row>
        <row r="4445">
          <cell r="B4445" t="str">
            <v>ESS - SCENT SERVICE</v>
          </cell>
          <cell r="C4445" t="str">
            <v>Invoice</v>
          </cell>
          <cell r="D4445">
            <v>38626</v>
          </cell>
          <cell r="F4445" t="str">
            <v>7403</v>
          </cell>
          <cell r="G4445" t="str">
            <v>Sony Style # 65</v>
          </cell>
          <cell r="H4445">
            <v>2</v>
          </cell>
        </row>
        <row r="4446">
          <cell r="B4446" t="str">
            <v>ESS - SCENT SERVICE</v>
          </cell>
          <cell r="C4446" t="str">
            <v>Invoice</v>
          </cell>
          <cell r="D4446">
            <v>38626</v>
          </cell>
          <cell r="F4446" t="str">
            <v>7496</v>
          </cell>
          <cell r="G4446" t="str">
            <v>Sony Style # 59 (New)</v>
          </cell>
          <cell r="H4446">
            <v>2</v>
          </cell>
        </row>
        <row r="4447">
          <cell r="B4447" t="str">
            <v>ESS - SCENT SERVICE</v>
          </cell>
          <cell r="C4447" t="str">
            <v>Invoice</v>
          </cell>
          <cell r="D4447">
            <v>38626</v>
          </cell>
          <cell r="F4447" t="str">
            <v>7501</v>
          </cell>
          <cell r="G4447" t="str">
            <v>Universal Studios Orlando:Islands of Adventure Foods</v>
          </cell>
          <cell r="H4447">
            <v>2</v>
          </cell>
        </row>
        <row r="4448">
          <cell r="B4448" t="str">
            <v>ESS - SCENT SERVICE</v>
          </cell>
          <cell r="C4448" t="str">
            <v>Invoice</v>
          </cell>
          <cell r="D4448">
            <v>38626</v>
          </cell>
          <cell r="F4448" t="str">
            <v>7397</v>
          </cell>
          <cell r="G4448" t="str">
            <v>Sony  Style # 62</v>
          </cell>
          <cell r="H4448">
            <v>2</v>
          </cell>
        </row>
        <row r="4449">
          <cell r="B4449" t="str">
            <v>ESS - SCENT SERVICE</v>
          </cell>
          <cell r="C4449" t="str">
            <v>Invoice</v>
          </cell>
          <cell r="D4449">
            <v>38626</v>
          </cell>
          <cell r="F4449" t="str">
            <v>7978</v>
          </cell>
          <cell r="G4449" t="str">
            <v>Muzak, IA:Texas Wired:Omni Austin Hotel Downtown</v>
          </cell>
          <cell r="H4449">
            <v>2</v>
          </cell>
        </row>
        <row r="4450">
          <cell r="B4450" t="str">
            <v>ESS - SCENT SERVICE</v>
          </cell>
          <cell r="C4450" t="str">
            <v>Invoice</v>
          </cell>
          <cell r="D4450">
            <v>38628</v>
          </cell>
          <cell r="F4450" t="str">
            <v>8205</v>
          </cell>
          <cell r="G4450" t="str">
            <v>Macy's # 01</v>
          </cell>
          <cell r="H4450">
            <v>2</v>
          </cell>
        </row>
        <row r="4451">
          <cell r="B4451" t="str">
            <v>ESS - SCENT SERVICE</v>
          </cell>
          <cell r="C4451" t="str">
            <v>Invoice</v>
          </cell>
          <cell r="D4451">
            <v>38628</v>
          </cell>
          <cell r="F4451" t="str">
            <v>8194</v>
          </cell>
          <cell r="G4451" t="str">
            <v>Muzak, LLC:UNCG Dining Services</v>
          </cell>
          <cell r="H4451">
            <v>2</v>
          </cell>
        </row>
        <row r="4452">
          <cell r="B4452" t="str">
            <v>ESS - SCENT SERVICE</v>
          </cell>
          <cell r="C4452" t="str">
            <v>Invoice</v>
          </cell>
          <cell r="D4452">
            <v>38628</v>
          </cell>
          <cell r="F4452" t="str">
            <v>8191</v>
          </cell>
          <cell r="G4452" t="str">
            <v>Muzak, IA:Texas Wired:Omni San Antonio Hotel</v>
          </cell>
          <cell r="H4452">
            <v>2</v>
          </cell>
        </row>
        <row r="4453">
          <cell r="B4453" t="str">
            <v>ESS - SCENT SERVICE</v>
          </cell>
          <cell r="C4453" t="str">
            <v>Invoice</v>
          </cell>
          <cell r="D4453">
            <v>38628</v>
          </cell>
          <cell r="F4453" t="str">
            <v>8216</v>
          </cell>
          <cell r="G4453" t="str">
            <v>Muzak, LLC:Omni Jacksonville Hotel</v>
          </cell>
          <cell r="H4453">
            <v>2</v>
          </cell>
        </row>
        <row r="4454">
          <cell r="B4454" t="str">
            <v>ESS - SCENT SERVICE</v>
          </cell>
          <cell r="C4454" t="str">
            <v>Invoice</v>
          </cell>
          <cell r="D4454">
            <v>38628</v>
          </cell>
          <cell r="F4454" t="str">
            <v>8176</v>
          </cell>
          <cell r="G4454" t="str">
            <v>Muzak, LLC:Radisson - Atlanta</v>
          </cell>
          <cell r="H4454">
            <v>2</v>
          </cell>
        </row>
        <row r="4455">
          <cell r="B4455" t="str">
            <v>ESS - SCENT SERVICE</v>
          </cell>
          <cell r="C4455" t="str">
            <v>Invoice</v>
          </cell>
          <cell r="D4455">
            <v>38630</v>
          </cell>
          <cell r="F4455" t="str">
            <v>7833</v>
          </cell>
          <cell r="G4455" t="str">
            <v>Skatetown - Roseville</v>
          </cell>
          <cell r="H4455">
            <v>2</v>
          </cell>
        </row>
        <row r="4456">
          <cell r="B4456" t="str">
            <v>Freight - Pd by Customer</v>
          </cell>
          <cell r="C4456" t="str">
            <v>Invoice</v>
          </cell>
          <cell r="D4456">
            <v>38608</v>
          </cell>
          <cell r="F4456" t="str">
            <v>7926</v>
          </cell>
          <cell r="G4456" t="str">
            <v>Muzak, LLC:Centex Homes</v>
          </cell>
          <cell r="H4456">
            <v>2</v>
          </cell>
        </row>
        <row r="4457">
          <cell r="B4457" t="str">
            <v>Freight - Pd by Customer</v>
          </cell>
          <cell r="C4457" t="str">
            <v>Invoice</v>
          </cell>
          <cell r="D4457">
            <v>38629</v>
          </cell>
          <cell r="F4457" t="str">
            <v>8327</v>
          </cell>
          <cell r="G4457" t="str">
            <v>Muzak, LLC:Omni Shoreham Hotel</v>
          </cell>
          <cell r="H4457">
            <v>2</v>
          </cell>
        </row>
        <row r="4458">
          <cell r="B4458" t="str">
            <v>MISC_501199</v>
          </cell>
          <cell r="C4458" t="str">
            <v>Invoice</v>
          </cell>
          <cell r="D4458">
            <v>38579</v>
          </cell>
          <cell r="F4458" t="str">
            <v>7488</v>
          </cell>
          <cell r="G4458" t="str">
            <v>Colorado Prime Foods</v>
          </cell>
          <cell r="H4458">
            <v>2</v>
          </cell>
        </row>
        <row r="4459">
          <cell r="B4459" t="str">
            <v>MISC_504540</v>
          </cell>
          <cell r="C4459" t="str">
            <v>Invoice</v>
          </cell>
          <cell r="D4459">
            <v>38597</v>
          </cell>
          <cell r="F4459" t="str">
            <v>7757</v>
          </cell>
          <cell r="G4459" t="str">
            <v>Muzak, LLC:Schnuck Markets, Inc. #180</v>
          </cell>
          <cell r="H4459">
            <v>2</v>
          </cell>
        </row>
        <row r="4460">
          <cell r="B4460" t="str">
            <v>MISC_COGS</v>
          </cell>
          <cell r="C4460" t="str">
            <v>Invoice</v>
          </cell>
          <cell r="D4460">
            <v>38526</v>
          </cell>
          <cell r="F4460" t="str">
            <v>5577-I</v>
          </cell>
          <cell r="G4460" t="str">
            <v>Floralife</v>
          </cell>
          <cell r="H4460">
            <v>2</v>
          </cell>
        </row>
        <row r="4461">
          <cell r="B4461" t="str">
            <v>MNT1000</v>
          </cell>
          <cell r="C4461" t="str">
            <v>Invoice</v>
          </cell>
          <cell r="D4461">
            <v>38586</v>
          </cell>
          <cell r="F4461" t="str">
            <v>7640</v>
          </cell>
          <cell r="G4461" t="str">
            <v>jaGG Classic Wholesale Inc.</v>
          </cell>
          <cell r="H4461">
            <v>2</v>
          </cell>
        </row>
        <row r="4462">
          <cell r="B4462" t="str">
            <v>MNT1000</v>
          </cell>
          <cell r="C4462" t="str">
            <v>Invoice</v>
          </cell>
          <cell r="D4462">
            <v>38589</v>
          </cell>
          <cell r="F4462" t="str">
            <v>7695</v>
          </cell>
          <cell r="G4462" t="str">
            <v>American Solutions Inc.</v>
          </cell>
          <cell r="H4462">
            <v>2</v>
          </cell>
        </row>
        <row r="4463">
          <cell r="B4463" t="str">
            <v>MNT1000</v>
          </cell>
          <cell r="C4463" t="str">
            <v>Invoice</v>
          </cell>
          <cell r="D4463">
            <v>38589</v>
          </cell>
          <cell r="F4463" t="str">
            <v>7693</v>
          </cell>
          <cell r="G4463" t="str">
            <v>Muzak, IA:Texas Wired:Omni Austin Hotel Downtown</v>
          </cell>
          <cell r="H4463">
            <v>2</v>
          </cell>
        </row>
        <row r="4464">
          <cell r="B4464" t="str">
            <v>MNT1000</v>
          </cell>
          <cell r="C4464" t="str">
            <v>Invoice</v>
          </cell>
          <cell r="D4464">
            <v>38590</v>
          </cell>
          <cell r="F4464" t="str">
            <v>7709</v>
          </cell>
          <cell r="G4464" t="str">
            <v>Muzak, LLC:Burger King - #2771</v>
          </cell>
          <cell r="H4464">
            <v>2</v>
          </cell>
        </row>
        <row r="4465">
          <cell r="B4465" t="str">
            <v>MNT1000</v>
          </cell>
          <cell r="C4465" t="str">
            <v>Invoice</v>
          </cell>
          <cell r="D4465">
            <v>38597</v>
          </cell>
          <cell r="F4465" t="str">
            <v>7820</v>
          </cell>
          <cell r="G4465" t="str">
            <v>ScentAir - Corporate Associates</v>
          </cell>
          <cell r="H4465">
            <v>2</v>
          </cell>
        </row>
        <row r="4466">
          <cell r="B4466" t="str">
            <v>MNT1000</v>
          </cell>
          <cell r="C4466" t="str">
            <v>Invoice</v>
          </cell>
          <cell r="D4466">
            <v>38597</v>
          </cell>
          <cell r="F4466" t="str">
            <v>7806</v>
          </cell>
          <cell r="G4466" t="str">
            <v>Muzak, LLC:Spalon @ T Carlton</v>
          </cell>
          <cell r="H4466">
            <v>2</v>
          </cell>
        </row>
        <row r="4467">
          <cell r="B4467" t="str">
            <v>MNT1000</v>
          </cell>
          <cell r="C4467" t="str">
            <v>Invoice</v>
          </cell>
          <cell r="D4467">
            <v>38603</v>
          </cell>
          <cell r="F4467" t="str">
            <v>7841</v>
          </cell>
          <cell r="G4467" t="str">
            <v>Muzak, LLC:Giant Eagle #6384</v>
          </cell>
          <cell r="H4467">
            <v>2</v>
          </cell>
        </row>
        <row r="4468">
          <cell r="B4468" t="str">
            <v>MNT1000</v>
          </cell>
          <cell r="C4468" t="str">
            <v>Invoice</v>
          </cell>
          <cell r="D4468">
            <v>38608</v>
          </cell>
          <cell r="F4468" t="str">
            <v>7926</v>
          </cell>
          <cell r="G4468" t="str">
            <v>Muzak, LLC:Centex Homes</v>
          </cell>
          <cell r="H4468">
            <v>2</v>
          </cell>
        </row>
        <row r="4469">
          <cell r="B4469" t="str">
            <v>MNT1000</v>
          </cell>
          <cell r="C4469" t="str">
            <v>Invoice</v>
          </cell>
          <cell r="D4469">
            <v>38610</v>
          </cell>
          <cell r="F4469" t="str">
            <v>7952</v>
          </cell>
          <cell r="G4469" t="str">
            <v>Muzak, LLC:Flat Rock Grille #201</v>
          </cell>
          <cell r="H4469">
            <v>2</v>
          </cell>
        </row>
        <row r="4470">
          <cell r="B4470" t="str">
            <v>MNT1000</v>
          </cell>
          <cell r="C4470" t="str">
            <v>Invoice</v>
          </cell>
          <cell r="D4470">
            <v>38610</v>
          </cell>
          <cell r="F4470" t="str">
            <v>7953</v>
          </cell>
          <cell r="G4470" t="str">
            <v>Muzak, LLC:Flat Rock Grille #200</v>
          </cell>
          <cell r="H4470">
            <v>2</v>
          </cell>
        </row>
        <row r="4471">
          <cell r="B4471" t="str">
            <v>MNT1000</v>
          </cell>
          <cell r="C4471" t="str">
            <v>Invoice</v>
          </cell>
          <cell r="D4471">
            <v>38615</v>
          </cell>
          <cell r="F4471" t="str">
            <v>8001</v>
          </cell>
          <cell r="G4471" t="str">
            <v>Macy's #76</v>
          </cell>
          <cell r="H4471">
            <v>2</v>
          </cell>
        </row>
        <row r="4472">
          <cell r="B4472" t="str">
            <v>MNT1000</v>
          </cell>
          <cell r="C4472" t="str">
            <v>Invoice</v>
          </cell>
          <cell r="D4472">
            <v>38622</v>
          </cell>
          <cell r="F4472" t="str">
            <v>8091</v>
          </cell>
          <cell r="G4472" t="str">
            <v>Pulse</v>
          </cell>
          <cell r="H4472">
            <v>2</v>
          </cell>
        </row>
        <row r="4473">
          <cell r="B4473" t="str">
            <v>MNT1000</v>
          </cell>
          <cell r="C4473" t="str">
            <v>Invoice</v>
          </cell>
          <cell r="D4473">
            <v>38623</v>
          </cell>
          <cell r="F4473" t="str">
            <v>8138</v>
          </cell>
          <cell r="G4473" t="str">
            <v>Muzak, LLC:Clarion Floridian</v>
          </cell>
          <cell r="H4473">
            <v>2</v>
          </cell>
        </row>
        <row r="4474">
          <cell r="B4474" t="str">
            <v>MNT1000</v>
          </cell>
          <cell r="C4474" t="str">
            <v>Invoice</v>
          </cell>
          <cell r="D4474">
            <v>38628</v>
          </cell>
          <cell r="F4474" t="str">
            <v>8194</v>
          </cell>
          <cell r="G4474" t="str">
            <v>Muzak, LLC:UNCG Dining Services</v>
          </cell>
          <cell r="H4474">
            <v>2</v>
          </cell>
        </row>
        <row r="4475">
          <cell r="B4475" t="str">
            <v>MNT1000</v>
          </cell>
          <cell r="C4475" t="str">
            <v>Invoice</v>
          </cell>
          <cell r="D4475">
            <v>38628</v>
          </cell>
          <cell r="F4475" t="str">
            <v>8191</v>
          </cell>
          <cell r="G4475" t="str">
            <v>Muzak, IA:Texas Wired:Omni San Antonio Hotel</v>
          </cell>
          <cell r="H4475">
            <v>2</v>
          </cell>
        </row>
        <row r="4476">
          <cell r="B4476" t="str">
            <v>MNT1000</v>
          </cell>
          <cell r="C4476" t="str">
            <v>Invoice</v>
          </cell>
          <cell r="D4476">
            <v>38628</v>
          </cell>
          <cell r="F4476" t="str">
            <v>8216</v>
          </cell>
          <cell r="G4476" t="str">
            <v>Muzak, LLC:Omni Jacksonville Hotel</v>
          </cell>
          <cell r="H4476">
            <v>2</v>
          </cell>
        </row>
        <row r="4477">
          <cell r="B4477" t="str">
            <v>PC500-BLANK</v>
          </cell>
          <cell r="C4477" t="str">
            <v>Invoice</v>
          </cell>
          <cell r="D4477">
            <v>38622</v>
          </cell>
          <cell r="F4477" t="str">
            <v>8144</v>
          </cell>
          <cell r="G4477" t="str">
            <v>ScentAir - Corporate Associates:Dave Amaral</v>
          </cell>
          <cell r="H4477">
            <v>2</v>
          </cell>
        </row>
        <row r="4478">
          <cell r="B4478" t="str">
            <v>PD510</v>
          </cell>
          <cell r="C4478" t="str">
            <v>Invoice</v>
          </cell>
          <cell r="D4478">
            <v>38467</v>
          </cell>
          <cell r="F4478" t="str">
            <v>5690</v>
          </cell>
          <cell r="G4478" t="str">
            <v>Niven Marketing</v>
          </cell>
          <cell r="H4478">
            <v>2</v>
          </cell>
        </row>
        <row r="4479">
          <cell r="B4479" t="str">
            <v>SA20</v>
          </cell>
          <cell r="C4479" t="str">
            <v>Invoice</v>
          </cell>
          <cell r="D4479">
            <v>38378</v>
          </cell>
          <cell r="F4479" t="str">
            <v>5140</v>
          </cell>
          <cell r="G4479" t="str">
            <v>VendMax International Inc.</v>
          </cell>
          <cell r="H4479">
            <v>2</v>
          </cell>
        </row>
        <row r="4480">
          <cell r="B4480" t="str">
            <v>SAC</v>
          </cell>
          <cell r="C4480" t="str">
            <v>Invoice</v>
          </cell>
          <cell r="D4480">
            <v>38371</v>
          </cell>
          <cell r="F4480" t="str">
            <v>5210</v>
          </cell>
          <cell r="G4480" t="str">
            <v>Sony Style #55</v>
          </cell>
          <cell r="H4480">
            <v>2</v>
          </cell>
        </row>
        <row r="4481">
          <cell r="B4481" t="str">
            <v>SAC</v>
          </cell>
          <cell r="C4481" t="str">
            <v>Invoice</v>
          </cell>
          <cell r="D4481">
            <v>38371</v>
          </cell>
          <cell r="F4481" t="str">
            <v>5219</v>
          </cell>
          <cell r="G4481" t="str">
            <v>Sony Style #54</v>
          </cell>
          <cell r="H4481">
            <v>2</v>
          </cell>
        </row>
        <row r="4482">
          <cell r="B4482" t="str">
            <v>SAC</v>
          </cell>
          <cell r="C4482" t="str">
            <v>Invoice</v>
          </cell>
          <cell r="D4482">
            <v>38371</v>
          </cell>
          <cell r="F4482" t="str">
            <v>5213</v>
          </cell>
          <cell r="G4482" t="str">
            <v>Sony Style #50</v>
          </cell>
          <cell r="H4482">
            <v>2</v>
          </cell>
        </row>
        <row r="4483">
          <cell r="B4483" t="str">
            <v>SAC</v>
          </cell>
          <cell r="C4483" t="str">
            <v>Invoice</v>
          </cell>
          <cell r="D4483">
            <v>38371</v>
          </cell>
          <cell r="F4483" t="str">
            <v>5214</v>
          </cell>
          <cell r="G4483" t="str">
            <v>Sony Style #51</v>
          </cell>
          <cell r="H4483">
            <v>2</v>
          </cell>
        </row>
        <row r="4484">
          <cell r="B4484" t="str">
            <v>SAC</v>
          </cell>
          <cell r="C4484" t="str">
            <v>Invoice</v>
          </cell>
          <cell r="D4484">
            <v>38371</v>
          </cell>
          <cell r="F4484" t="str">
            <v>5218</v>
          </cell>
          <cell r="G4484" t="str">
            <v>Sony Style #52</v>
          </cell>
          <cell r="H4484">
            <v>2</v>
          </cell>
        </row>
        <row r="4485">
          <cell r="B4485" t="str">
            <v>SAC</v>
          </cell>
          <cell r="C4485" t="str">
            <v>Invoice</v>
          </cell>
          <cell r="D4485">
            <v>38371</v>
          </cell>
          <cell r="F4485" t="str">
            <v>5217</v>
          </cell>
          <cell r="G4485" t="str">
            <v>Sony Style #53</v>
          </cell>
          <cell r="H4485">
            <v>2</v>
          </cell>
        </row>
        <row r="4486">
          <cell r="B4486" t="str">
            <v>SAC</v>
          </cell>
          <cell r="C4486" t="str">
            <v>Invoice</v>
          </cell>
          <cell r="D4486">
            <v>38371</v>
          </cell>
          <cell r="F4486" t="str">
            <v>5220A</v>
          </cell>
          <cell r="G4486" t="str">
            <v>Sony Style #56</v>
          </cell>
          <cell r="H4486">
            <v>2</v>
          </cell>
        </row>
        <row r="4487">
          <cell r="B4487" t="str">
            <v>SAC</v>
          </cell>
          <cell r="C4487" t="str">
            <v>Invoice</v>
          </cell>
          <cell r="D4487">
            <v>38371</v>
          </cell>
          <cell r="F4487" t="str">
            <v>5221</v>
          </cell>
          <cell r="G4487" t="str">
            <v>Sony Style #57</v>
          </cell>
          <cell r="H4487">
            <v>2</v>
          </cell>
        </row>
        <row r="4488">
          <cell r="B4488" t="str">
            <v>SAC</v>
          </cell>
          <cell r="C4488" t="str">
            <v>Invoice</v>
          </cell>
          <cell r="D4488">
            <v>38371</v>
          </cell>
          <cell r="F4488" t="str">
            <v>5222</v>
          </cell>
          <cell r="G4488" t="str">
            <v>Sony Style #58</v>
          </cell>
          <cell r="H4488">
            <v>2</v>
          </cell>
        </row>
        <row r="4489">
          <cell r="B4489" t="str">
            <v>SAC</v>
          </cell>
          <cell r="C4489" t="str">
            <v>Invoice</v>
          </cell>
          <cell r="D4489">
            <v>38371</v>
          </cell>
          <cell r="F4489" t="str">
            <v>5223</v>
          </cell>
          <cell r="G4489" t="str">
            <v>Sony Style #60</v>
          </cell>
          <cell r="H4489">
            <v>2</v>
          </cell>
        </row>
        <row r="4490">
          <cell r="B4490" t="str">
            <v>SAC</v>
          </cell>
          <cell r="C4490" t="str">
            <v>Invoice</v>
          </cell>
          <cell r="D4490">
            <v>38371</v>
          </cell>
          <cell r="F4490" t="str">
            <v>5224</v>
          </cell>
          <cell r="G4490" t="str">
            <v>Sony Style #61</v>
          </cell>
          <cell r="H4490">
            <v>2</v>
          </cell>
        </row>
        <row r="4491">
          <cell r="B4491" t="str">
            <v>SAC</v>
          </cell>
          <cell r="C4491" t="str">
            <v>Invoice</v>
          </cell>
          <cell r="D4491">
            <v>38383</v>
          </cell>
          <cell r="F4491" t="str">
            <v>5246</v>
          </cell>
          <cell r="G4491" t="str">
            <v>BJ's Wholesale Club (C)</v>
          </cell>
          <cell r="H4491">
            <v>2</v>
          </cell>
        </row>
        <row r="4492">
          <cell r="B4492" t="str">
            <v>SAC</v>
          </cell>
          <cell r="C4492" t="str">
            <v>Invoice</v>
          </cell>
          <cell r="D4492">
            <v>38383</v>
          </cell>
          <cell r="F4492" t="str">
            <v>5248</v>
          </cell>
          <cell r="G4492" t="str">
            <v>Celebration Health</v>
          </cell>
          <cell r="H4492">
            <v>2</v>
          </cell>
        </row>
        <row r="4493">
          <cell r="B4493" t="str">
            <v>SAC-153</v>
          </cell>
          <cell r="C4493" t="str">
            <v>Invoice</v>
          </cell>
          <cell r="D4493">
            <v>38357</v>
          </cell>
          <cell r="F4493" t="str">
            <v>5148</v>
          </cell>
          <cell r="G4493" t="str">
            <v>Sea World Orlando</v>
          </cell>
          <cell r="H4493">
            <v>2</v>
          </cell>
        </row>
        <row r="4494">
          <cell r="B4494" t="str">
            <v>SAMPLER</v>
          </cell>
          <cell r="C4494" t="str">
            <v>Invoice</v>
          </cell>
          <cell r="D4494">
            <v>38434</v>
          </cell>
          <cell r="F4494" t="str">
            <v>5474</v>
          </cell>
          <cell r="G4494" t="str">
            <v>Schwans Consumer Products</v>
          </cell>
          <cell r="H4494">
            <v>2</v>
          </cell>
        </row>
        <row r="4495">
          <cell r="B4495" t="str">
            <v>SAMPLER</v>
          </cell>
          <cell r="C4495" t="str">
            <v>Invoice</v>
          </cell>
          <cell r="D4495">
            <v>38442</v>
          </cell>
          <cell r="F4495" t="str">
            <v>5580</v>
          </cell>
          <cell r="G4495" t="str">
            <v>Scent Events, LLC</v>
          </cell>
          <cell r="H4495">
            <v>2</v>
          </cell>
        </row>
        <row r="4496">
          <cell r="B4496" t="str">
            <v>SAMPLER</v>
          </cell>
          <cell r="C4496" t="str">
            <v>Invoice</v>
          </cell>
          <cell r="D4496">
            <v>38447</v>
          </cell>
          <cell r="F4496" t="str">
            <v>5591</v>
          </cell>
          <cell r="G4496" t="str">
            <v>Grupobiz-Integradora De Espartaculos</v>
          </cell>
          <cell r="H4496">
            <v>2</v>
          </cell>
        </row>
        <row r="4497">
          <cell r="B4497" t="str">
            <v>SAMPLER</v>
          </cell>
          <cell r="C4497" t="str">
            <v>Invoice</v>
          </cell>
          <cell r="D4497">
            <v>38449</v>
          </cell>
          <cell r="F4497" t="str">
            <v>5605</v>
          </cell>
          <cell r="G4497" t="str">
            <v>Lee-Moore Oil Company:Exxon OTR - 42</v>
          </cell>
          <cell r="H4497">
            <v>2</v>
          </cell>
        </row>
        <row r="4498">
          <cell r="B4498" t="str">
            <v>SAMPLER</v>
          </cell>
          <cell r="C4498" t="str">
            <v>Invoice</v>
          </cell>
          <cell r="D4498">
            <v>38467</v>
          </cell>
          <cell r="F4498" t="str">
            <v>5696</v>
          </cell>
          <cell r="G4498" t="str">
            <v>Cafe Aroma</v>
          </cell>
          <cell r="H4498">
            <v>2</v>
          </cell>
        </row>
        <row r="4499">
          <cell r="B4499" t="str">
            <v>SB</v>
          </cell>
          <cell r="C4499" t="str">
            <v>Invoice</v>
          </cell>
          <cell r="D4499">
            <v>38371</v>
          </cell>
          <cell r="F4499" t="str">
            <v>5250</v>
          </cell>
          <cell r="G4499" t="str">
            <v>Guckenheimer - Wexner Commons</v>
          </cell>
          <cell r="H4499">
            <v>2</v>
          </cell>
        </row>
        <row r="4500">
          <cell r="B4500" t="str">
            <v>SBC</v>
          </cell>
          <cell r="C4500" t="str">
            <v>Invoice</v>
          </cell>
          <cell r="D4500">
            <v>38383</v>
          </cell>
          <cell r="F4500" t="str">
            <v>5248</v>
          </cell>
          <cell r="G4500" t="str">
            <v>Celebration Health</v>
          </cell>
          <cell r="H4500">
            <v>2</v>
          </cell>
        </row>
        <row r="4501">
          <cell r="B4501" t="str">
            <v>SCENTKIT-48</v>
          </cell>
          <cell r="C4501" t="str">
            <v>Invoice</v>
          </cell>
          <cell r="D4501">
            <v>38561</v>
          </cell>
          <cell r="F4501" t="str">
            <v>7197</v>
          </cell>
          <cell r="G4501" t="str">
            <v>Techno Satellite</v>
          </cell>
          <cell r="H4501">
            <v>2</v>
          </cell>
        </row>
        <row r="4502">
          <cell r="B4502" t="str">
            <v>SCENTKIT-48</v>
          </cell>
          <cell r="C4502" t="str">
            <v>Invoice</v>
          </cell>
          <cell r="D4502">
            <v>38595</v>
          </cell>
          <cell r="F4502" t="str">
            <v>7733</v>
          </cell>
          <cell r="G4502" t="str">
            <v>Muzak, IA:Independence Communications, PA</v>
          </cell>
          <cell r="H4502">
            <v>2</v>
          </cell>
        </row>
        <row r="4503">
          <cell r="B4503" t="str">
            <v>SCENTKIT-48</v>
          </cell>
          <cell r="C4503" t="str">
            <v>Invoice</v>
          </cell>
          <cell r="D4503">
            <v>38595</v>
          </cell>
          <cell r="F4503" t="str">
            <v>7731</v>
          </cell>
          <cell r="G4503" t="str">
            <v>Muzak, IA:Independence Communications, PA</v>
          </cell>
          <cell r="H4503">
            <v>2</v>
          </cell>
        </row>
        <row r="4504">
          <cell r="B4504" t="str">
            <v>SCENTKIT-48</v>
          </cell>
          <cell r="C4504" t="str">
            <v>Invoice</v>
          </cell>
          <cell r="D4504">
            <v>38607</v>
          </cell>
          <cell r="F4504" t="str">
            <v>7889</v>
          </cell>
          <cell r="G4504" t="str">
            <v>Muzak, IA:Soundcom LLC of Florida - Palm Beach</v>
          </cell>
          <cell r="H4504">
            <v>2</v>
          </cell>
        </row>
        <row r="4505">
          <cell r="B4505" t="str">
            <v>SCENTKIT-48</v>
          </cell>
          <cell r="C4505" t="str">
            <v>Invoice</v>
          </cell>
          <cell r="D4505">
            <v>38609</v>
          </cell>
          <cell r="F4505" t="str">
            <v>7942</v>
          </cell>
          <cell r="G4505" t="str">
            <v>Muzak, IA:Melody Inc</v>
          </cell>
          <cell r="H4505">
            <v>2</v>
          </cell>
        </row>
        <row r="4506">
          <cell r="B4506" t="str">
            <v>SCENTKIT-48</v>
          </cell>
          <cell r="C4506" t="str">
            <v>Invoice</v>
          </cell>
          <cell r="D4506">
            <v>38609</v>
          </cell>
          <cell r="F4506" t="str">
            <v>7941</v>
          </cell>
          <cell r="G4506" t="str">
            <v>Muzak, IA:Melody Inc</v>
          </cell>
          <cell r="H4506">
            <v>2</v>
          </cell>
        </row>
        <row r="4507">
          <cell r="B4507" t="str">
            <v>SCENTKIT-48</v>
          </cell>
          <cell r="C4507" t="str">
            <v>Invoice</v>
          </cell>
          <cell r="D4507">
            <v>38611</v>
          </cell>
          <cell r="F4507" t="str">
            <v>7950</v>
          </cell>
          <cell r="G4507" t="str">
            <v>Muzak, IA:Tropical Music Service, Inc</v>
          </cell>
          <cell r="H4507">
            <v>2</v>
          </cell>
        </row>
        <row r="4508">
          <cell r="B4508" t="str">
            <v>SCENTKIT-48</v>
          </cell>
          <cell r="C4508" t="str">
            <v>Invoice</v>
          </cell>
          <cell r="D4508">
            <v>38611</v>
          </cell>
          <cell r="F4508" t="str">
            <v>7949</v>
          </cell>
          <cell r="G4508" t="str">
            <v>Muzak, IA:Tropical Music Service, Inc</v>
          </cell>
          <cell r="H4508">
            <v>2</v>
          </cell>
        </row>
        <row r="4509">
          <cell r="B4509" t="str">
            <v>SCENTKIT-48</v>
          </cell>
          <cell r="C4509" t="str">
            <v>Invoice</v>
          </cell>
          <cell r="D4509">
            <v>38616</v>
          </cell>
          <cell r="F4509" t="str">
            <v>8039</v>
          </cell>
          <cell r="G4509" t="str">
            <v>Muzak, IA:Soundcom LLC of Florida - Palm Beach</v>
          </cell>
          <cell r="H4509">
            <v>2</v>
          </cell>
        </row>
        <row r="4510">
          <cell r="B4510" t="str">
            <v>SCENTKIT-48</v>
          </cell>
          <cell r="C4510" t="str">
            <v>Invoice</v>
          </cell>
          <cell r="D4510">
            <v>38617</v>
          </cell>
          <cell r="F4510" t="str">
            <v>8006</v>
          </cell>
          <cell r="G4510" t="str">
            <v>Muzak, IA:Metro Communications</v>
          </cell>
          <cell r="H4510">
            <v>2</v>
          </cell>
        </row>
        <row r="4511">
          <cell r="B4511" t="str">
            <v>SCENTKIT-48</v>
          </cell>
          <cell r="C4511" t="str">
            <v>Invoice</v>
          </cell>
          <cell r="D4511">
            <v>38622</v>
          </cell>
          <cell r="F4511" t="str">
            <v>8092</v>
          </cell>
          <cell r="G4511" t="str">
            <v>Muzak, IA:Metro Communications</v>
          </cell>
          <cell r="H4511">
            <v>2</v>
          </cell>
        </row>
        <row r="4512">
          <cell r="B4512" t="str">
            <v>SCENTSAMPLES</v>
          </cell>
          <cell r="C4512" t="str">
            <v>Invoice</v>
          </cell>
          <cell r="D4512">
            <v>38477</v>
          </cell>
          <cell r="F4512" t="str">
            <v>5599</v>
          </cell>
          <cell r="G4512" t="str">
            <v>ScentAir Australia Pty Ltd.</v>
          </cell>
          <cell r="H4512">
            <v>2</v>
          </cell>
        </row>
        <row r="4513">
          <cell r="B4513" t="str">
            <v>SCENTSAMPLES</v>
          </cell>
          <cell r="C4513" t="str">
            <v>Invoice</v>
          </cell>
          <cell r="D4513">
            <v>38484</v>
          </cell>
          <cell r="F4513" t="str">
            <v>6165</v>
          </cell>
          <cell r="G4513" t="str">
            <v>Kevan Moss Design:Kevan Moss Design</v>
          </cell>
          <cell r="H4513">
            <v>2</v>
          </cell>
        </row>
        <row r="4514">
          <cell r="B4514" t="str">
            <v>SCENTSAMPLES</v>
          </cell>
          <cell r="C4514" t="str">
            <v>Invoice</v>
          </cell>
          <cell r="D4514">
            <v>38488</v>
          </cell>
          <cell r="F4514" t="str">
            <v>6067</v>
          </cell>
          <cell r="G4514" t="str">
            <v>ScentAir Australia Pty Ltd.</v>
          </cell>
          <cell r="H4514">
            <v>2</v>
          </cell>
        </row>
        <row r="4515">
          <cell r="B4515" t="str">
            <v>SCENTSAMPLES</v>
          </cell>
          <cell r="C4515" t="str">
            <v>Invoice</v>
          </cell>
          <cell r="D4515">
            <v>38495</v>
          </cell>
          <cell r="F4515" t="str">
            <v>6124</v>
          </cell>
          <cell r="G4515" t="str">
            <v>ScentAir - Corporate Associates:Ed Burke</v>
          </cell>
          <cell r="H4515">
            <v>2</v>
          </cell>
        </row>
        <row r="4516">
          <cell r="B4516" t="str">
            <v>SCENTSAMPLES</v>
          </cell>
          <cell r="C4516" t="str">
            <v>Invoice</v>
          </cell>
          <cell r="D4516">
            <v>38511</v>
          </cell>
          <cell r="F4516" t="str">
            <v>6280</v>
          </cell>
          <cell r="G4516" t="str">
            <v>Busch Gardens - Williamsburg</v>
          </cell>
          <cell r="H4516">
            <v>2</v>
          </cell>
        </row>
        <row r="4517">
          <cell r="B4517" t="str">
            <v>SCENTSAMPLES</v>
          </cell>
          <cell r="C4517" t="str">
            <v>Invoice</v>
          </cell>
          <cell r="D4517">
            <v>38512</v>
          </cell>
          <cell r="F4517" t="str">
            <v>6275</v>
          </cell>
          <cell r="G4517" t="str">
            <v>Splash Agency/Flat Rock Grille</v>
          </cell>
          <cell r="H4517">
            <v>2</v>
          </cell>
        </row>
        <row r="4518">
          <cell r="B4518" t="str">
            <v>SCENTSAMPLES</v>
          </cell>
          <cell r="C4518" t="str">
            <v>Invoice</v>
          </cell>
          <cell r="D4518">
            <v>38539</v>
          </cell>
          <cell r="F4518" t="str">
            <v>7040</v>
          </cell>
          <cell r="G4518" t="str">
            <v>Muzak, LLC:Caroline Aleman</v>
          </cell>
          <cell r="H4518">
            <v>2</v>
          </cell>
        </row>
        <row r="4519">
          <cell r="B4519" t="str">
            <v>SCENTSAMPLES</v>
          </cell>
          <cell r="C4519" t="str">
            <v>Invoice</v>
          </cell>
          <cell r="D4519">
            <v>38539</v>
          </cell>
          <cell r="F4519" t="str">
            <v>7084</v>
          </cell>
          <cell r="G4519" t="str">
            <v>Tatum, Inc.</v>
          </cell>
          <cell r="H4519">
            <v>2</v>
          </cell>
        </row>
        <row r="4520">
          <cell r="B4520" t="str">
            <v>SCENTSAMPLES</v>
          </cell>
          <cell r="C4520" t="str">
            <v>Invoice</v>
          </cell>
          <cell r="D4520">
            <v>38541</v>
          </cell>
          <cell r="F4520" t="str">
            <v>7101</v>
          </cell>
          <cell r="G4520" t="str">
            <v>ScentAir Australia Pty Ltd.</v>
          </cell>
          <cell r="H4520">
            <v>2</v>
          </cell>
        </row>
        <row r="4521">
          <cell r="B4521" t="str">
            <v>SCENTSAMPLES</v>
          </cell>
          <cell r="C4521" t="str">
            <v>Invoice</v>
          </cell>
          <cell r="D4521">
            <v>38548</v>
          </cell>
          <cell r="F4521" t="str">
            <v>7143</v>
          </cell>
          <cell r="G4521" t="str">
            <v>Nestle</v>
          </cell>
          <cell r="H4521">
            <v>2</v>
          </cell>
        </row>
        <row r="4522">
          <cell r="B4522" t="str">
            <v>SCENTSAMPLES</v>
          </cell>
          <cell r="C4522" t="str">
            <v>Invoice</v>
          </cell>
          <cell r="D4522">
            <v>38601</v>
          </cell>
          <cell r="F4522" t="str">
            <v>7834</v>
          </cell>
          <cell r="G4522" t="str">
            <v>AroMarketing:AroMarketing - Guadalajara</v>
          </cell>
          <cell r="H4522">
            <v>2</v>
          </cell>
        </row>
        <row r="4523">
          <cell r="B4523" t="str">
            <v>SCENTSAMPLES</v>
          </cell>
          <cell r="C4523" t="str">
            <v>Invoice</v>
          </cell>
          <cell r="D4523">
            <v>38614</v>
          </cell>
          <cell r="F4523" t="str">
            <v>7999</v>
          </cell>
          <cell r="G4523" t="str">
            <v>ScentAir - Corporate Associates:Pamela Knock</v>
          </cell>
          <cell r="H4523">
            <v>2</v>
          </cell>
        </row>
        <row r="4524">
          <cell r="B4524" t="str">
            <v>SCENTSAMPLES</v>
          </cell>
          <cell r="C4524" t="str">
            <v>Invoice</v>
          </cell>
          <cell r="D4524">
            <v>38614</v>
          </cell>
          <cell r="F4524" t="str">
            <v>7999</v>
          </cell>
          <cell r="G4524" t="str">
            <v>ScentAir - Corporate Associates:Pamela Knock</v>
          </cell>
          <cell r="H4524">
            <v>2</v>
          </cell>
        </row>
        <row r="4525">
          <cell r="B4525" t="str">
            <v>SCENTSAMPLES</v>
          </cell>
          <cell r="C4525" t="str">
            <v>Invoice</v>
          </cell>
          <cell r="D4525">
            <v>38614</v>
          </cell>
          <cell r="F4525" t="str">
            <v>7999</v>
          </cell>
          <cell r="G4525" t="str">
            <v>ScentAir - Corporate Associates:Pamela Knock</v>
          </cell>
          <cell r="H4525">
            <v>2</v>
          </cell>
        </row>
        <row r="4526">
          <cell r="B4526" t="str">
            <v>SCENTSAMPLES</v>
          </cell>
          <cell r="C4526" t="str">
            <v>Invoice</v>
          </cell>
          <cell r="D4526">
            <v>38614</v>
          </cell>
          <cell r="F4526" t="str">
            <v>7999</v>
          </cell>
          <cell r="G4526" t="str">
            <v>ScentAir - Corporate Associates:Pamela Knock</v>
          </cell>
          <cell r="H4526">
            <v>2</v>
          </cell>
        </row>
        <row r="4527">
          <cell r="B4527" t="str">
            <v>SCENTSAMPLES</v>
          </cell>
          <cell r="C4527" t="str">
            <v>Invoice</v>
          </cell>
          <cell r="D4527">
            <v>38614</v>
          </cell>
          <cell r="F4527" t="str">
            <v>7999</v>
          </cell>
          <cell r="G4527" t="str">
            <v>ScentAir - Corporate Associates:Pamela Knock</v>
          </cell>
          <cell r="H4527">
            <v>2</v>
          </cell>
        </row>
        <row r="4528">
          <cell r="B4528" t="str">
            <v>SCENTSAMPLES</v>
          </cell>
          <cell r="C4528" t="str">
            <v>Invoice</v>
          </cell>
          <cell r="D4528">
            <v>38614</v>
          </cell>
          <cell r="F4528" t="str">
            <v>7999</v>
          </cell>
          <cell r="G4528" t="str">
            <v>ScentAir - Corporate Associates:Pamela Knock</v>
          </cell>
          <cell r="H4528">
            <v>2</v>
          </cell>
        </row>
        <row r="4529">
          <cell r="B4529" t="str">
            <v>SCENTSAMPLES</v>
          </cell>
          <cell r="C4529" t="str">
            <v>Invoice</v>
          </cell>
          <cell r="D4529">
            <v>38614</v>
          </cell>
          <cell r="F4529" t="str">
            <v>7999</v>
          </cell>
          <cell r="G4529" t="str">
            <v>ScentAir - Corporate Associates:Pamela Knock</v>
          </cell>
          <cell r="H4529">
            <v>2</v>
          </cell>
        </row>
        <row r="4530">
          <cell r="B4530" t="str">
            <v>SCENTSAMPLES</v>
          </cell>
          <cell r="C4530" t="str">
            <v>Invoice</v>
          </cell>
          <cell r="D4530">
            <v>38625</v>
          </cell>
          <cell r="F4530" t="str">
            <v>8096</v>
          </cell>
          <cell r="G4530" t="str">
            <v>Videotronic Benelux BV</v>
          </cell>
          <cell r="H4530">
            <v>2</v>
          </cell>
        </row>
        <row r="4531">
          <cell r="B4531" t="str">
            <v>SEC1040-0794</v>
          </cell>
          <cell r="C4531" t="str">
            <v>Invoice</v>
          </cell>
          <cell r="D4531">
            <v>38628</v>
          </cell>
          <cell r="F4531" t="str">
            <v>8245</v>
          </cell>
          <cell r="G4531" t="str">
            <v>Promotool</v>
          </cell>
          <cell r="H4531">
            <v>2</v>
          </cell>
        </row>
        <row r="4532">
          <cell r="B4532" t="str">
            <v>SEC1040-0849</v>
          </cell>
          <cell r="C4532" t="str">
            <v>Invoice</v>
          </cell>
          <cell r="D4532">
            <v>38602</v>
          </cell>
          <cell r="F4532" t="str">
            <v>7852</v>
          </cell>
          <cell r="G4532" t="str">
            <v>Metro FX</v>
          </cell>
          <cell r="H4532">
            <v>2</v>
          </cell>
        </row>
        <row r="4533">
          <cell r="B4533" t="str">
            <v>SPC500-0153</v>
          </cell>
          <cell r="C4533" t="str">
            <v>Invoice</v>
          </cell>
          <cell r="D4533">
            <v>38589</v>
          </cell>
          <cell r="F4533" t="str">
            <v>7697</v>
          </cell>
          <cell r="G4533" t="str">
            <v>Travel Centers Of America</v>
          </cell>
          <cell r="H4533">
            <v>2</v>
          </cell>
        </row>
        <row r="4534">
          <cell r="B4534" t="str">
            <v>SPC500-0174</v>
          </cell>
          <cell r="C4534" t="str">
            <v>Invoice</v>
          </cell>
          <cell r="D4534">
            <v>38421</v>
          </cell>
          <cell r="F4534" t="str">
            <v>5424</v>
          </cell>
          <cell r="G4534" t="str">
            <v>ScentAir Australia Pty Ltd.</v>
          </cell>
          <cell r="H4534">
            <v>2</v>
          </cell>
        </row>
        <row r="4535">
          <cell r="B4535" t="str">
            <v>SPC500-0234</v>
          </cell>
          <cell r="C4535" t="str">
            <v>Invoice</v>
          </cell>
          <cell r="D4535">
            <v>38530</v>
          </cell>
          <cell r="F4535" t="str">
            <v>6404</v>
          </cell>
          <cell r="G4535" t="str">
            <v>KaBloom - Gainesville</v>
          </cell>
          <cell r="H4535">
            <v>2</v>
          </cell>
        </row>
        <row r="4536">
          <cell r="B4536" t="str">
            <v>SPC500-0824</v>
          </cell>
          <cell r="C4536" t="str">
            <v>Invoice</v>
          </cell>
          <cell r="D4536">
            <v>38589</v>
          </cell>
          <cell r="F4536" t="str">
            <v>7697</v>
          </cell>
          <cell r="G4536" t="str">
            <v>Travel Centers Of America</v>
          </cell>
          <cell r="H4536">
            <v>2</v>
          </cell>
        </row>
        <row r="4537">
          <cell r="B4537" t="str">
            <v>SPC500-0825</v>
          </cell>
          <cell r="C4537" t="str">
            <v>Invoice</v>
          </cell>
          <cell r="D4537">
            <v>38561</v>
          </cell>
          <cell r="F4537" t="str">
            <v>7197</v>
          </cell>
          <cell r="G4537" t="str">
            <v>Techno Satellite</v>
          </cell>
          <cell r="H4537">
            <v>2</v>
          </cell>
        </row>
        <row r="4538">
          <cell r="B4538" t="str">
            <v>SPC500-0838</v>
          </cell>
          <cell r="C4538" t="str">
            <v>Invoice</v>
          </cell>
          <cell r="D4538">
            <v>38520</v>
          </cell>
          <cell r="F4538" t="str">
            <v>6267</v>
          </cell>
          <cell r="G4538" t="str">
            <v>Techno Satellite</v>
          </cell>
          <cell r="H4538">
            <v>2</v>
          </cell>
        </row>
        <row r="4539">
          <cell r="B4539" t="str">
            <v>SPC500-0841</v>
          </cell>
          <cell r="C4539" t="str">
            <v>Invoice</v>
          </cell>
          <cell r="D4539">
            <v>38533</v>
          </cell>
          <cell r="F4539" t="str">
            <v>7034</v>
          </cell>
          <cell r="G4539" t="str">
            <v>KaBloom-Grand Rapids</v>
          </cell>
          <cell r="H4539">
            <v>2</v>
          </cell>
        </row>
        <row r="4540">
          <cell r="B4540" t="str">
            <v>SPC500-0841</v>
          </cell>
          <cell r="C4540" t="str">
            <v>Invoice</v>
          </cell>
          <cell r="D4540">
            <v>38615</v>
          </cell>
          <cell r="F4540" t="str">
            <v>7944</v>
          </cell>
          <cell r="G4540" t="str">
            <v>Promotool</v>
          </cell>
          <cell r="H4540">
            <v>2</v>
          </cell>
        </row>
        <row r="4541">
          <cell r="B4541" t="str">
            <v>SPC500-0848</v>
          </cell>
          <cell r="C4541" t="str">
            <v>Invoice</v>
          </cell>
          <cell r="D4541">
            <v>38407</v>
          </cell>
          <cell r="F4541" t="str">
            <v>5361 &amp; 5343</v>
          </cell>
          <cell r="G4541" t="str">
            <v>Promotool</v>
          </cell>
          <cell r="H4541">
            <v>2</v>
          </cell>
        </row>
        <row r="4542">
          <cell r="B4542" t="str">
            <v>SPC500-0849</v>
          </cell>
          <cell r="C4542" t="str">
            <v>Invoice</v>
          </cell>
          <cell r="D4542">
            <v>38589</v>
          </cell>
          <cell r="F4542" t="str">
            <v>7697</v>
          </cell>
          <cell r="G4542" t="str">
            <v>Travel Centers Of America</v>
          </cell>
          <cell r="H4542">
            <v>2</v>
          </cell>
        </row>
        <row r="4543">
          <cell r="B4543" t="str">
            <v>SPC500-0874</v>
          </cell>
          <cell r="C4543" t="str">
            <v>Invoice</v>
          </cell>
          <cell r="D4543">
            <v>38615</v>
          </cell>
          <cell r="F4543" t="str">
            <v>7944</v>
          </cell>
          <cell r="G4543" t="str">
            <v>Promotool</v>
          </cell>
          <cell r="H4543">
            <v>2</v>
          </cell>
        </row>
        <row r="4544">
          <cell r="B4544" t="str">
            <v>SPC500-0892</v>
          </cell>
          <cell r="C4544" t="str">
            <v>Invoice</v>
          </cell>
          <cell r="D4544">
            <v>38589</v>
          </cell>
          <cell r="F4544" t="str">
            <v>7697</v>
          </cell>
          <cell r="G4544" t="str">
            <v>Travel Centers Of America</v>
          </cell>
          <cell r="H4544">
            <v>2</v>
          </cell>
        </row>
        <row r="4545">
          <cell r="B4545" t="str">
            <v>SPC500-0895</v>
          </cell>
          <cell r="C4545" t="str">
            <v>Invoice</v>
          </cell>
          <cell r="D4545">
            <v>38421</v>
          </cell>
          <cell r="F4545" t="str">
            <v>5424</v>
          </cell>
          <cell r="G4545" t="str">
            <v>ScentAir Australia Pty Ltd.</v>
          </cell>
          <cell r="H4545">
            <v>2</v>
          </cell>
        </row>
        <row r="4546">
          <cell r="B4546" t="str">
            <v>SPC500-0895</v>
          </cell>
          <cell r="C4546" t="str">
            <v>Invoice</v>
          </cell>
          <cell r="D4546">
            <v>38539</v>
          </cell>
          <cell r="F4546" t="str">
            <v>7074</v>
          </cell>
          <cell r="G4546" t="str">
            <v>Carter's</v>
          </cell>
          <cell r="H4546">
            <v>2</v>
          </cell>
        </row>
        <row r="4547">
          <cell r="B4547" t="str">
            <v>SPC500-0895</v>
          </cell>
          <cell r="C4547" t="str">
            <v>Invoice</v>
          </cell>
          <cell r="D4547">
            <v>38561</v>
          </cell>
          <cell r="F4547" t="str">
            <v>7197</v>
          </cell>
          <cell r="G4547" t="str">
            <v>Techno Satellite</v>
          </cell>
          <cell r="H4547">
            <v>2</v>
          </cell>
        </row>
        <row r="4548">
          <cell r="B4548" t="str">
            <v>SPC500-0912</v>
          </cell>
          <cell r="C4548" t="str">
            <v>Invoice</v>
          </cell>
          <cell r="D4548">
            <v>38440</v>
          </cell>
          <cell r="F4548" t="str">
            <v>5551</v>
          </cell>
          <cell r="G4548" t="str">
            <v>ScentAir Australia Pty Ltd.</v>
          </cell>
          <cell r="H4548">
            <v>2</v>
          </cell>
        </row>
        <row r="4549">
          <cell r="B4549" t="str">
            <v>SPC500-0913</v>
          </cell>
          <cell r="C4549" t="str">
            <v>Invoice</v>
          </cell>
          <cell r="D4549">
            <v>38561</v>
          </cell>
          <cell r="F4549" t="str">
            <v>7197</v>
          </cell>
          <cell r="G4549" t="str">
            <v>Techno Satellite</v>
          </cell>
          <cell r="H4549">
            <v>2</v>
          </cell>
        </row>
        <row r="4550">
          <cell r="B4550" t="str">
            <v>SPC500-0978</v>
          </cell>
          <cell r="C4550" t="str">
            <v>Invoice</v>
          </cell>
          <cell r="D4550">
            <v>38520</v>
          </cell>
          <cell r="F4550" t="str">
            <v>6267</v>
          </cell>
          <cell r="G4550" t="str">
            <v>Techno Satellite</v>
          </cell>
          <cell r="H4550">
            <v>2</v>
          </cell>
        </row>
        <row r="4551">
          <cell r="B4551" t="str">
            <v>SPC500-0996</v>
          </cell>
          <cell r="C4551" t="str">
            <v>Invoice</v>
          </cell>
          <cell r="D4551">
            <v>38407</v>
          </cell>
          <cell r="F4551" t="str">
            <v>5361 &amp; 5343</v>
          </cell>
          <cell r="G4551" t="str">
            <v>Promotool</v>
          </cell>
          <cell r="H4551">
            <v>2</v>
          </cell>
        </row>
        <row r="4552">
          <cell r="B4552" t="str">
            <v>SPC500-0996</v>
          </cell>
          <cell r="C4552" t="str">
            <v>Invoice</v>
          </cell>
          <cell r="D4552">
            <v>38485</v>
          </cell>
          <cell r="F4552" t="str">
            <v>6051</v>
          </cell>
          <cell r="G4552" t="str">
            <v>Promotool</v>
          </cell>
          <cell r="H4552">
            <v>2</v>
          </cell>
        </row>
        <row r="4553">
          <cell r="B4553" t="str">
            <v>SPC500-1016</v>
          </cell>
          <cell r="C4553" t="str">
            <v>Invoice</v>
          </cell>
          <cell r="D4553">
            <v>38421</v>
          </cell>
          <cell r="F4553" t="str">
            <v>5424</v>
          </cell>
          <cell r="G4553" t="str">
            <v>ScentAir Australia Pty Ltd.</v>
          </cell>
          <cell r="H4553">
            <v>2</v>
          </cell>
        </row>
        <row r="4554">
          <cell r="B4554" t="str">
            <v>SPC500-1016</v>
          </cell>
          <cell r="C4554" t="str">
            <v>Invoice</v>
          </cell>
          <cell r="D4554">
            <v>38590</v>
          </cell>
          <cell r="F4554" t="str">
            <v>7708</v>
          </cell>
          <cell r="G4554" t="str">
            <v>Techno Satellite</v>
          </cell>
          <cell r="H4554">
            <v>2</v>
          </cell>
        </row>
        <row r="4555">
          <cell r="B4555" t="str">
            <v>SPC500-1104</v>
          </cell>
          <cell r="C4555" t="str">
            <v>Invoice</v>
          </cell>
          <cell r="D4555">
            <v>38589</v>
          </cell>
          <cell r="F4555" t="str">
            <v>7697</v>
          </cell>
          <cell r="G4555" t="str">
            <v>Travel Centers Of America</v>
          </cell>
          <cell r="H4555">
            <v>2</v>
          </cell>
        </row>
        <row r="4556">
          <cell r="B4556" t="str">
            <v>SPC500-1105</v>
          </cell>
          <cell r="C4556" t="str">
            <v>Invoice</v>
          </cell>
          <cell r="D4556">
            <v>38589</v>
          </cell>
          <cell r="F4556" t="str">
            <v>7697</v>
          </cell>
          <cell r="G4556" t="str">
            <v>Travel Centers Of America</v>
          </cell>
          <cell r="H4556">
            <v>2</v>
          </cell>
        </row>
        <row r="4557">
          <cell r="B4557" t="str">
            <v>SPC500-1137</v>
          </cell>
          <cell r="C4557" t="str">
            <v>Invoice</v>
          </cell>
          <cell r="D4557">
            <v>38615</v>
          </cell>
          <cell r="F4557" t="str">
            <v>7944</v>
          </cell>
          <cell r="G4557" t="str">
            <v>Promotool</v>
          </cell>
          <cell r="H4557">
            <v>2</v>
          </cell>
        </row>
        <row r="4558">
          <cell r="B4558" t="str">
            <v>SPC500-1153</v>
          </cell>
          <cell r="C4558" t="str">
            <v>Invoice</v>
          </cell>
          <cell r="D4558">
            <v>38421</v>
          </cell>
          <cell r="F4558" t="str">
            <v>5424</v>
          </cell>
          <cell r="G4558" t="str">
            <v>ScentAir Australia Pty Ltd.</v>
          </cell>
          <cell r="H4558">
            <v>2</v>
          </cell>
        </row>
        <row r="4559">
          <cell r="B4559" t="str">
            <v>SPC500-1200</v>
          </cell>
          <cell r="C4559" t="str">
            <v>Invoice</v>
          </cell>
          <cell r="D4559">
            <v>38421</v>
          </cell>
          <cell r="F4559" t="str">
            <v>5424</v>
          </cell>
          <cell r="G4559" t="str">
            <v>ScentAir Australia Pty Ltd.</v>
          </cell>
          <cell r="H4559">
            <v>2</v>
          </cell>
        </row>
        <row r="4560">
          <cell r="B4560" t="str">
            <v>SPC500-1224</v>
          </cell>
          <cell r="C4560" t="str">
            <v>Invoice</v>
          </cell>
          <cell r="D4560">
            <v>38461</v>
          </cell>
          <cell r="F4560" t="str">
            <v>5637</v>
          </cell>
          <cell r="G4560" t="str">
            <v>US Navy NSWC</v>
          </cell>
          <cell r="H4560">
            <v>2</v>
          </cell>
        </row>
        <row r="4561">
          <cell r="B4561" t="str">
            <v>SPC500-1254</v>
          </cell>
          <cell r="C4561" t="str">
            <v>Invoice</v>
          </cell>
          <cell r="D4561">
            <v>38561</v>
          </cell>
          <cell r="F4561" t="str">
            <v>7197</v>
          </cell>
          <cell r="G4561" t="str">
            <v>Techno Satellite</v>
          </cell>
          <cell r="H4561">
            <v>2</v>
          </cell>
        </row>
        <row r="4562">
          <cell r="B4562" t="str">
            <v>SPC500-1291</v>
          </cell>
          <cell r="C4562" t="str">
            <v>Invoice</v>
          </cell>
          <cell r="D4562">
            <v>38427</v>
          </cell>
          <cell r="F4562" t="str">
            <v>5456</v>
          </cell>
          <cell r="G4562" t="str">
            <v>Children's Museaum of Indianapolis</v>
          </cell>
          <cell r="H4562">
            <v>2</v>
          </cell>
        </row>
        <row r="4563">
          <cell r="B4563" t="str">
            <v>SPC500-1340</v>
          </cell>
          <cell r="C4563" t="str">
            <v>Invoice</v>
          </cell>
          <cell r="D4563">
            <v>38520</v>
          </cell>
          <cell r="F4563" t="str">
            <v>6267</v>
          </cell>
          <cell r="G4563" t="str">
            <v>Techno Satellite</v>
          </cell>
          <cell r="H4563">
            <v>2</v>
          </cell>
        </row>
        <row r="4564">
          <cell r="B4564" t="str">
            <v>SPC500-1416</v>
          </cell>
          <cell r="C4564" t="str">
            <v>Invoice</v>
          </cell>
          <cell r="D4564">
            <v>38573</v>
          </cell>
          <cell r="F4564" t="str">
            <v>7343</v>
          </cell>
          <cell r="G4564" t="str">
            <v>Design Craftsmen, Inc.</v>
          </cell>
          <cell r="H4564">
            <v>2</v>
          </cell>
        </row>
        <row r="4565">
          <cell r="B4565" t="str">
            <v>SPC-500-913</v>
          </cell>
          <cell r="C4565" t="str">
            <v>Invoice</v>
          </cell>
          <cell r="D4565">
            <v>38427</v>
          </cell>
          <cell r="F4565" t="str">
            <v>5456</v>
          </cell>
          <cell r="G4565" t="str">
            <v>Children's Museaum of Indianapolis</v>
          </cell>
          <cell r="H4565">
            <v>2</v>
          </cell>
        </row>
        <row r="4566">
          <cell r="B4566" t="str">
            <v>SPD510</v>
          </cell>
          <cell r="C4566" t="str">
            <v>Invoice</v>
          </cell>
          <cell r="D4566">
            <v>38407</v>
          </cell>
          <cell r="F4566" t="str">
            <v>5361 &amp; 5343</v>
          </cell>
          <cell r="G4566" t="str">
            <v>Promotool</v>
          </cell>
          <cell r="H4566">
            <v>2</v>
          </cell>
        </row>
        <row r="4567">
          <cell r="B4567" t="str">
            <v>SPD510</v>
          </cell>
          <cell r="C4567" t="str">
            <v>Invoice</v>
          </cell>
          <cell r="D4567">
            <v>38526</v>
          </cell>
          <cell r="F4567" t="str">
            <v>5577-I</v>
          </cell>
          <cell r="G4567" t="str">
            <v>Floralife</v>
          </cell>
          <cell r="H4567">
            <v>2</v>
          </cell>
        </row>
        <row r="4568">
          <cell r="B4568" t="str">
            <v>SPD510</v>
          </cell>
          <cell r="C4568" t="str">
            <v>Invoice</v>
          </cell>
          <cell r="D4568">
            <v>38539</v>
          </cell>
          <cell r="F4568" t="str">
            <v>7083</v>
          </cell>
          <cell r="G4568" t="str">
            <v>LEGOLAND California</v>
          </cell>
          <cell r="H4568">
            <v>2</v>
          </cell>
        </row>
        <row r="4569">
          <cell r="B4569" t="str">
            <v>SPD510</v>
          </cell>
          <cell r="C4569" t="str">
            <v>Invoice</v>
          </cell>
          <cell r="D4569">
            <v>38589</v>
          </cell>
          <cell r="F4569" t="str">
            <v>7697</v>
          </cell>
          <cell r="G4569" t="str">
            <v>Travel Centers Of America</v>
          </cell>
          <cell r="H4569">
            <v>2</v>
          </cell>
        </row>
        <row r="4570">
          <cell r="B4570" t="str">
            <v>SPOP</v>
          </cell>
          <cell r="C4570" t="str">
            <v>Invoice</v>
          </cell>
          <cell r="D4570">
            <v>38393</v>
          </cell>
          <cell r="F4570" t="str">
            <v>5303</v>
          </cell>
          <cell r="G4570" t="str">
            <v>Design Craftsmen, Inc.</v>
          </cell>
          <cell r="H4570">
            <v>2</v>
          </cell>
        </row>
        <row r="4571">
          <cell r="B4571" t="str">
            <v>SPOP-C</v>
          </cell>
          <cell r="C4571" t="str">
            <v>Invoice</v>
          </cell>
          <cell r="D4571">
            <v>38378</v>
          </cell>
          <cell r="F4571" t="str">
            <v>5181</v>
          </cell>
          <cell r="G4571" t="str">
            <v>MLS Homes</v>
          </cell>
          <cell r="H4571">
            <v>2</v>
          </cell>
        </row>
        <row r="4572">
          <cell r="B4572" t="str">
            <v>SPOP-C</v>
          </cell>
          <cell r="C4572" t="str">
            <v>Invoice</v>
          </cell>
          <cell r="D4572">
            <v>38378</v>
          </cell>
          <cell r="F4572" t="str">
            <v>5167</v>
          </cell>
          <cell r="G4572" t="str">
            <v>KaBloom! Stephen Chin</v>
          </cell>
          <cell r="H4572">
            <v>2</v>
          </cell>
        </row>
        <row r="4573">
          <cell r="B4573" t="str">
            <v>SPOP-C</v>
          </cell>
          <cell r="C4573" t="str">
            <v>Invoice</v>
          </cell>
          <cell r="D4573">
            <v>38378</v>
          </cell>
          <cell r="F4573" t="str">
            <v>5135</v>
          </cell>
          <cell r="G4573" t="str">
            <v>Venetian Hotel-Simone Ripamonti</v>
          </cell>
          <cell r="H4573">
            <v>2</v>
          </cell>
        </row>
        <row r="4574">
          <cell r="B4574" t="str">
            <v>SPOP-C</v>
          </cell>
          <cell r="C4574" t="str">
            <v>Invoice</v>
          </cell>
          <cell r="D4574">
            <v>38383</v>
          </cell>
          <cell r="F4574" t="str">
            <v>5245</v>
          </cell>
          <cell r="G4574" t="str">
            <v>BJ's Wholesale Club (C)</v>
          </cell>
          <cell r="H4574">
            <v>2</v>
          </cell>
        </row>
        <row r="4575">
          <cell r="B4575" t="str">
            <v>SS</v>
          </cell>
          <cell r="C4575" t="str">
            <v>Invoice</v>
          </cell>
          <cell r="D4575">
            <v>38468</v>
          </cell>
          <cell r="F4575" t="str">
            <v>5621</v>
          </cell>
          <cell r="G4575" t="str">
            <v>Saks Fifth Avenue-Santa Barbara</v>
          </cell>
          <cell r="H4575">
            <v>2</v>
          </cell>
        </row>
        <row r="4576">
          <cell r="B4576" t="str">
            <v>SWC1000-0153</v>
          </cell>
          <cell r="C4576" t="str">
            <v>Invoice</v>
          </cell>
          <cell r="D4576">
            <v>38420</v>
          </cell>
          <cell r="F4576" t="str">
            <v>5449</v>
          </cell>
          <cell r="G4576" t="str">
            <v>Bloomingdale's #20</v>
          </cell>
          <cell r="H4576">
            <v>2</v>
          </cell>
        </row>
        <row r="4577">
          <cell r="B4577" t="str">
            <v>SWC1000-0153</v>
          </cell>
          <cell r="C4577" t="str">
            <v>Invoice</v>
          </cell>
          <cell r="D4577">
            <v>38442</v>
          </cell>
          <cell r="F4577" t="str">
            <v>5545</v>
          </cell>
          <cell r="G4577" t="str">
            <v>Sea World Orlando</v>
          </cell>
          <cell r="H4577">
            <v>2</v>
          </cell>
        </row>
        <row r="4578">
          <cell r="B4578" t="str">
            <v>SWC1000-0153</v>
          </cell>
          <cell r="C4578" t="str">
            <v>Invoice</v>
          </cell>
          <cell r="D4578">
            <v>38475</v>
          </cell>
          <cell r="F4578" t="str">
            <v>5649</v>
          </cell>
          <cell r="G4578" t="str">
            <v>Sea World Orlando</v>
          </cell>
          <cell r="H4578">
            <v>2</v>
          </cell>
        </row>
        <row r="4579">
          <cell r="B4579" t="str">
            <v>SWC1000-0153</v>
          </cell>
          <cell r="C4579" t="str">
            <v>Invoice</v>
          </cell>
          <cell r="D4579">
            <v>38519</v>
          </cell>
          <cell r="F4579" t="str">
            <v>6353</v>
          </cell>
          <cell r="G4579" t="str">
            <v>Sea World Orlando</v>
          </cell>
          <cell r="H4579">
            <v>2</v>
          </cell>
        </row>
        <row r="4580">
          <cell r="B4580" t="str">
            <v>SWC1000-0153</v>
          </cell>
          <cell r="C4580" t="str">
            <v>Invoice</v>
          </cell>
          <cell r="D4580">
            <v>38544</v>
          </cell>
          <cell r="F4580" t="str">
            <v>6034-I</v>
          </cell>
          <cell r="G4580" t="str">
            <v>Sea World Orlando</v>
          </cell>
          <cell r="H4580">
            <v>2</v>
          </cell>
        </row>
        <row r="4581">
          <cell r="B4581" t="str">
            <v>SWC1000-0153</v>
          </cell>
          <cell r="C4581" t="str">
            <v>Invoice</v>
          </cell>
          <cell r="D4581">
            <v>38576</v>
          </cell>
          <cell r="F4581" t="str">
            <v>7054</v>
          </cell>
          <cell r="G4581" t="str">
            <v>Sea World Orlando</v>
          </cell>
          <cell r="H4581">
            <v>2</v>
          </cell>
        </row>
        <row r="4582">
          <cell r="B4582" t="str">
            <v>SWC1000-0479</v>
          </cell>
          <cell r="C4582" t="str">
            <v>Invoice</v>
          </cell>
          <cell r="D4582">
            <v>38427</v>
          </cell>
          <cell r="F4582" t="str">
            <v>5458</v>
          </cell>
          <cell r="G4582" t="str">
            <v>Copeland Sports</v>
          </cell>
          <cell r="H4582">
            <v>2</v>
          </cell>
        </row>
        <row r="4583">
          <cell r="B4583" t="str">
            <v>SWC1000-0496</v>
          </cell>
          <cell r="C4583" t="str">
            <v>Invoice</v>
          </cell>
          <cell r="D4583">
            <v>38440</v>
          </cell>
          <cell r="F4583" t="str">
            <v>5536</v>
          </cell>
          <cell r="G4583" t="str">
            <v>Dylan's Candy Bar</v>
          </cell>
          <cell r="H4583">
            <v>2</v>
          </cell>
        </row>
        <row r="4584">
          <cell r="B4584" t="str">
            <v>SWC1000-0496</v>
          </cell>
          <cell r="C4584" t="str">
            <v>Invoice</v>
          </cell>
          <cell r="D4584">
            <v>38467</v>
          </cell>
          <cell r="F4584" t="str">
            <v>5647</v>
          </cell>
          <cell r="G4584" t="str">
            <v>Dylan's Candy Bar:Dylan's Candy Bar Orlando #16</v>
          </cell>
          <cell r="H4584">
            <v>2</v>
          </cell>
        </row>
        <row r="4585">
          <cell r="B4585" t="str">
            <v>SWC1000-0496</v>
          </cell>
          <cell r="C4585" t="str">
            <v>Invoice</v>
          </cell>
          <cell r="D4585">
            <v>38489</v>
          </cell>
          <cell r="F4585" t="str">
            <v>6099</v>
          </cell>
          <cell r="G4585" t="str">
            <v>Dylan's Candy Bar:Dylan's Candy Bar Orlando #16</v>
          </cell>
          <cell r="H4585">
            <v>2</v>
          </cell>
        </row>
        <row r="4586">
          <cell r="B4586" t="str">
            <v>SWC1000-0729</v>
          </cell>
          <cell r="C4586" t="str">
            <v>Invoice</v>
          </cell>
          <cell r="D4586">
            <v>38434</v>
          </cell>
          <cell r="F4586" t="str">
            <v>5515</v>
          </cell>
          <cell r="G4586" t="str">
            <v>Scent Events, LLC</v>
          </cell>
          <cell r="H4586">
            <v>2</v>
          </cell>
        </row>
        <row r="4587">
          <cell r="B4587" t="str">
            <v>SWC1000-0729</v>
          </cell>
          <cell r="C4587" t="str">
            <v>Invoice</v>
          </cell>
          <cell r="D4587">
            <v>38482</v>
          </cell>
          <cell r="F4587" t="str">
            <v>6048</v>
          </cell>
          <cell r="G4587" t="str">
            <v>Sunkist Growers</v>
          </cell>
          <cell r="H4587">
            <v>2</v>
          </cell>
        </row>
        <row r="4588">
          <cell r="B4588" t="str">
            <v>SWC1000-0729</v>
          </cell>
          <cell r="C4588" t="str">
            <v>Invoice</v>
          </cell>
          <cell r="D4588">
            <v>38603</v>
          </cell>
          <cell r="F4588" t="str">
            <v>7877</v>
          </cell>
          <cell r="G4588" t="str">
            <v>Sunkist Growers</v>
          </cell>
          <cell r="H4588">
            <v>2</v>
          </cell>
        </row>
        <row r="4589">
          <cell r="B4589" t="str">
            <v>SWC1000-0766</v>
          </cell>
          <cell r="C4589" t="str">
            <v>Invoice</v>
          </cell>
          <cell r="D4589">
            <v>38471</v>
          </cell>
          <cell r="F4589" t="str">
            <v>5717</v>
          </cell>
          <cell r="G4589" t="str">
            <v>The Funplex</v>
          </cell>
          <cell r="H4589">
            <v>2</v>
          </cell>
        </row>
        <row r="4590">
          <cell r="B4590" t="str">
            <v>SWC1000-0782</v>
          </cell>
          <cell r="C4590" t="str">
            <v>Invoice</v>
          </cell>
          <cell r="D4590">
            <v>38491</v>
          </cell>
          <cell r="F4590" t="str">
            <v>6302</v>
          </cell>
          <cell r="G4590" t="str">
            <v>Ashley Furniture HomeStore</v>
          </cell>
          <cell r="H4590">
            <v>2</v>
          </cell>
        </row>
        <row r="4591">
          <cell r="B4591" t="str">
            <v>SWC1000-0782</v>
          </cell>
          <cell r="C4591" t="str">
            <v>Invoice</v>
          </cell>
          <cell r="D4591">
            <v>38542</v>
          </cell>
          <cell r="F4591" t="str">
            <v>6303</v>
          </cell>
          <cell r="G4591" t="str">
            <v>Ashley Furniture HomeStore</v>
          </cell>
          <cell r="H4591">
            <v>2</v>
          </cell>
        </row>
        <row r="4592">
          <cell r="B4592" t="str">
            <v>SWC1000-0782</v>
          </cell>
          <cell r="C4592" t="str">
            <v>Invoice</v>
          </cell>
          <cell r="D4592">
            <v>38574</v>
          </cell>
          <cell r="F4592" t="str">
            <v>5597</v>
          </cell>
          <cell r="G4592" t="str">
            <v>Ashley Furniture HomeStore</v>
          </cell>
          <cell r="H4592">
            <v>2</v>
          </cell>
        </row>
        <row r="4593">
          <cell r="B4593" t="str">
            <v>SWC1000-0782</v>
          </cell>
          <cell r="C4593" t="str">
            <v>Invoice</v>
          </cell>
          <cell r="D4593">
            <v>38604</v>
          </cell>
          <cell r="F4593" t="str">
            <v>7215</v>
          </cell>
          <cell r="G4593" t="str">
            <v>Ashley Furniture HomeStore</v>
          </cell>
          <cell r="H4593">
            <v>2</v>
          </cell>
        </row>
        <row r="4594">
          <cell r="B4594" t="str">
            <v>SWC1000-0794</v>
          </cell>
          <cell r="C4594" t="str">
            <v>Invoice</v>
          </cell>
          <cell r="D4594">
            <v>38428</v>
          </cell>
          <cell r="F4594" t="str">
            <v>5469</v>
          </cell>
          <cell r="G4594" t="str">
            <v>Venetian Hotel</v>
          </cell>
          <cell r="H4594">
            <v>2</v>
          </cell>
        </row>
        <row r="4595">
          <cell r="B4595" t="str">
            <v>SWC1000-0794</v>
          </cell>
          <cell r="C4595" t="str">
            <v>Invoice</v>
          </cell>
          <cell r="D4595">
            <v>38520</v>
          </cell>
          <cell r="F4595" t="str">
            <v>6380</v>
          </cell>
          <cell r="G4595" t="str">
            <v>VendMax International Inc.</v>
          </cell>
          <cell r="H4595">
            <v>2</v>
          </cell>
        </row>
        <row r="4596">
          <cell r="B4596" t="str">
            <v>SWC1000-0794</v>
          </cell>
          <cell r="C4596" t="str">
            <v>Invoice</v>
          </cell>
          <cell r="D4596">
            <v>38542</v>
          </cell>
          <cell r="F4596" t="str">
            <v>7130</v>
          </cell>
          <cell r="G4596" t="str">
            <v>Promotool</v>
          </cell>
          <cell r="H4596">
            <v>2</v>
          </cell>
        </row>
        <row r="4597">
          <cell r="B4597" t="str">
            <v>SWC1000-0824</v>
          </cell>
          <cell r="C4597" t="str">
            <v>Invoice</v>
          </cell>
          <cell r="D4597">
            <v>38468</v>
          </cell>
          <cell r="F4597" t="str">
            <v>6017</v>
          </cell>
          <cell r="G4597" t="str">
            <v>Treasure Island Stores</v>
          </cell>
          <cell r="H4597">
            <v>2</v>
          </cell>
        </row>
        <row r="4598">
          <cell r="B4598" t="str">
            <v>SWC1000-0824</v>
          </cell>
          <cell r="C4598" t="str">
            <v>Invoice</v>
          </cell>
          <cell r="D4598">
            <v>38503</v>
          </cell>
          <cell r="F4598" t="str">
            <v>6172</v>
          </cell>
          <cell r="G4598" t="str">
            <v>Arkitectura Urbana</v>
          </cell>
          <cell r="H4598">
            <v>2</v>
          </cell>
        </row>
        <row r="4599">
          <cell r="B4599" t="str">
            <v>SWC1000-0825</v>
          </cell>
          <cell r="C4599" t="str">
            <v>Invoice</v>
          </cell>
          <cell r="D4599">
            <v>38503</v>
          </cell>
          <cell r="F4599" t="str">
            <v>6172</v>
          </cell>
          <cell r="G4599" t="str">
            <v>Arkitectura Urbana</v>
          </cell>
          <cell r="H4599">
            <v>2</v>
          </cell>
        </row>
        <row r="4600">
          <cell r="B4600" t="str">
            <v>SWC1000-0831</v>
          </cell>
          <cell r="C4600" t="str">
            <v>Invoice</v>
          </cell>
          <cell r="D4600">
            <v>38434</v>
          </cell>
          <cell r="F4600" t="str">
            <v>5515</v>
          </cell>
          <cell r="G4600" t="str">
            <v>Scent Events, LLC</v>
          </cell>
          <cell r="H4600">
            <v>2</v>
          </cell>
        </row>
        <row r="4601">
          <cell r="B4601" t="str">
            <v>SWC1000-0836</v>
          </cell>
          <cell r="C4601" t="str">
            <v>Invoice</v>
          </cell>
          <cell r="D4601">
            <v>38491</v>
          </cell>
          <cell r="F4601" t="str">
            <v>6302</v>
          </cell>
          <cell r="G4601" t="str">
            <v>Ashley Furniture HomeStore</v>
          </cell>
          <cell r="H4601">
            <v>2</v>
          </cell>
        </row>
        <row r="4602">
          <cell r="B4602" t="str">
            <v>SWC1000-0836</v>
          </cell>
          <cell r="C4602" t="str">
            <v>Invoice</v>
          </cell>
          <cell r="D4602">
            <v>38542</v>
          </cell>
          <cell r="F4602" t="str">
            <v>6303</v>
          </cell>
          <cell r="G4602" t="str">
            <v>Ashley Furniture HomeStore</v>
          </cell>
          <cell r="H4602">
            <v>2</v>
          </cell>
        </row>
        <row r="4603">
          <cell r="B4603" t="str">
            <v>SWC1000-0836</v>
          </cell>
          <cell r="C4603" t="str">
            <v>Invoice</v>
          </cell>
          <cell r="D4603">
            <v>38574</v>
          </cell>
          <cell r="F4603" t="str">
            <v>5597</v>
          </cell>
          <cell r="G4603" t="str">
            <v>Ashley Furniture HomeStore</v>
          </cell>
          <cell r="H4603">
            <v>2</v>
          </cell>
        </row>
        <row r="4604">
          <cell r="B4604" t="str">
            <v>SWC1000-0836</v>
          </cell>
          <cell r="C4604" t="str">
            <v>Invoice</v>
          </cell>
          <cell r="D4604">
            <v>38604</v>
          </cell>
          <cell r="F4604" t="str">
            <v>7215</v>
          </cell>
          <cell r="G4604" t="str">
            <v>Ashley Furniture HomeStore</v>
          </cell>
          <cell r="H4604">
            <v>2</v>
          </cell>
        </row>
        <row r="4605">
          <cell r="B4605" t="str">
            <v>SWC1000-0837</v>
          </cell>
          <cell r="C4605" t="str">
            <v>Invoice</v>
          </cell>
          <cell r="D4605">
            <v>38398</v>
          </cell>
          <cell r="F4605" t="str">
            <v>5305</v>
          </cell>
          <cell r="G4605" t="str">
            <v>Arkitectura Urbana</v>
          </cell>
          <cell r="H4605">
            <v>2</v>
          </cell>
        </row>
        <row r="4606">
          <cell r="B4606" t="str">
            <v>SWC1000-0837</v>
          </cell>
          <cell r="C4606" t="str">
            <v>Invoice</v>
          </cell>
          <cell r="D4606">
            <v>38510</v>
          </cell>
          <cell r="F4606" t="str">
            <v>6248</v>
          </cell>
          <cell r="G4606" t="str">
            <v>Arkitectura Urbana</v>
          </cell>
          <cell r="H4606">
            <v>2</v>
          </cell>
        </row>
        <row r="4607">
          <cell r="B4607" t="str">
            <v>SWC1000-0841</v>
          </cell>
          <cell r="C4607" t="str">
            <v>Invoice</v>
          </cell>
          <cell r="D4607">
            <v>38624</v>
          </cell>
          <cell r="F4607" t="str">
            <v>8155</v>
          </cell>
          <cell r="G4607" t="str">
            <v>Silks By Mu-Mu Manufactuteres</v>
          </cell>
          <cell r="H4607">
            <v>2</v>
          </cell>
        </row>
        <row r="4608">
          <cell r="B4608" t="str">
            <v>SWC1000-0847</v>
          </cell>
          <cell r="C4608" t="str">
            <v>Invoice</v>
          </cell>
          <cell r="D4608">
            <v>38499</v>
          </cell>
          <cell r="F4608" t="str">
            <v>6167</v>
          </cell>
          <cell r="G4608" t="str">
            <v>Hot Stuff</v>
          </cell>
          <cell r="H4608">
            <v>2</v>
          </cell>
        </row>
        <row r="4609">
          <cell r="B4609" t="str">
            <v>SWC1000-0847</v>
          </cell>
          <cell r="C4609" t="str">
            <v>Invoice</v>
          </cell>
          <cell r="D4609">
            <v>38533</v>
          </cell>
          <cell r="F4609" t="str">
            <v>7041</v>
          </cell>
          <cell r="G4609" t="str">
            <v>Arkitectura Urbana</v>
          </cell>
          <cell r="H4609">
            <v>2</v>
          </cell>
        </row>
        <row r="4610">
          <cell r="B4610" t="str">
            <v>SWC1000-0849</v>
          </cell>
          <cell r="C4610" t="str">
            <v>Invoice</v>
          </cell>
          <cell r="D4610">
            <v>38495</v>
          </cell>
          <cell r="F4610" t="str">
            <v>6110</v>
          </cell>
          <cell r="G4610" t="str">
            <v>Hot Stuff</v>
          </cell>
          <cell r="H4610">
            <v>2</v>
          </cell>
        </row>
        <row r="4611">
          <cell r="B4611" t="str">
            <v>SWC1000-0849</v>
          </cell>
          <cell r="C4611" t="str">
            <v>Invoice</v>
          </cell>
          <cell r="D4611">
            <v>38590</v>
          </cell>
          <cell r="F4611" t="str">
            <v>7047</v>
          </cell>
          <cell r="G4611" t="str">
            <v>Hot Stuff</v>
          </cell>
          <cell r="H4611">
            <v>2</v>
          </cell>
        </row>
        <row r="4612">
          <cell r="B4612" t="str">
            <v>SWC1000-0851</v>
          </cell>
          <cell r="C4612" t="str">
            <v>Invoice</v>
          </cell>
          <cell r="D4612">
            <v>38520</v>
          </cell>
          <cell r="F4612" t="str">
            <v>6372</v>
          </cell>
          <cell r="G4612" t="str">
            <v>American Solutions Inc.</v>
          </cell>
          <cell r="H4612">
            <v>2</v>
          </cell>
        </row>
        <row r="4613">
          <cell r="B4613" t="str">
            <v>SWC1000-0859</v>
          </cell>
          <cell r="C4613" t="str">
            <v>Invoice</v>
          </cell>
          <cell r="D4613">
            <v>38539</v>
          </cell>
          <cell r="F4613" t="str">
            <v>7048</v>
          </cell>
          <cell r="G4613" t="str">
            <v>Venetian Hotel</v>
          </cell>
          <cell r="H4613">
            <v>2</v>
          </cell>
        </row>
        <row r="4614">
          <cell r="B4614" t="str">
            <v>SWC1000-0859</v>
          </cell>
          <cell r="C4614" t="str">
            <v>Invoice</v>
          </cell>
          <cell r="D4614">
            <v>38547</v>
          </cell>
          <cell r="F4614" t="str">
            <v>7049</v>
          </cell>
          <cell r="G4614" t="str">
            <v>Venetian Hotel</v>
          </cell>
          <cell r="H4614">
            <v>2</v>
          </cell>
        </row>
        <row r="4615">
          <cell r="B4615" t="str">
            <v>SWC1000-0859</v>
          </cell>
          <cell r="C4615" t="str">
            <v>Invoice</v>
          </cell>
          <cell r="D4615">
            <v>38562</v>
          </cell>
          <cell r="F4615" t="str">
            <v>7052</v>
          </cell>
          <cell r="G4615" t="str">
            <v>Venetian Hotel</v>
          </cell>
          <cell r="H4615">
            <v>2</v>
          </cell>
        </row>
        <row r="4616">
          <cell r="B4616" t="str">
            <v>SWC1000-0859</v>
          </cell>
          <cell r="C4616" t="str">
            <v>Invoice</v>
          </cell>
          <cell r="D4616">
            <v>38626</v>
          </cell>
          <cell r="F4616" t="str">
            <v>7559</v>
          </cell>
          <cell r="G4616" t="str">
            <v>Venetian Hotel</v>
          </cell>
          <cell r="H4616">
            <v>2</v>
          </cell>
        </row>
        <row r="4617">
          <cell r="B4617" t="str">
            <v>SWC1000-0860</v>
          </cell>
          <cell r="C4617" t="str">
            <v>Invoice</v>
          </cell>
          <cell r="D4617">
            <v>38491</v>
          </cell>
          <cell r="F4617" t="str">
            <v>6302</v>
          </cell>
          <cell r="G4617" t="str">
            <v>Ashley Furniture HomeStore</v>
          </cell>
          <cell r="H4617">
            <v>2</v>
          </cell>
        </row>
        <row r="4618">
          <cell r="B4618" t="str">
            <v>SWC1000-0860</v>
          </cell>
          <cell r="C4618" t="str">
            <v>Invoice</v>
          </cell>
          <cell r="D4618">
            <v>38542</v>
          </cell>
          <cell r="F4618" t="str">
            <v>6303</v>
          </cell>
          <cell r="G4618" t="str">
            <v>Ashley Furniture HomeStore</v>
          </cell>
          <cell r="H4618">
            <v>2</v>
          </cell>
        </row>
        <row r="4619">
          <cell r="B4619" t="str">
            <v>SWC1000-0860</v>
          </cell>
          <cell r="C4619" t="str">
            <v>Invoice</v>
          </cell>
          <cell r="D4619">
            <v>38574</v>
          </cell>
          <cell r="F4619" t="str">
            <v>5597</v>
          </cell>
          <cell r="G4619" t="str">
            <v>Ashley Furniture HomeStore</v>
          </cell>
          <cell r="H4619">
            <v>2</v>
          </cell>
        </row>
        <row r="4620">
          <cell r="B4620" t="str">
            <v>SWC1000-0860</v>
          </cell>
          <cell r="C4620" t="str">
            <v>Invoice</v>
          </cell>
          <cell r="D4620">
            <v>38604</v>
          </cell>
          <cell r="F4620" t="str">
            <v>7215</v>
          </cell>
          <cell r="G4620" t="str">
            <v>Ashley Furniture HomeStore</v>
          </cell>
          <cell r="H4620">
            <v>2</v>
          </cell>
        </row>
        <row r="4621">
          <cell r="B4621" t="str">
            <v>SWC1000-0869</v>
          </cell>
          <cell r="C4621" t="str">
            <v>Invoice</v>
          </cell>
          <cell r="D4621">
            <v>38427</v>
          </cell>
          <cell r="F4621" t="str">
            <v>5407</v>
          </cell>
          <cell r="G4621" t="str">
            <v>Arkitectura Urbana</v>
          </cell>
          <cell r="H4621">
            <v>2</v>
          </cell>
        </row>
        <row r="4622">
          <cell r="B4622" t="str">
            <v>SWC1000-0869</v>
          </cell>
          <cell r="C4622" t="str">
            <v>Invoice</v>
          </cell>
          <cell r="D4622">
            <v>38533</v>
          </cell>
          <cell r="F4622" t="str">
            <v>7041</v>
          </cell>
          <cell r="G4622" t="str">
            <v>Arkitectura Urbana</v>
          </cell>
          <cell r="H4622">
            <v>2</v>
          </cell>
        </row>
        <row r="4623">
          <cell r="B4623" t="str">
            <v>SWC1000-0888</v>
          </cell>
          <cell r="C4623" t="str">
            <v>Invoice</v>
          </cell>
          <cell r="D4623">
            <v>38596</v>
          </cell>
          <cell r="F4623" t="str">
            <v>7409</v>
          </cell>
          <cell r="G4623" t="str">
            <v>Bloomingdale's Headquarters:Bloomingdale's - 007</v>
          </cell>
          <cell r="H4623">
            <v>2</v>
          </cell>
        </row>
        <row r="4624">
          <cell r="B4624" t="str">
            <v>SWC1000-0888</v>
          </cell>
          <cell r="C4624" t="str">
            <v>Invoice</v>
          </cell>
          <cell r="D4624">
            <v>38596</v>
          </cell>
          <cell r="F4624" t="str">
            <v>7410</v>
          </cell>
          <cell r="G4624" t="str">
            <v>Bloomingdale's Headquarters:Bloomingdale's - 008</v>
          </cell>
          <cell r="H4624">
            <v>2</v>
          </cell>
        </row>
        <row r="4625">
          <cell r="B4625" t="str">
            <v>SWC1000-0888</v>
          </cell>
          <cell r="C4625" t="str">
            <v>Invoice</v>
          </cell>
          <cell r="D4625">
            <v>38596</v>
          </cell>
          <cell r="F4625" t="str">
            <v>7411</v>
          </cell>
          <cell r="G4625" t="str">
            <v>Bloomingdale's Headquarters:Bloomingdale's - 009</v>
          </cell>
          <cell r="H4625">
            <v>2</v>
          </cell>
        </row>
        <row r="4626">
          <cell r="B4626" t="str">
            <v>SWC1000-0888</v>
          </cell>
          <cell r="C4626" t="str">
            <v>Invoice</v>
          </cell>
          <cell r="D4626">
            <v>38596</v>
          </cell>
          <cell r="F4626" t="str">
            <v>7429</v>
          </cell>
          <cell r="G4626" t="str">
            <v>Bloomingdale's Headquarters:Bloomingdale's - 032</v>
          </cell>
          <cell r="H4626">
            <v>2</v>
          </cell>
        </row>
        <row r="4627">
          <cell r="B4627" t="str">
            <v>SWC1000-0888</v>
          </cell>
          <cell r="C4627" t="str">
            <v>Invoice</v>
          </cell>
          <cell r="D4627">
            <v>38596</v>
          </cell>
          <cell r="F4627" t="str">
            <v>7430</v>
          </cell>
          <cell r="G4627" t="str">
            <v>Bloomingdale's Headquarters:Bloomingdale's - 033</v>
          </cell>
          <cell r="H4627">
            <v>2</v>
          </cell>
        </row>
        <row r="4628">
          <cell r="B4628" t="str">
            <v>SWC1000-0894</v>
          </cell>
          <cell r="C4628" t="str">
            <v>Invoice</v>
          </cell>
          <cell r="D4628">
            <v>38461</v>
          </cell>
          <cell r="F4628" t="str">
            <v>5673</v>
          </cell>
          <cell r="G4628" t="str">
            <v>Hot Stuff</v>
          </cell>
          <cell r="H4628">
            <v>2</v>
          </cell>
        </row>
        <row r="4629">
          <cell r="B4629" t="str">
            <v>SWC1000-0894</v>
          </cell>
          <cell r="C4629" t="str">
            <v>Invoice</v>
          </cell>
          <cell r="D4629">
            <v>38484</v>
          </cell>
          <cell r="F4629" t="str">
            <v>6170</v>
          </cell>
          <cell r="G4629" t="str">
            <v>Kryshak - Avenue Jewelers</v>
          </cell>
          <cell r="H4629">
            <v>2</v>
          </cell>
        </row>
        <row r="4630">
          <cell r="B4630" t="str">
            <v>SWC1000-0894</v>
          </cell>
          <cell r="C4630" t="str">
            <v>Invoice</v>
          </cell>
          <cell r="D4630">
            <v>38583</v>
          </cell>
          <cell r="F4630" t="str">
            <v>7511</v>
          </cell>
          <cell r="G4630" t="str">
            <v>Arkitectura Urbana</v>
          </cell>
          <cell r="H4630">
            <v>2</v>
          </cell>
        </row>
        <row r="4631">
          <cell r="B4631" t="str">
            <v>SWC1000-0960</v>
          </cell>
          <cell r="C4631" t="str">
            <v>Invoice</v>
          </cell>
          <cell r="D4631">
            <v>38533</v>
          </cell>
          <cell r="F4631" t="str">
            <v>7041</v>
          </cell>
          <cell r="G4631" t="str">
            <v>Arkitectura Urbana</v>
          </cell>
          <cell r="H4631">
            <v>2</v>
          </cell>
        </row>
        <row r="4632">
          <cell r="B4632" t="str">
            <v>SWC1000-1035</v>
          </cell>
          <cell r="C4632" t="str">
            <v>Invoice</v>
          </cell>
          <cell r="D4632">
            <v>38398</v>
          </cell>
          <cell r="F4632" t="str">
            <v>5305</v>
          </cell>
          <cell r="G4632" t="str">
            <v>Arkitectura Urbana</v>
          </cell>
          <cell r="H4632">
            <v>2</v>
          </cell>
        </row>
        <row r="4633">
          <cell r="B4633" t="str">
            <v>SWC1000-1062</v>
          </cell>
          <cell r="C4633" t="str">
            <v>Invoice</v>
          </cell>
          <cell r="D4633">
            <v>38478</v>
          </cell>
          <cell r="F4633" t="str">
            <v>5723</v>
          </cell>
          <cell r="G4633" t="str">
            <v>Arkitectura Urbana</v>
          </cell>
          <cell r="H4633">
            <v>2</v>
          </cell>
        </row>
        <row r="4634">
          <cell r="B4634" t="str">
            <v>SWC1000-1090</v>
          </cell>
          <cell r="C4634" t="str">
            <v>Invoice</v>
          </cell>
          <cell r="D4634">
            <v>38590</v>
          </cell>
          <cell r="F4634" t="str">
            <v>7407</v>
          </cell>
          <cell r="G4634" t="str">
            <v>Bloomingdale's Headquarters:Bloomingdale's - 005</v>
          </cell>
          <cell r="H4634">
            <v>2</v>
          </cell>
        </row>
        <row r="4635">
          <cell r="B4635" t="str">
            <v>SWC1000-1090</v>
          </cell>
          <cell r="C4635" t="str">
            <v>Invoice</v>
          </cell>
          <cell r="D4635">
            <v>38595</v>
          </cell>
          <cell r="F4635" t="str">
            <v>7724</v>
          </cell>
          <cell r="G4635" t="str">
            <v>Bloomingdale's Headquarters:Bloomingdale's - 001</v>
          </cell>
          <cell r="H4635">
            <v>2</v>
          </cell>
        </row>
        <row r="4636">
          <cell r="B4636" t="str">
            <v>SWC1000-1090</v>
          </cell>
          <cell r="C4636" t="str">
            <v>Invoice</v>
          </cell>
          <cell r="D4636">
            <v>38595</v>
          </cell>
          <cell r="F4636" t="str">
            <v>7404</v>
          </cell>
          <cell r="G4636" t="str">
            <v>Bloomingdale's Headquarters:Bloomingdale's - 002</v>
          </cell>
          <cell r="H4636">
            <v>2</v>
          </cell>
        </row>
        <row r="4637">
          <cell r="B4637" t="str">
            <v>SWC1000-1090</v>
          </cell>
          <cell r="C4637" t="str">
            <v>Invoice</v>
          </cell>
          <cell r="D4637">
            <v>38595</v>
          </cell>
          <cell r="F4637" t="str">
            <v>7405</v>
          </cell>
          <cell r="G4637" t="str">
            <v>Bloomingdale's Headquarters:Bloomingdale's - 003</v>
          </cell>
          <cell r="H4637">
            <v>2</v>
          </cell>
        </row>
        <row r="4638">
          <cell r="B4638" t="str">
            <v>SWC1000-1090</v>
          </cell>
          <cell r="C4638" t="str">
            <v>Invoice</v>
          </cell>
          <cell r="D4638">
            <v>38595</v>
          </cell>
          <cell r="F4638" t="str">
            <v>7406</v>
          </cell>
          <cell r="G4638" t="str">
            <v>Bloomingdale's Headquarters:Bloomingdale's - 004</v>
          </cell>
          <cell r="H4638">
            <v>2</v>
          </cell>
        </row>
        <row r="4639">
          <cell r="B4639" t="str">
            <v>SWC1000-1090</v>
          </cell>
          <cell r="C4639" t="str">
            <v>Invoice</v>
          </cell>
          <cell r="D4639">
            <v>38595</v>
          </cell>
          <cell r="F4639" t="str">
            <v>7408</v>
          </cell>
          <cell r="G4639" t="str">
            <v>Bloomingdale's Headquarters:Bloomingdale's - 006</v>
          </cell>
          <cell r="H4639">
            <v>2</v>
          </cell>
        </row>
        <row r="4640">
          <cell r="B4640" t="str">
            <v>SWC1000-1090</v>
          </cell>
          <cell r="C4640" t="str">
            <v>Invoice</v>
          </cell>
          <cell r="D4640">
            <v>38596</v>
          </cell>
          <cell r="F4640" t="str">
            <v>7409</v>
          </cell>
          <cell r="G4640" t="str">
            <v>Bloomingdale's Headquarters:Bloomingdale's - 007</v>
          </cell>
          <cell r="H4640">
            <v>2</v>
          </cell>
        </row>
        <row r="4641">
          <cell r="B4641" t="str">
            <v>SWC1000-1090</v>
          </cell>
          <cell r="C4641" t="str">
            <v>Invoice</v>
          </cell>
          <cell r="D4641">
            <v>38596</v>
          </cell>
          <cell r="F4641" t="str">
            <v>7410</v>
          </cell>
          <cell r="G4641" t="str">
            <v>Bloomingdale's Headquarters:Bloomingdale's - 008</v>
          </cell>
          <cell r="H4641">
            <v>2</v>
          </cell>
        </row>
        <row r="4642">
          <cell r="B4642" t="str">
            <v>SWC1000-1090</v>
          </cell>
          <cell r="C4642" t="str">
            <v>Invoice</v>
          </cell>
          <cell r="D4642">
            <v>38596</v>
          </cell>
          <cell r="F4642" t="str">
            <v>7411</v>
          </cell>
          <cell r="G4642" t="str">
            <v>Bloomingdale's Headquarters:Bloomingdale's - 009</v>
          </cell>
          <cell r="H4642">
            <v>2</v>
          </cell>
        </row>
        <row r="4643">
          <cell r="B4643" t="str">
            <v>SWC1000-1090</v>
          </cell>
          <cell r="C4643" t="str">
            <v>Invoice</v>
          </cell>
          <cell r="D4643">
            <v>38596</v>
          </cell>
          <cell r="F4643" t="str">
            <v>7412</v>
          </cell>
          <cell r="G4643" t="str">
            <v>Bloomingdale's Headquarters:Bloomingdale's - 010</v>
          </cell>
          <cell r="H4643">
            <v>2</v>
          </cell>
        </row>
        <row r="4644">
          <cell r="B4644" t="str">
            <v>SWC1000-1090</v>
          </cell>
          <cell r="C4644" t="str">
            <v>Invoice</v>
          </cell>
          <cell r="D4644">
            <v>38596</v>
          </cell>
          <cell r="F4644" t="str">
            <v>7413</v>
          </cell>
          <cell r="G4644" t="str">
            <v>Bloomingdale's Headquarters:Bloomingdale's - 011</v>
          </cell>
          <cell r="H4644">
            <v>2</v>
          </cell>
        </row>
        <row r="4645">
          <cell r="B4645" t="str">
            <v>SWC1000-1090</v>
          </cell>
          <cell r="C4645" t="str">
            <v>Invoice</v>
          </cell>
          <cell r="D4645">
            <v>38596</v>
          </cell>
          <cell r="F4645" t="str">
            <v>7414</v>
          </cell>
          <cell r="G4645" t="str">
            <v>Bloomingdale's Headquarters:Bloomingdale's - 012</v>
          </cell>
          <cell r="H4645">
            <v>2</v>
          </cell>
        </row>
        <row r="4646">
          <cell r="B4646" t="str">
            <v>SWC1000-1090</v>
          </cell>
          <cell r="C4646" t="str">
            <v>Invoice</v>
          </cell>
          <cell r="D4646">
            <v>38596</v>
          </cell>
          <cell r="F4646" t="str">
            <v>7415</v>
          </cell>
          <cell r="G4646" t="str">
            <v>Bloomingdale's Headquarters:Bloomingdale's - 013</v>
          </cell>
          <cell r="H4646">
            <v>2</v>
          </cell>
        </row>
        <row r="4647">
          <cell r="B4647" t="str">
            <v>SWC1000-1090</v>
          </cell>
          <cell r="C4647" t="str">
            <v>Invoice</v>
          </cell>
          <cell r="D4647">
            <v>38596</v>
          </cell>
          <cell r="F4647" t="str">
            <v>7416</v>
          </cell>
          <cell r="G4647" t="str">
            <v>Bloomingdale's Headquarters:Bloomingdale's - 014</v>
          </cell>
          <cell r="H4647">
            <v>2</v>
          </cell>
        </row>
        <row r="4648">
          <cell r="B4648" t="str">
            <v>SWC1000-1090</v>
          </cell>
          <cell r="C4648" t="str">
            <v>Invoice</v>
          </cell>
          <cell r="D4648">
            <v>38596</v>
          </cell>
          <cell r="F4648" t="str">
            <v>7417</v>
          </cell>
          <cell r="G4648" t="str">
            <v>Bloomingdale's Headquarters:Bloomingdale's - 016</v>
          </cell>
          <cell r="H4648">
            <v>2</v>
          </cell>
        </row>
        <row r="4649">
          <cell r="B4649" t="str">
            <v>SWC1000-1090</v>
          </cell>
          <cell r="C4649" t="str">
            <v>Invoice</v>
          </cell>
          <cell r="D4649">
            <v>38596</v>
          </cell>
          <cell r="F4649" t="str">
            <v>7418</v>
          </cell>
          <cell r="G4649" t="str">
            <v>Bloomingdale's Headquarters:Bloomingdale's - 017</v>
          </cell>
          <cell r="H4649">
            <v>2</v>
          </cell>
        </row>
        <row r="4650">
          <cell r="B4650" t="str">
            <v>SWC1000-1090</v>
          </cell>
          <cell r="C4650" t="str">
            <v>Invoice</v>
          </cell>
          <cell r="D4650">
            <v>38596</v>
          </cell>
          <cell r="F4650" t="str">
            <v>7419</v>
          </cell>
          <cell r="G4650" t="str">
            <v>Bloomingdale's Headquarters:Bloomingdale's - 020</v>
          </cell>
          <cell r="H4650">
            <v>2</v>
          </cell>
        </row>
        <row r="4651">
          <cell r="B4651" t="str">
            <v>SWC1000-1090</v>
          </cell>
          <cell r="C4651" t="str">
            <v>Invoice</v>
          </cell>
          <cell r="D4651">
            <v>38596</v>
          </cell>
          <cell r="F4651" t="str">
            <v>7420</v>
          </cell>
          <cell r="G4651" t="str">
            <v>Bloomingdale's Headquarters:Bloomingdale's - 021</v>
          </cell>
          <cell r="H4651">
            <v>2</v>
          </cell>
        </row>
        <row r="4652">
          <cell r="B4652" t="str">
            <v>SWC1000-1090</v>
          </cell>
          <cell r="C4652" t="str">
            <v>Invoice</v>
          </cell>
          <cell r="D4652">
            <v>38596</v>
          </cell>
          <cell r="F4652" t="str">
            <v>7421</v>
          </cell>
          <cell r="G4652" t="str">
            <v>Bloomingdale's Headquarters:Bloomingdale's - 024</v>
          </cell>
          <cell r="H4652">
            <v>2</v>
          </cell>
        </row>
        <row r="4653">
          <cell r="B4653" t="str">
            <v>SWC1000-1090</v>
          </cell>
          <cell r="C4653" t="str">
            <v>Invoice</v>
          </cell>
          <cell r="D4653">
            <v>38596</v>
          </cell>
          <cell r="F4653" t="str">
            <v>7422</v>
          </cell>
          <cell r="G4653" t="str">
            <v>Bloomingdale's Headquarters:Bloomingdale's - 025</v>
          </cell>
          <cell r="H4653">
            <v>2</v>
          </cell>
        </row>
        <row r="4654">
          <cell r="B4654" t="str">
            <v>SWC1000-1090</v>
          </cell>
          <cell r="C4654" t="str">
            <v>Invoice</v>
          </cell>
          <cell r="D4654">
            <v>38596</v>
          </cell>
          <cell r="F4654" t="str">
            <v>7423</v>
          </cell>
          <cell r="G4654" t="str">
            <v>Bloomingdale's Headquarters:Bloomingdale's - 026</v>
          </cell>
          <cell r="H4654">
            <v>2</v>
          </cell>
        </row>
        <row r="4655">
          <cell r="B4655" t="str">
            <v>SWC1000-1090</v>
          </cell>
          <cell r="C4655" t="str">
            <v>Invoice</v>
          </cell>
          <cell r="D4655">
            <v>38596</v>
          </cell>
          <cell r="F4655" t="str">
            <v>7424</v>
          </cell>
          <cell r="G4655" t="str">
            <v>Bloomingdale's Headquarters:Bloomingdale's - 027</v>
          </cell>
          <cell r="H4655">
            <v>2</v>
          </cell>
        </row>
        <row r="4656">
          <cell r="B4656" t="str">
            <v>SWC1000-1090</v>
          </cell>
          <cell r="C4656" t="str">
            <v>Invoice</v>
          </cell>
          <cell r="D4656">
            <v>38596</v>
          </cell>
          <cell r="F4656" t="str">
            <v>7425</v>
          </cell>
          <cell r="G4656" t="str">
            <v>Bloomingdale's Headquarters:Bloomingdale's - 028</v>
          </cell>
          <cell r="H4656">
            <v>2</v>
          </cell>
        </row>
        <row r="4657">
          <cell r="B4657" t="str">
            <v>SWC1000-1090</v>
          </cell>
          <cell r="C4657" t="str">
            <v>Invoice</v>
          </cell>
          <cell r="D4657">
            <v>38596</v>
          </cell>
          <cell r="F4657" t="str">
            <v>7426</v>
          </cell>
          <cell r="G4657" t="str">
            <v>Bloomingdale's Headquarters:Bloomingdale's - 029</v>
          </cell>
          <cell r="H4657">
            <v>2</v>
          </cell>
        </row>
        <row r="4658">
          <cell r="B4658" t="str">
            <v>SWC1000-1090</v>
          </cell>
          <cell r="C4658" t="str">
            <v>Invoice</v>
          </cell>
          <cell r="D4658">
            <v>38596</v>
          </cell>
          <cell r="F4658" t="str">
            <v>7427</v>
          </cell>
          <cell r="G4658" t="str">
            <v>Bloomingdale's Headquarters:Bloomingdale's - 030</v>
          </cell>
          <cell r="H4658">
            <v>2</v>
          </cell>
        </row>
        <row r="4659">
          <cell r="B4659" t="str">
            <v>SWC1000-1090</v>
          </cell>
          <cell r="C4659" t="str">
            <v>Invoice</v>
          </cell>
          <cell r="D4659">
            <v>38596</v>
          </cell>
          <cell r="F4659" t="str">
            <v>7428</v>
          </cell>
          <cell r="G4659" t="str">
            <v>Bloomingdale's Headquarters:Bloomingdale's - 031</v>
          </cell>
          <cell r="H4659">
            <v>2</v>
          </cell>
        </row>
        <row r="4660">
          <cell r="B4660" t="str">
            <v>SWC1000-1090</v>
          </cell>
          <cell r="C4660" t="str">
            <v>Invoice</v>
          </cell>
          <cell r="D4660">
            <v>38596</v>
          </cell>
          <cell r="F4660" t="str">
            <v>7429</v>
          </cell>
          <cell r="G4660" t="str">
            <v>Bloomingdale's Headquarters:Bloomingdale's - 032</v>
          </cell>
          <cell r="H4660">
            <v>2</v>
          </cell>
        </row>
        <row r="4661">
          <cell r="B4661" t="str">
            <v>SWC1000-1090</v>
          </cell>
          <cell r="C4661" t="str">
            <v>Invoice</v>
          </cell>
          <cell r="D4661">
            <v>38596</v>
          </cell>
          <cell r="F4661" t="str">
            <v>7430</v>
          </cell>
          <cell r="G4661" t="str">
            <v>Bloomingdale's Headquarters:Bloomingdale's - 033</v>
          </cell>
          <cell r="H4661">
            <v>2</v>
          </cell>
        </row>
        <row r="4662">
          <cell r="B4662" t="str">
            <v>SWC1000-1090</v>
          </cell>
          <cell r="C4662" t="str">
            <v>Invoice</v>
          </cell>
          <cell r="D4662">
            <v>38596</v>
          </cell>
          <cell r="F4662" t="str">
            <v>7431</v>
          </cell>
          <cell r="G4662" t="str">
            <v>Bloomingdale's Headquarters:Bloomingdale's - 037</v>
          </cell>
          <cell r="H4662">
            <v>2</v>
          </cell>
        </row>
        <row r="4663">
          <cell r="B4663" t="str">
            <v>SWC1000-1090</v>
          </cell>
          <cell r="C4663" t="str">
            <v>Invoice</v>
          </cell>
          <cell r="D4663">
            <v>38596</v>
          </cell>
          <cell r="F4663" t="str">
            <v>7432</v>
          </cell>
          <cell r="G4663" t="str">
            <v>Bloomingdale's Headquarters:Bloomingdale's - 055</v>
          </cell>
          <cell r="H4663">
            <v>2</v>
          </cell>
        </row>
        <row r="4664">
          <cell r="B4664" t="str">
            <v>SWC1000-1090</v>
          </cell>
          <cell r="C4664" t="str">
            <v>Invoice</v>
          </cell>
          <cell r="D4664">
            <v>38596</v>
          </cell>
          <cell r="F4664" t="str">
            <v>7433</v>
          </cell>
          <cell r="G4664" t="str">
            <v>Bloomingdale's Headquarters:Bloomingdale's - 056</v>
          </cell>
          <cell r="H4664">
            <v>2</v>
          </cell>
        </row>
        <row r="4665">
          <cell r="B4665" t="str">
            <v>SWC1000-1095</v>
          </cell>
          <cell r="C4665" t="str">
            <v>Invoice</v>
          </cell>
          <cell r="D4665">
            <v>38440</v>
          </cell>
          <cell r="F4665" t="str">
            <v>5526</v>
          </cell>
          <cell r="G4665" t="str">
            <v>Exxon DDB Worldwide# 2431</v>
          </cell>
          <cell r="H4665">
            <v>2</v>
          </cell>
        </row>
        <row r="4666">
          <cell r="B4666" t="str">
            <v>SWC1000-1095</v>
          </cell>
          <cell r="C4666" t="str">
            <v>Invoice</v>
          </cell>
          <cell r="D4666">
            <v>38440</v>
          </cell>
          <cell r="F4666" t="str">
            <v>5524</v>
          </cell>
          <cell r="G4666" t="str">
            <v>Exxon DDB Worldwide:Exxon DDB Worldwide #26308</v>
          </cell>
          <cell r="H4666">
            <v>2</v>
          </cell>
        </row>
        <row r="4667">
          <cell r="B4667" t="str">
            <v>SWC1000-1095</v>
          </cell>
          <cell r="C4667" t="str">
            <v>Invoice</v>
          </cell>
          <cell r="D4667">
            <v>38440</v>
          </cell>
          <cell r="F4667" t="str">
            <v>5518</v>
          </cell>
          <cell r="G4667" t="str">
            <v>Exxon DDB Worldwide:Exxon DDB Worldwide #11644</v>
          </cell>
          <cell r="H4667">
            <v>2</v>
          </cell>
        </row>
        <row r="4668">
          <cell r="B4668" t="str">
            <v>SWC1000-1095</v>
          </cell>
          <cell r="C4668" t="str">
            <v>Invoice</v>
          </cell>
          <cell r="D4668">
            <v>38440</v>
          </cell>
          <cell r="F4668" t="str">
            <v>5517</v>
          </cell>
          <cell r="G4668" t="str">
            <v>Exxon DDB Worldwide#11640</v>
          </cell>
          <cell r="H4668">
            <v>2</v>
          </cell>
        </row>
        <row r="4669">
          <cell r="B4669" t="str">
            <v>SWC1000-1095</v>
          </cell>
          <cell r="C4669" t="str">
            <v>Invoice</v>
          </cell>
          <cell r="D4669">
            <v>38440</v>
          </cell>
          <cell r="F4669" t="str">
            <v>5514</v>
          </cell>
          <cell r="G4669" t="str">
            <v>Exxon DDB Worldwide#10241</v>
          </cell>
          <cell r="H4669">
            <v>2</v>
          </cell>
        </row>
        <row r="4670">
          <cell r="B4670" t="str">
            <v>SWC1000-1099</v>
          </cell>
          <cell r="C4670" t="str">
            <v>Invoice</v>
          </cell>
          <cell r="D4670">
            <v>38478</v>
          </cell>
          <cell r="F4670" t="str">
            <v>5723</v>
          </cell>
          <cell r="G4670" t="str">
            <v>Arkitectura Urbana</v>
          </cell>
          <cell r="H4670">
            <v>2</v>
          </cell>
        </row>
        <row r="4671">
          <cell r="B4671" t="str">
            <v>SWC1000-1099</v>
          </cell>
          <cell r="C4671" t="str">
            <v>Invoice</v>
          </cell>
          <cell r="D4671">
            <v>38583</v>
          </cell>
          <cell r="F4671" t="str">
            <v>7511</v>
          </cell>
          <cell r="G4671" t="str">
            <v>Arkitectura Urbana</v>
          </cell>
          <cell r="H4671">
            <v>2</v>
          </cell>
        </row>
        <row r="4672">
          <cell r="B4672" t="str">
            <v>SWC1000-1105</v>
          </cell>
          <cell r="C4672" t="str">
            <v>Invoice</v>
          </cell>
          <cell r="D4672">
            <v>38427</v>
          </cell>
          <cell r="F4672" t="str">
            <v>5407</v>
          </cell>
          <cell r="G4672" t="str">
            <v>Arkitectura Urbana</v>
          </cell>
          <cell r="H4672">
            <v>2</v>
          </cell>
        </row>
        <row r="4673">
          <cell r="B4673" t="str">
            <v>SWC1000-1137</v>
          </cell>
          <cell r="C4673" t="str">
            <v>Invoice</v>
          </cell>
          <cell r="D4673">
            <v>38583</v>
          </cell>
          <cell r="F4673" t="str">
            <v>7511</v>
          </cell>
          <cell r="G4673" t="str">
            <v>Arkitectura Urbana</v>
          </cell>
          <cell r="H4673">
            <v>2</v>
          </cell>
        </row>
        <row r="4674">
          <cell r="B4674" t="str">
            <v>SWC1000-1153</v>
          </cell>
          <cell r="C4674" t="str">
            <v>Invoice</v>
          </cell>
          <cell r="D4674">
            <v>38519</v>
          </cell>
          <cell r="F4674" t="str">
            <v>6363</v>
          </cell>
          <cell r="G4674" t="str">
            <v>Bob Bullock Texas State Historical Museum</v>
          </cell>
          <cell r="H4674">
            <v>2</v>
          </cell>
        </row>
        <row r="4675">
          <cell r="B4675" t="str">
            <v>SWC1000-1200</v>
          </cell>
          <cell r="C4675" t="str">
            <v>Invoice</v>
          </cell>
          <cell r="D4675">
            <v>38491</v>
          </cell>
          <cell r="F4675" t="str">
            <v>6302</v>
          </cell>
          <cell r="G4675" t="str">
            <v>Ashley Furniture HomeStore</v>
          </cell>
          <cell r="H4675">
            <v>2</v>
          </cell>
        </row>
        <row r="4676">
          <cell r="B4676" t="str">
            <v>SWC1000-1200</v>
          </cell>
          <cell r="C4676" t="str">
            <v>Invoice</v>
          </cell>
          <cell r="D4676">
            <v>38542</v>
          </cell>
          <cell r="F4676" t="str">
            <v>6303</v>
          </cell>
          <cell r="G4676" t="str">
            <v>Ashley Furniture HomeStore</v>
          </cell>
          <cell r="H4676">
            <v>2</v>
          </cell>
        </row>
        <row r="4677">
          <cell r="B4677" t="str">
            <v>SWC1000-1200</v>
          </cell>
          <cell r="C4677" t="str">
            <v>Invoice</v>
          </cell>
          <cell r="D4677">
            <v>38574</v>
          </cell>
          <cell r="F4677" t="str">
            <v>5597</v>
          </cell>
          <cell r="G4677" t="str">
            <v>Ashley Furniture HomeStore</v>
          </cell>
          <cell r="H4677">
            <v>2</v>
          </cell>
        </row>
        <row r="4678">
          <cell r="B4678" t="str">
            <v>SWC1000-1200</v>
          </cell>
          <cell r="C4678" t="str">
            <v>Invoice</v>
          </cell>
          <cell r="D4678">
            <v>38604</v>
          </cell>
          <cell r="F4678" t="str">
            <v>7215</v>
          </cell>
          <cell r="G4678" t="str">
            <v>Ashley Furniture HomeStore</v>
          </cell>
          <cell r="H4678">
            <v>2</v>
          </cell>
        </row>
        <row r="4679">
          <cell r="B4679" t="str">
            <v>SWC1000-1414</v>
          </cell>
          <cell r="C4679" t="str">
            <v>Invoice</v>
          </cell>
          <cell r="D4679">
            <v>38590</v>
          </cell>
          <cell r="F4679" t="str">
            <v>7407</v>
          </cell>
          <cell r="G4679" t="str">
            <v>Bloomingdale's Headquarters:Bloomingdale's - 005</v>
          </cell>
          <cell r="H4679">
            <v>2</v>
          </cell>
        </row>
        <row r="4680">
          <cell r="B4680" t="str">
            <v>SWC1000-1414</v>
          </cell>
          <cell r="C4680" t="str">
            <v>Invoice</v>
          </cell>
          <cell r="D4680">
            <v>38595</v>
          </cell>
          <cell r="F4680" t="str">
            <v>7724</v>
          </cell>
          <cell r="G4680" t="str">
            <v>Bloomingdale's Headquarters:Bloomingdale's - 001</v>
          </cell>
          <cell r="H4680">
            <v>2</v>
          </cell>
        </row>
        <row r="4681">
          <cell r="B4681" t="str">
            <v>SWC1000-1414</v>
          </cell>
          <cell r="C4681" t="str">
            <v>Invoice</v>
          </cell>
          <cell r="D4681">
            <v>38595</v>
          </cell>
          <cell r="F4681" t="str">
            <v>7404</v>
          </cell>
          <cell r="G4681" t="str">
            <v>Bloomingdale's Headquarters:Bloomingdale's - 002</v>
          </cell>
          <cell r="H4681">
            <v>2</v>
          </cell>
        </row>
        <row r="4682">
          <cell r="B4682" t="str">
            <v>SWC1000-1414</v>
          </cell>
          <cell r="C4682" t="str">
            <v>Invoice</v>
          </cell>
          <cell r="D4682">
            <v>38595</v>
          </cell>
          <cell r="F4682" t="str">
            <v>7405</v>
          </cell>
          <cell r="G4682" t="str">
            <v>Bloomingdale's Headquarters:Bloomingdale's - 003</v>
          </cell>
          <cell r="H4682">
            <v>2</v>
          </cell>
        </row>
        <row r="4683">
          <cell r="B4683" t="str">
            <v>SWC1000-1414</v>
          </cell>
          <cell r="C4683" t="str">
            <v>Invoice</v>
          </cell>
          <cell r="D4683">
            <v>38595</v>
          </cell>
          <cell r="F4683" t="str">
            <v>7406</v>
          </cell>
          <cell r="G4683" t="str">
            <v>Bloomingdale's Headquarters:Bloomingdale's - 004</v>
          </cell>
          <cell r="H4683">
            <v>2</v>
          </cell>
        </row>
        <row r="4684">
          <cell r="B4684" t="str">
            <v>SWC1000-1414</v>
          </cell>
          <cell r="C4684" t="str">
            <v>Invoice</v>
          </cell>
          <cell r="D4684">
            <v>38595</v>
          </cell>
          <cell r="F4684" t="str">
            <v>7408</v>
          </cell>
          <cell r="G4684" t="str">
            <v>Bloomingdale's Headquarters:Bloomingdale's - 006</v>
          </cell>
          <cell r="H4684">
            <v>2</v>
          </cell>
        </row>
        <row r="4685">
          <cell r="B4685" t="str">
            <v>SWC1000-1414</v>
          </cell>
          <cell r="C4685" t="str">
            <v>Invoice</v>
          </cell>
          <cell r="D4685">
            <v>38596</v>
          </cell>
          <cell r="F4685" t="str">
            <v>7409</v>
          </cell>
          <cell r="G4685" t="str">
            <v>Bloomingdale's Headquarters:Bloomingdale's - 007</v>
          </cell>
          <cell r="H4685">
            <v>2</v>
          </cell>
        </row>
        <row r="4686">
          <cell r="B4686" t="str">
            <v>SWC1000-1414</v>
          </cell>
          <cell r="C4686" t="str">
            <v>Invoice</v>
          </cell>
          <cell r="D4686">
            <v>38596</v>
          </cell>
          <cell r="F4686" t="str">
            <v>7410</v>
          </cell>
          <cell r="G4686" t="str">
            <v>Bloomingdale's Headquarters:Bloomingdale's - 008</v>
          </cell>
          <cell r="H4686">
            <v>2</v>
          </cell>
        </row>
        <row r="4687">
          <cell r="B4687" t="str">
            <v>SWC1000-1414</v>
          </cell>
          <cell r="C4687" t="str">
            <v>Invoice</v>
          </cell>
          <cell r="D4687">
            <v>38596</v>
          </cell>
          <cell r="F4687" t="str">
            <v>7411</v>
          </cell>
          <cell r="G4687" t="str">
            <v>Bloomingdale's Headquarters:Bloomingdale's - 009</v>
          </cell>
          <cell r="H4687">
            <v>2</v>
          </cell>
        </row>
        <row r="4688">
          <cell r="B4688" t="str">
            <v>SWC1000-1414</v>
          </cell>
          <cell r="C4688" t="str">
            <v>Invoice</v>
          </cell>
          <cell r="D4688">
            <v>38596</v>
          </cell>
          <cell r="F4688" t="str">
            <v>7412</v>
          </cell>
          <cell r="G4688" t="str">
            <v>Bloomingdale's Headquarters:Bloomingdale's - 010</v>
          </cell>
          <cell r="H4688">
            <v>2</v>
          </cell>
        </row>
        <row r="4689">
          <cell r="B4689" t="str">
            <v>SWC1000-1414</v>
          </cell>
          <cell r="C4689" t="str">
            <v>Invoice</v>
          </cell>
          <cell r="D4689">
            <v>38596</v>
          </cell>
          <cell r="F4689" t="str">
            <v>7413</v>
          </cell>
          <cell r="G4689" t="str">
            <v>Bloomingdale's Headquarters:Bloomingdale's - 011</v>
          </cell>
          <cell r="H4689">
            <v>2</v>
          </cell>
        </row>
        <row r="4690">
          <cell r="B4690" t="str">
            <v>SWC1000-1414</v>
          </cell>
          <cell r="C4690" t="str">
            <v>Invoice</v>
          </cell>
          <cell r="D4690">
            <v>38596</v>
          </cell>
          <cell r="F4690" t="str">
            <v>7414</v>
          </cell>
          <cell r="G4690" t="str">
            <v>Bloomingdale's Headquarters:Bloomingdale's - 012</v>
          </cell>
          <cell r="H4690">
            <v>2</v>
          </cell>
        </row>
        <row r="4691">
          <cell r="B4691" t="str">
            <v>SWC1000-1414</v>
          </cell>
          <cell r="C4691" t="str">
            <v>Invoice</v>
          </cell>
          <cell r="D4691">
            <v>38596</v>
          </cell>
          <cell r="F4691" t="str">
            <v>7415</v>
          </cell>
          <cell r="G4691" t="str">
            <v>Bloomingdale's Headquarters:Bloomingdale's - 013</v>
          </cell>
          <cell r="H4691">
            <v>2</v>
          </cell>
        </row>
        <row r="4692">
          <cell r="B4692" t="str">
            <v>SWC1000-1414</v>
          </cell>
          <cell r="C4692" t="str">
            <v>Invoice</v>
          </cell>
          <cell r="D4692">
            <v>38596</v>
          </cell>
          <cell r="F4692" t="str">
            <v>7416</v>
          </cell>
          <cell r="G4692" t="str">
            <v>Bloomingdale's Headquarters:Bloomingdale's - 014</v>
          </cell>
          <cell r="H4692">
            <v>2</v>
          </cell>
        </row>
        <row r="4693">
          <cell r="B4693" t="str">
            <v>SWC1000-1414</v>
          </cell>
          <cell r="C4693" t="str">
            <v>Invoice</v>
          </cell>
          <cell r="D4693">
            <v>38596</v>
          </cell>
          <cell r="F4693" t="str">
            <v>7417</v>
          </cell>
          <cell r="G4693" t="str">
            <v>Bloomingdale's Headquarters:Bloomingdale's - 016</v>
          </cell>
          <cell r="H4693">
            <v>2</v>
          </cell>
        </row>
        <row r="4694">
          <cell r="B4694" t="str">
            <v>SWC1000-1414</v>
          </cell>
          <cell r="C4694" t="str">
            <v>Invoice</v>
          </cell>
          <cell r="D4694">
            <v>38596</v>
          </cell>
          <cell r="F4694" t="str">
            <v>7418</v>
          </cell>
          <cell r="G4694" t="str">
            <v>Bloomingdale's Headquarters:Bloomingdale's - 017</v>
          </cell>
          <cell r="H4694">
            <v>2</v>
          </cell>
        </row>
        <row r="4695">
          <cell r="B4695" t="str">
            <v>SWC1000-1414</v>
          </cell>
          <cell r="C4695" t="str">
            <v>Invoice</v>
          </cell>
          <cell r="D4695">
            <v>38596</v>
          </cell>
          <cell r="F4695" t="str">
            <v>7419</v>
          </cell>
          <cell r="G4695" t="str">
            <v>Bloomingdale's Headquarters:Bloomingdale's - 020</v>
          </cell>
          <cell r="H4695">
            <v>2</v>
          </cell>
        </row>
        <row r="4696">
          <cell r="B4696" t="str">
            <v>SWC1000-1414</v>
          </cell>
          <cell r="C4696" t="str">
            <v>Invoice</v>
          </cell>
          <cell r="D4696">
            <v>38596</v>
          </cell>
          <cell r="F4696" t="str">
            <v>7420</v>
          </cell>
          <cell r="G4696" t="str">
            <v>Bloomingdale's Headquarters:Bloomingdale's - 021</v>
          </cell>
          <cell r="H4696">
            <v>2</v>
          </cell>
        </row>
        <row r="4697">
          <cell r="B4697" t="str">
            <v>SWC1000-1414</v>
          </cell>
          <cell r="C4697" t="str">
            <v>Invoice</v>
          </cell>
          <cell r="D4697">
            <v>38596</v>
          </cell>
          <cell r="F4697" t="str">
            <v>7421</v>
          </cell>
          <cell r="G4697" t="str">
            <v>Bloomingdale's Headquarters:Bloomingdale's - 024</v>
          </cell>
          <cell r="H4697">
            <v>2</v>
          </cell>
        </row>
        <row r="4698">
          <cell r="B4698" t="str">
            <v>SWC1000-1414</v>
          </cell>
          <cell r="C4698" t="str">
            <v>Invoice</v>
          </cell>
          <cell r="D4698">
            <v>38596</v>
          </cell>
          <cell r="F4698" t="str">
            <v>7422</v>
          </cell>
          <cell r="G4698" t="str">
            <v>Bloomingdale's Headquarters:Bloomingdale's - 025</v>
          </cell>
          <cell r="H4698">
            <v>2</v>
          </cell>
        </row>
        <row r="4699">
          <cell r="B4699" t="str">
            <v>SWC1000-1414</v>
          </cell>
          <cell r="C4699" t="str">
            <v>Invoice</v>
          </cell>
          <cell r="D4699">
            <v>38596</v>
          </cell>
          <cell r="F4699" t="str">
            <v>7423</v>
          </cell>
          <cell r="G4699" t="str">
            <v>Bloomingdale's Headquarters:Bloomingdale's - 026</v>
          </cell>
          <cell r="H4699">
            <v>2</v>
          </cell>
        </row>
        <row r="4700">
          <cell r="B4700" t="str">
            <v>SWC1000-1414</v>
          </cell>
          <cell r="C4700" t="str">
            <v>Invoice</v>
          </cell>
          <cell r="D4700">
            <v>38596</v>
          </cell>
          <cell r="F4700" t="str">
            <v>7424</v>
          </cell>
          <cell r="G4700" t="str">
            <v>Bloomingdale's Headquarters:Bloomingdale's - 027</v>
          </cell>
          <cell r="H4700">
            <v>2</v>
          </cell>
        </row>
        <row r="4701">
          <cell r="B4701" t="str">
            <v>SWC1000-1414</v>
          </cell>
          <cell r="C4701" t="str">
            <v>Invoice</v>
          </cell>
          <cell r="D4701">
            <v>38596</v>
          </cell>
          <cell r="F4701" t="str">
            <v>7425</v>
          </cell>
          <cell r="G4701" t="str">
            <v>Bloomingdale's Headquarters:Bloomingdale's - 028</v>
          </cell>
          <cell r="H4701">
            <v>2</v>
          </cell>
        </row>
        <row r="4702">
          <cell r="B4702" t="str">
            <v>SWC1000-1414</v>
          </cell>
          <cell r="C4702" t="str">
            <v>Invoice</v>
          </cell>
          <cell r="D4702">
            <v>38596</v>
          </cell>
          <cell r="F4702" t="str">
            <v>7426</v>
          </cell>
          <cell r="G4702" t="str">
            <v>Bloomingdale's Headquarters:Bloomingdale's - 029</v>
          </cell>
          <cell r="H4702">
            <v>2</v>
          </cell>
        </row>
        <row r="4703">
          <cell r="B4703" t="str">
            <v>SWC1000-1414</v>
          </cell>
          <cell r="C4703" t="str">
            <v>Invoice</v>
          </cell>
          <cell r="D4703">
            <v>38596</v>
          </cell>
          <cell r="F4703" t="str">
            <v>7427</v>
          </cell>
          <cell r="G4703" t="str">
            <v>Bloomingdale's Headquarters:Bloomingdale's - 030</v>
          </cell>
          <cell r="H4703">
            <v>2</v>
          </cell>
        </row>
        <row r="4704">
          <cell r="B4704" t="str">
            <v>SWC1000-1414</v>
          </cell>
          <cell r="C4704" t="str">
            <v>Invoice</v>
          </cell>
          <cell r="D4704">
            <v>38596</v>
          </cell>
          <cell r="F4704" t="str">
            <v>7428</v>
          </cell>
          <cell r="G4704" t="str">
            <v>Bloomingdale's Headquarters:Bloomingdale's - 031</v>
          </cell>
          <cell r="H4704">
            <v>2</v>
          </cell>
        </row>
        <row r="4705">
          <cell r="B4705" t="str">
            <v>SWC1000-1414</v>
          </cell>
          <cell r="C4705" t="str">
            <v>Invoice</v>
          </cell>
          <cell r="D4705">
            <v>38596</v>
          </cell>
          <cell r="F4705" t="str">
            <v>7429</v>
          </cell>
          <cell r="G4705" t="str">
            <v>Bloomingdale's Headquarters:Bloomingdale's - 032</v>
          </cell>
          <cell r="H4705">
            <v>2</v>
          </cell>
        </row>
        <row r="4706">
          <cell r="B4706" t="str">
            <v>SWC1000-1414</v>
          </cell>
          <cell r="C4706" t="str">
            <v>Invoice</v>
          </cell>
          <cell r="D4706">
            <v>38596</v>
          </cell>
          <cell r="F4706" t="str">
            <v>7430</v>
          </cell>
          <cell r="G4706" t="str">
            <v>Bloomingdale's Headquarters:Bloomingdale's - 033</v>
          </cell>
          <cell r="H4706">
            <v>2</v>
          </cell>
        </row>
        <row r="4707">
          <cell r="B4707" t="str">
            <v>SWC1000-1414</v>
          </cell>
          <cell r="C4707" t="str">
            <v>Invoice</v>
          </cell>
          <cell r="D4707">
            <v>38596</v>
          </cell>
          <cell r="F4707" t="str">
            <v>7431</v>
          </cell>
          <cell r="G4707" t="str">
            <v>Bloomingdale's Headquarters:Bloomingdale's - 037</v>
          </cell>
          <cell r="H4707">
            <v>2</v>
          </cell>
        </row>
        <row r="4708">
          <cell r="B4708" t="str">
            <v>SWC1000-1414</v>
          </cell>
          <cell r="C4708" t="str">
            <v>Invoice</v>
          </cell>
          <cell r="D4708">
            <v>38596</v>
          </cell>
          <cell r="F4708" t="str">
            <v>7432</v>
          </cell>
          <cell r="G4708" t="str">
            <v>Bloomingdale's Headquarters:Bloomingdale's - 055</v>
          </cell>
          <cell r="H4708">
            <v>2</v>
          </cell>
        </row>
        <row r="4709">
          <cell r="B4709" t="str">
            <v>SWC1000-1414</v>
          </cell>
          <cell r="C4709" t="str">
            <v>Invoice</v>
          </cell>
          <cell r="D4709">
            <v>38596</v>
          </cell>
          <cell r="F4709" t="str">
            <v>7433</v>
          </cell>
          <cell r="G4709" t="str">
            <v>Bloomingdale's Headquarters:Bloomingdale's - 056</v>
          </cell>
          <cell r="H4709">
            <v>2</v>
          </cell>
        </row>
        <row r="4710">
          <cell r="B4710" t="str">
            <v>SWC1000-851</v>
          </cell>
          <cell r="C4710" t="str">
            <v>Invoice</v>
          </cell>
          <cell r="D4710">
            <v>38470</v>
          </cell>
          <cell r="F4710" t="str">
            <v>5626</v>
          </cell>
          <cell r="G4710" t="str">
            <v>Kirk Larson, DDS</v>
          </cell>
          <cell r="H4710">
            <v>2</v>
          </cell>
        </row>
        <row r="4711">
          <cell r="B4711" t="str">
            <v>SWC1000-851</v>
          </cell>
          <cell r="C4711" t="str">
            <v>Invoice</v>
          </cell>
          <cell r="D4711">
            <v>38530</v>
          </cell>
          <cell r="F4711" t="str">
            <v>6266</v>
          </cell>
          <cell r="G4711" t="str">
            <v>Hustler Hollywood - Monroe, OH</v>
          </cell>
          <cell r="H4711">
            <v>2</v>
          </cell>
        </row>
        <row r="4712">
          <cell r="B4712" t="str">
            <v>SWC1000-C48</v>
          </cell>
          <cell r="C4712" t="str">
            <v>Invoice</v>
          </cell>
          <cell r="D4712">
            <v>38411</v>
          </cell>
          <cell r="F4712" t="str">
            <v>5412</v>
          </cell>
          <cell r="G4712" t="str">
            <v>Sony Style #58</v>
          </cell>
          <cell r="H4712">
            <v>2</v>
          </cell>
        </row>
        <row r="4713">
          <cell r="B4713" t="str">
            <v>SWC1000-C48</v>
          </cell>
          <cell r="C4713" t="str">
            <v>Invoice</v>
          </cell>
          <cell r="D4713">
            <v>38411</v>
          </cell>
          <cell r="F4713" t="str">
            <v>5414</v>
          </cell>
          <cell r="G4713" t="str">
            <v>Sony Style #56</v>
          </cell>
          <cell r="H4713">
            <v>2</v>
          </cell>
        </row>
        <row r="4714">
          <cell r="B4714" t="str">
            <v>SWC1000-C48</v>
          </cell>
          <cell r="C4714" t="str">
            <v>Invoice</v>
          </cell>
          <cell r="D4714">
            <v>38411</v>
          </cell>
          <cell r="F4714" t="str">
            <v>5410</v>
          </cell>
          <cell r="G4714" t="str">
            <v>Sony Style #54</v>
          </cell>
          <cell r="H4714">
            <v>2</v>
          </cell>
        </row>
        <row r="4715">
          <cell r="B4715" t="str">
            <v>SWC1000-C48</v>
          </cell>
          <cell r="C4715" t="str">
            <v>Invoice</v>
          </cell>
          <cell r="D4715">
            <v>38411</v>
          </cell>
          <cell r="F4715" t="str">
            <v>5411</v>
          </cell>
          <cell r="G4715" t="str">
            <v>Sony Style #61</v>
          </cell>
          <cell r="H4715">
            <v>2</v>
          </cell>
        </row>
        <row r="4716">
          <cell r="B4716" t="str">
            <v>SWC1000-C48</v>
          </cell>
          <cell r="C4716" t="str">
            <v>Invoice</v>
          </cell>
          <cell r="D4716">
            <v>38411</v>
          </cell>
          <cell r="F4716" t="str">
            <v>5413</v>
          </cell>
          <cell r="G4716" t="str">
            <v>Sony Style #57</v>
          </cell>
          <cell r="H4716">
            <v>2</v>
          </cell>
        </row>
        <row r="4717">
          <cell r="B4717" t="str">
            <v>SWC1000-C48</v>
          </cell>
          <cell r="C4717" t="str">
            <v>Invoice</v>
          </cell>
          <cell r="D4717">
            <v>38411</v>
          </cell>
          <cell r="F4717" t="str">
            <v>5415</v>
          </cell>
          <cell r="G4717" t="str">
            <v>Sony Style #55</v>
          </cell>
          <cell r="H4717">
            <v>2</v>
          </cell>
        </row>
        <row r="4718">
          <cell r="B4718" t="str">
            <v>SWC1000-C48</v>
          </cell>
          <cell r="C4718" t="str">
            <v>Invoice</v>
          </cell>
          <cell r="D4718">
            <v>38411</v>
          </cell>
          <cell r="F4718" t="str">
            <v>5416</v>
          </cell>
          <cell r="G4718" t="str">
            <v>Sony Style #53</v>
          </cell>
          <cell r="H4718">
            <v>2</v>
          </cell>
        </row>
        <row r="4719">
          <cell r="B4719" t="str">
            <v>SWC1000-C48</v>
          </cell>
          <cell r="C4719" t="str">
            <v>Invoice</v>
          </cell>
          <cell r="D4719">
            <v>38411</v>
          </cell>
          <cell r="F4719" t="str">
            <v>5417</v>
          </cell>
          <cell r="G4719" t="str">
            <v>Sony Style #52</v>
          </cell>
          <cell r="H4719">
            <v>2</v>
          </cell>
        </row>
        <row r="4720">
          <cell r="B4720" t="str">
            <v>SWC1000-C48</v>
          </cell>
          <cell r="C4720" t="str">
            <v>Invoice</v>
          </cell>
          <cell r="D4720">
            <v>38411</v>
          </cell>
          <cell r="F4720" t="str">
            <v>5418</v>
          </cell>
          <cell r="G4720" t="str">
            <v>Sony Style #51</v>
          </cell>
          <cell r="H4720">
            <v>2</v>
          </cell>
        </row>
        <row r="4721">
          <cell r="B4721" t="str">
            <v>SWC1000-C48</v>
          </cell>
          <cell r="C4721" t="str">
            <v>Invoice</v>
          </cell>
          <cell r="D4721">
            <v>38411</v>
          </cell>
          <cell r="F4721" t="str">
            <v>5419</v>
          </cell>
          <cell r="G4721" t="str">
            <v>Sony Style #60</v>
          </cell>
          <cell r="H4721">
            <v>2</v>
          </cell>
        </row>
        <row r="4722">
          <cell r="B4722" t="str">
            <v>SWC1000-C48</v>
          </cell>
          <cell r="C4722" t="str">
            <v>Invoice</v>
          </cell>
          <cell r="D4722">
            <v>38440</v>
          </cell>
          <cell r="F4722" t="str">
            <v>5508</v>
          </cell>
          <cell r="G4722" t="str">
            <v>Sony Style #55</v>
          </cell>
          <cell r="H4722">
            <v>2</v>
          </cell>
        </row>
        <row r="4723">
          <cell r="B4723" t="str">
            <v>SWC1000-C48</v>
          </cell>
          <cell r="C4723" t="str">
            <v>Invoice</v>
          </cell>
          <cell r="D4723">
            <v>38440</v>
          </cell>
          <cell r="F4723" t="str">
            <v>5509</v>
          </cell>
          <cell r="G4723" t="str">
            <v>Sony Style #53</v>
          </cell>
          <cell r="H4723">
            <v>2</v>
          </cell>
        </row>
        <row r="4724">
          <cell r="B4724" t="str">
            <v>SWC1000-C48</v>
          </cell>
          <cell r="C4724" t="str">
            <v>Invoice</v>
          </cell>
          <cell r="D4724">
            <v>38440</v>
          </cell>
          <cell r="F4724" t="str">
            <v>5510</v>
          </cell>
          <cell r="G4724" t="str">
            <v>Sony Style #52</v>
          </cell>
          <cell r="H4724">
            <v>2</v>
          </cell>
        </row>
        <row r="4725">
          <cell r="B4725" t="str">
            <v>SWC1000-C48</v>
          </cell>
          <cell r="C4725" t="str">
            <v>Invoice</v>
          </cell>
          <cell r="D4725">
            <v>38440</v>
          </cell>
          <cell r="F4725" t="str">
            <v>5511</v>
          </cell>
          <cell r="G4725" t="str">
            <v>Sony Style #51</v>
          </cell>
          <cell r="H4725">
            <v>2</v>
          </cell>
        </row>
        <row r="4726">
          <cell r="B4726" t="str">
            <v>SWC1000-C48</v>
          </cell>
          <cell r="C4726" t="str">
            <v>Invoice</v>
          </cell>
          <cell r="D4726">
            <v>38440</v>
          </cell>
          <cell r="F4726" t="str">
            <v>5512</v>
          </cell>
          <cell r="G4726" t="str">
            <v>Sony Style #60</v>
          </cell>
          <cell r="H4726">
            <v>2</v>
          </cell>
        </row>
        <row r="4727">
          <cell r="B4727" t="str">
            <v>SWC1000-C48</v>
          </cell>
          <cell r="C4727" t="str">
            <v>Invoice</v>
          </cell>
          <cell r="D4727">
            <v>38440</v>
          </cell>
          <cell r="F4727" t="str">
            <v>5505</v>
          </cell>
          <cell r="G4727" t="str">
            <v>Sony Style #58</v>
          </cell>
          <cell r="H4727">
            <v>2</v>
          </cell>
        </row>
        <row r="4728">
          <cell r="B4728" t="str">
            <v>SWC1000-C48</v>
          </cell>
          <cell r="C4728" t="str">
            <v>Invoice</v>
          </cell>
          <cell r="D4728">
            <v>38440</v>
          </cell>
          <cell r="F4728" t="str">
            <v>5504</v>
          </cell>
          <cell r="G4728" t="str">
            <v>Sony Style #61</v>
          </cell>
          <cell r="H4728">
            <v>2</v>
          </cell>
        </row>
        <row r="4729">
          <cell r="B4729" t="str">
            <v>SWC1000-C48</v>
          </cell>
          <cell r="C4729" t="str">
            <v>Invoice</v>
          </cell>
          <cell r="D4729">
            <v>38440</v>
          </cell>
          <cell r="F4729" t="str">
            <v>5506</v>
          </cell>
          <cell r="G4729" t="str">
            <v>Sony Style #57</v>
          </cell>
          <cell r="H4729">
            <v>2</v>
          </cell>
        </row>
        <row r="4730">
          <cell r="B4730" t="str">
            <v>SWC1000-C48</v>
          </cell>
          <cell r="C4730" t="str">
            <v>Invoice</v>
          </cell>
          <cell r="D4730">
            <v>38440</v>
          </cell>
          <cell r="F4730" t="str">
            <v>5513</v>
          </cell>
          <cell r="G4730" t="str">
            <v>Sony Style #54</v>
          </cell>
          <cell r="H4730">
            <v>2</v>
          </cell>
        </row>
        <row r="4731">
          <cell r="B4731" t="str">
            <v>SWC1000-C48</v>
          </cell>
          <cell r="C4731" t="str">
            <v>Invoice</v>
          </cell>
          <cell r="D4731">
            <v>38440</v>
          </cell>
          <cell r="F4731" t="str">
            <v>5507</v>
          </cell>
          <cell r="G4731" t="str">
            <v>Sony Style #56</v>
          </cell>
          <cell r="H4731">
            <v>2</v>
          </cell>
        </row>
        <row r="4732">
          <cell r="B4732" t="str">
            <v>SWC1000-C48</v>
          </cell>
          <cell r="C4732" t="str">
            <v>Invoice</v>
          </cell>
          <cell r="D4732">
            <v>38471</v>
          </cell>
          <cell r="F4732" t="str">
            <v>5662</v>
          </cell>
          <cell r="G4732" t="str">
            <v>Sony Style #56</v>
          </cell>
          <cell r="H4732">
            <v>2</v>
          </cell>
        </row>
        <row r="4733">
          <cell r="B4733" t="str">
            <v>SWC1000-C48</v>
          </cell>
          <cell r="C4733" t="str">
            <v>Invoice</v>
          </cell>
          <cell r="D4733">
            <v>38471</v>
          </cell>
          <cell r="F4733" t="str">
            <v>5665</v>
          </cell>
          <cell r="G4733" t="str">
            <v>Sony Style #52</v>
          </cell>
          <cell r="H4733">
            <v>2</v>
          </cell>
        </row>
        <row r="4734">
          <cell r="B4734" t="str">
            <v>SWC1000-C48</v>
          </cell>
          <cell r="C4734" t="str">
            <v>Invoice</v>
          </cell>
          <cell r="D4734">
            <v>38471</v>
          </cell>
          <cell r="F4734" t="str">
            <v>5667</v>
          </cell>
          <cell r="G4734" t="str">
            <v>Sony Style #51</v>
          </cell>
          <cell r="H4734">
            <v>2</v>
          </cell>
        </row>
        <row r="4735">
          <cell r="B4735" t="str">
            <v>SWC1000-C48</v>
          </cell>
          <cell r="C4735" t="str">
            <v>Invoice</v>
          </cell>
          <cell r="D4735">
            <v>38471</v>
          </cell>
          <cell r="F4735" t="str">
            <v>5660</v>
          </cell>
          <cell r="G4735" t="str">
            <v>Sony Style #58</v>
          </cell>
          <cell r="H4735">
            <v>2</v>
          </cell>
        </row>
        <row r="4736">
          <cell r="B4736" t="str">
            <v>SWC1000-C48</v>
          </cell>
          <cell r="C4736" t="str">
            <v>Invoice</v>
          </cell>
          <cell r="D4736">
            <v>38471</v>
          </cell>
          <cell r="F4736" t="str">
            <v>5661</v>
          </cell>
          <cell r="G4736" t="str">
            <v>Sony Style #57</v>
          </cell>
          <cell r="H4736">
            <v>2</v>
          </cell>
        </row>
        <row r="4737">
          <cell r="B4737" t="str">
            <v>SWC1000-C48</v>
          </cell>
          <cell r="C4737" t="str">
            <v>Invoice</v>
          </cell>
          <cell r="D4737">
            <v>38471</v>
          </cell>
          <cell r="F4737" t="str">
            <v>5659</v>
          </cell>
          <cell r="G4737" t="str">
            <v>Sony Style #61</v>
          </cell>
          <cell r="H4737">
            <v>2</v>
          </cell>
        </row>
        <row r="4738">
          <cell r="B4738" t="str">
            <v>SWC1000-C48</v>
          </cell>
          <cell r="C4738" t="str">
            <v>Invoice</v>
          </cell>
          <cell r="D4738">
            <v>38471</v>
          </cell>
          <cell r="F4738" t="str">
            <v>5663</v>
          </cell>
          <cell r="G4738" t="str">
            <v>Sony Style #55</v>
          </cell>
          <cell r="H4738">
            <v>2</v>
          </cell>
        </row>
        <row r="4739">
          <cell r="B4739" t="str">
            <v>SWC1000-C48</v>
          </cell>
          <cell r="C4739" t="str">
            <v>Invoice</v>
          </cell>
          <cell r="D4739">
            <v>38471</v>
          </cell>
          <cell r="F4739" t="str">
            <v>5668</v>
          </cell>
          <cell r="G4739" t="str">
            <v>Sony Style #60</v>
          </cell>
          <cell r="H4739">
            <v>2</v>
          </cell>
        </row>
        <row r="4740">
          <cell r="B4740" t="str">
            <v>SWC1000-C48</v>
          </cell>
          <cell r="C4740" t="str">
            <v>Invoice</v>
          </cell>
          <cell r="D4740">
            <v>38471</v>
          </cell>
          <cell r="F4740" t="str">
            <v>5666</v>
          </cell>
          <cell r="G4740" t="str">
            <v>Sony Style #54</v>
          </cell>
          <cell r="H4740">
            <v>2</v>
          </cell>
        </row>
        <row r="4741">
          <cell r="B4741" t="str">
            <v>SWC1000-C48</v>
          </cell>
          <cell r="C4741" t="str">
            <v>Invoice</v>
          </cell>
          <cell r="D4741">
            <v>38471</v>
          </cell>
          <cell r="F4741" t="str">
            <v>5658</v>
          </cell>
          <cell r="G4741" t="str">
            <v>Sony Style #65</v>
          </cell>
          <cell r="H4741">
            <v>2</v>
          </cell>
        </row>
        <row r="4742">
          <cell r="B4742" t="str">
            <v>SWC1000-C48</v>
          </cell>
          <cell r="C4742" t="str">
            <v>Invoice</v>
          </cell>
          <cell r="D4742">
            <v>38471</v>
          </cell>
          <cell r="F4742" t="str">
            <v>5664</v>
          </cell>
          <cell r="G4742" t="str">
            <v>Sony Style #53</v>
          </cell>
          <cell r="H4742">
            <v>2</v>
          </cell>
        </row>
        <row r="4743">
          <cell r="B4743" t="str">
            <v>SWC1000-C48</v>
          </cell>
          <cell r="C4743" t="str">
            <v>Invoice</v>
          </cell>
          <cell r="D4743">
            <v>38498</v>
          </cell>
          <cell r="F4743" t="str">
            <v>6162</v>
          </cell>
          <cell r="G4743" t="str">
            <v>Sony Style Denver (Old)</v>
          </cell>
          <cell r="H4743">
            <v>2</v>
          </cell>
        </row>
        <row r="4744">
          <cell r="B4744" t="str">
            <v>SWC1000-C48</v>
          </cell>
          <cell r="C4744" t="str">
            <v>Invoice</v>
          </cell>
          <cell r="D4744">
            <v>38498</v>
          </cell>
          <cell r="F4744" t="str">
            <v>6156</v>
          </cell>
          <cell r="G4744" t="str">
            <v>Sony Style #53</v>
          </cell>
          <cell r="H4744">
            <v>2</v>
          </cell>
        </row>
        <row r="4745">
          <cell r="B4745" t="str">
            <v>SWC1000-C48</v>
          </cell>
          <cell r="C4745" t="str">
            <v>Invoice</v>
          </cell>
          <cell r="D4745">
            <v>38498</v>
          </cell>
          <cell r="F4745" t="str">
            <v>6157</v>
          </cell>
          <cell r="G4745" t="str">
            <v>Sony Style #54</v>
          </cell>
          <cell r="H4745">
            <v>2</v>
          </cell>
        </row>
        <row r="4746">
          <cell r="B4746" t="str">
            <v>SWC1000-C48</v>
          </cell>
          <cell r="C4746" t="str">
            <v>Invoice</v>
          </cell>
          <cell r="D4746">
            <v>38498</v>
          </cell>
          <cell r="F4746" t="str">
            <v>6163</v>
          </cell>
          <cell r="G4746" t="str">
            <v>Sony Style #63</v>
          </cell>
          <cell r="H4746">
            <v>2</v>
          </cell>
        </row>
        <row r="4747">
          <cell r="B4747" t="str">
            <v>SWC1000-C48</v>
          </cell>
          <cell r="C4747" t="str">
            <v>Invoice</v>
          </cell>
          <cell r="D4747">
            <v>38498</v>
          </cell>
          <cell r="F4747" t="str">
            <v>6161</v>
          </cell>
          <cell r="G4747" t="str">
            <v>Sony Style #58</v>
          </cell>
          <cell r="H4747">
            <v>2</v>
          </cell>
        </row>
        <row r="4748">
          <cell r="B4748" t="str">
            <v>SWC1000-C48</v>
          </cell>
          <cell r="C4748" t="str">
            <v>Invoice</v>
          </cell>
          <cell r="D4748">
            <v>38498</v>
          </cell>
          <cell r="F4748" t="str">
            <v>6152</v>
          </cell>
          <cell r="G4748" t="str">
            <v>Sony Style #60</v>
          </cell>
          <cell r="H4748">
            <v>2</v>
          </cell>
        </row>
        <row r="4749">
          <cell r="B4749" t="str">
            <v>SWC1000-C48</v>
          </cell>
          <cell r="C4749" t="str">
            <v>Invoice</v>
          </cell>
          <cell r="D4749">
            <v>38498</v>
          </cell>
          <cell r="F4749" t="str">
            <v>6158</v>
          </cell>
          <cell r="G4749" t="str">
            <v>Sony Style #55</v>
          </cell>
          <cell r="H4749">
            <v>2</v>
          </cell>
        </row>
        <row r="4750">
          <cell r="B4750" t="str">
            <v>SWC1000-C48</v>
          </cell>
          <cell r="C4750" t="str">
            <v>Invoice</v>
          </cell>
          <cell r="D4750">
            <v>38498</v>
          </cell>
          <cell r="F4750" t="str">
            <v>6160</v>
          </cell>
          <cell r="G4750" t="str">
            <v>Sony Style #57</v>
          </cell>
          <cell r="H4750">
            <v>2</v>
          </cell>
        </row>
        <row r="4751">
          <cell r="B4751" t="str">
            <v>SWC1000-C48</v>
          </cell>
          <cell r="C4751" t="str">
            <v>Invoice</v>
          </cell>
          <cell r="D4751">
            <v>38498</v>
          </cell>
          <cell r="F4751" t="str">
            <v>6154</v>
          </cell>
          <cell r="G4751" t="str">
            <v>Sony Style #51</v>
          </cell>
          <cell r="H4751">
            <v>2</v>
          </cell>
        </row>
        <row r="4752">
          <cell r="B4752" t="str">
            <v>SWC1000-C48</v>
          </cell>
          <cell r="C4752" t="str">
            <v>Invoice</v>
          </cell>
          <cell r="D4752">
            <v>38498</v>
          </cell>
          <cell r="F4752" t="str">
            <v>6159</v>
          </cell>
          <cell r="G4752" t="str">
            <v>Sony Style #56</v>
          </cell>
          <cell r="H4752">
            <v>2</v>
          </cell>
        </row>
        <row r="4753">
          <cell r="B4753" t="str">
            <v>SWC1000-C48</v>
          </cell>
          <cell r="C4753" t="str">
            <v>Invoice</v>
          </cell>
          <cell r="D4753">
            <v>38526</v>
          </cell>
          <cell r="F4753" t="str">
            <v>5540-I</v>
          </cell>
          <cell r="G4753" t="str">
            <v>Sony Style #61</v>
          </cell>
          <cell r="H4753">
            <v>2</v>
          </cell>
        </row>
        <row r="4754">
          <cell r="B4754" t="str">
            <v>SWC1000-C48</v>
          </cell>
          <cell r="C4754" t="str">
            <v>Invoice</v>
          </cell>
          <cell r="D4754">
            <v>38526</v>
          </cell>
          <cell r="F4754" t="str">
            <v>6026-I</v>
          </cell>
          <cell r="G4754" t="str">
            <v>Sony Style #53</v>
          </cell>
          <cell r="H4754">
            <v>2</v>
          </cell>
        </row>
        <row r="4755">
          <cell r="B4755" t="str">
            <v>SWC1000-C48</v>
          </cell>
          <cell r="C4755" t="str">
            <v>Invoice</v>
          </cell>
          <cell r="D4755">
            <v>38526</v>
          </cell>
          <cell r="F4755" t="str">
            <v>5542-I</v>
          </cell>
          <cell r="G4755" t="str">
            <v>Sony Style #58</v>
          </cell>
          <cell r="H4755">
            <v>2</v>
          </cell>
        </row>
        <row r="4756">
          <cell r="B4756" t="str">
            <v>SWC1000-C48</v>
          </cell>
          <cell r="C4756" t="str">
            <v>Invoice</v>
          </cell>
          <cell r="D4756">
            <v>38526</v>
          </cell>
          <cell r="F4756" t="str">
            <v>5546-I</v>
          </cell>
          <cell r="G4756" t="str">
            <v>Sony Style #56</v>
          </cell>
          <cell r="H4756">
            <v>2</v>
          </cell>
        </row>
        <row r="4757">
          <cell r="B4757" t="str">
            <v>SWC1000-C48</v>
          </cell>
          <cell r="C4757" t="str">
            <v>Invoice</v>
          </cell>
          <cell r="D4757">
            <v>38526</v>
          </cell>
          <cell r="F4757" t="str">
            <v>6024-I</v>
          </cell>
          <cell r="G4757" t="str">
            <v>Sony Style #54</v>
          </cell>
          <cell r="H4757">
            <v>2</v>
          </cell>
        </row>
        <row r="4758">
          <cell r="B4758" t="str">
            <v>SWC1000-C48</v>
          </cell>
          <cell r="C4758" t="str">
            <v>Invoice</v>
          </cell>
          <cell r="D4758">
            <v>38526</v>
          </cell>
          <cell r="F4758" t="str">
            <v>5538-I</v>
          </cell>
          <cell r="G4758" t="str">
            <v>Sony Style #63</v>
          </cell>
          <cell r="H4758">
            <v>2</v>
          </cell>
        </row>
        <row r="4759">
          <cell r="B4759" t="str">
            <v>SWC1000-C48</v>
          </cell>
          <cell r="C4759" t="str">
            <v>Invoice</v>
          </cell>
          <cell r="D4759">
            <v>38526</v>
          </cell>
          <cell r="F4759" t="str">
            <v>6028-I</v>
          </cell>
          <cell r="G4759" t="str">
            <v>Sony Style #52</v>
          </cell>
          <cell r="H4759">
            <v>2</v>
          </cell>
        </row>
        <row r="4760">
          <cell r="B4760" t="str">
            <v>SWC1000-C48</v>
          </cell>
          <cell r="C4760" t="str">
            <v>Invoice</v>
          </cell>
          <cell r="D4760">
            <v>38526</v>
          </cell>
          <cell r="F4760" t="str">
            <v>6030-I</v>
          </cell>
          <cell r="G4760" t="str">
            <v>Sony Style #51</v>
          </cell>
          <cell r="H4760">
            <v>2</v>
          </cell>
        </row>
        <row r="4761">
          <cell r="B4761" t="str">
            <v>SWC1000-C48</v>
          </cell>
          <cell r="C4761" t="str">
            <v>Invoice</v>
          </cell>
          <cell r="D4761">
            <v>38526</v>
          </cell>
          <cell r="F4761" t="str">
            <v>5544</v>
          </cell>
          <cell r="G4761" t="str">
            <v>Sony Style #57</v>
          </cell>
          <cell r="H4761">
            <v>2</v>
          </cell>
        </row>
        <row r="4762">
          <cell r="B4762" t="str">
            <v>SWC1000-C48</v>
          </cell>
          <cell r="C4762" t="str">
            <v>Invoice</v>
          </cell>
          <cell r="D4762">
            <v>38526</v>
          </cell>
          <cell r="F4762" t="str">
            <v>5548</v>
          </cell>
          <cell r="G4762" t="str">
            <v>Sony Style #55</v>
          </cell>
          <cell r="H4762">
            <v>2</v>
          </cell>
        </row>
        <row r="4763">
          <cell r="B4763" t="str">
            <v>SWC1000-C48</v>
          </cell>
          <cell r="C4763" t="str">
            <v>Invoice</v>
          </cell>
          <cell r="D4763">
            <v>38526</v>
          </cell>
          <cell r="F4763" t="str">
            <v>6192</v>
          </cell>
          <cell r="G4763" t="str">
            <v>Sony Style #60</v>
          </cell>
          <cell r="H4763">
            <v>2</v>
          </cell>
        </row>
        <row r="4764">
          <cell r="B4764" t="str">
            <v>SWC1000-C48</v>
          </cell>
          <cell r="C4764" t="str">
            <v>Invoice</v>
          </cell>
          <cell r="D4764">
            <v>38555</v>
          </cell>
          <cell r="F4764" t="str">
            <v>6027</v>
          </cell>
          <cell r="G4764" t="str">
            <v>Sony Style #53</v>
          </cell>
          <cell r="H4764">
            <v>2</v>
          </cell>
        </row>
        <row r="4765">
          <cell r="B4765" t="str">
            <v>SWC1000-C48</v>
          </cell>
          <cell r="C4765" t="str">
            <v>Invoice</v>
          </cell>
          <cell r="D4765">
            <v>38555</v>
          </cell>
          <cell r="F4765" t="str">
            <v>6025-I</v>
          </cell>
          <cell r="G4765" t="str">
            <v>Sony Style #54</v>
          </cell>
          <cell r="H4765">
            <v>2</v>
          </cell>
        </row>
        <row r="4766">
          <cell r="B4766" t="str">
            <v>SWC1000-C48</v>
          </cell>
          <cell r="C4766" t="str">
            <v>Invoice</v>
          </cell>
          <cell r="D4766">
            <v>38555</v>
          </cell>
          <cell r="F4766" t="str">
            <v>6031-I</v>
          </cell>
          <cell r="G4766" t="str">
            <v>Sony Style #51</v>
          </cell>
          <cell r="H4766">
            <v>2</v>
          </cell>
        </row>
        <row r="4767">
          <cell r="B4767" t="str">
            <v>SWC1000-C48</v>
          </cell>
          <cell r="C4767" t="str">
            <v>Invoice</v>
          </cell>
          <cell r="D4767">
            <v>38555</v>
          </cell>
          <cell r="F4767" t="str">
            <v>6029-I</v>
          </cell>
          <cell r="G4767" t="str">
            <v>Sony Style #52</v>
          </cell>
          <cell r="H4767">
            <v>2</v>
          </cell>
        </row>
        <row r="4768">
          <cell r="B4768" t="str">
            <v>SWC1000-C48</v>
          </cell>
          <cell r="C4768" t="str">
            <v>Invoice</v>
          </cell>
          <cell r="D4768">
            <v>38555</v>
          </cell>
          <cell r="F4768" t="str">
            <v>6331</v>
          </cell>
          <cell r="G4768" t="str">
            <v>Sony Style #60</v>
          </cell>
          <cell r="H4768">
            <v>2</v>
          </cell>
        </row>
        <row r="4769">
          <cell r="B4769" t="str">
            <v>SWC1000-C48</v>
          </cell>
          <cell r="C4769" t="str">
            <v>Invoice</v>
          </cell>
          <cell r="D4769">
            <v>38555</v>
          </cell>
          <cell r="F4769" t="str">
            <v>5545-I</v>
          </cell>
          <cell r="G4769" t="str">
            <v>Sony Style #57</v>
          </cell>
          <cell r="H4769">
            <v>2</v>
          </cell>
        </row>
        <row r="4770">
          <cell r="B4770" t="str">
            <v>SWC1000-C48</v>
          </cell>
          <cell r="C4770" t="str">
            <v>Invoice</v>
          </cell>
          <cell r="D4770">
            <v>38555</v>
          </cell>
          <cell r="F4770" t="str">
            <v>5541-I</v>
          </cell>
          <cell r="G4770" t="str">
            <v>Sony Style #61</v>
          </cell>
          <cell r="H4770">
            <v>2</v>
          </cell>
        </row>
        <row r="4771">
          <cell r="B4771" t="str">
            <v>SWC1000-C48</v>
          </cell>
          <cell r="C4771" t="str">
            <v>Invoice</v>
          </cell>
          <cell r="D4771">
            <v>38555</v>
          </cell>
          <cell r="F4771" t="str">
            <v>5543</v>
          </cell>
          <cell r="G4771" t="str">
            <v>Sony Style #58</v>
          </cell>
          <cell r="H4771">
            <v>2</v>
          </cell>
        </row>
        <row r="4772">
          <cell r="B4772" t="str">
            <v>SWC1000-C48</v>
          </cell>
          <cell r="C4772" t="str">
            <v>Invoice</v>
          </cell>
          <cell r="D4772">
            <v>38555</v>
          </cell>
          <cell r="F4772" t="str">
            <v>5539</v>
          </cell>
          <cell r="G4772" t="str">
            <v>Sony Style #63</v>
          </cell>
          <cell r="H4772">
            <v>2</v>
          </cell>
        </row>
        <row r="4773">
          <cell r="B4773" t="str">
            <v>SWC1000-C48</v>
          </cell>
          <cell r="C4773" t="str">
            <v>Invoice</v>
          </cell>
          <cell r="D4773">
            <v>38555</v>
          </cell>
          <cell r="F4773" t="str">
            <v>5547</v>
          </cell>
          <cell r="G4773" t="str">
            <v>Sony Style #56</v>
          </cell>
          <cell r="H4773">
            <v>2</v>
          </cell>
        </row>
        <row r="4774">
          <cell r="B4774" t="str">
            <v>SWC1000-C48</v>
          </cell>
          <cell r="C4774" t="str">
            <v>Invoice</v>
          </cell>
          <cell r="D4774">
            <v>38555</v>
          </cell>
          <cell r="F4774" t="str">
            <v>5549-I</v>
          </cell>
          <cell r="G4774" t="str">
            <v>Sony Style #55</v>
          </cell>
          <cell r="H4774">
            <v>2</v>
          </cell>
        </row>
        <row r="4775">
          <cell r="B4775" t="str">
            <v>SWC1020-0153</v>
          </cell>
          <cell r="C4775" t="str">
            <v>Invoice</v>
          </cell>
          <cell r="D4775">
            <v>38411</v>
          </cell>
          <cell r="F4775" t="str">
            <v>5390</v>
          </cell>
          <cell r="G4775" t="str">
            <v>Sea World Orlando</v>
          </cell>
          <cell r="H4775">
            <v>2</v>
          </cell>
        </row>
        <row r="4776">
          <cell r="B4776" t="str">
            <v>SWC1020-0153</v>
          </cell>
          <cell r="C4776" t="str">
            <v>Invoice</v>
          </cell>
          <cell r="D4776">
            <v>38427</v>
          </cell>
          <cell r="F4776" t="str">
            <v>5450</v>
          </cell>
          <cell r="G4776" t="str">
            <v>Hard Rock Hotel</v>
          </cell>
          <cell r="H4776">
            <v>2</v>
          </cell>
        </row>
        <row r="4777">
          <cell r="B4777" t="str">
            <v>SWC1020-0153</v>
          </cell>
          <cell r="C4777" t="str">
            <v>Invoice</v>
          </cell>
          <cell r="D4777">
            <v>38440</v>
          </cell>
          <cell r="F4777" t="str">
            <v>5542</v>
          </cell>
          <cell r="G4777" t="str">
            <v>Hard Rock Hotel</v>
          </cell>
          <cell r="H4777">
            <v>2</v>
          </cell>
        </row>
        <row r="4778">
          <cell r="B4778" t="str">
            <v>SWC1020-0153</v>
          </cell>
          <cell r="C4778" t="str">
            <v>Invoice</v>
          </cell>
          <cell r="D4778">
            <v>38471</v>
          </cell>
          <cell r="F4778" t="str">
            <v>6028</v>
          </cell>
          <cell r="G4778" t="str">
            <v>Radio Shack Coporation</v>
          </cell>
          <cell r="H4778">
            <v>2</v>
          </cell>
        </row>
        <row r="4779">
          <cell r="B4779" t="str">
            <v>SWC1020-0153</v>
          </cell>
          <cell r="C4779" t="str">
            <v>Invoice</v>
          </cell>
          <cell r="D4779">
            <v>38484</v>
          </cell>
          <cell r="F4779" t="str">
            <v>5620</v>
          </cell>
          <cell r="G4779" t="str">
            <v>Videotronic Benelux BV</v>
          </cell>
          <cell r="H4779">
            <v>2</v>
          </cell>
        </row>
        <row r="4780">
          <cell r="B4780" t="str">
            <v>SWC1020-0153</v>
          </cell>
          <cell r="C4780" t="str">
            <v>Invoice</v>
          </cell>
          <cell r="D4780">
            <v>38499</v>
          </cell>
          <cell r="F4780" t="str">
            <v>6175</v>
          </cell>
          <cell r="G4780" t="str">
            <v>Hustler Hollywood - Cincinnati, OH</v>
          </cell>
          <cell r="H4780">
            <v>2</v>
          </cell>
        </row>
        <row r="4781">
          <cell r="B4781" t="str">
            <v>SWC1020-0479</v>
          </cell>
          <cell r="C4781" t="str">
            <v>Invoice</v>
          </cell>
          <cell r="D4781">
            <v>38442</v>
          </cell>
          <cell r="F4781" t="str">
            <v>5570</v>
          </cell>
          <cell r="G4781" t="str">
            <v>ScentAir Australia Pty Ltd.</v>
          </cell>
          <cell r="H4781">
            <v>2</v>
          </cell>
        </row>
        <row r="4782">
          <cell r="B4782" t="str">
            <v>SWC1020-0496</v>
          </cell>
          <cell r="C4782" t="str">
            <v>Invoice</v>
          </cell>
          <cell r="D4782">
            <v>38411</v>
          </cell>
          <cell r="F4782" t="str">
            <v>5382</v>
          </cell>
          <cell r="G4782" t="str">
            <v>Dylan's Candy Bar</v>
          </cell>
          <cell r="H4782">
            <v>2</v>
          </cell>
        </row>
        <row r="4783">
          <cell r="B4783" t="str">
            <v>SWC1020-0496</v>
          </cell>
          <cell r="C4783" t="str">
            <v>Invoice</v>
          </cell>
          <cell r="D4783">
            <v>38422</v>
          </cell>
          <cell r="F4783" t="str">
            <v>5444</v>
          </cell>
          <cell r="G4783" t="str">
            <v>Bingeman's</v>
          </cell>
          <cell r="H4783">
            <v>2</v>
          </cell>
        </row>
        <row r="4784">
          <cell r="B4784" t="str">
            <v>SWC1020-0496</v>
          </cell>
          <cell r="C4784" t="str">
            <v>Invoice</v>
          </cell>
          <cell r="D4784">
            <v>38448</v>
          </cell>
          <cell r="F4784" t="str">
            <v>5596</v>
          </cell>
          <cell r="G4784" t="str">
            <v>The Childrens Place</v>
          </cell>
          <cell r="H4784">
            <v>2</v>
          </cell>
        </row>
        <row r="4785">
          <cell r="B4785" t="str">
            <v>SWC1020-0692</v>
          </cell>
          <cell r="C4785" t="str">
            <v>Invoice</v>
          </cell>
          <cell r="D4785">
            <v>38467</v>
          </cell>
          <cell r="F4785" t="str">
            <v>5634</v>
          </cell>
          <cell r="G4785" t="str">
            <v>DFS Guam L.P.</v>
          </cell>
          <cell r="H4785">
            <v>2</v>
          </cell>
        </row>
        <row r="4786">
          <cell r="B4786" t="str">
            <v>SWC1020-0794</v>
          </cell>
          <cell r="C4786" t="str">
            <v>Invoice</v>
          </cell>
          <cell r="D4786">
            <v>38448</v>
          </cell>
          <cell r="F4786" t="str">
            <v>5563</v>
          </cell>
          <cell r="G4786" t="str">
            <v>Disney Worldwide:Store Planning Merchandising</v>
          </cell>
          <cell r="H4786">
            <v>2</v>
          </cell>
        </row>
        <row r="4787">
          <cell r="B4787" t="str">
            <v>SWC1020-0794</v>
          </cell>
          <cell r="C4787" t="str">
            <v>Invoice</v>
          </cell>
          <cell r="D4787">
            <v>38471</v>
          </cell>
          <cell r="F4787" t="str">
            <v>5722</v>
          </cell>
          <cell r="G4787" t="str">
            <v>M &amp; M World</v>
          </cell>
          <cell r="H4787">
            <v>2</v>
          </cell>
        </row>
        <row r="4788">
          <cell r="B4788" t="str">
            <v>SWC1020-0828</v>
          </cell>
          <cell r="C4788" t="str">
            <v>Invoice</v>
          </cell>
          <cell r="D4788">
            <v>38440</v>
          </cell>
          <cell r="F4788" t="str">
            <v>5550</v>
          </cell>
          <cell r="G4788" t="str">
            <v>Arkitectura Urbana</v>
          </cell>
          <cell r="H4788">
            <v>2</v>
          </cell>
        </row>
        <row r="4789">
          <cell r="B4789" t="str">
            <v>SWC1020-0828</v>
          </cell>
          <cell r="C4789" t="str">
            <v>Invoice</v>
          </cell>
          <cell r="D4789">
            <v>38478</v>
          </cell>
          <cell r="F4789" t="str">
            <v>5723</v>
          </cell>
          <cell r="G4789" t="str">
            <v>Arkitectura Urbana</v>
          </cell>
          <cell r="H4789">
            <v>2</v>
          </cell>
        </row>
        <row r="4790">
          <cell r="B4790" t="str">
            <v>SWC1020-0849</v>
          </cell>
          <cell r="C4790" t="str">
            <v>Invoice</v>
          </cell>
          <cell r="D4790">
            <v>38405</v>
          </cell>
          <cell r="F4790" t="str">
            <v>5359</v>
          </cell>
          <cell r="G4790" t="str">
            <v>Piggly Wiggly</v>
          </cell>
          <cell r="H4790">
            <v>2</v>
          </cell>
        </row>
        <row r="4791">
          <cell r="B4791" t="str">
            <v>SWC1020-0851</v>
          </cell>
          <cell r="C4791" t="str">
            <v>Invoice</v>
          </cell>
          <cell r="D4791">
            <v>38427</v>
          </cell>
          <cell r="F4791" t="str">
            <v>5455</v>
          </cell>
          <cell r="G4791" t="str">
            <v>San Jorge Children's Hospital</v>
          </cell>
          <cell r="H4791">
            <v>2</v>
          </cell>
        </row>
        <row r="4792">
          <cell r="B4792" t="str">
            <v>SWC1020-0860</v>
          </cell>
          <cell r="C4792" t="str">
            <v>Invoice</v>
          </cell>
          <cell r="D4792">
            <v>38442</v>
          </cell>
          <cell r="F4792" t="str">
            <v>5570</v>
          </cell>
          <cell r="G4792" t="str">
            <v>ScentAir Australia Pty Ltd.</v>
          </cell>
          <cell r="H4792">
            <v>2</v>
          </cell>
        </row>
        <row r="4793">
          <cell r="B4793" t="str">
            <v>SWC1020-0860</v>
          </cell>
          <cell r="C4793" t="str">
            <v>Invoice</v>
          </cell>
          <cell r="D4793">
            <v>38490</v>
          </cell>
          <cell r="F4793" t="str">
            <v>6085</v>
          </cell>
          <cell r="G4793" t="str">
            <v>Muzak, LLC (superceded)</v>
          </cell>
          <cell r="H4793">
            <v>2</v>
          </cell>
        </row>
        <row r="4794">
          <cell r="B4794" t="str">
            <v>SWC1020-0880</v>
          </cell>
          <cell r="C4794" t="str">
            <v>Invoice</v>
          </cell>
          <cell r="D4794">
            <v>38442</v>
          </cell>
          <cell r="F4794" t="str">
            <v>5570</v>
          </cell>
          <cell r="G4794" t="str">
            <v>ScentAir Australia Pty Ltd.</v>
          </cell>
          <cell r="H4794">
            <v>2</v>
          </cell>
        </row>
        <row r="4795">
          <cell r="B4795" t="str">
            <v>SWC1020-0892</v>
          </cell>
          <cell r="C4795" t="str">
            <v>Invoice</v>
          </cell>
          <cell r="D4795">
            <v>38421</v>
          </cell>
          <cell r="F4795" t="str">
            <v>5423</v>
          </cell>
          <cell r="G4795" t="str">
            <v>University of Arizona Bookstore</v>
          </cell>
          <cell r="H4795">
            <v>2</v>
          </cell>
        </row>
        <row r="4796">
          <cell r="B4796" t="str">
            <v>SWC1020-0892</v>
          </cell>
          <cell r="C4796" t="str">
            <v>Invoice</v>
          </cell>
          <cell r="D4796">
            <v>38448</v>
          </cell>
          <cell r="F4796" t="str">
            <v>5596</v>
          </cell>
          <cell r="G4796" t="str">
            <v>The Childrens Place</v>
          </cell>
          <cell r="H4796">
            <v>2</v>
          </cell>
        </row>
        <row r="4797">
          <cell r="B4797" t="str">
            <v>SWC1020-0892</v>
          </cell>
          <cell r="C4797" t="str">
            <v>Invoice</v>
          </cell>
          <cell r="D4797">
            <v>38468</v>
          </cell>
          <cell r="F4797" t="str">
            <v>5621</v>
          </cell>
          <cell r="G4797" t="str">
            <v>Saks Fifth Avenue-Santa Barbara</v>
          </cell>
          <cell r="H4797">
            <v>2</v>
          </cell>
        </row>
        <row r="4798">
          <cell r="B4798" t="str">
            <v>SWC1020-0894</v>
          </cell>
          <cell r="C4798" t="str">
            <v>Invoice</v>
          </cell>
          <cell r="D4798">
            <v>38411</v>
          </cell>
          <cell r="F4798" t="str">
            <v>5379</v>
          </cell>
          <cell r="G4798" t="str">
            <v>Hot Stuff</v>
          </cell>
          <cell r="H4798">
            <v>2</v>
          </cell>
        </row>
        <row r="4799">
          <cell r="B4799" t="str">
            <v>SWC1020-0895</v>
          </cell>
          <cell r="C4799" t="str">
            <v>Invoice</v>
          </cell>
          <cell r="D4799">
            <v>38421</v>
          </cell>
          <cell r="F4799" t="str">
            <v>5452</v>
          </cell>
          <cell r="G4799" t="str">
            <v>Bloomingdale's #20</v>
          </cell>
          <cell r="H4799">
            <v>2</v>
          </cell>
        </row>
        <row r="4800">
          <cell r="B4800" t="str">
            <v>SWC1020-0913</v>
          </cell>
          <cell r="C4800" t="str">
            <v>Invoice</v>
          </cell>
          <cell r="D4800">
            <v>38442</v>
          </cell>
          <cell r="F4800" t="str">
            <v>5570</v>
          </cell>
          <cell r="G4800" t="str">
            <v>ScentAir Australia Pty Ltd.</v>
          </cell>
          <cell r="H4800">
            <v>2</v>
          </cell>
        </row>
        <row r="4801">
          <cell r="B4801" t="str">
            <v>SWC1020-0913</v>
          </cell>
          <cell r="C4801" t="str">
            <v>Invoice</v>
          </cell>
          <cell r="D4801">
            <v>38448</v>
          </cell>
          <cell r="F4801" t="str">
            <v>5592</v>
          </cell>
          <cell r="G4801" t="str">
            <v>Epcot Event Group</v>
          </cell>
          <cell r="H4801">
            <v>2</v>
          </cell>
        </row>
        <row r="4802">
          <cell r="B4802" t="str">
            <v>SWC1020-0956</v>
          </cell>
          <cell r="C4802" t="str">
            <v>Invoice</v>
          </cell>
          <cell r="D4802">
            <v>38583</v>
          </cell>
          <cell r="F4802" t="str">
            <v>7511</v>
          </cell>
          <cell r="G4802" t="str">
            <v>Arkitectura Urbana</v>
          </cell>
          <cell r="H4802">
            <v>2</v>
          </cell>
        </row>
        <row r="4803">
          <cell r="B4803" t="str">
            <v>SWC1020-0956</v>
          </cell>
          <cell r="C4803" t="str">
            <v>Invoice</v>
          </cell>
          <cell r="D4803">
            <v>38586</v>
          </cell>
          <cell r="F4803" t="str">
            <v>7640</v>
          </cell>
          <cell r="G4803" t="str">
            <v>jaGG Classic Wholesale Inc.</v>
          </cell>
          <cell r="H4803">
            <v>2</v>
          </cell>
        </row>
        <row r="4804">
          <cell r="B4804" t="str">
            <v>SWC1020-1035</v>
          </cell>
          <cell r="C4804" t="str">
            <v>Invoice</v>
          </cell>
          <cell r="D4804">
            <v>38427</v>
          </cell>
          <cell r="F4804" t="str">
            <v>5407</v>
          </cell>
          <cell r="G4804" t="str">
            <v>Arkitectura Urbana</v>
          </cell>
          <cell r="H4804">
            <v>2</v>
          </cell>
        </row>
        <row r="4805">
          <cell r="B4805" t="str">
            <v>SWC1020-1035</v>
          </cell>
          <cell r="C4805" t="str">
            <v>Invoice</v>
          </cell>
          <cell r="D4805">
            <v>38478</v>
          </cell>
          <cell r="F4805" t="str">
            <v>5723</v>
          </cell>
          <cell r="G4805" t="str">
            <v>Arkitectura Urbana</v>
          </cell>
          <cell r="H4805">
            <v>2</v>
          </cell>
        </row>
        <row r="4806">
          <cell r="B4806" t="str">
            <v>SWC1020-1062</v>
          </cell>
          <cell r="C4806" t="str">
            <v>Invoice</v>
          </cell>
          <cell r="D4806">
            <v>38427</v>
          </cell>
          <cell r="F4806" t="str">
            <v>5428</v>
          </cell>
          <cell r="G4806" t="str">
            <v>Raytheon Technical Services Company</v>
          </cell>
          <cell r="H4806">
            <v>2</v>
          </cell>
        </row>
        <row r="4807">
          <cell r="B4807" t="str">
            <v>SWC1020-1095</v>
          </cell>
          <cell r="C4807" t="str">
            <v>Invoice</v>
          </cell>
          <cell r="D4807">
            <v>38406</v>
          </cell>
          <cell r="F4807" t="str">
            <v>5353</v>
          </cell>
          <cell r="G4807" t="str">
            <v>Exxon DDB Worldwide:Exxon DDB Worldwide #24239</v>
          </cell>
          <cell r="H4807">
            <v>2</v>
          </cell>
        </row>
        <row r="4808">
          <cell r="B4808" t="str">
            <v>SWC1020-1095</v>
          </cell>
          <cell r="C4808" t="str">
            <v>Invoice</v>
          </cell>
          <cell r="D4808">
            <v>38406</v>
          </cell>
          <cell r="F4808" t="str">
            <v>5354</v>
          </cell>
          <cell r="G4808" t="str">
            <v>Exxon DDB Worldwide# 2431</v>
          </cell>
          <cell r="H4808">
            <v>2</v>
          </cell>
        </row>
        <row r="4809">
          <cell r="B4809" t="str">
            <v>SWC1020-1095</v>
          </cell>
          <cell r="C4809" t="str">
            <v>Invoice</v>
          </cell>
          <cell r="D4809">
            <v>38406</v>
          </cell>
          <cell r="F4809" t="str">
            <v>5356</v>
          </cell>
          <cell r="G4809" t="str">
            <v>Exxon DDB Worldwide:Exxon DDB Worldwide #26308</v>
          </cell>
          <cell r="H4809">
            <v>2</v>
          </cell>
        </row>
        <row r="4810">
          <cell r="B4810" t="str">
            <v>SWC1020-1095</v>
          </cell>
          <cell r="C4810" t="str">
            <v>Invoice</v>
          </cell>
          <cell r="D4810">
            <v>38406</v>
          </cell>
          <cell r="F4810" t="str">
            <v>5346</v>
          </cell>
          <cell r="G4810" t="str">
            <v>Exxon DDB Worldwide#11640</v>
          </cell>
          <cell r="H4810">
            <v>2</v>
          </cell>
        </row>
        <row r="4811">
          <cell r="B4811" t="str">
            <v>SWC1020-1095</v>
          </cell>
          <cell r="C4811" t="str">
            <v>Invoice</v>
          </cell>
          <cell r="D4811">
            <v>38407</v>
          </cell>
          <cell r="F4811" t="str">
            <v>5345</v>
          </cell>
          <cell r="G4811" t="str">
            <v>Exxon DDB Worldwide#10241</v>
          </cell>
          <cell r="H4811">
            <v>2</v>
          </cell>
        </row>
        <row r="4812">
          <cell r="B4812" t="str">
            <v>SWC1020-1095</v>
          </cell>
          <cell r="C4812" t="str">
            <v>Invoice</v>
          </cell>
          <cell r="D4812">
            <v>38407</v>
          </cell>
          <cell r="F4812" t="str">
            <v>5347</v>
          </cell>
          <cell r="G4812" t="str">
            <v>Exxon DDB Worldwide:Exxon DDB Worldwide #11644</v>
          </cell>
          <cell r="H4812">
            <v>2</v>
          </cell>
        </row>
        <row r="4813">
          <cell r="B4813" t="str">
            <v>SWC1020-1095</v>
          </cell>
          <cell r="C4813" t="str">
            <v>Invoice</v>
          </cell>
          <cell r="D4813">
            <v>38490</v>
          </cell>
          <cell r="F4813" t="str">
            <v>6085</v>
          </cell>
          <cell r="G4813" t="str">
            <v>Muzak, LLC (superceded)</v>
          </cell>
          <cell r="H4813">
            <v>2</v>
          </cell>
        </row>
        <row r="4814">
          <cell r="B4814" t="str">
            <v>SWC1020-1099</v>
          </cell>
          <cell r="C4814" t="str">
            <v>Invoice</v>
          </cell>
          <cell r="D4814">
            <v>38427</v>
          </cell>
          <cell r="F4814" t="str">
            <v>5407</v>
          </cell>
          <cell r="G4814" t="str">
            <v>Arkitectura Urbana</v>
          </cell>
          <cell r="H4814">
            <v>2</v>
          </cell>
        </row>
        <row r="4815">
          <cell r="B4815" t="str">
            <v>SWC1020-1105</v>
          </cell>
          <cell r="C4815" t="str">
            <v>Invoice</v>
          </cell>
          <cell r="D4815">
            <v>38434</v>
          </cell>
          <cell r="F4815" t="str">
            <v>5472</v>
          </cell>
          <cell r="G4815" t="str">
            <v>Jimmy Choo (Corporate Office)</v>
          </cell>
          <cell r="H4815">
            <v>2</v>
          </cell>
        </row>
        <row r="4816">
          <cell r="B4816" t="str">
            <v>SWC1020-1105</v>
          </cell>
          <cell r="C4816" t="str">
            <v>Invoice</v>
          </cell>
          <cell r="D4816">
            <v>38481</v>
          </cell>
          <cell r="F4816" t="str">
            <v>6041</v>
          </cell>
          <cell r="G4816" t="str">
            <v>Wickes Furniture:Wickes-001</v>
          </cell>
          <cell r="H4816">
            <v>2</v>
          </cell>
        </row>
        <row r="4817">
          <cell r="B4817" t="str">
            <v>SWC1020-1105</v>
          </cell>
          <cell r="C4817" t="str">
            <v>Invoice</v>
          </cell>
          <cell r="D4817">
            <v>38508</v>
          </cell>
          <cell r="F4817" t="str">
            <v>6042</v>
          </cell>
          <cell r="G4817" t="str">
            <v>Wickes Furniture:Wickes-001</v>
          </cell>
          <cell r="H4817">
            <v>2</v>
          </cell>
        </row>
        <row r="4818">
          <cell r="B4818" t="str">
            <v>SWC1020-1307</v>
          </cell>
          <cell r="C4818" t="str">
            <v>Invoice</v>
          </cell>
          <cell r="D4818">
            <v>38434</v>
          </cell>
          <cell r="F4818" t="str">
            <v>5496</v>
          </cell>
          <cell r="G4818" t="str">
            <v>Rytheon Technical ServicesCompanies</v>
          </cell>
          <cell r="H4818">
            <v>2</v>
          </cell>
        </row>
        <row r="4819">
          <cell r="B4819" t="str">
            <v>SWC1020-C48</v>
          </cell>
          <cell r="C4819" t="str">
            <v>Invoice</v>
          </cell>
          <cell r="D4819">
            <v>38399</v>
          </cell>
          <cell r="F4819" t="str">
            <v>5216</v>
          </cell>
          <cell r="G4819" t="str">
            <v>Sony Style #52</v>
          </cell>
          <cell r="H4819">
            <v>2</v>
          </cell>
        </row>
        <row r="4820">
          <cell r="B4820" t="str">
            <v>SWC1020-C48</v>
          </cell>
          <cell r="C4820" t="str">
            <v>Invoice</v>
          </cell>
          <cell r="D4820">
            <v>38399</v>
          </cell>
          <cell r="F4820" t="str">
            <v>5316</v>
          </cell>
          <cell r="G4820" t="str">
            <v>Sony  Style # 62</v>
          </cell>
          <cell r="H4820">
            <v>2</v>
          </cell>
        </row>
        <row r="4821">
          <cell r="B4821" t="str">
            <v>SWC1020-C48</v>
          </cell>
          <cell r="C4821" t="str">
            <v>Invoice</v>
          </cell>
          <cell r="D4821">
            <v>38442</v>
          </cell>
          <cell r="F4821" t="str">
            <v>5318</v>
          </cell>
          <cell r="G4821" t="str">
            <v>Sony Style #63</v>
          </cell>
          <cell r="H4821">
            <v>2</v>
          </cell>
        </row>
        <row r="4822">
          <cell r="B4822" t="str">
            <v>SWC1020-C48</v>
          </cell>
          <cell r="C4822" t="str">
            <v>Invoice</v>
          </cell>
          <cell r="D4822">
            <v>38467</v>
          </cell>
          <cell r="F4822" t="str">
            <v>5670</v>
          </cell>
          <cell r="G4822" t="str">
            <v>Sony Style #63</v>
          </cell>
          <cell r="H4822">
            <v>2</v>
          </cell>
        </row>
        <row r="4823">
          <cell r="B4823" t="str">
            <v>SWC1020-C48</v>
          </cell>
          <cell r="C4823" t="str">
            <v>Invoice</v>
          </cell>
          <cell r="D4823">
            <v>38467</v>
          </cell>
          <cell r="F4823" t="str">
            <v>5669</v>
          </cell>
          <cell r="G4823" t="str">
            <v>Sony Style #64</v>
          </cell>
          <cell r="H4823">
            <v>2</v>
          </cell>
        </row>
        <row r="4824">
          <cell r="B4824" t="str">
            <v>SWC1020-C48</v>
          </cell>
          <cell r="C4824" t="str">
            <v>Invoice</v>
          </cell>
          <cell r="D4824">
            <v>38498</v>
          </cell>
          <cell r="F4824" t="str">
            <v>6153</v>
          </cell>
          <cell r="G4824" t="str">
            <v>Sony Style #49</v>
          </cell>
          <cell r="H4824">
            <v>2</v>
          </cell>
        </row>
        <row r="4825">
          <cell r="B4825" t="str">
            <v>SWC1020-C48</v>
          </cell>
          <cell r="C4825" t="str">
            <v>Invoice</v>
          </cell>
          <cell r="D4825">
            <v>38512</v>
          </cell>
          <cell r="F4825" t="str">
            <v>6265</v>
          </cell>
          <cell r="G4825" t="str">
            <v>Sony Style #66</v>
          </cell>
          <cell r="H4825">
            <v>2</v>
          </cell>
        </row>
        <row r="4826">
          <cell r="B4826" t="str">
            <v>SWC1020-C48</v>
          </cell>
          <cell r="C4826" t="str">
            <v>Invoice</v>
          </cell>
          <cell r="D4826">
            <v>38512</v>
          </cell>
          <cell r="F4826" t="str">
            <v>6228</v>
          </cell>
          <cell r="G4826" t="str">
            <v>Sony Style #xx (Kenwood Ctr)</v>
          </cell>
          <cell r="H4826">
            <v>2</v>
          </cell>
        </row>
        <row r="4827">
          <cell r="B4827" t="str">
            <v>SWC1020-C48</v>
          </cell>
          <cell r="C4827" t="str">
            <v>Invoice</v>
          </cell>
          <cell r="D4827">
            <v>38526</v>
          </cell>
          <cell r="F4827" t="str">
            <v>5536-I</v>
          </cell>
          <cell r="G4827" t="str">
            <v>Sony Style #64</v>
          </cell>
          <cell r="H4827">
            <v>2</v>
          </cell>
        </row>
        <row r="4828">
          <cell r="B4828" t="str">
            <v>SWC1020-C48</v>
          </cell>
          <cell r="C4828" t="str">
            <v>Invoice</v>
          </cell>
          <cell r="D4828">
            <v>38526</v>
          </cell>
          <cell r="F4828" t="str">
            <v>6032-I</v>
          </cell>
          <cell r="G4828" t="str">
            <v>Sony Style #49</v>
          </cell>
          <cell r="H4828">
            <v>2</v>
          </cell>
        </row>
        <row r="4829">
          <cell r="B4829" t="str">
            <v>SWC1020-C48</v>
          </cell>
          <cell r="C4829" t="str">
            <v>Invoice</v>
          </cell>
          <cell r="D4829">
            <v>38530</v>
          </cell>
          <cell r="F4829" t="str">
            <v>5537-I</v>
          </cell>
          <cell r="G4829" t="str">
            <v>Sony Style #64</v>
          </cell>
          <cell r="H4829">
            <v>2</v>
          </cell>
        </row>
        <row r="4830">
          <cell r="B4830" t="str">
            <v>SWC1020-C48</v>
          </cell>
          <cell r="C4830" t="str">
            <v>Invoice</v>
          </cell>
          <cell r="D4830">
            <v>38555</v>
          </cell>
          <cell r="F4830" t="str">
            <v>5535-I</v>
          </cell>
          <cell r="G4830" t="str">
            <v>Sony Style #66</v>
          </cell>
          <cell r="H4830">
            <v>2</v>
          </cell>
        </row>
        <row r="4831">
          <cell r="B4831" t="str">
            <v>SWC1020-C48</v>
          </cell>
          <cell r="C4831" t="str">
            <v>Invoice</v>
          </cell>
          <cell r="D4831">
            <v>38555</v>
          </cell>
          <cell r="F4831" t="str">
            <v>6033-I</v>
          </cell>
          <cell r="G4831" t="str">
            <v>Sony Style #49</v>
          </cell>
          <cell r="H4831">
            <v>2</v>
          </cell>
        </row>
        <row r="4832">
          <cell r="B4832" t="str">
            <v>SWC1020-C48</v>
          </cell>
          <cell r="C4832" t="str">
            <v>Invoice</v>
          </cell>
          <cell r="D4832">
            <v>38555</v>
          </cell>
          <cell r="F4832" t="str">
            <v>6238</v>
          </cell>
          <cell r="G4832" t="str">
            <v>Sony Style #xx (Kenwood Ctr)</v>
          </cell>
          <cell r="H4832">
            <v>2</v>
          </cell>
        </row>
        <row r="4833">
          <cell r="B4833" t="str">
            <v>SWC1020-C65</v>
          </cell>
          <cell r="C4833" t="str">
            <v>Invoice</v>
          </cell>
          <cell r="D4833">
            <v>38461</v>
          </cell>
          <cell r="F4833" t="str">
            <v>5633</v>
          </cell>
          <cell r="G4833" t="str">
            <v>Starwood Hotels Corporate Office</v>
          </cell>
          <cell r="H4833">
            <v>2</v>
          </cell>
        </row>
        <row r="4834">
          <cell r="B4834" t="str">
            <v>SWC1040-0153</v>
          </cell>
          <cell r="C4834" t="str">
            <v>Invoice</v>
          </cell>
          <cell r="D4834">
            <v>38516</v>
          </cell>
          <cell r="F4834" t="str">
            <v>5533A</v>
          </cell>
          <cell r="G4834" t="str">
            <v>S &amp; M Amusements</v>
          </cell>
          <cell r="H4834">
            <v>2</v>
          </cell>
        </row>
        <row r="4835">
          <cell r="B4835" t="str">
            <v>SWC1040-0153</v>
          </cell>
          <cell r="C4835" t="str">
            <v>Invoice</v>
          </cell>
          <cell r="D4835">
            <v>38574</v>
          </cell>
          <cell r="F4835" t="str">
            <v>7392</v>
          </cell>
          <cell r="G4835" t="str">
            <v>Muzak, LLC:Muzak (Demo)</v>
          </cell>
          <cell r="H4835">
            <v>2</v>
          </cell>
        </row>
        <row r="4836">
          <cell r="B4836" t="str">
            <v>SWC1040-0153</v>
          </cell>
          <cell r="C4836" t="str">
            <v>Invoice</v>
          </cell>
          <cell r="D4836">
            <v>38574</v>
          </cell>
          <cell r="F4836" t="str">
            <v>7298</v>
          </cell>
          <cell r="G4836" t="str">
            <v>Muzak, LLC:Muzak (Demo)</v>
          </cell>
          <cell r="H4836">
            <v>2</v>
          </cell>
        </row>
        <row r="4837">
          <cell r="B4837" t="str">
            <v>SWC1040-0153</v>
          </cell>
          <cell r="C4837" t="str">
            <v>Invoice</v>
          </cell>
          <cell r="D4837">
            <v>38575</v>
          </cell>
          <cell r="F4837" t="str">
            <v>7445</v>
          </cell>
          <cell r="G4837" t="str">
            <v>Muzak, LLC:Muzak (Demo)</v>
          </cell>
          <cell r="H4837">
            <v>2</v>
          </cell>
        </row>
        <row r="4838">
          <cell r="B4838" t="str">
            <v>SWC1040-0153</v>
          </cell>
          <cell r="C4838" t="str">
            <v>Invoice</v>
          </cell>
          <cell r="D4838">
            <v>38576</v>
          </cell>
          <cell r="F4838" t="str">
            <v>7471</v>
          </cell>
          <cell r="G4838" t="str">
            <v>Muzak, LLC:Muzak (Demo)</v>
          </cell>
          <cell r="H4838">
            <v>2</v>
          </cell>
        </row>
        <row r="4839">
          <cell r="B4839" t="str">
            <v>SWC1040-0153</v>
          </cell>
          <cell r="C4839" t="str">
            <v>Invoice</v>
          </cell>
          <cell r="D4839">
            <v>38576</v>
          </cell>
          <cell r="F4839" t="str">
            <v>7474</v>
          </cell>
          <cell r="G4839" t="str">
            <v>Muzak, LLC:Muzak (Demo)</v>
          </cell>
          <cell r="H4839">
            <v>2</v>
          </cell>
        </row>
        <row r="4840">
          <cell r="B4840" t="str">
            <v>SWC1040-0153</v>
          </cell>
          <cell r="C4840" t="str">
            <v>Invoice</v>
          </cell>
          <cell r="D4840">
            <v>38576</v>
          </cell>
          <cell r="F4840" t="str">
            <v>7480</v>
          </cell>
          <cell r="G4840" t="str">
            <v>Muzak, LLC:Muzak (Demo)</v>
          </cell>
          <cell r="H4840">
            <v>2</v>
          </cell>
        </row>
        <row r="4841">
          <cell r="B4841" t="str">
            <v>SWC1040-0153</v>
          </cell>
          <cell r="C4841" t="str">
            <v>Invoice</v>
          </cell>
          <cell r="D4841">
            <v>38576</v>
          </cell>
          <cell r="F4841" t="str">
            <v>7478</v>
          </cell>
          <cell r="G4841" t="str">
            <v>Muzak, LLC:Muzak (Demo)</v>
          </cell>
          <cell r="H4841">
            <v>2</v>
          </cell>
        </row>
        <row r="4842">
          <cell r="B4842" t="str">
            <v>SWC1040-0153</v>
          </cell>
          <cell r="C4842" t="str">
            <v>Invoice</v>
          </cell>
          <cell r="D4842">
            <v>38609</v>
          </cell>
          <cell r="F4842" t="str">
            <v>7941</v>
          </cell>
          <cell r="G4842" t="str">
            <v>Muzak, IA:Melody Inc</v>
          </cell>
          <cell r="H4842">
            <v>2</v>
          </cell>
        </row>
        <row r="4843">
          <cell r="B4843" t="str">
            <v>SWC1040-0153</v>
          </cell>
          <cell r="C4843" t="str">
            <v>Invoice</v>
          </cell>
          <cell r="D4843">
            <v>38617</v>
          </cell>
          <cell r="F4843" t="str">
            <v>8012</v>
          </cell>
          <cell r="G4843" t="str">
            <v>Muzak, IA:World Music Corporation</v>
          </cell>
          <cell r="H4843">
            <v>2</v>
          </cell>
        </row>
        <row r="4844">
          <cell r="B4844" t="str">
            <v>SWC1040-0153</v>
          </cell>
          <cell r="C4844" t="str">
            <v>Invoice</v>
          </cell>
          <cell r="D4844">
            <v>38622</v>
          </cell>
          <cell r="F4844" t="str">
            <v>8091</v>
          </cell>
          <cell r="G4844" t="str">
            <v>Pulse</v>
          </cell>
          <cell r="H4844">
            <v>2</v>
          </cell>
        </row>
        <row r="4845">
          <cell r="B4845" t="str">
            <v>SWC1040-0521</v>
          </cell>
          <cell r="C4845" t="str">
            <v>Invoice</v>
          </cell>
          <cell r="D4845">
            <v>38561</v>
          </cell>
          <cell r="F4845" t="str">
            <v>7197</v>
          </cell>
          <cell r="G4845" t="str">
            <v>Techno Satellite</v>
          </cell>
          <cell r="H4845">
            <v>2</v>
          </cell>
        </row>
        <row r="4846">
          <cell r="B4846" t="str">
            <v>SWC1040-0534</v>
          </cell>
          <cell r="C4846" t="str">
            <v>Invoice</v>
          </cell>
          <cell r="D4846">
            <v>38582</v>
          </cell>
          <cell r="F4846" t="str">
            <v>7514</v>
          </cell>
          <cell r="G4846" t="str">
            <v>Techno Satellite</v>
          </cell>
          <cell r="H4846">
            <v>2</v>
          </cell>
        </row>
        <row r="4847">
          <cell r="B4847" t="str">
            <v>SWC1040-0729</v>
          </cell>
          <cell r="C4847" t="str">
            <v>Invoice</v>
          </cell>
          <cell r="D4847">
            <v>38540</v>
          </cell>
          <cell r="F4847" t="str">
            <v>7099</v>
          </cell>
          <cell r="G4847" t="str">
            <v>ScentAir - Corporate Associates:Pamela Knock</v>
          </cell>
          <cell r="H4847">
            <v>2</v>
          </cell>
        </row>
        <row r="4848">
          <cell r="B4848" t="str">
            <v>SWC1040-0774</v>
          </cell>
          <cell r="C4848" t="str">
            <v>Invoice</v>
          </cell>
          <cell r="D4848">
            <v>38575</v>
          </cell>
          <cell r="F4848" t="str">
            <v>7344</v>
          </cell>
          <cell r="G4848" t="str">
            <v>Colorado Prime Foods</v>
          </cell>
          <cell r="H4848">
            <v>2</v>
          </cell>
        </row>
        <row r="4849">
          <cell r="B4849" t="str">
            <v>SWC1040-0783</v>
          </cell>
          <cell r="C4849" t="str">
            <v>Invoice</v>
          </cell>
          <cell r="D4849">
            <v>38558</v>
          </cell>
          <cell r="F4849" t="str">
            <v>7182</v>
          </cell>
          <cell r="G4849" t="str">
            <v>Muzak, LLC:The Plantations at Haywood</v>
          </cell>
          <cell r="H4849">
            <v>2</v>
          </cell>
        </row>
        <row r="4850">
          <cell r="B4850" t="str">
            <v>SWC1040-0783</v>
          </cell>
          <cell r="C4850" t="str">
            <v>Invoice</v>
          </cell>
          <cell r="D4850">
            <v>38574</v>
          </cell>
          <cell r="F4850" t="str">
            <v>7298</v>
          </cell>
          <cell r="G4850" t="str">
            <v>Muzak, LLC:Muzak (Demo)</v>
          </cell>
          <cell r="H4850">
            <v>2</v>
          </cell>
        </row>
        <row r="4851">
          <cell r="B4851" t="str">
            <v>SWC1040-0783</v>
          </cell>
          <cell r="C4851" t="str">
            <v>Invoice</v>
          </cell>
          <cell r="D4851">
            <v>38575</v>
          </cell>
          <cell r="F4851" t="str">
            <v>7445</v>
          </cell>
          <cell r="G4851" t="str">
            <v>Muzak, LLC:Muzak (Demo)</v>
          </cell>
          <cell r="H4851">
            <v>2</v>
          </cell>
        </row>
        <row r="4852">
          <cell r="B4852" t="str">
            <v>SWC1040-0783</v>
          </cell>
          <cell r="C4852" t="str">
            <v>Invoice</v>
          </cell>
          <cell r="D4852">
            <v>38576</v>
          </cell>
          <cell r="F4852" t="str">
            <v>7471</v>
          </cell>
          <cell r="G4852" t="str">
            <v>Muzak, LLC:Muzak (Demo)</v>
          </cell>
          <cell r="H4852">
            <v>2</v>
          </cell>
        </row>
        <row r="4853">
          <cell r="B4853" t="str">
            <v>SWC1040-0783</v>
          </cell>
          <cell r="C4853" t="str">
            <v>Invoice</v>
          </cell>
          <cell r="D4853">
            <v>38576</v>
          </cell>
          <cell r="F4853" t="str">
            <v>7474</v>
          </cell>
          <cell r="G4853" t="str">
            <v>Muzak, LLC:Muzak (Demo)</v>
          </cell>
          <cell r="H4853">
            <v>2</v>
          </cell>
        </row>
        <row r="4854">
          <cell r="B4854" t="str">
            <v>SWC1040-0783</v>
          </cell>
          <cell r="C4854" t="str">
            <v>Invoice</v>
          </cell>
          <cell r="D4854">
            <v>38576</v>
          </cell>
          <cell r="F4854" t="str">
            <v>7475</v>
          </cell>
          <cell r="G4854" t="str">
            <v>Muzak, LLC:Muzak (Demo)</v>
          </cell>
          <cell r="H4854">
            <v>2</v>
          </cell>
        </row>
        <row r="4855">
          <cell r="B4855" t="str">
            <v>SWC1040-0783</v>
          </cell>
          <cell r="C4855" t="str">
            <v>Invoice</v>
          </cell>
          <cell r="D4855">
            <v>38588</v>
          </cell>
          <cell r="F4855" t="str">
            <v>7186</v>
          </cell>
          <cell r="G4855" t="str">
            <v>Muzak, LLC:The Plantations at Haywood</v>
          </cell>
          <cell r="H4855">
            <v>2</v>
          </cell>
        </row>
        <row r="4856">
          <cell r="B4856" t="str">
            <v>SWC1040-0783</v>
          </cell>
          <cell r="C4856" t="str">
            <v>Invoice</v>
          </cell>
          <cell r="D4856">
            <v>38595</v>
          </cell>
          <cell r="F4856" t="str">
            <v>7733</v>
          </cell>
          <cell r="G4856" t="str">
            <v>Muzak, IA:Independence Communications, PA</v>
          </cell>
          <cell r="H4856">
            <v>2</v>
          </cell>
        </row>
        <row r="4857">
          <cell r="B4857" t="str">
            <v>SWC1040-0783</v>
          </cell>
          <cell r="C4857" t="str">
            <v>Invoice</v>
          </cell>
          <cell r="D4857">
            <v>38611</v>
          </cell>
          <cell r="F4857" t="str">
            <v>7949</v>
          </cell>
          <cell r="G4857" t="str">
            <v>Muzak, IA:Tropical Music Service, Inc</v>
          </cell>
          <cell r="H4857">
            <v>2</v>
          </cell>
        </row>
        <row r="4858">
          <cell r="B4858" t="str">
            <v>SWC1040-0783</v>
          </cell>
          <cell r="C4858" t="str">
            <v>Invoice</v>
          </cell>
          <cell r="D4858">
            <v>38617</v>
          </cell>
          <cell r="F4858" t="str">
            <v>8012</v>
          </cell>
          <cell r="G4858" t="str">
            <v>Muzak, IA:World Music Corporation</v>
          </cell>
          <cell r="H4858">
            <v>2</v>
          </cell>
        </row>
        <row r="4859">
          <cell r="B4859" t="str">
            <v>SWC1040-0783</v>
          </cell>
          <cell r="C4859" t="str">
            <v>Invoice</v>
          </cell>
          <cell r="D4859">
            <v>38618</v>
          </cell>
          <cell r="F4859" t="str">
            <v>7435</v>
          </cell>
          <cell r="G4859" t="str">
            <v>Muzak, LLC:The Plantations at Haywood</v>
          </cell>
          <cell r="H4859">
            <v>2</v>
          </cell>
        </row>
        <row r="4860">
          <cell r="B4860" t="str">
            <v>SWC1040-0794</v>
          </cell>
          <cell r="C4860" t="str">
            <v>Invoice</v>
          </cell>
          <cell r="D4860">
            <v>38513</v>
          </cell>
          <cell r="F4860" t="str">
            <v>6300</v>
          </cell>
          <cell r="G4860" t="str">
            <v>M &amp; M World</v>
          </cell>
          <cell r="H4860">
            <v>2</v>
          </cell>
        </row>
        <row r="4861">
          <cell r="B4861" t="str">
            <v>SWC1040-0794</v>
          </cell>
          <cell r="C4861" t="str">
            <v>Invoice</v>
          </cell>
          <cell r="D4861">
            <v>38540</v>
          </cell>
          <cell r="F4861" t="str">
            <v>7099</v>
          </cell>
          <cell r="G4861" t="str">
            <v>ScentAir - Corporate Associates:Pamela Knock</v>
          </cell>
          <cell r="H4861">
            <v>2</v>
          </cell>
        </row>
        <row r="4862">
          <cell r="B4862" t="str">
            <v>SWC1040-0794</v>
          </cell>
          <cell r="C4862" t="str">
            <v>Invoice</v>
          </cell>
          <cell r="D4862">
            <v>38542</v>
          </cell>
          <cell r="F4862" t="str">
            <v>6301</v>
          </cell>
          <cell r="G4862" t="str">
            <v>M &amp; M World</v>
          </cell>
          <cell r="H4862">
            <v>2</v>
          </cell>
        </row>
        <row r="4863">
          <cell r="B4863" t="str">
            <v>SWC1040-0794</v>
          </cell>
          <cell r="C4863" t="str">
            <v>Invoice</v>
          </cell>
          <cell r="D4863">
            <v>38542</v>
          </cell>
          <cell r="F4863" t="str">
            <v>7130</v>
          </cell>
          <cell r="G4863" t="str">
            <v>Promotool</v>
          </cell>
          <cell r="H4863">
            <v>2</v>
          </cell>
        </row>
        <row r="4864">
          <cell r="B4864" t="str">
            <v>SWC1040-0794</v>
          </cell>
          <cell r="C4864" t="str">
            <v>Invoice</v>
          </cell>
          <cell r="D4864">
            <v>38552</v>
          </cell>
          <cell r="F4864" t="str">
            <v>7173</v>
          </cell>
          <cell r="G4864" t="str">
            <v>ScentAir - Corporate Associates</v>
          </cell>
          <cell r="H4864">
            <v>2</v>
          </cell>
        </row>
        <row r="4865">
          <cell r="B4865" t="str">
            <v>SWC1040-0794</v>
          </cell>
          <cell r="C4865" t="str">
            <v>Invoice</v>
          </cell>
          <cell r="D4865">
            <v>38566</v>
          </cell>
          <cell r="F4865" t="str">
            <v>7265</v>
          </cell>
          <cell r="G4865" t="str">
            <v>Muzak, LLC:Muzak (Demo)</v>
          </cell>
          <cell r="H4865">
            <v>2</v>
          </cell>
        </row>
        <row r="4866">
          <cell r="B4866" t="str">
            <v>SWC1040-0794</v>
          </cell>
          <cell r="C4866" t="str">
            <v>Invoice</v>
          </cell>
          <cell r="D4866">
            <v>38572</v>
          </cell>
          <cell r="F4866" t="str">
            <v>7313</v>
          </cell>
          <cell r="G4866" t="str">
            <v>Canadian Niagara Hotels:The Hershey Store</v>
          </cell>
          <cell r="H4866">
            <v>2</v>
          </cell>
        </row>
        <row r="4867">
          <cell r="B4867" t="str">
            <v>SWC1040-0794</v>
          </cell>
          <cell r="C4867" t="str">
            <v>Invoice</v>
          </cell>
          <cell r="D4867">
            <v>38573</v>
          </cell>
          <cell r="F4867" t="str">
            <v>5596-I</v>
          </cell>
          <cell r="G4867" t="str">
            <v>M &amp; M World</v>
          </cell>
          <cell r="H4867">
            <v>2</v>
          </cell>
        </row>
        <row r="4868">
          <cell r="B4868" t="str">
            <v>SWC1040-0794</v>
          </cell>
          <cell r="C4868" t="str">
            <v>Invoice</v>
          </cell>
          <cell r="D4868">
            <v>38574</v>
          </cell>
          <cell r="F4868" t="str">
            <v>7390</v>
          </cell>
          <cell r="G4868" t="str">
            <v>Muzak, LLC:Muzak (Demo)</v>
          </cell>
          <cell r="H4868">
            <v>2</v>
          </cell>
        </row>
        <row r="4869">
          <cell r="B4869" t="str">
            <v>SWC1040-0794</v>
          </cell>
          <cell r="C4869" t="str">
            <v>Invoice</v>
          </cell>
          <cell r="D4869">
            <v>38575</v>
          </cell>
          <cell r="F4869" t="str">
            <v>7445</v>
          </cell>
          <cell r="G4869" t="str">
            <v>Muzak, LLC:Muzak (Demo)</v>
          </cell>
          <cell r="H4869">
            <v>2</v>
          </cell>
        </row>
        <row r="4870">
          <cell r="B4870" t="str">
            <v>SWC1040-0794</v>
          </cell>
          <cell r="C4870" t="str">
            <v>Invoice</v>
          </cell>
          <cell r="D4870">
            <v>38575</v>
          </cell>
          <cell r="F4870" t="str">
            <v>7441</v>
          </cell>
          <cell r="G4870" t="str">
            <v>Muzak, LLC:Muzak (Demo)</v>
          </cell>
          <cell r="H4870">
            <v>2</v>
          </cell>
        </row>
        <row r="4871">
          <cell r="B4871" t="str">
            <v>SWC1040-0794</v>
          </cell>
          <cell r="C4871" t="str">
            <v>Invoice</v>
          </cell>
          <cell r="D4871">
            <v>38576</v>
          </cell>
          <cell r="F4871" t="str">
            <v>7471</v>
          </cell>
          <cell r="G4871" t="str">
            <v>Muzak, LLC:Muzak (Demo)</v>
          </cell>
          <cell r="H4871">
            <v>2</v>
          </cell>
        </row>
        <row r="4872">
          <cell r="B4872" t="str">
            <v>SWC1040-0794</v>
          </cell>
          <cell r="C4872" t="str">
            <v>Invoice</v>
          </cell>
          <cell r="D4872">
            <v>38576</v>
          </cell>
          <cell r="F4872" t="str">
            <v>7474</v>
          </cell>
          <cell r="G4872" t="str">
            <v>Muzak, LLC:Muzak (Demo)</v>
          </cell>
          <cell r="H4872">
            <v>2</v>
          </cell>
        </row>
        <row r="4873">
          <cell r="B4873" t="str">
            <v>SWC1040-0794</v>
          </cell>
          <cell r="C4873" t="str">
            <v>Invoice</v>
          </cell>
          <cell r="D4873">
            <v>38576</v>
          </cell>
          <cell r="F4873" t="str">
            <v>7477</v>
          </cell>
          <cell r="G4873" t="str">
            <v>Muzak, LLC:Muzak (Demo)</v>
          </cell>
          <cell r="H4873">
            <v>2</v>
          </cell>
        </row>
        <row r="4874">
          <cell r="B4874" t="str">
            <v>SWC1040-0794</v>
          </cell>
          <cell r="C4874" t="str">
            <v>Invoice</v>
          </cell>
          <cell r="D4874">
            <v>38576</v>
          </cell>
          <cell r="F4874" t="str">
            <v>7447</v>
          </cell>
          <cell r="G4874" t="str">
            <v>Muzak, LLC:Muzak (Demo)</v>
          </cell>
          <cell r="H4874">
            <v>2</v>
          </cell>
        </row>
        <row r="4875">
          <cell r="B4875" t="str">
            <v>SWC1040-0794</v>
          </cell>
          <cell r="C4875" t="str">
            <v>Invoice</v>
          </cell>
          <cell r="D4875">
            <v>38603</v>
          </cell>
          <cell r="F4875" t="str">
            <v>7214</v>
          </cell>
          <cell r="G4875" t="str">
            <v>M &amp; M World</v>
          </cell>
          <cell r="H4875">
            <v>2</v>
          </cell>
        </row>
        <row r="4876">
          <cell r="B4876" t="str">
            <v>SWC1040-0794</v>
          </cell>
          <cell r="C4876" t="str">
            <v>Invoice</v>
          </cell>
          <cell r="D4876">
            <v>38609</v>
          </cell>
          <cell r="F4876" t="str">
            <v>7941</v>
          </cell>
          <cell r="G4876" t="str">
            <v>Muzak, IA:Melody Inc</v>
          </cell>
          <cell r="H4876">
            <v>2</v>
          </cell>
        </row>
        <row r="4877">
          <cell r="B4877" t="str">
            <v>SWC1040-0794</v>
          </cell>
          <cell r="C4877" t="str">
            <v>Invoice</v>
          </cell>
          <cell r="D4877">
            <v>38611</v>
          </cell>
          <cell r="F4877" t="str">
            <v>7949</v>
          </cell>
          <cell r="G4877" t="str">
            <v>Muzak, IA:Tropical Music Service, Inc</v>
          </cell>
          <cell r="H4877">
            <v>2</v>
          </cell>
        </row>
        <row r="4878">
          <cell r="B4878" t="str">
            <v>SWC1040-0828</v>
          </cell>
          <cell r="C4878" t="str">
            <v>Invoice</v>
          </cell>
          <cell r="D4878">
            <v>38595</v>
          </cell>
          <cell r="F4878" t="str">
            <v>7731</v>
          </cell>
          <cell r="G4878" t="str">
            <v>Muzak, IA:Independence Communications, PA</v>
          </cell>
          <cell r="H4878">
            <v>2</v>
          </cell>
        </row>
        <row r="4879">
          <cell r="B4879" t="str">
            <v>SWC1040-0828</v>
          </cell>
          <cell r="C4879" t="str">
            <v>Invoice</v>
          </cell>
          <cell r="D4879">
            <v>38617</v>
          </cell>
          <cell r="F4879" t="str">
            <v>8012</v>
          </cell>
          <cell r="G4879" t="str">
            <v>Muzak, IA:World Music Corporation</v>
          </cell>
          <cell r="H4879">
            <v>2</v>
          </cell>
        </row>
        <row r="4880">
          <cell r="B4880" t="str">
            <v>SWC1040-0831</v>
          </cell>
          <cell r="C4880" t="str">
            <v>Invoice</v>
          </cell>
          <cell r="D4880">
            <v>38582</v>
          </cell>
          <cell r="F4880" t="str">
            <v>7514</v>
          </cell>
          <cell r="G4880" t="str">
            <v>Techno Satellite</v>
          </cell>
          <cell r="H4880">
            <v>2</v>
          </cell>
        </row>
        <row r="4881">
          <cell r="B4881" t="str">
            <v>SWC1040-0833</v>
          </cell>
          <cell r="C4881" t="str">
            <v>Invoice</v>
          </cell>
          <cell r="D4881">
            <v>38513</v>
          </cell>
          <cell r="F4881" t="str">
            <v>6224</v>
          </cell>
          <cell r="G4881" t="str">
            <v>Universal Studios Orlando:Universal Studios Merchandise</v>
          </cell>
          <cell r="H4881">
            <v>2</v>
          </cell>
        </row>
        <row r="4882">
          <cell r="B4882" t="str">
            <v>SWC1040-0833</v>
          </cell>
          <cell r="C4882" t="str">
            <v>Invoice</v>
          </cell>
          <cell r="D4882">
            <v>38533</v>
          </cell>
          <cell r="F4882" t="str">
            <v>5555-I</v>
          </cell>
          <cell r="G4882" t="str">
            <v>Universal Studios Orlando:Universal Studios Merchandise</v>
          </cell>
          <cell r="H4882">
            <v>2</v>
          </cell>
        </row>
        <row r="4883">
          <cell r="B4883" t="str">
            <v>SWC1040-0833</v>
          </cell>
          <cell r="C4883" t="str">
            <v>Invoice</v>
          </cell>
          <cell r="D4883">
            <v>38562</v>
          </cell>
          <cell r="F4883" t="str">
            <v>6386</v>
          </cell>
          <cell r="G4883" t="str">
            <v>Universal Studios Orlando:Universal Studios Merchandise</v>
          </cell>
          <cell r="H4883">
            <v>2</v>
          </cell>
        </row>
        <row r="4884">
          <cell r="B4884" t="str">
            <v>SWC1040-0833</v>
          </cell>
          <cell r="C4884" t="str">
            <v>Invoice</v>
          </cell>
          <cell r="D4884">
            <v>38595</v>
          </cell>
          <cell r="F4884" t="str">
            <v>7151</v>
          </cell>
          <cell r="G4884" t="str">
            <v>Universal Studios Orlando:Universal Studios Merchandise</v>
          </cell>
          <cell r="H4884">
            <v>2</v>
          </cell>
        </row>
        <row r="4885">
          <cell r="B4885" t="str">
            <v>SWC1040-0833</v>
          </cell>
          <cell r="C4885" t="str">
            <v>Invoice</v>
          </cell>
          <cell r="D4885">
            <v>38626</v>
          </cell>
          <cell r="F4885" t="str">
            <v>7503</v>
          </cell>
          <cell r="G4885" t="str">
            <v>Universal Studios Orlando:Universal Studios Merchandise</v>
          </cell>
          <cell r="H4885">
            <v>2</v>
          </cell>
        </row>
        <row r="4886">
          <cell r="B4886" t="str">
            <v>SWC1040-0849</v>
          </cell>
          <cell r="C4886" t="str">
            <v>Invoice</v>
          </cell>
          <cell r="D4886">
            <v>38531</v>
          </cell>
          <cell r="F4886" t="str">
            <v>6304</v>
          </cell>
          <cell r="G4886" t="str">
            <v>Hot Stuff</v>
          </cell>
          <cell r="H4886">
            <v>2</v>
          </cell>
        </row>
        <row r="4887">
          <cell r="B4887" t="str">
            <v>SWC1040-0849</v>
          </cell>
          <cell r="C4887" t="str">
            <v>Invoice</v>
          </cell>
          <cell r="D4887">
            <v>38553</v>
          </cell>
          <cell r="F4887" t="str">
            <v>7174</v>
          </cell>
          <cell r="G4887" t="str">
            <v>ScentAir - Corporate Associates</v>
          </cell>
          <cell r="H4887">
            <v>2</v>
          </cell>
        </row>
        <row r="4888">
          <cell r="B4888" t="str">
            <v>SWC1040-0849</v>
          </cell>
          <cell r="C4888" t="str">
            <v>Invoice</v>
          </cell>
          <cell r="D4888">
            <v>38559</v>
          </cell>
          <cell r="F4888" t="str">
            <v>5564-I</v>
          </cell>
          <cell r="G4888" t="str">
            <v>Hot Stuff</v>
          </cell>
          <cell r="H4888">
            <v>2</v>
          </cell>
        </row>
        <row r="4889">
          <cell r="B4889" t="str">
            <v>SWC1040-0851</v>
          </cell>
          <cell r="C4889" t="str">
            <v>Invoice</v>
          </cell>
          <cell r="D4889">
            <v>38533</v>
          </cell>
          <cell r="F4889" t="str">
            <v>7027</v>
          </cell>
          <cell r="G4889" t="str">
            <v>Hustler Hollywood - Monroe, OH</v>
          </cell>
          <cell r="H4889">
            <v>2</v>
          </cell>
        </row>
        <row r="4890">
          <cell r="B4890" t="str">
            <v>SWC1040-0851</v>
          </cell>
          <cell r="C4890" t="str">
            <v>Invoice</v>
          </cell>
          <cell r="D4890">
            <v>38558</v>
          </cell>
          <cell r="F4890" t="str">
            <v>5565</v>
          </cell>
          <cell r="G4890" t="str">
            <v>Hustler Hollywood - Monroe, OH</v>
          </cell>
          <cell r="H4890">
            <v>2</v>
          </cell>
        </row>
        <row r="4891">
          <cell r="B4891" t="str">
            <v>SWC1040-0851</v>
          </cell>
          <cell r="C4891" t="str">
            <v>Invoice</v>
          </cell>
          <cell r="D4891">
            <v>38589</v>
          </cell>
          <cell r="F4891" t="str">
            <v>7695</v>
          </cell>
          <cell r="G4891" t="str">
            <v>American Solutions Inc.</v>
          </cell>
          <cell r="H4891">
            <v>2</v>
          </cell>
        </row>
        <row r="4892">
          <cell r="B4892" t="str">
            <v>SWC1040-0851</v>
          </cell>
          <cell r="C4892" t="str">
            <v>Invoice</v>
          </cell>
          <cell r="D4892">
            <v>38589</v>
          </cell>
          <cell r="F4892" t="str">
            <v>7129</v>
          </cell>
          <cell r="G4892" t="str">
            <v>Hustler Hollywood - Monroe, OH</v>
          </cell>
          <cell r="H4892">
            <v>2</v>
          </cell>
        </row>
        <row r="4893">
          <cell r="B4893" t="str">
            <v>SWC1040-0851</v>
          </cell>
          <cell r="C4893" t="str">
            <v>Invoice</v>
          </cell>
          <cell r="D4893">
            <v>38618</v>
          </cell>
          <cell r="F4893" t="str">
            <v>7470</v>
          </cell>
          <cell r="G4893" t="str">
            <v>Hustler Hollywood - Monroe, OH</v>
          </cell>
          <cell r="H4893">
            <v>2</v>
          </cell>
        </row>
        <row r="4894">
          <cell r="B4894" t="str">
            <v>SWC1040-0854</v>
          </cell>
          <cell r="C4894" t="str">
            <v>Invoice</v>
          </cell>
          <cell r="D4894">
            <v>38614</v>
          </cell>
          <cell r="F4894" t="str">
            <v>7996</v>
          </cell>
          <cell r="G4894" t="str">
            <v>Hard Rock Hotel and Casino - Las Vegas</v>
          </cell>
          <cell r="H4894">
            <v>2</v>
          </cell>
        </row>
        <row r="4895">
          <cell r="B4895" t="str">
            <v>SWC1040-0869</v>
          </cell>
          <cell r="C4895" t="str">
            <v>Invoice</v>
          </cell>
          <cell r="D4895">
            <v>38607</v>
          </cell>
          <cell r="F4895" t="str">
            <v>7854</v>
          </cell>
          <cell r="G4895" t="str">
            <v>Hustler Hollywood - Monroe, OH</v>
          </cell>
          <cell r="H4895">
            <v>2</v>
          </cell>
        </row>
        <row r="4896">
          <cell r="B4896" t="str">
            <v>SWC1040-0879</v>
          </cell>
          <cell r="C4896" t="str">
            <v>Invoice</v>
          </cell>
          <cell r="D4896">
            <v>38516</v>
          </cell>
          <cell r="F4896" t="str">
            <v>6332</v>
          </cell>
          <cell r="G4896" t="str">
            <v>Videotronic Benelux BV</v>
          </cell>
          <cell r="H4896">
            <v>2</v>
          </cell>
        </row>
        <row r="4897">
          <cell r="B4897" t="str">
            <v>SWC1040-0888</v>
          </cell>
          <cell r="C4897" t="str">
            <v>Invoice</v>
          </cell>
          <cell r="D4897">
            <v>38625</v>
          </cell>
          <cell r="F4897" t="str">
            <v>8096</v>
          </cell>
          <cell r="G4897" t="str">
            <v>Videotronic Benelux BV</v>
          </cell>
          <cell r="H4897">
            <v>2</v>
          </cell>
        </row>
        <row r="4898">
          <cell r="B4898" t="str">
            <v>SWC1040-0892</v>
          </cell>
          <cell r="C4898" t="str">
            <v>Invoice</v>
          </cell>
          <cell r="D4898">
            <v>38531</v>
          </cell>
          <cell r="F4898" t="str">
            <v>6424</v>
          </cell>
          <cell r="G4898" t="str">
            <v>Saks Fifth Avenue-Santa Barbara</v>
          </cell>
          <cell r="H4898">
            <v>2</v>
          </cell>
        </row>
        <row r="4899">
          <cell r="B4899" t="str">
            <v>SWC1040-0892</v>
          </cell>
          <cell r="C4899" t="str">
            <v>Invoice</v>
          </cell>
          <cell r="D4899">
            <v>38557</v>
          </cell>
          <cell r="F4899" t="str">
            <v>6425</v>
          </cell>
          <cell r="G4899" t="str">
            <v>Saks Fifth Avenue-Santa Barbara</v>
          </cell>
          <cell r="H4899">
            <v>2</v>
          </cell>
        </row>
        <row r="4900">
          <cell r="B4900" t="str">
            <v>SWC1040-0892</v>
          </cell>
          <cell r="C4900" t="str">
            <v>Invoice</v>
          </cell>
          <cell r="D4900">
            <v>38574</v>
          </cell>
          <cell r="F4900" t="str">
            <v>7298</v>
          </cell>
          <cell r="G4900" t="str">
            <v>Muzak, LLC:Muzak (Demo)</v>
          </cell>
          <cell r="H4900">
            <v>2</v>
          </cell>
        </row>
        <row r="4901">
          <cell r="B4901" t="str">
            <v>SWC1040-0892</v>
          </cell>
          <cell r="C4901" t="str">
            <v>Invoice</v>
          </cell>
          <cell r="D4901">
            <v>38575</v>
          </cell>
          <cell r="F4901" t="str">
            <v>7445</v>
          </cell>
          <cell r="G4901" t="str">
            <v>Muzak, LLC:Muzak (Demo)</v>
          </cell>
          <cell r="H4901">
            <v>2</v>
          </cell>
        </row>
        <row r="4902">
          <cell r="B4902" t="str">
            <v>SWC1040-0892</v>
          </cell>
          <cell r="C4902" t="str">
            <v>Invoice</v>
          </cell>
          <cell r="D4902">
            <v>38576</v>
          </cell>
          <cell r="F4902" t="str">
            <v>7471</v>
          </cell>
          <cell r="G4902" t="str">
            <v>Muzak, LLC:Muzak (Demo)</v>
          </cell>
          <cell r="H4902">
            <v>2</v>
          </cell>
        </row>
        <row r="4903">
          <cell r="B4903" t="str">
            <v>SWC1040-0892</v>
          </cell>
          <cell r="C4903" t="str">
            <v>Invoice</v>
          </cell>
          <cell r="D4903">
            <v>38576</v>
          </cell>
          <cell r="F4903" t="str">
            <v>7474</v>
          </cell>
          <cell r="G4903" t="str">
            <v>Muzak, LLC:Muzak (Demo)</v>
          </cell>
          <cell r="H4903">
            <v>2</v>
          </cell>
        </row>
        <row r="4904">
          <cell r="B4904" t="str">
            <v>SWC1040-0892</v>
          </cell>
          <cell r="C4904" t="str">
            <v>Invoice</v>
          </cell>
          <cell r="D4904">
            <v>38576</v>
          </cell>
          <cell r="F4904" t="str">
            <v>7477</v>
          </cell>
          <cell r="G4904" t="str">
            <v>Muzak, LLC:Muzak (Demo)</v>
          </cell>
          <cell r="H4904">
            <v>2</v>
          </cell>
        </row>
        <row r="4905">
          <cell r="B4905" t="str">
            <v>SWC1040-0892</v>
          </cell>
          <cell r="C4905" t="str">
            <v>Invoice</v>
          </cell>
          <cell r="D4905">
            <v>38576</v>
          </cell>
          <cell r="F4905" t="str">
            <v>7447</v>
          </cell>
          <cell r="G4905" t="str">
            <v>Muzak, LLC:Muzak (Demo)</v>
          </cell>
          <cell r="H4905">
            <v>2</v>
          </cell>
        </row>
        <row r="4906">
          <cell r="B4906" t="str">
            <v>SWC1040-0892</v>
          </cell>
          <cell r="C4906" t="str">
            <v>Invoice</v>
          </cell>
          <cell r="D4906">
            <v>38587</v>
          </cell>
          <cell r="F4906" t="str">
            <v>7103</v>
          </cell>
          <cell r="G4906" t="str">
            <v>Saks Fifth Avenue-Santa Barbara</v>
          </cell>
          <cell r="H4906">
            <v>2</v>
          </cell>
        </row>
        <row r="4907">
          <cell r="B4907" t="str">
            <v>SWC1040-0892</v>
          </cell>
          <cell r="C4907" t="str">
            <v>Invoice</v>
          </cell>
          <cell r="D4907">
            <v>38593</v>
          </cell>
          <cell r="F4907" t="str">
            <v>7699</v>
          </cell>
          <cell r="G4907" t="str">
            <v>Muzak, LLC:Food Lion #0564 (Bloom Stores)</v>
          </cell>
          <cell r="H4907">
            <v>2</v>
          </cell>
        </row>
        <row r="4908">
          <cell r="B4908" t="str">
            <v>SWC1040-0892</v>
          </cell>
          <cell r="C4908" t="str">
            <v>Invoice</v>
          </cell>
          <cell r="D4908">
            <v>38593</v>
          </cell>
          <cell r="F4908" t="str">
            <v>7698</v>
          </cell>
          <cell r="G4908" t="str">
            <v>Muzak, LLC:Food Lion #0531 (Bloom Stores)</v>
          </cell>
          <cell r="H4908">
            <v>2</v>
          </cell>
        </row>
        <row r="4909">
          <cell r="B4909" t="str">
            <v>SWC1040-0892</v>
          </cell>
          <cell r="C4909" t="str">
            <v>Invoice</v>
          </cell>
          <cell r="D4909">
            <v>38593</v>
          </cell>
          <cell r="F4909" t="str">
            <v>7701</v>
          </cell>
          <cell r="G4909" t="str">
            <v>Muzak, LLC:Food Lion #1438 (Bloom Stores)</v>
          </cell>
          <cell r="H4909">
            <v>2</v>
          </cell>
        </row>
        <row r="4910">
          <cell r="B4910" t="str">
            <v>SWC1040-0892</v>
          </cell>
          <cell r="C4910" t="str">
            <v>Invoice</v>
          </cell>
          <cell r="D4910">
            <v>38593</v>
          </cell>
          <cell r="F4910" t="str">
            <v>7702</v>
          </cell>
          <cell r="G4910" t="str">
            <v>Muzak, LLC:Food Lion #2565 (Bloom Stores)</v>
          </cell>
          <cell r="H4910">
            <v>2</v>
          </cell>
        </row>
        <row r="4911">
          <cell r="B4911" t="str">
            <v>SWC1040-0892</v>
          </cell>
          <cell r="C4911" t="str">
            <v>Invoice</v>
          </cell>
          <cell r="D4911">
            <v>38593</v>
          </cell>
          <cell r="F4911" t="str">
            <v>7700</v>
          </cell>
          <cell r="G4911" t="str">
            <v>Muzak, LLC:Food Lion #1351 (Bloom Stores)</v>
          </cell>
          <cell r="H4911">
            <v>2</v>
          </cell>
        </row>
        <row r="4912">
          <cell r="B4912" t="str">
            <v>SWC1040-0892</v>
          </cell>
          <cell r="C4912" t="str">
            <v>Invoice</v>
          </cell>
          <cell r="D4912">
            <v>38607</v>
          </cell>
          <cell r="F4912" t="str">
            <v>7891</v>
          </cell>
          <cell r="G4912" t="str">
            <v>Muzak, LLC</v>
          </cell>
          <cell r="H4912">
            <v>2</v>
          </cell>
        </row>
        <row r="4913">
          <cell r="B4913" t="str">
            <v>SWC1040-0892</v>
          </cell>
          <cell r="C4913" t="str">
            <v>Invoice</v>
          </cell>
          <cell r="D4913">
            <v>38614</v>
          </cell>
          <cell r="F4913" t="str">
            <v>7996</v>
          </cell>
          <cell r="G4913" t="str">
            <v>Hard Rock Hotel and Casino - Las Vegas</v>
          </cell>
          <cell r="H4913">
            <v>2</v>
          </cell>
        </row>
        <row r="4914">
          <cell r="B4914" t="str">
            <v>SWC1040-0892</v>
          </cell>
          <cell r="C4914" t="str">
            <v>Invoice</v>
          </cell>
          <cell r="D4914">
            <v>38617</v>
          </cell>
          <cell r="F4914" t="str">
            <v>7351</v>
          </cell>
          <cell r="G4914" t="str">
            <v>Saks Fifth Avenue-Santa Barbara</v>
          </cell>
          <cell r="H4914">
            <v>2</v>
          </cell>
        </row>
        <row r="4915">
          <cell r="B4915" t="str">
            <v>SWC1040-0895</v>
          </cell>
          <cell r="C4915" t="str">
            <v>Invoice</v>
          </cell>
          <cell r="D4915">
            <v>38624</v>
          </cell>
          <cell r="F4915" t="str">
            <v>7714</v>
          </cell>
          <cell r="G4915" t="str">
            <v>Muzak, LLC:Banks D. Kerr Family YMCA</v>
          </cell>
          <cell r="H4915">
            <v>2</v>
          </cell>
        </row>
        <row r="4916">
          <cell r="B4916" t="str">
            <v>SWC1040-0895</v>
          </cell>
          <cell r="C4916" t="str">
            <v>Invoice</v>
          </cell>
          <cell r="D4916">
            <v>38628</v>
          </cell>
          <cell r="F4916" t="str">
            <v>8205</v>
          </cell>
          <cell r="G4916" t="str">
            <v>Macy's # 01</v>
          </cell>
          <cell r="H4916">
            <v>2</v>
          </cell>
        </row>
        <row r="4917">
          <cell r="B4917" t="str">
            <v>SWC1040-0909</v>
          </cell>
          <cell r="C4917" t="str">
            <v>Invoice</v>
          </cell>
          <cell r="D4917">
            <v>38540</v>
          </cell>
          <cell r="F4917" t="str">
            <v>7099</v>
          </cell>
          <cell r="G4917" t="str">
            <v>ScentAir - Corporate Associates:Pamela Knock</v>
          </cell>
          <cell r="H4917">
            <v>2</v>
          </cell>
        </row>
        <row r="4918">
          <cell r="B4918" t="str">
            <v>SWC1040-0912</v>
          </cell>
          <cell r="C4918" t="str">
            <v>Invoice</v>
          </cell>
          <cell r="D4918">
            <v>38520</v>
          </cell>
          <cell r="F4918" t="str">
            <v>6373</v>
          </cell>
          <cell r="G4918" t="str">
            <v>Muzak, LLC:Eastern Mountain Sports:EMS - Nashua</v>
          </cell>
          <cell r="H4918">
            <v>2</v>
          </cell>
        </row>
        <row r="4919">
          <cell r="B4919" t="str">
            <v>SWC1040-0912</v>
          </cell>
          <cell r="C4919" t="str">
            <v>Invoice</v>
          </cell>
          <cell r="D4919">
            <v>38546</v>
          </cell>
          <cell r="F4919" t="str">
            <v>7140</v>
          </cell>
          <cell r="G4919" t="str">
            <v>Muzak, LLC:Eastern Mountain Sports:EMS - Concord</v>
          </cell>
          <cell r="H4919">
            <v>2</v>
          </cell>
        </row>
        <row r="4920">
          <cell r="B4920" t="str">
            <v>SWC1040-0912</v>
          </cell>
          <cell r="C4920" t="str">
            <v>Invoice</v>
          </cell>
          <cell r="D4920">
            <v>38546</v>
          </cell>
          <cell r="F4920" t="str">
            <v>7139</v>
          </cell>
          <cell r="G4920" t="str">
            <v>Muzak, LLC:Eastern Mountain Sports:EMS - Portland</v>
          </cell>
          <cell r="H4920">
            <v>2</v>
          </cell>
        </row>
        <row r="4921">
          <cell r="B4921" t="str">
            <v>SWC1040-0912</v>
          </cell>
          <cell r="C4921" t="str">
            <v>Invoice</v>
          </cell>
          <cell r="D4921">
            <v>38614</v>
          </cell>
          <cell r="F4921" t="str">
            <v>7988</v>
          </cell>
          <cell r="G4921" t="str">
            <v>Muzak, LLC:Eastern Mountain Sports:EMS - Concord</v>
          </cell>
          <cell r="H4921">
            <v>2</v>
          </cell>
        </row>
        <row r="4922">
          <cell r="B4922" t="str">
            <v>SWC1040-0912</v>
          </cell>
          <cell r="C4922" t="str">
            <v>Invoice</v>
          </cell>
          <cell r="D4922">
            <v>38614</v>
          </cell>
          <cell r="F4922" t="str">
            <v>7989</v>
          </cell>
          <cell r="G4922" t="str">
            <v>Muzak, LLC:Eastern Mountain Sports:EMS - Nashua</v>
          </cell>
          <cell r="H4922">
            <v>2</v>
          </cell>
        </row>
        <row r="4923">
          <cell r="B4923" t="str">
            <v>SWC1040-0912</v>
          </cell>
          <cell r="C4923" t="str">
            <v>Invoice</v>
          </cell>
          <cell r="D4923">
            <v>38614</v>
          </cell>
          <cell r="F4923" t="str">
            <v>7990</v>
          </cell>
          <cell r="G4923" t="str">
            <v>Muzak, LLC:Eastern Mountain Sports:EMS - Portland</v>
          </cell>
          <cell r="H4923">
            <v>2</v>
          </cell>
        </row>
        <row r="4924">
          <cell r="B4924" t="str">
            <v>SWC1040-0912</v>
          </cell>
          <cell r="C4924" t="str">
            <v>Invoice</v>
          </cell>
          <cell r="D4924">
            <v>38614</v>
          </cell>
          <cell r="F4924" t="str">
            <v>7996</v>
          </cell>
          <cell r="G4924" t="str">
            <v>Hard Rock Hotel and Casino - Las Vegas</v>
          </cell>
          <cell r="H4924">
            <v>2</v>
          </cell>
        </row>
        <row r="4925">
          <cell r="B4925" t="str">
            <v>SWC1040-0913</v>
          </cell>
          <cell r="C4925" t="str">
            <v>Invoice</v>
          </cell>
          <cell r="D4925">
            <v>38516</v>
          </cell>
          <cell r="F4925" t="str">
            <v>6242</v>
          </cell>
          <cell r="G4925" t="str">
            <v>Saddle Ranch</v>
          </cell>
          <cell r="H4925">
            <v>2</v>
          </cell>
        </row>
        <row r="4926">
          <cell r="B4926" t="str">
            <v>SWC1040-0913</v>
          </cell>
          <cell r="C4926" t="str">
            <v>Invoice</v>
          </cell>
          <cell r="D4926">
            <v>38595</v>
          </cell>
          <cell r="F4926" t="str">
            <v>7733</v>
          </cell>
          <cell r="G4926" t="str">
            <v>Muzak, IA:Independence Communications, PA</v>
          </cell>
          <cell r="H4926">
            <v>2</v>
          </cell>
        </row>
        <row r="4927">
          <cell r="B4927" t="str">
            <v>SWC1040-0913</v>
          </cell>
          <cell r="C4927" t="str">
            <v>Invoice</v>
          </cell>
          <cell r="D4927">
            <v>38617</v>
          </cell>
          <cell r="F4927" t="str">
            <v>8012</v>
          </cell>
          <cell r="G4927" t="str">
            <v>Muzak, IA:World Music Corporation</v>
          </cell>
          <cell r="H4927">
            <v>2</v>
          </cell>
        </row>
        <row r="4928">
          <cell r="B4928" t="str">
            <v>SWC1040-0913</v>
          </cell>
          <cell r="C4928" t="str">
            <v>Invoice</v>
          </cell>
          <cell r="D4928">
            <v>38625</v>
          </cell>
          <cell r="F4928" t="str">
            <v>8096</v>
          </cell>
          <cell r="G4928" t="str">
            <v>Videotronic Benelux BV</v>
          </cell>
          <cell r="H4928">
            <v>2</v>
          </cell>
        </row>
        <row r="4929">
          <cell r="B4929" t="str">
            <v>SWC1040-0956</v>
          </cell>
          <cell r="C4929" t="str">
            <v>Invoice</v>
          </cell>
          <cell r="D4929">
            <v>38603</v>
          </cell>
          <cell r="F4929" t="str">
            <v>7825</v>
          </cell>
          <cell r="G4929" t="str">
            <v>Videotronic Benelux BV</v>
          </cell>
          <cell r="H4929">
            <v>2</v>
          </cell>
        </row>
        <row r="4930">
          <cell r="B4930" t="str">
            <v>SWC1040-0961</v>
          </cell>
          <cell r="C4930" t="str">
            <v>Invoice</v>
          </cell>
          <cell r="D4930">
            <v>38603</v>
          </cell>
          <cell r="F4930" t="str">
            <v>7862</v>
          </cell>
          <cell r="G4930" t="str">
            <v>Muzak, IA:Carolina Sound Communications:Hilton Oceanfront Resort</v>
          </cell>
          <cell r="H4930">
            <v>2</v>
          </cell>
        </row>
        <row r="4931">
          <cell r="B4931" t="str">
            <v>SWC1040-1016</v>
          </cell>
          <cell r="C4931" t="str">
            <v>Invoice</v>
          </cell>
          <cell r="D4931">
            <v>38526</v>
          </cell>
          <cell r="F4931" t="str">
            <v>6392</v>
          </cell>
          <cell r="G4931" t="str">
            <v>Hustler Hollywood - Nashville, TN</v>
          </cell>
          <cell r="H4931">
            <v>2</v>
          </cell>
        </row>
        <row r="4932">
          <cell r="B4932" t="str">
            <v>SWC1040-1016</v>
          </cell>
          <cell r="C4932" t="str">
            <v>Invoice</v>
          </cell>
          <cell r="D4932">
            <v>38548</v>
          </cell>
          <cell r="F4932" t="str">
            <v>6393</v>
          </cell>
          <cell r="G4932" t="str">
            <v>Hustler Hollywood - Nashville, TN</v>
          </cell>
          <cell r="H4932">
            <v>2</v>
          </cell>
        </row>
        <row r="4933">
          <cell r="B4933" t="str">
            <v>SWC1040-1016</v>
          </cell>
          <cell r="C4933" t="str">
            <v>Invoice</v>
          </cell>
          <cell r="D4933">
            <v>38580</v>
          </cell>
          <cell r="F4933" t="str">
            <v>7059</v>
          </cell>
          <cell r="G4933" t="str">
            <v>Hustler Hollywood - Nashville, TN</v>
          </cell>
          <cell r="H4933">
            <v>2</v>
          </cell>
        </row>
        <row r="4934">
          <cell r="B4934" t="str">
            <v>SWC1040-1016</v>
          </cell>
          <cell r="C4934" t="str">
            <v>Invoice</v>
          </cell>
          <cell r="D4934">
            <v>38597</v>
          </cell>
          <cell r="F4934" t="str">
            <v>7806</v>
          </cell>
          <cell r="G4934" t="str">
            <v>Muzak, LLC:Spalon @ T Carlton</v>
          </cell>
          <cell r="H4934">
            <v>2</v>
          </cell>
        </row>
        <row r="4935">
          <cell r="B4935" t="str">
            <v>SWC1040-1016</v>
          </cell>
          <cell r="C4935" t="str">
            <v>Invoice</v>
          </cell>
          <cell r="D4935">
            <v>38611</v>
          </cell>
          <cell r="F4935" t="str">
            <v>7269</v>
          </cell>
          <cell r="G4935" t="str">
            <v>Hustler Hollywood - Nashville, TN</v>
          </cell>
          <cell r="H4935">
            <v>2</v>
          </cell>
        </row>
        <row r="4936">
          <cell r="B4936" t="str">
            <v>SWC1040-1035</v>
          </cell>
          <cell r="C4936" t="str">
            <v>Invoice</v>
          </cell>
          <cell r="D4936">
            <v>38617</v>
          </cell>
          <cell r="F4936" t="str">
            <v>8012</v>
          </cell>
          <cell r="G4936" t="str">
            <v>Muzak, IA:World Music Corporation</v>
          </cell>
          <cell r="H4936">
            <v>2</v>
          </cell>
        </row>
        <row r="4937">
          <cell r="B4937" t="str">
            <v>SWC1040-1055</v>
          </cell>
          <cell r="C4937" t="str">
            <v>Invoice</v>
          </cell>
          <cell r="D4937">
            <v>38610</v>
          </cell>
          <cell r="F4937" t="str">
            <v>7963</v>
          </cell>
          <cell r="G4937" t="str">
            <v>Muzak, LLC:Muzak (Demo)</v>
          </cell>
          <cell r="H4937">
            <v>2</v>
          </cell>
        </row>
        <row r="4938">
          <cell r="B4938" t="str">
            <v>SWC1040-1090</v>
          </cell>
          <cell r="C4938" t="str">
            <v>Invoice</v>
          </cell>
          <cell r="D4938">
            <v>38470</v>
          </cell>
          <cell r="F4938" t="str">
            <v>6006</v>
          </cell>
          <cell r="G4938" t="str">
            <v>Techno Satellite</v>
          </cell>
          <cell r="H4938">
            <v>2</v>
          </cell>
        </row>
        <row r="4939">
          <cell r="B4939" t="str">
            <v>SWC1040-1105</v>
          </cell>
          <cell r="C4939" t="str">
            <v>Invoice</v>
          </cell>
          <cell r="D4939">
            <v>38525</v>
          </cell>
          <cell r="F4939" t="str">
            <v>5572</v>
          </cell>
          <cell r="G4939" t="str">
            <v>Busch Gardens - Williamsburg</v>
          </cell>
          <cell r="H4939">
            <v>2</v>
          </cell>
        </row>
        <row r="4940">
          <cell r="B4940" t="str">
            <v>SWC1040-1105</v>
          </cell>
          <cell r="C4940" t="str">
            <v>Invoice</v>
          </cell>
          <cell r="D4940">
            <v>38560</v>
          </cell>
          <cell r="F4940" t="str">
            <v>7217</v>
          </cell>
          <cell r="G4940" t="str">
            <v>Muzak, IA:Business Music &amp; Communications, LLC</v>
          </cell>
          <cell r="H4940">
            <v>2</v>
          </cell>
        </row>
        <row r="4941">
          <cell r="B4941" t="str">
            <v>SWC1040-1105</v>
          </cell>
          <cell r="C4941" t="str">
            <v>Invoice</v>
          </cell>
          <cell r="D4941">
            <v>38572</v>
          </cell>
          <cell r="F4941" t="str">
            <v>7299</v>
          </cell>
          <cell r="G4941" t="str">
            <v>Wickes Furniture - Murrieta</v>
          </cell>
          <cell r="H4941">
            <v>2</v>
          </cell>
        </row>
        <row r="4942">
          <cell r="B4942" t="str">
            <v>SWC1040-1105</v>
          </cell>
          <cell r="C4942" t="str">
            <v>Invoice</v>
          </cell>
          <cell r="D4942">
            <v>38576</v>
          </cell>
          <cell r="F4942" t="str">
            <v>7471</v>
          </cell>
          <cell r="G4942" t="str">
            <v>Muzak, LLC:Muzak (Demo)</v>
          </cell>
          <cell r="H4942">
            <v>2</v>
          </cell>
        </row>
        <row r="4943">
          <cell r="B4943" t="str">
            <v>SWC1040-1105</v>
          </cell>
          <cell r="C4943" t="str">
            <v>Invoice</v>
          </cell>
          <cell r="D4943">
            <v>38576</v>
          </cell>
          <cell r="F4943" t="str">
            <v>7474</v>
          </cell>
          <cell r="G4943" t="str">
            <v>Muzak, LLC:Muzak (Demo)</v>
          </cell>
          <cell r="H4943">
            <v>2</v>
          </cell>
        </row>
        <row r="4944">
          <cell r="B4944" t="str">
            <v>SWC1040-1105</v>
          </cell>
          <cell r="C4944" t="str">
            <v>Invoice</v>
          </cell>
          <cell r="D4944">
            <v>38576</v>
          </cell>
          <cell r="F4944" t="str">
            <v>7477</v>
          </cell>
          <cell r="G4944" t="str">
            <v>Muzak, LLC:Muzak (Demo)</v>
          </cell>
          <cell r="H4944">
            <v>2</v>
          </cell>
        </row>
        <row r="4945">
          <cell r="B4945" t="str">
            <v>SWC1040-1105</v>
          </cell>
          <cell r="C4945" t="str">
            <v>Invoice</v>
          </cell>
          <cell r="D4945">
            <v>38576</v>
          </cell>
          <cell r="F4945" t="str">
            <v>7447</v>
          </cell>
          <cell r="G4945" t="str">
            <v>Muzak, LLC:Muzak (Demo)</v>
          </cell>
          <cell r="H4945">
            <v>2</v>
          </cell>
        </row>
        <row r="4946">
          <cell r="B4946" t="str">
            <v>SWC1040-1105</v>
          </cell>
          <cell r="C4946" t="str">
            <v>Invoice</v>
          </cell>
          <cell r="D4946">
            <v>38586</v>
          </cell>
          <cell r="F4946" t="str">
            <v>7638</v>
          </cell>
          <cell r="G4946" t="str">
            <v>Muzak, LLC</v>
          </cell>
          <cell r="H4946">
            <v>2</v>
          </cell>
        </row>
        <row r="4947">
          <cell r="B4947" t="str">
            <v>SWC1040-1105</v>
          </cell>
          <cell r="C4947" t="str">
            <v>Invoice</v>
          </cell>
          <cell r="D4947">
            <v>38597</v>
          </cell>
          <cell r="F4947" t="str">
            <v>7813</v>
          </cell>
          <cell r="G4947" t="str">
            <v>Muzak, IA:Business Music &amp; Communications, LLC</v>
          </cell>
          <cell r="H4947">
            <v>2</v>
          </cell>
        </row>
        <row r="4948">
          <cell r="B4948" t="str">
            <v>SWC1040-1195</v>
          </cell>
          <cell r="C4948" t="str">
            <v>Invoice</v>
          </cell>
          <cell r="D4948">
            <v>38609</v>
          </cell>
          <cell r="F4948" t="str">
            <v>7930</v>
          </cell>
          <cell r="G4948" t="str">
            <v>Muzak, LLC:Omni Shoreham Hotel</v>
          </cell>
          <cell r="H4948">
            <v>2</v>
          </cell>
        </row>
        <row r="4949">
          <cell r="B4949" t="str">
            <v>SWC1040-1254</v>
          </cell>
          <cell r="C4949" t="str">
            <v>Invoice</v>
          </cell>
          <cell r="D4949">
            <v>38470</v>
          </cell>
          <cell r="F4949" t="str">
            <v>6006</v>
          </cell>
          <cell r="G4949" t="str">
            <v>Techno Satellite</v>
          </cell>
          <cell r="H4949">
            <v>2</v>
          </cell>
        </row>
        <row r="4950">
          <cell r="B4950" t="str">
            <v>SWC1040-1254</v>
          </cell>
          <cell r="C4950" t="str">
            <v>Invoice</v>
          </cell>
          <cell r="D4950">
            <v>38548</v>
          </cell>
          <cell r="F4950" t="str">
            <v>7142</v>
          </cell>
          <cell r="G4950" t="str">
            <v>Muzak, LLC:Schnuck Markets, Inc. #180</v>
          </cell>
          <cell r="H4950">
            <v>2</v>
          </cell>
        </row>
        <row r="4951">
          <cell r="B4951" t="str">
            <v>SWC1040-1254</v>
          </cell>
          <cell r="C4951" t="str">
            <v>Invoice</v>
          </cell>
          <cell r="D4951">
            <v>38594</v>
          </cell>
          <cell r="F4951" t="str">
            <v>7726</v>
          </cell>
          <cell r="G4951" t="str">
            <v>Muzak, LLC:Schnuck Markets, Inc. #180</v>
          </cell>
          <cell r="H4951">
            <v>2</v>
          </cell>
        </row>
        <row r="4952">
          <cell r="B4952" t="str">
            <v>SWC1040-1254</v>
          </cell>
          <cell r="C4952" t="str">
            <v>Invoice</v>
          </cell>
          <cell r="D4952">
            <v>38595</v>
          </cell>
          <cell r="F4952" t="str">
            <v>7731</v>
          </cell>
          <cell r="G4952" t="str">
            <v>Muzak, IA:Independence Communications, PA</v>
          </cell>
          <cell r="H4952">
            <v>2</v>
          </cell>
        </row>
        <row r="4953">
          <cell r="B4953" t="str">
            <v>SWC1040-1254</v>
          </cell>
          <cell r="C4953" t="str">
            <v>Invoice</v>
          </cell>
          <cell r="D4953">
            <v>38607</v>
          </cell>
          <cell r="F4953" t="str">
            <v>7889</v>
          </cell>
          <cell r="G4953" t="str">
            <v>Muzak, IA:Soundcom LLC of Florida - Palm Beach</v>
          </cell>
          <cell r="H4953">
            <v>2</v>
          </cell>
        </row>
        <row r="4954">
          <cell r="B4954" t="str">
            <v>SWC1040-1254</v>
          </cell>
          <cell r="C4954" t="str">
            <v>Invoice</v>
          </cell>
          <cell r="D4954">
            <v>38624</v>
          </cell>
          <cell r="F4954" t="str">
            <v>7727</v>
          </cell>
          <cell r="G4954" t="str">
            <v>Muzak, LLC:Schnuck Markets, Inc. #180</v>
          </cell>
          <cell r="H4954">
            <v>2</v>
          </cell>
        </row>
        <row r="4955">
          <cell r="B4955" t="str">
            <v>SWC1040-1340</v>
          </cell>
          <cell r="C4955" t="str">
            <v>Invoice</v>
          </cell>
          <cell r="D4955">
            <v>38575</v>
          </cell>
          <cell r="F4955" t="str">
            <v>7344</v>
          </cell>
          <cell r="G4955" t="str">
            <v>Colorado Prime Foods</v>
          </cell>
          <cell r="H4955">
            <v>2</v>
          </cell>
        </row>
        <row r="4956">
          <cell r="B4956" t="str">
            <v>SWC1040-1341</v>
          </cell>
          <cell r="C4956" t="str">
            <v>Invoice</v>
          </cell>
          <cell r="D4956">
            <v>38588</v>
          </cell>
          <cell r="F4956" t="str">
            <v>7678</v>
          </cell>
          <cell r="G4956" t="str">
            <v>Muzak, LLC:Muzak (Demo)</v>
          </cell>
          <cell r="H4956">
            <v>2</v>
          </cell>
        </row>
        <row r="4957">
          <cell r="B4957" t="str">
            <v>SWC1040-1364</v>
          </cell>
          <cell r="C4957" t="str">
            <v>Invoice</v>
          </cell>
          <cell r="D4957">
            <v>38628</v>
          </cell>
          <cell r="F4957" t="str">
            <v>8205</v>
          </cell>
          <cell r="G4957" t="str">
            <v>Macy's # 01</v>
          </cell>
          <cell r="H4957">
            <v>2</v>
          </cell>
        </row>
        <row r="4958">
          <cell r="B4958" t="str">
            <v>SWC1040-1408</v>
          </cell>
          <cell r="C4958" t="str">
            <v>Invoice</v>
          </cell>
          <cell r="D4958">
            <v>38540</v>
          </cell>
          <cell r="F4958" t="str">
            <v>7099</v>
          </cell>
          <cell r="G4958" t="str">
            <v>ScentAir - Corporate Associates:Pamela Knock</v>
          </cell>
          <cell r="H4958">
            <v>2</v>
          </cell>
        </row>
        <row r="4959">
          <cell r="B4959" t="str">
            <v>SWC1040-1410</v>
          </cell>
          <cell r="C4959" t="str">
            <v>Invoice</v>
          </cell>
          <cell r="D4959">
            <v>38553</v>
          </cell>
          <cell r="F4959" t="str">
            <v>7174</v>
          </cell>
          <cell r="G4959" t="str">
            <v>ScentAir - Corporate Associates</v>
          </cell>
          <cell r="H4959">
            <v>2</v>
          </cell>
        </row>
        <row r="4960">
          <cell r="B4960" t="str">
            <v>SWC1040-1412</v>
          </cell>
          <cell r="C4960" t="str">
            <v>Invoice</v>
          </cell>
          <cell r="D4960">
            <v>38596</v>
          </cell>
          <cell r="F4960" t="str">
            <v>7747</v>
          </cell>
          <cell r="G4960" t="str">
            <v>Canadian Niagara Hotels</v>
          </cell>
          <cell r="H4960">
            <v>2</v>
          </cell>
        </row>
        <row r="4961">
          <cell r="B4961" t="str">
            <v>SWC1040-C48</v>
          </cell>
          <cell r="C4961" t="str">
            <v>Invoice</v>
          </cell>
          <cell r="D4961">
            <v>38569</v>
          </cell>
          <cell r="F4961" t="str">
            <v>7221</v>
          </cell>
          <cell r="G4961" t="str">
            <v>Sony Style #xx (Kenwood Ctr)</v>
          </cell>
          <cell r="H4961">
            <v>2</v>
          </cell>
        </row>
        <row r="4962">
          <cell r="B4962" t="str">
            <v>SWC1040-C48</v>
          </cell>
          <cell r="C4962" t="str">
            <v>Invoice</v>
          </cell>
          <cell r="D4962">
            <v>38574</v>
          </cell>
          <cell r="F4962" t="str">
            <v>7348</v>
          </cell>
          <cell r="G4962" t="str">
            <v>Sony Style #XX Fashion Center</v>
          </cell>
          <cell r="H4962">
            <v>2</v>
          </cell>
        </row>
        <row r="4963">
          <cell r="B4963" t="str">
            <v>SWC1040-C48</v>
          </cell>
          <cell r="C4963" t="str">
            <v>Invoice</v>
          </cell>
          <cell r="D4963">
            <v>38574</v>
          </cell>
          <cell r="F4963" t="str">
            <v>7200</v>
          </cell>
          <cell r="G4963" t="str">
            <v>Sony Style # XX San Antonio</v>
          </cell>
          <cell r="H4963">
            <v>2</v>
          </cell>
        </row>
        <row r="4964">
          <cell r="B4964" t="str">
            <v>SWC1040-C48</v>
          </cell>
          <cell r="C4964" t="str">
            <v>Invoice</v>
          </cell>
          <cell r="D4964">
            <v>38587</v>
          </cell>
          <cell r="F4964" t="str">
            <v>7109</v>
          </cell>
          <cell r="G4964" t="str">
            <v>Sony Style #58</v>
          </cell>
          <cell r="H4964">
            <v>2</v>
          </cell>
        </row>
        <row r="4965">
          <cell r="B4965" t="str">
            <v>SWC1040-C48</v>
          </cell>
          <cell r="C4965" t="str">
            <v>Invoice</v>
          </cell>
          <cell r="D4965">
            <v>38587</v>
          </cell>
          <cell r="F4965" t="str">
            <v>7104</v>
          </cell>
          <cell r="G4965" t="str">
            <v>Sony Style #66</v>
          </cell>
          <cell r="H4965">
            <v>2</v>
          </cell>
        </row>
        <row r="4966">
          <cell r="B4966" t="str">
            <v>SWC1040-C48</v>
          </cell>
          <cell r="C4966" t="str">
            <v>Invoice</v>
          </cell>
          <cell r="D4966">
            <v>38587</v>
          </cell>
          <cell r="F4966" t="str">
            <v>7105</v>
          </cell>
          <cell r="G4966" t="str">
            <v>Sony Style #xx (Kenwood Ctr)</v>
          </cell>
          <cell r="H4966">
            <v>2</v>
          </cell>
        </row>
        <row r="4967">
          <cell r="B4967" t="str">
            <v>SWC1040-C48</v>
          </cell>
          <cell r="C4967" t="str">
            <v>Invoice</v>
          </cell>
          <cell r="D4967">
            <v>38587</v>
          </cell>
          <cell r="F4967" t="str">
            <v>7106</v>
          </cell>
          <cell r="G4967" t="str">
            <v>Sony Style #64</v>
          </cell>
          <cell r="H4967">
            <v>2</v>
          </cell>
        </row>
        <row r="4968">
          <cell r="B4968" t="str">
            <v>SWC1040-C48</v>
          </cell>
          <cell r="C4968" t="str">
            <v>Invoice</v>
          </cell>
          <cell r="D4968">
            <v>38587</v>
          </cell>
          <cell r="F4968" t="str">
            <v>7107</v>
          </cell>
          <cell r="G4968" t="str">
            <v>Sony Style #63</v>
          </cell>
          <cell r="H4968">
            <v>2</v>
          </cell>
        </row>
        <row r="4969">
          <cell r="B4969" t="str">
            <v>SWC1040-C48</v>
          </cell>
          <cell r="C4969" t="str">
            <v>Invoice</v>
          </cell>
          <cell r="D4969">
            <v>38587</v>
          </cell>
          <cell r="F4969" t="str">
            <v>7108</v>
          </cell>
          <cell r="G4969" t="str">
            <v>Sony Style #61</v>
          </cell>
          <cell r="H4969">
            <v>2</v>
          </cell>
        </row>
        <row r="4970">
          <cell r="B4970" t="str">
            <v>SWC1040-C48</v>
          </cell>
          <cell r="C4970" t="str">
            <v>Invoice</v>
          </cell>
          <cell r="D4970">
            <v>38587</v>
          </cell>
          <cell r="F4970" t="str">
            <v>7110</v>
          </cell>
          <cell r="G4970" t="str">
            <v>Sony Style #57</v>
          </cell>
          <cell r="H4970">
            <v>2</v>
          </cell>
        </row>
        <row r="4971">
          <cell r="B4971" t="str">
            <v>SWC1040-C48</v>
          </cell>
          <cell r="C4971" t="str">
            <v>Invoice</v>
          </cell>
          <cell r="D4971">
            <v>38587</v>
          </cell>
          <cell r="F4971" t="str">
            <v>7111</v>
          </cell>
          <cell r="G4971" t="str">
            <v>Sony Style #56</v>
          </cell>
          <cell r="H4971">
            <v>2</v>
          </cell>
        </row>
        <row r="4972">
          <cell r="B4972" t="str">
            <v>SWC1040-C48</v>
          </cell>
          <cell r="C4972" t="str">
            <v>Invoice</v>
          </cell>
          <cell r="D4972">
            <v>38587</v>
          </cell>
          <cell r="F4972" t="str">
            <v>7112</v>
          </cell>
          <cell r="G4972" t="str">
            <v>Sony Style #55</v>
          </cell>
          <cell r="H4972">
            <v>2</v>
          </cell>
        </row>
        <row r="4973">
          <cell r="B4973" t="str">
            <v>SWC1040-C48</v>
          </cell>
          <cell r="C4973" t="str">
            <v>Invoice</v>
          </cell>
          <cell r="D4973">
            <v>38587</v>
          </cell>
          <cell r="F4973" t="str">
            <v>7113</v>
          </cell>
          <cell r="G4973" t="str">
            <v>Sony Style #54</v>
          </cell>
          <cell r="H4973">
            <v>2</v>
          </cell>
        </row>
        <row r="4974">
          <cell r="B4974" t="str">
            <v>SWC1040-C48</v>
          </cell>
          <cell r="C4974" t="str">
            <v>Invoice</v>
          </cell>
          <cell r="D4974">
            <v>38587</v>
          </cell>
          <cell r="F4974" t="str">
            <v>7114</v>
          </cell>
          <cell r="G4974" t="str">
            <v>Sony Style #53</v>
          </cell>
          <cell r="H4974">
            <v>2</v>
          </cell>
        </row>
        <row r="4975">
          <cell r="B4975" t="str">
            <v>SWC1040-C48</v>
          </cell>
          <cell r="C4975" t="str">
            <v>Invoice</v>
          </cell>
          <cell r="D4975">
            <v>38587</v>
          </cell>
          <cell r="F4975" t="str">
            <v>7115</v>
          </cell>
          <cell r="G4975" t="str">
            <v>Sony Style #52</v>
          </cell>
          <cell r="H4975">
            <v>2</v>
          </cell>
        </row>
        <row r="4976">
          <cell r="B4976" t="str">
            <v>SWC1040-C48</v>
          </cell>
          <cell r="C4976" t="str">
            <v>Invoice</v>
          </cell>
          <cell r="D4976">
            <v>38587</v>
          </cell>
          <cell r="F4976" t="str">
            <v>7116</v>
          </cell>
          <cell r="G4976" t="str">
            <v>Sony Style #51</v>
          </cell>
          <cell r="H4976">
            <v>2</v>
          </cell>
        </row>
        <row r="4977">
          <cell r="B4977" t="str">
            <v>SWC1040-C48</v>
          </cell>
          <cell r="C4977" t="str">
            <v>Invoice</v>
          </cell>
          <cell r="D4977">
            <v>38587</v>
          </cell>
          <cell r="F4977" t="str">
            <v>7117</v>
          </cell>
          <cell r="G4977" t="str">
            <v>Sony Style #49</v>
          </cell>
          <cell r="H4977">
            <v>2</v>
          </cell>
        </row>
        <row r="4978">
          <cell r="B4978" t="str">
            <v>SWC1040-C48</v>
          </cell>
          <cell r="C4978" t="str">
            <v>Invoice</v>
          </cell>
          <cell r="D4978">
            <v>38587</v>
          </cell>
          <cell r="F4978" t="str">
            <v>7120</v>
          </cell>
          <cell r="G4978" t="str">
            <v>Sony Style #60</v>
          </cell>
          <cell r="H4978">
            <v>2</v>
          </cell>
        </row>
        <row r="4979">
          <cell r="B4979" t="str">
            <v>SWC1040-C48</v>
          </cell>
          <cell r="C4979" t="str">
            <v>Invoice</v>
          </cell>
          <cell r="D4979">
            <v>38595</v>
          </cell>
          <cell r="F4979" t="str">
            <v>7400</v>
          </cell>
          <cell r="G4979" t="str">
            <v>Sony Style # 59 (New)</v>
          </cell>
          <cell r="H4979">
            <v>2</v>
          </cell>
        </row>
        <row r="4980">
          <cell r="B4980" t="str">
            <v>SWC1040-C48</v>
          </cell>
          <cell r="C4980" t="str">
            <v>Invoice</v>
          </cell>
          <cell r="D4980">
            <v>38595</v>
          </cell>
          <cell r="F4980" t="str">
            <v>7401</v>
          </cell>
          <cell r="G4980" t="str">
            <v>Sony Style # 65</v>
          </cell>
          <cell r="H4980">
            <v>2</v>
          </cell>
        </row>
        <row r="4981">
          <cell r="B4981" t="str">
            <v>SWC1040-C48</v>
          </cell>
          <cell r="C4981" t="str">
            <v>Invoice</v>
          </cell>
          <cell r="D4981">
            <v>38595</v>
          </cell>
          <cell r="F4981" t="str">
            <v>7396</v>
          </cell>
          <cell r="G4981" t="str">
            <v>Sony  Style # 62</v>
          </cell>
          <cell r="H4981">
            <v>2</v>
          </cell>
        </row>
        <row r="4982">
          <cell r="B4982" t="str">
            <v>SWC1040-C48</v>
          </cell>
          <cell r="C4982" t="str">
            <v>Invoice</v>
          </cell>
          <cell r="D4982">
            <v>38597</v>
          </cell>
          <cell r="F4982" t="str">
            <v>7660</v>
          </cell>
          <cell r="G4982" t="str">
            <v>Sony Style #XX Westchester</v>
          </cell>
          <cell r="H4982">
            <v>2</v>
          </cell>
        </row>
        <row r="4983">
          <cell r="B4983" t="str">
            <v>SWC1040-C48</v>
          </cell>
          <cell r="C4983" t="str">
            <v>Invoice</v>
          </cell>
          <cell r="D4983">
            <v>38597</v>
          </cell>
          <cell r="F4983" t="str">
            <v>7662</v>
          </cell>
          <cell r="G4983" t="str">
            <v>Sony Style #XX Roosevelt Field</v>
          </cell>
          <cell r="H4983">
            <v>2</v>
          </cell>
        </row>
        <row r="4984">
          <cell r="B4984" t="str">
            <v>SWC1040-C48</v>
          </cell>
          <cell r="C4984" t="str">
            <v>Invoice</v>
          </cell>
          <cell r="D4984">
            <v>38604</v>
          </cell>
          <cell r="F4984" t="str">
            <v>7199</v>
          </cell>
          <cell r="G4984" t="str">
            <v>Sony Style #XX Tyson's Corner</v>
          </cell>
          <cell r="H4984">
            <v>2</v>
          </cell>
        </row>
        <row r="4985">
          <cell r="B4985" t="str">
            <v>SWC1040-C48</v>
          </cell>
          <cell r="C4985" t="str">
            <v>Invoice</v>
          </cell>
          <cell r="D4985">
            <v>38604</v>
          </cell>
          <cell r="F4985" t="str">
            <v>7656</v>
          </cell>
          <cell r="G4985" t="str">
            <v>Sony Style # XX San Antonio</v>
          </cell>
          <cell r="H4985">
            <v>2</v>
          </cell>
        </row>
        <row r="4986">
          <cell r="B4986" t="str">
            <v>SWC1040-C48</v>
          </cell>
          <cell r="C4986" t="str">
            <v>Invoice</v>
          </cell>
          <cell r="D4986">
            <v>38604</v>
          </cell>
          <cell r="F4986" t="str">
            <v>7349</v>
          </cell>
          <cell r="G4986" t="str">
            <v>Sony Style #XX Fashion Center</v>
          </cell>
          <cell r="H4986">
            <v>2</v>
          </cell>
        </row>
        <row r="4987">
          <cell r="B4987" t="str">
            <v>SWC1040-C48</v>
          </cell>
          <cell r="C4987" t="str">
            <v>Invoice</v>
          </cell>
          <cell r="D4987">
            <v>38617</v>
          </cell>
          <cell r="F4987" t="str">
            <v>7363</v>
          </cell>
          <cell r="G4987" t="str">
            <v>Sony Style #52</v>
          </cell>
          <cell r="H4987">
            <v>2</v>
          </cell>
        </row>
        <row r="4988">
          <cell r="B4988" t="str">
            <v>SWC1040-C48</v>
          </cell>
          <cell r="C4988" t="str">
            <v>Invoice</v>
          </cell>
          <cell r="D4988">
            <v>38617</v>
          </cell>
          <cell r="F4988" t="str">
            <v>7361</v>
          </cell>
          <cell r="G4988" t="str">
            <v>Sony Style #54</v>
          </cell>
          <cell r="H4988">
            <v>2</v>
          </cell>
        </row>
        <row r="4989">
          <cell r="B4989" t="str">
            <v>SWC1040-C48</v>
          </cell>
          <cell r="C4989" t="str">
            <v>Invoice</v>
          </cell>
          <cell r="D4989">
            <v>38617</v>
          </cell>
          <cell r="F4989" t="str">
            <v>7364</v>
          </cell>
          <cell r="G4989" t="str">
            <v>Sony Style #51</v>
          </cell>
          <cell r="H4989">
            <v>2</v>
          </cell>
        </row>
        <row r="4990">
          <cell r="B4990" t="str">
            <v>SWC1040-C48</v>
          </cell>
          <cell r="C4990" t="str">
            <v>Invoice</v>
          </cell>
          <cell r="D4990">
            <v>38618</v>
          </cell>
          <cell r="F4990" t="str">
            <v>7352</v>
          </cell>
          <cell r="G4990" t="str">
            <v>Sony Style #66</v>
          </cell>
          <cell r="H4990">
            <v>2</v>
          </cell>
        </row>
        <row r="4991">
          <cell r="B4991" t="str">
            <v>SWC1040-C48</v>
          </cell>
          <cell r="C4991" t="str">
            <v>Invoice</v>
          </cell>
          <cell r="D4991">
            <v>38618</v>
          </cell>
          <cell r="F4991" t="str">
            <v>7353</v>
          </cell>
          <cell r="G4991" t="str">
            <v>Sony Style #xx (Kenwood Ctr)</v>
          </cell>
          <cell r="H4991">
            <v>2</v>
          </cell>
        </row>
        <row r="4992">
          <cell r="B4992" t="str">
            <v>SWC1040-C48</v>
          </cell>
          <cell r="C4992" t="str">
            <v>Invoice</v>
          </cell>
          <cell r="D4992">
            <v>38618</v>
          </cell>
          <cell r="F4992" t="str">
            <v>7354</v>
          </cell>
          <cell r="G4992" t="str">
            <v>Sony Style #64</v>
          </cell>
          <cell r="H4992">
            <v>2</v>
          </cell>
        </row>
        <row r="4993">
          <cell r="B4993" t="str">
            <v>SWC1040-C48</v>
          </cell>
          <cell r="C4993" t="str">
            <v>Invoice</v>
          </cell>
          <cell r="D4993">
            <v>38618</v>
          </cell>
          <cell r="F4993" t="str">
            <v>7355</v>
          </cell>
          <cell r="G4993" t="str">
            <v>Sony Style #63</v>
          </cell>
          <cell r="H4993">
            <v>2</v>
          </cell>
        </row>
        <row r="4994">
          <cell r="B4994" t="str">
            <v>SWC1040-C48</v>
          </cell>
          <cell r="C4994" t="str">
            <v>Invoice</v>
          </cell>
          <cell r="D4994">
            <v>38618</v>
          </cell>
          <cell r="F4994" t="str">
            <v>7356</v>
          </cell>
          <cell r="G4994" t="str">
            <v>Sony Style #61</v>
          </cell>
          <cell r="H4994">
            <v>2</v>
          </cell>
        </row>
        <row r="4995">
          <cell r="B4995" t="str">
            <v>SWC1040-C48</v>
          </cell>
          <cell r="C4995" t="str">
            <v>Invoice</v>
          </cell>
          <cell r="D4995">
            <v>38618</v>
          </cell>
          <cell r="F4995" t="str">
            <v>7357</v>
          </cell>
          <cell r="G4995" t="str">
            <v>Sony Style #58</v>
          </cell>
          <cell r="H4995">
            <v>2</v>
          </cell>
        </row>
        <row r="4996">
          <cell r="B4996" t="str">
            <v>SWC1040-C48</v>
          </cell>
          <cell r="C4996" t="str">
            <v>Invoice</v>
          </cell>
          <cell r="D4996">
            <v>38618</v>
          </cell>
          <cell r="F4996" t="str">
            <v>7358</v>
          </cell>
          <cell r="G4996" t="str">
            <v>Sony Style #57</v>
          </cell>
          <cell r="H4996">
            <v>2</v>
          </cell>
        </row>
        <row r="4997">
          <cell r="B4997" t="str">
            <v>SWC1040-C48</v>
          </cell>
          <cell r="C4997" t="str">
            <v>Invoice</v>
          </cell>
          <cell r="D4997">
            <v>38618</v>
          </cell>
          <cell r="F4997" t="str">
            <v>7359</v>
          </cell>
          <cell r="G4997" t="str">
            <v>Sony Style #56</v>
          </cell>
          <cell r="H4997">
            <v>2</v>
          </cell>
        </row>
        <row r="4998">
          <cell r="B4998" t="str">
            <v>SWC1040-C48</v>
          </cell>
          <cell r="C4998" t="str">
            <v>Invoice</v>
          </cell>
          <cell r="D4998">
            <v>38618</v>
          </cell>
          <cell r="F4998" t="str">
            <v>7360</v>
          </cell>
          <cell r="G4998" t="str">
            <v>Sony Style #55</v>
          </cell>
          <cell r="H4998">
            <v>2</v>
          </cell>
        </row>
        <row r="4999">
          <cell r="B4999" t="str">
            <v>SWC1040-C48</v>
          </cell>
          <cell r="C4999" t="str">
            <v>Invoice</v>
          </cell>
          <cell r="D4999">
            <v>38618</v>
          </cell>
          <cell r="F4999" t="str">
            <v>7367</v>
          </cell>
          <cell r="G4999" t="str">
            <v>Sony Style #60</v>
          </cell>
          <cell r="H4999">
            <v>2</v>
          </cell>
        </row>
        <row r="5000">
          <cell r="B5000" t="str">
            <v>SWC1040-C48</v>
          </cell>
          <cell r="C5000" t="str">
            <v>Invoice</v>
          </cell>
          <cell r="D5000">
            <v>38618</v>
          </cell>
          <cell r="F5000" t="str">
            <v>7362</v>
          </cell>
          <cell r="G5000" t="str">
            <v>Sony Style #53</v>
          </cell>
          <cell r="H5000">
            <v>2</v>
          </cell>
        </row>
        <row r="5001">
          <cell r="B5001" t="str">
            <v>SWC1040-C48</v>
          </cell>
          <cell r="C5001" t="str">
            <v>Invoice</v>
          </cell>
          <cell r="D5001">
            <v>38618</v>
          </cell>
          <cell r="F5001" t="str">
            <v>7218</v>
          </cell>
          <cell r="G5001" t="str">
            <v>Sony Style #49</v>
          </cell>
          <cell r="H5001">
            <v>2</v>
          </cell>
        </row>
        <row r="5002">
          <cell r="B5002" t="str">
            <v>SWC1040-C48</v>
          </cell>
          <cell r="C5002" t="str">
            <v>Invoice</v>
          </cell>
          <cell r="D5002">
            <v>38621</v>
          </cell>
          <cell r="F5002" t="str">
            <v>7658</v>
          </cell>
          <cell r="G5002" t="str">
            <v>Sony Style #XX Tyson's Corner</v>
          </cell>
          <cell r="H5002">
            <v>2</v>
          </cell>
        </row>
        <row r="5003">
          <cell r="B5003" t="str">
            <v>SWC1040-C48</v>
          </cell>
          <cell r="C5003" t="str">
            <v>Invoice</v>
          </cell>
          <cell r="D5003">
            <v>38626</v>
          </cell>
          <cell r="F5003" t="str">
            <v>7403</v>
          </cell>
          <cell r="G5003" t="str">
            <v>Sony Style # 65</v>
          </cell>
          <cell r="H5003">
            <v>2</v>
          </cell>
        </row>
        <row r="5004">
          <cell r="B5004" t="str">
            <v>SWC1040-C48</v>
          </cell>
          <cell r="C5004" t="str">
            <v>Invoice</v>
          </cell>
          <cell r="D5004">
            <v>38626</v>
          </cell>
          <cell r="F5004" t="str">
            <v>7496</v>
          </cell>
          <cell r="G5004" t="str">
            <v>Sony Style # 59 (New)</v>
          </cell>
          <cell r="H5004">
            <v>2</v>
          </cell>
        </row>
        <row r="5005">
          <cell r="B5005" t="str">
            <v>SWC1040-C48</v>
          </cell>
          <cell r="C5005" t="str">
            <v>Invoice</v>
          </cell>
          <cell r="D5005">
            <v>38626</v>
          </cell>
          <cell r="F5005" t="str">
            <v>7397</v>
          </cell>
          <cell r="G5005" t="str">
            <v>Sony  Style # 62</v>
          </cell>
          <cell r="H5005">
            <v>2</v>
          </cell>
        </row>
        <row r="5006">
          <cell r="B5006" t="str">
            <v>SWC1040-C48</v>
          </cell>
          <cell r="C5006" t="str">
            <v>Invoice</v>
          </cell>
          <cell r="D5006">
            <v>38629</v>
          </cell>
          <cell r="F5006" t="str">
            <v>7964</v>
          </cell>
          <cell r="G5006" t="str">
            <v>Sony Style - Boca Raton</v>
          </cell>
          <cell r="H5006">
            <v>2</v>
          </cell>
        </row>
        <row r="5007">
          <cell r="B5007" t="str">
            <v>SWC1040-OTHER</v>
          </cell>
          <cell r="C5007" t="str">
            <v>Invoice</v>
          </cell>
          <cell r="D5007">
            <v>38608</v>
          </cell>
          <cell r="F5007" t="str">
            <v>7892</v>
          </cell>
          <cell r="G5007" t="str">
            <v>ScentAir - Corporate Associates:Amy DiCesare</v>
          </cell>
          <cell r="H5007">
            <v>2</v>
          </cell>
        </row>
        <row r="5008">
          <cell r="B5008" t="str">
            <v>SWC1040-OTHER</v>
          </cell>
          <cell r="C5008" t="str">
            <v>Invoice</v>
          </cell>
          <cell r="D5008">
            <v>38610</v>
          </cell>
          <cell r="F5008" t="str">
            <v>7952</v>
          </cell>
          <cell r="G5008" t="str">
            <v>Muzak, LLC:Flat Rock Grille #201</v>
          </cell>
          <cell r="H5008">
            <v>2</v>
          </cell>
        </row>
        <row r="5009">
          <cell r="B5009" t="str">
            <v>SWC1040-OTHER</v>
          </cell>
          <cell r="C5009" t="str">
            <v>Invoice</v>
          </cell>
          <cell r="D5009">
            <v>38610</v>
          </cell>
          <cell r="F5009" t="str">
            <v>7953</v>
          </cell>
          <cell r="G5009" t="str">
            <v>Muzak, LLC:Flat Rock Grille #200</v>
          </cell>
          <cell r="H5009">
            <v>2</v>
          </cell>
        </row>
        <row r="5010">
          <cell r="B5010" t="str">
            <v>SWC-1254</v>
          </cell>
          <cell r="C5010" t="str">
            <v>Invoice</v>
          </cell>
          <cell r="D5010">
            <v>38371</v>
          </cell>
          <cell r="F5010" t="str">
            <v>5250</v>
          </cell>
          <cell r="G5010" t="str">
            <v>Guckenheimer - Wexner Commons</v>
          </cell>
          <cell r="H5010">
            <v>2</v>
          </cell>
        </row>
        <row r="5011">
          <cell r="B5011" t="str">
            <v>SWC-153</v>
          </cell>
          <cell r="C5011" t="str">
            <v>Invoice</v>
          </cell>
          <cell r="D5011">
            <v>38383</v>
          </cell>
          <cell r="F5011" t="str">
            <v>5239</v>
          </cell>
          <cell r="G5011" t="str">
            <v>Sea World Orlando</v>
          </cell>
          <cell r="H5011">
            <v>2</v>
          </cell>
        </row>
        <row r="5012">
          <cell r="B5012" t="str">
            <v>SWC-174</v>
          </cell>
          <cell r="C5012" t="str">
            <v>Invoice</v>
          </cell>
          <cell r="D5012">
            <v>38378</v>
          </cell>
          <cell r="F5012" t="str">
            <v>5259</v>
          </cell>
          <cell r="G5012" t="str">
            <v>PartyLand Utah</v>
          </cell>
          <cell r="H5012">
            <v>2</v>
          </cell>
        </row>
        <row r="5013">
          <cell r="B5013" t="str">
            <v>SWC-174</v>
          </cell>
          <cell r="C5013" t="str">
            <v>Invoice</v>
          </cell>
          <cell r="D5013">
            <v>38378</v>
          </cell>
          <cell r="F5013" t="str">
            <v>5197</v>
          </cell>
          <cell r="G5013" t="str">
            <v>Arkitectura Urbana</v>
          </cell>
          <cell r="H5013">
            <v>2</v>
          </cell>
        </row>
        <row r="5014">
          <cell r="B5014" t="str">
            <v>SWC2040-0174</v>
          </cell>
          <cell r="C5014" t="str">
            <v>Invoice</v>
          </cell>
          <cell r="D5014">
            <v>38580</v>
          </cell>
          <cell r="F5014" t="str">
            <v>7483</v>
          </cell>
          <cell r="G5014" t="str">
            <v>Scent Events, LLC</v>
          </cell>
          <cell r="H5014">
            <v>2</v>
          </cell>
        </row>
        <row r="5015">
          <cell r="B5015" t="str">
            <v>SWC2040-0479</v>
          </cell>
          <cell r="C5015" t="str">
            <v>Invoice</v>
          </cell>
          <cell r="D5015">
            <v>38488</v>
          </cell>
          <cell r="F5015" t="str">
            <v>6067</v>
          </cell>
          <cell r="G5015" t="str">
            <v>ScentAir Australia Pty Ltd.</v>
          </cell>
          <cell r="H5015">
            <v>2</v>
          </cell>
        </row>
        <row r="5016">
          <cell r="B5016" t="str">
            <v>SWC2040-0479</v>
          </cell>
          <cell r="C5016" t="str">
            <v>Invoice</v>
          </cell>
          <cell r="D5016">
            <v>38527</v>
          </cell>
          <cell r="F5016" t="str">
            <v>6406</v>
          </cell>
          <cell r="G5016" t="str">
            <v>ScentAir Australia Pty Ltd.</v>
          </cell>
          <cell r="H5016">
            <v>2</v>
          </cell>
        </row>
        <row r="5017">
          <cell r="B5017" t="str">
            <v>SWC2040-0479</v>
          </cell>
          <cell r="C5017" t="str">
            <v>Invoice</v>
          </cell>
          <cell r="D5017">
            <v>38588</v>
          </cell>
          <cell r="F5017" t="str">
            <v>7671</v>
          </cell>
          <cell r="G5017" t="str">
            <v>ScentAir Australia Pty Ltd.</v>
          </cell>
          <cell r="H5017">
            <v>2</v>
          </cell>
        </row>
        <row r="5018">
          <cell r="B5018" t="str">
            <v>SWC2040-0493</v>
          </cell>
          <cell r="C5018" t="str">
            <v>Invoice</v>
          </cell>
          <cell r="D5018">
            <v>38601</v>
          </cell>
          <cell r="F5018" t="str">
            <v>7815</v>
          </cell>
          <cell r="G5018" t="str">
            <v>ScentAir Australia Pty Ltd.</v>
          </cell>
          <cell r="H5018">
            <v>2</v>
          </cell>
        </row>
        <row r="5019">
          <cell r="B5019" t="str">
            <v>SWC2040-0496</v>
          </cell>
          <cell r="C5019" t="str">
            <v>Invoice</v>
          </cell>
          <cell r="D5019">
            <v>38604</v>
          </cell>
          <cell r="F5019" t="str">
            <v>7213</v>
          </cell>
          <cell r="G5019" t="str">
            <v>Disney Worldwide:Goofy's Candy Company</v>
          </cell>
          <cell r="H5019">
            <v>2</v>
          </cell>
        </row>
        <row r="5020">
          <cell r="B5020" t="str">
            <v>SWC2040-0521</v>
          </cell>
          <cell r="C5020" t="str">
            <v>Invoice</v>
          </cell>
          <cell r="D5020">
            <v>38625</v>
          </cell>
          <cell r="F5020" t="str">
            <v>8200</v>
          </cell>
          <cell r="G5020" t="str">
            <v>ScentAir Australia Pty Ltd.</v>
          </cell>
          <cell r="H5020">
            <v>2</v>
          </cell>
        </row>
        <row r="5021">
          <cell r="B5021" t="str">
            <v>SWC2040-0794</v>
          </cell>
          <cell r="C5021" t="str">
            <v>Invoice</v>
          </cell>
          <cell r="D5021">
            <v>38495</v>
          </cell>
          <cell r="F5021" t="str">
            <v>6124</v>
          </cell>
          <cell r="G5021" t="str">
            <v>ScentAir - Corporate Associates:Ed Burke</v>
          </cell>
          <cell r="H5021">
            <v>2</v>
          </cell>
        </row>
        <row r="5022">
          <cell r="B5022" t="str">
            <v>SWC2040-0794</v>
          </cell>
          <cell r="C5022" t="str">
            <v>Invoice</v>
          </cell>
          <cell r="D5022">
            <v>38601</v>
          </cell>
          <cell r="F5022" t="str">
            <v>7815</v>
          </cell>
          <cell r="G5022" t="str">
            <v>ScentAir Australia Pty Ltd.</v>
          </cell>
          <cell r="H5022">
            <v>2</v>
          </cell>
        </row>
        <row r="5023">
          <cell r="B5023" t="str">
            <v>SWC2040-0838</v>
          </cell>
          <cell r="C5023" t="str">
            <v>Invoice</v>
          </cell>
          <cell r="D5023">
            <v>38607</v>
          </cell>
          <cell r="F5023" t="str">
            <v>7890</v>
          </cell>
          <cell r="G5023" t="str">
            <v>ScentAir Australia Pty Ltd.</v>
          </cell>
          <cell r="H5023">
            <v>2</v>
          </cell>
        </row>
        <row r="5024">
          <cell r="B5024" t="str">
            <v>SWC2040-0841</v>
          </cell>
          <cell r="C5024" t="str">
            <v>Invoice</v>
          </cell>
          <cell r="D5024">
            <v>38471</v>
          </cell>
          <cell r="F5024" t="str">
            <v>6020</v>
          </cell>
          <cell r="G5024" t="str">
            <v>ScentAir Australia Pty Ltd.</v>
          </cell>
          <cell r="H5024">
            <v>2</v>
          </cell>
        </row>
        <row r="5025">
          <cell r="B5025" t="str">
            <v>SWC2040-0841</v>
          </cell>
          <cell r="C5025" t="str">
            <v>Invoice</v>
          </cell>
          <cell r="D5025">
            <v>38588</v>
          </cell>
          <cell r="F5025" t="str">
            <v>7671</v>
          </cell>
          <cell r="G5025" t="str">
            <v>ScentAir Australia Pty Ltd.</v>
          </cell>
          <cell r="H5025">
            <v>2</v>
          </cell>
        </row>
        <row r="5026">
          <cell r="B5026" t="str">
            <v>SWC2040-0849</v>
          </cell>
          <cell r="C5026" t="str">
            <v>Invoice</v>
          </cell>
          <cell r="D5026">
            <v>38495</v>
          </cell>
          <cell r="F5026" t="str">
            <v>6124</v>
          </cell>
          <cell r="G5026" t="str">
            <v>ScentAir - Corporate Associates:Ed Burke</v>
          </cell>
          <cell r="H5026">
            <v>2</v>
          </cell>
        </row>
        <row r="5027">
          <cell r="B5027" t="str">
            <v>SWC2040-0880</v>
          </cell>
          <cell r="C5027" t="str">
            <v>Invoice</v>
          </cell>
          <cell r="D5027">
            <v>38471</v>
          </cell>
          <cell r="F5027" t="str">
            <v>6020</v>
          </cell>
          <cell r="G5027" t="str">
            <v>ScentAir Australia Pty Ltd.</v>
          </cell>
          <cell r="H5027">
            <v>2</v>
          </cell>
        </row>
        <row r="5028">
          <cell r="B5028" t="str">
            <v>SWC2040-0892</v>
          </cell>
          <cell r="C5028" t="str">
            <v>Invoice</v>
          </cell>
          <cell r="D5028">
            <v>38621</v>
          </cell>
          <cell r="F5028" t="str">
            <v>8051</v>
          </cell>
          <cell r="G5028" t="str">
            <v>Muzak, LLC:Food Lion #0531 (Bloom Stores)</v>
          </cell>
          <cell r="H5028">
            <v>2</v>
          </cell>
        </row>
        <row r="5029">
          <cell r="B5029" t="str">
            <v>SWC2040-0892</v>
          </cell>
          <cell r="C5029" t="str">
            <v>Invoice</v>
          </cell>
          <cell r="D5029">
            <v>38621</v>
          </cell>
          <cell r="F5029" t="str">
            <v>8052</v>
          </cell>
          <cell r="G5029" t="str">
            <v>Muzak, LLC:Food Lion #0564 (Bloom Stores)</v>
          </cell>
          <cell r="H5029">
            <v>2</v>
          </cell>
        </row>
        <row r="5030">
          <cell r="B5030" t="str">
            <v>SWC2040-0892</v>
          </cell>
          <cell r="C5030" t="str">
            <v>Invoice</v>
          </cell>
          <cell r="D5030">
            <v>38621</v>
          </cell>
          <cell r="F5030" t="str">
            <v>8053</v>
          </cell>
          <cell r="G5030" t="str">
            <v>Muzak, LLC:Food Lion #1351 (Bloom Stores)</v>
          </cell>
          <cell r="H5030">
            <v>2</v>
          </cell>
        </row>
        <row r="5031">
          <cell r="B5031" t="str">
            <v>SWC2040-0892</v>
          </cell>
          <cell r="C5031" t="str">
            <v>Invoice</v>
          </cell>
          <cell r="D5031">
            <v>38621</v>
          </cell>
          <cell r="F5031" t="str">
            <v>8054</v>
          </cell>
          <cell r="G5031" t="str">
            <v>Muzak, LLC:Food Lion #1438 (Bloom Stores)</v>
          </cell>
          <cell r="H5031">
            <v>2</v>
          </cell>
        </row>
        <row r="5032">
          <cell r="B5032" t="str">
            <v>SWC2040-0892</v>
          </cell>
          <cell r="C5032" t="str">
            <v>Invoice</v>
          </cell>
          <cell r="D5032">
            <v>38621</v>
          </cell>
          <cell r="F5032" t="str">
            <v>8055</v>
          </cell>
          <cell r="G5032" t="str">
            <v>Muzak, LLC:Food Lion #2565 (Bloom Stores)</v>
          </cell>
          <cell r="H5032">
            <v>2</v>
          </cell>
        </row>
        <row r="5033">
          <cell r="B5033" t="str">
            <v>SWC2040-0895</v>
          </cell>
          <cell r="C5033" t="str">
            <v>Invoice</v>
          </cell>
          <cell r="D5033">
            <v>38471</v>
          </cell>
          <cell r="F5033" t="str">
            <v>6020</v>
          </cell>
          <cell r="G5033" t="str">
            <v>ScentAir Australia Pty Ltd.</v>
          </cell>
          <cell r="H5033">
            <v>2</v>
          </cell>
        </row>
        <row r="5034">
          <cell r="B5034" t="str">
            <v>SWC2040-0909</v>
          </cell>
          <cell r="C5034" t="str">
            <v>Invoice</v>
          </cell>
          <cell r="D5034">
            <v>38488</v>
          </cell>
          <cell r="F5034" t="str">
            <v>6067</v>
          </cell>
          <cell r="G5034" t="str">
            <v>ScentAir Australia Pty Ltd.</v>
          </cell>
          <cell r="H5034">
            <v>2</v>
          </cell>
        </row>
        <row r="5035">
          <cell r="B5035" t="str">
            <v>SWC2040-0909</v>
          </cell>
          <cell r="C5035" t="str">
            <v>Invoice</v>
          </cell>
          <cell r="D5035">
            <v>38527</v>
          </cell>
          <cell r="F5035" t="str">
            <v>6406</v>
          </cell>
          <cell r="G5035" t="str">
            <v>ScentAir Australia Pty Ltd.</v>
          </cell>
          <cell r="H5035">
            <v>2</v>
          </cell>
        </row>
        <row r="5036">
          <cell r="B5036" t="str">
            <v>SWC2040-0909</v>
          </cell>
          <cell r="C5036" t="str">
            <v>Invoice</v>
          </cell>
          <cell r="D5036">
            <v>38588</v>
          </cell>
          <cell r="F5036" t="str">
            <v>7671</v>
          </cell>
          <cell r="G5036" t="str">
            <v>ScentAir Australia Pty Ltd.</v>
          </cell>
          <cell r="H5036">
            <v>2</v>
          </cell>
        </row>
        <row r="5037">
          <cell r="B5037" t="str">
            <v>SWC2040-0913</v>
          </cell>
          <cell r="C5037" t="str">
            <v>Invoice</v>
          </cell>
          <cell r="D5037">
            <v>38554</v>
          </cell>
          <cell r="F5037" t="str">
            <v>7144</v>
          </cell>
          <cell r="G5037" t="str">
            <v>ScentAir Australia Pty Ltd.</v>
          </cell>
          <cell r="H5037">
            <v>2</v>
          </cell>
        </row>
        <row r="5038">
          <cell r="B5038" t="str">
            <v>SWC2040-0963</v>
          </cell>
          <cell r="C5038" t="str">
            <v>Invoice</v>
          </cell>
          <cell r="D5038">
            <v>38488</v>
          </cell>
          <cell r="F5038" t="str">
            <v>6067</v>
          </cell>
          <cell r="G5038" t="str">
            <v>ScentAir Australia Pty Ltd.</v>
          </cell>
          <cell r="H5038">
            <v>2</v>
          </cell>
        </row>
        <row r="5039">
          <cell r="B5039" t="str">
            <v>SWC2040-0963</v>
          </cell>
          <cell r="C5039" t="str">
            <v>Invoice</v>
          </cell>
          <cell r="D5039">
            <v>38527</v>
          </cell>
          <cell r="F5039" t="str">
            <v>6406</v>
          </cell>
          <cell r="G5039" t="str">
            <v>ScentAir Australia Pty Ltd.</v>
          </cell>
          <cell r="H5039">
            <v>2</v>
          </cell>
        </row>
        <row r="5040">
          <cell r="B5040" t="str">
            <v>SWC2040-1016</v>
          </cell>
          <cell r="C5040" t="str">
            <v>Invoice</v>
          </cell>
          <cell r="D5040">
            <v>38554</v>
          </cell>
          <cell r="F5040" t="str">
            <v>7144</v>
          </cell>
          <cell r="G5040" t="str">
            <v>ScentAir Australia Pty Ltd.</v>
          </cell>
          <cell r="H5040">
            <v>2</v>
          </cell>
        </row>
        <row r="5041">
          <cell r="B5041" t="str">
            <v>SWC2040-1031</v>
          </cell>
          <cell r="C5041" t="str">
            <v>Invoice</v>
          </cell>
          <cell r="D5041">
            <v>38608</v>
          </cell>
          <cell r="F5041" t="str">
            <v>7924</v>
          </cell>
          <cell r="G5041" t="str">
            <v>Muzak, LLC</v>
          </cell>
          <cell r="H5041">
            <v>2</v>
          </cell>
        </row>
        <row r="5042">
          <cell r="B5042" t="str">
            <v>SWC2040-1062</v>
          </cell>
          <cell r="C5042" t="str">
            <v>Invoice</v>
          </cell>
          <cell r="D5042">
            <v>38471</v>
          </cell>
          <cell r="F5042" t="str">
            <v>6020</v>
          </cell>
          <cell r="G5042" t="str">
            <v>ScentAir Australia Pty Ltd.</v>
          </cell>
          <cell r="H5042">
            <v>2</v>
          </cell>
        </row>
        <row r="5043">
          <cell r="B5043" t="str">
            <v>SWC2040-1095</v>
          </cell>
          <cell r="C5043" t="str">
            <v>Invoice</v>
          </cell>
          <cell r="D5043">
            <v>38588</v>
          </cell>
          <cell r="F5043" t="str">
            <v>7671</v>
          </cell>
          <cell r="G5043" t="str">
            <v>ScentAir Australia Pty Ltd.</v>
          </cell>
          <cell r="H5043">
            <v>2</v>
          </cell>
        </row>
        <row r="5044">
          <cell r="B5044" t="str">
            <v>SWC2040-1105</v>
          </cell>
          <cell r="C5044" t="str">
            <v>Invoice</v>
          </cell>
          <cell r="D5044">
            <v>38540</v>
          </cell>
          <cell r="F5044" t="str">
            <v>7093</v>
          </cell>
          <cell r="G5044" t="str">
            <v>Omni Hotels</v>
          </cell>
          <cell r="H5044">
            <v>2</v>
          </cell>
        </row>
        <row r="5045">
          <cell r="B5045" t="str">
            <v>SWC2040-1364</v>
          </cell>
          <cell r="C5045" t="str">
            <v>Invoice</v>
          </cell>
          <cell r="D5045">
            <v>38554</v>
          </cell>
          <cell r="F5045" t="str">
            <v>7144</v>
          </cell>
          <cell r="G5045" t="str">
            <v>ScentAir Australia Pty Ltd.</v>
          </cell>
          <cell r="H5045">
            <v>2</v>
          </cell>
        </row>
        <row r="5046">
          <cell r="B5046" t="str">
            <v>SWC-496</v>
          </cell>
          <cell r="C5046" t="str">
            <v>Invoice</v>
          </cell>
          <cell r="D5046">
            <v>38357</v>
          </cell>
          <cell r="F5046" t="str">
            <v>5149</v>
          </cell>
          <cell r="G5046" t="str">
            <v>Dylan's Candy Bar - NYC</v>
          </cell>
          <cell r="H5046">
            <v>2</v>
          </cell>
        </row>
        <row r="5047">
          <cell r="B5047" t="str">
            <v>SWC-766</v>
          </cell>
          <cell r="C5047" t="str">
            <v>Invoice</v>
          </cell>
          <cell r="D5047">
            <v>38378</v>
          </cell>
          <cell r="F5047" t="str">
            <v>5279</v>
          </cell>
          <cell r="G5047" t="str">
            <v>The Funplex</v>
          </cell>
          <cell r="H5047">
            <v>2</v>
          </cell>
        </row>
        <row r="5048">
          <cell r="B5048" t="str">
            <v>SWC-794</v>
          </cell>
          <cell r="C5048" t="str">
            <v>Invoice</v>
          </cell>
          <cell r="D5048">
            <v>38378</v>
          </cell>
          <cell r="F5048" t="str">
            <v>5188</v>
          </cell>
          <cell r="G5048" t="str">
            <v>Hot Stuff</v>
          </cell>
          <cell r="H5048">
            <v>2</v>
          </cell>
        </row>
        <row r="5049">
          <cell r="B5049" t="str">
            <v>SWC-794</v>
          </cell>
          <cell r="C5049" t="str">
            <v>Invoice</v>
          </cell>
          <cell r="D5049">
            <v>38378</v>
          </cell>
          <cell r="F5049" t="str">
            <v>5135</v>
          </cell>
          <cell r="G5049" t="str">
            <v>Venetian Hotel-Simone Ripamonti</v>
          </cell>
          <cell r="H5049">
            <v>2</v>
          </cell>
        </row>
        <row r="5050">
          <cell r="B5050" t="str">
            <v>SWC-794</v>
          </cell>
          <cell r="C5050" t="str">
            <v>Invoice</v>
          </cell>
          <cell r="D5050">
            <v>38378</v>
          </cell>
          <cell r="F5050" t="str">
            <v>5140</v>
          </cell>
          <cell r="G5050" t="str">
            <v>VendMax International Inc.</v>
          </cell>
          <cell r="H5050">
            <v>2</v>
          </cell>
        </row>
        <row r="5051">
          <cell r="B5051" t="str">
            <v>SWC-831</v>
          </cell>
          <cell r="C5051" t="str">
            <v>Invoice</v>
          </cell>
          <cell r="D5051">
            <v>38378</v>
          </cell>
          <cell r="F5051" t="str">
            <v>5259</v>
          </cell>
          <cell r="G5051" t="str">
            <v>PartyLand Utah</v>
          </cell>
          <cell r="H5051">
            <v>2</v>
          </cell>
        </row>
        <row r="5052">
          <cell r="B5052" t="str">
            <v>SWC-834</v>
          </cell>
          <cell r="C5052" t="str">
            <v>Invoice</v>
          </cell>
          <cell r="D5052">
            <v>38378</v>
          </cell>
          <cell r="F5052" t="str">
            <v>5259</v>
          </cell>
          <cell r="G5052" t="str">
            <v>PartyLand Utah</v>
          </cell>
          <cell r="H5052">
            <v>2</v>
          </cell>
        </row>
        <row r="5053">
          <cell r="B5053" t="str">
            <v>SWC-851</v>
          </cell>
          <cell r="C5053" t="str">
            <v>Invoice</v>
          </cell>
          <cell r="D5053">
            <v>38378</v>
          </cell>
          <cell r="F5053" t="str">
            <v>5197</v>
          </cell>
          <cell r="G5053" t="str">
            <v>Arkitectura Urbana</v>
          </cell>
          <cell r="H5053">
            <v>2</v>
          </cell>
        </row>
        <row r="5054">
          <cell r="B5054" t="str">
            <v>SWC-869</v>
          </cell>
          <cell r="C5054" t="str">
            <v>Invoice</v>
          </cell>
          <cell r="D5054">
            <v>38378</v>
          </cell>
          <cell r="F5054" t="str">
            <v>5141</v>
          </cell>
          <cell r="G5054" t="str">
            <v>Arkitectura Urbana</v>
          </cell>
          <cell r="H5054">
            <v>2</v>
          </cell>
        </row>
        <row r="5055">
          <cell r="B5055" t="str">
            <v>SWC-Blank</v>
          </cell>
          <cell r="C5055" t="str">
            <v>Invoice</v>
          </cell>
          <cell r="D5055">
            <v>38526</v>
          </cell>
          <cell r="F5055" t="str">
            <v>5567A</v>
          </cell>
          <cell r="G5055" t="str">
            <v>AroMarketing:AroMarketing - Texas</v>
          </cell>
          <cell r="H5055">
            <v>2</v>
          </cell>
        </row>
        <row r="5056">
          <cell r="B5056" t="str">
            <v>SWC-C48</v>
          </cell>
          <cell r="C5056" t="str">
            <v>Invoice</v>
          </cell>
          <cell r="D5056">
            <v>38383</v>
          </cell>
          <cell r="F5056" t="str">
            <v>5215</v>
          </cell>
          <cell r="G5056" t="str">
            <v>Sony Style Denver (Old)</v>
          </cell>
          <cell r="H5056">
            <v>2</v>
          </cell>
        </row>
        <row r="5057">
          <cell r="B5057" t="str">
            <v>SWC-C48</v>
          </cell>
          <cell r="C5057" t="str">
            <v>Invoice</v>
          </cell>
          <cell r="D5057">
            <v>38383</v>
          </cell>
          <cell r="F5057" t="str">
            <v>5225</v>
          </cell>
          <cell r="G5057" t="str">
            <v>Sony Style #65</v>
          </cell>
          <cell r="H5057">
            <v>2</v>
          </cell>
        </row>
        <row r="5058">
          <cell r="B5058" t="str">
            <v>SWD1000B</v>
          </cell>
          <cell r="C5058" t="str">
            <v>Invoice</v>
          </cell>
          <cell r="D5058">
            <v>38365</v>
          </cell>
          <cell r="F5058" t="str">
            <v>5185</v>
          </cell>
          <cell r="G5058" t="str">
            <v>Guckenheimer - Wexner Commons</v>
          </cell>
          <cell r="H5058">
            <v>2</v>
          </cell>
        </row>
        <row r="5059">
          <cell r="B5059" t="str">
            <v>SWD1000B</v>
          </cell>
          <cell r="C5059" t="str">
            <v>Invoice</v>
          </cell>
          <cell r="D5059">
            <v>38383</v>
          </cell>
          <cell r="F5059" t="str">
            <v>5215</v>
          </cell>
          <cell r="G5059" t="str">
            <v>Sony Style Denver (Old)</v>
          </cell>
          <cell r="H5059">
            <v>2</v>
          </cell>
        </row>
        <row r="5060">
          <cell r="B5060" t="str">
            <v>SWD1000B</v>
          </cell>
          <cell r="C5060" t="str">
            <v>Invoice</v>
          </cell>
          <cell r="D5060">
            <v>38383</v>
          </cell>
          <cell r="F5060" t="str">
            <v>5225</v>
          </cell>
          <cell r="G5060" t="str">
            <v>Sony Style #65</v>
          </cell>
          <cell r="H5060">
            <v>2</v>
          </cell>
        </row>
        <row r="5061">
          <cell r="B5061" t="str">
            <v>SWD1000B</v>
          </cell>
          <cell r="C5061" t="str">
            <v>Invoice</v>
          </cell>
          <cell r="D5061">
            <v>38385</v>
          </cell>
          <cell r="F5061" t="str">
            <v>5290</v>
          </cell>
          <cell r="G5061" t="str">
            <v>GMR Marketing</v>
          </cell>
          <cell r="H5061">
            <v>2</v>
          </cell>
        </row>
        <row r="5062">
          <cell r="B5062" t="str">
            <v>SWD1000B</v>
          </cell>
          <cell r="C5062" t="str">
            <v>Invoice</v>
          </cell>
          <cell r="D5062">
            <v>38393</v>
          </cell>
          <cell r="F5062" t="str">
            <v>5309</v>
          </cell>
          <cell r="G5062" t="str">
            <v>Klipsch Audio Technologies</v>
          </cell>
          <cell r="H5062">
            <v>2</v>
          </cell>
        </row>
        <row r="5063">
          <cell r="B5063" t="str">
            <v>SWD1000B</v>
          </cell>
          <cell r="C5063" t="str">
            <v>Invoice</v>
          </cell>
          <cell r="D5063">
            <v>38398</v>
          </cell>
          <cell r="F5063" t="str">
            <v>5319</v>
          </cell>
          <cell r="G5063" t="str">
            <v>Disney Worldwide:Coronado Springs Resort</v>
          </cell>
          <cell r="H5063">
            <v>2</v>
          </cell>
        </row>
        <row r="5064">
          <cell r="B5064" t="str">
            <v>SWD1000B</v>
          </cell>
          <cell r="C5064" t="str">
            <v>Invoice</v>
          </cell>
          <cell r="D5064">
            <v>38399</v>
          </cell>
          <cell r="F5064" t="str">
            <v>5316</v>
          </cell>
          <cell r="G5064" t="str">
            <v>Sony  Style # 62</v>
          </cell>
          <cell r="H5064">
            <v>2</v>
          </cell>
        </row>
        <row r="5065">
          <cell r="B5065" t="str">
            <v>SWD1000B</v>
          </cell>
          <cell r="C5065" t="str">
            <v>Invoice</v>
          </cell>
          <cell r="D5065">
            <v>38411</v>
          </cell>
          <cell r="F5065" t="str">
            <v>5348</v>
          </cell>
          <cell r="G5065" t="str">
            <v>Belmay Yonkers</v>
          </cell>
          <cell r="H5065">
            <v>2</v>
          </cell>
        </row>
        <row r="5066">
          <cell r="B5066" t="str">
            <v>SWD1000B</v>
          </cell>
          <cell r="C5066" t="str">
            <v>Invoice</v>
          </cell>
          <cell r="D5066">
            <v>38420</v>
          </cell>
          <cell r="F5066" t="str">
            <v>5448</v>
          </cell>
          <cell r="G5066" t="str">
            <v>WDW Disney's Decorating Support</v>
          </cell>
          <cell r="H5066">
            <v>2</v>
          </cell>
        </row>
        <row r="5067">
          <cell r="B5067" t="str">
            <v>SWD1000B</v>
          </cell>
          <cell r="C5067" t="str">
            <v>Invoice</v>
          </cell>
          <cell r="D5067">
            <v>38421</v>
          </cell>
          <cell r="F5067" t="str">
            <v>5454</v>
          </cell>
          <cell r="G5067" t="str">
            <v>Weird and Wonderful</v>
          </cell>
          <cell r="H5067">
            <v>2</v>
          </cell>
        </row>
        <row r="5068">
          <cell r="B5068" t="str">
            <v>SWD1000B</v>
          </cell>
          <cell r="C5068" t="str">
            <v>Invoice</v>
          </cell>
          <cell r="D5068">
            <v>38427</v>
          </cell>
          <cell r="F5068" t="str">
            <v>5428</v>
          </cell>
          <cell r="G5068" t="str">
            <v>Raytheon Technical Services Company</v>
          </cell>
          <cell r="H5068">
            <v>2</v>
          </cell>
        </row>
        <row r="5069">
          <cell r="B5069" t="str">
            <v>SWD1000B</v>
          </cell>
          <cell r="C5069" t="str">
            <v>Invoice</v>
          </cell>
          <cell r="D5069">
            <v>38427</v>
          </cell>
          <cell r="F5069" t="str">
            <v>5464</v>
          </cell>
          <cell r="G5069" t="str">
            <v>Cumberland Farms, Inc.</v>
          </cell>
          <cell r="H5069">
            <v>2</v>
          </cell>
        </row>
        <row r="5070">
          <cell r="B5070" t="str">
            <v>SWD1000B</v>
          </cell>
          <cell r="C5070" t="str">
            <v>Invoice</v>
          </cell>
          <cell r="D5070">
            <v>38434</v>
          </cell>
          <cell r="F5070" t="str">
            <v>5472</v>
          </cell>
          <cell r="G5070" t="str">
            <v>Jimmy Choo (Corporate Office)</v>
          </cell>
          <cell r="H5070">
            <v>2</v>
          </cell>
        </row>
        <row r="5071">
          <cell r="B5071" t="str">
            <v>SWD1000B</v>
          </cell>
          <cell r="C5071" t="str">
            <v>Invoice</v>
          </cell>
          <cell r="D5071">
            <v>38434</v>
          </cell>
          <cell r="F5071" t="str">
            <v>5485</v>
          </cell>
          <cell r="G5071" t="str">
            <v>Saddle Ranch</v>
          </cell>
          <cell r="H5071">
            <v>2</v>
          </cell>
        </row>
        <row r="5072">
          <cell r="B5072" t="str">
            <v>SWD1000B</v>
          </cell>
          <cell r="C5072" t="str">
            <v>Invoice</v>
          </cell>
          <cell r="D5072">
            <v>38440</v>
          </cell>
          <cell r="F5072" t="str">
            <v>5550</v>
          </cell>
          <cell r="G5072" t="str">
            <v>Arkitectura Urbana</v>
          </cell>
          <cell r="H5072">
            <v>2</v>
          </cell>
        </row>
        <row r="5073">
          <cell r="B5073" t="str">
            <v>SWD1000B</v>
          </cell>
          <cell r="C5073" t="str">
            <v>Invoice</v>
          </cell>
          <cell r="D5073">
            <v>38442</v>
          </cell>
          <cell r="F5073" t="str">
            <v>5318</v>
          </cell>
          <cell r="G5073" t="str">
            <v>Sony Style #63</v>
          </cell>
          <cell r="H5073">
            <v>2</v>
          </cell>
        </row>
        <row r="5074">
          <cell r="B5074" t="str">
            <v>SWD1000B</v>
          </cell>
          <cell r="C5074" t="str">
            <v>Invoice</v>
          </cell>
          <cell r="D5074">
            <v>38448</v>
          </cell>
          <cell r="F5074" t="str">
            <v>5563</v>
          </cell>
          <cell r="G5074" t="str">
            <v>Disney Worldwide:Store Planning Merchandising</v>
          </cell>
          <cell r="H5074">
            <v>2</v>
          </cell>
        </row>
        <row r="5075">
          <cell r="B5075" t="str">
            <v>SWD1000B</v>
          </cell>
          <cell r="C5075" t="str">
            <v>Invoice</v>
          </cell>
          <cell r="D5075">
            <v>38448</v>
          </cell>
          <cell r="F5075" t="str">
            <v>5592</v>
          </cell>
          <cell r="G5075" t="str">
            <v>Epcot Event Group</v>
          </cell>
          <cell r="H5075">
            <v>2</v>
          </cell>
        </row>
        <row r="5076">
          <cell r="B5076" t="str">
            <v>SWD1000B</v>
          </cell>
          <cell r="C5076" t="str">
            <v>Invoice</v>
          </cell>
          <cell r="D5076">
            <v>38448</v>
          </cell>
          <cell r="F5076" t="str">
            <v>5596</v>
          </cell>
          <cell r="G5076" t="str">
            <v>The Childrens Place</v>
          </cell>
          <cell r="H5076">
            <v>2</v>
          </cell>
        </row>
        <row r="5077">
          <cell r="B5077" t="str">
            <v>SWD1000B</v>
          </cell>
          <cell r="C5077" t="str">
            <v>Invoice</v>
          </cell>
          <cell r="D5077">
            <v>38467</v>
          </cell>
          <cell r="F5077" t="str">
            <v>5634</v>
          </cell>
          <cell r="G5077" t="str">
            <v>DFS Guam L.P.</v>
          </cell>
          <cell r="H5077">
            <v>2</v>
          </cell>
        </row>
        <row r="5078">
          <cell r="B5078" t="str">
            <v>SWD1000B</v>
          </cell>
          <cell r="C5078" t="str">
            <v>Invoice</v>
          </cell>
          <cell r="D5078">
            <v>38468</v>
          </cell>
          <cell r="F5078" t="str">
            <v>5621</v>
          </cell>
          <cell r="G5078" t="str">
            <v>Saks Fifth Avenue-Santa Barbara</v>
          </cell>
          <cell r="H5078">
            <v>2</v>
          </cell>
        </row>
        <row r="5079">
          <cell r="B5079" t="str">
            <v>SWD1000B</v>
          </cell>
          <cell r="C5079" t="str">
            <v>Invoice</v>
          </cell>
          <cell r="D5079">
            <v>38471</v>
          </cell>
          <cell r="F5079" t="str">
            <v>5722</v>
          </cell>
          <cell r="G5079" t="str">
            <v>M &amp; M World</v>
          </cell>
          <cell r="H5079">
            <v>2</v>
          </cell>
        </row>
        <row r="5080">
          <cell r="B5080" t="str">
            <v>SWD1000B</v>
          </cell>
          <cell r="C5080" t="str">
            <v>Invoice</v>
          </cell>
          <cell r="D5080">
            <v>38471</v>
          </cell>
          <cell r="F5080" t="str">
            <v>6033</v>
          </cell>
          <cell r="G5080" t="str">
            <v>The Childrens Place</v>
          </cell>
          <cell r="H5080">
            <v>2</v>
          </cell>
        </row>
        <row r="5081">
          <cell r="B5081" t="str">
            <v>SWD1000B</v>
          </cell>
          <cell r="C5081" t="str">
            <v>Invoice</v>
          </cell>
          <cell r="D5081">
            <v>38485</v>
          </cell>
          <cell r="F5081" t="str">
            <v>6051</v>
          </cell>
          <cell r="G5081" t="str">
            <v>Promotool</v>
          </cell>
          <cell r="H5081">
            <v>2</v>
          </cell>
        </row>
        <row r="5082">
          <cell r="B5082" t="str">
            <v>SWD1000B</v>
          </cell>
          <cell r="C5082" t="str">
            <v>Invoice</v>
          </cell>
          <cell r="D5082">
            <v>38491</v>
          </cell>
          <cell r="F5082" t="str">
            <v>5558A</v>
          </cell>
          <cell r="G5082" t="str">
            <v>Universal Studios Orlando:Islands of Adventure Foods</v>
          </cell>
          <cell r="H5082">
            <v>2</v>
          </cell>
        </row>
        <row r="5083">
          <cell r="B5083" t="str">
            <v>SWD1000B</v>
          </cell>
          <cell r="C5083" t="str">
            <v>Invoice</v>
          </cell>
          <cell r="D5083">
            <v>38495</v>
          </cell>
          <cell r="F5083" t="str">
            <v>6124</v>
          </cell>
          <cell r="G5083" t="str">
            <v>ScentAir - Corporate Associates:Ed Burke</v>
          </cell>
          <cell r="H5083">
            <v>2</v>
          </cell>
        </row>
        <row r="5084">
          <cell r="B5084" t="str">
            <v>SWD1000B</v>
          </cell>
          <cell r="C5084" t="str">
            <v>Invoice</v>
          </cell>
          <cell r="D5084">
            <v>38495</v>
          </cell>
          <cell r="F5084" t="str">
            <v>6145</v>
          </cell>
          <cell r="G5084" t="str">
            <v>Carolina Sound Communications:CSC Piggly Wiggly</v>
          </cell>
          <cell r="H5084">
            <v>2</v>
          </cell>
        </row>
        <row r="5085">
          <cell r="B5085" t="str">
            <v>SWD1000B</v>
          </cell>
          <cell r="C5085" t="str">
            <v>Invoice</v>
          </cell>
          <cell r="D5085">
            <v>38499</v>
          </cell>
          <cell r="F5085" t="str">
            <v>6175</v>
          </cell>
          <cell r="G5085" t="str">
            <v>Hustler Hollywood - Cincinnati, OH</v>
          </cell>
          <cell r="H5085">
            <v>2</v>
          </cell>
        </row>
        <row r="5086">
          <cell r="B5086" t="str">
            <v>SWD1000B</v>
          </cell>
          <cell r="C5086" t="str">
            <v>Invoice</v>
          </cell>
          <cell r="D5086">
            <v>38511</v>
          </cell>
          <cell r="F5086" t="str">
            <v>6284</v>
          </cell>
          <cell r="G5086" t="str">
            <v>American Solutions Inc.</v>
          </cell>
          <cell r="H5086">
            <v>2</v>
          </cell>
        </row>
        <row r="5087">
          <cell r="B5087" t="str">
            <v>SWD1000B</v>
          </cell>
          <cell r="C5087" t="str">
            <v>Invoice</v>
          </cell>
          <cell r="D5087">
            <v>38512</v>
          </cell>
          <cell r="F5087" t="str">
            <v>6265</v>
          </cell>
          <cell r="G5087" t="str">
            <v>Sony Style #66</v>
          </cell>
          <cell r="H5087">
            <v>2</v>
          </cell>
        </row>
        <row r="5088">
          <cell r="B5088" t="str">
            <v>SWD1000B</v>
          </cell>
          <cell r="C5088" t="str">
            <v>Invoice</v>
          </cell>
          <cell r="D5088">
            <v>38516</v>
          </cell>
          <cell r="F5088" t="str">
            <v>5532A</v>
          </cell>
          <cell r="G5088" t="str">
            <v>Sony Style #xx (Kenwood Ctr)</v>
          </cell>
          <cell r="H5088">
            <v>2</v>
          </cell>
        </row>
        <row r="5089">
          <cell r="B5089" t="str">
            <v>SWD1000B</v>
          </cell>
          <cell r="C5089" t="str">
            <v>Invoice</v>
          </cell>
          <cell r="D5089">
            <v>38526</v>
          </cell>
          <cell r="F5089" t="str">
            <v>6392</v>
          </cell>
          <cell r="G5089" t="str">
            <v>Hustler Hollywood - Nashville, TN</v>
          </cell>
          <cell r="H5089">
            <v>2</v>
          </cell>
        </row>
        <row r="5090">
          <cell r="B5090" t="str">
            <v>SWD1000B</v>
          </cell>
          <cell r="C5090" t="str">
            <v>Invoice</v>
          </cell>
          <cell r="D5090">
            <v>38526</v>
          </cell>
          <cell r="F5090" t="str">
            <v>5577-I</v>
          </cell>
          <cell r="G5090" t="str">
            <v>Floralife</v>
          </cell>
          <cell r="H5090">
            <v>2</v>
          </cell>
        </row>
        <row r="5091">
          <cell r="B5091" t="str">
            <v>SWD1000B</v>
          </cell>
          <cell r="C5091" t="str">
            <v>Invoice</v>
          </cell>
          <cell r="D5091">
            <v>38530</v>
          </cell>
          <cell r="F5091" t="str">
            <v>6266</v>
          </cell>
          <cell r="G5091" t="str">
            <v>Hustler Hollywood - Monroe, OH</v>
          </cell>
          <cell r="H5091">
            <v>2</v>
          </cell>
        </row>
        <row r="5092">
          <cell r="B5092" t="str">
            <v>SWD1000B</v>
          </cell>
          <cell r="C5092" t="str">
            <v>Invoice</v>
          </cell>
          <cell r="D5092">
            <v>38533</v>
          </cell>
          <cell r="F5092" t="str">
            <v>7041</v>
          </cell>
          <cell r="G5092" t="str">
            <v>Arkitectura Urbana</v>
          </cell>
          <cell r="H5092">
            <v>2</v>
          </cell>
        </row>
        <row r="5093">
          <cell r="B5093" t="str">
            <v>SWD1000B</v>
          </cell>
          <cell r="C5093" t="str">
            <v>Invoice</v>
          </cell>
          <cell r="D5093">
            <v>38546</v>
          </cell>
          <cell r="F5093" t="str">
            <v>7140</v>
          </cell>
          <cell r="G5093" t="str">
            <v>Muzak, LLC:Eastern Mountain Sports:EMS - Concord</v>
          </cell>
          <cell r="H5093">
            <v>2</v>
          </cell>
        </row>
        <row r="5094">
          <cell r="B5094" t="str">
            <v>SWD1000B</v>
          </cell>
          <cell r="C5094" t="str">
            <v>Invoice</v>
          </cell>
          <cell r="D5094">
            <v>38546</v>
          </cell>
          <cell r="F5094" t="str">
            <v>7139</v>
          </cell>
          <cell r="G5094" t="str">
            <v>Muzak, LLC:Eastern Mountain Sports:EMS - Portland</v>
          </cell>
          <cell r="H5094">
            <v>2</v>
          </cell>
        </row>
        <row r="5095">
          <cell r="B5095" t="str">
            <v>SWD1000B</v>
          </cell>
          <cell r="C5095" t="str">
            <v>Invoice</v>
          </cell>
          <cell r="D5095">
            <v>38552</v>
          </cell>
          <cell r="F5095" t="str">
            <v>7173</v>
          </cell>
          <cell r="G5095" t="str">
            <v>ScentAir - Corporate Associates</v>
          </cell>
          <cell r="H5095">
            <v>2</v>
          </cell>
        </row>
        <row r="5096">
          <cell r="B5096" t="str">
            <v>SWD1000B</v>
          </cell>
          <cell r="C5096" t="str">
            <v>Invoice</v>
          </cell>
          <cell r="D5096">
            <v>38553</v>
          </cell>
          <cell r="F5096" t="str">
            <v>7168</v>
          </cell>
          <cell r="G5096" t="str">
            <v>Promotool</v>
          </cell>
          <cell r="H5096">
            <v>2</v>
          </cell>
        </row>
        <row r="5097">
          <cell r="B5097" t="str">
            <v>SWD1000B</v>
          </cell>
          <cell r="C5097" t="str">
            <v>Invoice</v>
          </cell>
          <cell r="D5097">
            <v>38553</v>
          </cell>
          <cell r="F5097" t="str">
            <v>7175</v>
          </cell>
          <cell r="G5097" t="str">
            <v>Harley Davidson of Cool Springs</v>
          </cell>
          <cell r="H5097">
            <v>2</v>
          </cell>
        </row>
        <row r="5098">
          <cell r="B5098" t="str">
            <v>SWD1000B</v>
          </cell>
          <cell r="C5098" t="str">
            <v>Invoice</v>
          </cell>
          <cell r="D5098">
            <v>38572</v>
          </cell>
          <cell r="F5098" t="str">
            <v>7313</v>
          </cell>
          <cell r="G5098" t="str">
            <v>Canadian Niagara Hotels:The Hershey Store</v>
          </cell>
          <cell r="H5098">
            <v>2</v>
          </cell>
        </row>
        <row r="5099">
          <cell r="B5099" t="str">
            <v>SWD1000B</v>
          </cell>
          <cell r="C5099" t="str">
            <v>Invoice</v>
          </cell>
          <cell r="D5099">
            <v>38586</v>
          </cell>
          <cell r="F5099" t="str">
            <v>7640</v>
          </cell>
          <cell r="G5099" t="str">
            <v>jaGG Classic Wholesale Inc.</v>
          </cell>
          <cell r="H5099">
            <v>2</v>
          </cell>
        </row>
        <row r="5100">
          <cell r="B5100" t="str">
            <v>SWD1000B</v>
          </cell>
          <cell r="C5100" t="str">
            <v>Invoice</v>
          </cell>
          <cell r="D5100">
            <v>38588</v>
          </cell>
          <cell r="F5100" t="str">
            <v>7664</v>
          </cell>
          <cell r="G5100" t="str">
            <v>Muzak, IA:Carolina Sound Communications</v>
          </cell>
          <cell r="H5100">
            <v>2</v>
          </cell>
        </row>
        <row r="5101">
          <cell r="B5101" t="str">
            <v>SWD1000B</v>
          </cell>
          <cell r="C5101" t="str">
            <v>Invoice</v>
          </cell>
          <cell r="D5101">
            <v>38589</v>
          </cell>
          <cell r="F5101" t="str">
            <v>7693</v>
          </cell>
          <cell r="G5101" t="str">
            <v>Muzak, IA:Texas Wired:Omni Austin Hotel Downtown</v>
          </cell>
          <cell r="H5101">
            <v>2</v>
          </cell>
        </row>
        <row r="5102">
          <cell r="B5102" t="str">
            <v>SWD1000B</v>
          </cell>
          <cell r="C5102" t="str">
            <v>Invoice</v>
          </cell>
          <cell r="D5102">
            <v>38595</v>
          </cell>
          <cell r="F5102" t="str">
            <v>7733</v>
          </cell>
          <cell r="G5102" t="str">
            <v>Muzak, IA:Independence Communications, PA</v>
          </cell>
          <cell r="H5102">
            <v>2</v>
          </cell>
        </row>
        <row r="5103">
          <cell r="B5103" t="str">
            <v>SWD1000B</v>
          </cell>
          <cell r="C5103" t="str">
            <v>Invoice</v>
          </cell>
          <cell r="D5103">
            <v>38595</v>
          </cell>
          <cell r="F5103" t="str">
            <v>7731</v>
          </cell>
          <cell r="G5103" t="str">
            <v>Muzak, IA:Independence Communications, PA</v>
          </cell>
          <cell r="H5103">
            <v>2</v>
          </cell>
        </row>
        <row r="5104">
          <cell r="B5104" t="str">
            <v>SWD1000B</v>
          </cell>
          <cell r="C5104" t="str">
            <v>Invoice</v>
          </cell>
          <cell r="D5104">
            <v>38597</v>
          </cell>
          <cell r="F5104" t="str">
            <v>7820</v>
          </cell>
          <cell r="G5104" t="str">
            <v>ScentAir - Corporate Associates</v>
          </cell>
          <cell r="H5104">
            <v>2</v>
          </cell>
        </row>
        <row r="5105">
          <cell r="B5105" t="str">
            <v>SWD1000B</v>
          </cell>
          <cell r="C5105" t="str">
            <v>Invoice</v>
          </cell>
          <cell r="D5105">
            <v>38597</v>
          </cell>
          <cell r="F5105" t="str">
            <v>7806</v>
          </cell>
          <cell r="G5105" t="str">
            <v>Muzak, LLC:Spalon @ T Carlton</v>
          </cell>
          <cell r="H5105">
            <v>2</v>
          </cell>
        </row>
        <row r="5106">
          <cell r="B5106" t="str">
            <v>SWD1000B</v>
          </cell>
          <cell r="C5106" t="str">
            <v>Invoice</v>
          </cell>
          <cell r="D5106">
            <v>38603</v>
          </cell>
          <cell r="F5106" t="str">
            <v>7825</v>
          </cell>
          <cell r="G5106" t="str">
            <v>Videotronic Benelux BV</v>
          </cell>
          <cell r="H5106">
            <v>2</v>
          </cell>
        </row>
        <row r="5107">
          <cell r="B5107" t="str">
            <v>SWD1000B</v>
          </cell>
          <cell r="C5107" t="str">
            <v>Invoice</v>
          </cell>
          <cell r="D5107">
            <v>38603</v>
          </cell>
          <cell r="F5107" t="str">
            <v>7823</v>
          </cell>
          <cell r="G5107" t="str">
            <v>Skatetown - Roseville</v>
          </cell>
          <cell r="H5107">
            <v>2</v>
          </cell>
        </row>
        <row r="5108">
          <cell r="B5108" t="str">
            <v>SWD1000B</v>
          </cell>
          <cell r="C5108" t="str">
            <v>Invoice</v>
          </cell>
          <cell r="D5108">
            <v>38603</v>
          </cell>
          <cell r="F5108" t="str">
            <v>7823</v>
          </cell>
          <cell r="G5108" t="str">
            <v>Skatetown - Roseville</v>
          </cell>
          <cell r="H5108">
            <v>2</v>
          </cell>
        </row>
        <row r="5109">
          <cell r="B5109" t="str">
            <v>SWD1000B</v>
          </cell>
          <cell r="C5109" t="str">
            <v>Invoice</v>
          </cell>
          <cell r="D5109">
            <v>38603</v>
          </cell>
          <cell r="F5109" t="str">
            <v>7841</v>
          </cell>
          <cell r="G5109" t="str">
            <v>Muzak, LLC:Giant Eagle #6384</v>
          </cell>
          <cell r="H5109">
            <v>2</v>
          </cell>
        </row>
        <row r="5110">
          <cell r="B5110" t="str">
            <v>SWD1000B</v>
          </cell>
          <cell r="C5110" t="str">
            <v>Invoice</v>
          </cell>
          <cell r="D5110">
            <v>38609</v>
          </cell>
          <cell r="F5110" t="str">
            <v>7941</v>
          </cell>
          <cell r="G5110" t="str">
            <v>Muzak, IA:Melody Inc</v>
          </cell>
          <cell r="H5110">
            <v>2</v>
          </cell>
        </row>
        <row r="5111">
          <cell r="B5111" t="str">
            <v>SWD1000B</v>
          </cell>
          <cell r="C5111" t="str">
            <v>Invoice</v>
          </cell>
          <cell r="D5111">
            <v>38610</v>
          </cell>
          <cell r="F5111" t="str">
            <v>7952</v>
          </cell>
          <cell r="G5111" t="str">
            <v>Muzak, LLC:Flat Rock Grille #201</v>
          </cell>
          <cell r="H5111">
            <v>2</v>
          </cell>
        </row>
        <row r="5112">
          <cell r="B5112" t="str">
            <v>SWD1000B</v>
          </cell>
          <cell r="C5112" t="str">
            <v>Invoice</v>
          </cell>
          <cell r="D5112">
            <v>38610</v>
          </cell>
          <cell r="F5112" t="str">
            <v>7953</v>
          </cell>
          <cell r="G5112" t="str">
            <v>Muzak, LLC:Flat Rock Grille #200</v>
          </cell>
          <cell r="H5112">
            <v>2</v>
          </cell>
        </row>
        <row r="5113">
          <cell r="B5113" t="str">
            <v>SWD1000B</v>
          </cell>
          <cell r="C5113" t="str">
            <v>Invoice</v>
          </cell>
          <cell r="D5113">
            <v>38611</v>
          </cell>
          <cell r="F5113" t="str">
            <v>7949</v>
          </cell>
          <cell r="G5113" t="str">
            <v>Muzak, IA:Tropical Music Service, Inc</v>
          </cell>
          <cell r="H5113">
            <v>2</v>
          </cell>
        </row>
        <row r="5114">
          <cell r="B5114" t="str">
            <v>SWD1000B</v>
          </cell>
          <cell r="C5114" t="str">
            <v>Invoice</v>
          </cell>
          <cell r="D5114">
            <v>38614</v>
          </cell>
          <cell r="F5114" t="str">
            <v>7997</v>
          </cell>
          <cell r="G5114" t="str">
            <v>ScentAir - Corporate Associates:Dave Van Epps</v>
          </cell>
          <cell r="H5114">
            <v>2</v>
          </cell>
        </row>
        <row r="5115">
          <cell r="B5115" t="str">
            <v>SWD1000B</v>
          </cell>
          <cell r="C5115" t="str">
            <v>Invoice</v>
          </cell>
          <cell r="D5115">
            <v>38615</v>
          </cell>
          <cell r="F5115" t="str">
            <v>7976</v>
          </cell>
          <cell r="G5115" t="str">
            <v>Promotool</v>
          </cell>
          <cell r="H5115">
            <v>2</v>
          </cell>
        </row>
        <row r="5116">
          <cell r="B5116" t="str">
            <v>SWD1000B</v>
          </cell>
          <cell r="C5116" t="str">
            <v>Invoice</v>
          </cell>
          <cell r="D5116">
            <v>38622</v>
          </cell>
          <cell r="F5116" t="str">
            <v>8092</v>
          </cell>
          <cell r="G5116" t="str">
            <v>Muzak, IA:Metro Communications</v>
          </cell>
          <cell r="H5116">
            <v>2</v>
          </cell>
        </row>
        <row r="5117">
          <cell r="B5117" t="str">
            <v>SWD1000B</v>
          </cell>
          <cell r="C5117" t="str">
            <v>Invoice</v>
          </cell>
          <cell r="D5117">
            <v>38628</v>
          </cell>
          <cell r="F5117" t="str">
            <v>8205</v>
          </cell>
          <cell r="G5117" t="str">
            <v>Macy's # 01</v>
          </cell>
          <cell r="H5117">
            <v>2</v>
          </cell>
        </row>
        <row r="5118">
          <cell r="B5118" t="str">
            <v>SWD1000B</v>
          </cell>
          <cell r="C5118" t="str">
            <v>Invoice</v>
          </cell>
          <cell r="D5118">
            <v>38630</v>
          </cell>
          <cell r="F5118" t="str">
            <v>8318</v>
          </cell>
          <cell r="G5118" t="str">
            <v>Muzak, IA:Texas Wired</v>
          </cell>
          <cell r="H5118">
            <v>2</v>
          </cell>
        </row>
        <row r="5119">
          <cell r="B5119" t="str">
            <v>SWD1000BTJ12AC</v>
          </cell>
          <cell r="C5119" t="str">
            <v>Invoice</v>
          </cell>
          <cell r="D5119">
            <v>38569</v>
          </cell>
          <cell r="F5119" t="str">
            <v>7221</v>
          </cell>
          <cell r="G5119" t="str">
            <v>Sony Style #xx (Kenwood Ctr)</v>
          </cell>
          <cell r="H5119">
            <v>2</v>
          </cell>
        </row>
        <row r="5120">
          <cell r="B5120" t="str">
            <v>SWD1000BTJ12AC</v>
          </cell>
          <cell r="C5120" t="str">
            <v>Invoice</v>
          </cell>
          <cell r="D5120">
            <v>38574</v>
          </cell>
          <cell r="F5120" t="str">
            <v>7200</v>
          </cell>
          <cell r="G5120" t="str">
            <v>Sony Style # XX San Antonio</v>
          </cell>
          <cell r="H5120">
            <v>2</v>
          </cell>
        </row>
        <row r="5121">
          <cell r="B5121" t="str">
            <v>SWD1000BTJ12AC</v>
          </cell>
          <cell r="C5121" t="str">
            <v>Invoice</v>
          </cell>
          <cell r="D5121">
            <v>38595</v>
          </cell>
          <cell r="F5121" t="str">
            <v>7400</v>
          </cell>
          <cell r="G5121" t="str">
            <v>Sony Style # 59 (New)</v>
          </cell>
          <cell r="H5121">
            <v>2</v>
          </cell>
        </row>
        <row r="5122">
          <cell r="B5122" t="str">
            <v>SWD1000BTJ12AC</v>
          </cell>
          <cell r="C5122" t="str">
            <v>Invoice</v>
          </cell>
          <cell r="D5122">
            <v>38595</v>
          </cell>
          <cell r="F5122" t="str">
            <v>7401</v>
          </cell>
          <cell r="G5122" t="str">
            <v>Sony Style # 65</v>
          </cell>
          <cell r="H5122">
            <v>2</v>
          </cell>
        </row>
        <row r="5123">
          <cell r="B5123" t="str">
            <v>SWD1000BTJ12AC</v>
          </cell>
          <cell r="C5123" t="str">
            <v>Invoice</v>
          </cell>
          <cell r="D5123">
            <v>38595</v>
          </cell>
          <cell r="F5123" t="str">
            <v>7396</v>
          </cell>
          <cell r="G5123" t="str">
            <v>Sony  Style # 62</v>
          </cell>
          <cell r="H5123">
            <v>2</v>
          </cell>
        </row>
        <row r="5124">
          <cell r="B5124" t="str">
            <v>SWD1000BTJ12AC</v>
          </cell>
          <cell r="C5124" t="str">
            <v>Invoice</v>
          </cell>
          <cell r="D5124">
            <v>38597</v>
          </cell>
          <cell r="F5124" t="str">
            <v>7660</v>
          </cell>
          <cell r="G5124" t="str">
            <v>Sony Style #XX Westchester</v>
          </cell>
          <cell r="H5124">
            <v>2</v>
          </cell>
        </row>
        <row r="5125">
          <cell r="B5125" t="str">
            <v>SWD1000BTJ12AC</v>
          </cell>
          <cell r="C5125" t="str">
            <v>Invoice</v>
          </cell>
          <cell r="D5125">
            <v>38597</v>
          </cell>
          <cell r="F5125" t="str">
            <v>7662</v>
          </cell>
          <cell r="G5125" t="str">
            <v>Sony Style #XX Roosevelt Field</v>
          </cell>
          <cell r="H5125">
            <v>2</v>
          </cell>
        </row>
        <row r="5126">
          <cell r="B5126" t="str">
            <v>SWD1000BTJ12AC</v>
          </cell>
          <cell r="C5126" t="str">
            <v>Invoice</v>
          </cell>
          <cell r="D5126">
            <v>38604</v>
          </cell>
          <cell r="F5126" t="str">
            <v>7199</v>
          </cell>
          <cell r="G5126" t="str">
            <v>Sony Style #XX Tyson's Corner</v>
          </cell>
          <cell r="H5126">
            <v>2</v>
          </cell>
        </row>
        <row r="5127">
          <cell r="B5127" t="str">
            <v>SWD1000BTJ12AC</v>
          </cell>
          <cell r="C5127" t="str">
            <v>Invoice</v>
          </cell>
          <cell r="D5127">
            <v>38621</v>
          </cell>
          <cell r="F5127" t="str">
            <v>7658</v>
          </cell>
          <cell r="G5127" t="str">
            <v>Sony Style #XX Tyson's Corner</v>
          </cell>
          <cell r="H5127">
            <v>2</v>
          </cell>
        </row>
        <row r="5128">
          <cell r="B5128" t="str">
            <v>SWD1000BTJ12AC</v>
          </cell>
          <cell r="C5128" t="str">
            <v>Invoice</v>
          </cell>
          <cell r="D5128">
            <v>38629</v>
          </cell>
          <cell r="F5128" t="str">
            <v>7964</v>
          </cell>
          <cell r="G5128" t="str">
            <v>Sony Style - Boca Raton</v>
          </cell>
          <cell r="H5128">
            <v>2</v>
          </cell>
        </row>
        <row r="5129">
          <cell r="B5129" t="str">
            <v>SWD1000W</v>
          </cell>
          <cell r="C5129" t="str">
            <v>Invoice</v>
          </cell>
          <cell r="D5129">
            <v>38540</v>
          </cell>
          <cell r="F5129" t="str">
            <v>7093</v>
          </cell>
          <cell r="G5129" t="str">
            <v>Omni Hotels</v>
          </cell>
          <cell r="H5129">
            <v>2</v>
          </cell>
        </row>
        <row r="5130">
          <cell r="B5130" t="str">
            <v>SWD1000W</v>
          </cell>
          <cell r="C5130" t="str">
            <v>Invoice</v>
          </cell>
          <cell r="D5130">
            <v>38540</v>
          </cell>
          <cell r="F5130" t="str">
            <v>7099</v>
          </cell>
          <cell r="G5130" t="str">
            <v>ScentAir - Corporate Associates:Pamela Knock</v>
          </cell>
          <cell r="H5130">
            <v>2</v>
          </cell>
        </row>
        <row r="5131">
          <cell r="B5131" t="str">
            <v>SWD1000W</v>
          </cell>
          <cell r="C5131" t="str">
            <v>Invoice</v>
          </cell>
          <cell r="D5131">
            <v>38544</v>
          </cell>
          <cell r="F5131" t="str">
            <v>7124</v>
          </cell>
          <cell r="G5131" t="str">
            <v>ScentAir - Corporate Associates:Pamela Knock</v>
          </cell>
          <cell r="H5131">
            <v>2</v>
          </cell>
        </row>
        <row r="5132">
          <cell r="B5132" t="str">
            <v>SWD1000W</v>
          </cell>
          <cell r="C5132" t="str">
            <v>Invoice</v>
          </cell>
          <cell r="D5132">
            <v>38575</v>
          </cell>
          <cell r="F5132" t="str">
            <v>7344</v>
          </cell>
          <cell r="G5132" t="str">
            <v>Colorado Prime Foods</v>
          </cell>
          <cell r="H5132">
            <v>2</v>
          </cell>
        </row>
        <row r="5133">
          <cell r="B5133" t="str">
            <v>SWD1000W</v>
          </cell>
          <cell r="C5133" t="str">
            <v>Invoice</v>
          </cell>
          <cell r="D5133">
            <v>38575</v>
          </cell>
          <cell r="F5133" t="str">
            <v>7437</v>
          </cell>
          <cell r="G5133" t="str">
            <v>Muzak, LLC:Giant Eagle #229</v>
          </cell>
          <cell r="H5133">
            <v>2</v>
          </cell>
        </row>
        <row r="5134">
          <cell r="B5134" t="str">
            <v>SWD1000W</v>
          </cell>
          <cell r="C5134" t="str">
            <v>Invoice</v>
          </cell>
          <cell r="D5134">
            <v>38576</v>
          </cell>
          <cell r="F5134" t="str">
            <v>7370</v>
          </cell>
          <cell r="G5134" t="str">
            <v>Muzak, LLC:Appliance Direct - 034973</v>
          </cell>
          <cell r="H5134">
            <v>2</v>
          </cell>
        </row>
        <row r="5135">
          <cell r="B5135" t="str">
            <v>SWD1000W</v>
          </cell>
          <cell r="C5135" t="str">
            <v>Invoice</v>
          </cell>
          <cell r="D5135">
            <v>38576</v>
          </cell>
          <cell r="F5135" t="str">
            <v>7369</v>
          </cell>
          <cell r="G5135" t="str">
            <v>Muzak, LLC:Appliance Direct - 034972</v>
          </cell>
          <cell r="H5135">
            <v>2</v>
          </cell>
        </row>
        <row r="5136">
          <cell r="B5136" t="str">
            <v>SWD1000W</v>
          </cell>
          <cell r="C5136" t="str">
            <v>Invoice</v>
          </cell>
          <cell r="D5136">
            <v>38576</v>
          </cell>
          <cell r="F5136" t="str">
            <v>7368</v>
          </cell>
          <cell r="G5136" t="str">
            <v>Muzak, LLC:Appliance Direct - 034971</v>
          </cell>
          <cell r="H5136">
            <v>2</v>
          </cell>
        </row>
        <row r="5137">
          <cell r="B5137" t="str">
            <v>SWD1000W</v>
          </cell>
          <cell r="C5137" t="str">
            <v>Invoice</v>
          </cell>
          <cell r="D5137">
            <v>38576</v>
          </cell>
          <cell r="F5137" t="str">
            <v>7387</v>
          </cell>
          <cell r="G5137" t="str">
            <v>Muzak, LLC:Appliance Direct -035133</v>
          </cell>
          <cell r="H5137">
            <v>2</v>
          </cell>
        </row>
        <row r="5138">
          <cell r="B5138" t="str">
            <v>SWD1000W</v>
          </cell>
          <cell r="C5138" t="str">
            <v>Invoice</v>
          </cell>
          <cell r="D5138">
            <v>38576</v>
          </cell>
          <cell r="F5138" t="str">
            <v>7386</v>
          </cell>
          <cell r="G5138" t="str">
            <v>Muzak, LLC:Appliance Direct - Pro Kitchen</v>
          </cell>
          <cell r="H5138">
            <v>2</v>
          </cell>
        </row>
        <row r="5139">
          <cell r="B5139" t="str">
            <v>SWD1000W</v>
          </cell>
          <cell r="C5139" t="str">
            <v>Invoice</v>
          </cell>
          <cell r="D5139">
            <v>38576</v>
          </cell>
          <cell r="F5139" t="str">
            <v>7385</v>
          </cell>
          <cell r="G5139" t="str">
            <v>Muzak, LLC:Appliance Direct - 034975</v>
          </cell>
          <cell r="H5139">
            <v>2</v>
          </cell>
        </row>
        <row r="5140">
          <cell r="B5140" t="str">
            <v>SWD1000W</v>
          </cell>
          <cell r="C5140" t="str">
            <v>Invoice</v>
          </cell>
          <cell r="D5140">
            <v>38576</v>
          </cell>
          <cell r="F5140" t="str">
            <v>7384</v>
          </cell>
          <cell r="G5140" t="str">
            <v>Muzak, LLC:Appliance Direct - 043548</v>
          </cell>
          <cell r="H5140">
            <v>2</v>
          </cell>
        </row>
        <row r="5141">
          <cell r="B5141" t="str">
            <v>SWD1000W</v>
          </cell>
          <cell r="C5141" t="str">
            <v>Invoice</v>
          </cell>
          <cell r="D5141">
            <v>38576</v>
          </cell>
          <cell r="F5141" t="str">
            <v>7383</v>
          </cell>
          <cell r="G5141" t="str">
            <v>Muzak, LLC:Appliance Direct - 043547</v>
          </cell>
          <cell r="H5141">
            <v>2</v>
          </cell>
        </row>
        <row r="5142">
          <cell r="B5142" t="str">
            <v>SWD1000W</v>
          </cell>
          <cell r="C5142" t="str">
            <v>Invoice</v>
          </cell>
          <cell r="D5142">
            <v>38576</v>
          </cell>
          <cell r="F5142" t="str">
            <v>7382</v>
          </cell>
          <cell r="G5142" t="str">
            <v>Muzak, LLC:Appliance Direct - 043545</v>
          </cell>
          <cell r="H5142">
            <v>2</v>
          </cell>
        </row>
        <row r="5143">
          <cell r="B5143" t="str">
            <v>SWD1000W</v>
          </cell>
          <cell r="C5143" t="str">
            <v>Invoice</v>
          </cell>
          <cell r="D5143">
            <v>38576</v>
          </cell>
          <cell r="F5143" t="str">
            <v>7381</v>
          </cell>
          <cell r="G5143" t="str">
            <v>Muzak, LLC:Appliance Direct - 043544</v>
          </cell>
          <cell r="H5143">
            <v>2</v>
          </cell>
        </row>
        <row r="5144">
          <cell r="B5144" t="str">
            <v>SWD1000W</v>
          </cell>
          <cell r="C5144" t="str">
            <v>Invoice</v>
          </cell>
          <cell r="D5144">
            <v>38576</v>
          </cell>
          <cell r="F5144" t="str">
            <v>7380</v>
          </cell>
          <cell r="G5144" t="str">
            <v>Muzak, LLC:Appliance Direct - 042201</v>
          </cell>
          <cell r="H5144">
            <v>2</v>
          </cell>
        </row>
        <row r="5145">
          <cell r="B5145" t="str">
            <v>SWD1000W</v>
          </cell>
          <cell r="C5145" t="str">
            <v>Invoice</v>
          </cell>
          <cell r="D5145">
            <v>38576</v>
          </cell>
          <cell r="F5145" t="str">
            <v>7379</v>
          </cell>
          <cell r="G5145" t="str">
            <v>Muzak, LLC:Appliance Direct - 042176</v>
          </cell>
          <cell r="H5145">
            <v>2</v>
          </cell>
        </row>
        <row r="5146">
          <cell r="B5146" t="str">
            <v>SWD1000W</v>
          </cell>
          <cell r="C5146" t="str">
            <v>Invoice</v>
          </cell>
          <cell r="D5146">
            <v>38576</v>
          </cell>
          <cell r="F5146" t="str">
            <v>7377</v>
          </cell>
          <cell r="G5146" t="str">
            <v>Muzak, LLC:Appliance Direct - 042172</v>
          </cell>
          <cell r="H5146">
            <v>2</v>
          </cell>
        </row>
        <row r="5147">
          <cell r="B5147" t="str">
            <v>SWD1000W</v>
          </cell>
          <cell r="C5147" t="str">
            <v>Invoice</v>
          </cell>
          <cell r="D5147">
            <v>38576</v>
          </cell>
          <cell r="F5147" t="str">
            <v>7376</v>
          </cell>
          <cell r="G5147" t="str">
            <v>Muzak, LLC:Appliance Direct - 038915</v>
          </cell>
          <cell r="H5147">
            <v>2</v>
          </cell>
        </row>
        <row r="5148">
          <cell r="B5148" t="str">
            <v>SWD1000W</v>
          </cell>
          <cell r="C5148" t="str">
            <v>Invoice</v>
          </cell>
          <cell r="D5148">
            <v>38576</v>
          </cell>
          <cell r="F5148" t="str">
            <v>7375</v>
          </cell>
          <cell r="G5148" t="str">
            <v>Muzak, LLC:Appliance Direct - 038914</v>
          </cell>
          <cell r="H5148">
            <v>2</v>
          </cell>
        </row>
        <row r="5149">
          <cell r="B5149" t="str">
            <v>SWD1000W</v>
          </cell>
          <cell r="C5149" t="str">
            <v>Invoice</v>
          </cell>
          <cell r="D5149">
            <v>38576</v>
          </cell>
          <cell r="F5149" t="str">
            <v>7374</v>
          </cell>
          <cell r="G5149" t="str">
            <v>Muzak, LLC:Appliance Direct - 035387</v>
          </cell>
          <cell r="H5149">
            <v>2</v>
          </cell>
        </row>
        <row r="5150">
          <cell r="B5150" t="str">
            <v>SWD1000W</v>
          </cell>
          <cell r="C5150" t="str">
            <v>Invoice</v>
          </cell>
          <cell r="D5150">
            <v>38576</v>
          </cell>
          <cell r="F5150" t="str">
            <v>7373</v>
          </cell>
          <cell r="G5150" t="str">
            <v>Muzak, LLC:Appliance Direct - 034977</v>
          </cell>
          <cell r="H5150">
            <v>2</v>
          </cell>
        </row>
        <row r="5151">
          <cell r="B5151" t="str">
            <v>SWD1000W</v>
          </cell>
          <cell r="C5151" t="str">
            <v>Invoice</v>
          </cell>
          <cell r="D5151">
            <v>38576</v>
          </cell>
          <cell r="F5151" t="str">
            <v>7372</v>
          </cell>
          <cell r="G5151" t="str">
            <v>Muzak, LLC:Appliance Direct - 034976</v>
          </cell>
          <cell r="H5151">
            <v>2</v>
          </cell>
        </row>
        <row r="5152">
          <cell r="B5152" t="str">
            <v>SWD1000W</v>
          </cell>
          <cell r="C5152" t="str">
            <v>Invoice</v>
          </cell>
          <cell r="D5152">
            <v>38576</v>
          </cell>
          <cell r="F5152" t="str">
            <v>7371</v>
          </cell>
          <cell r="G5152" t="str">
            <v>Muzak, LLC:Appliance Direct - 034974</v>
          </cell>
          <cell r="H5152">
            <v>2</v>
          </cell>
        </row>
        <row r="5153">
          <cell r="B5153" t="str">
            <v>SWD1000W</v>
          </cell>
          <cell r="C5153" t="str">
            <v>Invoice</v>
          </cell>
          <cell r="D5153">
            <v>38581</v>
          </cell>
          <cell r="F5153" t="str">
            <v>7506</v>
          </cell>
          <cell r="G5153" t="str">
            <v>Muzak, LLC:Radisson - Atlanta</v>
          </cell>
          <cell r="H5153">
            <v>2</v>
          </cell>
        </row>
        <row r="5154">
          <cell r="B5154" t="str">
            <v>SWD1000W</v>
          </cell>
          <cell r="C5154" t="str">
            <v>Invoice</v>
          </cell>
          <cell r="D5154">
            <v>38586</v>
          </cell>
          <cell r="F5154" t="str">
            <v>7643</v>
          </cell>
          <cell r="G5154" t="str">
            <v>Muzak, LLC:Banks D. Kerr Family YMCA</v>
          </cell>
          <cell r="H5154">
            <v>2</v>
          </cell>
        </row>
        <row r="5155">
          <cell r="B5155" t="str">
            <v>SWD1000W</v>
          </cell>
          <cell r="C5155" t="str">
            <v>Invoice</v>
          </cell>
          <cell r="D5155">
            <v>38589</v>
          </cell>
          <cell r="F5155" t="str">
            <v>7695</v>
          </cell>
          <cell r="G5155" t="str">
            <v>American Solutions Inc.</v>
          </cell>
          <cell r="H5155">
            <v>2</v>
          </cell>
        </row>
        <row r="5156">
          <cell r="B5156" t="str">
            <v>SWD1000W</v>
          </cell>
          <cell r="C5156" t="str">
            <v>Invoice</v>
          </cell>
          <cell r="D5156">
            <v>38607</v>
          </cell>
          <cell r="F5156" t="str">
            <v>7889</v>
          </cell>
          <cell r="G5156" t="str">
            <v>Muzak, IA:Soundcom LLC of Florida - Palm Beach</v>
          </cell>
          <cell r="H5156">
            <v>2</v>
          </cell>
        </row>
        <row r="5157">
          <cell r="B5157" t="str">
            <v>SWD1000W</v>
          </cell>
          <cell r="C5157" t="str">
            <v>Invoice</v>
          </cell>
          <cell r="D5157">
            <v>38608</v>
          </cell>
          <cell r="F5157" t="str">
            <v>7926</v>
          </cell>
          <cell r="G5157" t="str">
            <v>Muzak, LLC:Centex Homes</v>
          </cell>
          <cell r="H5157">
            <v>2</v>
          </cell>
        </row>
        <row r="5158">
          <cell r="B5158" t="str">
            <v>SWD1000W</v>
          </cell>
          <cell r="C5158" t="str">
            <v>Invoice</v>
          </cell>
          <cell r="D5158">
            <v>38615</v>
          </cell>
          <cell r="F5158" t="str">
            <v>8001</v>
          </cell>
          <cell r="G5158" t="str">
            <v>Macy's #76</v>
          </cell>
          <cell r="H5158">
            <v>2</v>
          </cell>
        </row>
        <row r="5159">
          <cell r="B5159" t="str">
            <v>SWD1000W</v>
          </cell>
          <cell r="C5159" t="str">
            <v>Invoice</v>
          </cell>
          <cell r="D5159">
            <v>38615</v>
          </cell>
          <cell r="F5159" t="str">
            <v>7976</v>
          </cell>
          <cell r="G5159" t="str">
            <v>Promotool</v>
          </cell>
          <cell r="H5159">
            <v>2</v>
          </cell>
        </row>
        <row r="5160">
          <cell r="B5160" t="str">
            <v>SWD1000W</v>
          </cell>
          <cell r="C5160" t="str">
            <v>Invoice</v>
          </cell>
          <cell r="D5160">
            <v>38618</v>
          </cell>
          <cell r="F5160" t="str">
            <v>8082</v>
          </cell>
          <cell r="G5160" t="str">
            <v>ScentAir - Corporate Associates:Murray Dameron</v>
          </cell>
          <cell r="H5160">
            <v>2</v>
          </cell>
        </row>
        <row r="5161">
          <cell r="B5161" t="str">
            <v>SWD1000W</v>
          </cell>
          <cell r="C5161" t="str">
            <v>Invoice</v>
          </cell>
          <cell r="D5161">
            <v>38623</v>
          </cell>
          <cell r="F5161" t="str">
            <v>8138</v>
          </cell>
          <cell r="G5161" t="str">
            <v>Muzak, LLC:Clarion Floridian</v>
          </cell>
          <cell r="H5161">
            <v>2</v>
          </cell>
        </row>
        <row r="5162">
          <cell r="B5162" t="str">
            <v>SWD1000W</v>
          </cell>
          <cell r="C5162" t="str">
            <v>Invoice</v>
          </cell>
          <cell r="D5162">
            <v>38628</v>
          </cell>
          <cell r="F5162" t="str">
            <v>8194</v>
          </cell>
          <cell r="G5162" t="str">
            <v>Muzak, LLC:UNCG Dining Services</v>
          </cell>
          <cell r="H5162">
            <v>2</v>
          </cell>
        </row>
        <row r="5163">
          <cell r="B5163" t="str">
            <v>SWD1000W</v>
          </cell>
          <cell r="C5163" t="str">
            <v>Invoice</v>
          </cell>
          <cell r="D5163">
            <v>38628</v>
          </cell>
          <cell r="F5163" t="str">
            <v>8191</v>
          </cell>
          <cell r="G5163" t="str">
            <v>Muzak, IA:Texas Wired:Omni San Antonio Hotel</v>
          </cell>
          <cell r="H5163">
            <v>2</v>
          </cell>
        </row>
        <row r="5164">
          <cell r="B5164" t="str">
            <v>SWD1000W</v>
          </cell>
          <cell r="C5164" t="str">
            <v>Invoice</v>
          </cell>
          <cell r="D5164">
            <v>38628</v>
          </cell>
          <cell r="F5164" t="str">
            <v>8216</v>
          </cell>
          <cell r="G5164" t="str">
            <v>Muzak, LLC:Omni Jacksonville Hotel</v>
          </cell>
          <cell r="H5164">
            <v>2</v>
          </cell>
        </row>
        <row r="5165">
          <cell r="B5165" t="str">
            <v>SWD1000W</v>
          </cell>
          <cell r="C5165" t="str">
            <v>Invoice</v>
          </cell>
          <cell r="D5165">
            <v>38629</v>
          </cell>
          <cell r="F5165" t="str">
            <v>7934</v>
          </cell>
          <cell r="G5165" t="str">
            <v>NBC Experience Store</v>
          </cell>
          <cell r="H5165">
            <v>2</v>
          </cell>
        </row>
        <row r="5166">
          <cell r="B5166" t="str">
            <v>SWD1000W</v>
          </cell>
          <cell r="C5166" t="str">
            <v>Invoice</v>
          </cell>
          <cell r="D5166">
            <v>38629</v>
          </cell>
          <cell r="F5166" t="str">
            <v>8327</v>
          </cell>
          <cell r="G5166" t="str">
            <v>Muzak, LLC:Omni Shoreham Hotel</v>
          </cell>
          <cell r="H5166">
            <v>2</v>
          </cell>
        </row>
        <row r="5167">
          <cell r="B5167" t="str">
            <v>SWD1000W</v>
          </cell>
          <cell r="C5167" t="str">
            <v>Invoice</v>
          </cell>
          <cell r="D5167">
            <v>38630</v>
          </cell>
          <cell r="F5167" t="str">
            <v>8318</v>
          </cell>
          <cell r="G5167" t="str">
            <v>Muzak, IA:Texas Wired</v>
          </cell>
          <cell r="H5167">
            <v>2</v>
          </cell>
        </row>
        <row r="5168">
          <cell r="B5168" t="str">
            <v>SWI2000-OTHER</v>
          </cell>
          <cell r="C5168" t="str">
            <v>Invoice</v>
          </cell>
          <cell r="D5168">
            <v>38526</v>
          </cell>
          <cell r="F5168" t="str">
            <v>5577-I</v>
          </cell>
          <cell r="G5168" t="str">
            <v>Floralife</v>
          </cell>
          <cell r="H5168">
            <v>2</v>
          </cell>
        </row>
        <row r="5169">
          <cell r="B5169" t="str">
            <v>TIMER</v>
          </cell>
          <cell r="C5169" t="str">
            <v>Invoice</v>
          </cell>
          <cell r="D5169">
            <v>38586</v>
          </cell>
          <cell r="F5169" t="str">
            <v>7640</v>
          </cell>
          <cell r="G5169" t="str">
            <v>jaGG Classic Wholesale Inc.</v>
          </cell>
          <cell r="H5169">
            <v>2</v>
          </cell>
        </row>
        <row r="5170">
          <cell r="B5170" t="str">
            <v>TIMER</v>
          </cell>
          <cell r="C5170" t="str">
            <v>Invoice</v>
          </cell>
          <cell r="D5170">
            <v>38589</v>
          </cell>
          <cell r="F5170" t="str">
            <v>7693</v>
          </cell>
          <cell r="G5170" t="str">
            <v>Muzak, IA:Texas Wired:Omni Austin Hotel Downtown</v>
          </cell>
          <cell r="H5170">
            <v>2</v>
          </cell>
        </row>
        <row r="5171">
          <cell r="B5171" t="str">
            <v>TIMER</v>
          </cell>
          <cell r="C5171" t="str">
            <v>Invoice</v>
          </cell>
          <cell r="D5171">
            <v>38597</v>
          </cell>
          <cell r="F5171" t="str">
            <v>7820</v>
          </cell>
          <cell r="G5171" t="str">
            <v>ScentAir - Corporate Associates</v>
          </cell>
          <cell r="H5171">
            <v>2</v>
          </cell>
        </row>
        <row r="5172">
          <cell r="B5172" t="str">
            <v>TIMER</v>
          </cell>
          <cell r="C5172" t="str">
            <v>Invoice</v>
          </cell>
          <cell r="D5172">
            <v>38597</v>
          </cell>
          <cell r="F5172" t="str">
            <v>7806</v>
          </cell>
          <cell r="G5172" t="str">
            <v>Muzak, LLC:Spalon @ T Carlton</v>
          </cell>
          <cell r="H5172">
            <v>2</v>
          </cell>
        </row>
        <row r="5173">
          <cell r="B5173" t="str">
            <v>TIMER</v>
          </cell>
          <cell r="C5173" t="str">
            <v>Invoice</v>
          </cell>
          <cell r="D5173">
            <v>38603</v>
          </cell>
          <cell r="F5173" t="str">
            <v>7841</v>
          </cell>
          <cell r="G5173" t="str">
            <v>Muzak, LLC:Giant Eagle #6384</v>
          </cell>
          <cell r="H5173">
            <v>2</v>
          </cell>
        </row>
        <row r="5174">
          <cell r="B5174" t="str">
            <v>TIMER</v>
          </cell>
          <cell r="C5174" t="str">
            <v>Invoice</v>
          </cell>
          <cell r="D5174">
            <v>38608</v>
          </cell>
          <cell r="F5174" t="str">
            <v>7926</v>
          </cell>
          <cell r="G5174" t="str">
            <v>Muzak, LLC:Centex Homes</v>
          </cell>
          <cell r="H5174">
            <v>2</v>
          </cell>
        </row>
        <row r="5175">
          <cell r="B5175" t="str">
            <v>TIMER</v>
          </cell>
          <cell r="C5175" t="str">
            <v>Invoice</v>
          </cell>
          <cell r="D5175">
            <v>38610</v>
          </cell>
          <cell r="F5175" t="str">
            <v>7952</v>
          </cell>
          <cell r="G5175" t="str">
            <v>Muzak, LLC:Flat Rock Grille #201</v>
          </cell>
          <cell r="H5175">
            <v>2</v>
          </cell>
        </row>
        <row r="5176">
          <cell r="B5176" t="str">
            <v>TIMER</v>
          </cell>
          <cell r="C5176" t="str">
            <v>Invoice</v>
          </cell>
          <cell r="D5176">
            <v>38610</v>
          </cell>
          <cell r="F5176" t="str">
            <v>7953</v>
          </cell>
          <cell r="G5176" t="str">
            <v>Muzak, LLC:Flat Rock Grille #200</v>
          </cell>
          <cell r="H5176">
            <v>2</v>
          </cell>
        </row>
        <row r="5177">
          <cell r="B5177" t="str">
            <v>TIMER</v>
          </cell>
          <cell r="C5177" t="str">
            <v>Invoice</v>
          </cell>
          <cell r="D5177">
            <v>38615</v>
          </cell>
          <cell r="F5177" t="str">
            <v>8001</v>
          </cell>
          <cell r="G5177" t="str">
            <v>Macy's #76</v>
          </cell>
          <cell r="H5177">
            <v>2</v>
          </cell>
        </row>
        <row r="5178">
          <cell r="B5178" t="str">
            <v>TIMER</v>
          </cell>
          <cell r="C5178" t="str">
            <v>Invoice</v>
          </cell>
          <cell r="D5178">
            <v>38622</v>
          </cell>
          <cell r="F5178" t="str">
            <v>8091</v>
          </cell>
          <cell r="G5178" t="str">
            <v>Pulse</v>
          </cell>
          <cell r="H5178">
            <v>2</v>
          </cell>
        </row>
        <row r="5179">
          <cell r="B5179" t="str">
            <v>TIMER</v>
          </cell>
          <cell r="C5179" t="str">
            <v>Invoice</v>
          </cell>
          <cell r="D5179">
            <v>38623</v>
          </cell>
          <cell r="F5179" t="str">
            <v>8138</v>
          </cell>
          <cell r="G5179" t="str">
            <v>Muzak, LLC:Clarion Floridian</v>
          </cell>
          <cell r="H5179">
            <v>2</v>
          </cell>
        </row>
        <row r="5180">
          <cell r="B5180" t="str">
            <v>TIMER</v>
          </cell>
          <cell r="C5180" t="str">
            <v>Invoice</v>
          </cell>
          <cell r="D5180">
            <v>38628</v>
          </cell>
          <cell r="F5180" t="str">
            <v>8205</v>
          </cell>
          <cell r="G5180" t="str">
            <v>Macy's # 01</v>
          </cell>
          <cell r="H5180">
            <v>2</v>
          </cell>
        </row>
        <row r="5181">
          <cell r="B5181" t="str">
            <v>TIMER</v>
          </cell>
          <cell r="C5181" t="str">
            <v>Invoice</v>
          </cell>
          <cell r="D5181">
            <v>38628</v>
          </cell>
          <cell r="F5181" t="str">
            <v>8194</v>
          </cell>
          <cell r="G5181" t="str">
            <v>Muzak, LLC:UNCG Dining Services</v>
          </cell>
          <cell r="H5181">
            <v>2</v>
          </cell>
        </row>
        <row r="5182">
          <cell r="B5182" t="str">
            <v>TIMER</v>
          </cell>
          <cell r="C5182" t="str">
            <v>Invoice</v>
          </cell>
          <cell r="D5182">
            <v>38628</v>
          </cell>
          <cell r="F5182" t="str">
            <v>8191</v>
          </cell>
          <cell r="G5182" t="str">
            <v>Muzak, IA:Texas Wired:Omni San Antonio Hotel</v>
          </cell>
          <cell r="H5182">
            <v>2</v>
          </cell>
        </row>
        <row r="5183">
          <cell r="B5183" t="str">
            <v>TIMER</v>
          </cell>
          <cell r="C5183" t="str">
            <v>Invoice</v>
          </cell>
          <cell r="D5183">
            <v>38628</v>
          </cell>
          <cell r="F5183" t="str">
            <v>8216</v>
          </cell>
          <cell r="G5183" t="str">
            <v>Muzak, LLC:Omni Jacksonville Hotel</v>
          </cell>
          <cell r="H5183">
            <v>2</v>
          </cell>
        </row>
        <row r="5184">
          <cell r="B5184" t="str">
            <v>TIMER</v>
          </cell>
          <cell r="C5184" t="str">
            <v>Invoice</v>
          </cell>
          <cell r="D5184">
            <v>38629</v>
          </cell>
          <cell r="F5184" t="str">
            <v>7934</v>
          </cell>
          <cell r="G5184" t="str">
            <v>NBC Experience Store</v>
          </cell>
          <cell r="H5184">
            <v>2</v>
          </cell>
        </row>
        <row r="5185">
          <cell r="B5185" t="str">
            <v>Timer&amp;Pegs</v>
          </cell>
          <cell r="C5185" t="str">
            <v>Invoice</v>
          </cell>
          <cell r="D5185">
            <v>38383</v>
          </cell>
          <cell r="F5185" t="str">
            <v>5215</v>
          </cell>
          <cell r="G5185" t="str">
            <v>Sony Style Denver (Old)</v>
          </cell>
          <cell r="H5185">
            <v>2</v>
          </cell>
        </row>
        <row r="5186">
          <cell r="B5186" t="str">
            <v>Timer&amp;Pegs</v>
          </cell>
          <cell r="C5186" t="str">
            <v>Invoice</v>
          </cell>
          <cell r="D5186">
            <v>38398</v>
          </cell>
          <cell r="F5186" t="str">
            <v>5319</v>
          </cell>
          <cell r="G5186" t="str">
            <v>Disney Worldwide:Coronado Springs Resort</v>
          </cell>
          <cell r="H5186">
            <v>2</v>
          </cell>
        </row>
        <row r="5187">
          <cell r="B5187" t="str">
            <v>Timer&amp;Pegs</v>
          </cell>
          <cell r="C5187" t="str">
            <v>Invoice</v>
          </cell>
          <cell r="D5187">
            <v>38399</v>
          </cell>
          <cell r="F5187" t="str">
            <v>5316</v>
          </cell>
          <cell r="G5187" t="str">
            <v>Sony  Style # 62</v>
          </cell>
          <cell r="H5187">
            <v>2</v>
          </cell>
        </row>
        <row r="5188">
          <cell r="B5188" t="str">
            <v>Timer&amp;Pegs</v>
          </cell>
          <cell r="C5188" t="str">
            <v>Invoice</v>
          </cell>
          <cell r="D5188">
            <v>38420</v>
          </cell>
          <cell r="F5188" t="str">
            <v>5448</v>
          </cell>
          <cell r="G5188" t="str">
            <v>WDW Disney's Decorating Support</v>
          </cell>
          <cell r="H5188">
            <v>2</v>
          </cell>
        </row>
        <row r="5189">
          <cell r="B5189" t="str">
            <v>Timer&amp;Pegs</v>
          </cell>
          <cell r="C5189" t="str">
            <v>Invoice</v>
          </cell>
          <cell r="D5189">
            <v>38440</v>
          </cell>
          <cell r="F5189" t="str">
            <v>5550</v>
          </cell>
          <cell r="G5189" t="str">
            <v>Arkitectura Urbana</v>
          </cell>
          <cell r="H5189">
            <v>2</v>
          </cell>
        </row>
        <row r="5190">
          <cell r="B5190" t="str">
            <v>Timer&amp;Pegs</v>
          </cell>
          <cell r="C5190" t="str">
            <v>Invoice</v>
          </cell>
          <cell r="D5190">
            <v>38442</v>
          </cell>
          <cell r="F5190" t="str">
            <v>5318</v>
          </cell>
          <cell r="G5190" t="str">
            <v>Sony Style #63</v>
          </cell>
          <cell r="H5190">
            <v>2</v>
          </cell>
        </row>
        <row r="5191">
          <cell r="B5191" t="str">
            <v>Timer&amp;Pegs</v>
          </cell>
          <cell r="C5191" t="str">
            <v>Invoice</v>
          </cell>
          <cell r="D5191">
            <v>38481</v>
          </cell>
          <cell r="F5191" t="str">
            <v>5726</v>
          </cell>
          <cell r="G5191" t="str">
            <v>ScentAir - Corporate Associates:Pamela Knock</v>
          </cell>
          <cell r="H5191">
            <v>2</v>
          </cell>
        </row>
        <row r="5192">
          <cell r="B5192" t="str">
            <v>Timer&amp;Pegs</v>
          </cell>
          <cell r="C5192" t="str">
            <v>Invoice</v>
          </cell>
          <cell r="D5192">
            <v>38509</v>
          </cell>
          <cell r="F5192" t="str">
            <v>6225</v>
          </cell>
          <cell r="G5192" t="str">
            <v>Universal Studios Orlando:Islands of Adventure Foods</v>
          </cell>
          <cell r="H5192">
            <v>2</v>
          </cell>
        </row>
        <row r="5193">
          <cell r="B5193" t="str">
            <v>Timer&amp;Pegs</v>
          </cell>
          <cell r="C5193" t="str">
            <v>Invoice</v>
          </cell>
          <cell r="D5193">
            <v>38516</v>
          </cell>
          <cell r="F5193" t="str">
            <v>5532A</v>
          </cell>
          <cell r="G5193" t="str">
            <v>Sony Style #xx (Kenwood Ctr)</v>
          </cell>
          <cell r="H5193">
            <v>2</v>
          </cell>
        </row>
        <row r="5194">
          <cell r="B5194" t="str">
            <v>Timer&amp;Pegs</v>
          </cell>
          <cell r="C5194" t="str">
            <v>Invoice</v>
          </cell>
          <cell r="D5194">
            <v>38526</v>
          </cell>
          <cell r="F5194" t="str">
            <v>6392</v>
          </cell>
          <cell r="G5194" t="str">
            <v>Hustler Hollywood - Nashville, TN</v>
          </cell>
          <cell r="H5194">
            <v>2</v>
          </cell>
        </row>
        <row r="5195">
          <cell r="B5195" t="str">
            <v>Timer&amp;Pegs</v>
          </cell>
          <cell r="C5195" t="str">
            <v>Invoice</v>
          </cell>
          <cell r="D5195">
            <v>38533</v>
          </cell>
          <cell r="F5195" t="str">
            <v>7041</v>
          </cell>
          <cell r="G5195" t="str">
            <v>Arkitectura Urbana</v>
          </cell>
          <cell r="H5195">
            <v>2</v>
          </cell>
        </row>
        <row r="5196">
          <cell r="B5196" t="str">
            <v>Timer&amp;Pegs</v>
          </cell>
          <cell r="C5196" t="str">
            <v>Invoice</v>
          </cell>
          <cell r="D5196">
            <v>38540</v>
          </cell>
          <cell r="F5196" t="str">
            <v>7093</v>
          </cell>
          <cell r="G5196" t="str">
            <v>Omni Hotels</v>
          </cell>
          <cell r="H5196">
            <v>2</v>
          </cell>
        </row>
        <row r="5197">
          <cell r="B5197" t="str">
            <v>Timer&amp;Pegs</v>
          </cell>
          <cell r="C5197" t="str">
            <v>Invoice</v>
          </cell>
          <cell r="D5197">
            <v>38544</v>
          </cell>
          <cell r="F5197" t="str">
            <v>7124</v>
          </cell>
          <cell r="G5197" t="str">
            <v>ScentAir - Corporate Associates:Pamela Knock</v>
          </cell>
          <cell r="H5197">
            <v>2</v>
          </cell>
        </row>
        <row r="5198">
          <cell r="B5198" t="str">
            <v>Timer&amp;Pegs</v>
          </cell>
          <cell r="C5198" t="str">
            <v>Invoice</v>
          </cell>
          <cell r="D5198">
            <v>38572</v>
          </cell>
          <cell r="F5198" t="str">
            <v>7313</v>
          </cell>
          <cell r="G5198" t="str">
            <v>Canadian Niagara Hotels:The Hershey Store</v>
          </cell>
          <cell r="H5198">
            <v>2</v>
          </cell>
        </row>
        <row r="5199">
          <cell r="B5199" t="str">
            <v>0794</v>
          </cell>
          <cell r="C5199" t="str">
            <v>Invoice</v>
          </cell>
          <cell r="D5199">
            <v>38597</v>
          </cell>
          <cell r="F5199" t="str">
            <v>7717</v>
          </cell>
          <cell r="G5199" t="str">
            <v>AroMarketing:AroMarketing - Texas</v>
          </cell>
          <cell r="H5199">
            <v>2.27</v>
          </cell>
        </row>
        <row r="5200">
          <cell r="B5200" t="str">
            <v>0824</v>
          </cell>
          <cell r="C5200" t="str">
            <v>Invoice</v>
          </cell>
          <cell r="D5200">
            <v>38597</v>
          </cell>
          <cell r="F5200" t="str">
            <v>7717</v>
          </cell>
          <cell r="G5200" t="str">
            <v>AroMarketing:AroMarketing - Texas</v>
          </cell>
          <cell r="H5200">
            <v>2.27</v>
          </cell>
        </row>
        <row r="5201">
          <cell r="B5201" t="str">
            <v>0828</v>
          </cell>
          <cell r="C5201" t="str">
            <v>Invoice</v>
          </cell>
          <cell r="D5201">
            <v>38597</v>
          </cell>
          <cell r="F5201" t="str">
            <v>7717</v>
          </cell>
          <cell r="G5201" t="str">
            <v>AroMarketing:AroMarketing - Texas</v>
          </cell>
          <cell r="H5201">
            <v>2.27</v>
          </cell>
        </row>
        <row r="5202">
          <cell r="B5202" t="str">
            <v>0837</v>
          </cell>
          <cell r="C5202" t="str">
            <v>Invoice</v>
          </cell>
          <cell r="D5202">
            <v>38597</v>
          </cell>
          <cell r="F5202" t="str">
            <v>7717</v>
          </cell>
          <cell r="G5202" t="str">
            <v>AroMarketing:AroMarketing - Texas</v>
          </cell>
          <cell r="H5202">
            <v>2.27</v>
          </cell>
        </row>
        <row r="5203">
          <cell r="B5203" t="str">
            <v>0892</v>
          </cell>
          <cell r="C5203" t="str">
            <v>Invoice</v>
          </cell>
          <cell r="D5203">
            <v>38597</v>
          </cell>
          <cell r="F5203" t="str">
            <v>7717</v>
          </cell>
          <cell r="G5203" t="str">
            <v>AroMarketing:AroMarketing - Texas</v>
          </cell>
          <cell r="H5203">
            <v>2.27</v>
          </cell>
        </row>
        <row r="5204">
          <cell r="B5204" t="str">
            <v>0894</v>
          </cell>
          <cell r="C5204" t="str">
            <v>Invoice</v>
          </cell>
          <cell r="D5204">
            <v>38597</v>
          </cell>
          <cell r="F5204" t="str">
            <v>7717</v>
          </cell>
          <cell r="G5204" t="str">
            <v>AroMarketing:AroMarketing - Texas</v>
          </cell>
          <cell r="H5204">
            <v>2.27</v>
          </cell>
        </row>
        <row r="5205">
          <cell r="B5205" t="str">
            <v>0912</v>
          </cell>
          <cell r="C5205" t="str">
            <v>Invoice</v>
          </cell>
          <cell r="D5205">
            <v>38597</v>
          </cell>
          <cell r="F5205" t="str">
            <v>7717</v>
          </cell>
          <cell r="G5205" t="str">
            <v>AroMarketing:AroMarketing - Texas</v>
          </cell>
          <cell r="H5205">
            <v>2.27</v>
          </cell>
        </row>
        <row r="5206">
          <cell r="B5206" t="str">
            <v>0961</v>
          </cell>
          <cell r="C5206" t="str">
            <v>Invoice</v>
          </cell>
          <cell r="D5206">
            <v>38597</v>
          </cell>
          <cell r="F5206" t="str">
            <v>7717</v>
          </cell>
          <cell r="G5206" t="str">
            <v>AroMarketing:AroMarketing - Texas</v>
          </cell>
          <cell r="H5206">
            <v>2.27</v>
          </cell>
        </row>
        <row r="5207">
          <cell r="B5207" t="str">
            <v>1099</v>
          </cell>
          <cell r="C5207" t="str">
            <v>Invoice</v>
          </cell>
          <cell r="D5207">
            <v>38597</v>
          </cell>
          <cell r="F5207" t="str">
            <v>7717</v>
          </cell>
          <cell r="G5207" t="str">
            <v>AroMarketing:AroMarketing - Texas</v>
          </cell>
          <cell r="H5207">
            <v>2.27</v>
          </cell>
        </row>
        <row r="5208">
          <cell r="B5208" t="str">
            <v>0783</v>
          </cell>
          <cell r="C5208" t="str">
            <v>Invoice</v>
          </cell>
          <cell r="D5208">
            <v>38630</v>
          </cell>
          <cell r="F5208" t="str">
            <v>8206</v>
          </cell>
          <cell r="G5208" t="str">
            <v>AroMarketing:AroMarketing - Texas</v>
          </cell>
          <cell r="H5208">
            <v>3</v>
          </cell>
        </row>
        <row r="5209">
          <cell r="B5209" t="str">
            <v>0794</v>
          </cell>
          <cell r="C5209" t="str">
            <v>Invoice</v>
          </cell>
          <cell r="D5209">
            <v>38630</v>
          </cell>
          <cell r="F5209" t="str">
            <v>8206</v>
          </cell>
          <cell r="G5209" t="str">
            <v>AroMarketing:AroMarketing - Texas</v>
          </cell>
          <cell r="H5209">
            <v>3</v>
          </cell>
        </row>
        <row r="5210">
          <cell r="B5210" t="str">
            <v>0961</v>
          </cell>
          <cell r="C5210" t="str">
            <v>Invoice</v>
          </cell>
          <cell r="D5210">
            <v>38630</v>
          </cell>
          <cell r="F5210" t="str">
            <v>8206</v>
          </cell>
          <cell r="G5210" t="str">
            <v>AroMarketing:AroMarketing - Texas</v>
          </cell>
          <cell r="H5210">
            <v>3</v>
          </cell>
        </row>
        <row r="5211">
          <cell r="B5211" t="str">
            <v>0963</v>
          </cell>
          <cell r="C5211" t="str">
            <v>Invoice</v>
          </cell>
          <cell r="D5211">
            <v>38630</v>
          </cell>
          <cell r="F5211" t="str">
            <v>8206</v>
          </cell>
          <cell r="G5211" t="str">
            <v>AroMarketing:AroMarketing - Texas</v>
          </cell>
          <cell r="H5211">
            <v>3</v>
          </cell>
        </row>
        <row r="5212">
          <cell r="B5212" t="str">
            <v>1340</v>
          </cell>
          <cell r="C5212" t="str">
            <v>Invoice</v>
          </cell>
          <cell r="D5212">
            <v>38630</v>
          </cell>
          <cell r="F5212" t="str">
            <v>8206</v>
          </cell>
          <cell r="G5212" t="str">
            <v>AroMarketing:AroMarketing - Texas</v>
          </cell>
          <cell r="H5212">
            <v>3</v>
          </cell>
        </row>
        <row r="5213">
          <cell r="B5213" t="str">
            <v>ESS - SCENT SERVICE</v>
          </cell>
          <cell r="C5213" t="str">
            <v>Invoice</v>
          </cell>
          <cell r="D5213">
            <v>38513</v>
          </cell>
          <cell r="F5213" t="str">
            <v>6224</v>
          </cell>
          <cell r="G5213" t="str">
            <v>Universal Studios Orlando:Universal Studios Merchandise</v>
          </cell>
          <cell r="H5213">
            <v>3</v>
          </cell>
        </row>
        <row r="5214">
          <cell r="B5214" t="str">
            <v>ESS - SCENT SERVICE</v>
          </cell>
          <cell r="C5214" t="str">
            <v>Invoice</v>
          </cell>
          <cell r="D5214">
            <v>38513</v>
          </cell>
          <cell r="F5214" t="str">
            <v>6226</v>
          </cell>
          <cell r="G5214" t="str">
            <v>Universal Studios Orlando:Islands of Adventure Merchandise</v>
          </cell>
          <cell r="H5214">
            <v>3</v>
          </cell>
        </row>
        <row r="5215">
          <cell r="B5215" t="str">
            <v>ESS - SCENT SERVICE</v>
          </cell>
          <cell r="C5215" t="str">
            <v>Invoice</v>
          </cell>
          <cell r="D5215">
            <v>38533</v>
          </cell>
          <cell r="F5215" t="str">
            <v>5555-I</v>
          </cell>
          <cell r="G5215" t="str">
            <v>Universal Studios Orlando:Universal Studios Merchandise</v>
          </cell>
          <cell r="H5215">
            <v>3</v>
          </cell>
        </row>
        <row r="5216">
          <cell r="B5216" t="str">
            <v>ESS - SCENT SERVICE</v>
          </cell>
          <cell r="C5216" t="str">
            <v>Invoice</v>
          </cell>
          <cell r="D5216">
            <v>38533</v>
          </cell>
          <cell r="F5216" t="str">
            <v>6236</v>
          </cell>
          <cell r="G5216" t="str">
            <v>Universal Studios Orlando:Islands of Adventure Merchandise</v>
          </cell>
          <cell r="H5216">
            <v>3</v>
          </cell>
        </row>
        <row r="5217">
          <cell r="B5217" t="str">
            <v>ESS - SCENT SERVICE</v>
          </cell>
          <cell r="C5217" t="str">
            <v>Invoice</v>
          </cell>
          <cell r="D5217">
            <v>38538</v>
          </cell>
          <cell r="F5217" t="str">
            <v>7080</v>
          </cell>
          <cell r="G5217" t="str">
            <v>Macy's Florida</v>
          </cell>
          <cell r="H5217">
            <v>3</v>
          </cell>
        </row>
        <row r="5218">
          <cell r="B5218" t="str">
            <v>ESS - SCENT SERVICE</v>
          </cell>
          <cell r="C5218" t="str">
            <v>Invoice</v>
          </cell>
          <cell r="D5218">
            <v>38558</v>
          </cell>
          <cell r="F5218" t="str">
            <v>7182</v>
          </cell>
          <cell r="G5218" t="str">
            <v>Muzak, LLC:The Plantations at Haywood</v>
          </cell>
          <cell r="H5218">
            <v>3</v>
          </cell>
        </row>
        <row r="5219">
          <cell r="B5219" t="str">
            <v>ESS - SCENT SERVICE</v>
          </cell>
          <cell r="C5219" t="str">
            <v>Invoice</v>
          </cell>
          <cell r="D5219">
            <v>38562</v>
          </cell>
          <cell r="F5219" t="str">
            <v>6386</v>
          </cell>
          <cell r="G5219" t="str">
            <v>Universal Studios Orlando:Universal Studios Merchandise</v>
          </cell>
          <cell r="H5219">
            <v>3</v>
          </cell>
        </row>
        <row r="5220">
          <cell r="B5220" t="str">
            <v>ESS - SCENT SERVICE</v>
          </cell>
          <cell r="C5220" t="str">
            <v>Invoice</v>
          </cell>
          <cell r="D5220">
            <v>38562</v>
          </cell>
          <cell r="F5220" t="str">
            <v>6383</v>
          </cell>
          <cell r="G5220" t="str">
            <v>Universal Studios Orlando:Islands of Adventure Merchandise</v>
          </cell>
          <cell r="H5220">
            <v>3</v>
          </cell>
        </row>
        <row r="5221">
          <cell r="B5221" t="str">
            <v>ESS - SCENT SERVICE</v>
          </cell>
          <cell r="C5221" t="str">
            <v>Invoice</v>
          </cell>
          <cell r="D5221">
            <v>38588</v>
          </cell>
          <cell r="F5221" t="str">
            <v>7186</v>
          </cell>
          <cell r="G5221" t="str">
            <v>Muzak, LLC:The Plantations at Haywood</v>
          </cell>
          <cell r="H5221">
            <v>3</v>
          </cell>
        </row>
        <row r="5222">
          <cell r="B5222" t="str">
            <v>ESS - SCENT SERVICE</v>
          </cell>
          <cell r="C5222" t="str">
            <v>Invoice</v>
          </cell>
          <cell r="D5222">
            <v>38595</v>
          </cell>
          <cell r="F5222" t="str">
            <v>7151</v>
          </cell>
          <cell r="G5222" t="str">
            <v>Universal Studios Orlando:Universal Studios Merchandise</v>
          </cell>
          <cell r="H5222">
            <v>3</v>
          </cell>
        </row>
        <row r="5223">
          <cell r="B5223" t="str">
            <v>ESS - SCENT SERVICE</v>
          </cell>
          <cell r="C5223" t="str">
            <v>Invoice</v>
          </cell>
          <cell r="D5223">
            <v>38595</v>
          </cell>
          <cell r="F5223" t="str">
            <v>7148</v>
          </cell>
          <cell r="G5223" t="str">
            <v>Universal Studios Orlando:Islands of Adventure Merchandise</v>
          </cell>
          <cell r="H5223">
            <v>3</v>
          </cell>
        </row>
        <row r="5224">
          <cell r="B5224" t="str">
            <v>ESS - SCENT SERVICE</v>
          </cell>
          <cell r="C5224" t="str">
            <v>Invoice</v>
          </cell>
          <cell r="D5224">
            <v>38597</v>
          </cell>
          <cell r="F5224" t="str">
            <v>7813</v>
          </cell>
          <cell r="G5224" t="str">
            <v>Muzak, IA:Business Music &amp; Communications, LLC</v>
          </cell>
          <cell r="H5224">
            <v>3</v>
          </cell>
        </row>
        <row r="5225">
          <cell r="B5225" t="str">
            <v>ESS - SCENT SERVICE</v>
          </cell>
          <cell r="C5225" t="str">
            <v>Invoice</v>
          </cell>
          <cell r="D5225">
            <v>38602</v>
          </cell>
          <cell r="F5225" t="str">
            <v>7842</v>
          </cell>
          <cell r="G5225" t="str">
            <v>Muzak, LLC:Serenata Beach Club</v>
          </cell>
          <cell r="H5225">
            <v>3</v>
          </cell>
        </row>
        <row r="5226">
          <cell r="B5226" t="str">
            <v>ESS - SCENT SERVICE</v>
          </cell>
          <cell r="C5226" t="str">
            <v>Invoice</v>
          </cell>
          <cell r="D5226">
            <v>38611</v>
          </cell>
          <cell r="F5226" t="str">
            <v>7969</v>
          </cell>
          <cell r="G5226" t="str">
            <v>Muzak, LLC:Elliott Hardware - Plano</v>
          </cell>
          <cell r="H5226">
            <v>3</v>
          </cell>
        </row>
        <row r="5227">
          <cell r="B5227" t="str">
            <v>ESS - SCENT SERVICE</v>
          </cell>
          <cell r="C5227" t="str">
            <v>Invoice</v>
          </cell>
          <cell r="D5227">
            <v>38611</v>
          </cell>
          <cell r="F5227" t="str">
            <v>7971</v>
          </cell>
          <cell r="G5227" t="str">
            <v>Lane Bryant:Lane Bryant - Pembroke</v>
          </cell>
          <cell r="H5227">
            <v>3</v>
          </cell>
        </row>
        <row r="5228">
          <cell r="B5228" t="str">
            <v>ESS - SCENT SERVICE</v>
          </cell>
          <cell r="C5228" t="str">
            <v>Invoice</v>
          </cell>
          <cell r="D5228">
            <v>38618</v>
          </cell>
          <cell r="F5228" t="str">
            <v>7435</v>
          </cell>
          <cell r="G5228" t="str">
            <v>Muzak, LLC:The Plantations at Haywood</v>
          </cell>
          <cell r="H5228">
            <v>3</v>
          </cell>
        </row>
        <row r="5229">
          <cell r="B5229" t="str">
            <v>ESS - SCENT SERVICE</v>
          </cell>
          <cell r="C5229" t="str">
            <v>Invoice</v>
          </cell>
          <cell r="D5229">
            <v>38623</v>
          </cell>
          <cell r="F5229" t="str">
            <v>8133</v>
          </cell>
          <cell r="G5229" t="str">
            <v>Lane Bryant:Lane Bryant - Garland</v>
          </cell>
          <cell r="H5229">
            <v>3</v>
          </cell>
        </row>
        <row r="5230">
          <cell r="B5230" t="str">
            <v>ESS - SCENT SERVICE</v>
          </cell>
          <cell r="C5230" t="str">
            <v>Invoice</v>
          </cell>
          <cell r="D5230">
            <v>38623</v>
          </cell>
          <cell r="F5230" t="str">
            <v>8141</v>
          </cell>
          <cell r="G5230" t="str">
            <v>Muzak, LLC:Omni Manadlay Hotel</v>
          </cell>
          <cell r="H5230">
            <v>3</v>
          </cell>
        </row>
        <row r="5231">
          <cell r="B5231" t="str">
            <v>ESS - SCENT SERVICE</v>
          </cell>
          <cell r="C5231" t="str">
            <v>Invoice</v>
          </cell>
          <cell r="D5231">
            <v>38626</v>
          </cell>
          <cell r="F5231" t="str">
            <v>7500</v>
          </cell>
          <cell r="G5231" t="str">
            <v>Universal Studios Orlando:Islands of Adventure Merchandise</v>
          </cell>
          <cell r="H5231">
            <v>3</v>
          </cell>
        </row>
        <row r="5232">
          <cell r="B5232" t="str">
            <v>ESS - SCENT SERVICE</v>
          </cell>
          <cell r="C5232" t="str">
            <v>Invoice</v>
          </cell>
          <cell r="D5232">
            <v>38626</v>
          </cell>
          <cell r="F5232" t="str">
            <v>7503</v>
          </cell>
          <cell r="G5232" t="str">
            <v>Universal Studios Orlando:Universal Studios Merchandise</v>
          </cell>
          <cell r="H5232">
            <v>3</v>
          </cell>
        </row>
        <row r="5233">
          <cell r="B5233" t="str">
            <v>Freight - Pd by Customer</v>
          </cell>
          <cell r="C5233" t="str">
            <v>Invoice</v>
          </cell>
          <cell r="D5233">
            <v>38611</v>
          </cell>
          <cell r="F5233" t="str">
            <v>7969</v>
          </cell>
          <cell r="G5233" t="str">
            <v>Muzak, LLC:Elliott Hardware - Plano</v>
          </cell>
          <cell r="H5233">
            <v>3</v>
          </cell>
        </row>
        <row r="5234">
          <cell r="B5234" t="str">
            <v>MISC_504540</v>
          </cell>
          <cell r="C5234" t="str">
            <v>Invoice</v>
          </cell>
          <cell r="D5234">
            <v>38580</v>
          </cell>
          <cell r="F5234" t="str">
            <v>7388</v>
          </cell>
          <cell r="G5234" t="str">
            <v>Starwood Hotels Corporate Office</v>
          </cell>
          <cell r="H5234">
            <v>3</v>
          </cell>
        </row>
        <row r="5235">
          <cell r="B5235" t="str">
            <v>MNT1000</v>
          </cell>
          <cell r="C5235" t="str">
            <v>Invoice</v>
          </cell>
          <cell r="D5235">
            <v>38597</v>
          </cell>
          <cell r="F5235" t="str">
            <v>7757</v>
          </cell>
          <cell r="G5235" t="str">
            <v>Muzak, LLC:Schnuck Markets, Inc. #180</v>
          </cell>
          <cell r="H5235">
            <v>3</v>
          </cell>
        </row>
        <row r="5236">
          <cell r="B5236" t="str">
            <v>MNT1000</v>
          </cell>
          <cell r="C5236" t="str">
            <v>Invoice</v>
          </cell>
          <cell r="D5236">
            <v>38597</v>
          </cell>
          <cell r="F5236" t="str">
            <v>7813</v>
          </cell>
          <cell r="G5236" t="str">
            <v>Muzak, IA:Business Music &amp; Communications, LLC</v>
          </cell>
          <cell r="H5236">
            <v>3</v>
          </cell>
        </row>
        <row r="5237">
          <cell r="B5237" t="str">
            <v>MNT1000</v>
          </cell>
          <cell r="C5237" t="str">
            <v>Invoice</v>
          </cell>
          <cell r="D5237">
            <v>38602</v>
          </cell>
          <cell r="F5237" t="str">
            <v>7842</v>
          </cell>
          <cell r="G5237" t="str">
            <v>Muzak, LLC:Serenata Beach Club</v>
          </cell>
          <cell r="H5237">
            <v>3</v>
          </cell>
        </row>
        <row r="5238">
          <cell r="B5238" t="str">
            <v>MNT1000</v>
          </cell>
          <cell r="C5238" t="str">
            <v>Invoice</v>
          </cell>
          <cell r="D5238">
            <v>38611</v>
          </cell>
          <cell r="F5238" t="str">
            <v>7969</v>
          </cell>
          <cell r="G5238" t="str">
            <v>Muzak, LLC:Elliott Hardware - Plano</v>
          </cell>
          <cell r="H5238">
            <v>3</v>
          </cell>
        </row>
        <row r="5239">
          <cell r="B5239" t="str">
            <v>MNT1000</v>
          </cell>
          <cell r="C5239" t="str">
            <v>Invoice</v>
          </cell>
          <cell r="D5239">
            <v>38611</v>
          </cell>
          <cell r="F5239" t="str">
            <v>7971</v>
          </cell>
          <cell r="G5239" t="str">
            <v>Lane Bryant:Lane Bryant - Pembroke</v>
          </cell>
          <cell r="H5239">
            <v>3</v>
          </cell>
        </row>
        <row r="5240">
          <cell r="B5240" t="str">
            <v>MNT1000</v>
          </cell>
          <cell r="C5240" t="str">
            <v>Invoice</v>
          </cell>
          <cell r="D5240">
            <v>38618</v>
          </cell>
          <cell r="F5240" t="str">
            <v>8082</v>
          </cell>
          <cell r="G5240" t="str">
            <v>ScentAir - Corporate Associates:Murray Dameron</v>
          </cell>
          <cell r="H5240">
            <v>3</v>
          </cell>
        </row>
        <row r="5241">
          <cell r="B5241" t="str">
            <v>MNT1000</v>
          </cell>
          <cell r="C5241" t="str">
            <v>Invoice</v>
          </cell>
          <cell r="D5241">
            <v>38623</v>
          </cell>
          <cell r="F5241" t="str">
            <v>8133</v>
          </cell>
          <cell r="G5241" t="str">
            <v>Lane Bryant:Lane Bryant - Garland</v>
          </cell>
          <cell r="H5241">
            <v>3</v>
          </cell>
        </row>
        <row r="5242">
          <cell r="B5242" t="str">
            <v>MNT1000</v>
          </cell>
          <cell r="C5242" t="str">
            <v>Invoice</v>
          </cell>
          <cell r="D5242">
            <v>38623</v>
          </cell>
          <cell r="F5242" t="str">
            <v>8141</v>
          </cell>
          <cell r="G5242" t="str">
            <v>Muzak, LLC:Omni Manadlay Hotel</v>
          </cell>
          <cell r="H5242">
            <v>3</v>
          </cell>
        </row>
        <row r="5243">
          <cell r="B5243" t="str">
            <v>MNTPLATE1000B</v>
          </cell>
          <cell r="C5243" t="str">
            <v>Invoice</v>
          </cell>
          <cell r="D5243">
            <v>38597</v>
          </cell>
          <cell r="F5243" t="str">
            <v>7757</v>
          </cell>
          <cell r="G5243" t="str">
            <v>Muzak, LLC:Schnuck Markets, Inc. #180</v>
          </cell>
          <cell r="H5243">
            <v>3</v>
          </cell>
        </row>
        <row r="5244">
          <cell r="B5244" t="str">
            <v>MNT-TA-AXTS3</v>
          </cell>
          <cell r="C5244" t="str">
            <v>Invoice</v>
          </cell>
          <cell r="D5244">
            <v>38593</v>
          </cell>
          <cell r="F5244" t="str">
            <v>7699</v>
          </cell>
          <cell r="G5244" t="str">
            <v>Muzak, LLC:Food Lion #0564 (Bloom Stores)</v>
          </cell>
          <cell r="H5244">
            <v>3</v>
          </cell>
        </row>
        <row r="5245">
          <cell r="B5245" t="str">
            <v>MNT-TA-AXTS3</v>
          </cell>
          <cell r="C5245" t="str">
            <v>Invoice</v>
          </cell>
          <cell r="D5245">
            <v>38593</v>
          </cell>
          <cell r="F5245" t="str">
            <v>7698</v>
          </cell>
          <cell r="G5245" t="str">
            <v>Muzak, LLC:Food Lion #0531 (Bloom Stores)</v>
          </cell>
          <cell r="H5245">
            <v>3</v>
          </cell>
        </row>
        <row r="5246">
          <cell r="B5246" t="str">
            <v>MNT-TA-AXTS3</v>
          </cell>
          <cell r="C5246" t="str">
            <v>Invoice</v>
          </cell>
          <cell r="D5246">
            <v>38593</v>
          </cell>
          <cell r="F5246" t="str">
            <v>7701</v>
          </cell>
          <cell r="G5246" t="str">
            <v>Muzak, LLC:Food Lion #1438 (Bloom Stores)</v>
          </cell>
          <cell r="H5246">
            <v>3</v>
          </cell>
        </row>
        <row r="5247">
          <cell r="B5247" t="str">
            <v>MNT-TA-AXTS3</v>
          </cell>
          <cell r="C5247" t="str">
            <v>Invoice</v>
          </cell>
          <cell r="D5247">
            <v>38593</v>
          </cell>
          <cell r="F5247" t="str">
            <v>7702</v>
          </cell>
          <cell r="G5247" t="str">
            <v>Muzak, LLC:Food Lion #2565 (Bloom Stores)</v>
          </cell>
          <cell r="H5247">
            <v>3</v>
          </cell>
        </row>
        <row r="5248">
          <cell r="B5248" t="str">
            <v>MNT-TA-AXTS3</v>
          </cell>
          <cell r="C5248" t="str">
            <v>Invoice</v>
          </cell>
          <cell r="D5248">
            <v>38593</v>
          </cell>
          <cell r="F5248" t="str">
            <v>7700</v>
          </cell>
          <cell r="G5248" t="str">
            <v>Muzak, LLC:Food Lion #1351 (Bloom Stores)</v>
          </cell>
          <cell r="H5248">
            <v>3</v>
          </cell>
        </row>
        <row r="5249">
          <cell r="B5249" t="str">
            <v>PS12DC-1000B</v>
          </cell>
          <cell r="C5249" t="str">
            <v>Invoice</v>
          </cell>
          <cell r="D5249">
            <v>38618</v>
          </cell>
          <cell r="F5249" t="str">
            <v>8082</v>
          </cell>
          <cell r="G5249" t="str">
            <v>ScentAir - Corporate Associates:Murray Dameron</v>
          </cell>
          <cell r="H5249">
            <v>3</v>
          </cell>
        </row>
        <row r="5250">
          <cell r="B5250" t="str">
            <v>PS12DC-1000B</v>
          </cell>
          <cell r="C5250" t="str">
            <v>Invoice</v>
          </cell>
          <cell r="D5250">
            <v>38625</v>
          </cell>
          <cell r="F5250" t="str">
            <v>8199</v>
          </cell>
          <cell r="G5250" t="str">
            <v>Promotool</v>
          </cell>
          <cell r="H5250">
            <v>3</v>
          </cell>
        </row>
        <row r="5251">
          <cell r="B5251" t="str">
            <v>REFILL 3 SCENT ARRAYS</v>
          </cell>
          <cell r="C5251" t="str">
            <v>Invoice</v>
          </cell>
          <cell r="D5251">
            <v>38383</v>
          </cell>
          <cell r="F5251" t="str">
            <v>5269</v>
          </cell>
          <cell r="G5251" t="str">
            <v>I &amp; M Engineering, Inc.</v>
          </cell>
          <cell r="H5251">
            <v>3</v>
          </cell>
        </row>
        <row r="5252">
          <cell r="B5252" t="str">
            <v>REFILL 3 SCENT ARRAYS</v>
          </cell>
          <cell r="C5252" t="str">
            <v>Invoice</v>
          </cell>
          <cell r="D5252">
            <v>38546</v>
          </cell>
          <cell r="F5252" t="str">
            <v>6394</v>
          </cell>
          <cell r="G5252" t="str">
            <v>I &amp; M Engineering, Inc.</v>
          </cell>
          <cell r="H5252">
            <v>3</v>
          </cell>
        </row>
        <row r="5253">
          <cell r="B5253" t="str">
            <v>SAC</v>
          </cell>
          <cell r="C5253" t="str">
            <v>Invoice</v>
          </cell>
          <cell r="D5253">
            <v>38362</v>
          </cell>
          <cell r="F5253" t="str">
            <v>5169</v>
          </cell>
          <cell r="G5253" t="str">
            <v>Cafe Aroma</v>
          </cell>
          <cell r="H5253">
            <v>3</v>
          </cell>
        </row>
        <row r="5254">
          <cell r="B5254" t="str">
            <v>SAC</v>
          </cell>
          <cell r="C5254" t="str">
            <v>Invoice</v>
          </cell>
          <cell r="D5254">
            <v>38372</v>
          </cell>
          <cell r="F5254" t="str">
            <v>5231</v>
          </cell>
          <cell r="G5254" t="str">
            <v>Ashley Furniture HomeStore</v>
          </cell>
          <cell r="H5254">
            <v>3</v>
          </cell>
        </row>
        <row r="5255">
          <cell r="B5255" t="str">
            <v>SAC</v>
          </cell>
          <cell r="C5255" t="str">
            <v>Invoice</v>
          </cell>
          <cell r="D5255">
            <v>38378</v>
          </cell>
          <cell r="F5255" t="str">
            <v>5230</v>
          </cell>
          <cell r="G5255" t="str">
            <v>Silks By Mu-Mu Manufactuteres</v>
          </cell>
          <cell r="H5255">
            <v>3</v>
          </cell>
        </row>
        <row r="5256">
          <cell r="B5256" t="str">
            <v>SAC</v>
          </cell>
          <cell r="C5256" t="str">
            <v>Invoice</v>
          </cell>
          <cell r="D5256">
            <v>38383</v>
          </cell>
          <cell r="F5256" t="str">
            <v>5245</v>
          </cell>
          <cell r="G5256" t="str">
            <v>BJ's Wholesale Club (C)</v>
          </cell>
          <cell r="H5256">
            <v>3</v>
          </cell>
        </row>
        <row r="5257">
          <cell r="B5257" t="str">
            <v>SAMPLER</v>
          </cell>
          <cell r="C5257" t="str">
            <v>Invoice</v>
          </cell>
          <cell r="D5257">
            <v>38405</v>
          </cell>
          <cell r="F5257" t="str">
            <v>4993</v>
          </cell>
          <cell r="G5257" t="str">
            <v>Children's Museaum of Indianapolis</v>
          </cell>
          <cell r="H5257">
            <v>3</v>
          </cell>
        </row>
        <row r="5258">
          <cell r="B5258" t="str">
            <v>SAMPLESTICKS</v>
          </cell>
          <cell r="C5258" t="str">
            <v>Invoice</v>
          </cell>
          <cell r="D5258">
            <v>38610</v>
          </cell>
          <cell r="F5258" t="str">
            <v>7945</v>
          </cell>
          <cell r="G5258" t="str">
            <v>Muzak, LLC:Muzak (Demo)</v>
          </cell>
          <cell r="H5258">
            <v>3</v>
          </cell>
        </row>
        <row r="5259">
          <cell r="B5259" t="str">
            <v>SBC</v>
          </cell>
          <cell r="C5259" t="str">
            <v>Invoice</v>
          </cell>
          <cell r="D5259">
            <v>38355</v>
          </cell>
          <cell r="F5259" t="str">
            <v>5138</v>
          </cell>
          <cell r="G5259" t="str">
            <v>Guckenheimer - Wexner Commons</v>
          </cell>
          <cell r="H5259">
            <v>3</v>
          </cell>
        </row>
        <row r="5260">
          <cell r="B5260" t="str">
            <v>SBC</v>
          </cell>
          <cell r="C5260" t="str">
            <v>Invoice</v>
          </cell>
          <cell r="D5260">
            <v>38371</v>
          </cell>
          <cell r="F5260" t="str">
            <v>5250</v>
          </cell>
          <cell r="G5260" t="str">
            <v>Guckenheimer - Wexner Commons</v>
          </cell>
          <cell r="H5260">
            <v>3</v>
          </cell>
        </row>
        <row r="5261">
          <cell r="B5261" t="str">
            <v>SCENTKIT-48</v>
          </cell>
          <cell r="C5261" t="str">
            <v>Invoice</v>
          </cell>
          <cell r="D5261">
            <v>38588</v>
          </cell>
          <cell r="F5261" t="str">
            <v>7664</v>
          </cell>
          <cell r="G5261" t="str">
            <v>Muzak, IA:Carolina Sound Communications</v>
          </cell>
          <cell r="H5261">
            <v>3</v>
          </cell>
        </row>
        <row r="5262">
          <cell r="B5262" t="str">
            <v>SCENTSAMPLES</v>
          </cell>
          <cell r="C5262" t="str">
            <v>Invoice</v>
          </cell>
          <cell r="D5262">
            <v>38455</v>
          </cell>
          <cell r="F5262" t="str">
            <v>5604</v>
          </cell>
          <cell r="G5262" t="str">
            <v>Treasure Island Stores</v>
          </cell>
          <cell r="H5262">
            <v>3</v>
          </cell>
        </row>
        <row r="5263">
          <cell r="B5263" t="str">
            <v>SCENTSAMPLES</v>
          </cell>
          <cell r="C5263" t="str">
            <v>Invoice</v>
          </cell>
          <cell r="D5263">
            <v>38455</v>
          </cell>
          <cell r="F5263" t="str">
            <v>5604</v>
          </cell>
          <cell r="G5263" t="str">
            <v>Treasure Island Stores</v>
          </cell>
          <cell r="H5263">
            <v>3</v>
          </cell>
        </row>
        <row r="5264">
          <cell r="B5264" t="str">
            <v>SCENTSAMPLES</v>
          </cell>
          <cell r="C5264" t="str">
            <v>Invoice</v>
          </cell>
          <cell r="D5264">
            <v>38484</v>
          </cell>
          <cell r="F5264" t="str">
            <v>6173</v>
          </cell>
          <cell r="G5264" t="str">
            <v>Pueblo International</v>
          </cell>
          <cell r="H5264">
            <v>3</v>
          </cell>
        </row>
        <row r="5265">
          <cell r="B5265" t="str">
            <v>SCENTSAMPLES</v>
          </cell>
          <cell r="C5265" t="str">
            <v>Invoice</v>
          </cell>
          <cell r="D5265">
            <v>38525</v>
          </cell>
          <cell r="F5265" t="str">
            <v>6369</v>
          </cell>
          <cell r="G5265" t="str">
            <v>Muzak, LLC:Flat Rock Grille #201</v>
          </cell>
          <cell r="H5265">
            <v>3</v>
          </cell>
        </row>
        <row r="5266">
          <cell r="B5266" t="str">
            <v>SCENTSAMPLES</v>
          </cell>
          <cell r="C5266" t="str">
            <v>Invoice</v>
          </cell>
          <cell r="D5266">
            <v>38525</v>
          </cell>
          <cell r="F5266" t="str">
            <v>6369</v>
          </cell>
          <cell r="G5266" t="str">
            <v>Muzak, LLC:Flat Rock Grille #201</v>
          </cell>
          <cell r="H5266">
            <v>3</v>
          </cell>
        </row>
        <row r="5267">
          <cell r="B5267" t="str">
            <v>SCENTSAMPLES</v>
          </cell>
          <cell r="C5267" t="str">
            <v>Invoice</v>
          </cell>
          <cell r="D5267">
            <v>38525</v>
          </cell>
          <cell r="F5267" t="str">
            <v>6369</v>
          </cell>
          <cell r="G5267" t="str">
            <v>Muzak, LLC:Flat Rock Grille #201</v>
          </cell>
          <cell r="H5267">
            <v>3</v>
          </cell>
        </row>
        <row r="5268">
          <cell r="B5268" t="str">
            <v>SCENTSAMPLES</v>
          </cell>
          <cell r="C5268" t="str">
            <v>Invoice</v>
          </cell>
          <cell r="D5268">
            <v>38540</v>
          </cell>
          <cell r="F5268" t="str">
            <v>7057</v>
          </cell>
          <cell r="G5268" t="str">
            <v>Muzak, LLC:Flat Rock Grille #201</v>
          </cell>
          <cell r="H5268">
            <v>3</v>
          </cell>
        </row>
        <row r="5269">
          <cell r="B5269" t="str">
            <v>SCENTSAMPLES</v>
          </cell>
          <cell r="C5269" t="str">
            <v>Invoice</v>
          </cell>
          <cell r="D5269">
            <v>38540</v>
          </cell>
          <cell r="F5269" t="str">
            <v>7057</v>
          </cell>
          <cell r="G5269" t="str">
            <v>Muzak, LLC:Flat Rock Grille #201</v>
          </cell>
          <cell r="H5269">
            <v>3</v>
          </cell>
        </row>
        <row r="5270">
          <cell r="B5270" t="str">
            <v>SCENTSAMPLES</v>
          </cell>
          <cell r="C5270" t="str">
            <v>Invoice</v>
          </cell>
          <cell r="D5270">
            <v>38540</v>
          </cell>
          <cell r="F5270" t="str">
            <v>7057</v>
          </cell>
          <cell r="G5270" t="str">
            <v>Muzak, LLC:Flat Rock Grille #201</v>
          </cell>
          <cell r="H5270">
            <v>3</v>
          </cell>
        </row>
        <row r="5271">
          <cell r="B5271" t="str">
            <v>SCENTSAMPLES</v>
          </cell>
          <cell r="C5271" t="str">
            <v>Invoice</v>
          </cell>
          <cell r="D5271">
            <v>38544</v>
          </cell>
          <cell r="F5271" t="str">
            <v>7097</v>
          </cell>
          <cell r="G5271" t="str">
            <v>Muzak, LLC:Flat Rock Grille #201</v>
          </cell>
          <cell r="H5271">
            <v>3</v>
          </cell>
        </row>
        <row r="5272">
          <cell r="B5272" t="str">
            <v>SCENTSAMPLES</v>
          </cell>
          <cell r="C5272" t="str">
            <v>Invoice</v>
          </cell>
          <cell r="D5272">
            <v>38544</v>
          </cell>
          <cell r="F5272" t="str">
            <v>7097</v>
          </cell>
          <cell r="G5272" t="str">
            <v>Muzak, LLC:Flat Rock Grille #201</v>
          </cell>
          <cell r="H5272">
            <v>3</v>
          </cell>
        </row>
        <row r="5273">
          <cell r="B5273" t="str">
            <v>SCENTSAMPLES</v>
          </cell>
          <cell r="C5273" t="str">
            <v>Invoice</v>
          </cell>
          <cell r="D5273">
            <v>38544</v>
          </cell>
          <cell r="F5273" t="str">
            <v>7097</v>
          </cell>
          <cell r="G5273" t="str">
            <v>Muzak, LLC:Flat Rock Grille #201</v>
          </cell>
          <cell r="H5273">
            <v>3</v>
          </cell>
        </row>
        <row r="5274">
          <cell r="B5274" t="str">
            <v>SCENTSAMPLES</v>
          </cell>
          <cell r="C5274" t="str">
            <v>Invoice</v>
          </cell>
          <cell r="D5274">
            <v>38567</v>
          </cell>
          <cell r="F5274" t="str">
            <v>7268</v>
          </cell>
          <cell r="G5274" t="str">
            <v>Boar's Head</v>
          </cell>
          <cell r="H5274">
            <v>3</v>
          </cell>
        </row>
        <row r="5275">
          <cell r="B5275" t="str">
            <v>SCENTSAMPLES</v>
          </cell>
          <cell r="C5275" t="str">
            <v>Invoice</v>
          </cell>
          <cell r="D5275">
            <v>38576</v>
          </cell>
          <cell r="F5275" t="str">
            <v>7479</v>
          </cell>
          <cell r="G5275" t="str">
            <v>Muzak, LLC:Muzak (Demo)</v>
          </cell>
          <cell r="H5275">
            <v>3</v>
          </cell>
        </row>
        <row r="5276">
          <cell r="B5276" t="str">
            <v>SCENTSAMPLES</v>
          </cell>
          <cell r="C5276" t="str">
            <v>Invoice</v>
          </cell>
          <cell r="D5276">
            <v>38588</v>
          </cell>
          <cell r="F5276" t="str">
            <v>7671</v>
          </cell>
          <cell r="G5276" t="str">
            <v>ScentAir Australia Pty Ltd.</v>
          </cell>
          <cell r="H5276">
            <v>3</v>
          </cell>
        </row>
        <row r="5277">
          <cell r="B5277" t="str">
            <v>SEC1020-0794</v>
          </cell>
          <cell r="C5277" t="str">
            <v>Invoice</v>
          </cell>
          <cell r="D5277">
            <v>38579</v>
          </cell>
          <cell r="F5277" t="str">
            <v>7473</v>
          </cell>
          <cell r="G5277" t="str">
            <v>Promotool</v>
          </cell>
          <cell r="H5277">
            <v>3</v>
          </cell>
        </row>
        <row r="5278">
          <cell r="B5278" t="str">
            <v>SEC1040-0794</v>
          </cell>
          <cell r="C5278" t="str">
            <v>Invoice</v>
          </cell>
          <cell r="D5278">
            <v>38582</v>
          </cell>
          <cell r="F5278" t="str">
            <v>7513</v>
          </cell>
          <cell r="G5278" t="str">
            <v>Promotool</v>
          </cell>
          <cell r="H5278">
            <v>3</v>
          </cell>
        </row>
        <row r="5279">
          <cell r="B5279" t="str">
            <v>SEC1040-0794</v>
          </cell>
          <cell r="C5279" t="str">
            <v>Invoice</v>
          </cell>
          <cell r="D5279">
            <v>38603</v>
          </cell>
          <cell r="F5279" t="str">
            <v>7876</v>
          </cell>
          <cell r="G5279" t="str">
            <v>Promotool</v>
          </cell>
          <cell r="H5279">
            <v>3</v>
          </cell>
        </row>
        <row r="5280">
          <cell r="B5280" t="str">
            <v>SPC500-0429</v>
          </cell>
          <cell r="C5280" t="str">
            <v>Invoice</v>
          </cell>
          <cell r="D5280">
            <v>38405</v>
          </cell>
          <cell r="F5280" t="str">
            <v>5338</v>
          </cell>
          <cell r="G5280" t="str">
            <v>Universal Exhibits</v>
          </cell>
          <cell r="H5280">
            <v>3</v>
          </cell>
        </row>
        <row r="5281">
          <cell r="B5281" t="str">
            <v>SPC500-0521</v>
          </cell>
          <cell r="C5281" t="str">
            <v>Invoice</v>
          </cell>
          <cell r="D5281">
            <v>38561</v>
          </cell>
          <cell r="F5281" t="str">
            <v>7197</v>
          </cell>
          <cell r="G5281" t="str">
            <v>Techno Satellite</v>
          </cell>
          <cell r="H5281">
            <v>3</v>
          </cell>
        </row>
        <row r="5282">
          <cell r="B5282" t="str">
            <v>SPC500-0841</v>
          </cell>
          <cell r="C5282" t="str">
            <v>Invoice</v>
          </cell>
          <cell r="D5282">
            <v>38530</v>
          </cell>
          <cell r="F5282" t="str">
            <v>5591-I</v>
          </cell>
          <cell r="G5282" t="str">
            <v>Indoor Garden Systems</v>
          </cell>
          <cell r="H5282">
            <v>3</v>
          </cell>
        </row>
        <row r="5283">
          <cell r="B5283" t="str">
            <v>SPC500-0848</v>
          </cell>
          <cell r="C5283" t="str">
            <v>Invoice</v>
          </cell>
          <cell r="D5283">
            <v>38407</v>
          </cell>
          <cell r="F5283" t="str">
            <v>5361</v>
          </cell>
          <cell r="G5283" t="str">
            <v>Promotool</v>
          </cell>
          <cell r="H5283">
            <v>3</v>
          </cell>
        </row>
        <row r="5284">
          <cell r="B5284" t="str">
            <v>SPC500-0909</v>
          </cell>
          <cell r="C5284" t="str">
            <v>Invoice</v>
          </cell>
          <cell r="D5284">
            <v>38456</v>
          </cell>
          <cell r="F5284" t="str">
            <v>5619</v>
          </cell>
          <cell r="G5284" t="str">
            <v>ScentAir Australia Pty Ltd.</v>
          </cell>
          <cell r="H5284">
            <v>3</v>
          </cell>
        </row>
        <row r="5285">
          <cell r="B5285" t="str">
            <v>SPC500-0913</v>
          </cell>
          <cell r="C5285" t="str">
            <v>Invoice</v>
          </cell>
          <cell r="D5285">
            <v>38520</v>
          </cell>
          <cell r="F5285" t="str">
            <v>6267</v>
          </cell>
          <cell r="G5285" t="str">
            <v>Techno Satellite</v>
          </cell>
          <cell r="H5285">
            <v>3</v>
          </cell>
        </row>
        <row r="5286">
          <cell r="B5286" t="str">
            <v>SPC500-0996</v>
          </cell>
          <cell r="C5286" t="str">
            <v>Invoice</v>
          </cell>
          <cell r="D5286">
            <v>38407</v>
          </cell>
          <cell r="F5286" t="str">
            <v>5361</v>
          </cell>
          <cell r="G5286" t="str">
            <v>Promotool</v>
          </cell>
          <cell r="H5286">
            <v>3</v>
          </cell>
        </row>
        <row r="5287">
          <cell r="B5287" t="str">
            <v>SPC500-1016</v>
          </cell>
          <cell r="C5287" t="str">
            <v>Invoice</v>
          </cell>
          <cell r="D5287">
            <v>38561</v>
          </cell>
          <cell r="F5287" t="str">
            <v>7197</v>
          </cell>
          <cell r="G5287" t="str">
            <v>Techno Satellite</v>
          </cell>
          <cell r="H5287">
            <v>3</v>
          </cell>
        </row>
        <row r="5288">
          <cell r="B5288" t="str">
            <v>SPC500-1095</v>
          </cell>
          <cell r="C5288" t="str">
            <v>Invoice</v>
          </cell>
          <cell r="D5288">
            <v>38520</v>
          </cell>
          <cell r="F5288" t="str">
            <v>6267</v>
          </cell>
          <cell r="G5288" t="str">
            <v>Techno Satellite</v>
          </cell>
          <cell r="H5288">
            <v>3</v>
          </cell>
        </row>
        <row r="5289">
          <cell r="B5289" t="str">
            <v>SPC500-1254</v>
          </cell>
          <cell r="C5289" t="str">
            <v>Invoice</v>
          </cell>
          <cell r="D5289">
            <v>38467</v>
          </cell>
          <cell r="F5289" t="str">
            <v>5701</v>
          </cell>
          <cell r="G5289" t="str">
            <v>Maryland Science Center</v>
          </cell>
          <cell r="H5289">
            <v>3</v>
          </cell>
        </row>
        <row r="5290">
          <cell r="B5290" t="str">
            <v>SPC500-1364</v>
          </cell>
          <cell r="C5290" t="str">
            <v>Invoice</v>
          </cell>
          <cell r="D5290">
            <v>38504</v>
          </cell>
          <cell r="F5290" t="str">
            <v>5339</v>
          </cell>
          <cell r="G5290" t="str">
            <v>Universal Exhibits</v>
          </cell>
          <cell r="H5290">
            <v>3</v>
          </cell>
        </row>
        <row r="5291">
          <cell r="B5291" t="str">
            <v>SPC500-1364</v>
          </cell>
          <cell r="C5291" t="str">
            <v>Invoice</v>
          </cell>
          <cell r="D5291">
            <v>38594</v>
          </cell>
          <cell r="F5291" t="str">
            <v>5340</v>
          </cell>
          <cell r="G5291" t="str">
            <v>Universal Exhibits</v>
          </cell>
          <cell r="H5291">
            <v>3</v>
          </cell>
        </row>
        <row r="5292">
          <cell r="B5292" t="str">
            <v>SPC500-1364</v>
          </cell>
          <cell r="C5292" t="str">
            <v>Invoice</v>
          </cell>
          <cell r="D5292">
            <v>38594</v>
          </cell>
          <cell r="F5292" t="str">
            <v>5342</v>
          </cell>
          <cell r="G5292" t="str">
            <v>Universal Exhibits</v>
          </cell>
          <cell r="H5292">
            <v>3</v>
          </cell>
        </row>
        <row r="5293">
          <cell r="B5293" t="str">
            <v>SPC500-Custom Raisin Bread</v>
          </cell>
          <cell r="C5293" t="str">
            <v>Invoice</v>
          </cell>
          <cell r="D5293">
            <v>38421</v>
          </cell>
          <cell r="F5293" t="str">
            <v>5424</v>
          </cell>
          <cell r="G5293" t="str">
            <v>ScentAir Australia Pty Ltd.</v>
          </cell>
          <cell r="H5293">
            <v>3</v>
          </cell>
        </row>
        <row r="5294">
          <cell r="B5294" t="str">
            <v>SPD510</v>
          </cell>
          <cell r="C5294" t="str">
            <v>Invoice</v>
          </cell>
          <cell r="D5294">
            <v>38407</v>
          </cell>
          <cell r="F5294" t="str">
            <v>5361</v>
          </cell>
          <cell r="G5294" t="str">
            <v>Promotool</v>
          </cell>
          <cell r="H5294">
            <v>3</v>
          </cell>
        </row>
        <row r="5295">
          <cell r="B5295" t="str">
            <v>SPD510</v>
          </cell>
          <cell r="C5295" t="str">
            <v>Invoice</v>
          </cell>
          <cell r="D5295">
            <v>38455</v>
          </cell>
          <cell r="F5295" t="str">
            <v>5600</v>
          </cell>
          <cell r="G5295" t="str">
            <v>Techno Satellite</v>
          </cell>
          <cell r="H5295">
            <v>3</v>
          </cell>
        </row>
        <row r="5296">
          <cell r="B5296" t="str">
            <v>SPD510</v>
          </cell>
          <cell r="C5296" t="str">
            <v>Invoice</v>
          </cell>
          <cell r="D5296">
            <v>38530</v>
          </cell>
          <cell r="F5296" t="str">
            <v>5591-I</v>
          </cell>
          <cell r="G5296" t="str">
            <v>Indoor Garden Systems</v>
          </cell>
          <cell r="H5296">
            <v>3</v>
          </cell>
        </row>
        <row r="5297">
          <cell r="B5297" t="str">
            <v>SPOP-C</v>
          </cell>
          <cell r="C5297" t="str">
            <v>Invoice</v>
          </cell>
          <cell r="D5297">
            <v>38477</v>
          </cell>
          <cell r="F5297" t="str">
            <v>5599</v>
          </cell>
          <cell r="G5297" t="str">
            <v>ScentAir Australia Pty Ltd.</v>
          </cell>
          <cell r="H5297">
            <v>3</v>
          </cell>
        </row>
        <row r="5298">
          <cell r="B5298" t="str">
            <v>SWC1000-0153</v>
          </cell>
          <cell r="C5298" t="str">
            <v>Invoice</v>
          </cell>
          <cell r="D5298">
            <v>38609</v>
          </cell>
          <cell r="F5298" t="str">
            <v>7235</v>
          </cell>
          <cell r="G5298" t="str">
            <v>Sea World Orlando</v>
          </cell>
          <cell r="H5298">
            <v>3</v>
          </cell>
        </row>
        <row r="5299">
          <cell r="B5299" t="str">
            <v>SWC1000-0837</v>
          </cell>
          <cell r="C5299" t="str">
            <v>Invoice</v>
          </cell>
          <cell r="D5299">
            <v>38442</v>
          </cell>
          <cell r="F5299" t="str">
            <v>5501</v>
          </cell>
          <cell r="G5299" t="str">
            <v>Pacific Pets Inc.</v>
          </cell>
          <cell r="H5299">
            <v>3</v>
          </cell>
        </row>
        <row r="5300">
          <cell r="B5300" t="str">
            <v>SWC1000-0871</v>
          </cell>
          <cell r="C5300" t="str">
            <v>Invoice</v>
          </cell>
          <cell r="D5300">
            <v>38427</v>
          </cell>
          <cell r="F5300" t="str">
            <v>5467</v>
          </cell>
          <cell r="G5300" t="str">
            <v>Grupobiz-Integradora De Espartaculos</v>
          </cell>
          <cell r="H5300">
            <v>3</v>
          </cell>
        </row>
        <row r="5301">
          <cell r="B5301" t="str">
            <v>SWC1000-0913</v>
          </cell>
          <cell r="C5301" t="str">
            <v>Invoice</v>
          </cell>
          <cell r="D5301">
            <v>38442</v>
          </cell>
          <cell r="F5301" t="str">
            <v>5557</v>
          </cell>
          <cell r="G5301" t="str">
            <v>Saddle Ranch</v>
          </cell>
          <cell r="H5301">
            <v>3</v>
          </cell>
        </row>
        <row r="5302">
          <cell r="B5302" t="str">
            <v>SWC1000-851</v>
          </cell>
          <cell r="C5302" t="str">
            <v>Invoice</v>
          </cell>
          <cell r="D5302">
            <v>38503</v>
          </cell>
          <cell r="F5302" t="str">
            <v>6172</v>
          </cell>
          <cell r="G5302" t="str">
            <v>Arkitectura Urbana</v>
          </cell>
          <cell r="H5302">
            <v>3</v>
          </cell>
        </row>
        <row r="5303">
          <cell r="B5303" t="str">
            <v>SWC1000-851</v>
          </cell>
          <cell r="C5303" t="str">
            <v>Invoice</v>
          </cell>
          <cell r="D5303">
            <v>38505</v>
          </cell>
          <cell r="F5303" t="str">
            <v>6354</v>
          </cell>
          <cell r="G5303" t="str">
            <v>Kirk Larson, DDS</v>
          </cell>
          <cell r="H5303">
            <v>3</v>
          </cell>
        </row>
        <row r="5304">
          <cell r="B5304" t="str">
            <v>SWC1000-851</v>
          </cell>
          <cell r="C5304" t="str">
            <v>Invoice</v>
          </cell>
          <cell r="D5304">
            <v>38547</v>
          </cell>
          <cell r="F5304" t="str">
            <v>6355</v>
          </cell>
          <cell r="G5304" t="str">
            <v>Kirk Larson, DDS</v>
          </cell>
          <cell r="H5304">
            <v>3</v>
          </cell>
        </row>
        <row r="5305">
          <cell r="B5305" t="str">
            <v>SWC1020-0153</v>
          </cell>
          <cell r="C5305" t="str">
            <v>Invoice</v>
          </cell>
          <cell r="D5305">
            <v>38461</v>
          </cell>
          <cell r="F5305" t="str">
            <v>5672</v>
          </cell>
          <cell r="G5305" t="str">
            <v>Le Chateau Stores of Canada</v>
          </cell>
          <cell r="H5305">
            <v>3</v>
          </cell>
        </row>
        <row r="5306">
          <cell r="B5306" t="str">
            <v>SWC1020-0174</v>
          </cell>
          <cell r="C5306" t="str">
            <v>Invoice</v>
          </cell>
          <cell r="D5306">
            <v>38449</v>
          </cell>
          <cell r="F5306" t="str">
            <v>5586</v>
          </cell>
          <cell r="G5306" t="str">
            <v>ScentAir Australia Pty Ltd.</v>
          </cell>
          <cell r="H5306">
            <v>3</v>
          </cell>
        </row>
        <row r="5307">
          <cell r="B5307" t="str">
            <v>SWC1020-0429</v>
          </cell>
          <cell r="C5307" t="str">
            <v>Invoice</v>
          </cell>
          <cell r="D5307">
            <v>38442</v>
          </cell>
          <cell r="F5307" t="str">
            <v>5570</v>
          </cell>
          <cell r="G5307" t="str">
            <v>ScentAir Australia Pty Ltd.</v>
          </cell>
          <cell r="H5307">
            <v>3</v>
          </cell>
        </row>
        <row r="5308">
          <cell r="B5308" t="str">
            <v>SWC1020-0493</v>
          </cell>
          <cell r="C5308" t="str">
            <v>Invoice</v>
          </cell>
          <cell r="D5308">
            <v>38449</v>
          </cell>
          <cell r="F5308" t="str">
            <v>5586</v>
          </cell>
          <cell r="G5308" t="str">
            <v>ScentAir Australia Pty Ltd.</v>
          </cell>
          <cell r="H5308">
            <v>3</v>
          </cell>
        </row>
        <row r="5309">
          <cell r="B5309" t="str">
            <v>SWC1020-0521</v>
          </cell>
          <cell r="C5309" t="str">
            <v>Invoice</v>
          </cell>
          <cell r="D5309">
            <v>38484</v>
          </cell>
          <cell r="F5309" t="str">
            <v>6016</v>
          </cell>
          <cell r="G5309" t="str">
            <v>VendMax International Inc.</v>
          </cell>
          <cell r="H5309">
            <v>3</v>
          </cell>
        </row>
        <row r="5310">
          <cell r="B5310" t="str">
            <v>SWC1020-0841</v>
          </cell>
          <cell r="C5310" t="str">
            <v>Invoice</v>
          </cell>
          <cell r="D5310">
            <v>38456</v>
          </cell>
          <cell r="F5310" t="str">
            <v>5619</v>
          </cell>
          <cell r="G5310" t="str">
            <v>ScentAir Australia Pty Ltd.</v>
          </cell>
          <cell r="H5310">
            <v>3</v>
          </cell>
        </row>
        <row r="5311">
          <cell r="B5311" t="str">
            <v>SWC1020-0861</v>
          </cell>
          <cell r="C5311" t="str">
            <v>Invoice</v>
          </cell>
          <cell r="D5311">
            <v>38456</v>
          </cell>
          <cell r="F5311" t="str">
            <v>5619</v>
          </cell>
          <cell r="G5311" t="str">
            <v>ScentAir Australia Pty Ltd.</v>
          </cell>
          <cell r="H5311">
            <v>3</v>
          </cell>
        </row>
        <row r="5312">
          <cell r="B5312" t="str">
            <v>SWC1020-1095</v>
          </cell>
          <cell r="C5312" t="str">
            <v>Invoice</v>
          </cell>
          <cell r="D5312">
            <v>38442</v>
          </cell>
          <cell r="F5312" t="str">
            <v>5445</v>
          </cell>
          <cell r="G5312" t="str">
            <v>Grupobiz-Integradora De Espartaculos</v>
          </cell>
          <cell r="H5312">
            <v>3</v>
          </cell>
        </row>
        <row r="5313">
          <cell r="B5313" t="str">
            <v>SWC1020-1153</v>
          </cell>
          <cell r="C5313" t="str">
            <v>Invoice</v>
          </cell>
          <cell r="D5313">
            <v>38449</v>
          </cell>
          <cell r="F5313" t="str">
            <v>5586</v>
          </cell>
          <cell r="G5313" t="str">
            <v>ScentAir Australia Pty Ltd.</v>
          </cell>
          <cell r="H5313">
            <v>3</v>
          </cell>
        </row>
        <row r="5314">
          <cell r="B5314" t="str">
            <v>SWC1020-1254</v>
          </cell>
          <cell r="C5314" t="str">
            <v>Invoice</v>
          </cell>
          <cell r="D5314">
            <v>38411</v>
          </cell>
          <cell r="F5314" t="str">
            <v>5364</v>
          </cell>
          <cell r="G5314" t="str">
            <v>Grupobiz-Integradora De Espartaculos</v>
          </cell>
          <cell r="H5314">
            <v>3</v>
          </cell>
        </row>
        <row r="5315">
          <cell r="B5315" t="str">
            <v>SWC1020-1254</v>
          </cell>
          <cell r="C5315" t="str">
            <v>Invoice</v>
          </cell>
          <cell r="D5315">
            <v>38456</v>
          </cell>
          <cell r="F5315" t="str">
            <v>5619</v>
          </cell>
          <cell r="G5315" t="str">
            <v>ScentAir Australia Pty Ltd.</v>
          </cell>
          <cell r="H5315">
            <v>3</v>
          </cell>
        </row>
        <row r="5316">
          <cell r="B5316" t="str">
            <v>SWC1020-1364</v>
          </cell>
          <cell r="C5316" t="str">
            <v>Invoice</v>
          </cell>
          <cell r="D5316">
            <v>38442</v>
          </cell>
          <cell r="F5316" t="str">
            <v>5445</v>
          </cell>
          <cell r="G5316" t="str">
            <v>Grupobiz-Integradora De Espartaculos</v>
          </cell>
          <cell r="H5316">
            <v>3</v>
          </cell>
        </row>
        <row r="5317">
          <cell r="B5317" t="str">
            <v>SWC1040-0794</v>
          </cell>
          <cell r="C5317" t="str">
            <v>Invoice</v>
          </cell>
          <cell r="D5317">
            <v>38526</v>
          </cell>
          <cell r="F5317" t="str">
            <v>6397</v>
          </cell>
          <cell r="G5317" t="str">
            <v>Scent Events, LLC</v>
          </cell>
          <cell r="H5317">
            <v>3</v>
          </cell>
        </row>
        <row r="5318">
          <cell r="B5318" t="str">
            <v>SWC1040-0837</v>
          </cell>
          <cell r="C5318" t="str">
            <v>Invoice</v>
          </cell>
          <cell r="D5318">
            <v>38603</v>
          </cell>
          <cell r="F5318" t="str">
            <v>7823</v>
          </cell>
          <cell r="G5318" t="str">
            <v>Skatetown - Roseville</v>
          </cell>
          <cell r="H5318">
            <v>3</v>
          </cell>
        </row>
        <row r="5319">
          <cell r="B5319" t="str">
            <v>SWC1040-0956</v>
          </cell>
          <cell r="C5319" t="str">
            <v>Invoice</v>
          </cell>
          <cell r="D5319">
            <v>38495</v>
          </cell>
          <cell r="F5319" t="str">
            <v>6118</v>
          </cell>
          <cell r="G5319" t="str">
            <v>Videotronic Benelux BV</v>
          </cell>
          <cell r="H5319">
            <v>3</v>
          </cell>
        </row>
        <row r="5320">
          <cell r="B5320" t="str">
            <v>SWC1040-1016</v>
          </cell>
          <cell r="C5320" t="str">
            <v>Invoice</v>
          </cell>
          <cell r="D5320">
            <v>38484</v>
          </cell>
          <cell r="F5320" t="str">
            <v>6141</v>
          </cell>
          <cell r="G5320" t="str">
            <v>Videotronic Benelux BV</v>
          </cell>
          <cell r="H5320">
            <v>3</v>
          </cell>
        </row>
        <row r="5321">
          <cell r="B5321" t="str">
            <v>SWC1040-1066</v>
          </cell>
          <cell r="C5321" t="str">
            <v>Invoice</v>
          </cell>
          <cell r="D5321">
            <v>38603</v>
          </cell>
          <cell r="F5321" t="str">
            <v>7825</v>
          </cell>
          <cell r="G5321" t="str">
            <v>Videotronic Benelux BV</v>
          </cell>
          <cell r="H5321">
            <v>3</v>
          </cell>
        </row>
        <row r="5322">
          <cell r="B5322" t="str">
            <v>SWC1040-1105</v>
          </cell>
          <cell r="C5322" t="str">
            <v>Invoice</v>
          </cell>
          <cell r="D5322">
            <v>38623</v>
          </cell>
          <cell r="F5322" t="str">
            <v>8141</v>
          </cell>
          <cell r="G5322" t="str">
            <v>Muzak, LLC:Omni Manadlay Hotel</v>
          </cell>
          <cell r="H5322">
            <v>3</v>
          </cell>
        </row>
        <row r="5323">
          <cell r="B5323" t="str">
            <v>SWC1040-1136</v>
          </cell>
          <cell r="C5323" t="str">
            <v>Invoice</v>
          </cell>
          <cell r="D5323">
            <v>38495</v>
          </cell>
          <cell r="F5323" t="str">
            <v>6118</v>
          </cell>
          <cell r="G5323" t="str">
            <v>Videotronic Benelux BV</v>
          </cell>
          <cell r="H5323">
            <v>3</v>
          </cell>
        </row>
        <row r="5324">
          <cell r="B5324" t="str">
            <v>SWC1040-1174</v>
          </cell>
          <cell r="C5324" t="str">
            <v>Invoice</v>
          </cell>
          <cell r="D5324">
            <v>38505</v>
          </cell>
          <cell r="F5324" t="str">
            <v>5556</v>
          </cell>
          <cell r="G5324" t="str">
            <v>Universal Studios Orlando:Universal Studios Foods</v>
          </cell>
          <cell r="H5324">
            <v>3</v>
          </cell>
        </row>
        <row r="5325">
          <cell r="B5325" t="str">
            <v>SWC1040-1258</v>
          </cell>
          <cell r="C5325" t="str">
            <v>Invoice</v>
          </cell>
          <cell r="D5325">
            <v>38597</v>
          </cell>
          <cell r="F5325" t="str">
            <v>7818</v>
          </cell>
          <cell r="G5325" t="str">
            <v>Army:Food Concessions</v>
          </cell>
          <cell r="H5325">
            <v>3</v>
          </cell>
        </row>
        <row r="5326">
          <cell r="B5326" t="str">
            <v>SWC1040-C65</v>
          </cell>
          <cell r="C5326" t="str">
            <v>Invoice</v>
          </cell>
          <cell r="D5326">
            <v>38580</v>
          </cell>
          <cell r="F5326" t="str">
            <v>7388</v>
          </cell>
          <cell r="G5326" t="str">
            <v>Starwood Hotels Corporate Office</v>
          </cell>
          <cell r="H5326">
            <v>3</v>
          </cell>
        </row>
        <row r="5327">
          <cell r="B5327" t="str">
            <v>SWC1040-C72</v>
          </cell>
          <cell r="C5327" t="str">
            <v>Invoice</v>
          </cell>
          <cell r="D5327">
            <v>38611</v>
          </cell>
          <cell r="F5327" t="str">
            <v>7971</v>
          </cell>
          <cell r="G5327" t="str">
            <v>Lane Bryant:Lane Bryant - Pembroke</v>
          </cell>
          <cell r="H5327">
            <v>3</v>
          </cell>
        </row>
        <row r="5328">
          <cell r="B5328" t="str">
            <v>SWC1040-C72</v>
          </cell>
          <cell r="C5328" t="str">
            <v>Invoice</v>
          </cell>
          <cell r="D5328">
            <v>38623</v>
          </cell>
          <cell r="F5328" t="str">
            <v>8133</v>
          </cell>
          <cell r="G5328" t="str">
            <v>Lane Bryant:Lane Bryant - Garland</v>
          </cell>
          <cell r="H5328">
            <v>3</v>
          </cell>
        </row>
        <row r="5329">
          <cell r="B5329" t="str">
            <v>SWC-1193</v>
          </cell>
          <cell r="C5329" t="str">
            <v>Invoice</v>
          </cell>
          <cell r="D5329">
            <v>38371</v>
          </cell>
          <cell r="F5329" t="str">
            <v>5250</v>
          </cell>
          <cell r="G5329" t="str">
            <v>Guckenheimer - Wexner Commons</v>
          </cell>
          <cell r="H5329">
            <v>3</v>
          </cell>
        </row>
        <row r="5330">
          <cell r="B5330" t="str">
            <v>SWC2040-0831</v>
          </cell>
          <cell r="C5330" t="str">
            <v>Invoice</v>
          </cell>
          <cell r="D5330">
            <v>38565</v>
          </cell>
          <cell r="F5330" t="str">
            <v>7222</v>
          </cell>
          <cell r="G5330" t="str">
            <v>Scent Events, LLC</v>
          </cell>
          <cell r="H5330">
            <v>3</v>
          </cell>
        </row>
        <row r="5331">
          <cell r="B5331" t="str">
            <v>SWC2040-0869</v>
          </cell>
          <cell r="C5331" t="str">
            <v>Invoice</v>
          </cell>
          <cell r="D5331">
            <v>38510</v>
          </cell>
          <cell r="F5331" t="str">
            <v>6278-I</v>
          </cell>
          <cell r="G5331" t="str">
            <v>Le Chateau Stores of Canada</v>
          </cell>
          <cell r="H5331">
            <v>3</v>
          </cell>
        </row>
        <row r="5332">
          <cell r="B5332" t="str">
            <v>SWC2040-0909</v>
          </cell>
          <cell r="C5332" t="str">
            <v>Invoice</v>
          </cell>
          <cell r="D5332">
            <v>38625</v>
          </cell>
          <cell r="F5332" t="str">
            <v>8200</v>
          </cell>
          <cell r="G5332" t="str">
            <v>ScentAir Australia Pty Ltd.</v>
          </cell>
          <cell r="H5332">
            <v>3</v>
          </cell>
        </row>
        <row r="5333">
          <cell r="B5333" t="str">
            <v>SWC500-1090</v>
          </cell>
          <cell r="C5333" t="str">
            <v>Invoice</v>
          </cell>
          <cell r="D5333">
            <v>38456</v>
          </cell>
          <cell r="F5333" t="str">
            <v>5619</v>
          </cell>
          <cell r="G5333" t="str">
            <v>ScentAir Australia Pty Ltd.</v>
          </cell>
          <cell r="H5333">
            <v>3</v>
          </cell>
        </row>
        <row r="5334">
          <cell r="B5334" t="str">
            <v>SWD1000B</v>
          </cell>
          <cell r="C5334" t="str">
            <v>Invoice</v>
          </cell>
          <cell r="D5334">
            <v>38421</v>
          </cell>
          <cell r="F5334" t="str">
            <v>5453</v>
          </cell>
          <cell r="G5334" t="str">
            <v>WDW Disney's Decorating Support</v>
          </cell>
          <cell r="H5334">
            <v>3</v>
          </cell>
        </row>
        <row r="5335">
          <cell r="B5335" t="str">
            <v>SWD1000B</v>
          </cell>
          <cell r="C5335" t="str">
            <v>Invoice</v>
          </cell>
          <cell r="D5335">
            <v>38427</v>
          </cell>
          <cell r="F5335" t="str">
            <v>5407</v>
          </cell>
          <cell r="G5335" t="str">
            <v>Arkitectura Urbana</v>
          </cell>
          <cell r="H5335">
            <v>3</v>
          </cell>
        </row>
        <row r="5336">
          <cell r="B5336" t="str">
            <v>SWD1000B</v>
          </cell>
          <cell r="C5336" t="str">
            <v>Invoice</v>
          </cell>
          <cell r="D5336">
            <v>38440</v>
          </cell>
          <cell r="F5336" t="str">
            <v>5546</v>
          </cell>
          <cell r="G5336" t="str">
            <v>G. Raymond Brow</v>
          </cell>
          <cell r="H5336">
            <v>3</v>
          </cell>
        </row>
        <row r="5337">
          <cell r="B5337" t="str">
            <v>SWD1000B</v>
          </cell>
          <cell r="C5337" t="str">
            <v>Invoice</v>
          </cell>
          <cell r="D5337">
            <v>38455</v>
          </cell>
          <cell r="F5337" t="str">
            <v>5600</v>
          </cell>
          <cell r="G5337" t="str">
            <v>Techno Satellite</v>
          </cell>
          <cell r="H5337">
            <v>3</v>
          </cell>
        </row>
        <row r="5338">
          <cell r="B5338" t="str">
            <v>SWD1000B</v>
          </cell>
          <cell r="C5338" t="str">
            <v>Invoice</v>
          </cell>
          <cell r="D5338">
            <v>38461</v>
          </cell>
          <cell r="F5338" t="str">
            <v>5672</v>
          </cell>
          <cell r="G5338" t="str">
            <v>Le Chateau Stores of Canada</v>
          </cell>
          <cell r="H5338">
            <v>3</v>
          </cell>
        </row>
        <row r="5339">
          <cell r="B5339" t="str">
            <v>SWD1000B</v>
          </cell>
          <cell r="C5339" t="str">
            <v>Invoice</v>
          </cell>
          <cell r="D5339">
            <v>38482</v>
          </cell>
          <cell r="F5339" t="str">
            <v>6049</v>
          </cell>
          <cell r="G5339" t="str">
            <v>Carson Pirie Scott &amp; Co..:CPS Carson's #543</v>
          </cell>
          <cell r="H5339">
            <v>3</v>
          </cell>
        </row>
        <row r="5340">
          <cell r="B5340" t="str">
            <v>SWD1000B</v>
          </cell>
          <cell r="C5340" t="str">
            <v>Invoice</v>
          </cell>
          <cell r="D5340">
            <v>38482</v>
          </cell>
          <cell r="F5340" t="str">
            <v>6046</v>
          </cell>
          <cell r="G5340" t="str">
            <v>Wickes Furniture:Wickes-001</v>
          </cell>
          <cell r="H5340">
            <v>3</v>
          </cell>
        </row>
        <row r="5341">
          <cell r="B5341" t="str">
            <v>SWD1000B</v>
          </cell>
          <cell r="C5341" t="str">
            <v>Invoice</v>
          </cell>
          <cell r="D5341">
            <v>38491</v>
          </cell>
          <cell r="F5341" t="str">
            <v>5559</v>
          </cell>
          <cell r="G5341" t="str">
            <v>Universal Studios Orlando:Islands of Adventure Merchandise</v>
          </cell>
          <cell r="H5341">
            <v>3</v>
          </cell>
        </row>
        <row r="5342">
          <cell r="B5342" t="str">
            <v>SWD1000B</v>
          </cell>
          <cell r="C5342" t="str">
            <v>Invoice</v>
          </cell>
          <cell r="D5342">
            <v>38491</v>
          </cell>
          <cell r="F5342" t="str">
            <v>5554</v>
          </cell>
          <cell r="G5342" t="str">
            <v>Universal Studios Orlando:Universal Studios Merchandise</v>
          </cell>
          <cell r="H5342">
            <v>3</v>
          </cell>
        </row>
        <row r="5343">
          <cell r="B5343" t="str">
            <v>SWD1000B</v>
          </cell>
          <cell r="C5343" t="str">
            <v>Invoice</v>
          </cell>
          <cell r="D5343">
            <v>38495</v>
          </cell>
          <cell r="F5343" t="str">
            <v>6118</v>
          </cell>
          <cell r="G5343" t="str">
            <v>Videotronic Benelux BV</v>
          </cell>
          <cell r="H5343">
            <v>3</v>
          </cell>
        </row>
        <row r="5344">
          <cell r="B5344" t="str">
            <v>SWD1000B</v>
          </cell>
          <cell r="C5344" t="str">
            <v>Invoice</v>
          </cell>
          <cell r="D5344">
            <v>38526</v>
          </cell>
          <cell r="F5344" t="str">
            <v>6397</v>
          </cell>
          <cell r="G5344" t="str">
            <v>Scent Events, LLC</v>
          </cell>
          <cell r="H5344">
            <v>3</v>
          </cell>
        </row>
        <row r="5345">
          <cell r="B5345" t="str">
            <v>SWD1000B</v>
          </cell>
          <cell r="C5345" t="str">
            <v>Invoice</v>
          </cell>
          <cell r="D5345">
            <v>38533</v>
          </cell>
          <cell r="F5345" t="str">
            <v>7050</v>
          </cell>
          <cell r="G5345" t="str">
            <v>Scent Events, LLC</v>
          </cell>
          <cell r="H5345">
            <v>3</v>
          </cell>
        </row>
        <row r="5346">
          <cell r="B5346" t="str">
            <v>SWD1000B</v>
          </cell>
          <cell r="C5346" t="str">
            <v>Invoice</v>
          </cell>
          <cell r="D5346">
            <v>38558</v>
          </cell>
          <cell r="F5346" t="str">
            <v>7182</v>
          </cell>
          <cell r="G5346" t="str">
            <v>Muzak, LLC:The Plantations at Haywood</v>
          </cell>
          <cell r="H5346">
            <v>3</v>
          </cell>
        </row>
        <row r="5347">
          <cell r="B5347" t="str">
            <v>SWD1000B</v>
          </cell>
          <cell r="C5347" t="str">
            <v>Invoice</v>
          </cell>
          <cell r="D5347">
            <v>38586</v>
          </cell>
          <cell r="F5347" t="str">
            <v>7659</v>
          </cell>
          <cell r="G5347" t="str">
            <v>Starwood Hotels Corporate Office</v>
          </cell>
          <cell r="H5347">
            <v>3</v>
          </cell>
        </row>
        <row r="5348">
          <cell r="B5348" t="str">
            <v>SWD1000B</v>
          </cell>
          <cell r="C5348" t="str">
            <v>Invoice</v>
          </cell>
          <cell r="D5348">
            <v>38589</v>
          </cell>
          <cell r="F5348" t="str">
            <v>7675</v>
          </cell>
          <cell r="G5348" t="str">
            <v>Klipsch Audio Technologies:Klipsch Audio</v>
          </cell>
          <cell r="H5348">
            <v>3</v>
          </cell>
        </row>
        <row r="5349">
          <cell r="B5349" t="str">
            <v>SWD1000B</v>
          </cell>
          <cell r="C5349" t="str">
            <v>Invoice</v>
          </cell>
          <cell r="D5349">
            <v>38593</v>
          </cell>
          <cell r="F5349" t="str">
            <v>7699</v>
          </cell>
          <cell r="G5349" t="str">
            <v>Muzak, LLC:Food Lion #0564 (Bloom Stores)</v>
          </cell>
          <cell r="H5349">
            <v>3</v>
          </cell>
        </row>
        <row r="5350">
          <cell r="B5350" t="str">
            <v>SWD1000B</v>
          </cell>
          <cell r="C5350" t="str">
            <v>Invoice</v>
          </cell>
          <cell r="D5350">
            <v>38593</v>
          </cell>
          <cell r="F5350" t="str">
            <v>7698</v>
          </cell>
          <cell r="G5350" t="str">
            <v>Muzak, LLC:Food Lion #0531 (Bloom Stores)</v>
          </cell>
          <cell r="H5350">
            <v>3</v>
          </cell>
        </row>
        <row r="5351">
          <cell r="B5351" t="str">
            <v>SWD1000B</v>
          </cell>
          <cell r="C5351" t="str">
            <v>Invoice</v>
          </cell>
          <cell r="D5351">
            <v>38593</v>
          </cell>
          <cell r="F5351" t="str">
            <v>7701</v>
          </cell>
          <cell r="G5351" t="str">
            <v>Muzak, LLC:Food Lion #1438 (Bloom Stores)</v>
          </cell>
          <cell r="H5351">
            <v>3</v>
          </cell>
        </row>
        <row r="5352">
          <cell r="B5352" t="str">
            <v>SWD1000B</v>
          </cell>
          <cell r="C5352" t="str">
            <v>Invoice</v>
          </cell>
          <cell r="D5352">
            <v>38593</v>
          </cell>
          <cell r="F5352" t="str">
            <v>7702</v>
          </cell>
          <cell r="G5352" t="str">
            <v>Muzak, LLC:Food Lion #2565 (Bloom Stores)</v>
          </cell>
          <cell r="H5352">
            <v>3</v>
          </cell>
        </row>
        <row r="5353">
          <cell r="B5353" t="str">
            <v>SWD1000B</v>
          </cell>
          <cell r="C5353" t="str">
            <v>Invoice</v>
          </cell>
          <cell r="D5353">
            <v>38593</v>
          </cell>
          <cell r="F5353" t="str">
            <v>7700</v>
          </cell>
          <cell r="G5353" t="str">
            <v>Muzak, LLC:Food Lion #1351 (Bloom Stores)</v>
          </cell>
          <cell r="H5353">
            <v>3</v>
          </cell>
        </row>
        <row r="5354">
          <cell r="B5354" t="str">
            <v>SWD1000B</v>
          </cell>
          <cell r="C5354" t="str">
            <v>Invoice</v>
          </cell>
          <cell r="D5354">
            <v>38602</v>
          </cell>
          <cell r="F5354" t="str">
            <v>7842</v>
          </cell>
          <cell r="G5354" t="str">
            <v>Muzak, LLC:Serenata Beach Club</v>
          </cell>
          <cell r="H5354">
            <v>3</v>
          </cell>
        </row>
        <row r="5355">
          <cell r="B5355" t="str">
            <v>SWD1000B</v>
          </cell>
          <cell r="C5355" t="str">
            <v>Invoice</v>
          </cell>
          <cell r="D5355">
            <v>38603</v>
          </cell>
          <cell r="F5355" t="str">
            <v>7862</v>
          </cell>
          <cell r="G5355" t="str">
            <v>Muzak, IA:Carolina Sound Communications:Hilton Oceanfront Resort</v>
          </cell>
          <cell r="H5355">
            <v>3</v>
          </cell>
        </row>
        <row r="5356">
          <cell r="B5356" t="str">
            <v>SWD1000B</v>
          </cell>
          <cell r="C5356" t="str">
            <v>Invoice</v>
          </cell>
          <cell r="D5356">
            <v>38607</v>
          </cell>
          <cell r="F5356" t="str">
            <v>7889</v>
          </cell>
          <cell r="G5356" t="str">
            <v>Muzak, IA:Soundcom LLC of Florida - Palm Beach</v>
          </cell>
          <cell r="H5356">
            <v>3</v>
          </cell>
        </row>
        <row r="5357">
          <cell r="B5357" t="str">
            <v>SWD1000B</v>
          </cell>
          <cell r="C5357" t="str">
            <v>Invoice</v>
          </cell>
          <cell r="D5357">
            <v>38617</v>
          </cell>
          <cell r="F5357" t="str">
            <v>8057</v>
          </cell>
          <cell r="G5357" t="str">
            <v>Muzak, IA:Miami Valley Audio</v>
          </cell>
          <cell r="H5357">
            <v>3</v>
          </cell>
        </row>
        <row r="5358">
          <cell r="B5358" t="str">
            <v>SWD1000B</v>
          </cell>
          <cell r="C5358" t="str">
            <v>Invoice</v>
          </cell>
          <cell r="D5358">
            <v>38618</v>
          </cell>
          <cell r="F5358" t="str">
            <v>8082</v>
          </cell>
          <cell r="G5358" t="str">
            <v>ScentAir - Corporate Associates:Murray Dameron</v>
          </cell>
          <cell r="H5358">
            <v>3</v>
          </cell>
        </row>
        <row r="5359">
          <cell r="B5359" t="str">
            <v>SWD1000W</v>
          </cell>
          <cell r="C5359" t="str">
            <v>Invoice</v>
          </cell>
          <cell r="D5359">
            <v>38576</v>
          </cell>
          <cell r="F5359" t="str">
            <v>7479</v>
          </cell>
          <cell r="G5359" t="str">
            <v>Muzak, LLC:Muzak (Demo)</v>
          </cell>
          <cell r="H5359">
            <v>3</v>
          </cell>
        </row>
        <row r="5360">
          <cell r="B5360" t="str">
            <v>SWD1000W</v>
          </cell>
          <cell r="C5360" t="str">
            <v>Invoice</v>
          </cell>
          <cell r="D5360">
            <v>38580</v>
          </cell>
          <cell r="F5360" t="str">
            <v>7388</v>
          </cell>
          <cell r="G5360" t="str">
            <v>Starwood Hotels Corporate Office</v>
          </cell>
          <cell r="H5360">
            <v>3</v>
          </cell>
        </row>
        <row r="5361">
          <cell r="B5361" t="str">
            <v>SWD1000W</v>
          </cell>
          <cell r="C5361" t="str">
            <v>Invoice</v>
          </cell>
          <cell r="D5361">
            <v>38588</v>
          </cell>
          <cell r="F5361" t="str">
            <v>7664</v>
          </cell>
          <cell r="G5361" t="str">
            <v>Muzak, IA:Carolina Sound Communications</v>
          </cell>
          <cell r="H5361">
            <v>3</v>
          </cell>
        </row>
        <row r="5362">
          <cell r="B5362" t="str">
            <v>SWD1000W</v>
          </cell>
          <cell r="C5362" t="str">
            <v>Invoice</v>
          </cell>
          <cell r="D5362">
            <v>38595</v>
          </cell>
          <cell r="F5362" t="str">
            <v>7733</v>
          </cell>
          <cell r="G5362" t="str">
            <v>Muzak, IA:Independence Communications, PA</v>
          </cell>
          <cell r="H5362">
            <v>3</v>
          </cell>
        </row>
        <row r="5363">
          <cell r="B5363" t="str">
            <v>SWD1000W</v>
          </cell>
          <cell r="C5363" t="str">
            <v>Invoice</v>
          </cell>
          <cell r="D5363">
            <v>38595</v>
          </cell>
          <cell r="F5363" t="str">
            <v>7731</v>
          </cell>
          <cell r="G5363" t="str">
            <v>Muzak, IA:Independence Communications, PA</v>
          </cell>
          <cell r="H5363">
            <v>3</v>
          </cell>
        </row>
        <row r="5364">
          <cell r="B5364" t="str">
            <v>SWD1000W</v>
          </cell>
          <cell r="C5364" t="str">
            <v>Invoice</v>
          </cell>
          <cell r="D5364">
            <v>38597</v>
          </cell>
          <cell r="F5364" t="str">
            <v>7813</v>
          </cell>
          <cell r="G5364" t="str">
            <v>Muzak, IA:Business Music &amp; Communications, LLC</v>
          </cell>
          <cell r="H5364">
            <v>3</v>
          </cell>
        </row>
        <row r="5365">
          <cell r="B5365" t="str">
            <v>SWD1000W</v>
          </cell>
          <cell r="C5365" t="str">
            <v>Invoice</v>
          </cell>
          <cell r="D5365">
            <v>38609</v>
          </cell>
          <cell r="F5365" t="str">
            <v>7941</v>
          </cell>
          <cell r="G5365" t="str">
            <v>Muzak, IA:Melody Inc</v>
          </cell>
          <cell r="H5365">
            <v>3</v>
          </cell>
        </row>
        <row r="5366">
          <cell r="B5366" t="str">
            <v>SWD1000W</v>
          </cell>
          <cell r="C5366" t="str">
            <v>Invoice</v>
          </cell>
          <cell r="D5366">
            <v>38611</v>
          </cell>
          <cell r="F5366" t="str">
            <v>7969</v>
          </cell>
          <cell r="G5366" t="str">
            <v>Muzak, LLC:Elliott Hardware - Plano</v>
          </cell>
          <cell r="H5366">
            <v>3</v>
          </cell>
        </row>
        <row r="5367">
          <cell r="B5367" t="str">
            <v>SWD1000W</v>
          </cell>
          <cell r="C5367" t="str">
            <v>Invoice</v>
          </cell>
          <cell r="D5367">
            <v>38611</v>
          </cell>
          <cell r="F5367" t="str">
            <v>7949</v>
          </cell>
          <cell r="G5367" t="str">
            <v>Muzak, IA:Tropical Music Service, Inc</v>
          </cell>
          <cell r="H5367">
            <v>3</v>
          </cell>
        </row>
        <row r="5368">
          <cell r="B5368" t="str">
            <v>SWD1000W</v>
          </cell>
          <cell r="C5368" t="str">
            <v>Invoice</v>
          </cell>
          <cell r="D5368">
            <v>38611</v>
          </cell>
          <cell r="F5368" t="str">
            <v>7971</v>
          </cell>
          <cell r="G5368" t="str">
            <v>Lane Bryant:Lane Bryant - Pembroke</v>
          </cell>
          <cell r="H5368">
            <v>3</v>
          </cell>
        </row>
        <row r="5369">
          <cell r="B5369" t="str">
            <v>SWD1000W</v>
          </cell>
          <cell r="C5369" t="str">
            <v>Invoice</v>
          </cell>
          <cell r="D5369">
            <v>38617</v>
          </cell>
          <cell r="F5369" t="str">
            <v>8013</v>
          </cell>
          <cell r="G5369" t="str">
            <v>Muzak, IA:Ohio Musicue</v>
          </cell>
          <cell r="H5369">
            <v>3</v>
          </cell>
        </row>
        <row r="5370">
          <cell r="B5370" t="str">
            <v>SWD1000W</v>
          </cell>
          <cell r="C5370" t="str">
            <v>Invoice</v>
          </cell>
          <cell r="D5370">
            <v>38622</v>
          </cell>
          <cell r="F5370" t="str">
            <v>8092</v>
          </cell>
          <cell r="G5370" t="str">
            <v>Muzak, IA:Metro Communications</v>
          </cell>
          <cell r="H5370">
            <v>3</v>
          </cell>
        </row>
        <row r="5371">
          <cell r="B5371" t="str">
            <v>SWD1000W</v>
          </cell>
          <cell r="C5371" t="str">
            <v>Invoice</v>
          </cell>
          <cell r="D5371">
            <v>38623</v>
          </cell>
          <cell r="F5371" t="str">
            <v>8133</v>
          </cell>
          <cell r="G5371" t="str">
            <v>Lane Bryant:Lane Bryant - Garland</v>
          </cell>
          <cell r="H5371">
            <v>3</v>
          </cell>
        </row>
        <row r="5372">
          <cell r="B5372" t="str">
            <v>SWD1000W</v>
          </cell>
          <cell r="C5372" t="str">
            <v>Invoice</v>
          </cell>
          <cell r="D5372">
            <v>38623</v>
          </cell>
          <cell r="F5372" t="str">
            <v>8141</v>
          </cell>
          <cell r="G5372" t="str">
            <v>Muzak, LLC:Omni Manadlay Hotel</v>
          </cell>
          <cell r="H5372">
            <v>3</v>
          </cell>
        </row>
        <row r="5373">
          <cell r="B5373" t="str">
            <v>TIMER</v>
          </cell>
          <cell r="C5373" t="str">
            <v>Invoice</v>
          </cell>
          <cell r="D5373">
            <v>38597</v>
          </cell>
          <cell r="F5373" t="str">
            <v>7757</v>
          </cell>
          <cell r="G5373" t="str">
            <v>Muzak, LLC:Schnuck Markets, Inc. #180</v>
          </cell>
          <cell r="H5373">
            <v>3</v>
          </cell>
        </row>
        <row r="5374">
          <cell r="B5374" t="str">
            <v>TIMER</v>
          </cell>
          <cell r="C5374" t="str">
            <v>Invoice</v>
          </cell>
          <cell r="D5374">
            <v>38597</v>
          </cell>
          <cell r="F5374" t="str">
            <v>7813</v>
          </cell>
          <cell r="G5374" t="str">
            <v>Muzak, IA:Business Music &amp; Communications, LLC</v>
          </cell>
          <cell r="H5374">
            <v>3</v>
          </cell>
        </row>
        <row r="5375">
          <cell r="B5375" t="str">
            <v>TIMER</v>
          </cell>
          <cell r="C5375" t="str">
            <v>Invoice</v>
          </cell>
          <cell r="D5375">
            <v>38602</v>
          </cell>
          <cell r="F5375" t="str">
            <v>7842</v>
          </cell>
          <cell r="G5375" t="str">
            <v>Muzak, LLC:Serenata Beach Club</v>
          </cell>
          <cell r="H5375">
            <v>3</v>
          </cell>
        </row>
        <row r="5376">
          <cell r="B5376" t="str">
            <v>TIMER</v>
          </cell>
          <cell r="C5376" t="str">
            <v>Invoice</v>
          </cell>
          <cell r="D5376">
            <v>38611</v>
          </cell>
          <cell r="F5376" t="str">
            <v>7969</v>
          </cell>
          <cell r="G5376" t="str">
            <v>Muzak, LLC:Elliott Hardware - Plano</v>
          </cell>
          <cell r="H5376">
            <v>3</v>
          </cell>
        </row>
        <row r="5377">
          <cell r="B5377" t="str">
            <v>TIMER</v>
          </cell>
          <cell r="C5377" t="str">
            <v>Invoice</v>
          </cell>
          <cell r="D5377">
            <v>38611</v>
          </cell>
          <cell r="F5377" t="str">
            <v>7971</v>
          </cell>
          <cell r="G5377" t="str">
            <v>Lane Bryant:Lane Bryant - Pembroke</v>
          </cell>
          <cell r="H5377">
            <v>3</v>
          </cell>
        </row>
        <row r="5378">
          <cell r="B5378" t="str">
            <v>TIMER</v>
          </cell>
          <cell r="C5378" t="str">
            <v>Invoice</v>
          </cell>
          <cell r="D5378">
            <v>38618</v>
          </cell>
          <cell r="F5378" t="str">
            <v>8082</v>
          </cell>
          <cell r="G5378" t="str">
            <v>ScentAir - Corporate Associates:Murray Dameron</v>
          </cell>
          <cell r="H5378">
            <v>3</v>
          </cell>
        </row>
        <row r="5379">
          <cell r="B5379" t="str">
            <v>TIMER</v>
          </cell>
          <cell r="C5379" t="str">
            <v>Invoice</v>
          </cell>
          <cell r="D5379">
            <v>38623</v>
          </cell>
          <cell r="F5379" t="str">
            <v>8133</v>
          </cell>
          <cell r="G5379" t="str">
            <v>Lane Bryant:Lane Bryant - Garland</v>
          </cell>
          <cell r="H5379">
            <v>3</v>
          </cell>
        </row>
        <row r="5380">
          <cell r="B5380" t="str">
            <v>TIMER</v>
          </cell>
          <cell r="C5380" t="str">
            <v>Invoice</v>
          </cell>
          <cell r="D5380">
            <v>38623</v>
          </cell>
          <cell r="F5380" t="str">
            <v>8141</v>
          </cell>
          <cell r="G5380" t="str">
            <v>Muzak, LLC:Omni Manadlay Hotel</v>
          </cell>
          <cell r="H5380">
            <v>3</v>
          </cell>
        </row>
        <row r="5381">
          <cell r="B5381" t="str">
            <v>Timer&amp;Pegs</v>
          </cell>
          <cell r="C5381" t="str">
            <v>Invoice</v>
          </cell>
          <cell r="D5381">
            <v>38421</v>
          </cell>
          <cell r="F5381" t="str">
            <v>5453</v>
          </cell>
          <cell r="G5381" t="str">
            <v>WDW Disney's Decorating Support</v>
          </cell>
          <cell r="H5381">
            <v>3</v>
          </cell>
        </row>
        <row r="5382">
          <cell r="B5382" t="str">
            <v>Timer&amp;Pegs</v>
          </cell>
          <cell r="C5382" t="str">
            <v>Invoice</v>
          </cell>
          <cell r="D5382">
            <v>38427</v>
          </cell>
          <cell r="F5382" t="str">
            <v>5407</v>
          </cell>
          <cell r="G5382" t="str">
            <v>Arkitectura Urbana</v>
          </cell>
          <cell r="H5382">
            <v>3</v>
          </cell>
        </row>
        <row r="5383">
          <cell r="B5383" t="str">
            <v>Timer&amp;Pegs</v>
          </cell>
          <cell r="C5383" t="str">
            <v>Invoice</v>
          </cell>
          <cell r="D5383">
            <v>38440</v>
          </cell>
          <cell r="F5383" t="str">
            <v>5546</v>
          </cell>
          <cell r="G5383" t="str">
            <v>G. Raymond Brow</v>
          </cell>
          <cell r="H5383">
            <v>3</v>
          </cell>
        </row>
        <row r="5384">
          <cell r="B5384" t="str">
            <v>Timer&amp;Pegs</v>
          </cell>
          <cell r="C5384" t="str">
            <v>Invoice</v>
          </cell>
          <cell r="D5384">
            <v>38513</v>
          </cell>
          <cell r="F5384" t="str">
            <v>6224</v>
          </cell>
          <cell r="G5384" t="str">
            <v>Universal Studios Orlando:Universal Studios Merchandise</v>
          </cell>
          <cell r="H5384">
            <v>3</v>
          </cell>
        </row>
        <row r="5385">
          <cell r="B5385" t="str">
            <v>Timer&amp;Pegs</v>
          </cell>
          <cell r="C5385" t="str">
            <v>Invoice</v>
          </cell>
          <cell r="D5385">
            <v>38513</v>
          </cell>
          <cell r="F5385" t="str">
            <v>6226</v>
          </cell>
          <cell r="G5385" t="str">
            <v>Universal Studios Orlando:Islands of Adventure Merchandise</v>
          </cell>
          <cell r="H5385">
            <v>3</v>
          </cell>
        </row>
        <row r="5386">
          <cell r="B5386" t="str">
            <v>BTNLOCKING</v>
          </cell>
          <cell r="C5386" t="str">
            <v>Invoice</v>
          </cell>
          <cell r="D5386">
            <v>38470</v>
          </cell>
          <cell r="F5386" t="str">
            <v>6006</v>
          </cell>
          <cell r="G5386" t="str">
            <v>Techno Satellite</v>
          </cell>
          <cell r="H5386">
            <v>4</v>
          </cell>
        </row>
        <row r="5387">
          <cell r="B5387" t="str">
            <v>ESS - SCENT SERVICE</v>
          </cell>
          <cell r="C5387" t="str">
            <v>Invoice</v>
          </cell>
          <cell r="D5387">
            <v>38481</v>
          </cell>
          <cell r="F5387" t="str">
            <v>6041</v>
          </cell>
          <cell r="G5387" t="str">
            <v>Wickes Furniture:Wickes-001</v>
          </cell>
          <cell r="H5387">
            <v>4</v>
          </cell>
        </row>
        <row r="5388">
          <cell r="B5388" t="str">
            <v>ESS - SCENT SERVICE</v>
          </cell>
          <cell r="C5388" t="str">
            <v>Invoice</v>
          </cell>
          <cell r="D5388">
            <v>38503</v>
          </cell>
          <cell r="F5388" t="str">
            <v>6164</v>
          </cell>
          <cell r="G5388" t="str">
            <v>Dylan's Candy Bar:Dylan's Candy Bar NY#1</v>
          </cell>
          <cell r="H5388">
            <v>4</v>
          </cell>
        </row>
        <row r="5389">
          <cell r="B5389" t="str">
            <v>ESS - SCENT SERVICE</v>
          </cell>
          <cell r="C5389" t="str">
            <v>Invoice</v>
          </cell>
          <cell r="D5389">
            <v>38508</v>
          </cell>
          <cell r="F5389" t="str">
            <v>6042</v>
          </cell>
          <cell r="G5389" t="str">
            <v>Wickes Furniture:Wickes-001</v>
          </cell>
          <cell r="H5389">
            <v>4</v>
          </cell>
        </row>
        <row r="5390">
          <cell r="B5390" t="str">
            <v>ESS - SCENT SERVICE</v>
          </cell>
          <cell r="C5390" t="str">
            <v>Invoice</v>
          </cell>
          <cell r="D5390">
            <v>38533</v>
          </cell>
          <cell r="F5390" t="str">
            <v>6037-I</v>
          </cell>
          <cell r="G5390" t="str">
            <v>Hard Rock Hotel</v>
          </cell>
          <cell r="H5390">
            <v>4</v>
          </cell>
        </row>
        <row r="5391">
          <cell r="B5391" t="str">
            <v>ESS - SCENT SERVICE</v>
          </cell>
          <cell r="C5391" t="str">
            <v>Invoice</v>
          </cell>
          <cell r="D5391">
            <v>38562</v>
          </cell>
          <cell r="F5391" t="str">
            <v>6374-I</v>
          </cell>
          <cell r="G5391" t="str">
            <v>Hard Rock Hotel</v>
          </cell>
          <cell r="H5391">
            <v>4</v>
          </cell>
        </row>
        <row r="5392">
          <cell r="B5392" t="str">
            <v>ESS - SCENT SERVICE</v>
          </cell>
          <cell r="C5392" t="str">
            <v>Invoice</v>
          </cell>
          <cell r="D5392">
            <v>38562</v>
          </cell>
          <cell r="F5392" t="str">
            <v>7077</v>
          </cell>
          <cell r="G5392" t="str">
            <v>Macy's Florida</v>
          </cell>
          <cell r="H5392">
            <v>4</v>
          </cell>
        </row>
        <row r="5393">
          <cell r="B5393" t="str">
            <v>ESS - SCENT SERVICE</v>
          </cell>
          <cell r="C5393" t="str">
            <v>Invoice</v>
          </cell>
          <cell r="D5393">
            <v>38572</v>
          </cell>
          <cell r="F5393" t="str">
            <v>7334</v>
          </cell>
          <cell r="G5393" t="str">
            <v>Macy's</v>
          </cell>
          <cell r="H5393">
            <v>4</v>
          </cell>
        </row>
        <row r="5394">
          <cell r="B5394" t="str">
            <v>ESS - SCENT SERVICE</v>
          </cell>
          <cell r="C5394" t="str">
            <v>Invoice</v>
          </cell>
          <cell r="D5394">
            <v>38593</v>
          </cell>
          <cell r="F5394" t="str">
            <v>7699</v>
          </cell>
          <cell r="G5394" t="str">
            <v>Muzak, LLC:Food Lion #0564 (Bloom Stores)</v>
          </cell>
          <cell r="H5394">
            <v>4</v>
          </cell>
        </row>
        <row r="5395">
          <cell r="B5395" t="str">
            <v>ESS - SCENT SERVICE</v>
          </cell>
          <cell r="C5395" t="str">
            <v>Invoice</v>
          </cell>
          <cell r="D5395">
            <v>38593</v>
          </cell>
          <cell r="F5395" t="str">
            <v>7698</v>
          </cell>
          <cell r="G5395" t="str">
            <v>Muzak, LLC:Food Lion #0531 (Bloom Stores)</v>
          </cell>
          <cell r="H5395">
            <v>4</v>
          </cell>
        </row>
        <row r="5396">
          <cell r="B5396" t="str">
            <v>ESS - SCENT SERVICE</v>
          </cell>
          <cell r="C5396" t="str">
            <v>Invoice</v>
          </cell>
          <cell r="D5396">
            <v>38593</v>
          </cell>
          <cell r="F5396" t="str">
            <v>7701</v>
          </cell>
          <cell r="G5396" t="str">
            <v>Muzak, LLC:Food Lion #1438 (Bloom Stores)</v>
          </cell>
          <cell r="H5396">
            <v>4</v>
          </cell>
        </row>
        <row r="5397">
          <cell r="B5397" t="str">
            <v>ESS - SCENT SERVICE</v>
          </cell>
          <cell r="C5397" t="str">
            <v>Invoice</v>
          </cell>
          <cell r="D5397">
            <v>38593</v>
          </cell>
          <cell r="F5397" t="str">
            <v>7702</v>
          </cell>
          <cell r="G5397" t="str">
            <v>Muzak, LLC:Food Lion #2565 (Bloom Stores)</v>
          </cell>
          <cell r="H5397">
            <v>4</v>
          </cell>
        </row>
        <row r="5398">
          <cell r="B5398" t="str">
            <v>ESS - SCENT SERVICE</v>
          </cell>
          <cell r="C5398" t="str">
            <v>Invoice</v>
          </cell>
          <cell r="D5398">
            <v>38593</v>
          </cell>
          <cell r="F5398" t="str">
            <v>7700</v>
          </cell>
          <cell r="G5398" t="str">
            <v>Muzak, LLC:Food Lion #1351 (Bloom Stores)</v>
          </cell>
          <cell r="H5398">
            <v>4</v>
          </cell>
        </row>
        <row r="5399">
          <cell r="B5399" t="str">
            <v>ESS - SCENT SERVICE</v>
          </cell>
          <cell r="C5399" t="str">
            <v>Invoice</v>
          </cell>
          <cell r="D5399">
            <v>38595</v>
          </cell>
          <cell r="F5399" t="str">
            <v>7079</v>
          </cell>
          <cell r="G5399" t="str">
            <v>Macy's Florida</v>
          </cell>
          <cell r="H5399">
            <v>4</v>
          </cell>
        </row>
        <row r="5400">
          <cell r="B5400" t="str">
            <v>ESS - SCENT SERVICE</v>
          </cell>
          <cell r="C5400" t="str">
            <v>Invoice</v>
          </cell>
          <cell r="D5400">
            <v>38603</v>
          </cell>
          <cell r="F5400" t="str">
            <v>7862</v>
          </cell>
          <cell r="G5400" t="str">
            <v>Muzak, IA:Carolina Sound Communications:Hilton Oceanfront Resort</v>
          </cell>
          <cell r="H5400">
            <v>4</v>
          </cell>
        </row>
        <row r="5401">
          <cell r="B5401" t="str">
            <v>ESS - SCENT SERVICE</v>
          </cell>
          <cell r="C5401" t="str">
            <v>Invoice</v>
          </cell>
          <cell r="D5401">
            <v>38603</v>
          </cell>
          <cell r="F5401" t="str">
            <v>7336</v>
          </cell>
          <cell r="G5401" t="str">
            <v>Macy's</v>
          </cell>
          <cell r="H5401">
            <v>4</v>
          </cell>
        </row>
        <row r="5402">
          <cell r="B5402" t="str">
            <v>ESS - SCENT SERVICE</v>
          </cell>
          <cell r="C5402" t="str">
            <v>Invoice</v>
          </cell>
          <cell r="D5402">
            <v>38621</v>
          </cell>
          <cell r="F5402" t="str">
            <v>8051</v>
          </cell>
          <cell r="G5402" t="str">
            <v>Muzak, LLC:Food Lion #0531 (Bloom Stores)</v>
          </cell>
          <cell r="H5402">
            <v>4</v>
          </cell>
        </row>
        <row r="5403">
          <cell r="B5403" t="str">
            <v>ESS - SCENT SERVICE</v>
          </cell>
          <cell r="C5403" t="str">
            <v>Invoice</v>
          </cell>
          <cell r="D5403">
            <v>38621</v>
          </cell>
          <cell r="F5403" t="str">
            <v>8052</v>
          </cell>
          <cell r="G5403" t="str">
            <v>Muzak, LLC:Food Lion #0564 (Bloom Stores)</v>
          </cell>
          <cell r="H5403">
            <v>4</v>
          </cell>
        </row>
        <row r="5404">
          <cell r="B5404" t="str">
            <v>ESS - SCENT SERVICE</v>
          </cell>
          <cell r="C5404" t="str">
            <v>Invoice</v>
          </cell>
          <cell r="D5404">
            <v>38621</v>
          </cell>
          <cell r="F5404" t="str">
            <v>8053</v>
          </cell>
          <cell r="G5404" t="str">
            <v>Muzak, LLC:Food Lion #1351 (Bloom Stores)</v>
          </cell>
          <cell r="H5404">
            <v>4</v>
          </cell>
        </row>
        <row r="5405">
          <cell r="B5405" t="str">
            <v>ESS - SCENT SERVICE</v>
          </cell>
          <cell r="C5405" t="str">
            <v>Invoice</v>
          </cell>
          <cell r="D5405">
            <v>38621</v>
          </cell>
          <cell r="F5405" t="str">
            <v>8054</v>
          </cell>
          <cell r="G5405" t="str">
            <v>Muzak, LLC:Food Lion #1438 (Bloom Stores)</v>
          </cell>
          <cell r="H5405">
            <v>4</v>
          </cell>
        </row>
        <row r="5406">
          <cell r="B5406" t="str">
            <v>ESS - SCENT SERVICE</v>
          </cell>
          <cell r="C5406" t="str">
            <v>Invoice</v>
          </cell>
          <cell r="D5406">
            <v>38621</v>
          </cell>
          <cell r="F5406" t="str">
            <v>8055</v>
          </cell>
          <cell r="G5406" t="str">
            <v>Muzak, LLC:Food Lion #2565 (Bloom Stores)</v>
          </cell>
          <cell r="H5406">
            <v>4</v>
          </cell>
        </row>
        <row r="5407">
          <cell r="B5407" t="str">
            <v>ESS - SCENT SERVICE</v>
          </cell>
          <cell r="C5407" t="str">
            <v>Invoice</v>
          </cell>
          <cell r="D5407">
            <v>38626</v>
          </cell>
          <cell r="F5407" t="str">
            <v>7498</v>
          </cell>
          <cell r="G5407" t="str">
            <v>Macy's Florida</v>
          </cell>
          <cell r="H5407">
            <v>4</v>
          </cell>
        </row>
        <row r="5408">
          <cell r="B5408" t="str">
            <v>ESS - SCENT SERVICE</v>
          </cell>
          <cell r="C5408" t="str">
            <v>Invoice</v>
          </cell>
          <cell r="D5408">
            <v>38626</v>
          </cell>
          <cell r="F5408" t="str">
            <v>7489</v>
          </cell>
          <cell r="G5408" t="str">
            <v>Hard Rock Hotel</v>
          </cell>
          <cell r="H5408">
            <v>4</v>
          </cell>
        </row>
        <row r="5409">
          <cell r="B5409" t="str">
            <v>MNT1000</v>
          </cell>
          <cell r="C5409" t="str">
            <v>Invoice</v>
          </cell>
          <cell r="D5409">
            <v>38586</v>
          </cell>
          <cell r="F5409" t="str">
            <v>7638</v>
          </cell>
          <cell r="G5409" t="str">
            <v>Muzak, LLC</v>
          </cell>
          <cell r="H5409">
            <v>4</v>
          </cell>
        </row>
        <row r="5410">
          <cell r="B5410" t="str">
            <v>MNT1000</v>
          </cell>
          <cell r="C5410" t="str">
            <v>Invoice</v>
          </cell>
          <cell r="D5410">
            <v>38593</v>
          </cell>
          <cell r="F5410" t="str">
            <v>7699</v>
          </cell>
          <cell r="G5410" t="str">
            <v>Muzak, LLC:Food Lion #0564 (Bloom Stores)</v>
          </cell>
          <cell r="H5410">
            <v>4</v>
          </cell>
        </row>
        <row r="5411">
          <cell r="B5411" t="str">
            <v>MNT1000</v>
          </cell>
          <cell r="C5411" t="str">
            <v>Invoice</v>
          </cell>
          <cell r="D5411">
            <v>38593</v>
          </cell>
          <cell r="F5411" t="str">
            <v>7698</v>
          </cell>
          <cell r="G5411" t="str">
            <v>Muzak, LLC:Food Lion #0531 (Bloom Stores)</v>
          </cell>
          <cell r="H5411">
            <v>4</v>
          </cell>
        </row>
        <row r="5412">
          <cell r="B5412" t="str">
            <v>MNT1000</v>
          </cell>
          <cell r="C5412" t="str">
            <v>Invoice</v>
          </cell>
          <cell r="D5412">
            <v>38593</v>
          </cell>
          <cell r="F5412" t="str">
            <v>7701</v>
          </cell>
          <cell r="G5412" t="str">
            <v>Muzak, LLC:Food Lion #1438 (Bloom Stores)</v>
          </cell>
          <cell r="H5412">
            <v>4</v>
          </cell>
        </row>
        <row r="5413">
          <cell r="B5413" t="str">
            <v>MNT1000</v>
          </cell>
          <cell r="C5413" t="str">
            <v>Invoice</v>
          </cell>
          <cell r="D5413">
            <v>38593</v>
          </cell>
          <cell r="F5413" t="str">
            <v>7702</v>
          </cell>
          <cell r="G5413" t="str">
            <v>Muzak, LLC:Food Lion #2565 (Bloom Stores)</v>
          </cell>
          <cell r="H5413">
            <v>4</v>
          </cell>
        </row>
        <row r="5414">
          <cell r="B5414" t="str">
            <v>MNT1000</v>
          </cell>
          <cell r="C5414" t="str">
            <v>Invoice</v>
          </cell>
          <cell r="D5414">
            <v>38593</v>
          </cell>
          <cell r="F5414" t="str">
            <v>7700</v>
          </cell>
          <cell r="G5414" t="str">
            <v>Muzak, LLC:Food Lion #1351 (Bloom Stores)</v>
          </cell>
          <cell r="H5414">
            <v>4</v>
          </cell>
        </row>
        <row r="5415">
          <cell r="B5415" t="str">
            <v>MNT1000</v>
          </cell>
          <cell r="C5415" t="str">
            <v>Invoice</v>
          </cell>
          <cell r="D5415">
            <v>38603</v>
          </cell>
          <cell r="F5415" t="str">
            <v>7862</v>
          </cell>
          <cell r="G5415" t="str">
            <v>Muzak, IA:Carolina Sound Communications:Hilton Oceanfront Resort</v>
          </cell>
          <cell r="H5415">
            <v>4</v>
          </cell>
        </row>
        <row r="5416">
          <cell r="B5416" t="str">
            <v>PS12DC-1000B</v>
          </cell>
          <cell r="C5416" t="str">
            <v>Invoice</v>
          </cell>
          <cell r="D5416">
            <v>38442</v>
          </cell>
          <cell r="F5416" t="str">
            <v>5553</v>
          </cell>
          <cell r="G5416" t="str">
            <v>Belmay Yonkers</v>
          </cell>
          <cell r="H5416">
            <v>4</v>
          </cell>
        </row>
        <row r="5417">
          <cell r="B5417" t="str">
            <v>SAMPLE-DRAM</v>
          </cell>
          <cell r="C5417" t="str">
            <v>Invoice</v>
          </cell>
          <cell r="D5417">
            <v>38604</v>
          </cell>
          <cell r="F5417" t="str">
            <v>7267</v>
          </cell>
          <cell r="G5417" t="str">
            <v>Ogilvy &amp; Mather</v>
          </cell>
          <cell r="H5417">
            <v>4</v>
          </cell>
        </row>
        <row r="5418">
          <cell r="B5418" t="str">
            <v>SAMPLE-DRAM</v>
          </cell>
          <cell r="C5418" t="str">
            <v>Invoice</v>
          </cell>
          <cell r="D5418">
            <v>38604</v>
          </cell>
          <cell r="F5418" t="str">
            <v>7267</v>
          </cell>
          <cell r="G5418" t="str">
            <v>Ogilvy &amp; Mather</v>
          </cell>
          <cell r="H5418">
            <v>4</v>
          </cell>
        </row>
        <row r="5419">
          <cell r="B5419" t="str">
            <v>SAMPLESTICKS</v>
          </cell>
          <cell r="C5419" t="str">
            <v>Invoice</v>
          </cell>
          <cell r="D5419">
            <v>38587</v>
          </cell>
          <cell r="F5419" t="str">
            <v>7677</v>
          </cell>
          <cell r="G5419" t="str">
            <v>ScentAir - Corporate Associates:Pamela Knock</v>
          </cell>
          <cell r="H5419">
            <v>4</v>
          </cell>
        </row>
        <row r="5420">
          <cell r="B5420" t="str">
            <v>SCENTKIT-48</v>
          </cell>
          <cell r="C5420" t="str">
            <v>Invoice</v>
          </cell>
          <cell r="D5420">
            <v>38617</v>
          </cell>
          <cell r="F5420" t="str">
            <v>8012</v>
          </cell>
          <cell r="G5420" t="str">
            <v>Muzak, IA:World Music Corporation</v>
          </cell>
          <cell r="H5420">
            <v>4</v>
          </cell>
        </row>
        <row r="5421">
          <cell r="B5421" t="str">
            <v>SCENTKIT-48</v>
          </cell>
          <cell r="C5421" t="str">
            <v>Invoice</v>
          </cell>
          <cell r="D5421">
            <v>38630</v>
          </cell>
          <cell r="F5421" t="str">
            <v>8318</v>
          </cell>
          <cell r="G5421" t="str">
            <v>Muzak, IA:Texas Wired</v>
          </cell>
          <cell r="H5421">
            <v>4</v>
          </cell>
        </row>
        <row r="5422">
          <cell r="B5422" t="str">
            <v>SCENTSAMPLES</v>
          </cell>
          <cell r="C5422" t="str">
            <v>Invoice</v>
          </cell>
          <cell r="D5422">
            <v>38455</v>
          </cell>
          <cell r="F5422" t="str">
            <v>5602</v>
          </cell>
          <cell r="G5422" t="str">
            <v>Newport Aquarium</v>
          </cell>
          <cell r="H5422">
            <v>4</v>
          </cell>
        </row>
        <row r="5423">
          <cell r="B5423" t="str">
            <v>SCENTSAMPLES</v>
          </cell>
          <cell r="C5423" t="str">
            <v>Invoice</v>
          </cell>
          <cell r="D5423">
            <v>38455</v>
          </cell>
          <cell r="F5423" t="str">
            <v>5602</v>
          </cell>
          <cell r="G5423" t="str">
            <v>Newport Aquarium</v>
          </cell>
          <cell r="H5423">
            <v>4</v>
          </cell>
        </row>
        <row r="5424">
          <cell r="B5424" t="str">
            <v>SCENTSAMPLES</v>
          </cell>
          <cell r="C5424" t="str">
            <v>Invoice</v>
          </cell>
          <cell r="D5424">
            <v>38490</v>
          </cell>
          <cell r="F5424" t="str">
            <v>6081</v>
          </cell>
          <cell r="G5424" t="str">
            <v>Le Chateau Stores of Canada</v>
          </cell>
          <cell r="H5424">
            <v>4</v>
          </cell>
        </row>
        <row r="5425">
          <cell r="B5425" t="str">
            <v>SCENTSAMPLES</v>
          </cell>
          <cell r="C5425" t="str">
            <v>Invoice</v>
          </cell>
          <cell r="D5425">
            <v>38505</v>
          </cell>
          <cell r="F5425" t="str">
            <v>6202</v>
          </cell>
          <cell r="G5425" t="str">
            <v>The Gianfagna Group:GC Corporate Office</v>
          </cell>
          <cell r="H5425">
            <v>4</v>
          </cell>
        </row>
        <row r="5426">
          <cell r="B5426" t="str">
            <v>SCENTSAMPLES</v>
          </cell>
          <cell r="C5426" t="str">
            <v>Invoice</v>
          </cell>
          <cell r="D5426">
            <v>38510</v>
          </cell>
          <cell r="F5426" t="str">
            <v>6240</v>
          </cell>
          <cell r="G5426" t="str">
            <v>Cocoa Bar:CB-Perimeter Watch</v>
          </cell>
          <cell r="H5426">
            <v>4</v>
          </cell>
        </row>
        <row r="5427">
          <cell r="B5427" t="str">
            <v>SCENTSAMPLES</v>
          </cell>
          <cell r="C5427" t="str">
            <v>Invoice</v>
          </cell>
          <cell r="D5427">
            <v>38539</v>
          </cell>
          <cell r="F5427" t="str">
            <v>7076</v>
          </cell>
          <cell r="G5427" t="str">
            <v>Nestle</v>
          </cell>
          <cell r="H5427">
            <v>4</v>
          </cell>
        </row>
        <row r="5428">
          <cell r="B5428" t="str">
            <v>SCENTSAMPLES</v>
          </cell>
          <cell r="C5428" t="str">
            <v>Invoice</v>
          </cell>
          <cell r="D5428">
            <v>38574</v>
          </cell>
          <cell r="F5428" t="str">
            <v>7391</v>
          </cell>
          <cell r="G5428" t="str">
            <v>Muzak, LLC:Muzak (Demo)</v>
          </cell>
          <cell r="H5428">
            <v>4</v>
          </cell>
        </row>
        <row r="5429">
          <cell r="B5429" t="str">
            <v>SCENTSAMPLES</v>
          </cell>
          <cell r="C5429" t="str">
            <v>Invoice</v>
          </cell>
          <cell r="D5429">
            <v>38594</v>
          </cell>
          <cell r="F5429" t="str">
            <v>7729</v>
          </cell>
          <cell r="G5429" t="str">
            <v>Juan Valdez Café</v>
          </cell>
          <cell r="H5429">
            <v>4</v>
          </cell>
        </row>
        <row r="5430">
          <cell r="B5430" t="str">
            <v>SEC1040-0794</v>
          </cell>
          <cell r="C5430" t="str">
            <v>Invoice</v>
          </cell>
          <cell r="D5430">
            <v>38602</v>
          </cell>
          <cell r="F5430" t="str">
            <v>7853</v>
          </cell>
          <cell r="G5430" t="str">
            <v>Promotool</v>
          </cell>
          <cell r="H5430">
            <v>4</v>
          </cell>
        </row>
        <row r="5431">
          <cell r="B5431" t="str">
            <v>SPC500-0152</v>
          </cell>
          <cell r="C5431" t="str">
            <v>Invoice</v>
          </cell>
          <cell r="D5431">
            <v>38469</v>
          </cell>
          <cell r="F5431" t="str">
            <v>6019</v>
          </cell>
          <cell r="G5431" t="str">
            <v>Strategic Operations Inc.</v>
          </cell>
          <cell r="H5431">
            <v>4</v>
          </cell>
        </row>
        <row r="5432">
          <cell r="B5432" t="str">
            <v>SPC500-0153</v>
          </cell>
          <cell r="C5432" t="str">
            <v>Invoice</v>
          </cell>
          <cell r="D5432">
            <v>38469</v>
          </cell>
          <cell r="F5432" t="str">
            <v>6019</v>
          </cell>
          <cell r="G5432" t="str">
            <v>Strategic Operations Inc.</v>
          </cell>
          <cell r="H5432">
            <v>4</v>
          </cell>
        </row>
        <row r="5433">
          <cell r="B5433" t="str">
            <v>SPC500-0218</v>
          </cell>
          <cell r="C5433" t="str">
            <v>Invoice</v>
          </cell>
          <cell r="D5433">
            <v>38469</v>
          </cell>
          <cell r="F5433" t="str">
            <v>6019</v>
          </cell>
          <cell r="G5433" t="str">
            <v>Strategic Operations Inc.</v>
          </cell>
          <cell r="H5433">
            <v>4</v>
          </cell>
        </row>
        <row r="5434">
          <cell r="B5434" t="str">
            <v>SPC500-0219</v>
          </cell>
          <cell r="C5434" t="str">
            <v>Invoice</v>
          </cell>
          <cell r="D5434">
            <v>38469</v>
          </cell>
          <cell r="F5434" t="str">
            <v>6019</v>
          </cell>
          <cell r="G5434" t="str">
            <v>Strategic Operations Inc.</v>
          </cell>
          <cell r="H5434">
            <v>4</v>
          </cell>
        </row>
        <row r="5435">
          <cell r="B5435" t="str">
            <v>SPC500-0243</v>
          </cell>
          <cell r="C5435" t="str">
            <v>Invoice</v>
          </cell>
          <cell r="D5435">
            <v>38469</v>
          </cell>
          <cell r="F5435" t="str">
            <v>6019</v>
          </cell>
          <cell r="G5435" t="str">
            <v>Strategic Operations Inc.</v>
          </cell>
          <cell r="H5435">
            <v>4</v>
          </cell>
        </row>
        <row r="5436">
          <cell r="B5436" t="str">
            <v>SPC500-0252</v>
          </cell>
          <cell r="C5436" t="str">
            <v>Invoice</v>
          </cell>
          <cell r="D5436">
            <v>38469</v>
          </cell>
          <cell r="F5436" t="str">
            <v>6019</v>
          </cell>
          <cell r="G5436" t="str">
            <v>Strategic Operations Inc.</v>
          </cell>
          <cell r="H5436">
            <v>4</v>
          </cell>
        </row>
        <row r="5437">
          <cell r="B5437" t="str">
            <v>SPC500-0275</v>
          </cell>
          <cell r="C5437" t="str">
            <v>Invoice</v>
          </cell>
          <cell r="D5437">
            <v>38469</v>
          </cell>
          <cell r="F5437" t="str">
            <v>6019</v>
          </cell>
          <cell r="G5437" t="str">
            <v>Strategic Operations Inc.</v>
          </cell>
          <cell r="H5437">
            <v>4</v>
          </cell>
        </row>
        <row r="5438">
          <cell r="B5438" t="str">
            <v>SPC500-0521</v>
          </cell>
          <cell r="C5438" t="str">
            <v>Invoice</v>
          </cell>
          <cell r="D5438">
            <v>38469</v>
          </cell>
          <cell r="F5438" t="str">
            <v>6019</v>
          </cell>
          <cell r="G5438" t="str">
            <v>Strategic Operations Inc.</v>
          </cell>
          <cell r="H5438">
            <v>4</v>
          </cell>
        </row>
        <row r="5439">
          <cell r="B5439" t="str">
            <v>SPC500-0691</v>
          </cell>
          <cell r="C5439" t="str">
            <v>Invoice</v>
          </cell>
          <cell r="D5439">
            <v>38469</v>
          </cell>
          <cell r="F5439" t="str">
            <v>6019</v>
          </cell>
          <cell r="G5439" t="str">
            <v>Strategic Operations Inc.</v>
          </cell>
          <cell r="H5439">
            <v>4</v>
          </cell>
        </row>
        <row r="5440">
          <cell r="B5440" t="str">
            <v>SPC500-0829</v>
          </cell>
          <cell r="C5440" t="str">
            <v>Invoice</v>
          </cell>
          <cell r="D5440">
            <v>38469</v>
          </cell>
          <cell r="F5440" t="str">
            <v>6019</v>
          </cell>
          <cell r="G5440" t="str">
            <v>Strategic Operations Inc.</v>
          </cell>
          <cell r="H5440">
            <v>4</v>
          </cell>
        </row>
        <row r="5441">
          <cell r="B5441" t="str">
            <v>SPC500-0849</v>
          </cell>
          <cell r="C5441" t="str">
            <v>Invoice</v>
          </cell>
          <cell r="D5441">
            <v>38469</v>
          </cell>
          <cell r="F5441" t="str">
            <v>6019</v>
          </cell>
          <cell r="G5441" t="str">
            <v>Strategic Operations Inc.</v>
          </cell>
          <cell r="H5441">
            <v>4</v>
          </cell>
        </row>
        <row r="5442">
          <cell r="B5442" t="str">
            <v>SPC500-0859</v>
          </cell>
          <cell r="C5442" t="str">
            <v>Invoice</v>
          </cell>
          <cell r="D5442">
            <v>38469</v>
          </cell>
          <cell r="F5442" t="str">
            <v>6019</v>
          </cell>
          <cell r="G5442" t="str">
            <v>Strategic Operations Inc.</v>
          </cell>
          <cell r="H5442">
            <v>4</v>
          </cell>
        </row>
        <row r="5443">
          <cell r="B5443" t="str">
            <v>SPC500-1050</v>
          </cell>
          <cell r="C5443" t="str">
            <v>Invoice</v>
          </cell>
          <cell r="D5443">
            <v>38469</v>
          </cell>
          <cell r="F5443" t="str">
            <v>6019</v>
          </cell>
          <cell r="G5443" t="str">
            <v>Strategic Operations Inc.</v>
          </cell>
          <cell r="H5443">
            <v>4</v>
          </cell>
        </row>
        <row r="5444">
          <cell r="B5444" t="str">
            <v>SPC500-1095</v>
          </cell>
          <cell r="C5444" t="str">
            <v>Invoice</v>
          </cell>
          <cell r="D5444">
            <v>38467</v>
          </cell>
          <cell r="F5444" t="str">
            <v>5701</v>
          </cell>
          <cell r="G5444" t="str">
            <v>Maryland Science Center</v>
          </cell>
          <cell r="H5444">
            <v>4</v>
          </cell>
        </row>
        <row r="5445">
          <cell r="B5445" t="str">
            <v>SPC500-1176</v>
          </cell>
          <cell r="C5445" t="str">
            <v>Invoice</v>
          </cell>
          <cell r="D5445">
            <v>38469</v>
          </cell>
          <cell r="F5445" t="str">
            <v>6019</v>
          </cell>
          <cell r="G5445" t="str">
            <v>Strategic Operations Inc.</v>
          </cell>
          <cell r="H5445">
            <v>4</v>
          </cell>
        </row>
        <row r="5446">
          <cell r="B5446" t="str">
            <v>SPC-500-1224</v>
          </cell>
          <cell r="C5446" t="str">
            <v>Invoice</v>
          </cell>
          <cell r="D5446">
            <v>38469</v>
          </cell>
          <cell r="F5446" t="str">
            <v>6019</v>
          </cell>
          <cell r="G5446" t="str">
            <v>Strategic Operations Inc.</v>
          </cell>
          <cell r="H5446">
            <v>4</v>
          </cell>
        </row>
        <row r="5447">
          <cell r="B5447" t="str">
            <v>SPC-500-1254</v>
          </cell>
          <cell r="C5447" t="str">
            <v>Invoice</v>
          </cell>
          <cell r="D5447">
            <v>38469</v>
          </cell>
          <cell r="F5447" t="str">
            <v>6019</v>
          </cell>
          <cell r="G5447" t="str">
            <v>Strategic Operations Inc.</v>
          </cell>
          <cell r="H5447">
            <v>4</v>
          </cell>
        </row>
        <row r="5448">
          <cell r="B5448" t="str">
            <v>SPC-500-1258</v>
          </cell>
          <cell r="C5448" t="str">
            <v>Invoice</v>
          </cell>
          <cell r="D5448">
            <v>38469</v>
          </cell>
          <cell r="F5448" t="str">
            <v>6019</v>
          </cell>
          <cell r="G5448" t="str">
            <v>Strategic Operations Inc.</v>
          </cell>
          <cell r="H5448">
            <v>4</v>
          </cell>
        </row>
        <row r="5449">
          <cell r="B5449" t="str">
            <v>SPC500-1282</v>
          </cell>
          <cell r="C5449" t="str">
            <v>Invoice</v>
          </cell>
          <cell r="D5449">
            <v>38470</v>
          </cell>
          <cell r="F5449" t="str">
            <v>6022</v>
          </cell>
          <cell r="G5449" t="str">
            <v>Ralph Jones Display</v>
          </cell>
          <cell r="H5449">
            <v>4</v>
          </cell>
        </row>
        <row r="5450">
          <cell r="B5450" t="str">
            <v>SPC500-1287</v>
          </cell>
          <cell r="C5450" t="str">
            <v>Invoice</v>
          </cell>
          <cell r="D5450">
            <v>38469</v>
          </cell>
          <cell r="F5450" t="str">
            <v>6019</v>
          </cell>
          <cell r="G5450" t="str">
            <v>Strategic Operations Inc.</v>
          </cell>
          <cell r="H5450">
            <v>4</v>
          </cell>
        </row>
        <row r="5451">
          <cell r="B5451" t="str">
            <v>SPC500-521</v>
          </cell>
          <cell r="C5451" t="str">
            <v>Invoice</v>
          </cell>
          <cell r="D5451">
            <v>38442</v>
          </cell>
          <cell r="F5451" t="str">
            <v>5579</v>
          </cell>
          <cell r="G5451" t="str">
            <v>VendMax International Inc.</v>
          </cell>
          <cell r="H5451">
            <v>4</v>
          </cell>
        </row>
        <row r="5452">
          <cell r="B5452" t="str">
            <v>SPC-500-913</v>
          </cell>
          <cell r="C5452" t="str">
            <v>Invoice</v>
          </cell>
          <cell r="D5452">
            <v>38469</v>
          </cell>
          <cell r="F5452" t="str">
            <v>6019</v>
          </cell>
          <cell r="G5452" t="str">
            <v>Strategic Operations Inc.</v>
          </cell>
          <cell r="H5452">
            <v>4</v>
          </cell>
        </row>
        <row r="5453">
          <cell r="B5453" t="str">
            <v>SPD510</v>
          </cell>
          <cell r="C5453" t="str">
            <v>Invoice</v>
          </cell>
          <cell r="D5453">
            <v>38470</v>
          </cell>
          <cell r="F5453" t="str">
            <v>6006</v>
          </cell>
          <cell r="G5453" t="str">
            <v>Techno Satellite</v>
          </cell>
          <cell r="H5453">
            <v>4</v>
          </cell>
        </row>
        <row r="5454">
          <cell r="B5454" t="str">
            <v>SPD510</v>
          </cell>
          <cell r="C5454" t="str">
            <v>Invoice</v>
          </cell>
          <cell r="D5454">
            <v>38485</v>
          </cell>
          <cell r="F5454" t="str">
            <v>6051</v>
          </cell>
          <cell r="G5454" t="str">
            <v>Promotool</v>
          </cell>
          <cell r="H5454">
            <v>4</v>
          </cell>
        </row>
        <row r="5455">
          <cell r="B5455" t="str">
            <v>SPD510</v>
          </cell>
          <cell r="C5455" t="str">
            <v>Invoice</v>
          </cell>
          <cell r="D5455">
            <v>38566</v>
          </cell>
          <cell r="F5455" t="str">
            <v>7265</v>
          </cell>
          <cell r="G5455" t="str">
            <v>Muzak, LLC:Muzak (Demo)</v>
          </cell>
          <cell r="H5455">
            <v>4</v>
          </cell>
        </row>
        <row r="5456">
          <cell r="B5456" t="str">
            <v>SPD510</v>
          </cell>
          <cell r="C5456" t="str">
            <v>Invoice</v>
          </cell>
          <cell r="D5456">
            <v>38590</v>
          </cell>
          <cell r="F5456" t="str">
            <v>7708</v>
          </cell>
          <cell r="G5456" t="str">
            <v>Techno Satellite</v>
          </cell>
          <cell r="H5456">
            <v>4</v>
          </cell>
        </row>
        <row r="5457">
          <cell r="B5457" t="str">
            <v>SWC1000-0837</v>
          </cell>
          <cell r="C5457" t="str">
            <v>Invoice</v>
          </cell>
          <cell r="D5457">
            <v>38553</v>
          </cell>
          <cell r="F5457" t="str">
            <v>7159</v>
          </cell>
          <cell r="G5457" t="str">
            <v>Arkitectura Urbana</v>
          </cell>
          <cell r="H5457">
            <v>4</v>
          </cell>
        </row>
        <row r="5458">
          <cell r="B5458" t="str">
            <v>SWC1000-0888</v>
          </cell>
          <cell r="C5458" t="str">
            <v>Invoice</v>
          </cell>
          <cell r="D5458">
            <v>38590</v>
          </cell>
          <cell r="F5458" t="str">
            <v>7407</v>
          </cell>
          <cell r="G5458" t="str">
            <v>Bloomingdale's Headquarters:Bloomingdale's - 005</v>
          </cell>
          <cell r="H5458">
            <v>4</v>
          </cell>
        </row>
        <row r="5459">
          <cell r="B5459" t="str">
            <v>SWC1000-0888</v>
          </cell>
          <cell r="C5459" t="str">
            <v>Invoice</v>
          </cell>
          <cell r="D5459">
            <v>38595</v>
          </cell>
          <cell r="F5459" t="str">
            <v>7724</v>
          </cell>
          <cell r="G5459" t="str">
            <v>Bloomingdale's Headquarters:Bloomingdale's - 001</v>
          </cell>
          <cell r="H5459">
            <v>4</v>
          </cell>
        </row>
        <row r="5460">
          <cell r="B5460" t="str">
            <v>SWC1000-0888</v>
          </cell>
          <cell r="C5460" t="str">
            <v>Invoice</v>
          </cell>
          <cell r="D5460">
            <v>38595</v>
          </cell>
          <cell r="F5460" t="str">
            <v>7404</v>
          </cell>
          <cell r="G5460" t="str">
            <v>Bloomingdale's Headquarters:Bloomingdale's - 002</v>
          </cell>
          <cell r="H5460">
            <v>4</v>
          </cell>
        </row>
        <row r="5461">
          <cell r="B5461" t="str">
            <v>SWC1000-0888</v>
          </cell>
          <cell r="C5461" t="str">
            <v>Invoice</v>
          </cell>
          <cell r="D5461">
            <v>38595</v>
          </cell>
          <cell r="F5461" t="str">
            <v>7405</v>
          </cell>
          <cell r="G5461" t="str">
            <v>Bloomingdale's Headquarters:Bloomingdale's - 003</v>
          </cell>
          <cell r="H5461">
            <v>4</v>
          </cell>
        </row>
        <row r="5462">
          <cell r="B5462" t="str">
            <v>SWC1000-0888</v>
          </cell>
          <cell r="C5462" t="str">
            <v>Invoice</v>
          </cell>
          <cell r="D5462">
            <v>38595</v>
          </cell>
          <cell r="F5462" t="str">
            <v>7406</v>
          </cell>
          <cell r="G5462" t="str">
            <v>Bloomingdale's Headquarters:Bloomingdale's - 004</v>
          </cell>
          <cell r="H5462">
            <v>4</v>
          </cell>
        </row>
        <row r="5463">
          <cell r="B5463" t="str">
            <v>SWC1000-0888</v>
          </cell>
          <cell r="C5463" t="str">
            <v>Invoice</v>
          </cell>
          <cell r="D5463">
            <v>38595</v>
          </cell>
          <cell r="F5463" t="str">
            <v>7408</v>
          </cell>
          <cell r="G5463" t="str">
            <v>Bloomingdale's Headquarters:Bloomingdale's - 006</v>
          </cell>
          <cell r="H5463">
            <v>4</v>
          </cell>
        </row>
        <row r="5464">
          <cell r="B5464" t="str">
            <v>SWC1000-0888</v>
          </cell>
          <cell r="C5464" t="str">
            <v>Invoice</v>
          </cell>
          <cell r="D5464">
            <v>38596</v>
          </cell>
          <cell r="F5464" t="str">
            <v>7412</v>
          </cell>
          <cell r="G5464" t="str">
            <v>Bloomingdale's Headquarters:Bloomingdale's - 010</v>
          </cell>
          <cell r="H5464">
            <v>4</v>
          </cell>
        </row>
        <row r="5465">
          <cell r="B5465" t="str">
            <v>SWC1000-0888</v>
          </cell>
          <cell r="C5465" t="str">
            <v>Invoice</v>
          </cell>
          <cell r="D5465">
            <v>38596</v>
          </cell>
          <cell r="F5465" t="str">
            <v>7413</v>
          </cell>
          <cell r="G5465" t="str">
            <v>Bloomingdale's Headquarters:Bloomingdale's - 011</v>
          </cell>
          <cell r="H5465">
            <v>4</v>
          </cell>
        </row>
        <row r="5466">
          <cell r="B5466" t="str">
            <v>SWC1000-0888</v>
          </cell>
          <cell r="C5466" t="str">
            <v>Invoice</v>
          </cell>
          <cell r="D5466">
            <v>38596</v>
          </cell>
          <cell r="F5466" t="str">
            <v>7414</v>
          </cell>
          <cell r="G5466" t="str">
            <v>Bloomingdale's Headquarters:Bloomingdale's - 012</v>
          </cell>
          <cell r="H5466">
            <v>4</v>
          </cell>
        </row>
        <row r="5467">
          <cell r="B5467" t="str">
            <v>SWC1000-0888</v>
          </cell>
          <cell r="C5467" t="str">
            <v>Invoice</v>
          </cell>
          <cell r="D5467">
            <v>38596</v>
          </cell>
          <cell r="F5467" t="str">
            <v>7415</v>
          </cell>
          <cell r="G5467" t="str">
            <v>Bloomingdale's Headquarters:Bloomingdale's - 013</v>
          </cell>
          <cell r="H5467">
            <v>4</v>
          </cell>
        </row>
        <row r="5468">
          <cell r="B5468" t="str">
            <v>SWC1000-0888</v>
          </cell>
          <cell r="C5468" t="str">
            <v>Invoice</v>
          </cell>
          <cell r="D5468">
            <v>38596</v>
          </cell>
          <cell r="F5468" t="str">
            <v>7416</v>
          </cell>
          <cell r="G5468" t="str">
            <v>Bloomingdale's Headquarters:Bloomingdale's - 014</v>
          </cell>
          <cell r="H5468">
            <v>4</v>
          </cell>
        </row>
        <row r="5469">
          <cell r="B5469" t="str">
            <v>SWC1000-0888</v>
          </cell>
          <cell r="C5469" t="str">
            <v>Invoice</v>
          </cell>
          <cell r="D5469">
            <v>38596</v>
          </cell>
          <cell r="F5469" t="str">
            <v>7417</v>
          </cell>
          <cell r="G5469" t="str">
            <v>Bloomingdale's Headquarters:Bloomingdale's - 016</v>
          </cell>
          <cell r="H5469">
            <v>4</v>
          </cell>
        </row>
        <row r="5470">
          <cell r="B5470" t="str">
            <v>SWC1000-0888</v>
          </cell>
          <cell r="C5470" t="str">
            <v>Invoice</v>
          </cell>
          <cell r="D5470">
            <v>38596</v>
          </cell>
          <cell r="F5470" t="str">
            <v>7418</v>
          </cell>
          <cell r="G5470" t="str">
            <v>Bloomingdale's Headquarters:Bloomingdale's - 017</v>
          </cell>
          <cell r="H5470">
            <v>4</v>
          </cell>
        </row>
        <row r="5471">
          <cell r="B5471" t="str">
            <v>SWC1000-0888</v>
          </cell>
          <cell r="C5471" t="str">
            <v>Invoice</v>
          </cell>
          <cell r="D5471">
            <v>38596</v>
          </cell>
          <cell r="F5471" t="str">
            <v>7419</v>
          </cell>
          <cell r="G5471" t="str">
            <v>Bloomingdale's Headquarters:Bloomingdale's - 020</v>
          </cell>
          <cell r="H5471">
            <v>4</v>
          </cell>
        </row>
        <row r="5472">
          <cell r="B5472" t="str">
            <v>SWC1000-0888</v>
          </cell>
          <cell r="C5472" t="str">
            <v>Invoice</v>
          </cell>
          <cell r="D5472">
            <v>38596</v>
          </cell>
          <cell r="F5472" t="str">
            <v>7420</v>
          </cell>
          <cell r="G5472" t="str">
            <v>Bloomingdale's Headquarters:Bloomingdale's - 021</v>
          </cell>
          <cell r="H5472">
            <v>4</v>
          </cell>
        </row>
        <row r="5473">
          <cell r="B5473" t="str">
            <v>SWC1000-0888</v>
          </cell>
          <cell r="C5473" t="str">
            <v>Invoice</v>
          </cell>
          <cell r="D5473">
            <v>38596</v>
          </cell>
          <cell r="F5473" t="str">
            <v>7421</v>
          </cell>
          <cell r="G5473" t="str">
            <v>Bloomingdale's Headquarters:Bloomingdale's - 024</v>
          </cell>
          <cell r="H5473">
            <v>4</v>
          </cell>
        </row>
        <row r="5474">
          <cell r="B5474" t="str">
            <v>SWC1000-0888</v>
          </cell>
          <cell r="C5474" t="str">
            <v>Invoice</v>
          </cell>
          <cell r="D5474">
            <v>38596</v>
          </cell>
          <cell r="F5474" t="str">
            <v>7422</v>
          </cell>
          <cell r="G5474" t="str">
            <v>Bloomingdale's Headquarters:Bloomingdale's - 025</v>
          </cell>
          <cell r="H5474">
            <v>4</v>
          </cell>
        </row>
        <row r="5475">
          <cell r="B5475" t="str">
            <v>SWC1000-0888</v>
          </cell>
          <cell r="C5475" t="str">
            <v>Invoice</v>
          </cell>
          <cell r="D5475">
            <v>38596</v>
          </cell>
          <cell r="F5475" t="str">
            <v>7423</v>
          </cell>
          <cell r="G5475" t="str">
            <v>Bloomingdale's Headquarters:Bloomingdale's - 026</v>
          </cell>
          <cell r="H5475">
            <v>4</v>
          </cell>
        </row>
        <row r="5476">
          <cell r="B5476" t="str">
            <v>SWC1000-0888</v>
          </cell>
          <cell r="C5476" t="str">
            <v>Invoice</v>
          </cell>
          <cell r="D5476">
            <v>38596</v>
          </cell>
          <cell r="F5476" t="str">
            <v>7424</v>
          </cell>
          <cell r="G5476" t="str">
            <v>Bloomingdale's Headquarters:Bloomingdale's - 027</v>
          </cell>
          <cell r="H5476">
            <v>4</v>
          </cell>
        </row>
        <row r="5477">
          <cell r="B5477" t="str">
            <v>SWC1000-0888</v>
          </cell>
          <cell r="C5477" t="str">
            <v>Invoice</v>
          </cell>
          <cell r="D5477">
            <v>38596</v>
          </cell>
          <cell r="F5477" t="str">
            <v>7425</v>
          </cell>
          <cell r="G5477" t="str">
            <v>Bloomingdale's Headquarters:Bloomingdale's - 028</v>
          </cell>
          <cell r="H5477">
            <v>4</v>
          </cell>
        </row>
        <row r="5478">
          <cell r="B5478" t="str">
            <v>SWC1000-0888</v>
          </cell>
          <cell r="C5478" t="str">
            <v>Invoice</v>
          </cell>
          <cell r="D5478">
            <v>38596</v>
          </cell>
          <cell r="F5478" t="str">
            <v>7426</v>
          </cell>
          <cell r="G5478" t="str">
            <v>Bloomingdale's Headquarters:Bloomingdale's - 029</v>
          </cell>
          <cell r="H5478">
            <v>4</v>
          </cell>
        </row>
        <row r="5479">
          <cell r="B5479" t="str">
            <v>SWC1000-0888</v>
          </cell>
          <cell r="C5479" t="str">
            <v>Invoice</v>
          </cell>
          <cell r="D5479">
            <v>38596</v>
          </cell>
          <cell r="F5479" t="str">
            <v>7427</v>
          </cell>
          <cell r="G5479" t="str">
            <v>Bloomingdale's Headquarters:Bloomingdale's - 030</v>
          </cell>
          <cell r="H5479">
            <v>4</v>
          </cell>
        </row>
        <row r="5480">
          <cell r="B5480" t="str">
            <v>SWC1000-0888</v>
          </cell>
          <cell r="C5480" t="str">
            <v>Invoice</v>
          </cell>
          <cell r="D5480">
            <v>38596</v>
          </cell>
          <cell r="F5480" t="str">
            <v>7428</v>
          </cell>
          <cell r="G5480" t="str">
            <v>Bloomingdale's Headquarters:Bloomingdale's - 031</v>
          </cell>
          <cell r="H5480">
            <v>4</v>
          </cell>
        </row>
        <row r="5481">
          <cell r="B5481" t="str">
            <v>SWC1000-0888</v>
          </cell>
          <cell r="C5481" t="str">
            <v>Invoice</v>
          </cell>
          <cell r="D5481">
            <v>38596</v>
          </cell>
          <cell r="F5481" t="str">
            <v>7431</v>
          </cell>
          <cell r="G5481" t="str">
            <v>Bloomingdale's Headquarters:Bloomingdale's - 037</v>
          </cell>
          <cell r="H5481">
            <v>4</v>
          </cell>
        </row>
        <row r="5482">
          <cell r="B5482" t="str">
            <v>SWC1000-0888</v>
          </cell>
          <cell r="C5482" t="str">
            <v>Invoice</v>
          </cell>
          <cell r="D5482">
            <v>38596</v>
          </cell>
          <cell r="F5482" t="str">
            <v>7432</v>
          </cell>
          <cell r="G5482" t="str">
            <v>Bloomingdale's Headquarters:Bloomingdale's - 055</v>
          </cell>
          <cell r="H5482">
            <v>4</v>
          </cell>
        </row>
        <row r="5483">
          <cell r="B5483" t="str">
            <v>SWC1000-0888</v>
          </cell>
          <cell r="C5483" t="str">
            <v>Invoice</v>
          </cell>
          <cell r="D5483">
            <v>38596</v>
          </cell>
          <cell r="F5483" t="str">
            <v>7433</v>
          </cell>
          <cell r="G5483" t="str">
            <v>Bloomingdale's Headquarters:Bloomingdale's - 056</v>
          </cell>
          <cell r="H5483">
            <v>4</v>
          </cell>
        </row>
        <row r="5484">
          <cell r="B5484" t="str">
            <v>SWC1000-0912</v>
          </cell>
          <cell r="C5484" t="str">
            <v>Invoice</v>
          </cell>
          <cell r="D5484">
            <v>38411</v>
          </cell>
          <cell r="F5484" t="str">
            <v>5364</v>
          </cell>
          <cell r="G5484" t="str">
            <v>Grupobiz-Integradora De Espartaculos</v>
          </cell>
          <cell r="H5484">
            <v>4</v>
          </cell>
        </row>
        <row r="5485">
          <cell r="B5485" t="str">
            <v>SWC1000-1016</v>
          </cell>
          <cell r="C5485" t="str">
            <v>Invoice</v>
          </cell>
          <cell r="D5485">
            <v>38482</v>
          </cell>
          <cell r="F5485" t="str">
            <v>5694A</v>
          </cell>
          <cell r="G5485" t="str">
            <v>Sony Style #49</v>
          </cell>
          <cell r="H5485">
            <v>4</v>
          </cell>
        </row>
        <row r="5486">
          <cell r="B5486" t="str">
            <v>SWC1000-1035</v>
          </cell>
          <cell r="C5486" t="str">
            <v>Invoice</v>
          </cell>
          <cell r="D5486">
            <v>38478</v>
          </cell>
          <cell r="F5486" t="str">
            <v>5723</v>
          </cell>
          <cell r="G5486" t="str">
            <v>Arkitectura Urbana</v>
          </cell>
          <cell r="H5486">
            <v>4</v>
          </cell>
        </row>
        <row r="5487">
          <cell r="B5487" t="str">
            <v>SWC1000-1035</v>
          </cell>
          <cell r="C5487" t="str">
            <v>Invoice</v>
          </cell>
          <cell r="D5487">
            <v>38583</v>
          </cell>
          <cell r="F5487" t="str">
            <v>7511</v>
          </cell>
          <cell r="G5487" t="str">
            <v>Arkitectura Urbana</v>
          </cell>
          <cell r="H5487">
            <v>4</v>
          </cell>
        </row>
        <row r="5488">
          <cell r="B5488" t="str">
            <v>SWC1000-1095</v>
          </cell>
          <cell r="C5488" t="str">
            <v>Invoice</v>
          </cell>
          <cell r="D5488">
            <v>38440</v>
          </cell>
          <cell r="F5488" t="str">
            <v>5525</v>
          </cell>
          <cell r="G5488" t="str">
            <v>Exxon DDB Worldwide:Exxon DDB Worldwide #24239</v>
          </cell>
          <cell r="H5488">
            <v>4</v>
          </cell>
        </row>
        <row r="5489">
          <cell r="B5489" t="str">
            <v>SWC1000-1095</v>
          </cell>
          <cell r="C5489" t="str">
            <v>Invoice</v>
          </cell>
          <cell r="D5489">
            <v>38440</v>
          </cell>
          <cell r="F5489" t="str">
            <v>5519</v>
          </cell>
          <cell r="G5489" t="str">
            <v>Exxon DDB Worldwide:Exxon DDB Worldwide #15022</v>
          </cell>
          <cell r="H5489">
            <v>4</v>
          </cell>
        </row>
        <row r="5490">
          <cell r="B5490" t="str">
            <v>SWC1000-1095</v>
          </cell>
          <cell r="C5490" t="str">
            <v>Invoice</v>
          </cell>
          <cell r="D5490">
            <v>38440</v>
          </cell>
          <cell r="F5490" t="str">
            <v>5523</v>
          </cell>
          <cell r="G5490" t="str">
            <v>Exxon DDB Worldwide:Exxon DDB Worldwide #20407</v>
          </cell>
          <cell r="H5490">
            <v>4</v>
          </cell>
        </row>
        <row r="5491">
          <cell r="B5491" t="str">
            <v>SWC1000-1095</v>
          </cell>
          <cell r="C5491" t="str">
            <v>Invoice</v>
          </cell>
          <cell r="D5491">
            <v>38442</v>
          </cell>
          <cell r="F5491" t="str">
            <v>5522</v>
          </cell>
          <cell r="G5491" t="str">
            <v>Exxon DDB Worldwide:Exxon DDB Worldwide #30618</v>
          </cell>
          <cell r="H5491">
            <v>4</v>
          </cell>
        </row>
        <row r="5492">
          <cell r="B5492" t="str">
            <v>SWC1000-851</v>
          </cell>
          <cell r="C5492" t="str">
            <v>Invoice</v>
          </cell>
          <cell r="D5492">
            <v>38491</v>
          </cell>
          <cell r="F5492" t="str">
            <v>6102</v>
          </cell>
          <cell r="G5492" t="str">
            <v>Kirk Larson, DDS</v>
          </cell>
          <cell r="H5492">
            <v>4</v>
          </cell>
        </row>
        <row r="5493">
          <cell r="B5493" t="str">
            <v>SWC1000-C48</v>
          </cell>
          <cell r="C5493" t="str">
            <v>Invoice</v>
          </cell>
          <cell r="D5493">
            <v>38483</v>
          </cell>
          <cell r="F5493" t="str">
            <v>5693</v>
          </cell>
          <cell r="G5493" t="str">
            <v>Sony Style #49</v>
          </cell>
          <cell r="H5493">
            <v>4</v>
          </cell>
        </row>
        <row r="5494">
          <cell r="B5494" t="str">
            <v>SWC1020-1095</v>
          </cell>
          <cell r="C5494" t="str">
            <v>Invoice</v>
          </cell>
          <cell r="D5494">
            <v>38406</v>
          </cell>
          <cell r="F5494" t="str">
            <v>5352</v>
          </cell>
          <cell r="G5494" t="str">
            <v>Exxon DDB Worldwide:Exxon DDB Worldwide #20407</v>
          </cell>
          <cell r="H5494">
            <v>4</v>
          </cell>
        </row>
        <row r="5495">
          <cell r="B5495" t="str">
            <v>SWC1020-1095</v>
          </cell>
          <cell r="C5495" t="str">
            <v>Invoice</v>
          </cell>
          <cell r="D5495">
            <v>38406</v>
          </cell>
          <cell r="F5495" t="str">
            <v>5357</v>
          </cell>
          <cell r="G5495" t="str">
            <v>Exxon DDB Worldwide:Exxon DDB Worldwide #30618</v>
          </cell>
          <cell r="H5495">
            <v>4</v>
          </cell>
        </row>
        <row r="5496">
          <cell r="B5496" t="str">
            <v>SWC1020-1095</v>
          </cell>
          <cell r="C5496" t="str">
            <v>Invoice</v>
          </cell>
          <cell r="D5496">
            <v>38406</v>
          </cell>
          <cell r="F5496" t="str">
            <v>5355</v>
          </cell>
          <cell r="G5496" t="str">
            <v>Exxon DDB Worldwide# 25329</v>
          </cell>
          <cell r="H5496">
            <v>4</v>
          </cell>
        </row>
        <row r="5497">
          <cell r="B5497" t="str">
            <v>SWC1020-1236</v>
          </cell>
          <cell r="C5497" t="str">
            <v>Invoice</v>
          </cell>
          <cell r="D5497">
            <v>38421</v>
          </cell>
          <cell r="F5497" t="str">
            <v>5454</v>
          </cell>
          <cell r="G5497" t="str">
            <v>Weird and Wonderful</v>
          </cell>
          <cell r="H5497">
            <v>4</v>
          </cell>
        </row>
        <row r="5498">
          <cell r="B5498" t="str">
            <v>SWC1020-1254</v>
          </cell>
          <cell r="C5498" t="str">
            <v>Invoice</v>
          </cell>
          <cell r="D5498">
            <v>38470</v>
          </cell>
          <cell r="F5498" t="str">
            <v>5716</v>
          </cell>
          <cell r="G5498" t="str">
            <v>Abercrombie &amp; Fitch..</v>
          </cell>
          <cell r="H5498">
            <v>4</v>
          </cell>
        </row>
        <row r="5499">
          <cell r="B5499" t="str">
            <v>SWC1040-0153</v>
          </cell>
          <cell r="C5499" t="str">
            <v>Invoice</v>
          </cell>
          <cell r="D5499">
            <v>38572</v>
          </cell>
          <cell r="F5499" t="str">
            <v>7334</v>
          </cell>
          <cell r="G5499" t="str">
            <v>Macy's</v>
          </cell>
          <cell r="H5499">
            <v>4</v>
          </cell>
        </row>
        <row r="5500">
          <cell r="B5500" t="str">
            <v>SWC1040-0153</v>
          </cell>
          <cell r="C5500" t="str">
            <v>Invoice</v>
          </cell>
          <cell r="D5500">
            <v>38603</v>
          </cell>
          <cell r="F5500" t="str">
            <v>7336</v>
          </cell>
          <cell r="G5500" t="str">
            <v>Macy's</v>
          </cell>
          <cell r="H5500">
            <v>4</v>
          </cell>
        </row>
        <row r="5501">
          <cell r="B5501" t="str">
            <v>SWC1040-0956</v>
          </cell>
          <cell r="C5501" t="str">
            <v>Invoice</v>
          </cell>
          <cell r="D5501">
            <v>38625</v>
          </cell>
          <cell r="F5501" t="str">
            <v>8096</v>
          </cell>
          <cell r="G5501" t="str">
            <v>Videotronic Benelux BV</v>
          </cell>
          <cell r="H5501">
            <v>4</v>
          </cell>
        </row>
        <row r="5502">
          <cell r="B5502" t="str">
            <v>SWC1040-1062</v>
          </cell>
          <cell r="C5502" t="str">
            <v>Invoice</v>
          </cell>
          <cell r="D5502">
            <v>38623</v>
          </cell>
          <cell r="F5502" t="str">
            <v>8145</v>
          </cell>
          <cell r="G5502" t="str">
            <v>Saddle Ranch</v>
          </cell>
          <cell r="H5502">
            <v>4</v>
          </cell>
        </row>
        <row r="5503">
          <cell r="B5503" t="str">
            <v>SWC1040-1174</v>
          </cell>
          <cell r="C5503" t="str">
            <v>Invoice</v>
          </cell>
          <cell r="D5503">
            <v>38533</v>
          </cell>
          <cell r="F5503" t="str">
            <v>5557-I</v>
          </cell>
          <cell r="G5503" t="str">
            <v>Universal Studios Orlando:Universal Studios Foods</v>
          </cell>
          <cell r="H5503">
            <v>4</v>
          </cell>
        </row>
        <row r="5504">
          <cell r="B5504" t="str">
            <v>SWC1040-1174</v>
          </cell>
          <cell r="C5504" t="str">
            <v>Invoice</v>
          </cell>
          <cell r="D5504">
            <v>38562</v>
          </cell>
          <cell r="F5504" t="str">
            <v>6385</v>
          </cell>
          <cell r="G5504" t="str">
            <v>Universal Studios Orlando:Universal Studios Foods</v>
          </cell>
          <cell r="H5504">
            <v>4</v>
          </cell>
        </row>
        <row r="5505">
          <cell r="B5505" t="str">
            <v>SWC1040-1174</v>
          </cell>
          <cell r="C5505" t="str">
            <v>Invoice</v>
          </cell>
          <cell r="D5505">
            <v>38595</v>
          </cell>
          <cell r="F5505" t="str">
            <v>7150</v>
          </cell>
          <cell r="G5505" t="str">
            <v>Universal Studios Orlando:Universal Studios Foods</v>
          </cell>
          <cell r="H5505">
            <v>4</v>
          </cell>
        </row>
        <row r="5506">
          <cell r="B5506" t="str">
            <v>SWC1040-1174</v>
          </cell>
          <cell r="C5506" t="str">
            <v>Invoice</v>
          </cell>
          <cell r="D5506">
            <v>38626</v>
          </cell>
          <cell r="F5506" t="str">
            <v>7502</v>
          </cell>
          <cell r="G5506" t="str">
            <v>Universal Studios Orlando:Universal Studios Foods</v>
          </cell>
          <cell r="H5506">
            <v>4</v>
          </cell>
        </row>
        <row r="5507">
          <cell r="B5507" t="str">
            <v>SWC1040-1364</v>
          </cell>
          <cell r="C5507" t="str">
            <v>Invoice</v>
          </cell>
          <cell r="D5507">
            <v>38490</v>
          </cell>
          <cell r="F5507" t="str">
            <v>6082</v>
          </cell>
          <cell r="G5507" t="str">
            <v>AroMarketing:AroMarketing - Guadalajara</v>
          </cell>
          <cell r="H5507">
            <v>4</v>
          </cell>
        </row>
        <row r="5508">
          <cell r="B5508" t="str">
            <v>SWC1040-OTHER</v>
          </cell>
          <cell r="C5508" t="str">
            <v>Invoice</v>
          </cell>
          <cell r="D5508">
            <v>38616</v>
          </cell>
          <cell r="F5508" t="str">
            <v>8058</v>
          </cell>
          <cell r="G5508" t="str">
            <v>Gap:Corporate Office</v>
          </cell>
          <cell r="H5508">
            <v>4</v>
          </cell>
        </row>
        <row r="5509">
          <cell r="B5509" t="str">
            <v>SWC1040-OTHER</v>
          </cell>
          <cell r="C5509" t="str">
            <v>Invoice</v>
          </cell>
          <cell r="D5509">
            <v>38616</v>
          </cell>
          <cell r="F5509" t="str">
            <v>8058</v>
          </cell>
          <cell r="G5509" t="str">
            <v>Gap:Corporate Office</v>
          </cell>
          <cell r="H5509">
            <v>4</v>
          </cell>
        </row>
        <row r="5510">
          <cell r="B5510" t="str">
            <v>SWC1040-OTHER</v>
          </cell>
          <cell r="C5510" t="str">
            <v>Invoice</v>
          </cell>
          <cell r="D5510">
            <v>38625</v>
          </cell>
          <cell r="F5510" t="str">
            <v>8201</v>
          </cell>
          <cell r="G5510" t="str">
            <v>Mane USA/Arcade</v>
          </cell>
          <cell r="H5510">
            <v>4</v>
          </cell>
        </row>
        <row r="5511">
          <cell r="B5511" t="str">
            <v>SWC1060-0794</v>
          </cell>
          <cell r="C5511" t="str">
            <v>Invoice</v>
          </cell>
          <cell r="D5511">
            <v>38512</v>
          </cell>
          <cell r="F5511" t="str">
            <v>6274</v>
          </cell>
          <cell r="G5511" t="str">
            <v>Ogilvy &amp; Mather</v>
          </cell>
          <cell r="H5511">
            <v>4</v>
          </cell>
        </row>
        <row r="5512">
          <cell r="B5512" t="str">
            <v>SWC2040-0142</v>
          </cell>
          <cell r="C5512" t="str">
            <v>Invoice</v>
          </cell>
          <cell r="D5512">
            <v>38561</v>
          </cell>
          <cell r="F5512" t="str">
            <v>7167</v>
          </cell>
          <cell r="G5512" t="str">
            <v>Anteon</v>
          </cell>
          <cell r="H5512">
            <v>4</v>
          </cell>
        </row>
        <row r="5513">
          <cell r="B5513" t="str">
            <v>SWC2040-0170</v>
          </cell>
          <cell r="C5513" t="str">
            <v>Invoice</v>
          </cell>
          <cell r="D5513">
            <v>38561</v>
          </cell>
          <cell r="F5513" t="str">
            <v>7167</v>
          </cell>
          <cell r="G5513" t="str">
            <v>Anteon</v>
          </cell>
          <cell r="H5513">
            <v>4</v>
          </cell>
        </row>
        <row r="5514">
          <cell r="B5514" t="str">
            <v>SWC2040-0219</v>
          </cell>
          <cell r="C5514" t="str">
            <v>Invoice</v>
          </cell>
          <cell r="D5514">
            <v>38561</v>
          </cell>
          <cell r="F5514" t="str">
            <v>7167</v>
          </cell>
          <cell r="G5514" t="str">
            <v>Anteon</v>
          </cell>
          <cell r="H5514">
            <v>4</v>
          </cell>
        </row>
        <row r="5515">
          <cell r="B5515" t="str">
            <v>SWC2040-0234</v>
          </cell>
          <cell r="C5515" t="str">
            <v>Invoice</v>
          </cell>
          <cell r="D5515">
            <v>38569</v>
          </cell>
          <cell r="F5515" t="str">
            <v>7321</v>
          </cell>
          <cell r="G5515" t="str">
            <v>ScentAir Australia Pty Ltd.</v>
          </cell>
          <cell r="H5515">
            <v>4</v>
          </cell>
        </row>
        <row r="5516">
          <cell r="B5516" t="str">
            <v>SWC2040-0243</v>
          </cell>
          <cell r="C5516" t="str">
            <v>Invoice</v>
          </cell>
          <cell r="D5516">
            <v>38561</v>
          </cell>
          <cell r="F5516" t="str">
            <v>7167</v>
          </cell>
          <cell r="G5516" t="str">
            <v>Anteon</v>
          </cell>
          <cell r="H5516">
            <v>4</v>
          </cell>
        </row>
        <row r="5517">
          <cell r="B5517" t="str">
            <v>SWC2040-0429</v>
          </cell>
          <cell r="C5517" t="str">
            <v>Invoice</v>
          </cell>
          <cell r="D5517">
            <v>38471</v>
          </cell>
          <cell r="F5517" t="str">
            <v>6020</v>
          </cell>
          <cell r="G5517" t="str">
            <v>ScentAir Australia Pty Ltd.</v>
          </cell>
          <cell r="H5517">
            <v>4</v>
          </cell>
        </row>
        <row r="5518">
          <cell r="B5518" t="str">
            <v>SWC2040-0521</v>
          </cell>
          <cell r="C5518" t="str">
            <v>Invoice</v>
          </cell>
          <cell r="D5518">
            <v>38601</v>
          </cell>
          <cell r="F5518" t="str">
            <v>7815</v>
          </cell>
          <cell r="G5518" t="str">
            <v>ScentAir Australia Pty Ltd.</v>
          </cell>
          <cell r="H5518">
            <v>4</v>
          </cell>
        </row>
        <row r="5519">
          <cell r="B5519" t="str">
            <v>SWC2040-0534</v>
          </cell>
          <cell r="C5519" t="str">
            <v>Invoice</v>
          </cell>
          <cell r="D5519">
            <v>38561</v>
          </cell>
          <cell r="F5519" t="str">
            <v>7167</v>
          </cell>
          <cell r="G5519" t="str">
            <v>Anteon</v>
          </cell>
          <cell r="H5519">
            <v>4</v>
          </cell>
        </row>
        <row r="5520">
          <cell r="B5520" t="str">
            <v>SWC2040-0794</v>
          </cell>
          <cell r="C5520" t="str">
            <v>Invoice</v>
          </cell>
          <cell r="D5520">
            <v>38561</v>
          </cell>
          <cell r="F5520" t="str">
            <v>7167</v>
          </cell>
          <cell r="G5520" t="str">
            <v>Anteon</v>
          </cell>
          <cell r="H5520">
            <v>4</v>
          </cell>
        </row>
        <row r="5521">
          <cell r="B5521" t="str">
            <v>SWC2040-0825</v>
          </cell>
          <cell r="C5521" t="str">
            <v>Invoice</v>
          </cell>
          <cell r="D5521">
            <v>38601</v>
          </cell>
          <cell r="F5521" t="str">
            <v>7815</v>
          </cell>
          <cell r="G5521" t="str">
            <v>ScentAir Australia Pty Ltd.</v>
          </cell>
          <cell r="H5521">
            <v>4</v>
          </cell>
        </row>
        <row r="5522">
          <cell r="B5522" t="str">
            <v>SWC2040-0841</v>
          </cell>
          <cell r="C5522" t="str">
            <v>Invoice</v>
          </cell>
          <cell r="D5522">
            <v>38601</v>
          </cell>
          <cell r="F5522" t="str">
            <v>7815</v>
          </cell>
          <cell r="G5522" t="str">
            <v>ScentAir Australia Pty Ltd.</v>
          </cell>
          <cell r="H5522">
            <v>4</v>
          </cell>
        </row>
        <row r="5523">
          <cell r="B5523" t="str">
            <v>SWC2040-0849</v>
          </cell>
          <cell r="C5523" t="str">
            <v>Invoice</v>
          </cell>
          <cell r="D5523">
            <v>38471</v>
          </cell>
          <cell r="F5523" t="str">
            <v>6020</v>
          </cell>
          <cell r="G5523" t="str">
            <v>ScentAir Australia Pty Ltd.</v>
          </cell>
          <cell r="H5523">
            <v>4</v>
          </cell>
        </row>
        <row r="5524">
          <cell r="B5524" t="str">
            <v>SWC2040-0851</v>
          </cell>
          <cell r="C5524" t="str">
            <v>Invoice</v>
          </cell>
          <cell r="D5524">
            <v>38601</v>
          </cell>
          <cell r="F5524" t="str">
            <v>7815</v>
          </cell>
          <cell r="G5524" t="str">
            <v>ScentAir Australia Pty Ltd.</v>
          </cell>
          <cell r="H5524">
            <v>4</v>
          </cell>
        </row>
        <row r="5525">
          <cell r="B5525" t="str">
            <v>SWC2040-0854</v>
          </cell>
          <cell r="C5525" t="str">
            <v>Invoice</v>
          </cell>
          <cell r="D5525">
            <v>38614</v>
          </cell>
          <cell r="F5525" t="str">
            <v>7996</v>
          </cell>
          <cell r="G5525" t="str">
            <v>Hard Rock Hotel and Casino - Las Vegas</v>
          </cell>
          <cell r="H5525">
            <v>4</v>
          </cell>
        </row>
        <row r="5526">
          <cell r="B5526" t="str">
            <v>SWC2040-0860</v>
          </cell>
          <cell r="C5526" t="str">
            <v>Invoice</v>
          </cell>
          <cell r="D5526">
            <v>38561</v>
          </cell>
          <cell r="F5526" t="str">
            <v>7167</v>
          </cell>
          <cell r="G5526" t="str">
            <v>Anteon</v>
          </cell>
          <cell r="H5526">
            <v>4</v>
          </cell>
        </row>
        <row r="5527">
          <cell r="B5527" t="str">
            <v>SWC2040-0892</v>
          </cell>
          <cell r="C5527" t="str">
            <v>Invoice</v>
          </cell>
          <cell r="D5527">
            <v>38608</v>
          </cell>
          <cell r="F5527" t="str">
            <v>7924</v>
          </cell>
          <cell r="G5527" t="str">
            <v>Muzak, LLC</v>
          </cell>
          <cell r="H5527">
            <v>4</v>
          </cell>
        </row>
        <row r="5528">
          <cell r="B5528" t="str">
            <v>SWC2040-0895</v>
          </cell>
          <cell r="C5528" t="str">
            <v>Invoice</v>
          </cell>
          <cell r="D5528">
            <v>38601</v>
          </cell>
          <cell r="F5528" t="str">
            <v>7815</v>
          </cell>
          <cell r="G5528" t="str">
            <v>ScentAir Australia Pty Ltd.</v>
          </cell>
          <cell r="H5528">
            <v>4</v>
          </cell>
        </row>
        <row r="5529">
          <cell r="B5529" t="str">
            <v>SWC2040-0947</v>
          </cell>
          <cell r="C5529" t="str">
            <v>Invoice</v>
          </cell>
          <cell r="D5529">
            <v>38561</v>
          </cell>
          <cell r="F5529" t="str">
            <v>7167</v>
          </cell>
          <cell r="G5529" t="str">
            <v>Anteon</v>
          </cell>
          <cell r="H5529">
            <v>4</v>
          </cell>
        </row>
        <row r="5530">
          <cell r="B5530" t="str">
            <v>SWC2040-1095</v>
          </cell>
          <cell r="C5530" t="str">
            <v>Invoice</v>
          </cell>
          <cell r="D5530">
            <v>38561</v>
          </cell>
          <cell r="F5530" t="str">
            <v>7167</v>
          </cell>
          <cell r="G5530" t="str">
            <v>Anteon</v>
          </cell>
          <cell r="H5530">
            <v>4</v>
          </cell>
        </row>
        <row r="5531">
          <cell r="B5531" t="str">
            <v>SWC2040-1287</v>
          </cell>
          <cell r="C5531" t="str">
            <v>Invoice</v>
          </cell>
          <cell r="D5531">
            <v>38561</v>
          </cell>
          <cell r="F5531" t="str">
            <v>7167</v>
          </cell>
          <cell r="G5531" t="str">
            <v>Anteon</v>
          </cell>
          <cell r="H5531">
            <v>4</v>
          </cell>
        </row>
        <row r="5532">
          <cell r="B5532" t="str">
            <v>SWC2060-1016</v>
          </cell>
          <cell r="C5532" t="str">
            <v>Invoice</v>
          </cell>
          <cell r="D5532">
            <v>38471</v>
          </cell>
          <cell r="F5532" t="str">
            <v>6020</v>
          </cell>
          <cell r="G5532" t="str">
            <v>ScentAir Australia Pty Ltd.</v>
          </cell>
          <cell r="H5532">
            <v>4</v>
          </cell>
        </row>
        <row r="5533">
          <cell r="B5533" t="str">
            <v>SWC-297</v>
          </cell>
          <cell r="C5533" t="str">
            <v>Invoice</v>
          </cell>
          <cell r="D5533">
            <v>38385</v>
          </cell>
          <cell r="F5533" t="str">
            <v>5290</v>
          </cell>
          <cell r="G5533" t="str">
            <v>GMR Marketing</v>
          </cell>
          <cell r="H5533">
            <v>4</v>
          </cell>
        </row>
        <row r="5534">
          <cell r="B5534" t="str">
            <v>SWC-783</v>
          </cell>
          <cell r="C5534" t="str">
            <v>Invoice</v>
          </cell>
          <cell r="D5534">
            <v>38355</v>
          </cell>
          <cell r="F5534" t="str">
            <v>5179</v>
          </cell>
          <cell r="G5534" t="str">
            <v>Guckenheimer - Wexner Commons</v>
          </cell>
          <cell r="H5534">
            <v>4</v>
          </cell>
        </row>
        <row r="5535">
          <cell r="B5535" t="str">
            <v>SWC-833</v>
          </cell>
          <cell r="C5535" t="str">
            <v>Invoice</v>
          </cell>
          <cell r="D5535">
            <v>38385</v>
          </cell>
          <cell r="F5535" t="str">
            <v>5131</v>
          </cell>
          <cell r="G5535" t="str">
            <v>Universal Studios Orlando</v>
          </cell>
          <cell r="H5535">
            <v>4</v>
          </cell>
        </row>
        <row r="5536">
          <cell r="B5536" t="str">
            <v>SWD1000B</v>
          </cell>
          <cell r="C5536" t="str">
            <v>Invoice</v>
          </cell>
          <cell r="D5536">
            <v>38427</v>
          </cell>
          <cell r="F5536" t="str">
            <v>5450</v>
          </cell>
          <cell r="G5536" t="str">
            <v>Hard Rock Hotel</v>
          </cell>
          <cell r="H5536">
            <v>4</v>
          </cell>
        </row>
        <row r="5537">
          <cell r="B5537" t="str">
            <v>SWD1000B</v>
          </cell>
          <cell r="C5537" t="str">
            <v>Invoice</v>
          </cell>
          <cell r="D5537">
            <v>38442</v>
          </cell>
          <cell r="F5537" t="str">
            <v>5553</v>
          </cell>
          <cell r="G5537" t="str">
            <v>Belmay Yonkers</v>
          </cell>
          <cell r="H5537">
            <v>4</v>
          </cell>
        </row>
        <row r="5538">
          <cell r="B5538" t="str">
            <v>SWD1000B</v>
          </cell>
          <cell r="C5538" t="str">
            <v>Invoice</v>
          </cell>
          <cell r="D5538">
            <v>38512</v>
          </cell>
          <cell r="F5538" t="str">
            <v>6274</v>
          </cell>
          <cell r="G5538" t="str">
            <v>Ogilvy &amp; Mather</v>
          </cell>
          <cell r="H5538">
            <v>4</v>
          </cell>
        </row>
        <row r="5539">
          <cell r="B5539" t="str">
            <v>SWD1000B</v>
          </cell>
          <cell r="C5539" t="str">
            <v>Invoice</v>
          </cell>
          <cell r="D5539">
            <v>38560</v>
          </cell>
          <cell r="F5539" t="str">
            <v>7217</v>
          </cell>
          <cell r="G5539" t="str">
            <v>Muzak, IA:Business Music &amp; Communications, LLC</v>
          </cell>
          <cell r="H5539">
            <v>4</v>
          </cell>
        </row>
        <row r="5540">
          <cell r="B5540" t="str">
            <v>SWD1000B</v>
          </cell>
          <cell r="C5540" t="str">
            <v>Invoice</v>
          </cell>
          <cell r="D5540">
            <v>38566</v>
          </cell>
          <cell r="F5540" t="str">
            <v>7265</v>
          </cell>
          <cell r="G5540" t="str">
            <v>Muzak, LLC:Muzak (Demo)</v>
          </cell>
          <cell r="H5540">
            <v>4</v>
          </cell>
        </row>
        <row r="5541">
          <cell r="B5541" t="str">
            <v>SWD1000B</v>
          </cell>
          <cell r="C5541" t="str">
            <v>Invoice</v>
          </cell>
          <cell r="D5541">
            <v>38572</v>
          </cell>
          <cell r="F5541" t="str">
            <v>7334</v>
          </cell>
          <cell r="G5541" t="str">
            <v>Macy's</v>
          </cell>
          <cell r="H5541">
            <v>4</v>
          </cell>
        </row>
        <row r="5542">
          <cell r="B5542" t="str">
            <v>SWD1000W</v>
          </cell>
          <cell r="C5542" t="str">
            <v>Invoice</v>
          </cell>
          <cell r="D5542">
            <v>38572</v>
          </cell>
          <cell r="F5542" t="str">
            <v>7299</v>
          </cell>
          <cell r="G5542" t="str">
            <v>Wickes Furniture - Murrieta</v>
          </cell>
          <cell r="H5542">
            <v>4</v>
          </cell>
        </row>
        <row r="5543">
          <cell r="B5543" t="str">
            <v>SWD1000W</v>
          </cell>
          <cell r="C5543" t="str">
            <v>Invoice</v>
          </cell>
          <cell r="D5543">
            <v>38574</v>
          </cell>
          <cell r="F5543" t="str">
            <v>7391</v>
          </cell>
          <cell r="G5543" t="str">
            <v>Muzak, LLC:Muzak (Demo)</v>
          </cell>
          <cell r="H5543">
            <v>4</v>
          </cell>
        </row>
        <row r="5544">
          <cell r="B5544" t="str">
            <v>SWD1000W</v>
          </cell>
          <cell r="C5544" t="str">
            <v>Invoice</v>
          </cell>
          <cell r="D5544">
            <v>38586</v>
          </cell>
          <cell r="F5544" t="str">
            <v>7638</v>
          </cell>
          <cell r="G5544" t="str">
            <v>Muzak, LLC</v>
          </cell>
          <cell r="H5544">
            <v>4</v>
          </cell>
        </row>
        <row r="5545">
          <cell r="B5545" t="str">
            <v>TIMER</v>
          </cell>
          <cell r="C5545" t="str">
            <v>Invoice</v>
          </cell>
          <cell r="D5545">
            <v>38586</v>
          </cell>
          <cell r="F5545" t="str">
            <v>7638</v>
          </cell>
          <cell r="G5545" t="str">
            <v>Muzak, LLC</v>
          </cell>
          <cell r="H5545">
            <v>4</v>
          </cell>
        </row>
        <row r="5546">
          <cell r="B5546" t="str">
            <v>TIMER</v>
          </cell>
          <cell r="C5546" t="str">
            <v>Invoice</v>
          </cell>
          <cell r="D5546">
            <v>38593</v>
          </cell>
          <cell r="F5546" t="str">
            <v>7699</v>
          </cell>
          <cell r="G5546" t="str">
            <v>Muzak, LLC:Food Lion #0564 (Bloom Stores)</v>
          </cell>
          <cell r="H5546">
            <v>4</v>
          </cell>
        </row>
        <row r="5547">
          <cell r="B5547" t="str">
            <v>TIMER</v>
          </cell>
          <cell r="C5547" t="str">
            <v>Invoice</v>
          </cell>
          <cell r="D5547">
            <v>38593</v>
          </cell>
          <cell r="F5547" t="str">
            <v>7698</v>
          </cell>
          <cell r="G5547" t="str">
            <v>Muzak, LLC:Food Lion #0531 (Bloom Stores)</v>
          </cell>
          <cell r="H5547">
            <v>4</v>
          </cell>
        </row>
        <row r="5548">
          <cell r="B5548" t="str">
            <v>TIMER</v>
          </cell>
          <cell r="C5548" t="str">
            <v>Invoice</v>
          </cell>
          <cell r="D5548">
            <v>38593</v>
          </cell>
          <cell r="F5548" t="str">
            <v>7701</v>
          </cell>
          <cell r="G5548" t="str">
            <v>Muzak, LLC:Food Lion #1438 (Bloom Stores)</v>
          </cell>
          <cell r="H5548">
            <v>4</v>
          </cell>
        </row>
        <row r="5549">
          <cell r="B5549" t="str">
            <v>TIMER</v>
          </cell>
          <cell r="C5549" t="str">
            <v>Invoice</v>
          </cell>
          <cell r="D5549">
            <v>38593</v>
          </cell>
          <cell r="F5549" t="str">
            <v>7702</v>
          </cell>
          <cell r="G5549" t="str">
            <v>Muzak, LLC:Food Lion #2565 (Bloom Stores)</v>
          </cell>
          <cell r="H5549">
            <v>4</v>
          </cell>
        </row>
        <row r="5550">
          <cell r="B5550" t="str">
            <v>TIMER</v>
          </cell>
          <cell r="C5550" t="str">
            <v>Invoice</v>
          </cell>
          <cell r="D5550">
            <v>38593</v>
          </cell>
          <cell r="F5550" t="str">
            <v>7700</v>
          </cell>
          <cell r="G5550" t="str">
            <v>Muzak, LLC:Food Lion #1351 (Bloom Stores)</v>
          </cell>
          <cell r="H5550">
            <v>4</v>
          </cell>
        </row>
        <row r="5551">
          <cell r="B5551" t="str">
            <v>TIMER</v>
          </cell>
          <cell r="C5551" t="str">
            <v>Invoice</v>
          </cell>
          <cell r="D5551">
            <v>38603</v>
          </cell>
          <cell r="F5551" t="str">
            <v>7862</v>
          </cell>
          <cell r="G5551" t="str">
            <v>Muzak, IA:Carolina Sound Communications:Hilton Oceanfront Resort</v>
          </cell>
          <cell r="H5551">
            <v>4</v>
          </cell>
        </row>
        <row r="5552">
          <cell r="B5552" t="str">
            <v>Timer&amp;Pegs</v>
          </cell>
          <cell r="C5552" t="str">
            <v>Invoice</v>
          </cell>
          <cell r="D5552">
            <v>38427</v>
          </cell>
          <cell r="F5552" t="str">
            <v>5450</v>
          </cell>
          <cell r="G5552" t="str">
            <v>Hard Rock Hotel</v>
          </cell>
          <cell r="H5552">
            <v>4</v>
          </cell>
        </row>
        <row r="5553">
          <cell r="B5553" t="str">
            <v>Timer&amp;Pegs</v>
          </cell>
          <cell r="C5553" t="str">
            <v>Invoice</v>
          </cell>
          <cell r="D5553">
            <v>38572</v>
          </cell>
          <cell r="F5553" t="str">
            <v>7334</v>
          </cell>
          <cell r="G5553" t="str">
            <v>Macy's</v>
          </cell>
          <cell r="H5553">
            <v>4</v>
          </cell>
        </row>
        <row r="5554">
          <cell r="B5554" t="str">
            <v>0153</v>
          </cell>
          <cell r="C5554" t="str">
            <v>Invoice</v>
          </cell>
          <cell r="D5554">
            <v>38442</v>
          </cell>
          <cell r="F5554" t="str">
            <v>5445</v>
          </cell>
          <cell r="G5554" t="str">
            <v>Grupobiz-Integradora De Espartaculos</v>
          </cell>
          <cell r="H5554">
            <v>5</v>
          </cell>
        </row>
        <row r="5555">
          <cell r="B5555" t="str">
            <v>0160</v>
          </cell>
          <cell r="C5555" t="str">
            <v>Invoice</v>
          </cell>
          <cell r="D5555">
            <v>38442</v>
          </cell>
          <cell r="F5555" t="str">
            <v>5445</v>
          </cell>
          <cell r="G5555" t="str">
            <v>Grupobiz-Integradora De Espartaculos</v>
          </cell>
          <cell r="H5555">
            <v>5</v>
          </cell>
        </row>
        <row r="5556">
          <cell r="B5556" t="str">
            <v>0174</v>
          </cell>
          <cell r="C5556" t="str">
            <v>Invoice</v>
          </cell>
          <cell r="D5556">
            <v>38442</v>
          </cell>
          <cell r="F5556" t="str">
            <v>5445</v>
          </cell>
          <cell r="G5556" t="str">
            <v>Grupobiz-Integradora De Espartaculos</v>
          </cell>
          <cell r="H5556">
            <v>5</v>
          </cell>
        </row>
        <row r="5557">
          <cell r="B5557" t="str">
            <v>0190</v>
          </cell>
          <cell r="C5557" t="str">
            <v>Invoice</v>
          </cell>
          <cell r="D5557">
            <v>38442</v>
          </cell>
          <cell r="F5557" t="str">
            <v>5445</v>
          </cell>
          <cell r="G5557" t="str">
            <v>Grupobiz-Integradora De Espartaculos</v>
          </cell>
          <cell r="H5557">
            <v>5</v>
          </cell>
        </row>
        <row r="5558">
          <cell r="B5558" t="str">
            <v>0234</v>
          </cell>
          <cell r="C5558" t="str">
            <v>Invoice</v>
          </cell>
          <cell r="D5558">
            <v>38442</v>
          </cell>
          <cell r="F5558" t="str">
            <v>5445</v>
          </cell>
          <cell r="G5558" t="str">
            <v>Grupobiz-Integradora De Espartaculos</v>
          </cell>
          <cell r="H5558">
            <v>5</v>
          </cell>
        </row>
        <row r="5559">
          <cell r="B5559" t="str">
            <v>0262</v>
          </cell>
          <cell r="C5559" t="str">
            <v>Invoice</v>
          </cell>
          <cell r="D5559">
            <v>38442</v>
          </cell>
          <cell r="F5559" t="str">
            <v>5445</v>
          </cell>
          <cell r="G5559" t="str">
            <v>Grupobiz-Integradora De Espartaculos</v>
          </cell>
          <cell r="H5559">
            <v>5</v>
          </cell>
        </row>
        <row r="5560">
          <cell r="B5560" t="str">
            <v>0297</v>
          </cell>
          <cell r="C5560" t="str">
            <v>Invoice</v>
          </cell>
          <cell r="D5560">
            <v>38442</v>
          </cell>
          <cell r="F5560" t="str">
            <v>5445</v>
          </cell>
          <cell r="G5560" t="str">
            <v>Grupobiz-Integradora De Espartaculos</v>
          </cell>
          <cell r="H5560">
            <v>5</v>
          </cell>
        </row>
        <row r="5561">
          <cell r="B5561" t="str">
            <v>0375</v>
          </cell>
          <cell r="C5561" t="str">
            <v>Invoice</v>
          </cell>
          <cell r="D5561">
            <v>38442</v>
          </cell>
          <cell r="F5561" t="str">
            <v>5445</v>
          </cell>
          <cell r="G5561" t="str">
            <v>Grupobiz-Integradora De Espartaculos</v>
          </cell>
          <cell r="H5561">
            <v>5</v>
          </cell>
        </row>
        <row r="5562">
          <cell r="B5562" t="str">
            <v>0692</v>
          </cell>
          <cell r="C5562" t="str">
            <v>Invoice</v>
          </cell>
          <cell r="D5562">
            <v>38442</v>
          </cell>
          <cell r="F5562" t="str">
            <v>5445</v>
          </cell>
          <cell r="G5562" t="str">
            <v>Grupobiz-Integradora De Espartaculos</v>
          </cell>
          <cell r="H5562">
            <v>5</v>
          </cell>
        </row>
        <row r="5563">
          <cell r="B5563" t="str">
            <v>0729</v>
          </cell>
          <cell r="C5563" t="str">
            <v>Invoice</v>
          </cell>
          <cell r="D5563">
            <v>38442</v>
          </cell>
          <cell r="F5563" t="str">
            <v>5445</v>
          </cell>
          <cell r="G5563" t="str">
            <v>Grupobiz-Integradora De Espartaculos</v>
          </cell>
          <cell r="H5563">
            <v>5</v>
          </cell>
        </row>
        <row r="5564">
          <cell r="B5564" t="str">
            <v>0780</v>
          </cell>
          <cell r="C5564" t="str">
            <v>Invoice</v>
          </cell>
          <cell r="D5564">
            <v>38442</v>
          </cell>
          <cell r="F5564" t="str">
            <v>5445</v>
          </cell>
          <cell r="G5564" t="str">
            <v>Grupobiz-Integradora De Espartaculos</v>
          </cell>
          <cell r="H5564">
            <v>5</v>
          </cell>
        </row>
        <row r="5565">
          <cell r="B5565" t="str">
            <v>0782</v>
          </cell>
          <cell r="C5565" t="str">
            <v>Invoice</v>
          </cell>
          <cell r="D5565">
            <v>38442</v>
          </cell>
          <cell r="F5565" t="str">
            <v>5445</v>
          </cell>
          <cell r="G5565" t="str">
            <v>Grupobiz-Integradora De Espartaculos</v>
          </cell>
          <cell r="H5565">
            <v>5</v>
          </cell>
        </row>
        <row r="5566">
          <cell r="B5566" t="str">
            <v>0794</v>
          </cell>
          <cell r="C5566" t="str">
            <v>Invoice</v>
          </cell>
          <cell r="D5566">
            <v>38442</v>
          </cell>
          <cell r="F5566" t="str">
            <v>5445</v>
          </cell>
          <cell r="G5566" t="str">
            <v>Grupobiz-Integradora De Espartaculos</v>
          </cell>
          <cell r="H5566">
            <v>5</v>
          </cell>
        </row>
        <row r="5567">
          <cell r="B5567" t="str">
            <v>0824</v>
          </cell>
          <cell r="C5567" t="str">
            <v>Invoice</v>
          </cell>
          <cell r="D5567">
            <v>38442</v>
          </cell>
          <cell r="F5567" t="str">
            <v>5445</v>
          </cell>
          <cell r="G5567" t="str">
            <v>Grupobiz-Integradora De Espartaculos</v>
          </cell>
          <cell r="H5567">
            <v>5</v>
          </cell>
        </row>
        <row r="5568">
          <cell r="B5568" t="str">
            <v>0825</v>
          </cell>
          <cell r="C5568" t="str">
            <v>Invoice</v>
          </cell>
          <cell r="D5568">
            <v>38442</v>
          </cell>
          <cell r="F5568" t="str">
            <v>5445</v>
          </cell>
          <cell r="G5568" t="str">
            <v>Grupobiz-Integradora De Espartaculos</v>
          </cell>
          <cell r="H5568">
            <v>5</v>
          </cell>
        </row>
        <row r="5569">
          <cell r="B5569" t="str">
            <v>0828</v>
          </cell>
          <cell r="C5569" t="str">
            <v>Invoice</v>
          </cell>
          <cell r="D5569">
            <v>38442</v>
          </cell>
          <cell r="F5569" t="str">
            <v>5445</v>
          </cell>
          <cell r="G5569" t="str">
            <v>Grupobiz-Integradora De Espartaculos</v>
          </cell>
          <cell r="H5569">
            <v>5</v>
          </cell>
        </row>
        <row r="5570">
          <cell r="B5570" t="str">
            <v>0831</v>
          </cell>
          <cell r="C5570" t="str">
            <v>Invoice</v>
          </cell>
          <cell r="D5570">
            <v>38562</v>
          </cell>
          <cell r="F5570" t="str">
            <v>7208</v>
          </cell>
          <cell r="G5570" t="str">
            <v>AroMarketing:AroMarketing - Texas</v>
          </cell>
          <cell r="H5570">
            <v>5</v>
          </cell>
        </row>
        <row r="5571">
          <cell r="B5571" t="str">
            <v>0834</v>
          </cell>
          <cell r="C5571" t="str">
            <v>Invoice</v>
          </cell>
          <cell r="D5571">
            <v>38442</v>
          </cell>
          <cell r="F5571" t="str">
            <v>5445</v>
          </cell>
          <cell r="G5571" t="str">
            <v>Grupobiz-Integradora De Espartaculos</v>
          </cell>
          <cell r="H5571">
            <v>5</v>
          </cell>
        </row>
        <row r="5572">
          <cell r="B5572" t="str">
            <v>0837</v>
          </cell>
          <cell r="C5572" t="str">
            <v>Invoice</v>
          </cell>
          <cell r="D5572">
            <v>38442</v>
          </cell>
          <cell r="F5572" t="str">
            <v>5445</v>
          </cell>
          <cell r="G5572" t="str">
            <v>Grupobiz-Integradora De Espartaculos</v>
          </cell>
          <cell r="H5572">
            <v>5</v>
          </cell>
        </row>
        <row r="5573">
          <cell r="B5573" t="str">
            <v>0838</v>
          </cell>
          <cell r="C5573" t="str">
            <v>Invoice</v>
          </cell>
          <cell r="D5573">
            <v>38442</v>
          </cell>
          <cell r="F5573" t="str">
            <v>5445</v>
          </cell>
          <cell r="G5573" t="str">
            <v>Grupobiz-Integradora De Espartaculos</v>
          </cell>
          <cell r="H5573">
            <v>5</v>
          </cell>
        </row>
        <row r="5574">
          <cell r="B5574" t="str">
            <v>0839</v>
          </cell>
          <cell r="C5574" t="str">
            <v>Invoice</v>
          </cell>
          <cell r="D5574">
            <v>38442</v>
          </cell>
          <cell r="F5574" t="str">
            <v>5445</v>
          </cell>
          <cell r="G5574" t="str">
            <v>Grupobiz-Integradora De Espartaculos</v>
          </cell>
          <cell r="H5574">
            <v>5</v>
          </cell>
        </row>
        <row r="5575">
          <cell r="B5575" t="str">
            <v>0847</v>
          </cell>
          <cell r="C5575" t="str">
            <v>Invoice</v>
          </cell>
          <cell r="D5575">
            <v>38442</v>
          </cell>
          <cell r="F5575" t="str">
            <v>5445</v>
          </cell>
          <cell r="G5575" t="str">
            <v>Grupobiz-Integradora De Espartaculos</v>
          </cell>
          <cell r="H5575">
            <v>5</v>
          </cell>
        </row>
        <row r="5576">
          <cell r="B5576" t="str">
            <v>0848</v>
          </cell>
          <cell r="C5576" t="str">
            <v>Invoice</v>
          </cell>
          <cell r="D5576">
            <v>38442</v>
          </cell>
          <cell r="F5576" t="str">
            <v>5445</v>
          </cell>
          <cell r="G5576" t="str">
            <v>Grupobiz-Integradora De Espartaculos</v>
          </cell>
          <cell r="H5576">
            <v>5</v>
          </cell>
        </row>
        <row r="5577">
          <cell r="B5577" t="str">
            <v>0849</v>
          </cell>
          <cell r="C5577" t="str">
            <v>Invoice</v>
          </cell>
          <cell r="D5577">
            <v>38442</v>
          </cell>
          <cell r="F5577" t="str">
            <v>5445</v>
          </cell>
          <cell r="G5577" t="str">
            <v>Grupobiz-Integradora De Espartaculos</v>
          </cell>
          <cell r="H5577">
            <v>5</v>
          </cell>
        </row>
        <row r="5578">
          <cell r="B5578" t="str">
            <v>0851</v>
          </cell>
          <cell r="C5578" t="str">
            <v>Invoice</v>
          </cell>
          <cell r="D5578">
            <v>38442</v>
          </cell>
          <cell r="F5578" t="str">
            <v>5445</v>
          </cell>
          <cell r="G5578" t="str">
            <v>Grupobiz-Integradora De Espartaculos</v>
          </cell>
          <cell r="H5578">
            <v>5</v>
          </cell>
        </row>
        <row r="5579">
          <cell r="B5579" t="str">
            <v>0854</v>
          </cell>
          <cell r="C5579" t="str">
            <v>Invoice</v>
          </cell>
          <cell r="D5579">
            <v>38442</v>
          </cell>
          <cell r="F5579" t="str">
            <v>5445</v>
          </cell>
          <cell r="G5579" t="str">
            <v>Grupobiz-Integradora De Espartaculos</v>
          </cell>
          <cell r="H5579">
            <v>5</v>
          </cell>
        </row>
        <row r="5580">
          <cell r="B5580" t="str">
            <v>0861</v>
          </cell>
          <cell r="C5580" t="str">
            <v>Invoice</v>
          </cell>
          <cell r="D5580">
            <v>38442</v>
          </cell>
          <cell r="F5580" t="str">
            <v>5445</v>
          </cell>
          <cell r="G5580" t="str">
            <v>Grupobiz-Integradora De Espartaculos</v>
          </cell>
          <cell r="H5580">
            <v>5</v>
          </cell>
        </row>
        <row r="5581">
          <cell r="B5581" t="str">
            <v>0871</v>
          </cell>
          <cell r="C5581" t="str">
            <v>Invoice</v>
          </cell>
          <cell r="D5581">
            <v>38442</v>
          </cell>
          <cell r="F5581" t="str">
            <v>5445</v>
          </cell>
          <cell r="G5581" t="str">
            <v>Grupobiz-Integradora De Espartaculos</v>
          </cell>
          <cell r="H5581">
            <v>5</v>
          </cell>
        </row>
        <row r="5582">
          <cell r="B5582" t="str">
            <v>0873</v>
          </cell>
          <cell r="C5582" t="str">
            <v>Invoice</v>
          </cell>
          <cell r="D5582">
            <v>38442</v>
          </cell>
          <cell r="F5582" t="str">
            <v>5445</v>
          </cell>
          <cell r="G5582" t="str">
            <v>Grupobiz-Integradora De Espartaculos</v>
          </cell>
          <cell r="H5582">
            <v>5</v>
          </cell>
        </row>
        <row r="5583">
          <cell r="B5583" t="str">
            <v>0874</v>
          </cell>
          <cell r="C5583" t="str">
            <v>Invoice</v>
          </cell>
          <cell r="D5583">
            <v>38442</v>
          </cell>
          <cell r="F5583" t="str">
            <v>5445</v>
          </cell>
          <cell r="G5583" t="str">
            <v>Grupobiz-Integradora De Espartaculos</v>
          </cell>
          <cell r="H5583">
            <v>5</v>
          </cell>
        </row>
        <row r="5584">
          <cell r="B5584" t="str">
            <v>0879</v>
          </cell>
          <cell r="C5584" t="str">
            <v>Invoice</v>
          </cell>
          <cell r="D5584">
            <v>38442</v>
          </cell>
          <cell r="F5584" t="str">
            <v>5445</v>
          </cell>
          <cell r="G5584" t="str">
            <v>Grupobiz-Integradora De Espartaculos</v>
          </cell>
          <cell r="H5584">
            <v>5</v>
          </cell>
        </row>
        <row r="5585">
          <cell r="B5585" t="str">
            <v>0892</v>
          </cell>
          <cell r="C5585" t="str">
            <v>Invoice</v>
          </cell>
          <cell r="D5585">
            <v>38442</v>
          </cell>
          <cell r="F5585" t="str">
            <v>5445</v>
          </cell>
          <cell r="G5585" t="str">
            <v>Grupobiz-Integradora De Espartaculos</v>
          </cell>
          <cell r="H5585">
            <v>5</v>
          </cell>
        </row>
        <row r="5586">
          <cell r="B5586" t="str">
            <v>0894</v>
          </cell>
          <cell r="C5586" t="str">
            <v>Invoice</v>
          </cell>
          <cell r="D5586">
            <v>38442</v>
          </cell>
          <cell r="F5586" t="str">
            <v>5445</v>
          </cell>
          <cell r="G5586" t="str">
            <v>Grupobiz-Integradora De Espartaculos</v>
          </cell>
          <cell r="H5586">
            <v>5</v>
          </cell>
        </row>
        <row r="5587">
          <cell r="B5587" t="str">
            <v>0897</v>
          </cell>
          <cell r="C5587" t="str">
            <v>Invoice</v>
          </cell>
          <cell r="D5587">
            <v>38442</v>
          </cell>
          <cell r="F5587" t="str">
            <v>5445</v>
          </cell>
          <cell r="G5587" t="str">
            <v>Grupobiz-Integradora De Espartaculos</v>
          </cell>
          <cell r="H5587">
            <v>5</v>
          </cell>
        </row>
        <row r="5588">
          <cell r="B5588" t="str">
            <v>0912</v>
          </cell>
          <cell r="C5588" t="str">
            <v>Invoice</v>
          </cell>
          <cell r="D5588">
            <v>38442</v>
          </cell>
          <cell r="F5588" t="str">
            <v>5445</v>
          </cell>
          <cell r="G5588" t="str">
            <v>Grupobiz-Integradora De Espartaculos</v>
          </cell>
          <cell r="H5588">
            <v>5</v>
          </cell>
        </row>
        <row r="5589">
          <cell r="B5589" t="str">
            <v>0919</v>
          </cell>
          <cell r="C5589" t="str">
            <v>Invoice</v>
          </cell>
          <cell r="D5589">
            <v>38442</v>
          </cell>
          <cell r="F5589" t="str">
            <v>5445</v>
          </cell>
          <cell r="G5589" t="str">
            <v>Grupobiz-Integradora De Espartaculos</v>
          </cell>
          <cell r="H5589">
            <v>5</v>
          </cell>
        </row>
        <row r="5590">
          <cell r="B5590" t="str">
            <v>0947</v>
          </cell>
          <cell r="C5590" t="str">
            <v>Invoice</v>
          </cell>
          <cell r="D5590">
            <v>38442</v>
          </cell>
          <cell r="F5590" t="str">
            <v>5445</v>
          </cell>
          <cell r="G5590" t="str">
            <v>Grupobiz-Integradora De Espartaculos</v>
          </cell>
          <cell r="H5590">
            <v>5</v>
          </cell>
        </row>
        <row r="5591">
          <cell r="B5591" t="str">
            <v>0961</v>
          </cell>
          <cell r="C5591" t="str">
            <v>Invoice</v>
          </cell>
          <cell r="D5591">
            <v>38442</v>
          </cell>
          <cell r="F5591" t="str">
            <v>5445</v>
          </cell>
          <cell r="G5591" t="str">
            <v>Grupobiz-Integradora De Espartaculos</v>
          </cell>
          <cell r="H5591">
            <v>5</v>
          </cell>
        </row>
        <row r="5592">
          <cell r="B5592" t="str">
            <v>0962</v>
          </cell>
          <cell r="C5592" t="str">
            <v>Invoice</v>
          </cell>
          <cell r="D5592">
            <v>38442</v>
          </cell>
          <cell r="F5592" t="str">
            <v>5445</v>
          </cell>
          <cell r="G5592" t="str">
            <v>Grupobiz-Integradora De Espartaculos</v>
          </cell>
          <cell r="H5592">
            <v>5</v>
          </cell>
        </row>
        <row r="5593">
          <cell r="B5593" t="str">
            <v>0976</v>
          </cell>
          <cell r="C5593" t="str">
            <v>Invoice</v>
          </cell>
          <cell r="D5593">
            <v>38562</v>
          </cell>
          <cell r="F5593" t="str">
            <v>7208</v>
          </cell>
          <cell r="G5593" t="str">
            <v>AroMarketing:AroMarketing - Texas</v>
          </cell>
          <cell r="H5593">
            <v>5</v>
          </cell>
        </row>
        <row r="5594">
          <cell r="B5594" t="str">
            <v>0990</v>
          </cell>
          <cell r="C5594" t="str">
            <v>Invoice</v>
          </cell>
          <cell r="D5594">
            <v>38442</v>
          </cell>
          <cell r="F5594" t="str">
            <v>5445</v>
          </cell>
          <cell r="G5594" t="str">
            <v>Grupobiz-Integradora De Espartaculos</v>
          </cell>
          <cell r="H5594">
            <v>5</v>
          </cell>
        </row>
        <row r="5595">
          <cell r="B5595" t="str">
            <v>0996</v>
          </cell>
          <cell r="C5595" t="str">
            <v>Invoice</v>
          </cell>
          <cell r="D5595">
            <v>38442</v>
          </cell>
          <cell r="F5595" t="str">
            <v>5445</v>
          </cell>
          <cell r="G5595" t="str">
            <v>Grupobiz-Integradora De Espartaculos</v>
          </cell>
          <cell r="H5595">
            <v>5</v>
          </cell>
        </row>
        <row r="5596">
          <cell r="B5596" t="str">
            <v>1031</v>
          </cell>
          <cell r="C5596" t="str">
            <v>Invoice</v>
          </cell>
          <cell r="D5596">
            <v>38442</v>
          </cell>
          <cell r="F5596" t="str">
            <v>5445</v>
          </cell>
          <cell r="G5596" t="str">
            <v>Grupobiz-Integradora De Espartaculos</v>
          </cell>
          <cell r="H5596">
            <v>5</v>
          </cell>
        </row>
        <row r="5597">
          <cell r="B5597" t="str">
            <v>1047</v>
          </cell>
          <cell r="C5597" t="str">
            <v>Invoice</v>
          </cell>
          <cell r="D5597">
            <v>38442</v>
          </cell>
          <cell r="F5597" t="str">
            <v>5445</v>
          </cell>
          <cell r="G5597" t="str">
            <v>Grupobiz-Integradora De Espartaculos</v>
          </cell>
          <cell r="H5597">
            <v>5</v>
          </cell>
        </row>
        <row r="5598">
          <cell r="B5598" t="str">
            <v>1050</v>
          </cell>
          <cell r="C5598" t="str">
            <v>Invoice</v>
          </cell>
          <cell r="D5598">
            <v>38442</v>
          </cell>
          <cell r="F5598" t="str">
            <v>5445</v>
          </cell>
          <cell r="G5598" t="str">
            <v>Grupobiz-Integradora De Espartaculos</v>
          </cell>
          <cell r="H5598">
            <v>5</v>
          </cell>
        </row>
        <row r="5599">
          <cell r="B5599" t="str">
            <v>1090</v>
          </cell>
          <cell r="C5599" t="str">
            <v>Invoice</v>
          </cell>
          <cell r="D5599">
            <v>38442</v>
          </cell>
          <cell r="F5599" t="str">
            <v>5445</v>
          </cell>
          <cell r="G5599" t="str">
            <v>Grupobiz-Integradora De Espartaculos</v>
          </cell>
          <cell r="H5599">
            <v>5</v>
          </cell>
        </row>
        <row r="5600">
          <cell r="B5600" t="str">
            <v>1098</v>
          </cell>
          <cell r="C5600" t="str">
            <v>Invoice</v>
          </cell>
          <cell r="D5600">
            <v>38562</v>
          </cell>
          <cell r="F5600" t="str">
            <v>7208</v>
          </cell>
          <cell r="G5600" t="str">
            <v>AroMarketing:AroMarketing - Texas</v>
          </cell>
          <cell r="H5600">
            <v>5</v>
          </cell>
        </row>
        <row r="5601">
          <cell r="B5601" t="str">
            <v>1099</v>
          </cell>
          <cell r="C5601" t="str">
            <v>Invoice</v>
          </cell>
          <cell r="D5601">
            <v>38442</v>
          </cell>
          <cell r="F5601" t="str">
            <v>5445</v>
          </cell>
          <cell r="G5601" t="str">
            <v>Grupobiz-Integradora De Espartaculos</v>
          </cell>
          <cell r="H5601">
            <v>5</v>
          </cell>
        </row>
        <row r="5602">
          <cell r="B5602" t="str">
            <v>1136</v>
          </cell>
          <cell r="C5602" t="str">
            <v>Invoice</v>
          </cell>
          <cell r="D5602">
            <v>38562</v>
          </cell>
          <cell r="F5602" t="str">
            <v>7208</v>
          </cell>
          <cell r="G5602" t="str">
            <v>AroMarketing:AroMarketing - Texas</v>
          </cell>
          <cell r="H5602">
            <v>5</v>
          </cell>
        </row>
        <row r="5603">
          <cell r="B5603" t="str">
            <v>1137</v>
          </cell>
          <cell r="C5603" t="str">
            <v>Invoice</v>
          </cell>
          <cell r="D5603">
            <v>38442</v>
          </cell>
          <cell r="F5603" t="str">
            <v>5445</v>
          </cell>
          <cell r="G5603" t="str">
            <v>Grupobiz-Integradora De Espartaculos</v>
          </cell>
          <cell r="H5603">
            <v>5</v>
          </cell>
        </row>
        <row r="5604">
          <cell r="B5604" t="str">
            <v>1150</v>
          </cell>
          <cell r="C5604" t="str">
            <v>Invoice</v>
          </cell>
          <cell r="D5604">
            <v>38562</v>
          </cell>
          <cell r="F5604" t="str">
            <v>7208</v>
          </cell>
          <cell r="G5604" t="str">
            <v>AroMarketing:AroMarketing - Texas</v>
          </cell>
          <cell r="H5604">
            <v>5</v>
          </cell>
        </row>
        <row r="5605">
          <cell r="B5605" t="str">
            <v>1195</v>
          </cell>
          <cell r="C5605" t="str">
            <v>Invoice</v>
          </cell>
          <cell r="D5605">
            <v>38442</v>
          </cell>
          <cell r="F5605" t="str">
            <v>5445</v>
          </cell>
          <cell r="G5605" t="str">
            <v>Grupobiz-Integradora De Espartaculos</v>
          </cell>
          <cell r="H5605">
            <v>5</v>
          </cell>
        </row>
        <row r="5606">
          <cell r="B5606" t="str">
            <v>1229</v>
          </cell>
          <cell r="C5606" t="str">
            <v>Invoice</v>
          </cell>
          <cell r="D5606">
            <v>38562</v>
          </cell>
          <cell r="F5606" t="str">
            <v>7208</v>
          </cell>
          <cell r="G5606" t="str">
            <v>AroMarketing:AroMarketing - Texas</v>
          </cell>
          <cell r="H5606">
            <v>5</v>
          </cell>
        </row>
        <row r="5607">
          <cell r="B5607" t="str">
            <v>1254</v>
          </cell>
          <cell r="C5607" t="str">
            <v>Invoice</v>
          </cell>
          <cell r="D5607">
            <v>38442</v>
          </cell>
          <cell r="F5607" t="str">
            <v>5445</v>
          </cell>
          <cell r="G5607" t="str">
            <v>Grupobiz-Integradora De Espartaculos</v>
          </cell>
          <cell r="H5607">
            <v>5</v>
          </cell>
        </row>
        <row r="5608">
          <cell r="B5608" t="str">
            <v>1263</v>
          </cell>
          <cell r="C5608" t="str">
            <v>Invoice</v>
          </cell>
          <cell r="D5608">
            <v>38442</v>
          </cell>
          <cell r="F5608" t="str">
            <v>5445</v>
          </cell>
          <cell r="G5608" t="str">
            <v>Grupobiz-Integradora De Espartaculos</v>
          </cell>
          <cell r="H5608">
            <v>5</v>
          </cell>
        </row>
        <row r="5609">
          <cell r="B5609" t="str">
            <v>1309</v>
          </cell>
          <cell r="C5609" t="str">
            <v>Invoice</v>
          </cell>
          <cell r="D5609">
            <v>38562</v>
          </cell>
          <cell r="F5609" t="str">
            <v>7208</v>
          </cell>
          <cell r="G5609" t="str">
            <v>AroMarketing:AroMarketing - Texas</v>
          </cell>
          <cell r="H5609">
            <v>5</v>
          </cell>
        </row>
        <row r="5610">
          <cell r="B5610" t="str">
            <v>1320</v>
          </cell>
          <cell r="C5610" t="str">
            <v>Invoice</v>
          </cell>
          <cell r="D5610">
            <v>38442</v>
          </cell>
          <cell r="F5610" t="str">
            <v>5445</v>
          </cell>
          <cell r="G5610" t="str">
            <v>Grupobiz-Integradora De Espartaculos</v>
          </cell>
          <cell r="H5610">
            <v>5</v>
          </cell>
        </row>
        <row r="5611">
          <cell r="B5611" t="str">
            <v>1321</v>
          </cell>
          <cell r="C5611" t="str">
            <v>Invoice</v>
          </cell>
          <cell r="D5611">
            <v>38442</v>
          </cell>
          <cell r="F5611" t="str">
            <v>5445</v>
          </cell>
          <cell r="G5611" t="str">
            <v>Grupobiz-Integradora De Espartaculos</v>
          </cell>
          <cell r="H5611">
            <v>5</v>
          </cell>
        </row>
        <row r="5612">
          <cell r="B5612" t="str">
            <v>1331</v>
          </cell>
          <cell r="C5612" t="str">
            <v>Invoice</v>
          </cell>
          <cell r="D5612">
            <v>38562</v>
          </cell>
          <cell r="F5612" t="str">
            <v>7208</v>
          </cell>
          <cell r="G5612" t="str">
            <v>AroMarketing:AroMarketing - Texas</v>
          </cell>
          <cell r="H5612">
            <v>5</v>
          </cell>
        </row>
        <row r="5613">
          <cell r="B5613" t="str">
            <v>1364</v>
          </cell>
          <cell r="C5613" t="str">
            <v>Invoice</v>
          </cell>
          <cell r="D5613">
            <v>38442</v>
          </cell>
          <cell r="F5613" t="str">
            <v>5445</v>
          </cell>
          <cell r="G5613" t="str">
            <v>Grupobiz-Integradora De Espartaculos</v>
          </cell>
          <cell r="H5613">
            <v>5</v>
          </cell>
        </row>
        <row r="5614">
          <cell r="B5614" t="str">
            <v>DRUM-25</v>
          </cell>
          <cell r="C5614" t="str">
            <v>Invoice</v>
          </cell>
          <cell r="D5614">
            <v>38495</v>
          </cell>
          <cell r="F5614" t="str">
            <v>6133</v>
          </cell>
          <cell r="G5614" t="str">
            <v>ScentAir Australia Pty Ltd.</v>
          </cell>
          <cell r="H5614">
            <v>5</v>
          </cell>
        </row>
        <row r="5615">
          <cell r="B5615" t="str">
            <v>ESS - SCENT SERVICE</v>
          </cell>
          <cell r="C5615" t="str">
            <v>Invoice</v>
          </cell>
          <cell r="D5615">
            <v>38594</v>
          </cell>
          <cell r="F5615" t="str">
            <v>7726</v>
          </cell>
          <cell r="G5615" t="str">
            <v>Muzak, LLC:Schnuck Markets, Inc. #180</v>
          </cell>
          <cell r="H5615">
            <v>5</v>
          </cell>
        </row>
        <row r="5616">
          <cell r="B5616" t="str">
            <v>ESS - SCENT SERVICE</v>
          </cell>
          <cell r="C5616" t="str">
            <v>Invoice</v>
          </cell>
          <cell r="D5616">
            <v>38609</v>
          </cell>
          <cell r="F5616" t="str">
            <v>7930</v>
          </cell>
          <cell r="G5616" t="str">
            <v>Muzak, LLC:Omni Shoreham Hotel</v>
          </cell>
          <cell r="H5616">
            <v>5</v>
          </cell>
        </row>
        <row r="5617">
          <cell r="B5617" t="str">
            <v>ESS - SCENT SERVICE</v>
          </cell>
          <cell r="C5617" t="str">
            <v>Invoice</v>
          </cell>
          <cell r="D5617">
            <v>38611</v>
          </cell>
          <cell r="F5617" t="str">
            <v>7968</v>
          </cell>
          <cell r="G5617" t="str">
            <v>Muzak, LLC:Elliott Hardware - Dallas</v>
          </cell>
          <cell r="H5617">
            <v>5</v>
          </cell>
        </row>
        <row r="5618">
          <cell r="B5618" t="str">
            <v>ESS - SCENT SERVICE</v>
          </cell>
          <cell r="C5618" t="str">
            <v>Invoice</v>
          </cell>
          <cell r="D5618">
            <v>38624</v>
          </cell>
          <cell r="F5618" t="str">
            <v>7727</v>
          </cell>
          <cell r="G5618" t="str">
            <v>Muzak, LLC:Schnuck Markets, Inc. #180</v>
          </cell>
          <cell r="H5618">
            <v>5</v>
          </cell>
        </row>
        <row r="5619">
          <cell r="B5619" t="str">
            <v>Freight - Pd by Customer</v>
          </cell>
          <cell r="C5619" t="str">
            <v>Invoice</v>
          </cell>
          <cell r="D5619">
            <v>38611</v>
          </cell>
          <cell r="F5619" t="str">
            <v>7968</v>
          </cell>
          <cell r="G5619" t="str">
            <v>Muzak, LLC:Elliott Hardware - Dallas</v>
          </cell>
          <cell r="H5619">
            <v>5</v>
          </cell>
        </row>
        <row r="5620">
          <cell r="B5620" t="str">
            <v>MNT1000</v>
          </cell>
          <cell r="C5620" t="str">
            <v>Invoice</v>
          </cell>
          <cell r="D5620">
            <v>38595</v>
          </cell>
          <cell r="F5620" t="str">
            <v>7733</v>
          </cell>
          <cell r="G5620" t="str">
            <v>Muzak, IA:Independence Communications, PA</v>
          </cell>
          <cell r="H5620">
            <v>5</v>
          </cell>
        </row>
        <row r="5621">
          <cell r="B5621" t="str">
            <v>MNT1000</v>
          </cell>
          <cell r="C5621" t="str">
            <v>Invoice</v>
          </cell>
          <cell r="D5621">
            <v>38595</v>
          </cell>
          <cell r="F5621" t="str">
            <v>7731</v>
          </cell>
          <cell r="G5621" t="str">
            <v>Muzak, IA:Independence Communications, PA</v>
          </cell>
          <cell r="H5621">
            <v>5</v>
          </cell>
        </row>
        <row r="5622">
          <cell r="B5622" t="str">
            <v>MNT1000</v>
          </cell>
          <cell r="C5622" t="str">
            <v>Invoice</v>
          </cell>
          <cell r="D5622">
            <v>38607</v>
          </cell>
          <cell r="F5622" t="str">
            <v>7889</v>
          </cell>
          <cell r="G5622" t="str">
            <v>Muzak, IA:Soundcom LLC of Florida - Palm Beach</v>
          </cell>
          <cell r="H5622">
            <v>5</v>
          </cell>
        </row>
        <row r="5623">
          <cell r="B5623" t="str">
            <v>MNT1000</v>
          </cell>
          <cell r="C5623" t="str">
            <v>Invoice</v>
          </cell>
          <cell r="D5623">
            <v>38609</v>
          </cell>
          <cell r="F5623" t="str">
            <v>7930</v>
          </cell>
          <cell r="G5623" t="str">
            <v>Muzak, LLC:Omni Shoreham Hotel</v>
          </cell>
          <cell r="H5623">
            <v>5</v>
          </cell>
        </row>
        <row r="5624">
          <cell r="B5624" t="str">
            <v>MNT1000</v>
          </cell>
          <cell r="C5624" t="str">
            <v>Invoice</v>
          </cell>
          <cell r="D5624">
            <v>38611</v>
          </cell>
          <cell r="F5624" t="str">
            <v>7968</v>
          </cell>
          <cell r="G5624" t="str">
            <v>Muzak, LLC:Elliott Hardware - Dallas</v>
          </cell>
          <cell r="H5624">
            <v>5</v>
          </cell>
        </row>
        <row r="5625">
          <cell r="B5625" t="str">
            <v>PD510</v>
          </cell>
          <cell r="C5625" t="str">
            <v>Invoice</v>
          </cell>
          <cell r="D5625">
            <v>38482</v>
          </cell>
          <cell r="F5625" t="str">
            <v>5725</v>
          </cell>
          <cell r="G5625" t="str">
            <v>Trade Fisture/ New Leaf</v>
          </cell>
          <cell r="H5625">
            <v>5</v>
          </cell>
        </row>
        <row r="5626">
          <cell r="B5626" t="str">
            <v>SAMPLER</v>
          </cell>
          <cell r="C5626" t="str">
            <v>Invoice</v>
          </cell>
          <cell r="D5626">
            <v>38440</v>
          </cell>
          <cell r="F5626" t="str">
            <v>5549</v>
          </cell>
          <cell r="G5626" t="str">
            <v>Showtime Enterprises</v>
          </cell>
          <cell r="H5626">
            <v>5</v>
          </cell>
        </row>
        <row r="5627">
          <cell r="B5627" t="str">
            <v>SAMPLESTICKS</v>
          </cell>
          <cell r="C5627" t="str">
            <v>Invoice</v>
          </cell>
          <cell r="D5627">
            <v>38621</v>
          </cell>
          <cell r="F5627" t="str">
            <v>8081</v>
          </cell>
          <cell r="G5627" t="str">
            <v>ScentAir - Corporate Associates:Pamela Knock</v>
          </cell>
          <cell r="H5627">
            <v>5</v>
          </cell>
        </row>
        <row r="5628">
          <cell r="B5628" t="str">
            <v>SCENTKIT-48</v>
          </cell>
          <cell r="C5628" t="str">
            <v>Invoice</v>
          </cell>
          <cell r="D5628">
            <v>38562</v>
          </cell>
          <cell r="F5628" t="str">
            <v>6283</v>
          </cell>
          <cell r="G5628" t="str">
            <v>Techno Satellite</v>
          </cell>
          <cell r="H5628">
            <v>5</v>
          </cell>
        </row>
        <row r="5629">
          <cell r="B5629" t="str">
            <v>SCENTSAMPLES</v>
          </cell>
          <cell r="C5629" t="str">
            <v>Invoice</v>
          </cell>
          <cell r="D5629">
            <v>38440</v>
          </cell>
          <cell r="F5629" t="str">
            <v>5552</v>
          </cell>
          <cell r="G5629" t="str">
            <v>ScentAir Australia Pty Ltd.</v>
          </cell>
          <cell r="H5629">
            <v>5</v>
          </cell>
        </row>
        <row r="5630">
          <cell r="B5630" t="str">
            <v>SCENTSAMPLES</v>
          </cell>
          <cell r="C5630" t="str">
            <v>Invoice</v>
          </cell>
          <cell r="D5630">
            <v>38447</v>
          </cell>
          <cell r="F5630" t="str">
            <v>5566-I</v>
          </cell>
          <cell r="G5630" t="str">
            <v>Birthday Mania</v>
          </cell>
          <cell r="H5630">
            <v>5</v>
          </cell>
        </row>
        <row r="5631">
          <cell r="B5631" t="str">
            <v>SCENTSAMPLES</v>
          </cell>
          <cell r="C5631" t="str">
            <v>Invoice</v>
          </cell>
          <cell r="D5631">
            <v>38495</v>
          </cell>
          <cell r="F5631" t="str">
            <v>6116</v>
          </cell>
          <cell r="G5631" t="str">
            <v>ScentAir - Corporate Associates:Ed Burke</v>
          </cell>
          <cell r="H5631">
            <v>5</v>
          </cell>
        </row>
        <row r="5632">
          <cell r="B5632" t="str">
            <v>SCENTSAMPLES</v>
          </cell>
          <cell r="C5632" t="str">
            <v>Invoice</v>
          </cell>
          <cell r="D5632">
            <v>38505</v>
          </cell>
          <cell r="F5632" t="str">
            <v>6215</v>
          </cell>
          <cell r="G5632" t="str">
            <v>Reeb Investiments, Inc.</v>
          </cell>
          <cell r="H5632">
            <v>5</v>
          </cell>
        </row>
        <row r="5633">
          <cell r="B5633" t="str">
            <v>SCENTSAMPLES</v>
          </cell>
          <cell r="C5633" t="str">
            <v>Invoice</v>
          </cell>
          <cell r="D5633">
            <v>38545</v>
          </cell>
          <cell r="F5633" t="str">
            <v>7132</v>
          </cell>
          <cell r="G5633" t="str">
            <v>Digital Tech Frontier</v>
          </cell>
          <cell r="H5633">
            <v>5</v>
          </cell>
        </row>
        <row r="5634">
          <cell r="B5634" t="str">
            <v>SCENTSAMPLES</v>
          </cell>
          <cell r="C5634" t="str">
            <v>Invoice</v>
          </cell>
          <cell r="D5634">
            <v>38566</v>
          </cell>
          <cell r="F5634" t="str">
            <v>7231</v>
          </cell>
          <cell r="G5634" t="str">
            <v>Access Artisans Greenwhich Village</v>
          </cell>
          <cell r="H5634">
            <v>5</v>
          </cell>
        </row>
        <row r="5635">
          <cell r="B5635" t="str">
            <v>SCENTSAMPLES</v>
          </cell>
          <cell r="C5635" t="str">
            <v>Invoice</v>
          </cell>
          <cell r="D5635">
            <v>38572</v>
          </cell>
          <cell r="F5635" t="str">
            <v>7339</v>
          </cell>
          <cell r="G5635" t="str">
            <v>Colorado Prime Foods</v>
          </cell>
          <cell r="H5635">
            <v>5</v>
          </cell>
        </row>
        <row r="5636">
          <cell r="B5636" t="str">
            <v>SCENTSAMPLES</v>
          </cell>
          <cell r="C5636" t="str">
            <v>Invoice</v>
          </cell>
          <cell r="D5636">
            <v>38574</v>
          </cell>
          <cell r="F5636" t="str">
            <v>7312</v>
          </cell>
          <cell r="G5636" t="str">
            <v>Muzak, LLC:Muzak (Demo)</v>
          </cell>
          <cell r="H5636">
            <v>5</v>
          </cell>
        </row>
        <row r="5637">
          <cell r="B5637" t="str">
            <v>SCENTSAMPLES</v>
          </cell>
          <cell r="C5637" t="str">
            <v>Invoice</v>
          </cell>
          <cell r="D5637">
            <v>38575</v>
          </cell>
          <cell r="F5637" t="str">
            <v>7439</v>
          </cell>
          <cell r="G5637" t="str">
            <v>Muzak, LLC:Muzak (Demo)</v>
          </cell>
          <cell r="H5637">
            <v>5</v>
          </cell>
        </row>
        <row r="5638">
          <cell r="B5638" t="str">
            <v>SCENTSAMPLES</v>
          </cell>
          <cell r="C5638" t="str">
            <v>Invoice</v>
          </cell>
          <cell r="D5638">
            <v>38576</v>
          </cell>
          <cell r="F5638" t="str">
            <v>7476</v>
          </cell>
          <cell r="G5638" t="str">
            <v>Muzak, LLC:Muzak (Demo)</v>
          </cell>
          <cell r="H5638">
            <v>5</v>
          </cell>
        </row>
        <row r="5639">
          <cell r="B5639" t="str">
            <v>SCENTSAMPLES</v>
          </cell>
          <cell r="C5639" t="str">
            <v>Invoice</v>
          </cell>
          <cell r="D5639">
            <v>38576</v>
          </cell>
          <cell r="F5639" t="str">
            <v>7481</v>
          </cell>
          <cell r="G5639" t="str">
            <v>Muzak, LLC:Muzak (Demo)</v>
          </cell>
          <cell r="H5639">
            <v>5</v>
          </cell>
        </row>
        <row r="5640">
          <cell r="B5640" t="str">
            <v>SCENTSAMPLES</v>
          </cell>
          <cell r="C5640" t="str">
            <v>Invoice</v>
          </cell>
          <cell r="D5640">
            <v>38616</v>
          </cell>
          <cell r="F5640" t="str">
            <v>8022</v>
          </cell>
          <cell r="G5640" t="str">
            <v>Muzak, LLC:Muzak (Demo)</v>
          </cell>
          <cell r="H5640">
            <v>5</v>
          </cell>
        </row>
        <row r="5641">
          <cell r="B5641" t="str">
            <v>SPC</v>
          </cell>
          <cell r="C5641" t="str">
            <v>Invoice</v>
          </cell>
          <cell r="D5641">
            <v>38411</v>
          </cell>
          <cell r="F5641" t="str">
            <v>5372</v>
          </cell>
          <cell r="G5641" t="str">
            <v>ScentAir Australia Pty Ltd.</v>
          </cell>
          <cell r="H5641">
            <v>5</v>
          </cell>
        </row>
        <row r="5642">
          <cell r="B5642" t="str">
            <v>SPC500-0828</v>
          </cell>
          <cell r="C5642" t="str">
            <v>Invoice</v>
          </cell>
          <cell r="D5642">
            <v>38539</v>
          </cell>
          <cell r="F5642" t="str">
            <v>7036</v>
          </cell>
          <cell r="G5642" t="str">
            <v>MLS Homes</v>
          </cell>
          <cell r="H5642">
            <v>5</v>
          </cell>
        </row>
        <row r="5643">
          <cell r="B5643" t="str">
            <v>SPC500-0828</v>
          </cell>
          <cell r="C5643" t="str">
            <v>Invoice</v>
          </cell>
          <cell r="D5643">
            <v>38552</v>
          </cell>
          <cell r="F5643" t="str">
            <v>7165</v>
          </cell>
          <cell r="G5643" t="str">
            <v>MLS Homes</v>
          </cell>
          <cell r="H5643">
            <v>5</v>
          </cell>
        </row>
        <row r="5644">
          <cell r="B5644" t="str">
            <v>SPC500-0996</v>
          </cell>
          <cell r="C5644" t="str">
            <v>Invoice</v>
          </cell>
          <cell r="D5644">
            <v>38523</v>
          </cell>
          <cell r="F5644" t="str">
            <v>6379</v>
          </cell>
          <cell r="G5644" t="str">
            <v>Promotool</v>
          </cell>
          <cell r="H5644">
            <v>5</v>
          </cell>
        </row>
        <row r="5645">
          <cell r="B5645" t="str">
            <v>SPC500-0996</v>
          </cell>
          <cell r="C5645" t="str">
            <v>Invoice</v>
          </cell>
          <cell r="D5645">
            <v>38559</v>
          </cell>
          <cell r="F5645" t="str">
            <v>7198</v>
          </cell>
          <cell r="G5645" t="str">
            <v>Promotool</v>
          </cell>
          <cell r="H5645">
            <v>5</v>
          </cell>
        </row>
        <row r="5646">
          <cell r="B5646" t="str">
            <v>SPC500-1034</v>
          </cell>
          <cell r="C5646" t="str">
            <v>Invoice</v>
          </cell>
          <cell r="D5646">
            <v>38539</v>
          </cell>
          <cell r="F5646" t="str">
            <v>7036</v>
          </cell>
          <cell r="G5646" t="str">
            <v>MLS Homes</v>
          </cell>
          <cell r="H5646">
            <v>5</v>
          </cell>
        </row>
        <row r="5647">
          <cell r="B5647" t="str">
            <v>SPC500-1034</v>
          </cell>
          <cell r="C5647" t="str">
            <v>Invoice</v>
          </cell>
          <cell r="D5647">
            <v>38552</v>
          </cell>
          <cell r="F5647" t="str">
            <v>7165</v>
          </cell>
          <cell r="G5647" t="str">
            <v>MLS Homes</v>
          </cell>
          <cell r="H5647">
            <v>5</v>
          </cell>
        </row>
        <row r="5648">
          <cell r="B5648" t="str">
            <v>SPC500-1095</v>
          </cell>
          <cell r="C5648" t="str">
            <v>Invoice</v>
          </cell>
          <cell r="D5648">
            <v>38482</v>
          </cell>
          <cell r="F5648" t="str">
            <v>5725</v>
          </cell>
          <cell r="G5648" t="str">
            <v>Trade Fisture/ New Leaf</v>
          </cell>
          <cell r="H5648">
            <v>5</v>
          </cell>
        </row>
        <row r="5649">
          <cell r="B5649" t="str">
            <v>SPC500-1311</v>
          </cell>
          <cell r="C5649" t="str">
            <v>Invoice</v>
          </cell>
          <cell r="D5649">
            <v>38539</v>
          </cell>
          <cell r="F5649" t="str">
            <v>7036</v>
          </cell>
          <cell r="G5649" t="str">
            <v>MLS Homes</v>
          </cell>
          <cell r="H5649">
            <v>5</v>
          </cell>
        </row>
        <row r="5650">
          <cell r="B5650" t="str">
            <v>SPC500-1311</v>
          </cell>
          <cell r="C5650" t="str">
            <v>Invoice</v>
          </cell>
          <cell r="D5650">
            <v>38552</v>
          </cell>
          <cell r="F5650" t="str">
            <v>7165</v>
          </cell>
          <cell r="G5650" t="str">
            <v>MLS Homes</v>
          </cell>
          <cell r="H5650">
            <v>5</v>
          </cell>
        </row>
        <row r="5651">
          <cell r="B5651" t="str">
            <v>SPC500-859</v>
          </cell>
          <cell r="C5651" t="str">
            <v>Invoice</v>
          </cell>
          <cell r="D5651">
            <v>38421</v>
          </cell>
          <cell r="F5651" t="str">
            <v>5424</v>
          </cell>
          <cell r="G5651" t="str">
            <v>ScentAir Australia Pty Ltd.</v>
          </cell>
          <cell r="H5651">
            <v>5</v>
          </cell>
        </row>
        <row r="5652">
          <cell r="B5652" t="str">
            <v>SPOP</v>
          </cell>
          <cell r="C5652" t="str">
            <v>Invoice</v>
          </cell>
          <cell r="D5652">
            <v>38358</v>
          </cell>
          <cell r="F5652" t="str">
            <v>5155</v>
          </cell>
          <cell r="G5652" t="str">
            <v>Trade Fisture/ New Leaf</v>
          </cell>
          <cell r="H5652">
            <v>5</v>
          </cell>
        </row>
        <row r="5653">
          <cell r="B5653" t="str">
            <v>SWC-1020</v>
          </cell>
          <cell r="C5653" t="str">
            <v>Invoice</v>
          </cell>
          <cell r="D5653">
            <v>38411</v>
          </cell>
          <cell r="F5653" t="str">
            <v>5372</v>
          </cell>
          <cell r="G5653" t="str">
            <v>ScentAir Australia Pty Ltd.</v>
          </cell>
          <cell r="H5653">
            <v>5</v>
          </cell>
        </row>
        <row r="5654">
          <cell r="B5654" t="str">
            <v>SWC-1020</v>
          </cell>
          <cell r="C5654" t="str">
            <v>Invoice</v>
          </cell>
          <cell r="D5654">
            <v>38411</v>
          </cell>
          <cell r="F5654" t="str">
            <v>5372</v>
          </cell>
          <cell r="G5654" t="str">
            <v>ScentAir Australia Pty Ltd.</v>
          </cell>
          <cell r="H5654">
            <v>5</v>
          </cell>
        </row>
        <row r="5655">
          <cell r="B5655" t="str">
            <v>SWC1020-0849</v>
          </cell>
          <cell r="C5655" t="str">
            <v>Invoice</v>
          </cell>
          <cell r="D5655">
            <v>38421</v>
          </cell>
          <cell r="F5655" t="str">
            <v>5424</v>
          </cell>
          <cell r="G5655" t="str">
            <v>ScentAir Australia Pty Ltd.</v>
          </cell>
          <cell r="H5655">
            <v>5</v>
          </cell>
        </row>
        <row r="5656">
          <cell r="B5656" t="str">
            <v>SWC1020-0913</v>
          </cell>
          <cell r="C5656" t="str">
            <v>Invoice</v>
          </cell>
          <cell r="D5656">
            <v>38434</v>
          </cell>
          <cell r="F5656" t="str">
            <v>5485</v>
          </cell>
          <cell r="G5656" t="str">
            <v>Saddle Ranch</v>
          </cell>
          <cell r="H5656">
            <v>5</v>
          </cell>
        </row>
        <row r="5657">
          <cell r="B5657" t="str">
            <v>SWC-1035</v>
          </cell>
          <cell r="C5657" t="str">
            <v>Invoice</v>
          </cell>
          <cell r="D5657">
            <v>38378</v>
          </cell>
          <cell r="F5657" t="str">
            <v>5141</v>
          </cell>
          <cell r="G5657" t="str">
            <v>Arkitectura Urbana</v>
          </cell>
          <cell r="H5657">
            <v>5</v>
          </cell>
        </row>
        <row r="5658">
          <cell r="B5658" t="str">
            <v>SWC1040-0681</v>
          </cell>
          <cell r="C5658" t="str">
            <v>Invoice</v>
          </cell>
          <cell r="D5658">
            <v>38589</v>
          </cell>
          <cell r="F5658" t="str">
            <v>7694</v>
          </cell>
          <cell r="G5658" t="str">
            <v>Aritza</v>
          </cell>
          <cell r="H5658">
            <v>5</v>
          </cell>
        </row>
        <row r="5659">
          <cell r="B5659" t="str">
            <v>SWC1040-BLANK</v>
          </cell>
          <cell r="C5659" t="str">
            <v>Invoice</v>
          </cell>
          <cell r="D5659">
            <v>38546</v>
          </cell>
          <cell r="F5659" t="str">
            <v>7137</v>
          </cell>
          <cell r="G5659" t="str">
            <v>Mane USA/Arcade</v>
          </cell>
          <cell r="H5659">
            <v>5</v>
          </cell>
        </row>
        <row r="5660">
          <cell r="B5660" t="str">
            <v>SWC-1342</v>
          </cell>
          <cell r="C5660" t="str">
            <v>Invoice</v>
          </cell>
          <cell r="D5660">
            <v>38391</v>
          </cell>
          <cell r="F5660" t="str">
            <v>5291</v>
          </cell>
          <cell r="G5660" t="str">
            <v>Scent Events, LLC</v>
          </cell>
          <cell r="H5660">
            <v>5</v>
          </cell>
        </row>
        <row r="5661">
          <cell r="B5661" t="str">
            <v>SWC2040-0275</v>
          </cell>
          <cell r="C5661" t="str">
            <v>Invoice</v>
          </cell>
          <cell r="D5661">
            <v>38561</v>
          </cell>
          <cell r="F5661" t="str">
            <v>7167</v>
          </cell>
          <cell r="G5661" t="str">
            <v>Anteon</v>
          </cell>
          <cell r="H5661">
            <v>5</v>
          </cell>
        </row>
        <row r="5662">
          <cell r="B5662" t="str">
            <v>SWC2040-0880</v>
          </cell>
          <cell r="C5662" t="str">
            <v>Invoice</v>
          </cell>
          <cell r="D5662">
            <v>38488</v>
          </cell>
          <cell r="F5662" t="str">
            <v>6067</v>
          </cell>
          <cell r="G5662" t="str">
            <v>ScentAir Australia Pty Ltd.</v>
          </cell>
          <cell r="H5662">
            <v>5</v>
          </cell>
        </row>
        <row r="5663">
          <cell r="B5663" t="str">
            <v>SWC2040-0880</v>
          </cell>
          <cell r="C5663" t="str">
            <v>Invoice</v>
          </cell>
          <cell r="D5663">
            <v>38527</v>
          </cell>
          <cell r="F5663" t="str">
            <v>6406</v>
          </cell>
          <cell r="G5663" t="str">
            <v>ScentAir Australia Pty Ltd.</v>
          </cell>
          <cell r="H5663">
            <v>5</v>
          </cell>
        </row>
        <row r="5664">
          <cell r="B5664" t="str">
            <v>SWC2040-0913</v>
          </cell>
          <cell r="C5664" t="str">
            <v>Invoice</v>
          </cell>
          <cell r="D5664">
            <v>38610</v>
          </cell>
          <cell r="F5664" t="str">
            <v>7946</v>
          </cell>
          <cell r="G5664" t="str">
            <v>Muzak, LLC</v>
          </cell>
          <cell r="H5664">
            <v>5</v>
          </cell>
        </row>
        <row r="5665">
          <cell r="B5665" t="str">
            <v>SWC2040-1095</v>
          </cell>
          <cell r="C5665" t="str">
            <v>Invoice</v>
          </cell>
          <cell r="D5665">
            <v>38527</v>
          </cell>
          <cell r="F5665" t="str">
            <v>6406</v>
          </cell>
          <cell r="G5665" t="str">
            <v>ScentAir Australia Pty Ltd.</v>
          </cell>
          <cell r="H5665">
            <v>5</v>
          </cell>
        </row>
        <row r="5666">
          <cell r="B5666" t="str">
            <v>SWC2040-1260</v>
          </cell>
          <cell r="C5666" t="str">
            <v>Invoice</v>
          </cell>
          <cell r="D5666">
            <v>38561</v>
          </cell>
          <cell r="F5666" t="str">
            <v>7167</v>
          </cell>
          <cell r="G5666" t="str">
            <v>Anteon</v>
          </cell>
          <cell r="H5666">
            <v>5</v>
          </cell>
        </row>
        <row r="5667">
          <cell r="B5667" t="str">
            <v>SWC2060-1095</v>
          </cell>
          <cell r="C5667" t="str">
            <v>Invoice</v>
          </cell>
          <cell r="D5667">
            <v>38488</v>
          </cell>
          <cell r="F5667" t="str">
            <v>6067</v>
          </cell>
          <cell r="G5667" t="str">
            <v>ScentAir Australia Pty Ltd.</v>
          </cell>
          <cell r="H5667">
            <v>5</v>
          </cell>
        </row>
        <row r="5668">
          <cell r="B5668" t="str">
            <v>SWD1000B</v>
          </cell>
          <cell r="C5668" t="str">
            <v>Invoice</v>
          </cell>
          <cell r="D5668">
            <v>38516</v>
          </cell>
          <cell r="F5668" t="str">
            <v>6332</v>
          </cell>
          <cell r="G5668" t="str">
            <v>Videotronic Benelux BV</v>
          </cell>
          <cell r="H5668">
            <v>5</v>
          </cell>
        </row>
        <row r="5669">
          <cell r="B5669" t="str">
            <v>SWD1000B</v>
          </cell>
          <cell r="C5669" t="str">
            <v>Invoice</v>
          </cell>
          <cell r="D5669">
            <v>38525</v>
          </cell>
          <cell r="F5669" t="str">
            <v>5572</v>
          </cell>
          <cell r="G5669" t="str">
            <v>Busch Gardens - Williamsburg</v>
          </cell>
          <cell r="H5669">
            <v>5</v>
          </cell>
        </row>
        <row r="5670">
          <cell r="B5670" t="str">
            <v>SWD1000B</v>
          </cell>
          <cell r="C5670" t="str">
            <v>Invoice</v>
          </cell>
          <cell r="D5670">
            <v>38530</v>
          </cell>
          <cell r="F5670" t="str">
            <v>5592-I</v>
          </cell>
          <cell r="G5670" t="str">
            <v>Aritza</v>
          </cell>
          <cell r="H5670">
            <v>5</v>
          </cell>
        </row>
        <row r="5671">
          <cell r="B5671" t="str">
            <v>SWD1000B</v>
          </cell>
          <cell r="C5671" t="str">
            <v>Invoice</v>
          </cell>
          <cell r="D5671">
            <v>38548</v>
          </cell>
          <cell r="F5671" t="str">
            <v>7142</v>
          </cell>
          <cell r="G5671" t="str">
            <v>Muzak, LLC:Schnuck Markets, Inc. #180</v>
          </cell>
          <cell r="H5671">
            <v>5</v>
          </cell>
        </row>
        <row r="5672">
          <cell r="B5672" t="str">
            <v>SWD1000B</v>
          </cell>
          <cell r="C5672" t="str">
            <v>Invoice</v>
          </cell>
          <cell r="D5672">
            <v>38561</v>
          </cell>
          <cell r="F5672" t="str">
            <v>7167</v>
          </cell>
          <cell r="G5672" t="str">
            <v>Anteon</v>
          </cell>
          <cell r="H5672">
            <v>5</v>
          </cell>
        </row>
        <row r="5673">
          <cell r="B5673" t="str">
            <v>SWD1000B</v>
          </cell>
          <cell r="C5673" t="str">
            <v>Invoice</v>
          </cell>
          <cell r="D5673">
            <v>38609</v>
          </cell>
          <cell r="F5673" t="str">
            <v>7930</v>
          </cell>
          <cell r="G5673" t="str">
            <v>Muzak, LLC:Omni Shoreham Hotel</v>
          </cell>
          <cell r="H5673">
            <v>5</v>
          </cell>
        </row>
        <row r="5674">
          <cell r="B5674" t="str">
            <v>SWD1000W</v>
          </cell>
          <cell r="C5674" t="str">
            <v>Invoice</v>
          </cell>
          <cell r="D5674">
            <v>38574</v>
          </cell>
          <cell r="F5674" t="str">
            <v>7312</v>
          </cell>
          <cell r="G5674" t="str">
            <v>Muzak, LLC:Muzak (Demo)</v>
          </cell>
          <cell r="H5674">
            <v>5</v>
          </cell>
        </row>
        <row r="5675">
          <cell r="B5675" t="str">
            <v>SWD1000W</v>
          </cell>
          <cell r="C5675" t="str">
            <v>Invoice</v>
          </cell>
          <cell r="D5675">
            <v>38575</v>
          </cell>
          <cell r="F5675" t="str">
            <v>7439</v>
          </cell>
          <cell r="G5675" t="str">
            <v>Muzak, LLC:Muzak (Demo)</v>
          </cell>
          <cell r="H5675">
            <v>5</v>
          </cell>
        </row>
        <row r="5676">
          <cell r="B5676" t="str">
            <v>SWD1000W</v>
          </cell>
          <cell r="C5676" t="str">
            <v>Invoice</v>
          </cell>
          <cell r="D5676">
            <v>38576</v>
          </cell>
          <cell r="F5676" t="str">
            <v>7476</v>
          </cell>
          <cell r="G5676" t="str">
            <v>Muzak, LLC:Muzak (Demo)</v>
          </cell>
          <cell r="H5676">
            <v>5</v>
          </cell>
        </row>
        <row r="5677">
          <cell r="B5677" t="str">
            <v>SWD1000W</v>
          </cell>
          <cell r="C5677" t="str">
            <v>Invoice</v>
          </cell>
          <cell r="D5677">
            <v>38576</v>
          </cell>
          <cell r="F5677" t="str">
            <v>7481</v>
          </cell>
          <cell r="G5677" t="str">
            <v>Muzak, LLC:Muzak (Demo)</v>
          </cell>
          <cell r="H5677">
            <v>5</v>
          </cell>
        </row>
        <row r="5678">
          <cell r="B5678" t="str">
            <v>SWD1000W</v>
          </cell>
          <cell r="C5678" t="str">
            <v>Invoice</v>
          </cell>
          <cell r="D5678">
            <v>38611</v>
          </cell>
          <cell r="F5678" t="str">
            <v>7968</v>
          </cell>
          <cell r="G5678" t="str">
            <v>Muzak, LLC:Elliott Hardware - Dallas</v>
          </cell>
          <cell r="H5678">
            <v>5</v>
          </cell>
        </row>
        <row r="5679">
          <cell r="B5679" t="str">
            <v>SWD1000W</v>
          </cell>
          <cell r="C5679" t="str">
            <v>Invoice</v>
          </cell>
          <cell r="D5679">
            <v>38617</v>
          </cell>
          <cell r="F5679" t="str">
            <v>8006</v>
          </cell>
          <cell r="G5679" t="str">
            <v>Muzak, IA:Metro Communications</v>
          </cell>
          <cell r="H5679">
            <v>5</v>
          </cell>
        </row>
        <row r="5680">
          <cell r="B5680" t="str">
            <v>TIMER</v>
          </cell>
          <cell r="C5680" t="str">
            <v>Invoice</v>
          </cell>
          <cell r="D5680">
            <v>38595</v>
          </cell>
          <cell r="F5680" t="str">
            <v>7733</v>
          </cell>
          <cell r="G5680" t="str">
            <v>Muzak, IA:Independence Communications, PA</v>
          </cell>
          <cell r="H5680">
            <v>5</v>
          </cell>
        </row>
        <row r="5681">
          <cell r="B5681" t="str">
            <v>TIMER</v>
          </cell>
          <cell r="C5681" t="str">
            <v>Invoice</v>
          </cell>
          <cell r="D5681">
            <v>38595</v>
          </cell>
          <cell r="F5681" t="str">
            <v>7731</v>
          </cell>
          <cell r="G5681" t="str">
            <v>Muzak, IA:Independence Communications, PA</v>
          </cell>
          <cell r="H5681">
            <v>5</v>
          </cell>
        </row>
        <row r="5682">
          <cell r="B5682" t="str">
            <v>TIMER</v>
          </cell>
          <cell r="C5682" t="str">
            <v>Invoice</v>
          </cell>
          <cell r="D5682">
            <v>38607</v>
          </cell>
          <cell r="F5682" t="str">
            <v>7889</v>
          </cell>
          <cell r="G5682" t="str">
            <v>Muzak, IA:Soundcom LLC of Florida - Palm Beach</v>
          </cell>
          <cell r="H5682">
            <v>5</v>
          </cell>
        </row>
        <row r="5683">
          <cell r="B5683" t="str">
            <v>TIMER</v>
          </cell>
          <cell r="C5683" t="str">
            <v>Invoice</v>
          </cell>
          <cell r="D5683">
            <v>38609</v>
          </cell>
          <cell r="F5683" t="str">
            <v>7930</v>
          </cell>
          <cell r="G5683" t="str">
            <v>Muzak, LLC:Omni Shoreham Hotel</v>
          </cell>
          <cell r="H5683">
            <v>5</v>
          </cell>
        </row>
        <row r="5684">
          <cell r="B5684" t="str">
            <v>TIMER</v>
          </cell>
          <cell r="C5684" t="str">
            <v>Invoice</v>
          </cell>
          <cell r="D5684">
            <v>38611</v>
          </cell>
          <cell r="F5684" t="str">
            <v>7968</v>
          </cell>
          <cell r="G5684" t="str">
            <v>Muzak, LLC:Elliott Hardware - Dallas</v>
          </cell>
          <cell r="H5684">
            <v>5</v>
          </cell>
        </row>
        <row r="5685">
          <cell r="B5685" t="str">
            <v>Freight - Pd by Customer</v>
          </cell>
          <cell r="C5685" t="str">
            <v>Invoice</v>
          </cell>
          <cell r="D5685">
            <v>38467</v>
          </cell>
          <cell r="F5685" t="str">
            <v>5679</v>
          </cell>
          <cell r="G5685" t="str">
            <v>Exxon DDB Worldwide</v>
          </cell>
          <cell r="H5685">
            <v>5.39</v>
          </cell>
        </row>
        <row r="5686">
          <cell r="B5686" t="str">
            <v>2ounce</v>
          </cell>
          <cell r="C5686" t="str">
            <v>Invoice</v>
          </cell>
          <cell r="D5686">
            <v>38377</v>
          </cell>
          <cell r="F5686" t="str">
            <v>5281</v>
          </cell>
          <cell r="G5686" t="str">
            <v>ScentAir Australia Pty Ltd.</v>
          </cell>
          <cell r="H5686">
            <v>6</v>
          </cell>
        </row>
        <row r="5687">
          <cell r="B5687" t="str">
            <v>DRUM-25</v>
          </cell>
          <cell r="C5687" t="str">
            <v>Invoice</v>
          </cell>
          <cell r="D5687">
            <v>38630</v>
          </cell>
          <cell r="F5687" t="str">
            <v>8206</v>
          </cell>
          <cell r="G5687" t="str">
            <v>AroMarketing:AroMarketing - Texas</v>
          </cell>
          <cell r="H5687">
            <v>6</v>
          </cell>
        </row>
        <row r="5688">
          <cell r="B5688" t="str">
            <v>ESS - SCENT SERVICE</v>
          </cell>
          <cell r="C5688" t="str">
            <v>Invoice</v>
          </cell>
          <cell r="D5688">
            <v>38519</v>
          </cell>
          <cell r="F5688" t="str">
            <v>6353</v>
          </cell>
          <cell r="G5688" t="str">
            <v>Sea World Orlando</v>
          </cell>
          <cell r="H5688">
            <v>6</v>
          </cell>
        </row>
        <row r="5689">
          <cell r="B5689" t="str">
            <v>ESS - SCENT SERVICE</v>
          </cell>
          <cell r="C5689" t="str">
            <v>Invoice</v>
          </cell>
          <cell r="D5689">
            <v>38544</v>
          </cell>
          <cell r="F5689" t="str">
            <v>6034-I</v>
          </cell>
          <cell r="G5689" t="str">
            <v>Sea World Orlando</v>
          </cell>
          <cell r="H5689">
            <v>6</v>
          </cell>
        </row>
        <row r="5690">
          <cell r="B5690" t="str">
            <v>ESS - SCENT SERVICE</v>
          </cell>
          <cell r="C5690" t="str">
            <v>Invoice</v>
          </cell>
          <cell r="D5690">
            <v>38553</v>
          </cell>
          <cell r="F5690" t="str">
            <v>7169</v>
          </cell>
          <cell r="G5690" t="str">
            <v>Arlies</v>
          </cell>
          <cell r="H5690">
            <v>6</v>
          </cell>
        </row>
        <row r="5691">
          <cell r="B5691" t="str">
            <v>ESS - SCENT SERVICE</v>
          </cell>
          <cell r="C5691" t="str">
            <v>Invoice</v>
          </cell>
          <cell r="D5691">
            <v>38576</v>
          </cell>
          <cell r="F5691" t="str">
            <v>7054</v>
          </cell>
          <cell r="G5691" t="str">
            <v>Sea World Orlando</v>
          </cell>
          <cell r="H5691">
            <v>6</v>
          </cell>
        </row>
        <row r="5692">
          <cell r="B5692" t="str">
            <v>MSS</v>
          </cell>
          <cell r="C5692" t="str">
            <v>Invoice</v>
          </cell>
          <cell r="D5692">
            <v>38362</v>
          </cell>
          <cell r="F5692" t="str">
            <v>5165</v>
          </cell>
          <cell r="G5692" t="str">
            <v>Ecko Unlimited</v>
          </cell>
          <cell r="H5692">
            <v>6</v>
          </cell>
        </row>
        <row r="5693">
          <cell r="B5693" t="str">
            <v>SA20</v>
          </cell>
          <cell r="C5693" t="str">
            <v>Invoice</v>
          </cell>
          <cell r="D5693">
            <v>38355</v>
          </cell>
          <cell r="F5693" t="str">
            <v>4997</v>
          </cell>
          <cell r="G5693" t="str">
            <v>AroMarketing:AroMarketing - Guadalajara</v>
          </cell>
          <cell r="H5693">
            <v>6</v>
          </cell>
        </row>
        <row r="5694">
          <cell r="B5694" t="str">
            <v>SAC</v>
          </cell>
          <cell r="C5694" t="str">
            <v>Invoice</v>
          </cell>
          <cell r="D5694">
            <v>38371</v>
          </cell>
          <cell r="F5694" t="str">
            <v>5228</v>
          </cell>
          <cell r="G5694" t="str">
            <v>Bootlegger</v>
          </cell>
          <cell r="H5694">
            <v>6</v>
          </cell>
        </row>
        <row r="5695">
          <cell r="B5695" t="str">
            <v>SAC</v>
          </cell>
          <cell r="C5695" t="str">
            <v>Invoice</v>
          </cell>
          <cell r="D5695">
            <v>38371</v>
          </cell>
          <cell r="F5695" t="str">
            <v>5211A</v>
          </cell>
          <cell r="G5695" t="str">
            <v>Saddle Ranch</v>
          </cell>
          <cell r="H5695">
            <v>6</v>
          </cell>
        </row>
        <row r="5696">
          <cell r="B5696" t="str">
            <v>SAMPLER</v>
          </cell>
          <cell r="C5696" t="str">
            <v>Invoice</v>
          </cell>
          <cell r="D5696">
            <v>38405</v>
          </cell>
          <cell r="F5696" t="str">
            <v>5349</v>
          </cell>
          <cell r="G5696" t="str">
            <v>Shop Rite</v>
          </cell>
          <cell r="H5696">
            <v>6</v>
          </cell>
        </row>
        <row r="5697">
          <cell r="B5697" t="str">
            <v>SAMPLER</v>
          </cell>
          <cell r="C5697" t="str">
            <v>Invoice</v>
          </cell>
          <cell r="D5697">
            <v>38411</v>
          </cell>
          <cell r="F5697" t="str">
            <v>5344</v>
          </cell>
          <cell r="G5697" t="str">
            <v>Videotronic Benelux BV</v>
          </cell>
          <cell r="H5697">
            <v>6</v>
          </cell>
        </row>
        <row r="5698">
          <cell r="B5698" t="str">
            <v>SAMPLER</v>
          </cell>
          <cell r="C5698" t="str">
            <v>Invoice</v>
          </cell>
          <cell r="D5698">
            <v>38467</v>
          </cell>
          <cell r="F5698" t="str">
            <v>5703</v>
          </cell>
          <cell r="G5698" t="str">
            <v>Meridian</v>
          </cell>
          <cell r="H5698">
            <v>6</v>
          </cell>
        </row>
        <row r="5699">
          <cell r="B5699" t="str">
            <v>SAMPLER</v>
          </cell>
          <cell r="C5699" t="str">
            <v>Invoice</v>
          </cell>
          <cell r="D5699">
            <v>38470</v>
          </cell>
          <cell r="F5699" t="str">
            <v>5635</v>
          </cell>
          <cell r="G5699" t="str">
            <v>The Paradies Shops Coporate Office</v>
          </cell>
          <cell r="H5699">
            <v>6</v>
          </cell>
        </row>
        <row r="5700">
          <cell r="B5700" t="str">
            <v>SCENTSAMPLES</v>
          </cell>
          <cell r="C5700" t="str">
            <v>Invoice</v>
          </cell>
          <cell r="D5700">
            <v>38393</v>
          </cell>
          <cell r="F5700" t="str">
            <v>5303</v>
          </cell>
          <cell r="G5700" t="str">
            <v>Design Craftsmen, Inc.</v>
          </cell>
          <cell r="H5700">
            <v>6</v>
          </cell>
        </row>
        <row r="5701">
          <cell r="B5701" t="str">
            <v>SCENTSAMPLES</v>
          </cell>
          <cell r="C5701" t="str">
            <v>Invoice</v>
          </cell>
          <cell r="D5701">
            <v>38455</v>
          </cell>
          <cell r="F5701" t="str">
            <v>5425</v>
          </cell>
          <cell r="G5701" t="str">
            <v>McElheran's Fine Furniture</v>
          </cell>
          <cell r="H5701">
            <v>6</v>
          </cell>
        </row>
        <row r="5702">
          <cell r="B5702" t="str">
            <v>SCENTSAMPLES</v>
          </cell>
          <cell r="C5702" t="str">
            <v>Invoice</v>
          </cell>
          <cell r="D5702">
            <v>38455</v>
          </cell>
          <cell r="F5702" t="str">
            <v>5425</v>
          </cell>
          <cell r="G5702" t="str">
            <v>McElheran's Fine Furniture</v>
          </cell>
          <cell r="H5702">
            <v>6</v>
          </cell>
        </row>
        <row r="5703">
          <cell r="B5703" t="str">
            <v>SCENTSAMPLES</v>
          </cell>
          <cell r="C5703" t="str">
            <v>Invoice</v>
          </cell>
          <cell r="D5703">
            <v>38455</v>
          </cell>
          <cell r="F5703" t="str">
            <v>5617</v>
          </cell>
          <cell r="G5703" t="str">
            <v>Coldwell Banker</v>
          </cell>
          <cell r="H5703">
            <v>6</v>
          </cell>
        </row>
        <row r="5704">
          <cell r="B5704" t="str">
            <v>SCENTSAMPLES</v>
          </cell>
          <cell r="C5704" t="str">
            <v>Invoice</v>
          </cell>
          <cell r="D5704">
            <v>38485</v>
          </cell>
          <cell r="F5704" t="str">
            <v>6057A</v>
          </cell>
          <cell r="G5704" t="str">
            <v>Reeb Investiments, Inc.:Reeb Investments</v>
          </cell>
          <cell r="H5704">
            <v>6</v>
          </cell>
        </row>
        <row r="5705">
          <cell r="B5705" t="str">
            <v>SCENTSAMPLES</v>
          </cell>
          <cell r="C5705" t="str">
            <v>Invoice</v>
          </cell>
          <cell r="D5705">
            <v>38513</v>
          </cell>
          <cell r="F5705" t="str">
            <v>6277</v>
          </cell>
          <cell r="G5705" t="str">
            <v>The Longaberger Company:TLC Annual Sales Conference</v>
          </cell>
          <cell r="H5705">
            <v>6</v>
          </cell>
        </row>
        <row r="5706">
          <cell r="B5706" t="str">
            <v>SCENTSAMPLES</v>
          </cell>
          <cell r="C5706" t="str">
            <v>Invoice</v>
          </cell>
          <cell r="D5706">
            <v>38525</v>
          </cell>
          <cell r="F5706" t="str">
            <v>6370</v>
          </cell>
          <cell r="G5706" t="str">
            <v>Bridget Summerour</v>
          </cell>
          <cell r="H5706">
            <v>6</v>
          </cell>
        </row>
        <row r="5707">
          <cell r="B5707" t="str">
            <v>SCENTSAMPLES</v>
          </cell>
          <cell r="C5707" t="str">
            <v>Invoice</v>
          </cell>
          <cell r="D5707">
            <v>38539</v>
          </cell>
          <cell r="F5707" t="str">
            <v>7082</v>
          </cell>
          <cell r="G5707" t="str">
            <v>Tandembranding</v>
          </cell>
          <cell r="H5707">
            <v>6</v>
          </cell>
        </row>
        <row r="5708">
          <cell r="B5708" t="str">
            <v>SCENTSAMPLES</v>
          </cell>
          <cell r="C5708" t="str">
            <v>Invoice</v>
          </cell>
          <cell r="D5708">
            <v>38539</v>
          </cell>
          <cell r="F5708" t="str">
            <v>7078</v>
          </cell>
          <cell r="G5708" t="str">
            <v>Agecroft Hall</v>
          </cell>
          <cell r="H5708">
            <v>6</v>
          </cell>
        </row>
        <row r="5709">
          <cell r="B5709" t="str">
            <v>SCENTSAMPLES</v>
          </cell>
          <cell r="C5709" t="str">
            <v>Invoice</v>
          </cell>
          <cell r="D5709">
            <v>38552</v>
          </cell>
          <cell r="F5709" t="str">
            <v>7146</v>
          </cell>
          <cell r="G5709" t="str">
            <v>Colorado Prime Foods</v>
          </cell>
          <cell r="H5709">
            <v>6</v>
          </cell>
        </row>
        <row r="5710">
          <cell r="B5710" t="str">
            <v>SCENTSAMPLES</v>
          </cell>
          <cell r="C5710" t="str">
            <v>Invoice</v>
          </cell>
          <cell r="D5710">
            <v>38566</v>
          </cell>
          <cell r="F5710" t="str">
            <v>7266</v>
          </cell>
          <cell r="G5710" t="str">
            <v>Muzak, LLC</v>
          </cell>
          <cell r="H5710">
            <v>6</v>
          </cell>
        </row>
        <row r="5711">
          <cell r="B5711" t="str">
            <v>SCENTSAMPLES</v>
          </cell>
          <cell r="C5711" t="str">
            <v>Invoice</v>
          </cell>
          <cell r="D5711">
            <v>38566</v>
          </cell>
          <cell r="F5711" t="str">
            <v>7264</v>
          </cell>
          <cell r="G5711" t="str">
            <v>Jump N Jive</v>
          </cell>
          <cell r="H5711">
            <v>6</v>
          </cell>
        </row>
        <row r="5712">
          <cell r="B5712" t="str">
            <v>SCENTSAMPLES</v>
          </cell>
          <cell r="C5712" t="str">
            <v>Invoice</v>
          </cell>
          <cell r="D5712">
            <v>38566</v>
          </cell>
          <cell r="F5712" t="str">
            <v>7238</v>
          </cell>
          <cell r="G5712" t="str">
            <v>Wellness Max, Inc.</v>
          </cell>
          <cell r="H5712">
            <v>6</v>
          </cell>
        </row>
        <row r="5713">
          <cell r="B5713" t="str">
            <v>SCENTSAMPLES</v>
          </cell>
          <cell r="C5713" t="str">
            <v>Invoice</v>
          </cell>
          <cell r="D5713">
            <v>38574</v>
          </cell>
          <cell r="F5713" t="str">
            <v>7392</v>
          </cell>
          <cell r="G5713" t="str">
            <v>Muzak, LLC:Muzak (Demo)</v>
          </cell>
          <cell r="H5713">
            <v>6</v>
          </cell>
        </row>
        <row r="5714">
          <cell r="B5714" t="str">
            <v>SCENTSAMPLES</v>
          </cell>
          <cell r="C5714" t="str">
            <v>Invoice</v>
          </cell>
          <cell r="D5714">
            <v>38574</v>
          </cell>
          <cell r="F5714" t="str">
            <v>7390</v>
          </cell>
          <cell r="G5714" t="str">
            <v>Muzak, LLC:Muzak (Demo)</v>
          </cell>
          <cell r="H5714">
            <v>6</v>
          </cell>
        </row>
        <row r="5715">
          <cell r="B5715" t="str">
            <v>SCENTSAMPLES</v>
          </cell>
          <cell r="C5715" t="str">
            <v>Invoice</v>
          </cell>
          <cell r="D5715">
            <v>38575</v>
          </cell>
          <cell r="F5715" t="str">
            <v>7441</v>
          </cell>
          <cell r="G5715" t="str">
            <v>Muzak, LLC:Muzak (Demo)</v>
          </cell>
          <cell r="H5715">
            <v>6</v>
          </cell>
        </row>
        <row r="5716">
          <cell r="B5716" t="str">
            <v>SCENTSAMPLES</v>
          </cell>
          <cell r="C5716" t="str">
            <v>Invoice</v>
          </cell>
          <cell r="D5716">
            <v>38576</v>
          </cell>
          <cell r="F5716" t="str">
            <v>7438</v>
          </cell>
          <cell r="G5716" t="str">
            <v>StudioProgetti</v>
          </cell>
          <cell r="H5716">
            <v>6</v>
          </cell>
        </row>
        <row r="5717">
          <cell r="B5717" t="str">
            <v>SCENTSAMPLES</v>
          </cell>
          <cell r="C5717" t="str">
            <v>Invoice</v>
          </cell>
          <cell r="D5717">
            <v>38576</v>
          </cell>
          <cell r="F5717" t="str">
            <v>7480</v>
          </cell>
          <cell r="G5717" t="str">
            <v>Muzak, LLC:Muzak (Demo)</v>
          </cell>
          <cell r="H5717">
            <v>6</v>
          </cell>
        </row>
        <row r="5718">
          <cell r="B5718" t="str">
            <v>SCENTSAMPLES</v>
          </cell>
          <cell r="C5718" t="str">
            <v>Invoice</v>
          </cell>
          <cell r="D5718">
            <v>38576</v>
          </cell>
          <cell r="F5718" t="str">
            <v>7478</v>
          </cell>
          <cell r="G5718" t="str">
            <v>Muzak, LLC:Muzak (Demo)</v>
          </cell>
          <cell r="H5718">
            <v>6</v>
          </cell>
        </row>
        <row r="5719">
          <cell r="B5719" t="str">
            <v>SCENTSAMPLES</v>
          </cell>
          <cell r="C5719" t="str">
            <v>Invoice</v>
          </cell>
          <cell r="D5719">
            <v>38576</v>
          </cell>
          <cell r="F5719" t="str">
            <v>7475</v>
          </cell>
          <cell r="G5719" t="str">
            <v>Muzak, LLC:Muzak (Demo)</v>
          </cell>
          <cell r="H5719">
            <v>6</v>
          </cell>
        </row>
        <row r="5720">
          <cell r="B5720" t="str">
            <v>SCENTSAMPLES</v>
          </cell>
          <cell r="C5720" t="str">
            <v>Invoice</v>
          </cell>
          <cell r="D5720">
            <v>38628</v>
          </cell>
          <cell r="F5720" t="str">
            <v>8204</v>
          </cell>
          <cell r="G5720" t="str">
            <v>Muzak, LLC:Muzak (Demo)</v>
          </cell>
          <cell r="H5720">
            <v>6</v>
          </cell>
        </row>
        <row r="5721">
          <cell r="B5721" t="str">
            <v>SPC500-0873</v>
          </cell>
          <cell r="C5721" t="str">
            <v>Invoice</v>
          </cell>
          <cell r="D5721">
            <v>38503</v>
          </cell>
          <cell r="F5721" t="str">
            <v>6144</v>
          </cell>
          <cell r="G5721" t="str">
            <v>Xplore Productions, Inc.</v>
          </cell>
          <cell r="H5721">
            <v>6</v>
          </cell>
        </row>
        <row r="5722">
          <cell r="B5722" t="str">
            <v>SPC500-859</v>
          </cell>
          <cell r="C5722" t="str">
            <v>Invoice</v>
          </cell>
          <cell r="D5722">
            <v>38456</v>
          </cell>
          <cell r="F5722" t="str">
            <v>5619</v>
          </cell>
          <cell r="G5722" t="str">
            <v>ScentAir Australia Pty Ltd.</v>
          </cell>
          <cell r="H5722">
            <v>6</v>
          </cell>
        </row>
        <row r="5723">
          <cell r="B5723" t="str">
            <v>SPD510</v>
          </cell>
          <cell r="C5723" t="str">
            <v>Invoice</v>
          </cell>
          <cell r="D5723">
            <v>38447</v>
          </cell>
          <cell r="F5723" t="str">
            <v>5569-I</v>
          </cell>
          <cell r="G5723" t="str">
            <v>Ralph Jones Display</v>
          </cell>
          <cell r="H5723">
            <v>6</v>
          </cell>
        </row>
        <row r="5724">
          <cell r="B5724" t="str">
            <v>SPOP</v>
          </cell>
          <cell r="C5724" t="str">
            <v>Invoice</v>
          </cell>
          <cell r="D5724">
            <v>38383</v>
          </cell>
          <cell r="F5724" t="str">
            <v>5262</v>
          </cell>
          <cell r="G5724" t="str">
            <v>Arometrics/ Valvoline</v>
          </cell>
          <cell r="H5724">
            <v>6</v>
          </cell>
        </row>
        <row r="5725">
          <cell r="B5725" t="str">
            <v>SPOP-C</v>
          </cell>
          <cell r="C5725" t="str">
            <v>Invoice</v>
          </cell>
          <cell r="D5725">
            <v>38383</v>
          </cell>
          <cell r="F5725" t="str">
            <v>5262</v>
          </cell>
          <cell r="G5725" t="str">
            <v>Arometrics/ Valvoline</v>
          </cell>
          <cell r="H5725">
            <v>6</v>
          </cell>
        </row>
        <row r="5726">
          <cell r="B5726" t="str">
            <v>SWC1000-0913</v>
          </cell>
          <cell r="C5726" t="str">
            <v>Invoice</v>
          </cell>
          <cell r="D5726">
            <v>38516</v>
          </cell>
          <cell r="F5726" t="str">
            <v>6242</v>
          </cell>
          <cell r="G5726" t="str">
            <v>Saddle Ranch</v>
          </cell>
          <cell r="H5726">
            <v>6</v>
          </cell>
        </row>
        <row r="5727">
          <cell r="B5727" t="str">
            <v>SWC1000-1062</v>
          </cell>
          <cell r="C5727" t="str">
            <v>Invoice</v>
          </cell>
          <cell r="D5727">
            <v>38623</v>
          </cell>
          <cell r="F5727" t="str">
            <v>8145</v>
          </cell>
          <cell r="G5727" t="str">
            <v>Saddle Ranch</v>
          </cell>
          <cell r="H5727">
            <v>6</v>
          </cell>
        </row>
        <row r="5728">
          <cell r="B5728" t="str">
            <v>SWC-1020</v>
          </cell>
          <cell r="C5728" t="str">
            <v>Invoice</v>
          </cell>
          <cell r="D5728">
            <v>38411</v>
          </cell>
          <cell r="F5728" t="str">
            <v>5372</v>
          </cell>
          <cell r="G5728" t="str">
            <v>ScentAir Australia Pty Ltd.</v>
          </cell>
          <cell r="H5728">
            <v>6</v>
          </cell>
        </row>
        <row r="5729">
          <cell r="B5729" t="str">
            <v>SWC-1020</v>
          </cell>
          <cell r="C5729" t="str">
            <v>Invoice</v>
          </cell>
          <cell r="D5729">
            <v>38411</v>
          </cell>
          <cell r="F5729" t="str">
            <v>5372</v>
          </cell>
          <cell r="G5729" t="str">
            <v>ScentAir Australia Pty Ltd.</v>
          </cell>
          <cell r="H5729">
            <v>6</v>
          </cell>
        </row>
        <row r="5730">
          <cell r="B5730" t="str">
            <v>SWC1020-1095</v>
          </cell>
          <cell r="C5730" t="str">
            <v>Invoice</v>
          </cell>
          <cell r="D5730">
            <v>38406</v>
          </cell>
          <cell r="F5730" t="str">
            <v>5350</v>
          </cell>
          <cell r="G5730" t="str">
            <v>Exxon DDB Worldwide:Exxon DDB Worldwide #15022</v>
          </cell>
          <cell r="H5730">
            <v>6</v>
          </cell>
        </row>
        <row r="5731">
          <cell r="B5731" t="str">
            <v>SWC1040-0174</v>
          </cell>
          <cell r="C5731" t="str">
            <v>Invoice</v>
          </cell>
          <cell r="D5731">
            <v>38553</v>
          </cell>
          <cell r="F5731" t="str">
            <v>7169</v>
          </cell>
          <cell r="G5731" t="str">
            <v>Arlies</v>
          </cell>
          <cell r="H5731">
            <v>6</v>
          </cell>
        </row>
        <row r="5732">
          <cell r="B5732" t="str">
            <v>SWC2040-0909</v>
          </cell>
          <cell r="C5732" t="str">
            <v>Invoice</v>
          </cell>
          <cell r="D5732">
            <v>38471</v>
          </cell>
          <cell r="F5732" t="str">
            <v>6020</v>
          </cell>
          <cell r="G5732" t="str">
            <v>ScentAir Australia Pty Ltd.</v>
          </cell>
          <cell r="H5732">
            <v>6</v>
          </cell>
        </row>
        <row r="5733">
          <cell r="B5733" t="str">
            <v>SWC2040-0963</v>
          </cell>
          <cell r="C5733" t="str">
            <v>Invoice</v>
          </cell>
          <cell r="D5733">
            <v>38471</v>
          </cell>
          <cell r="F5733" t="str">
            <v>6020</v>
          </cell>
          <cell r="G5733" t="str">
            <v>ScentAir Australia Pty Ltd.</v>
          </cell>
          <cell r="H5733">
            <v>6</v>
          </cell>
        </row>
        <row r="5734">
          <cell r="B5734" t="str">
            <v>SWC-713</v>
          </cell>
          <cell r="C5734" t="str">
            <v>Invoice</v>
          </cell>
          <cell r="D5734">
            <v>38382</v>
          </cell>
          <cell r="F5734" t="str">
            <v>5211</v>
          </cell>
          <cell r="G5734" t="str">
            <v>Saddle Ranch</v>
          </cell>
          <cell r="H5734">
            <v>6</v>
          </cell>
        </row>
        <row r="5735">
          <cell r="B5735" t="str">
            <v>SWD1000B</v>
          </cell>
          <cell r="C5735" t="str">
            <v>Invoice</v>
          </cell>
          <cell r="D5735">
            <v>38614</v>
          </cell>
          <cell r="F5735" t="str">
            <v>7996</v>
          </cell>
          <cell r="G5735" t="str">
            <v>Hard Rock Hotel and Casino - Las Vegas</v>
          </cell>
          <cell r="H5735">
            <v>6</v>
          </cell>
        </row>
        <row r="5736">
          <cell r="B5736" t="str">
            <v>SWD1000B</v>
          </cell>
          <cell r="C5736" t="str">
            <v>Invoice</v>
          </cell>
          <cell r="D5736">
            <v>38618</v>
          </cell>
          <cell r="F5736" t="str">
            <v>8089</v>
          </cell>
          <cell r="G5736" t="str">
            <v>ORB Management</v>
          </cell>
          <cell r="H5736">
            <v>6</v>
          </cell>
        </row>
        <row r="5737">
          <cell r="B5737" t="str">
            <v>SWD1000W</v>
          </cell>
          <cell r="C5737" t="str">
            <v>Invoice</v>
          </cell>
          <cell r="D5737">
            <v>38574</v>
          </cell>
          <cell r="F5737" t="str">
            <v>7392</v>
          </cell>
          <cell r="G5737" t="str">
            <v>Muzak, LLC:Muzak (Demo)</v>
          </cell>
          <cell r="H5737">
            <v>6</v>
          </cell>
        </row>
        <row r="5738">
          <cell r="B5738" t="str">
            <v>SWD1000W</v>
          </cell>
          <cell r="C5738" t="str">
            <v>Invoice</v>
          </cell>
          <cell r="D5738">
            <v>38574</v>
          </cell>
          <cell r="F5738" t="str">
            <v>7390</v>
          </cell>
          <cell r="G5738" t="str">
            <v>Muzak, LLC:Muzak (Demo)</v>
          </cell>
          <cell r="H5738">
            <v>6</v>
          </cell>
        </row>
        <row r="5739">
          <cell r="B5739" t="str">
            <v>SWD1000W</v>
          </cell>
          <cell r="C5739" t="str">
            <v>Invoice</v>
          </cell>
          <cell r="D5739">
            <v>38575</v>
          </cell>
          <cell r="F5739" t="str">
            <v>7441</v>
          </cell>
          <cell r="G5739" t="str">
            <v>Muzak, LLC:Muzak (Demo)</v>
          </cell>
          <cell r="H5739">
            <v>6</v>
          </cell>
        </row>
        <row r="5740">
          <cell r="B5740" t="str">
            <v>SWD1000W</v>
          </cell>
          <cell r="C5740" t="str">
            <v>Invoice</v>
          </cell>
          <cell r="D5740">
            <v>38576</v>
          </cell>
          <cell r="F5740" t="str">
            <v>7480</v>
          </cell>
          <cell r="G5740" t="str">
            <v>Muzak, LLC:Muzak (Demo)</v>
          </cell>
          <cell r="H5740">
            <v>6</v>
          </cell>
        </row>
        <row r="5741">
          <cell r="B5741" t="str">
            <v>SWD1000W</v>
          </cell>
          <cell r="C5741" t="str">
            <v>Invoice</v>
          </cell>
          <cell r="D5741">
            <v>38576</v>
          </cell>
          <cell r="F5741" t="str">
            <v>7478</v>
          </cell>
          <cell r="G5741" t="str">
            <v>Muzak, LLC:Muzak (Demo)</v>
          </cell>
          <cell r="H5741">
            <v>6</v>
          </cell>
        </row>
        <row r="5742">
          <cell r="B5742" t="str">
            <v>SWD1000W</v>
          </cell>
          <cell r="C5742" t="str">
            <v>Invoice</v>
          </cell>
          <cell r="D5742">
            <v>38576</v>
          </cell>
          <cell r="F5742" t="str">
            <v>7475</v>
          </cell>
          <cell r="G5742" t="str">
            <v>Muzak, LLC:Muzak (Demo)</v>
          </cell>
          <cell r="H5742">
            <v>6</v>
          </cell>
        </row>
        <row r="5743">
          <cell r="B5743" t="str">
            <v>ESS - SCENT SERVICE</v>
          </cell>
          <cell r="C5743" t="str">
            <v>Invoice</v>
          </cell>
          <cell r="D5743">
            <v>38509</v>
          </cell>
          <cell r="F5743" t="str">
            <v>6217</v>
          </cell>
          <cell r="G5743" t="str">
            <v>Universal Studios Orlando:Universal Studios Foods</v>
          </cell>
          <cell r="H5743">
            <v>7</v>
          </cell>
        </row>
        <row r="5744">
          <cell r="B5744" t="str">
            <v>ESS - SCENT SERVICE</v>
          </cell>
          <cell r="C5744" t="str">
            <v>Invoice</v>
          </cell>
          <cell r="D5744">
            <v>38533</v>
          </cell>
          <cell r="F5744" t="str">
            <v>5557-I</v>
          </cell>
          <cell r="G5744" t="str">
            <v>Universal Studios Orlando:Universal Studios Foods</v>
          </cell>
          <cell r="H5744">
            <v>7</v>
          </cell>
        </row>
        <row r="5745">
          <cell r="B5745" t="str">
            <v>ESS - SCENT SERVICE</v>
          </cell>
          <cell r="C5745" t="str">
            <v>Invoice</v>
          </cell>
          <cell r="D5745">
            <v>38562</v>
          </cell>
          <cell r="F5745" t="str">
            <v>6385</v>
          </cell>
          <cell r="G5745" t="str">
            <v>Universal Studios Orlando:Universal Studios Foods</v>
          </cell>
          <cell r="H5745">
            <v>7</v>
          </cell>
        </row>
        <row r="5746">
          <cell r="B5746" t="str">
            <v>ESS - SCENT SERVICE</v>
          </cell>
          <cell r="C5746" t="str">
            <v>Invoice</v>
          </cell>
          <cell r="D5746">
            <v>38595</v>
          </cell>
          <cell r="F5746" t="str">
            <v>7150</v>
          </cell>
          <cell r="G5746" t="str">
            <v>Universal Studios Orlando:Universal Studios Foods</v>
          </cell>
          <cell r="H5746">
            <v>7</v>
          </cell>
        </row>
        <row r="5747">
          <cell r="B5747" t="str">
            <v>ESS - SCENT SERVICE</v>
          </cell>
          <cell r="C5747" t="str">
            <v>Invoice</v>
          </cell>
          <cell r="D5747">
            <v>38609</v>
          </cell>
          <cell r="F5747" t="str">
            <v>7235</v>
          </cell>
          <cell r="G5747" t="str">
            <v>Sea World Orlando</v>
          </cell>
          <cell r="H5747">
            <v>7</v>
          </cell>
        </row>
        <row r="5748">
          <cell r="B5748" t="str">
            <v>ESS - SCENT SERVICE</v>
          </cell>
          <cell r="C5748" t="str">
            <v>Invoice</v>
          </cell>
          <cell r="D5748">
            <v>38626</v>
          </cell>
          <cell r="F5748" t="str">
            <v>7502</v>
          </cell>
          <cell r="G5748" t="str">
            <v>Universal Studios Orlando:Universal Studios Foods</v>
          </cell>
          <cell r="H5748">
            <v>7</v>
          </cell>
        </row>
        <row r="5749">
          <cell r="B5749" t="str">
            <v>SAMPLER</v>
          </cell>
          <cell r="C5749" t="str">
            <v>Invoice</v>
          </cell>
          <cell r="D5749">
            <v>38467</v>
          </cell>
          <cell r="F5749" t="str">
            <v>5703</v>
          </cell>
          <cell r="G5749" t="str">
            <v>Meridian</v>
          </cell>
          <cell r="H5749">
            <v>7</v>
          </cell>
        </row>
        <row r="5750">
          <cell r="B5750" t="str">
            <v>SAMPLER</v>
          </cell>
          <cell r="C5750" t="str">
            <v>Invoice</v>
          </cell>
          <cell r="D5750">
            <v>38467</v>
          </cell>
          <cell r="F5750" t="str">
            <v>5700</v>
          </cell>
          <cell r="G5750" t="str">
            <v>Del Sol, LC</v>
          </cell>
          <cell r="H5750">
            <v>7</v>
          </cell>
        </row>
        <row r="5751">
          <cell r="B5751" t="str">
            <v>SCENTKIT-48</v>
          </cell>
          <cell r="C5751" t="str">
            <v>Invoice</v>
          </cell>
          <cell r="D5751">
            <v>38595</v>
          </cell>
          <cell r="F5751" t="str">
            <v>7733</v>
          </cell>
          <cell r="G5751" t="str">
            <v>Muzak, IA:Independence Communications, PA</v>
          </cell>
          <cell r="H5751">
            <v>7</v>
          </cell>
        </row>
        <row r="5752">
          <cell r="B5752" t="str">
            <v>SCENTSAMPLES</v>
          </cell>
          <cell r="C5752" t="str">
            <v>Invoice</v>
          </cell>
          <cell r="D5752">
            <v>38525</v>
          </cell>
          <cell r="F5752" t="str">
            <v>6382</v>
          </cell>
          <cell r="G5752" t="str">
            <v>Hyatt Stillwater Spa</v>
          </cell>
          <cell r="H5752">
            <v>7</v>
          </cell>
        </row>
        <row r="5753">
          <cell r="B5753" t="str">
            <v>SCENTSAMPLES</v>
          </cell>
          <cell r="C5753" t="str">
            <v>Invoice</v>
          </cell>
          <cell r="D5753">
            <v>38575</v>
          </cell>
          <cell r="F5753" t="str">
            <v>7393</v>
          </cell>
          <cell r="G5753" t="str">
            <v>Travel Traders LLC</v>
          </cell>
          <cell r="H5753">
            <v>7</v>
          </cell>
        </row>
        <row r="5754">
          <cell r="B5754" t="str">
            <v>SPD510</v>
          </cell>
          <cell r="C5754" t="str">
            <v>Invoice</v>
          </cell>
          <cell r="D5754">
            <v>38467</v>
          </cell>
          <cell r="F5754" t="str">
            <v>6002</v>
          </cell>
          <cell r="G5754" t="str">
            <v>Freedom Station Family Fun Center</v>
          </cell>
          <cell r="H5754">
            <v>7</v>
          </cell>
        </row>
        <row r="5755">
          <cell r="B5755" t="str">
            <v>SWD1000B</v>
          </cell>
          <cell r="C5755" t="str">
            <v>Invoice</v>
          </cell>
          <cell r="D5755">
            <v>38391</v>
          </cell>
          <cell r="F5755" t="str">
            <v>5291</v>
          </cell>
          <cell r="G5755" t="str">
            <v>Scent Events, LLC</v>
          </cell>
          <cell r="H5755">
            <v>7</v>
          </cell>
        </row>
        <row r="5756">
          <cell r="B5756" t="str">
            <v>SWD1000B</v>
          </cell>
          <cell r="C5756" t="str">
            <v>Invoice</v>
          </cell>
          <cell r="D5756">
            <v>38505</v>
          </cell>
          <cell r="F5756" t="str">
            <v>5556</v>
          </cell>
          <cell r="G5756" t="str">
            <v>Universal Studios Orlando:Universal Studios Foods</v>
          </cell>
          <cell r="H5756">
            <v>7</v>
          </cell>
        </row>
        <row r="5757">
          <cell r="B5757" t="str">
            <v>SWD1000B</v>
          </cell>
          <cell r="C5757" t="str">
            <v>Invoice</v>
          </cell>
          <cell r="D5757">
            <v>38625</v>
          </cell>
          <cell r="F5757" t="str">
            <v>8096</v>
          </cell>
          <cell r="G5757" t="str">
            <v>Videotronic Benelux BV</v>
          </cell>
          <cell r="H5757">
            <v>7</v>
          </cell>
        </row>
        <row r="5758">
          <cell r="B5758" t="str">
            <v>Timer&amp;Pegs</v>
          </cell>
          <cell r="C5758" t="str">
            <v>Invoice</v>
          </cell>
          <cell r="D5758">
            <v>38509</v>
          </cell>
          <cell r="F5758" t="str">
            <v>6217</v>
          </cell>
          <cell r="G5758" t="str">
            <v>Universal Studios Orlando:Universal Studios Foods</v>
          </cell>
          <cell r="H5758">
            <v>7</v>
          </cell>
        </row>
        <row r="5759">
          <cell r="B5759" t="str">
            <v>0976</v>
          </cell>
          <cell r="C5759" t="str">
            <v>Invoice</v>
          </cell>
          <cell r="D5759">
            <v>38630</v>
          </cell>
          <cell r="F5759" t="str">
            <v>8206</v>
          </cell>
          <cell r="G5759" t="str">
            <v>AroMarketing:AroMarketing - Texas</v>
          </cell>
          <cell r="H5759">
            <v>8</v>
          </cell>
        </row>
        <row r="5760">
          <cell r="B5760" t="str">
            <v>DRUM-25</v>
          </cell>
          <cell r="C5760" t="str">
            <v>Invoice</v>
          </cell>
          <cell r="D5760">
            <v>38377</v>
          </cell>
          <cell r="F5760" t="str">
            <v>4963A</v>
          </cell>
          <cell r="G5760" t="str">
            <v>AroMarketing:AroMarketing - Guadalajara</v>
          </cell>
          <cell r="H5760">
            <v>8</v>
          </cell>
        </row>
        <row r="5761">
          <cell r="B5761" t="str">
            <v>MISC_COGS</v>
          </cell>
          <cell r="C5761" t="str">
            <v>Invoice</v>
          </cell>
          <cell r="D5761">
            <v>38562</v>
          </cell>
          <cell r="F5761" t="str">
            <v>7208</v>
          </cell>
          <cell r="G5761" t="str">
            <v>AroMarketing:AroMarketing - Texas</v>
          </cell>
          <cell r="H5761">
            <v>8</v>
          </cell>
        </row>
        <row r="5762">
          <cell r="B5762" t="str">
            <v>MNT1000</v>
          </cell>
          <cell r="C5762" t="str">
            <v>Invoice</v>
          </cell>
          <cell r="D5762">
            <v>38611</v>
          </cell>
          <cell r="F5762" t="str">
            <v>7966</v>
          </cell>
          <cell r="G5762" t="str">
            <v>Gap:Corporate Office</v>
          </cell>
          <cell r="H5762">
            <v>8</v>
          </cell>
        </row>
        <row r="5763">
          <cell r="B5763" t="str">
            <v>SAC</v>
          </cell>
          <cell r="C5763" t="str">
            <v>Invoice</v>
          </cell>
          <cell r="D5763">
            <v>38355</v>
          </cell>
          <cell r="F5763" t="str">
            <v>4997</v>
          </cell>
          <cell r="G5763" t="str">
            <v>AroMarketing:AroMarketing - Guadalajara</v>
          </cell>
          <cell r="H5763">
            <v>8</v>
          </cell>
        </row>
        <row r="5764">
          <cell r="B5764" t="str">
            <v>SAC</v>
          </cell>
          <cell r="C5764" t="str">
            <v>Invoice</v>
          </cell>
          <cell r="D5764">
            <v>38383</v>
          </cell>
          <cell r="F5764" t="str">
            <v>5001A</v>
          </cell>
          <cell r="G5764" t="str">
            <v>AroMarketing:AroMarketing - Guadalajara</v>
          </cell>
          <cell r="H5764">
            <v>8</v>
          </cell>
        </row>
        <row r="5765">
          <cell r="B5765" t="str">
            <v>SCENTSAMPLES</v>
          </cell>
          <cell r="C5765" t="str">
            <v>Invoice</v>
          </cell>
          <cell r="D5765">
            <v>38470</v>
          </cell>
          <cell r="F5765" t="str">
            <v>6006</v>
          </cell>
          <cell r="G5765" t="str">
            <v>Techno Satellite</v>
          </cell>
          <cell r="H5765">
            <v>8</v>
          </cell>
        </row>
        <row r="5766">
          <cell r="B5766" t="str">
            <v>SCENTSAMPLES</v>
          </cell>
          <cell r="C5766" t="str">
            <v>Invoice</v>
          </cell>
          <cell r="D5766">
            <v>38495</v>
          </cell>
          <cell r="F5766" t="str">
            <v>6117</v>
          </cell>
          <cell r="G5766" t="str">
            <v>Busch Gardens - Williamsburg</v>
          </cell>
          <cell r="H5766">
            <v>8</v>
          </cell>
        </row>
        <row r="5767">
          <cell r="B5767" t="str">
            <v>SCENTSAMPLES</v>
          </cell>
          <cell r="C5767" t="str">
            <v>Invoice</v>
          </cell>
          <cell r="D5767">
            <v>38510</v>
          </cell>
          <cell r="F5767" t="str">
            <v>6278</v>
          </cell>
          <cell r="G5767" t="str">
            <v>S &amp; M Amusements</v>
          </cell>
          <cell r="H5767">
            <v>8</v>
          </cell>
        </row>
        <row r="5768">
          <cell r="B5768" t="str">
            <v>SCENTSAMPLES</v>
          </cell>
          <cell r="C5768" t="str">
            <v>Invoice</v>
          </cell>
          <cell r="D5768">
            <v>38574</v>
          </cell>
          <cell r="F5768" t="str">
            <v>7298</v>
          </cell>
          <cell r="G5768" t="str">
            <v>Muzak, LLC:Muzak (Demo)</v>
          </cell>
          <cell r="H5768">
            <v>8</v>
          </cell>
        </row>
        <row r="5769">
          <cell r="B5769" t="str">
            <v>SCENTSAMPLES</v>
          </cell>
          <cell r="C5769" t="str">
            <v>Invoice</v>
          </cell>
          <cell r="D5769">
            <v>38576</v>
          </cell>
          <cell r="F5769" t="str">
            <v>7477</v>
          </cell>
          <cell r="G5769" t="str">
            <v>Muzak, LLC:Muzak (Demo)</v>
          </cell>
          <cell r="H5769">
            <v>8</v>
          </cell>
        </row>
        <row r="5770">
          <cell r="B5770" t="str">
            <v>SPD510</v>
          </cell>
          <cell r="C5770" t="str">
            <v>Invoice</v>
          </cell>
          <cell r="D5770">
            <v>38561</v>
          </cell>
          <cell r="F5770" t="str">
            <v>7197</v>
          </cell>
          <cell r="G5770" t="str">
            <v>Techno Satellite</v>
          </cell>
          <cell r="H5770">
            <v>8</v>
          </cell>
        </row>
        <row r="5771">
          <cell r="B5771" t="str">
            <v>SPOP-C</v>
          </cell>
          <cell r="C5771" t="str">
            <v>Invoice</v>
          </cell>
          <cell r="D5771">
            <v>38355</v>
          </cell>
          <cell r="F5771" t="str">
            <v>4997</v>
          </cell>
          <cell r="G5771" t="str">
            <v>AroMarketing:AroMarketing - Guadalajara</v>
          </cell>
          <cell r="H5771">
            <v>8</v>
          </cell>
        </row>
        <row r="5772">
          <cell r="B5772" t="str">
            <v>SWC1000-0837</v>
          </cell>
          <cell r="C5772" t="str">
            <v>Invoice</v>
          </cell>
          <cell r="D5772">
            <v>38442</v>
          </cell>
          <cell r="F5772" t="str">
            <v>5486</v>
          </cell>
          <cell r="G5772" t="str">
            <v>Arkitectura Urbana</v>
          </cell>
          <cell r="H5772">
            <v>8</v>
          </cell>
        </row>
        <row r="5773">
          <cell r="B5773" t="str">
            <v>SWC1000-0837</v>
          </cell>
          <cell r="C5773" t="str">
            <v>Invoice</v>
          </cell>
          <cell r="D5773">
            <v>38533</v>
          </cell>
          <cell r="F5773" t="str">
            <v>7041</v>
          </cell>
          <cell r="G5773" t="str">
            <v>Arkitectura Urbana</v>
          </cell>
          <cell r="H5773">
            <v>8</v>
          </cell>
        </row>
        <row r="5774">
          <cell r="B5774" t="str">
            <v>SWC1020-0231</v>
          </cell>
          <cell r="C5774" t="str">
            <v>Invoice</v>
          </cell>
          <cell r="D5774">
            <v>38489</v>
          </cell>
          <cell r="F5774" t="str">
            <v>6089</v>
          </cell>
          <cell r="G5774" t="str">
            <v>Glory Of Creation, LLC</v>
          </cell>
          <cell r="H5774">
            <v>8</v>
          </cell>
        </row>
        <row r="5775">
          <cell r="B5775" t="str">
            <v>SWC1020-0847</v>
          </cell>
          <cell r="C5775" t="str">
            <v>Invoice</v>
          </cell>
          <cell r="D5775">
            <v>38489</v>
          </cell>
          <cell r="F5775" t="str">
            <v>6089</v>
          </cell>
          <cell r="G5775" t="str">
            <v>Glory Of Creation, LLC</v>
          </cell>
          <cell r="H5775">
            <v>8</v>
          </cell>
        </row>
        <row r="5776">
          <cell r="B5776" t="str">
            <v>SWC1020-1104</v>
          </cell>
          <cell r="C5776" t="str">
            <v>Invoice</v>
          </cell>
          <cell r="D5776">
            <v>38489</v>
          </cell>
          <cell r="F5776" t="str">
            <v>6089</v>
          </cell>
          <cell r="G5776" t="str">
            <v>Glory Of Creation, LLC</v>
          </cell>
          <cell r="H5776">
            <v>8</v>
          </cell>
        </row>
        <row r="5777">
          <cell r="B5777" t="str">
            <v>SWD1000W</v>
          </cell>
          <cell r="C5777" t="str">
            <v>Invoice</v>
          </cell>
          <cell r="D5777">
            <v>38533</v>
          </cell>
          <cell r="F5777" t="str">
            <v>5580-I</v>
          </cell>
          <cell r="G5777" t="str">
            <v>AroMarketing:AroMarketing - Texas</v>
          </cell>
          <cell r="H5777">
            <v>8</v>
          </cell>
        </row>
        <row r="5778">
          <cell r="B5778" t="str">
            <v>SWD1000W</v>
          </cell>
          <cell r="C5778" t="str">
            <v>Invoice</v>
          </cell>
          <cell r="D5778">
            <v>38574</v>
          </cell>
          <cell r="F5778" t="str">
            <v>7298</v>
          </cell>
          <cell r="G5778" t="str">
            <v>Muzak, LLC:Muzak (Demo)</v>
          </cell>
          <cell r="H5778">
            <v>8</v>
          </cell>
        </row>
        <row r="5779">
          <cell r="B5779" t="str">
            <v>SWD1000W</v>
          </cell>
          <cell r="C5779" t="str">
            <v>Invoice</v>
          </cell>
          <cell r="D5779">
            <v>38576</v>
          </cell>
          <cell r="F5779" t="str">
            <v>7477</v>
          </cell>
          <cell r="G5779" t="str">
            <v>Muzak, LLC:Muzak (Demo)</v>
          </cell>
          <cell r="H5779">
            <v>8</v>
          </cell>
        </row>
        <row r="5780">
          <cell r="B5780" t="str">
            <v>SWD1000W</v>
          </cell>
          <cell r="C5780" t="str">
            <v>Invoice</v>
          </cell>
          <cell r="D5780">
            <v>38576</v>
          </cell>
          <cell r="F5780" t="str">
            <v>7447</v>
          </cell>
          <cell r="G5780" t="str">
            <v>Muzak, LLC:Muzak (Demo)</v>
          </cell>
          <cell r="H5780">
            <v>8</v>
          </cell>
        </row>
        <row r="5781">
          <cell r="B5781" t="str">
            <v>SWD1000W</v>
          </cell>
          <cell r="C5781" t="str">
            <v>Invoice</v>
          </cell>
          <cell r="D5781">
            <v>38611</v>
          </cell>
          <cell r="F5781" t="str">
            <v>7966</v>
          </cell>
          <cell r="G5781" t="str">
            <v>Gap:Corporate Office</v>
          </cell>
          <cell r="H5781">
            <v>8</v>
          </cell>
        </row>
        <row r="5782">
          <cell r="B5782" t="str">
            <v>SWD1000W</v>
          </cell>
          <cell r="C5782" t="str">
            <v>Invoice</v>
          </cell>
          <cell r="D5782">
            <v>38614</v>
          </cell>
          <cell r="F5782" t="str">
            <v>7996</v>
          </cell>
          <cell r="G5782" t="str">
            <v>Hard Rock Hotel and Casino - Las Vegas</v>
          </cell>
          <cell r="H5782">
            <v>8</v>
          </cell>
        </row>
        <row r="5783">
          <cell r="B5783" t="str">
            <v>SWI2000-C70</v>
          </cell>
          <cell r="C5783" t="str">
            <v>Invoice</v>
          </cell>
          <cell r="D5783">
            <v>38569</v>
          </cell>
          <cell r="F5783" t="str">
            <v>7310</v>
          </cell>
          <cell r="G5783" t="str">
            <v>Hollister - Carolina Place Mall</v>
          </cell>
          <cell r="H5783">
            <v>8</v>
          </cell>
        </row>
        <row r="5784">
          <cell r="B5784" t="str">
            <v>SWI2000-C70</v>
          </cell>
          <cell r="C5784" t="str">
            <v>Invoice</v>
          </cell>
          <cell r="D5784">
            <v>38569</v>
          </cell>
          <cell r="F5784" t="str">
            <v>7311</v>
          </cell>
          <cell r="G5784" t="str">
            <v>Hollister - South Park Mall</v>
          </cell>
          <cell r="H5784">
            <v>8</v>
          </cell>
        </row>
        <row r="5785">
          <cell r="B5785" t="str">
            <v>SWI2000-C70</v>
          </cell>
          <cell r="C5785" t="str">
            <v>Invoice</v>
          </cell>
          <cell r="D5785">
            <v>38597</v>
          </cell>
          <cell r="F5785" t="str">
            <v>7730</v>
          </cell>
          <cell r="G5785" t="str">
            <v>Hollister - Carolina Place Mall</v>
          </cell>
          <cell r="H5785">
            <v>8</v>
          </cell>
        </row>
        <row r="5786">
          <cell r="B5786" t="str">
            <v>SWI2000-C70</v>
          </cell>
          <cell r="C5786" t="str">
            <v>Invoice</v>
          </cell>
          <cell r="D5786">
            <v>38597</v>
          </cell>
          <cell r="F5786" t="str">
            <v>7750</v>
          </cell>
          <cell r="G5786" t="str">
            <v>Hollister - South Park Mall</v>
          </cell>
          <cell r="H5786">
            <v>8</v>
          </cell>
        </row>
        <row r="5787">
          <cell r="B5787" t="str">
            <v>TIMER</v>
          </cell>
          <cell r="C5787" t="str">
            <v>Invoice</v>
          </cell>
          <cell r="D5787">
            <v>38611</v>
          </cell>
          <cell r="F5787" t="str">
            <v>7966</v>
          </cell>
          <cell r="G5787" t="str">
            <v>Gap:Corporate Office</v>
          </cell>
          <cell r="H5787">
            <v>8</v>
          </cell>
        </row>
        <row r="5788">
          <cell r="B5788" t="str">
            <v>DRUM-25</v>
          </cell>
          <cell r="C5788" t="str">
            <v>Invoice</v>
          </cell>
          <cell r="D5788">
            <v>38383</v>
          </cell>
          <cell r="F5788" t="str">
            <v>4963B</v>
          </cell>
          <cell r="G5788" t="str">
            <v>AroMarketing:AroMarketing - Guadalajara</v>
          </cell>
          <cell r="H5788">
            <v>9</v>
          </cell>
        </row>
        <row r="5789">
          <cell r="B5789" t="str">
            <v>DRUM-25</v>
          </cell>
          <cell r="C5789" t="str">
            <v>Invoice</v>
          </cell>
          <cell r="D5789">
            <v>38597</v>
          </cell>
          <cell r="F5789" t="str">
            <v>7717</v>
          </cell>
          <cell r="G5789" t="str">
            <v>AroMarketing:AroMarketing - Texas</v>
          </cell>
          <cell r="H5789">
            <v>9</v>
          </cell>
        </row>
        <row r="5790">
          <cell r="B5790" t="str">
            <v>SAMPLER</v>
          </cell>
          <cell r="C5790" t="str">
            <v>Invoice</v>
          </cell>
          <cell r="D5790">
            <v>38470</v>
          </cell>
          <cell r="F5790" t="str">
            <v>5714</v>
          </cell>
          <cell r="G5790" t="str">
            <v>Busch Gardens - Williamsburg</v>
          </cell>
          <cell r="H5790">
            <v>9</v>
          </cell>
        </row>
        <row r="5791">
          <cell r="B5791" t="str">
            <v>SCENTSAMPLES</v>
          </cell>
          <cell r="C5791" t="str">
            <v>Invoice</v>
          </cell>
          <cell r="D5791">
            <v>38566</v>
          </cell>
          <cell r="F5791" t="str">
            <v>7232</v>
          </cell>
          <cell r="G5791" t="str">
            <v>Muzak, LLC:Flat Rock Grille #201</v>
          </cell>
          <cell r="H5791">
            <v>9</v>
          </cell>
        </row>
        <row r="5792">
          <cell r="B5792" t="str">
            <v>SPD510</v>
          </cell>
          <cell r="C5792" t="str">
            <v>Invoice</v>
          </cell>
          <cell r="D5792">
            <v>38421</v>
          </cell>
          <cell r="F5792" t="str">
            <v>5408</v>
          </cell>
          <cell r="G5792" t="str">
            <v>Craftsman Industries</v>
          </cell>
          <cell r="H5792">
            <v>9</v>
          </cell>
        </row>
        <row r="5793">
          <cell r="B5793" t="str">
            <v>ESS - SCENT SERVICE</v>
          </cell>
          <cell r="C5793" t="str">
            <v>Invoice</v>
          </cell>
          <cell r="D5793">
            <v>38623</v>
          </cell>
          <cell r="F5793" t="str">
            <v>8145</v>
          </cell>
          <cell r="G5793" t="str">
            <v>Saddle Ranch</v>
          </cell>
          <cell r="H5793">
            <v>10</v>
          </cell>
        </row>
        <row r="5794">
          <cell r="B5794" t="str">
            <v>PDMOT</v>
          </cell>
          <cell r="C5794" t="str">
            <v>Invoice</v>
          </cell>
          <cell r="D5794">
            <v>38482</v>
          </cell>
          <cell r="F5794" t="str">
            <v>5725</v>
          </cell>
          <cell r="G5794" t="str">
            <v>Trade Fisture/ New Leaf</v>
          </cell>
          <cell r="H5794">
            <v>10</v>
          </cell>
        </row>
        <row r="5795">
          <cell r="B5795" t="str">
            <v>SAMPLESTICKS</v>
          </cell>
          <cell r="C5795" t="str">
            <v>Invoice</v>
          </cell>
          <cell r="D5795">
            <v>38590</v>
          </cell>
          <cell r="F5795" t="str">
            <v>7711</v>
          </cell>
          <cell r="G5795" t="str">
            <v>ScentAir - Corporate Associates:Pamela Knock</v>
          </cell>
          <cell r="H5795">
            <v>10</v>
          </cell>
        </row>
        <row r="5796">
          <cell r="B5796" t="str">
            <v>SCENTSAMPLES</v>
          </cell>
          <cell r="C5796" t="str">
            <v>Invoice</v>
          </cell>
          <cell r="D5796">
            <v>38576</v>
          </cell>
          <cell r="F5796" t="str">
            <v>7471</v>
          </cell>
          <cell r="G5796" t="str">
            <v>Muzak, LLC:Muzak (Demo)</v>
          </cell>
          <cell r="H5796">
            <v>10</v>
          </cell>
        </row>
        <row r="5797">
          <cell r="B5797" t="str">
            <v>SCENTSAMPLES</v>
          </cell>
          <cell r="C5797" t="str">
            <v>Invoice</v>
          </cell>
          <cell r="D5797">
            <v>38576</v>
          </cell>
          <cell r="F5797" t="str">
            <v>7474</v>
          </cell>
          <cell r="G5797" t="str">
            <v>Muzak, LLC:Muzak (Demo)</v>
          </cell>
          <cell r="H5797">
            <v>10</v>
          </cell>
        </row>
        <row r="5798">
          <cell r="B5798" t="str">
            <v>SPC500-0913</v>
          </cell>
          <cell r="C5798" t="str">
            <v>Invoice</v>
          </cell>
          <cell r="D5798">
            <v>38539</v>
          </cell>
          <cell r="F5798" t="str">
            <v>7036</v>
          </cell>
          <cell r="G5798" t="str">
            <v>MLS Homes</v>
          </cell>
          <cell r="H5798">
            <v>10</v>
          </cell>
        </row>
        <row r="5799">
          <cell r="B5799" t="str">
            <v>SPC500-0913</v>
          </cell>
          <cell r="C5799" t="str">
            <v>Invoice</v>
          </cell>
          <cell r="D5799">
            <v>38552</v>
          </cell>
          <cell r="F5799" t="str">
            <v>7165</v>
          </cell>
          <cell r="G5799" t="str">
            <v>MLS Homes</v>
          </cell>
          <cell r="H5799">
            <v>10</v>
          </cell>
        </row>
        <row r="5800">
          <cell r="B5800" t="str">
            <v>SPC500-521</v>
          </cell>
          <cell r="C5800" t="str">
            <v>Invoice</v>
          </cell>
          <cell r="D5800">
            <v>38421</v>
          </cell>
          <cell r="F5800" t="str">
            <v>5424</v>
          </cell>
          <cell r="G5800" t="str">
            <v>ScentAir Australia Pty Ltd.</v>
          </cell>
          <cell r="H5800">
            <v>10</v>
          </cell>
        </row>
        <row r="5801">
          <cell r="B5801" t="str">
            <v>SPD510</v>
          </cell>
          <cell r="C5801" t="str">
            <v>Invoice</v>
          </cell>
          <cell r="D5801">
            <v>38542</v>
          </cell>
          <cell r="F5801" t="str">
            <v>7130</v>
          </cell>
          <cell r="G5801" t="str">
            <v>Promotool</v>
          </cell>
          <cell r="H5801">
            <v>10</v>
          </cell>
        </row>
        <row r="5802">
          <cell r="B5802" t="str">
            <v>SWC1000-0919</v>
          </cell>
          <cell r="C5802" t="str">
            <v>Invoice</v>
          </cell>
          <cell r="D5802">
            <v>38442</v>
          </cell>
          <cell r="F5802" t="str">
            <v>5567</v>
          </cell>
          <cell r="G5802" t="str">
            <v>American Solutions Inc.</v>
          </cell>
          <cell r="H5802">
            <v>10</v>
          </cell>
        </row>
        <row r="5803">
          <cell r="B5803" t="str">
            <v>SWC1000-0919</v>
          </cell>
          <cell r="C5803" t="str">
            <v>Invoice</v>
          </cell>
          <cell r="D5803">
            <v>38481</v>
          </cell>
          <cell r="F5803" t="str">
            <v>6038</v>
          </cell>
          <cell r="G5803" t="str">
            <v>American Solutions Inc.</v>
          </cell>
          <cell r="H5803">
            <v>10</v>
          </cell>
        </row>
        <row r="5804">
          <cell r="B5804" t="str">
            <v>SWC1000-0919</v>
          </cell>
          <cell r="C5804" t="str">
            <v>Invoice</v>
          </cell>
          <cell r="D5804">
            <v>38510</v>
          </cell>
          <cell r="F5804" t="str">
            <v>6246</v>
          </cell>
          <cell r="G5804" t="str">
            <v>American Solutions Inc.</v>
          </cell>
          <cell r="H5804">
            <v>10</v>
          </cell>
        </row>
        <row r="5805">
          <cell r="B5805" t="str">
            <v>SWC1000-851</v>
          </cell>
          <cell r="C5805" t="str">
            <v>Invoice</v>
          </cell>
          <cell r="D5805">
            <v>38411</v>
          </cell>
          <cell r="F5805" t="str">
            <v>5365</v>
          </cell>
          <cell r="G5805" t="str">
            <v>American Solutions Inc.</v>
          </cell>
          <cell r="H5805">
            <v>10</v>
          </cell>
        </row>
        <row r="5806">
          <cell r="B5806" t="str">
            <v>SWC1020-0521</v>
          </cell>
          <cell r="C5806" t="str">
            <v>Invoice</v>
          </cell>
          <cell r="D5806">
            <v>38421</v>
          </cell>
          <cell r="F5806" t="str">
            <v>5424</v>
          </cell>
          <cell r="G5806" t="str">
            <v>ScentAir Australia Pty Ltd.</v>
          </cell>
          <cell r="H5806">
            <v>10</v>
          </cell>
        </row>
        <row r="5807">
          <cell r="B5807" t="str">
            <v>SWC1020-0859</v>
          </cell>
          <cell r="C5807" t="str">
            <v>Invoice</v>
          </cell>
          <cell r="D5807">
            <v>38421</v>
          </cell>
          <cell r="F5807" t="str">
            <v>5424</v>
          </cell>
          <cell r="G5807" t="str">
            <v>ScentAir Australia Pty Ltd.</v>
          </cell>
          <cell r="H5807">
            <v>10</v>
          </cell>
        </row>
        <row r="5808">
          <cell r="B5808" t="str">
            <v>SWC1020-1254</v>
          </cell>
          <cell r="C5808" t="str">
            <v>Invoice</v>
          </cell>
          <cell r="D5808">
            <v>38421</v>
          </cell>
          <cell r="F5808" t="str">
            <v>5424</v>
          </cell>
          <cell r="G5808" t="str">
            <v>ScentAir Australia Pty Ltd.</v>
          </cell>
          <cell r="H5808">
            <v>10</v>
          </cell>
        </row>
        <row r="5809">
          <cell r="B5809" t="str">
            <v>SWC-851</v>
          </cell>
          <cell r="C5809" t="str">
            <v>Invoice</v>
          </cell>
          <cell r="D5809">
            <v>38364</v>
          </cell>
          <cell r="F5809" t="str">
            <v>5183</v>
          </cell>
          <cell r="G5809" t="str">
            <v>American Solutions Inc.</v>
          </cell>
          <cell r="H5809">
            <v>10</v>
          </cell>
        </row>
        <row r="5810">
          <cell r="B5810" t="str">
            <v>SWC-Blank</v>
          </cell>
          <cell r="C5810" t="str">
            <v>Invoice</v>
          </cell>
          <cell r="D5810">
            <v>38391</v>
          </cell>
          <cell r="F5810" t="str">
            <v>5293</v>
          </cell>
          <cell r="G5810" t="str">
            <v>GrupoBiz-Aeropuerto</v>
          </cell>
          <cell r="H5810">
            <v>10</v>
          </cell>
        </row>
        <row r="5811">
          <cell r="B5811" t="str">
            <v>SWD1000B</v>
          </cell>
          <cell r="C5811" t="str">
            <v>Invoice</v>
          </cell>
          <cell r="D5811">
            <v>38391</v>
          </cell>
          <cell r="F5811" t="str">
            <v>5293</v>
          </cell>
          <cell r="G5811" t="str">
            <v>GrupoBiz-Aeropuerto</v>
          </cell>
          <cell r="H5811">
            <v>10</v>
          </cell>
        </row>
        <row r="5812">
          <cell r="B5812" t="str">
            <v>SWD1000W</v>
          </cell>
          <cell r="C5812" t="str">
            <v>Invoice</v>
          </cell>
          <cell r="D5812">
            <v>38568</v>
          </cell>
          <cell r="F5812" t="str">
            <v>7296</v>
          </cell>
          <cell r="G5812" t="str">
            <v>Muzak, LLC:Muzak (Demo)</v>
          </cell>
          <cell r="H5812">
            <v>10</v>
          </cell>
        </row>
        <row r="5813">
          <cell r="B5813" t="str">
            <v>SWD1000W</v>
          </cell>
          <cell r="C5813" t="str">
            <v>Invoice</v>
          </cell>
          <cell r="D5813">
            <v>38576</v>
          </cell>
          <cell r="F5813" t="str">
            <v>7471</v>
          </cell>
          <cell r="G5813" t="str">
            <v>Muzak, LLC:Muzak (Demo)</v>
          </cell>
          <cell r="H5813">
            <v>10</v>
          </cell>
        </row>
        <row r="5814">
          <cell r="B5814" t="str">
            <v>SWD1000W</v>
          </cell>
          <cell r="C5814" t="str">
            <v>Invoice</v>
          </cell>
          <cell r="D5814">
            <v>38576</v>
          </cell>
          <cell r="F5814" t="str">
            <v>7474</v>
          </cell>
          <cell r="G5814" t="str">
            <v>Muzak, LLC:Muzak (Demo)</v>
          </cell>
          <cell r="H5814">
            <v>10</v>
          </cell>
        </row>
        <row r="5815">
          <cell r="B5815" t="str">
            <v>SWD1000W</v>
          </cell>
          <cell r="C5815" t="str">
            <v>Invoice</v>
          </cell>
          <cell r="D5815">
            <v>38617</v>
          </cell>
          <cell r="F5815" t="str">
            <v>8012</v>
          </cell>
          <cell r="G5815" t="str">
            <v>Muzak, IA:World Music Corporation</v>
          </cell>
          <cell r="H5815">
            <v>10</v>
          </cell>
        </row>
        <row r="5816">
          <cell r="B5816" t="str">
            <v>SAC</v>
          </cell>
          <cell r="C5816" t="str">
            <v>Invoice</v>
          </cell>
          <cell r="D5816">
            <v>38377</v>
          </cell>
          <cell r="F5816" t="str">
            <v>5174A</v>
          </cell>
          <cell r="G5816" t="str">
            <v>Lee-Moore Oil Company:Exxon OTR - 41</v>
          </cell>
          <cell r="H5816">
            <v>11</v>
          </cell>
        </row>
        <row r="5817">
          <cell r="B5817" t="str">
            <v>SAC-1364</v>
          </cell>
          <cell r="C5817" t="str">
            <v>Invoice</v>
          </cell>
          <cell r="D5817">
            <v>38379</v>
          </cell>
          <cell r="F5817" t="str">
            <v>5133</v>
          </cell>
          <cell r="G5817" t="str">
            <v>Lee-Moore Oil Company:Exxon OTR - 42</v>
          </cell>
          <cell r="H5817">
            <v>11</v>
          </cell>
        </row>
        <row r="5818">
          <cell r="B5818" t="str">
            <v>SWC1000-0919</v>
          </cell>
          <cell r="C5818" t="str">
            <v>Invoice</v>
          </cell>
          <cell r="D5818">
            <v>38533</v>
          </cell>
          <cell r="F5818" t="str">
            <v>7026</v>
          </cell>
          <cell r="G5818" t="str">
            <v>American Solutions Inc.</v>
          </cell>
          <cell r="H5818">
            <v>11</v>
          </cell>
        </row>
        <row r="5819">
          <cell r="B5819" t="str">
            <v>1341</v>
          </cell>
          <cell r="C5819" t="str">
            <v>Invoice</v>
          </cell>
          <cell r="D5819">
            <v>38597</v>
          </cell>
          <cell r="F5819" t="str">
            <v>7717</v>
          </cell>
          <cell r="G5819" t="str">
            <v>AroMarketing:AroMarketing - Texas</v>
          </cell>
          <cell r="H5819">
            <v>11.33</v>
          </cell>
        </row>
        <row r="5820">
          <cell r="B5820" t="str">
            <v>0317</v>
          </cell>
          <cell r="C5820" t="str">
            <v>Invoice</v>
          </cell>
          <cell r="D5820">
            <v>38630</v>
          </cell>
          <cell r="F5820" t="str">
            <v>8206</v>
          </cell>
          <cell r="G5820" t="str">
            <v>AroMarketing:AroMarketing - Texas</v>
          </cell>
          <cell r="H5820">
            <v>12</v>
          </cell>
        </row>
        <row r="5821">
          <cell r="B5821" t="str">
            <v>1016</v>
          </cell>
          <cell r="C5821" t="str">
            <v>Invoice</v>
          </cell>
          <cell r="D5821">
            <v>38630</v>
          </cell>
          <cell r="F5821" t="str">
            <v>8206</v>
          </cell>
          <cell r="G5821" t="str">
            <v>AroMarketing:AroMarketing - Texas</v>
          </cell>
          <cell r="H5821">
            <v>12</v>
          </cell>
        </row>
        <row r="5822">
          <cell r="B5822" t="str">
            <v>1104</v>
          </cell>
          <cell r="C5822" t="str">
            <v>Invoice</v>
          </cell>
          <cell r="D5822">
            <v>38442</v>
          </cell>
          <cell r="F5822" t="str">
            <v>5445</v>
          </cell>
          <cell r="G5822" t="str">
            <v>Grupobiz-Integradora De Espartaculos</v>
          </cell>
          <cell r="H5822">
            <v>12</v>
          </cell>
        </row>
        <row r="5823">
          <cell r="B5823" t="str">
            <v>SCENTSAMPLES</v>
          </cell>
          <cell r="C5823" t="str">
            <v>Invoice</v>
          </cell>
          <cell r="D5823">
            <v>38567</v>
          </cell>
          <cell r="F5823" t="str">
            <v>7295</v>
          </cell>
          <cell r="G5823" t="str">
            <v>Muzak, LLC</v>
          </cell>
          <cell r="H5823">
            <v>12</v>
          </cell>
        </row>
        <row r="5824">
          <cell r="B5824" t="str">
            <v>SCENTSAMPLES</v>
          </cell>
          <cell r="C5824" t="str">
            <v>Invoice</v>
          </cell>
          <cell r="D5824">
            <v>38607</v>
          </cell>
          <cell r="F5824" t="str">
            <v>7893</v>
          </cell>
          <cell r="G5824" t="str">
            <v>Mattel</v>
          </cell>
          <cell r="H5824">
            <v>12</v>
          </cell>
        </row>
        <row r="5825">
          <cell r="B5825" t="str">
            <v>SPC500-0297</v>
          </cell>
          <cell r="C5825" t="str">
            <v>Invoice</v>
          </cell>
          <cell r="D5825">
            <v>38398</v>
          </cell>
          <cell r="F5825" t="str">
            <v>5313</v>
          </cell>
          <cell r="G5825" t="str">
            <v>Craftsman Industries</v>
          </cell>
          <cell r="H5825">
            <v>12</v>
          </cell>
        </row>
        <row r="5826">
          <cell r="B5826" t="str">
            <v>SPC500-0297</v>
          </cell>
          <cell r="C5826" t="str">
            <v>Invoice</v>
          </cell>
          <cell r="D5826">
            <v>38603</v>
          </cell>
          <cell r="F5826" t="str">
            <v>7885</v>
          </cell>
          <cell r="G5826" t="str">
            <v>Vacation Connections</v>
          </cell>
          <cell r="H5826">
            <v>12</v>
          </cell>
        </row>
        <row r="5827">
          <cell r="B5827" t="str">
            <v>SPC500-0416</v>
          </cell>
          <cell r="C5827" t="str">
            <v>Invoice</v>
          </cell>
          <cell r="D5827">
            <v>38427</v>
          </cell>
          <cell r="F5827" t="str">
            <v>5312</v>
          </cell>
          <cell r="G5827" t="str">
            <v>Craftsman Industries</v>
          </cell>
          <cell r="H5827">
            <v>12</v>
          </cell>
        </row>
        <row r="5828">
          <cell r="B5828" t="str">
            <v>SPC500-0849</v>
          </cell>
          <cell r="C5828" t="str">
            <v>Invoice</v>
          </cell>
          <cell r="D5828">
            <v>38603</v>
          </cell>
          <cell r="F5828" t="str">
            <v>7885</v>
          </cell>
          <cell r="G5828" t="str">
            <v>Vacation Connections</v>
          </cell>
          <cell r="H5828">
            <v>12</v>
          </cell>
        </row>
        <row r="5829">
          <cell r="B5829" t="str">
            <v>SPC500-0851</v>
          </cell>
          <cell r="C5829" t="str">
            <v>Invoice</v>
          </cell>
          <cell r="D5829">
            <v>38603</v>
          </cell>
          <cell r="F5829" t="str">
            <v>7885</v>
          </cell>
          <cell r="G5829" t="str">
            <v>Vacation Connections</v>
          </cell>
          <cell r="H5829">
            <v>12</v>
          </cell>
        </row>
        <row r="5830">
          <cell r="B5830" t="str">
            <v>SPC500-1062</v>
          </cell>
          <cell r="C5830" t="str">
            <v>Invoice</v>
          </cell>
          <cell r="D5830">
            <v>38603</v>
          </cell>
          <cell r="F5830" t="str">
            <v>7885</v>
          </cell>
          <cell r="G5830" t="str">
            <v>Vacation Connections</v>
          </cell>
          <cell r="H5830">
            <v>12</v>
          </cell>
        </row>
        <row r="5831">
          <cell r="B5831" t="str">
            <v>SPC500-849</v>
          </cell>
          <cell r="C5831" t="str">
            <v>Invoice</v>
          </cell>
          <cell r="D5831">
            <v>38398</v>
          </cell>
          <cell r="F5831" t="str">
            <v>5313</v>
          </cell>
          <cell r="G5831" t="str">
            <v>Craftsman Industries</v>
          </cell>
          <cell r="H5831">
            <v>12</v>
          </cell>
        </row>
        <row r="5832">
          <cell r="B5832" t="str">
            <v>SWC2000-1095</v>
          </cell>
          <cell r="C5832" t="str">
            <v>Invoice</v>
          </cell>
          <cell r="D5832">
            <v>38504</v>
          </cell>
          <cell r="F5832" t="str">
            <v>6223</v>
          </cell>
          <cell r="G5832" t="str">
            <v>RJO</v>
          </cell>
          <cell r="H5832">
            <v>12</v>
          </cell>
        </row>
        <row r="5833">
          <cell r="B5833" t="str">
            <v>SWD1000B</v>
          </cell>
          <cell r="C5833" t="str">
            <v>Invoice</v>
          </cell>
          <cell r="D5833">
            <v>38411</v>
          </cell>
          <cell r="F5833" t="str">
            <v>5409</v>
          </cell>
          <cell r="G5833" t="str">
            <v>ScentAir Australia Pty Ltd.</v>
          </cell>
          <cell r="H5833">
            <v>12</v>
          </cell>
        </row>
        <row r="5834">
          <cell r="B5834" t="str">
            <v>SWD1000B</v>
          </cell>
          <cell r="C5834" t="str">
            <v>Invoice</v>
          </cell>
          <cell r="D5834">
            <v>38526</v>
          </cell>
          <cell r="F5834" t="str">
            <v>5567A</v>
          </cell>
          <cell r="G5834" t="str">
            <v>AroMarketing:AroMarketing - Texas</v>
          </cell>
          <cell r="H5834">
            <v>12</v>
          </cell>
        </row>
        <row r="5835">
          <cell r="B5835" t="str">
            <v>SWD1000W</v>
          </cell>
          <cell r="C5835" t="str">
            <v>Invoice</v>
          </cell>
          <cell r="D5835">
            <v>38526</v>
          </cell>
          <cell r="F5835" t="str">
            <v>5567A</v>
          </cell>
          <cell r="G5835" t="str">
            <v>AroMarketing:AroMarketing - Texas</v>
          </cell>
          <cell r="H5835">
            <v>12</v>
          </cell>
        </row>
        <row r="5836">
          <cell r="B5836" t="str">
            <v>1104</v>
          </cell>
          <cell r="C5836" t="str">
            <v>Invoice</v>
          </cell>
          <cell r="D5836">
            <v>38483</v>
          </cell>
          <cell r="F5836" t="str">
            <v>6053</v>
          </cell>
          <cell r="G5836" t="str">
            <v>AroMarketing:AroMarketing - Texas</v>
          </cell>
          <cell r="H5836">
            <v>13</v>
          </cell>
        </row>
        <row r="5837">
          <cell r="B5837" t="str">
            <v>ESS - SCENT SERVICE</v>
          </cell>
          <cell r="C5837" t="str">
            <v>Invoice</v>
          </cell>
          <cell r="D5837">
            <v>38614</v>
          </cell>
          <cell r="F5837" t="str">
            <v>7996</v>
          </cell>
          <cell r="G5837" t="str">
            <v>Hard Rock Hotel and Casino - Las Vegas</v>
          </cell>
          <cell r="H5837">
            <v>14</v>
          </cell>
        </row>
        <row r="5838">
          <cell r="B5838" t="str">
            <v>MNT1000</v>
          </cell>
          <cell r="C5838" t="str">
            <v>Invoice</v>
          </cell>
          <cell r="D5838">
            <v>38614</v>
          </cell>
          <cell r="F5838" t="str">
            <v>7996</v>
          </cell>
          <cell r="G5838" t="str">
            <v>Hard Rock Hotel and Casino - Las Vegas</v>
          </cell>
          <cell r="H5838">
            <v>14</v>
          </cell>
        </row>
        <row r="5839">
          <cell r="B5839" t="str">
            <v>SA20</v>
          </cell>
          <cell r="C5839" t="str">
            <v>Invoice</v>
          </cell>
          <cell r="D5839">
            <v>38355</v>
          </cell>
          <cell r="F5839" t="str">
            <v>4997A</v>
          </cell>
          <cell r="G5839" t="str">
            <v>AroMarketing:AroMarketing - Guadalajara</v>
          </cell>
          <cell r="H5839">
            <v>14</v>
          </cell>
        </row>
        <row r="5840">
          <cell r="B5840" t="str">
            <v>SCENTSAMPLES</v>
          </cell>
          <cell r="C5840" t="str">
            <v>Invoice</v>
          </cell>
          <cell r="D5840">
            <v>38519</v>
          </cell>
          <cell r="F5840" t="str">
            <v>5561</v>
          </cell>
          <cell r="G5840" t="str">
            <v>Muzak, LLC:Caroline Aleman</v>
          </cell>
          <cell r="H5840">
            <v>14</v>
          </cell>
        </row>
        <row r="5841">
          <cell r="B5841" t="str">
            <v>SCENTSAMPLES</v>
          </cell>
          <cell r="C5841" t="str">
            <v>Invoice</v>
          </cell>
          <cell r="D5841">
            <v>38525</v>
          </cell>
          <cell r="F5841" t="str">
            <v>5573</v>
          </cell>
          <cell r="G5841" t="str">
            <v>Need Supply Company</v>
          </cell>
          <cell r="H5841">
            <v>14</v>
          </cell>
        </row>
        <row r="5842">
          <cell r="B5842" t="str">
            <v>TIMER</v>
          </cell>
          <cell r="C5842" t="str">
            <v>Invoice</v>
          </cell>
          <cell r="D5842">
            <v>38614</v>
          </cell>
          <cell r="F5842" t="str">
            <v>7996</v>
          </cell>
          <cell r="G5842" t="str">
            <v>Hard Rock Hotel and Casino - Las Vegas</v>
          </cell>
          <cell r="H5842">
            <v>14</v>
          </cell>
        </row>
        <row r="5843">
          <cell r="B5843" t="str">
            <v>PS12DC-1000B</v>
          </cell>
          <cell r="C5843" t="str">
            <v>Invoice</v>
          </cell>
          <cell r="D5843">
            <v>38524</v>
          </cell>
          <cell r="F5843" t="str">
            <v>6401</v>
          </cell>
          <cell r="G5843" t="str">
            <v>Techno Satellite</v>
          </cell>
          <cell r="H5843">
            <v>16</v>
          </cell>
        </row>
        <row r="5844">
          <cell r="B5844" t="str">
            <v>SAMPLESTICKS</v>
          </cell>
          <cell r="C5844" t="str">
            <v>Invoice</v>
          </cell>
          <cell r="D5844">
            <v>38590</v>
          </cell>
          <cell r="F5844" t="str">
            <v>7712</v>
          </cell>
          <cell r="G5844" t="str">
            <v>ScentAir - Corporate Associates:Pamela Knock</v>
          </cell>
          <cell r="H5844">
            <v>16</v>
          </cell>
        </row>
        <row r="5845">
          <cell r="B5845" t="str">
            <v>SCENTSAMPLES</v>
          </cell>
          <cell r="C5845" t="str">
            <v>Invoice</v>
          </cell>
          <cell r="D5845">
            <v>38525</v>
          </cell>
          <cell r="F5845" t="str">
            <v>6396</v>
          </cell>
          <cell r="G5845" t="str">
            <v>Gary Goddard Entertainment</v>
          </cell>
          <cell r="H5845">
            <v>16</v>
          </cell>
        </row>
        <row r="5846">
          <cell r="B5846" t="str">
            <v>SPD510</v>
          </cell>
          <cell r="C5846" t="str">
            <v>Invoice</v>
          </cell>
          <cell r="D5846">
            <v>38520</v>
          </cell>
          <cell r="F5846" t="str">
            <v>6267</v>
          </cell>
          <cell r="G5846" t="str">
            <v>Techno Satellite</v>
          </cell>
          <cell r="H5846">
            <v>16</v>
          </cell>
        </row>
        <row r="5847">
          <cell r="B5847" t="str">
            <v>SPOP-C</v>
          </cell>
          <cell r="C5847" t="str">
            <v>Invoice</v>
          </cell>
          <cell r="D5847">
            <v>38358</v>
          </cell>
          <cell r="F5847" t="str">
            <v>5155</v>
          </cell>
          <cell r="G5847" t="str">
            <v>Trade Fisture/ New Leaf</v>
          </cell>
          <cell r="H5847">
            <v>16</v>
          </cell>
        </row>
        <row r="5848">
          <cell r="B5848" t="str">
            <v>SAMPLESTICKS</v>
          </cell>
          <cell r="C5848" t="str">
            <v>Invoice</v>
          </cell>
          <cell r="D5848">
            <v>38604</v>
          </cell>
          <cell r="F5848" t="str">
            <v>7849</v>
          </cell>
          <cell r="G5848" t="str">
            <v>ScentAir - Corporate Associates:Pamela Knock</v>
          </cell>
          <cell r="H5848">
            <v>18</v>
          </cell>
        </row>
        <row r="5849">
          <cell r="B5849" t="str">
            <v>SWC-Blank</v>
          </cell>
          <cell r="C5849" t="str">
            <v>Invoice</v>
          </cell>
          <cell r="D5849">
            <v>38533</v>
          </cell>
          <cell r="F5849" t="str">
            <v>5580-I</v>
          </cell>
          <cell r="G5849" t="str">
            <v>AroMarketing:AroMarketing - Texas</v>
          </cell>
          <cell r="H5849">
            <v>18</v>
          </cell>
        </row>
        <row r="5850">
          <cell r="B5850" t="str">
            <v>SWD1000B</v>
          </cell>
          <cell r="C5850" t="str">
            <v>Invoice</v>
          </cell>
          <cell r="D5850">
            <v>38533</v>
          </cell>
          <cell r="F5850" t="str">
            <v>5580-I</v>
          </cell>
          <cell r="G5850" t="str">
            <v>AroMarketing:AroMarketing - Texas</v>
          </cell>
          <cell r="H5850">
            <v>18</v>
          </cell>
        </row>
        <row r="5851">
          <cell r="B5851" t="str">
            <v>FAN8040DC</v>
          </cell>
          <cell r="C5851" t="str">
            <v>Invoice</v>
          </cell>
          <cell r="D5851">
            <v>38471</v>
          </cell>
          <cell r="F5851" t="str">
            <v>6020</v>
          </cell>
          <cell r="G5851" t="str">
            <v>ScentAir Australia Pty Ltd.</v>
          </cell>
          <cell r="H5851">
            <v>20</v>
          </cell>
        </row>
        <row r="5852">
          <cell r="B5852" t="str">
            <v>SWD1000B</v>
          </cell>
          <cell r="C5852" t="str">
            <v>Invoice</v>
          </cell>
          <cell r="D5852">
            <v>38393</v>
          </cell>
          <cell r="F5852" t="str">
            <v>5283</v>
          </cell>
          <cell r="G5852" t="str">
            <v>Grupobiz-Integradora De Espartaculos</v>
          </cell>
          <cell r="H5852">
            <v>20</v>
          </cell>
        </row>
        <row r="5853">
          <cell r="B5853" t="str">
            <v>0317</v>
          </cell>
          <cell r="C5853" t="str">
            <v>Invoice</v>
          </cell>
          <cell r="D5853">
            <v>38526</v>
          </cell>
          <cell r="F5853" t="str">
            <v>5567A</v>
          </cell>
          <cell r="G5853" t="str">
            <v>AroMarketing:AroMarketing - Texas</v>
          </cell>
          <cell r="H5853">
            <v>21</v>
          </cell>
        </row>
        <row r="5854">
          <cell r="B5854" t="str">
            <v>1254</v>
          </cell>
          <cell r="C5854" t="str">
            <v>Invoice</v>
          </cell>
          <cell r="D5854">
            <v>38442</v>
          </cell>
          <cell r="F5854" t="str">
            <v>5445</v>
          </cell>
          <cell r="G5854" t="str">
            <v>Grupobiz-Integradora De Espartaculos</v>
          </cell>
          <cell r="H5854">
            <v>22</v>
          </cell>
        </row>
        <row r="5855">
          <cell r="B5855" t="str">
            <v>1364</v>
          </cell>
          <cell r="C5855" t="str">
            <v>Invoice</v>
          </cell>
          <cell r="D5855">
            <v>38442</v>
          </cell>
          <cell r="F5855" t="str">
            <v>5445</v>
          </cell>
          <cell r="G5855" t="str">
            <v>Grupobiz-Integradora De Espartaculos</v>
          </cell>
          <cell r="H5855">
            <v>22</v>
          </cell>
        </row>
        <row r="5856">
          <cell r="B5856" t="str">
            <v>SCENTSAMPLES</v>
          </cell>
          <cell r="C5856" t="str">
            <v>Invoice</v>
          </cell>
          <cell r="D5856">
            <v>38467</v>
          </cell>
          <cell r="F5856" t="str">
            <v>6008</v>
          </cell>
          <cell r="G5856" t="str">
            <v>Maryland Science Center</v>
          </cell>
          <cell r="H5856">
            <v>22</v>
          </cell>
        </row>
        <row r="5857">
          <cell r="B5857" t="str">
            <v>SCENTSAMPLES</v>
          </cell>
          <cell r="C5857" t="str">
            <v>Invoice</v>
          </cell>
          <cell r="D5857">
            <v>38474</v>
          </cell>
          <cell r="F5857" t="str">
            <v>CR6019</v>
          </cell>
          <cell r="G5857" t="str">
            <v>Maryland Science Center</v>
          </cell>
          <cell r="H5857">
            <v>22</v>
          </cell>
        </row>
        <row r="5858">
          <cell r="B5858" t="str">
            <v>0297</v>
          </cell>
          <cell r="C5858" t="str">
            <v>Invoice</v>
          </cell>
          <cell r="D5858">
            <v>38597</v>
          </cell>
          <cell r="F5858" t="str">
            <v>7717</v>
          </cell>
          <cell r="G5858" t="str">
            <v>AroMarketing:AroMarketing - Texas</v>
          </cell>
          <cell r="H5858">
            <v>22.65</v>
          </cell>
        </row>
        <row r="5859">
          <cell r="B5859" t="str">
            <v>PS12DC-1000B</v>
          </cell>
          <cell r="C5859" t="str">
            <v>Invoice</v>
          </cell>
          <cell r="D5859">
            <v>38533</v>
          </cell>
          <cell r="F5859" t="str">
            <v>5580-I</v>
          </cell>
          <cell r="G5859" t="str">
            <v>AroMarketing:AroMarketing - Texas</v>
          </cell>
          <cell r="H5859">
            <v>24</v>
          </cell>
        </row>
        <row r="5860">
          <cell r="B5860" t="str">
            <v>SWC2000-0976</v>
          </cell>
          <cell r="C5860" t="str">
            <v>Invoice</v>
          </cell>
          <cell r="D5860">
            <v>38440</v>
          </cell>
          <cell r="F5860" t="str">
            <v>5555</v>
          </cell>
          <cell r="G5860" t="str">
            <v>Snowmasters</v>
          </cell>
          <cell r="H5860">
            <v>24</v>
          </cell>
        </row>
        <row r="5861">
          <cell r="B5861" t="str">
            <v>SWD1000B</v>
          </cell>
          <cell r="C5861" t="str">
            <v>Invoice</v>
          </cell>
          <cell r="D5861">
            <v>38470</v>
          </cell>
          <cell r="F5861" t="str">
            <v>6006</v>
          </cell>
          <cell r="G5861" t="str">
            <v>Techno Satellite</v>
          </cell>
          <cell r="H5861">
            <v>24</v>
          </cell>
        </row>
        <row r="5862">
          <cell r="B5862" t="str">
            <v>0297</v>
          </cell>
          <cell r="C5862" t="str">
            <v>Invoice</v>
          </cell>
          <cell r="D5862">
            <v>38526</v>
          </cell>
          <cell r="F5862" t="str">
            <v>5567A</v>
          </cell>
          <cell r="G5862" t="str">
            <v>AroMarketing:AroMarketing - Texas</v>
          </cell>
          <cell r="H5862">
            <v>25</v>
          </cell>
        </row>
        <row r="5863">
          <cell r="B5863" t="str">
            <v>1016</v>
          </cell>
          <cell r="C5863" t="str">
            <v>Invoice</v>
          </cell>
          <cell r="D5863">
            <v>38562</v>
          </cell>
          <cell r="F5863" t="str">
            <v>7208</v>
          </cell>
          <cell r="G5863" t="str">
            <v>AroMarketing:AroMarketing - Texas</v>
          </cell>
          <cell r="H5863">
            <v>25</v>
          </cell>
        </row>
        <row r="5864">
          <cell r="B5864" t="str">
            <v>1105</v>
          </cell>
          <cell r="C5864" t="str">
            <v>Invoice</v>
          </cell>
          <cell r="D5864">
            <v>38483</v>
          </cell>
          <cell r="F5864" t="str">
            <v>6053</v>
          </cell>
          <cell r="G5864" t="str">
            <v>AroMarketing:AroMarketing - Texas</v>
          </cell>
          <cell r="H5864">
            <v>25</v>
          </cell>
        </row>
        <row r="5865">
          <cell r="B5865" t="str">
            <v>1105</v>
          </cell>
          <cell r="C5865" t="str">
            <v>Invoice</v>
          </cell>
          <cell r="D5865">
            <v>38526</v>
          </cell>
          <cell r="F5865" t="str">
            <v>5567A</v>
          </cell>
          <cell r="G5865" t="str">
            <v>AroMarketing:AroMarketing - Texas</v>
          </cell>
          <cell r="H5865">
            <v>25</v>
          </cell>
        </row>
        <row r="5866">
          <cell r="B5866" t="str">
            <v>1341</v>
          </cell>
          <cell r="C5866" t="str">
            <v>Invoice</v>
          </cell>
          <cell r="D5866">
            <v>38526</v>
          </cell>
          <cell r="F5866" t="str">
            <v>5567A</v>
          </cell>
          <cell r="G5866" t="str">
            <v>AroMarketing:AroMarketing - Texas</v>
          </cell>
          <cell r="H5866">
            <v>25</v>
          </cell>
        </row>
        <row r="5867">
          <cell r="B5867" t="str">
            <v>SPD510</v>
          </cell>
          <cell r="C5867" t="str">
            <v>Invoice</v>
          </cell>
          <cell r="D5867">
            <v>38398</v>
          </cell>
          <cell r="F5867" t="str">
            <v>5302A</v>
          </cell>
          <cell r="G5867" t="str">
            <v>ScentAir Australia Pty Ltd.</v>
          </cell>
          <cell r="H5867">
            <v>25</v>
          </cell>
        </row>
        <row r="5868">
          <cell r="B5868" t="str">
            <v>SWD1000B</v>
          </cell>
          <cell r="C5868" t="str">
            <v>Invoice</v>
          </cell>
          <cell r="D5868">
            <v>38398</v>
          </cell>
          <cell r="F5868" t="str">
            <v>5302A</v>
          </cell>
          <cell r="G5868" t="str">
            <v>ScentAir Australia Pty Ltd.</v>
          </cell>
          <cell r="H5868">
            <v>25</v>
          </cell>
        </row>
        <row r="5869">
          <cell r="B5869" t="str">
            <v>SWD1000BKIT</v>
          </cell>
          <cell r="C5869" t="str">
            <v>Invoice</v>
          </cell>
          <cell r="D5869">
            <v>38597</v>
          </cell>
          <cell r="F5869" t="str">
            <v>7717</v>
          </cell>
          <cell r="G5869" t="str">
            <v>AroMarketing:AroMarketing - Texas</v>
          </cell>
          <cell r="H5869">
            <v>25</v>
          </cell>
        </row>
        <row r="5870">
          <cell r="B5870" t="str">
            <v>SWD1000WKIT</v>
          </cell>
          <cell r="C5870" t="str">
            <v>Invoice</v>
          </cell>
          <cell r="D5870">
            <v>38597</v>
          </cell>
          <cell r="F5870" t="str">
            <v>7717</v>
          </cell>
          <cell r="G5870" t="str">
            <v>AroMarketing:AroMarketing - Texas</v>
          </cell>
          <cell r="H5870">
            <v>25</v>
          </cell>
        </row>
        <row r="5871">
          <cell r="B5871" t="str">
            <v>SWC1040-1340</v>
          </cell>
          <cell r="C5871" t="str">
            <v>Invoice</v>
          </cell>
          <cell r="D5871">
            <v>38539</v>
          </cell>
          <cell r="F5871" t="str">
            <v>5581-I</v>
          </cell>
          <cell r="G5871" t="str">
            <v>Muzak, LLC:Muzak (Demo)</v>
          </cell>
          <cell r="H5871">
            <v>26</v>
          </cell>
        </row>
        <row r="5872">
          <cell r="B5872" t="str">
            <v>SWD1000B</v>
          </cell>
          <cell r="C5872" t="str">
            <v>Invoice</v>
          </cell>
          <cell r="D5872">
            <v>38539</v>
          </cell>
          <cell r="F5872" t="str">
            <v>5581-I</v>
          </cell>
          <cell r="G5872" t="str">
            <v>Muzak, LLC:Muzak (Demo)</v>
          </cell>
          <cell r="H5872">
            <v>26</v>
          </cell>
        </row>
        <row r="5873">
          <cell r="B5873" t="str">
            <v>SCENTSAMPLES</v>
          </cell>
          <cell r="C5873" t="str">
            <v>Invoice</v>
          </cell>
          <cell r="D5873">
            <v>38544</v>
          </cell>
          <cell r="F5873" t="str">
            <v>7075-I</v>
          </cell>
          <cell r="G5873" t="str">
            <v>Arkitectura Urbana</v>
          </cell>
          <cell r="H5873">
            <v>30</v>
          </cell>
        </row>
        <row r="5874">
          <cell r="B5874" t="str">
            <v>SPD510</v>
          </cell>
          <cell r="C5874" t="str">
            <v>Invoice</v>
          </cell>
          <cell r="D5874">
            <v>38483</v>
          </cell>
          <cell r="F5874" t="str">
            <v>6053</v>
          </cell>
          <cell r="G5874" t="str">
            <v>AroMarketing:AroMarketing - Texas</v>
          </cell>
          <cell r="H5874">
            <v>30</v>
          </cell>
        </row>
        <row r="5875">
          <cell r="B5875" t="str">
            <v>SPD510</v>
          </cell>
          <cell r="C5875" t="str">
            <v>Invoice</v>
          </cell>
          <cell r="D5875">
            <v>38562</v>
          </cell>
          <cell r="F5875" t="str">
            <v>7208</v>
          </cell>
          <cell r="G5875" t="str">
            <v>AroMarketing:AroMarketing - Texas</v>
          </cell>
          <cell r="H5875">
            <v>30</v>
          </cell>
        </row>
        <row r="5876">
          <cell r="B5876" t="str">
            <v>SWC1040-1095</v>
          </cell>
          <cell r="C5876" t="str">
            <v>Invoice</v>
          </cell>
          <cell r="D5876">
            <v>38470</v>
          </cell>
          <cell r="F5876" t="str">
            <v>6006</v>
          </cell>
          <cell r="G5876" t="str">
            <v>Techno Satellite</v>
          </cell>
          <cell r="H5876">
            <v>30</v>
          </cell>
        </row>
        <row r="5877">
          <cell r="B5877" t="str">
            <v>SWD1000B</v>
          </cell>
          <cell r="C5877" t="str">
            <v>Invoice</v>
          </cell>
          <cell r="D5877">
            <v>38442</v>
          </cell>
          <cell r="F5877" t="str">
            <v>5584</v>
          </cell>
          <cell r="G5877" t="str">
            <v>AroMarketing:AroMarketing - Texas</v>
          </cell>
          <cell r="H5877">
            <v>30</v>
          </cell>
        </row>
        <row r="5878">
          <cell r="B5878" t="str">
            <v>WC2040-BLANK</v>
          </cell>
          <cell r="C5878" t="str">
            <v>Invoice</v>
          </cell>
          <cell r="D5878">
            <v>38630</v>
          </cell>
          <cell r="F5878" t="str">
            <v>8206</v>
          </cell>
          <cell r="G5878" t="str">
            <v>AroMarketing:AroMarketing - Texas</v>
          </cell>
          <cell r="H5878">
            <v>30</v>
          </cell>
        </row>
        <row r="5879">
          <cell r="B5879" t="str">
            <v>SPD510</v>
          </cell>
          <cell r="C5879" t="str">
            <v>Invoice</v>
          </cell>
          <cell r="D5879">
            <v>38469</v>
          </cell>
          <cell r="F5879" t="str">
            <v>6019</v>
          </cell>
          <cell r="G5879" t="str">
            <v>Strategic Operations Inc.</v>
          </cell>
          <cell r="H5879">
            <v>34</v>
          </cell>
        </row>
        <row r="5880">
          <cell r="B5880" t="str">
            <v>SPD510</v>
          </cell>
          <cell r="C5880" t="str">
            <v>Invoice</v>
          </cell>
          <cell r="D5880">
            <v>38569</v>
          </cell>
          <cell r="F5880" t="str">
            <v>7320</v>
          </cell>
          <cell r="G5880" t="str">
            <v>Strategic Operations Inc.</v>
          </cell>
          <cell r="H5880">
            <v>34</v>
          </cell>
        </row>
        <row r="5881">
          <cell r="B5881" t="str">
            <v>SWC-Blank</v>
          </cell>
          <cell r="C5881" t="str">
            <v>Invoice</v>
          </cell>
          <cell r="D5881">
            <v>38393</v>
          </cell>
          <cell r="F5881" t="str">
            <v>5283</v>
          </cell>
          <cell r="G5881" t="str">
            <v>Grupobiz-Integradora De Espartaculos</v>
          </cell>
          <cell r="H5881">
            <v>40</v>
          </cell>
        </row>
        <row r="5882">
          <cell r="B5882" t="str">
            <v>SPD510</v>
          </cell>
          <cell r="C5882" t="str">
            <v>Invoice</v>
          </cell>
          <cell r="D5882">
            <v>38520</v>
          </cell>
          <cell r="F5882" t="str">
            <v>6381</v>
          </cell>
          <cell r="G5882" t="str">
            <v>AroMarketing:AroMarketing - Guadalajara</v>
          </cell>
          <cell r="H5882">
            <v>45</v>
          </cell>
        </row>
        <row r="5883">
          <cell r="B5883" t="str">
            <v>MISC_COGS</v>
          </cell>
          <cell r="C5883" t="str">
            <v>Invoice</v>
          </cell>
          <cell r="D5883">
            <v>38541</v>
          </cell>
          <cell r="F5883" t="str">
            <v>7101</v>
          </cell>
          <cell r="G5883" t="str">
            <v>ScentAir Australia Pty Ltd.</v>
          </cell>
          <cell r="H5883">
            <v>50</v>
          </cell>
        </row>
        <row r="5884">
          <cell r="B5884" t="str">
            <v>SAC</v>
          </cell>
          <cell r="C5884" t="str">
            <v>Invoice</v>
          </cell>
          <cell r="D5884">
            <v>38383</v>
          </cell>
          <cell r="F5884" t="str">
            <v>5001A</v>
          </cell>
          <cell r="G5884" t="str">
            <v>AroMarketing:AroMarketing - Guadalajara</v>
          </cell>
          <cell r="H5884">
            <v>50</v>
          </cell>
        </row>
        <row r="5885">
          <cell r="B5885" t="str">
            <v>SEC1020-0794</v>
          </cell>
          <cell r="C5885" t="str">
            <v>Invoice</v>
          </cell>
          <cell r="D5885">
            <v>38498</v>
          </cell>
          <cell r="F5885" t="str">
            <v>6142</v>
          </cell>
          <cell r="G5885" t="str">
            <v>Scent Events, LLC</v>
          </cell>
          <cell r="H5885">
            <v>50</v>
          </cell>
        </row>
        <row r="5886">
          <cell r="B5886" t="str">
            <v>SPC500-0922</v>
          </cell>
          <cell r="C5886" t="str">
            <v>Invoice</v>
          </cell>
          <cell r="D5886">
            <v>38503</v>
          </cell>
          <cell r="F5886" t="str">
            <v>6197</v>
          </cell>
          <cell r="G5886" t="str">
            <v>ScentAir Australia Pty Ltd.</v>
          </cell>
          <cell r="H5886">
            <v>50</v>
          </cell>
        </row>
        <row r="5887">
          <cell r="B5887" t="str">
            <v>SWC-Blank</v>
          </cell>
          <cell r="C5887" t="str">
            <v>Invoice</v>
          </cell>
          <cell r="D5887">
            <v>38513</v>
          </cell>
          <cell r="F5887" t="str">
            <v>5560</v>
          </cell>
          <cell r="G5887" t="str">
            <v>AroMarketing:AroMarketing - Guadalajara</v>
          </cell>
          <cell r="H5887">
            <v>50</v>
          </cell>
        </row>
        <row r="5888">
          <cell r="B5888" t="str">
            <v>SWC-Blank</v>
          </cell>
          <cell r="C5888" t="str">
            <v>Invoice</v>
          </cell>
          <cell r="D5888">
            <v>38526</v>
          </cell>
          <cell r="F5888" t="str">
            <v>5567A</v>
          </cell>
          <cell r="G5888" t="str">
            <v>AroMarketing:AroMarketing - Texas</v>
          </cell>
          <cell r="H5888">
            <v>50</v>
          </cell>
        </row>
        <row r="5889">
          <cell r="B5889" t="str">
            <v>SWD1000BKIT</v>
          </cell>
          <cell r="C5889" t="str">
            <v>Invoice</v>
          </cell>
          <cell r="D5889">
            <v>38442</v>
          </cell>
          <cell r="F5889" t="str">
            <v>5445</v>
          </cell>
          <cell r="G5889" t="str">
            <v>Grupobiz-Integradora De Espartaculos</v>
          </cell>
          <cell r="H5889">
            <v>50</v>
          </cell>
        </row>
        <row r="5890">
          <cell r="B5890" t="str">
            <v>Freight - Chg fr.Vendors</v>
          </cell>
          <cell r="C5890" t="str">
            <v>Invoice</v>
          </cell>
          <cell r="D5890">
            <v>38442</v>
          </cell>
          <cell r="F5890" t="str">
            <v>5445</v>
          </cell>
          <cell r="G5890" t="str">
            <v>Grupobiz-Integradora De Espartaculos</v>
          </cell>
          <cell r="H5890">
            <v>55</v>
          </cell>
        </row>
        <row r="5891">
          <cell r="B5891" t="str">
            <v>SAMPLESTICKS</v>
          </cell>
          <cell r="C5891" t="str">
            <v>Invoice</v>
          </cell>
          <cell r="D5891">
            <v>38604</v>
          </cell>
          <cell r="F5891" t="str">
            <v>7267</v>
          </cell>
          <cell r="G5891" t="str">
            <v>Ogilvy &amp; Mather</v>
          </cell>
          <cell r="H5891">
            <v>60</v>
          </cell>
        </row>
        <row r="5892">
          <cell r="B5892" t="str">
            <v>SWD1000B</v>
          </cell>
          <cell r="C5892" t="str">
            <v>Invoice</v>
          </cell>
          <cell r="D5892">
            <v>38442</v>
          </cell>
          <cell r="F5892" t="str">
            <v>5571</v>
          </cell>
          <cell r="G5892" t="str">
            <v>ScentAir Australia Pty Ltd.</v>
          </cell>
          <cell r="H5892">
            <v>63</v>
          </cell>
        </row>
        <row r="5893">
          <cell r="B5893" t="str">
            <v>SWD1000B</v>
          </cell>
          <cell r="C5893" t="str">
            <v>Invoice</v>
          </cell>
          <cell r="D5893">
            <v>38503</v>
          </cell>
          <cell r="F5893" t="str">
            <v>6007</v>
          </cell>
          <cell r="G5893" t="str">
            <v>Techno Satellite</v>
          </cell>
          <cell r="H5893">
            <v>73</v>
          </cell>
        </row>
        <row r="5894">
          <cell r="B5894" t="str">
            <v>SPD510</v>
          </cell>
          <cell r="C5894" t="str">
            <v>Invoice</v>
          </cell>
          <cell r="D5894">
            <v>38411</v>
          </cell>
          <cell r="F5894" t="str">
            <v>5409</v>
          </cell>
          <cell r="G5894" t="str">
            <v>ScentAir Australia Pty Ltd.</v>
          </cell>
          <cell r="H5894">
            <v>75</v>
          </cell>
        </row>
        <row r="5895">
          <cell r="B5895" t="str">
            <v>SCENTSAMPLES</v>
          </cell>
          <cell r="C5895" t="str">
            <v>Invoice</v>
          </cell>
          <cell r="D5895">
            <v>38471</v>
          </cell>
          <cell r="F5895" t="str">
            <v>6020</v>
          </cell>
          <cell r="G5895" t="str">
            <v>ScentAir Australia Pty Ltd.</v>
          </cell>
          <cell r="H5895">
            <v>77</v>
          </cell>
        </row>
        <row r="5896">
          <cell r="B5896" t="str">
            <v>MISC_COGS</v>
          </cell>
          <cell r="C5896" t="str">
            <v>Invoice</v>
          </cell>
          <cell r="D5896">
            <v>38545</v>
          </cell>
          <cell r="F5896" t="str">
            <v>7133</v>
          </cell>
          <cell r="G5896" t="str">
            <v>ScentAir - Corporate Associates:Pamela Knock</v>
          </cell>
          <cell r="H5896">
            <v>80</v>
          </cell>
        </row>
        <row r="5897">
          <cell r="B5897" t="str">
            <v>PC500-BLANK</v>
          </cell>
          <cell r="C5897" t="str">
            <v>Invoice</v>
          </cell>
          <cell r="D5897">
            <v>38562</v>
          </cell>
          <cell r="F5897" t="str">
            <v>7208</v>
          </cell>
          <cell r="G5897" t="str">
            <v>AroMarketing:AroMarketing - Texas</v>
          </cell>
          <cell r="H5897">
            <v>100</v>
          </cell>
        </row>
        <row r="5898">
          <cell r="B5898" t="str">
            <v>SCENTSAMPLES</v>
          </cell>
          <cell r="C5898" t="str">
            <v>Invoice</v>
          </cell>
          <cell r="D5898">
            <v>38551</v>
          </cell>
          <cell r="F5898" t="str">
            <v>7125</v>
          </cell>
          <cell r="G5898" t="str">
            <v>Muzak, LLC:Muzak (Demo)</v>
          </cell>
          <cell r="H5898">
            <v>100</v>
          </cell>
        </row>
        <row r="5899">
          <cell r="B5899" t="str">
            <v>SPOP-C</v>
          </cell>
          <cell r="C5899" t="str">
            <v>Invoice</v>
          </cell>
          <cell r="D5899">
            <v>38483</v>
          </cell>
          <cell r="F5899" t="str">
            <v>6053</v>
          </cell>
          <cell r="G5899" t="str">
            <v>AroMarketing:AroMarketing - Texas</v>
          </cell>
          <cell r="H5899">
            <v>100</v>
          </cell>
        </row>
        <row r="5900">
          <cell r="B5900" t="str">
            <v>SWC-Blank</v>
          </cell>
          <cell r="C5900" t="str">
            <v>Invoice</v>
          </cell>
          <cell r="D5900">
            <v>38533</v>
          </cell>
          <cell r="F5900" t="str">
            <v>5580-I</v>
          </cell>
          <cell r="G5900" t="str">
            <v>AroMarketing:AroMarketing - Texas</v>
          </cell>
          <cell r="H5900">
            <v>150</v>
          </cell>
        </row>
        <row r="5901">
          <cell r="B5901" t="str">
            <v>SEAL3.5</v>
          </cell>
          <cell r="C5901" t="str">
            <v>Invoice</v>
          </cell>
          <cell r="D5901">
            <v>38630</v>
          </cell>
          <cell r="F5901" t="str">
            <v>8206</v>
          </cell>
          <cell r="G5901" t="str">
            <v>AroMarketing:AroMarketing - Texas</v>
          </cell>
          <cell r="H5901">
            <v>200</v>
          </cell>
        </row>
        <row r="5902">
          <cell r="B5902" t="str">
            <v>SWC-Blank</v>
          </cell>
          <cell r="C5902" t="str">
            <v>Invoice</v>
          </cell>
          <cell r="D5902">
            <v>38552</v>
          </cell>
          <cell r="F5902" t="str">
            <v>7014</v>
          </cell>
          <cell r="G5902" t="str">
            <v>AroMarketing:AroMarketing - Texas</v>
          </cell>
          <cell r="H5902">
            <v>200</v>
          </cell>
        </row>
        <row r="5903">
          <cell r="B5903" t="str">
            <v>MISC_COGS</v>
          </cell>
          <cell r="C5903" t="str">
            <v>Invoice</v>
          </cell>
          <cell r="D5903">
            <v>38526</v>
          </cell>
          <cell r="F5903" t="str">
            <v>5567A</v>
          </cell>
          <cell r="G5903" t="str">
            <v>AroMarketing:AroMarketing - Texas</v>
          </cell>
          <cell r="H5903">
            <v>300</v>
          </cell>
        </row>
        <row r="5904">
          <cell r="B5904" t="str">
            <v>PC500-BLANK</v>
          </cell>
          <cell r="C5904" t="str">
            <v>Invoice</v>
          </cell>
          <cell r="D5904">
            <v>38597</v>
          </cell>
          <cell r="F5904" t="str">
            <v>7717</v>
          </cell>
          <cell r="G5904" t="str">
            <v>AroMarketing:AroMarketing - Texas</v>
          </cell>
          <cell r="H5904">
            <v>300</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nk Schedule"/>
      <sheetName val="Schedule"/>
      <sheetName val="Sheet2"/>
      <sheetName val="Table of Tables"/>
      <sheetName val="V_JOB_HEADER"/>
      <sheetName val="V_CUST_IND_SORT_BILL"/>
      <sheetName val="FIttings"/>
      <sheetName val="Template of New Template"/>
      <sheetName val="Shop Planning"/>
    </sheetNames>
    <sheetDataSet>
      <sheetData sheetId="0"/>
      <sheetData sheetId="1" refreshError="1"/>
      <sheetData sheetId="2">
        <row r="1">
          <cell r="B1">
            <v>52</v>
          </cell>
          <cell r="E1">
            <v>1</v>
          </cell>
        </row>
        <row r="2">
          <cell r="B2">
            <v>60</v>
          </cell>
          <cell r="M2">
            <v>2</v>
          </cell>
        </row>
        <row r="3">
          <cell r="B3">
            <v>12</v>
          </cell>
          <cell r="M3">
            <v>1.7000000000000001E-2</v>
          </cell>
        </row>
        <row r="4">
          <cell r="B4">
            <v>60</v>
          </cell>
          <cell r="M4">
            <v>1</v>
          </cell>
        </row>
        <row r="5">
          <cell r="B5">
            <v>12</v>
          </cell>
        </row>
        <row r="6">
          <cell r="M6">
            <v>2483</v>
          </cell>
        </row>
        <row r="7">
          <cell r="M7">
            <v>11</v>
          </cell>
        </row>
        <row r="8">
          <cell r="B8" t="str">
            <v>2PC</v>
          </cell>
          <cell r="M8">
            <v>538.40704496667308</v>
          </cell>
        </row>
        <row r="13">
          <cell r="M13">
            <v>446.72563597333851</v>
          </cell>
        </row>
        <row r="15">
          <cell r="M15">
            <v>9801.769079200154</v>
          </cell>
        </row>
      </sheetData>
      <sheetData sheetId="3">
        <row r="2">
          <cell r="A2" t="str">
            <v>None</v>
          </cell>
        </row>
        <row r="3">
          <cell r="A3">
            <v>16</v>
          </cell>
        </row>
        <row r="4">
          <cell r="A4">
            <v>14</v>
          </cell>
        </row>
        <row r="5">
          <cell r="A5">
            <v>12</v>
          </cell>
        </row>
        <row r="6">
          <cell r="A6">
            <v>10</v>
          </cell>
        </row>
        <row r="7">
          <cell r="A7">
            <v>7</v>
          </cell>
        </row>
        <row r="8">
          <cell r="A8">
            <v>0.25</v>
          </cell>
        </row>
      </sheetData>
      <sheetData sheetId="4" refreshError="1"/>
      <sheetData sheetId="5" refreshError="1"/>
      <sheetData sheetId="6" refreshError="1"/>
      <sheetData sheetId="7" refreshError="1"/>
      <sheetData sheetId="8"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so with affiliate"/>
      <sheetName val="Conso - ACT06"/>
      <sheetName val="Conso-ACT05"/>
      <sheetName val="net assets"/>
      <sheetName val="Conso-Funct06"/>
      <sheetName val="Conso-Funct05"/>
      <sheetName val="CashFlow"/>
      <sheetName val="Sch 1"/>
      <sheetName val="Sch 2"/>
      <sheetName val="Fin.Pos."/>
      <sheetName val="Act.06"/>
      <sheetName val="NetAsts."/>
      <sheetName val="Funct.Exps.06"/>
      <sheetName val="Funct.Exp05"/>
      <sheetName val="analytics"/>
      <sheetName val="FIN Conso-HC"/>
      <sheetName val="ACT Conso-HC"/>
      <sheetName val="WTB"/>
      <sheetName val="SEFA"/>
      <sheetName val="AJ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 "/>
      <sheetName val="East MRB"/>
      <sheetName val="Central MRB"/>
      <sheetName val="West MRB"/>
      <sheetName val="Inside MRB"/>
      <sheetName val="National MRB"/>
      <sheetName val="Dom Distrib MRB"/>
      <sheetName val="East E&amp;L"/>
      <sheetName val="Central E&amp;L"/>
      <sheetName val="West E&amp;L"/>
      <sheetName val="Inside E&amp;L"/>
      <sheetName val="National E&amp;L"/>
      <sheetName val="Dom Distrib e&amp;l"/>
      <sheetName val="20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M"/>
      <sheetName val="3M SSP"/>
      <sheetName val="ACAS"/>
      <sheetName val="ADT"/>
      <sheetName val="AFAP"/>
      <sheetName val="AlarmForce"/>
      <sheetName val="Alion"/>
      <sheetName val="Chart1"/>
      <sheetName val="Chart2"/>
      <sheetName val="ALOG  Security"/>
      <sheetName val="APSG"/>
      <sheetName val="Arjo Wiggins Financials"/>
      <sheetName val="Arjo Wiggins Charts"/>
      <sheetName val="Assa Abloy Global Tech"/>
      <sheetName val="ASEI"/>
      <sheetName val="ASG"/>
      <sheetName val="Ascent Media"/>
      <sheetName val="Augusta"/>
      <sheetName val="Augusta Data"/>
      <sheetName val="Augusta Graphs"/>
      <sheetName val="Authentec"/>
      <sheetName val="AVAV"/>
      <sheetName val="Avery Dennison"/>
      <sheetName val="Avigilon"/>
      <sheetName val="Behavioral Interventions"/>
      <sheetName val="Brinks"/>
      <sheetName val="Bosch"/>
      <sheetName val="Cantronic"/>
      <sheetName val="CFL"/>
      <sheetName val="CD Security"/>
      <sheetName val="Chart3"/>
      <sheetName val="COGT"/>
      <sheetName val="Command"/>
      <sheetName val="CPI"/>
      <sheetName val="China Security"/>
      <sheetName val="CYLU"/>
      <sheetName val="CCA"/>
      <sheetName val="Chart4"/>
      <sheetName val="Devcon"/>
      <sheetName val="DLAR"/>
      <sheetName val="DLAR_old"/>
      <sheetName val="Chart5"/>
      <sheetName val="Chart6"/>
      <sheetName val="DMRC"/>
      <sheetName val="Chart7"/>
      <sheetName val="Chart8"/>
      <sheetName val="DGLY_Old"/>
      <sheetName val="DGLY"/>
      <sheetName val="DRI"/>
      <sheetName val="DuPont"/>
      <sheetName val="EDA"/>
      <sheetName val="Chart9"/>
      <sheetName val="ELMG"/>
      <sheetName val="FLIR"/>
      <sheetName val="Force Protection"/>
      <sheetName val="FSLR"/>
      <sheetName val="FV"/>
      <sheetName val="Giesecke &amp; Devrient"/>
      <sheetName val="G&amp;D"/>
      <sheetName val="G4S"/>
      <sheetName val="Garda"/>
      <sheetName val="Gemalto - Security Segment"/>
      <sheetName val="_CIQHiddenCacheSheet"/>
      <sheetName val="GEO"/>
      <sheetName val="GUNN"/>
      <sheetName val="GUNN - Graph"/>
      <sheetName val="HBE"/>
      <sheetName val="HBE Graphs"/>
      <sheetName val="Hologram Industries"/>
      <sheetName val="Hologram Industries 2"/>
      <sheetName val="Holo Ind graphs"/>
      <sheetName val="Honeywell"/>
      <sheetName val="ICXT New"/>
      <sheetName val="ICXT"/>
      <sheetName val="Chart10"/>
      <sheetName val="Chart11"/>
      <sheetName val="IDSY"/>
      <sheetName val="Image Sensing"/>
      <sheetName val="ISNS Product Fins"/>
      <sheetName val="IndigoVision"/>
      <sheetName val="InterAct"/>
      <sheetName val="Interface"/>
      <sheetName val="iRobot"/>
      <sheetName val="ISEC"/>
      <sheetName val="ISEC - EV Calculation"/>
      <sheetName val="ISEC-Manual"/>
      <sheetName val="Chart12"/>
      <sheetName val="ISS"/>
      <sheetName val="Iteris"/>
      <sheetName val="ITW"/>
      <sheetName val="ITI"/>
      <sheetName val="Chart13"/>
      <sheetName val="JDSU"/>
      <sheetName val="KRATOS"/>
      <sheetName val="L-1"/>
      <sheetName val="L-1_v2"/>
      <sheetName val="Landauer"/>
      <sheetName val="LCRD"/>
      <sheetName val="LCRD_Old"/>
      <sheetName val="Chart14"/>
      <sheetName val="Chart15"/>
      <sheetName val="LOJN"/>
      <sheetName val="Loomis"/>
      <sheetName val="Magal"/>
      <sheetName val="MAGS"/>
      <sheetName val="Chart16"/>
      <sheetName val="Chart17"/>
      <sheetName val="March Networks"/>
      <sheetName val="March Networks - Graphs"/>
      <sheetName val="Minimax"/>
      <sheetName val="Mirion"/>
      <sheetName val="Mirion - Graphs"/>
      <sheetName val="Mobotix"/>
      <sheetName val="Monitronics"/>
      <sheetName val="Monitronics Data"/>
      <sheetName val="Chart18"/>
      <sheetName val="Chart19"/>
      <sheetName val="Chart20"/>
      <sheetName val="Chart21"/>
      <sheetName val="Morpho (Safran)"/>
      <sheetName val="Morpho (Safran) - Charts"/>
      <sheetName val="MSA"/>
      <sheetName val="MSA - Graph Data"/>
      <sheetName val="Chart22"/>
      <sheetName val="Chart23"/>
      <sheetName val="NIC"/>
      <sheetName val="NIC Hardcoded"/>
      <sheetName val="NIC - Graphs"/>
      <sheetName val="Niscayah"/>
      <sheetName val="Niscayah Graphs"/>
      <sheetName val="Reliance Protectron"/>
      <sheetName val="NMRX"/>
      <sheetName val="Oberthur"/>
      <sheetName val="Chart24"/>
      <sheetName val="Chart25"/>
      <sheetName val="OmniTech"/>
      <sheetName val="Opsec"/>
      <sheetName val="OPSEC - Graphs"/>
      <sheetName val="OSI"/>
      <sheetName val="OSIS"/>
      <sheetName val="Chart26"/>
      <sheetName val="Chart27"/>
      <sheetName val="OTIV"/>
      <sheetName val="OTIV Rev"/>
      <sheetName val="Philips"/>
      <sheetName val="PNTR"/>
      <sheetName val="RADS"/>
      <sheetName val="RAE"/>
      <sheetName val="RTLX"/>
      <sheetName val="Riken"/>
      <sheetName val="Safeguards Technology"/>
      <sheetName val="Securitas AB"/>
      <sheetName val="Securitas Direct"/>
      <sheetName val="Sec Ntwks"/>
      <sheetName val="Sec Ntwks Summary"/>
      <sheetName val="Chart28"/>
      <sheetName val="Chart29"/>
      <sheetName val="Chart30"/>
      <sheetName val="Chart31"/>
      <sheetName val="Securus"/>
      <sheetName val="Chart32"/>
      <sheetName val="Chart33"/>
      <sheetName val="Serco (SRP)"/>
      <sheetName val="Siemens"/>
      <sheetName val="Skybitz"/>
      <sheetName val="Chart34"/>
      <sheetName val="SLT Expressway"/>
      <sheetName val="Chart35"/>
      <sheetName val="Smartrac"/>
      <sheetName val="SMIN - Detection"/>
      <sheetName val="Chart36"/>
      <sheetName val="Chart37"/>
      <sheetName val="Sodexo"/>
      <sheetName val="SRMC"/>
      <sheetName val="Stanley"/>
      <sheetName val="Telos"/>
      <sheetName val="Total Safety"/>
      <sheetName val="SecureAlert"/>
      <sheetName val="Toppan"/>
      <sheetName val="Toppan_Old"/>
      <sheetName val="Tritech"/>
      <sheetName val="TwPa"/>
      <sheetName val="Chart38"/>
      <sheetName val="TSYS_old"/>
      <sheetName val="Chart39"/>
      <sheetName val="Chart40"/>
      <sheetName val="TYC (Total)"/>
      <sheetName val="TYC"/>
      <sheetName val="TYC_ADT NA"/>
      <sheetName val="TYC_Flow Control New"/>
      <sheetName val="TYC_Commercial Fire and Securit"/>
      <sheetName val="TYC Flow Control"/>
      <sheetName val="Atkore (Tyco)"/>
      <sheetName val="Tyler Tech"/>
      <sheetName val="Tyler Tech Hardcoded"/>
      <sheetName val="Tyler Tech - Graphs"/>
      <sheetName val="US Security Associates"/>
      <sheetName val="Varian"/>
      <sheetName val="Verint Security"/>
      <sheetName val="Verint"/>
      <sheetName val="Wincor"/>
      <sheetName val="Wincor R"/>
      <sheetName val="TEMPLATE"/>
    </sheetNames>
    <sheetDataSet>
      <sheetData sheetId="0"/>
      <sheetData sheetId="1"/>
      <sheetData sheetId="2"/>
      <sheetData sheetId="3"/>
      <sheetData sheetId="4"/>
      <sheetData sheetId="5"/>
      <sheetData sheetId="6"/>
      <sheetData sheetId="7" refreshError="1"/>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sheetData sheetId="32"/>
      <sheetData sheetId="33"/>
      <sheetData sheetId="34"/>
      <sheetData sheetId="35"/>
      <sheetData sheetId="36">
        <row r="58">
          <cell r="W58">
            <v>0.40234323432343233</v>
          </cell>
        </row>
      </sheetData>
      <sheetData sheetId="37" refreshError="1"/>
      <sheetData sheetId="38"/>
      <sheetData sheetId="39"/>
      <sheetData sheetId="40"/>
      <sheetData sheetId="41" refreshError="1"/>
      <sheetData sheetId="42" refreshError="1"/>
      <sheetData sheetId="43"/>
      <sheetData sheetId="44" refreshError="1"/>
      <sheetData sheetId="45" refreshError="1"/>
      <sheetData sheetId="46"/>
      <sheetData sheetId="47"/>
      <sheetData sheetId="48"/>
      <sheetData sheetId="49"/>
      <sheetData sheetId="50"/>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29">
          <cell r="D29">
            <v>0.13980000000000001</v>
          </cell>
          <cell r="F29">
            <v>0.1275</v>
          </cell>
          <cell r="H29">
            <v>0.15459999999999999</v>
          </cell>
          <cell r="J29">
            <v>0.14699999999999999</v>
          </cell>
          <cell r="L29">
            <v>0.14565026362038663</v>
          </cell>
          <cell r="N29">
            <v>0.15079999999999999</v>
          </cell>
        </row>
      </sheetData>
      <sheetData sheetId="66"/>
      <sheetData sheetId="67"/>
      <sheetData sheetId="68"/>
      <sheetData sheetId="69"/>
      <sheetData sheetId="70"/>
      <sheetData sheetId="71"/>
      <sheetData sheetId="72"/>
      <sheetData sheetId="73"/>
      <sheetData sheetId="74" refreshError="1"/>
      <sheetData sheetId="75" refreshError="1"/>
      <sheetData sheetId="76"/>
      <sheetData sheetId="77"/>
      <sheetData sheetId="78"/>
      <sheetData sheetId="79"/>
      <sheetData sheetId="80"/>
      <sheetData sheetId="81"/>
      <sheetData sheetId="82"/>
      <sheetData sheetId="83"/>
      <sheetData sheetId="84"/>
      <sheetData sheetId="85"/>
      <sheetData sheetId="86" refreshError="1"/>
      <sheetData sheetId="87"/>
      <sheetData sheetId="88"/>
      <sheetData sheetId="89"/>
      <sheetData sheetId="90"/>
      <sheetData sheetId="91" refreshError="1"/>
      <sheetData sheetId="92"/>
      <sheetData sheetId="93"/>
      <sheetData sheetId="94"/>
      <sheetData sheetId="95"/>
      <sheetData sheetId="96"/>
      <sheetData sheetId="97"/>
      <sheetData sheetId="98"/>
      <sheetData sheetId="99" refreshError="1"/>
      <sheetData sheetId="100" refreshError="1"/>
      <sheetData sheetId="101"/>
      <sheetData sheetId="102"/>
      <sheetData sheetId="103"/>
      <sheetData sheetId="104"/>
      <sheetData sheetId="105" refreshError="1"/>
      <sheetData sheetId="106" refreshError="1"/>
      <sheetData sheetId="107"/>
      <sheetData sheetId="108"/>
      <sheetData sheetId="109"/>
      <sheetData sheetId="110"/>
      <sheetData sheetId="111"/>
      <sheetData sheetId="112"/>
      <sheetData sheetId="113"/>
      <sheetData sheetId="114"/>
      <sheetData sheetId="115" refreshError="1"/>
      <sheetData sheetId="116" refreshError="1"/>
      <sheetData sheetId="117" refreshError="1"/>
      <sheetData sheetId="118" refreshError="1"/>
      <sheetData sheetId="119"/>
      <sheetData sheetId="120"/>
      <sheetData sheetId="121"/>
      <sheetData sheetId="122"/>
      <sheetData sheetId="123" refreshError="1"/>
      <sheetData sheetId="124" refreshError="1"/>
      <sheetData sheetId="125"/>
      <sheetData sheetId="126"/>
      <sheetData sheetId="127"/>
      <sheetData sheetId="128"/>
      <sheetData sheetId="129"/>
      <sheetData sheetId="130"/>
      <sheetData sheetId="131"/>
      <sheetData sheetId="132"/>
      <sheetData sheetId="133" refreshError="1"/>
      <sheetData sheetId="134" refreshError="1"/>
      <sheetData sheetId="135"/>
      <sheetData sheetId="136"/>
      <sheetData sheetId="137"/>
      <sheetData sheetId="138"/>
      <sheetData sheetId="139"/>
      <sheetData sheetId="140" refreshError="1"/>
      <sheetData sheetId="141" refreshError="1"/>
      <sheetData sheetId="142"/>
      <sheetData sheetId="143" refreshError="1"/>
      <sheetData sheetId="144"/>
      <sheetData sheetId="145"/>
      <sheetData sheetId="146"/>
      <sheetData sheetId="147"/>
      <sheetData sheetId="148"/>
      <sheetData sheetId="149"/>
      <sheetData sheetId="150"/>
      <sheetData sheetId="151"/>
      <sheetData sheetId="152"/>
      <sheetData sheetId="153"/>
      <sheetData sheetId="154"/>
      <sheetData sheetId="155" refreshError="1"/>
      <sheetData sheetId="156" refreshError="1"/>
      <sheetData sheetId="157" refreshError="1"/>
      <sheetData sheetId="158" refreshError="1"/>
      <sheetData sheetId="159"/>
      <sheetData sheetId="160" refreshError="1"/>
      <sheetData sheetId="161" refreshError="1"/>
      <sheetData sheetId="162"/>
      <sheetData sheetId="163"/>
      <sheetData sheetId="164"/>
      <sheetData sheetId="165" refreshError="1"/>
      <sheetData sheetId="166"/>
      <sheetData sheetId="167" refreshError="1"/>
      <sheetData sheetId="168"/>
      <sheetData sheetId="169"/>
      <sheetData sheetId="170" refreshError="1"/>
      <sheetData sheetId="171" refreshError="1"/>
      <sheetData sheetId="172"/>
      <sheetData sheetId="173"/>
      <sheetData sheetId="174"/>
      <sheetData sheetId="175"/>
      <sheetData sheetId="176"/>
      <sheetData sheetId="177"/>
      <sheetData sheetId="178"/>
      <sheetData sheetId="179"/>
      <sheetData sheetId="180"/>
      <sheetData sheetId="181"/>
      <sheetData sheetId="182" refreshError="1"/>
      <sheetData sheetId="183"/>
      <sheetData sheetId="184" refreshError="1"/>
      <sheetData sheetId="185" refreshError="1"/>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Date_Lup"/>
      <sheetName val="Lookup"/>
      <sheetName val="Instructions"/>
      <sheetName val="MENU"/>
      <sheetName val="Sales worksheet"/>
      <sheetName val="YTD OCT P&amp;L+Budget"/>
      <sheetName val="Balance Sheet"/>
    </sheetNames>
    <sheetDataSet>
      <sheetData sheetId="0">
        <row r="1">
          <cell r="BM1" t="str">
            <v>COMPANYNAME</v>
          </cell>
        </row>
      </sheetData>
      <sheetData sheetId="1"/>
      <sheetData sheetId="2"/>
      <sheetData sheetId="3">
        <row r="1">
          <cell r="A1" t="str">
            <v>December 2019</v>
          </cell>
          <cell r="O1">
            <v>0</v>
          </cell>
        </row>
        <row r="2">
          <cell r="O2" t="str">
            <v>GL Cat Code</v>
          </cell>
        </row>
        <row r="3">
          <cell r="O3">
            <v>0</v>
          </cell>
        </row>
        <row r="4">
          <cell r="O4">
            <v>0</v>
          </cell>
        </row>
        <row r="5">
          <cell r="O5">
            <v>4</v>
          </cell>
        </row>
        <row r="6">
          <cell r="O6">
            <v>0</v>
          </cell>
        </row>
        <row r="7">
          <cell r="O7" t="str">
            <v>40</v>
          </cell>
        </row>
        <row r="8">
          <cell r="O8">
            <v>0</v>
          </cell>
        </row>
        <row r="9">
          <cell r="O9">
            <v>0</v>
          </cell>
        </row>
        <row r="10">
          <cell r="O10">
            <v>0</v>
          </cell>
        </row>
        <row r="11">
          <cell r="O11">
            <v>0</v>
          </cell>
        </row>
        <row r="12">
          <cell r="O12">
            <v>0</v>
          </cell>
        </row>
        <row r="13">
          <cell r="O13">
            <v>0</v>
          </cell>
        </row>
        <row r="14">
          <cell r="O14">
            <v>0</v>
          </cell>
        </row>
        <row r="15">
          <cell r="O15">
            <v>0</v>
          </cell>
        </row>
        <row r="16">
          <cell r="O16">
            <v>0</v>
          </cell>
        </row>
        <row r="17">
          <cell r="O17">
            <v>0</v>
          </cell>
        </row>
        <row r="18">
          <cell r="O18">
            <v>0</v>
          </cell>
        </row>
        <row r="19">
          <cell r="O19">
            <v>0</v>
          </cell>
        </row>
        <row r="20">
          <cell r="O20">
            <v>0</v>
          </cell>
        </row>
        <row r="21">
          <cell r="O21">
            <v>0</v>
          </cell>
        </row>
        <row r="22">
          <cell r="O22">
            <v>0</v>
          </cell>
        </row>
        <row r="23">
          <cell r="O23">
            <v>0</v>
          </cell>
        </row>
        <row r="24">
          <cell r="O24">
            <v>0</v>
          </cell>
        </row>
        <row r="25">
          <cell r="O25">
            <v>0</v>
          </cell>
        </row>
        <row r="26">
          <cell r="O26">
            <v>0</v>
          </cell>
        </row>
        <row r="27">
          <cell r="O27">
            <v>0</v>
          </cell>
        </row>
        <row r="28">
          <cell r="O28">
            <v>0</v>
          </cell>
        </row>
        <row r="29">
          <cell r="O29">
            <v>0</v>
          </cell>
        </row>
        <row r="30">
          <cell r="O30">
            <v>0</v>
          </cell>
        </row>
        <row r="31">
          <cell r="O31">
            <v>0</v>
          </cell>
        </row>
        <row r="32">
          <cell r="O32">
            <v>0</v>
          </cell>
        </row>
        <row r="33">
          <cell r="O33">
            <v>0</v>
          </cell>
        </row>
        <row r="34">
          <cell r="O34">
            <v>0</v>
          </cell>
        </row>
        <row r="35">
          <cell r="O35">
            <v>0</v>
          </cell>
        </row>
        <row r="36">
          <cell r="O36">
            <v>0</v>
          </cell>
        </row>
        <row r="37">
          <cell r="O37">
            <v>0</v>
          </cell>
        </row>
        <row r="38">
          <cell r="O38">
            <v>0</v>
          </cell>
        </row>
        <row r="39">
          <cell r="O39">
            <v>0</v>
          </cell>
        </row>
        <row r="40">
          <cell r="O40">
            <v>0</v>
          </cell>
        </row>
        <row r="41">
          <cell r="O41">
            <v>0</v>
          </cell>
        </row>
        <row r="42">
          <cell r="O42">
            <v>0</v>
          </cell>
        </row>
        <row r="43">
          <cell r="O43">
            <v>0</v>
          </cell>
        </row>
        <row r="44">
          <cell r="O44">
            <v>0</v>
          </cell>
        </row>
        <row r="45">
          <cell r="O45">
            <v>0</v>
          </cell>
        </row>
        <row r="46">
          <cell r="O46">
            <v>0</v>
          </cell>
        </row>
        <row r="47">
          <cell r="O47">
            <v>0</v>
          </cell>
        </row>
        <row r="48">
          <cell r="O48">
            <v>0</v>
          </cell>
        </row>
        <row r="49">
          <cell r="O49">
            <v>0</v>
          </cell>
        </row>
        <row r="50">
          <cell r="O50">
            <v>0</v>
          </cell>
        </row>
        <row r="51">
          <cell r="O51">
            <v>0</v>
          </cell>
        </row>
        <row r="52">
          <cell r="O52">
            <v>0</v>
          </cell>
        </row>
        <row r="53">
          <cell r="O53">
            <v>0</v>
          </cell>
        </row>
        <row r="54">
          <cell r="O54">
            <v>0</v>
          </cell>
        </row>
        <row r="55">
          <cell r="O55">
            <v>0</v>
          </cell>
        </row>
        <row r="56">
          <cell r="O56">
            <v>0</v>
          </cell>
        </row>
        <row r="57">
          <cell r="O57">
            <v>0</v>
          </cell>
        </row>
        <row r="60">
          <cell r="O60">
            <v>0</v>
          </cell>
        </row>
        <row r="61">
          <cell r="O61">
            <v>0</v>
          </cell>
        </row>
        <row r="62">
          <cell r="O62">
            <v>0</v>
          </cell>
        </row>
        <row r="63">
          <cell r="O63">
            <v>0</v>
          </cell>
        </row>
        <row r="64">
          <cell r="O64">
            <v>0</v>
          </cell>
        </row>
        <row r="65">
          <cell r="O65">
            <v>0</v>
          </cell>
        </row>
        <row r="66">
          <cell r="O66">
            <v>0</v>
          </cell>
        </row>
        <row r="67">
          <cell r="O67">
            <v>0</v>
          </cell>
        </row>
        <row r="68">
          <cell r="O68">
            <v>0</v>
          </cell>
        </row>
        <row r="69">
          <cell r="O69">
            <v>0</v>
          </cell>
        </row>
        <row r="70">
          <cell r="O70">
            <v>0</v>
          </cell>
        </row>
        <row r="71">
          <cell r="O71">
            <v>0</v>
          </cell>
        </row>
        <row r="72">
          <cell r="O72">
            <v>0</v>
          </cell>
        </row>
        <row r="73">
          <cell r="O73">
            <v>0</v>
          </cell>
        </row>
        <row r="74">
          <cell r="O74">
            <v>0</v>
          </cell>
        </row>
        <row r="75">
          <cell r="O75">
            <v>0</v>
          </cell>
        </row>
        <row r="76">
          <cell r="O76">
            <v>0</v>
          </cell>
        </row>
        <row r="77">
          <cell r="O77">
            <v>0</v>
          </cell>
        </row>
        <row r="78">
          <cell r="O78">
            <v>0</v>
          </cell>
        </row>
        <row r="79">
          <cell r="O79">
            <v>0</v>
          </cell>
        </row>
        <row r="80">
          <cell r="O80">
            <v>0</v>
          </cell>
        </row>
        <row r="81">
          <cell r="O81">
            <v>0</v>
          </cell>
        </row>
        <row r="82">
          <cell r="O82">
            <v>0</v>
          </cell>
        </row>
        <row r="83">
          <cell r="O83">
            <v>0</v>
          </cell>
        </row>
        <row r="84">
          <cell r="O84">
            <v>0</v>
          </cell>
        </row>
        <row r="87">
          <cell r="O87" t="str">
            <v>01</v>
          </cell>
        </row>
        <row r="88">
          <cell r="O88" t="str">
            <v>01</v>
          </cell>
        </row>
        <row r="89">
          <cell r="O89" t="str">
            <v>01</v>
          </cell>
        </row>
        <row r="90">
          <cell r="O90" t="str">
            <v>01</v>
          </cell>
        </row>
        <row r="91">
          <cell r="O91" t="str">
            <v>01</v>
          </cell>
        </row>
        <row r="92">
          <cell r="O92" t="str">
            <v>01</v>
          </cell>
        </row>
        <row r="93">
          <cell r="O93" t="str">
            <v>01</v>
          </cell>
        </row>
        <row r="94">
          <cell r="O94" t="str">
            <v>01</v>
          </cell>
        </row>
        <row r="95">
          <cell r="O95" t="str">
            <v>01</v>
          </cell>
        </row>
        <row r="96">
          <cell r="O96" t="str">
            <v>01</v>
          </cell>
        </row>
        <row r="97">
          <cell r="O97" t="str">
            <v>01</v>
          </cell>
        </row>
        <row r="98">
          <cell r="O98" t="str">
            <v>01</v>
          </cell>
        </row>
        <row r="99">
          <cell r="O99" t="str">
            <v>01</v>
          </cell>
        </row>
        <row r="100">
          <cell r="O100" t="str">
            <v>01</v>
          </cell>
        </row>
        <row r="101">
          <cell r="O101" t="str">
            <v>01</v>
          </cell>
        </row>
        <row r="102">
          <cell r="O102" t="str">
            <v>01</v>
          </cell>
        </row>
        <row r="103">
          <cell r="O103" t="str">
            <v>01</v>
          </cell>
        </row>
        <row r="104">
          <cell r="O104" t="str">
            <v>01</v>
          </cell>
        </row>
        <row r="105">
          <cell r="O105" t="str">
            <v>01</v>
          </cell>
        </row>
        <row r="106">
          <cell r="O106" t="str">
            <v>01</v>
          </cell>
        </row>
        <row r="107">
          <cell r="O107" t="str">
            <v>01</v>
          </cell>
        </row>
        <row r="108">
          <cell r="O108" t="str">
            <v>02</v>
          </cell>
        </row>
        <row r="109">
          <cell r="O109" t="str">
            <v>02</v>
          </cell>
        </row>
        <row r="110">
          <cell r="O110" t="str">
            <v>02</v>
          </cell>
        </row>
        <row r="111">
          <cell r="O111" t="str">
            <v>02</v>
          </cell>
        </row>
        <row r="112">
          <cell r="O112" t="str">
            <v>02</v>
          </cell>
        </row>
        <row r="113">
          <cell r="O113" t="str">
            <v>02</v>
          </cell>
        </row>
        <row r="114">
          <cell r="O114" t="str">
            <v>02</v>
          </cell>
        </row>
        <row r="115">
          <cell r="O115" t="str">
            <v>02</v>
          </cell>
        </row>
        <row r="116">
          <cell r="O116" t="str">
            <v>02</v>
          </cell>
        </row>
        <row r="117">
          <cell r="O117" t="str">
            <v>03</v>
          </cell>
        </row>
        <row r="118">
          <cell r="O118" t="str">
            <v>03</v>
          </cell>
        </row>
        <row r="119">
          <cell r="O119" t="str">
            <v>03</v>
          </cell>
        </row>
        <row r="120">
          <cell r="O120" t="str">
            <v>03</v>
          </cell>
        </row>
        <row r="121">
          <cell r="O121" t="str">
            <v>03</v>
          </cell>
        </row>
        <row r="122">
          <cell r="O122" t="str">
            <v>04</v>
          </cell>
        </row>
        <row r="123">
          <cell r="O123" t="str">
            <v>04</v>
          </cell>
        </row>
        <row r="124">
          <cell r="O124" t="str">
            <v>04</v>
          </cell>
        </row>
        <row r="125">
          <cell r="O125" t="str">
            <v>04</v>
          </cell>
        </row>
        <row r="126">
          <cell r="O126" t="str">
            <v>04</v>
          </cell>
        </row>
        <row r="127">
          <cell r="O127" t="str">
            <v>04</v>
          </cell>
        </row>
        <row r="128">
          <cell r="O128" t="str">
            <v>04</v>
          </cell>
        </row>
        <row r="129">
          <cell r="O129" t="str">
            <v>05</v>
          </cell>
        </row>
        <row r="130">
          <cell r="O130" t="str">
            <v>05</v>
          </cell>
        </row>
        <row r="131">
          <cell r="O131" t="str">
            <v>05</v>
          </cell>
        </row>
        <row r="132">
          <cell r="O132" t="str">
            <v>05</v>
          </cell>
        </row>
        <row r="133">
          <cell r="O133" t="str">
            <v>05</v>
          </cell>
        </row>
        <row r="134">
          <cell r="O134" t="str">
            <v>05</v>
          </cell>
        </row>
        <row r="135">
          <cell r="O135" t="str">
            <v>05</v>
          </cell>
        </row>
        <row r="136">
          <cell r="O136" t="str">
            <v>05</v>
          </cell>
        </row>
        <row r="137">
          <cell r="O137" t="str">
            <v>05</v>
          </cell>
        </row>
        <row r="138">
          <cell r="O138" t="str">
            <v>05</v>
          </cell>
        </row>
        <row r="139">
          <cell r="O139" t="str">
            <v>05</v>
          </cell>
        </row>
        <row r="140">
          <cell r="O140" t="str">
            <v>05</v>
          </cell>
        </row>
        <row r="141">
          <cell r="O141" t="str">
            <v>05</v>
          </cell>
        </row>
        <row r="142">
          <cell r="O142" t="str">
            <v>05</v>
          </cell>
        </row>
        <row r="143">
          <cell r="O143" t="str">
            <v>05</v>
          </cell>
        </row>
        <row r="144">
          <cell r="O144" t="str">
            <v>05</v>
          </cell>
        </row>
        <row r="145">
          <cell r="O145" t="str">
            <v>05</v>
          </cell>
        </row>
        <row r="146">
          <cell r="O146" t="str">
            <v>05</v>
          </cell>
        </row>
        <row r="147">
          <cell r="O147" t="str">
            <v>05</v>
          </cell>
        </row>
        <row r="148">
          <cell r="O148" t="str">
            <v>05</v>
          </cell>
        </row>
        <row r="149">
          <cell r="O149" t="str">
            <v>05</v>
          </cell>
        </row>
        <row r="150">
          <cell r="O150" t="str">
            <v>05</v>
          </cell>
        </row>
        <row r="151">
          <cell r="O151" t="str">
            <v>05</v>
          </cell>
        </row>
        <row r="152">
          <cell r="O152" t="str">
            <v>05</v>
          </cell>
        </row>
        <row r="153">
          <cell r="O153" t="str">
            <v>05</v>
          </cell>
        </row>
        <row r="154">
          <cell r="O154" t="str">
            <v>06</v>
          </cell>
        </row>
        <row r="155">
          <cell r="O155" t="str">
            <v>06</v>
          </cell>
        </row>
        <row r="156">
          <cell r="O156" t="str">
            <v>06</v>
          </cell>
        </row>
        <row r="157">
          <cell r="O157" t="str">
            <v>06</v>
          </cell>
        </row>
        <row r="158">
          <cell r="O158" t="str">
            <v>08</v>
          </cell>
        </row>
        <row r="159">
          <cell r="O159" t="str">
            <v>08</v>
          </cell>
        </row>
        <row r="160">
          <cell r="O160" t="str">
            <v>08</v>
          </cell>
        </row>
        <row r="161">
          <cell r="O161" t="str">
            <v>08</v>
          </cell>
        </row>
        <row r="162">
          <cell r="O162" t="str">
            <v>08</v>
          </cell>
        </row>
        <row r="163">
          <cell r="O163" t="str">
            <v>08</v>
          </cell>
        </row>
        <row r="164">
          <cell r="O164" t="str">
            <v>08</v>
          </cell>
        </row>
        <row r="165">
          <cell r="O165" t="str">
            <v>09</v>
          </cell>
        </row>
        <row r="166">
          <cell r="O166" t="str">
            <v>09</v>
          </cell>
        </row>
        <row r="167">
          <cell r="O167" t="str">
            <v>09</v>
          </cell>
        </row>
        <row r="168">
          <cell r="O168" t="str">
            <v>09</v>
          </cell>
        </row>
        <row r="169">
          <cell r="O169" t="str">
            <v>09</v>
          </cell>
        </row>
        <row r="170">
          <cell r="O170" t="str">
            <v>09</v>
          </cell>
        </row>
        <row r="171">
          <cell r="O171" t="str">
            <v>13</v>
          </cell>
        </row>
        <row r="172">
          <cell r="O172" t="str">
            <v>13</v>
          </cell>
        </row>
        <row r="173">
          <cell r="O173" t="str">
            <v>13</v>
          </cell>
        </row>
        <row r="174">
          <cell r="O174" t="str">
            <v>13</v>
          </cell>
        </row>
        <row r="175">
          <cell r="O175" t="str">
            <v>13</v>
          </cell>
        </row>
        <row r="176">
          <cell r="O176" t="str">
            <v>13</v>
          </cell>
        </row>
        <row r="177">
          <cell r="O177" t="str">
            <v>13</v>
          </cell>
        </row>
        <row r="178">
          <cell r="O178" t="str">
            <v>13</v>
          </cell>
        </row>
        <row r="179">
          <cell r="O179" t="str">
            <v>13</v>
          </cell>
        </row>
        <row r="180">
          <cell r="O180" t="str">
            <v>13</v>
          </cell>
        </row>
        <row r="181">
          <cell r="O181" t="str">
            <v>13</v>
          </cell>
        </row>
        <row r="182">
          <cell r="O182" t="str">
            <v>13</v>
          </cell>
        </row>
        <row r="183">
          <cell r="O183" t="str">
            <v>13</v>
          </cell>
        </row>
        <row r="184">
          <cell r="O184" t="str">
            <v>13</v>
          </cell>
        </row>
        <row r="185">
          <cell r="O185" t="str">
            <v>13</v>
          </cell>
        </row>
        <row r="186">
          <cell r="O186" t="str">
            <v>13</v>
          </cell>
        </row>
        <row r="187">
          <cell r="O187" t="str">
            <v>13</v>
          </cell>
        </row>
        <row r="188">
          <cell r="O188" t="str">
            <v>13</v>
          </cell>
        </row>
        <row r="189">
          <cell r="O189" t="str">
            <v>13</v>
          </cell>
        </row>
        <row r="190">
          <cell r="O190" t="str">
            <v>13</v>
          </cell>
        </row>
        <row r="191">
          <cell r="O191" t="str">
            <v>13</v>
          </cell>
        </row>
        <row r="192">
          <cell r="O192" t="str">
            <v>13</v>
          </cell>
        </row>
        <row r="193">
          <cell r="O193" t="str">
            <v>13</v>
          </cell>
        </row>
        <row r="194">
          <cell r="O194" t="str">
            <v>13</v>
          </cell>
        </row>
        <row r="195">
          <cell r="O195" t="str">
            <v>13</v>
          </cell>
        </row>
        <row r="196">
          <cell r="O196" t="str">
            <v>13</v>
          </cell>
        </row>
        <row r="197">
          <cell r="O197" t="str">
            <v>13</v>
          </cell>
        </row>
        <row r="198">
          <cell r="O198" t="str">
            <v>13</v>
          </cell>
        </row>
        <row r="199">
          <cell r="O199" t="str">
            <v>13</v>
          </cell>
        </row>
        <row r="200">
          <cell r="O200" t="str">
            <v>13</v>
          </cell>
        </row>
        <row r="201">
          <cell r="O201" t="str">
            <v>13</v>
          </cell>
        </row>
        <row r="202">
          <cell r="O202" t="str">
            <v>13</v>
          </cell>
        </row>
        <row r="203">
          <cell r="O203" t="str">
            <v>13</v>
          </cell>
        </row>
        <row r="204">
          <cell r="O204" t="str">
            <v>13</v>
          </cell>
        </row>
        <row r="205">
          <cell r="O205" t="str">
            <v>13</v>
          </cell>
        </row>
        <row r="206">
          <cell r="O206" t="str">
            <v>13</v>
          </cell>
        </row>
        <row r="207">
          <cell r="O207" t="str">
            <v>13</v>
          </cell>
        </row>
        <row r="208">
          <cell r="O208" t="str">
            <v>13</v>
          </cell>
        </row>
        <row r="209">
          <cell r="O209" t="str">
            <v>13</v>
          </cell>
        </row>
        <row r="210">
          <cell r="O210" t="str">
            <v>13</v>
          </cell>
        </row>
        <row r="211">
          <cell r="O211" t="str">
            <v>13</v>
          </cell>
        </row>
        <row r="212">
          <cell r="O212" t="str">
            <v>13</v>
          </cell>
        </row>
        <row r="213">
          <cell r="O213" t="str">
            <v>13</v>
          </cell>
        </row>
        <row r="214">
          <cell r="O214" t="str">
            <v>13</v>
          </cell>
        </row>
        <row r="215">
          <cell r="O215" t="str">
            <v>13</v>
          </cell>
        </row>
        <row r="216">
          <cell r="O216" t="str">
            <v>13</v>
          </cell>
        </row>
        <row r="217">
          <cell r="O217" t="str">
            <v>13</v>
          </cell>
        </row>
        <row r="218">
          <cell r="O218" t="str">
            <v>13</v>
          </cell>
        </row>
        <row r="219">
          <cell r="O219" t="str">
            <v>13</v>
          </cell>
        </row>
        <row r="220">
          <cell r="O220" t="str">
            <v>13</v>
          </cell>
        </row>
        <row r="221">
          <cell r="O221" t="str">
            <v>13</v>
          </cell>
        </row>
        <row r="222">
          <cell r="O222" t="str">
            <v>13</v>
          </cell>
        </row>
        <row r="223">
          <cell r="O223" t="str">
            <v>13</v>
          </cell>
        </row>
        <row r="224">
          <cell r="O224" t="str">
            <v>13</v>
          </cell>
        </row>
        <row r="225">
          <cell r="O225" t="str">
            <v>13</v>
          </cell>
        </row>
        <row r="226">
          <cell r="O226" t="str">
            <v>13</v>
          </cell>
        </row>
        <row r="227">
          <cell r="O227" t="str">
            <v>13</v>
          </cell>
        </row>
        <row r="228">
          <cell r="O228" t="str">
            <v>13</v>
          </cell>
        </row>
        <row r="229">
          <cell r="O229" t="str">
            <v>13</v>
          </cell>
        </row>
        <row r="230">
          <cell r="O230" t="str">
            <v>13</v>
          </cell>
        </row>
        <row r="231">
          <cell r="O231" t="str">
            <v>13</v>
          </cell>
        </row>
        <row r="232">
          <cell r="O232" t="str">
            <v>13</v>
          </cell>
        </row>
        <row r="233">
          <cell r="O233" t="str">
            <v>13</v>
          </cell>
        </row>
        <row r="234">
          <cell r="O234" t="str">
            <v>13</v>
          </cell>
        </row>
        <row r="235">
          <cell r="O235" t="str">
            <v>13</v>
          </cell>
        </row>
        <row r="236">
          <cell r="O236" t="str">
            <v>13</v>
          </cell>
        </row>
        <row r="237">
          <cell r="O237" t="str">
            <v>13</v>
          </cell>
        </row>
        <row r="238">
          <cell r="O238" t="str">
            <v>13</v>
          </cell>
        </row>
        <row r="239">
          <cell r="O239" t="str">
            <v>13</v>
          </cell>
        </row>
        <row r="240">
          <cell r="O240" t="str">
            <v>13</v>
          </cell>
        </row>
        <row r="241">
          <cell r="O241" t="str">
            <v>13</v>
          </cell>
        </row>
        <row r="242">
          <cell r="O242" t="str">
            <v>13</v>
          </cell>
        </row>
        <row r="243">
          <cell r="O243" t="str">
            <v>13</v>
          </cell>
        </row>
        <row r="244">
          <cell r="O244" t="str">
            <v>13</v>
          </cell>
        </row>
        <row r="245">
          <cell r="O245" t="str">
            <v>13</v>
          </cell>
        </row>
        <row r="246">
          <cell r="O246" t="str">
            <v>16</v>
          </cell>
        </row>
        <row r="247">
          <cell r="O247" t="str">
            <v>16</v>
          </cell>
        </row>
        <row r="248">
          <cell r="O248" t="str">
            <v>16</v>
          </cell>
        </row>
        <row r="249">
          <cell r="O249" t="str">
            <v>16</v>
          </cell>
        </row>
        <row r="250">
          <cell r="O250" t="str">
            <v>16</v>
          </cell>
        </row>
        <row r="251">
          <cell r="O251" t="str">
            <v>16</v>
          </cell>
        </row>
        <row r="252">
          <cell r="O252" t="str">
            <v>16</v>
          </cell>
        </row>
        <row r="253">
          <cell r="O253" t="str">
            <v>16</v>
          </cell>
        </row>
        <row r="254">
          <cell r="O254" t="str">
            <v>16</v>
          </cell>
        </row>
        <row r="255">
          <cell r="O255" t="str">
            <v>16</v>
          </cell>
        </row>
        <row r="256">
          <cell r="O256" t="str">
            <v>21</v>
          </cell>
        </row>
        <row r="257">
          <cell r="O257" t="str">
            <v>21</v>
          </cell>
        </row>
        <row r="258">
          <cell r="O258" t="str">
            <v>21</v>
          </cell>
        </row>
        <row r="259">
          <cell r="O259" t="str">
            <v>21</v>
          </cell>
        </row>
        <row r="260">
          <cell r="O260" t="str">
            <v>21</v>
          </cell>
        </row>
      </sheetData>
      <sheetData sheetId="4"/>
      <sheetData sheetId="5"/>
      <sheetData sheetId="6"/>
      <sheetData sheetId="7"/>
      <sheetData sheetId="8"/>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bined"/>
      <sheetName val="Overhead"/>
      <sheetName val="CSC "/>
      <sheetName val="CSC - Input"/>
      <sheetName val="Small Contract-5"/>
      <sheetName val="SERVICE-2"/>
      <sheetName val="Inspections-6"/>
      <sheetName val="Daywork-7"/>
      <sheetName val="Monitoring-8"/>
      <sheetName val="ASH-3"/>
      <sheetName val="Salary"/>
      <sheetName val="PR Back up"/>
      <sheetName val="SG&amp;A PR"/>
      <sheetName val="Budget Upload"/>
      <sheetName val="Sys Lookup"/>
      <sheetName val="11Budget"/>
      <sheetName val="T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3">
          <cell r="A3" t="str">
            <v>Atlanta</v>
          </cell>
        </row>
        <row r="4">
          <cell r="A4" t="str">
            <v>Austin</v>
          </cell>
        </row>
        <row r="5">
          <cell r="A5" t="str">
            <v>Baltimore</v>
          </cell>
        </row>
        <row r="6">
          <cell r="A6" t="str">
            <v>Chantilly</v>
          </cell>
        </row>
        <row r="7">
          <cell r="A7" t="str">
            <v>Charleston</v>
          </cell>
        </row>
        <row r="8">
          <cell r="A8" t="str">
            <v>Charlotte</v>
          </cell>
        </row>
        <row r="9">
          <cell r="A9" t="str">
            <v>CSC</v>
          </cell>
        </row>
        <row r="10">
          <cell r="A10" t="str">
            <v>Dallas</v>
          </cell>
        </row>
        <row r="11">
          <cell r="A11" t="str">
            <v>Houston</v>
          </cell>
        </row>
        <row r="12">
          <cell r="A12" t="str">
            <v>Orlando</v>
          </cell>
        </row>
        <row r="13">
          <cell r="A13" t="str">
            <v>Raleigh</v>
          </cell>
        </row>
        <row r="14">
          <cell r="A14" t="str">
            <v>Richmond</v>
          </cell>
        </row>
        <row r="15">
          <cell r="A15" t="str">
            <v>Roanoke</v>
          </cell>
        </row>
        <row r="16">
          <cell r="A16" t="str">
            <v>San Antonio</v>
          </cell>
        </row>
        <row r="17">
          <cell r="A17" t="str">
            <v>Springfield</v>
          </cell>
        </row>
        <row r="18">
          <cell r="A18" t="str">
            <v>Tidewater</v>
          </cell>
        </row>
      </sheetData>
      <sheetData sheetId="15" refreshError="1"/>
      <sheetData sheetId="16"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stment"/>
      <sheetName val="BS-S"/>
      <sheetName val="CF-S"/>
      <sheetName val="P&amp;L-S"/>
      <sheetName val="RevM"/>
      <sheetName val="Slides"/>
      <sheetName val="Presentation Slides"/>
    </sheetNames>
    <definedNames>
      <definedName name="mcdate" refersTo="#REF!"/>
    </definedNames>
    <sheetDataSet>
      <sheetData sheetId="0"/>
      <sheetData sheetId="1"/>
      <sheetData sheetId="2"/>
      <sheetData sheetId="3"/>
      <sheetData sheetId="4"/>
      <sheetData sheetId="5"/>
      <sheetData sheetId="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CF"/>
      <sheetName val="IS Summary"/>
      <sheetName val="RET Matrix"/>
      <sheetName val="Debt Summary"/>
      <sheetName val="S&amp;U Summary"/>
      <sheetName val="LBO"/>
      <sheetName val="Total Consolidated"/>
      <sheetName val="Balance Sheet"/>
      <sheetName val="Working Cap - Consolidated"/>
      <sheetName val="Cap Ex - Consolidated"/>
      <sheetName val="Tiburon"/>
      <sheetName val="Tiburon BS"/>
      <sheetName val="Tiburon Working Cap"/>
      <sheetName val="DispatchNow"/>
      <sheetName val="DispatchNow BS"/>
      <sheetName val="DispatchNow Working Cap"/>
      <sheetName val="2010-2011 Adjustments"/>
      <sheetName val="Source Files&gt;&gt;&gt;&gt;"/>
      <sheetName val="BACKLOG FILE"/>
      <sheetName val="Detail"/>
      <sheetName val="Projects"/>
      <sheetName val="Enhancements"/>
      <sheetName val="IQR"/>
      <sheetName val="Summary"/>
      <sheetName val="PIPELINE FILE"/>
      <sheetName val="By Product Type and Stage"/>
      <sheetName val="By Stage"/>
      <sheetName val="By Forecast Category"/>
      <sheetName val="Consolidated Data"/>
      <sheetName val="Q2 2011 Forecast"/>
      <sheetName val="Q3 Early Forecast Funnel"/>
      <sheetName val="Q4 Early Forecast Funnel"/>
      <sheetName val="3x9 Forecast&gt;&gt;&gt;"/>
      <sheetName val="Sheet2"/>
      <sheetName val="Tib_Bal_Sh"/>
      <sheetName val="DN_Bal_Sh"/>
      <sheetName val="Cons_Bal_Sh"/>
    </sheetNames>
    <sheetDataSet>
      <sheetData sheetId="0">
        <row r="13">
          <cell r="G13">
            <v>-1000</v>
          </cell>
        </row>
        <row r="14">
          <cell r="G14">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 Partners"/>
      <sheetName val="Overhead"/>
      <sheetName val="INSTALL-1"/>
      <sheetName val="Large Contract-4"/>
      <sheetName val="Small Contract-5"/>
      <sheetName val="SERVICE-2"/>
      <sheetName val="Inspections-6"/>
      <sheetName val="Daywork-7"/>
      <sheetName val="Monitoring-8"/>
      <sheetName val="ASH-3"/>
      <sheetName val="Salary"/>
      <sheetName val="PR Back up"/>
      <sheetName val="SG&amp;A PR"/>
      <sheetName val="Budget Upload"/>
      <sheetName val="Sys Lookup"/>
      <sheetName val="11Budget"/>
      <sheetName val="T Data"/>
    </sheetNames>
    <sheetDataSet>
      <sheetData sheetId="0"/>
      <sheetData sheetId="1" refreshError="1"/>
      <sheetData sheetId="2">
        <row r="8">
          <cell r="W8">
            <v>0</v>
          </cell>
        </row>
      </sheetData>
      <sheetData sheetId="3" refreshError="1"/>
      <sheetData sheetId="4" refreshError="1"/>
      <sheetData sheetId="5">
        <row r="8">
          <cell r="Z8">
            <v>0</v>
          </cell>
        </row>
      </sheetData>
      <sheetData sheetId="6" refreshError="1"/>
      <sheetData sheetId="7" refreshError="1"/>
      <sheetData sheetId="8" refreshError="1"/>
      <sheetData sheetId="9"/>
      <sheetData sheetId="10" refreshError="1"/>
      <sheetData sheetId="11" refreshError="1"/>
      <sheetData sheetId="12"/>
      <sheetData sheetId="13" refreshError="1"/>
      <sheetData sheetId="14">
        <row r="3">
          <cell r="A3" t="str">
            <v>Atlanta</v>
          </cell>
        </row>
        <row r="24">
          <cell r="A24" t="str">
            <v>ASH</v>
          </cell>
        </row>
        <row r="25">
          <cell r="A25" t="str">
            <v>Daywork</v>
          </cell>
        </row>
        <row r="26">
          <cell r="A26" t="str">
            <v>Inspection</v>
          </cell>
        </row>
        <row r="27">
          <cell r="A27" t="str">
            <v>Install</v>
          </cell>
        </row>
        <row r="28">
          <cell r="A28" t="str">
            <v>Large Contract</v>
          </cell>
        </row>
        <row r="29">
          <cell r="A29" t="str">
            <v>Monitoring</v>
          </cell>
        </row>
        <row r="30">
          <cell r="A30" t="str">
            <v>Service</v>
          </cell>
        </row>
      </sheetData>
      <sheetData sheetId="15" refreshError="1"/>
      <sheetData sheetId="1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ewmodel"/>
    </sheetNames>
    <definedNames>
      <definedName name="Print_functionality"/>
    </definedNames>
    <sheetDataSet>
      <sheetData sheetId="0"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enue Inputs"/>
      <sheetName val="Proforma "/>
      <sheetName val="Data"/>
      <sheetName val="Inputs"/>
      <sheetName val="Staffing"/>
      <sheetName val="PL Trend "/>
      <sheetName val="Expenses"/>
      <sheetName val="B-S Work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BO Valuation Model from Neils"/>
    </sheetNames>
    <definedNames>
      <definedName name="print1"/>
    </definedNames>
    <sheetDataSet>
      <sheetData sheetId="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Contents"/>
      <sheetName val="Transaction"/>
      <sheetName val="Investment"/>
      <sheetName val="Capitalization"/>
      <sheetName val="Goodwill"/>
      <sheetName val="Opening BS"/>
      <sheetName val="IS"/>
      <sheetName val="BS"/>
      <sheetName val="CF"/>
      <sheetName val="Ratios"/>
      <sheetName val="Debt"/>
      <sheetName val="Enterprise IRR"/>
      <sheetName val="Returns"/>
      <sheetName val="WACC"/>
      <sheetName val="DCF"/>
      <sheetName val="Margin of Saftey"/>
      <sheetName val="Sales Buildup"/>
      <sheetName val="IS Assumptions"/>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row r="41">
          <cell r="C41">
            <v>37986</v>
          </cell>
        </row>
        <row r="42">
          <cell r="C42">
            <v>2003</v>
          </cell>
        </row>
        <row r="43">
          <cell r="C43" t="str">
            <v>Data in $thousands</v>
          </cell>
        </row>
        <row r="66">
          <cell r="Q66" t="str">
            <v>HSM LOI Model XI ($320m PP)</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or"/>
      <sheetName val="Payments"/>
      <sheetName val="Profit"/>
      <sheetName val="Help"/>
      <sheetName val="©"/>
    </sheetNames>
    <sheetDataSet>
      <sheetData sheetId="0">
        <row r="13">
          <cell r="E13" t="b">
            <v>0</v>
          </cell>
        </row>
      </sheetData>
      <sheetData sheetId="1"/>
      <sheetData sheetId="2"/>
      <sheetData sheetId="3"/>
      <sheetData sheetId="4"/>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 "/>
      <sheetName val="East MRB"/>
      <sheetName val="Central MRB"/>
      <sheetName val="West MRB"/>
      <sheetName val="Inside MRB"/>
      <sheetName val="National MRB"/>
      <sheetName val="Dom Distrib MRB"/>
      <sheetName val="East E&amp;L"/>
      <sheetName val="Central E&amp;L"/>
      <sheetName val="West E&amp;L"/>
      <sheetName val="Inside E&amp;L"/>
      <sheetName val="National E&amp;L"/>
      <sheetName val="Dom Distrib e&amp;l"/>
      <sheetName val="2010"/>
    </sheetNames>
    <sheetDataSet>
      <sheetData sheetId="0">
        <row r="11">
          <cell r="O11">
            <v>6075</v>
          </cell>
        </row>
      </sheetData>
      <sheetData sheetId="1"/>
      <sheetData sheetId="2"/>
      <sheetData sheetId="3"/>
      <sheetData sheetId="4"/>
      <sheetData sheetId="5"/>
      <sheetData sheetId="6"/>
      <sheetData sheetId="7"/>
      <sheetData sheetId="8"/>
      <sheetData sheetId="9"/>
      <sheetData sheetId="10"/>
      <sheetData sheetId="11"/>
      <sheetData sheetId="12"/>
      <sheetData sheetId="13">
        <row r="32">
          <cell r="N32">
            <v>215500</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O estimated "/>
      <sheetName val="EO overunder Org"/>
      <sheetName val="EO excess Cash Intelenet 2"/>
      <sheetName val="Estimated AR &amp; Fin 12.28.07"/>
      <sheetName val="Estimated AR &amp; Fin 12.20.07"/>
      <sheetName val="Estimated AR &amp; Fin 12.17.07"/>
      <sheetName val="Estimated AR &amp; Fin 12.12.07"/>
      <sheetName val="Estimated AR &amp; FIN12.5.07 "/>
      <sheetName val="Estimated AR &amp; FiN 11.19.07 "/>
      <sheetName val="Estimated AR &amp; FiN 11.8.07 "/>
      <sheetName val="EO Actual JE 10.29.07"/>
      <sheetName val="EO Estimated JE10.22.07"/>
      <sheetName val="EO Estimated JE 9.30.07"/>
      <sheetName val="ADJ EO Estimated JE 8.31.07"/>
      <sheetName val="EO Estimated JE 8.31.07"/>
      <sheetName val="EO Estimated JE 7.31.07"/>
      <sheetName val="EO Estimated JE 5.29.07 "/>
      <sheetName val="EO estimated  (20% or 100% AR)"/>
      <sheetName val="EO Estimated20% AR"/>
      <sheetName val="EO actual "/>
      <sheetName val="Sheet1"/>
      <sheetName val="Sheet2"/>
      <sheetName val="Shortname"/>
      <sheetName val="Birs - backdoor data "/>
      <sheetName val="Investment name"/>
      <sheetName val="EE"/>
      <sheetName val="Friedman "/>
      <sheetName val="Friedman- Andrew"/>
      <sheetName val="Friedman-Lisa"/>
      <sheetName val="Hill "/>
      <sheetName val="Hill 2003 Trust "/>
      <sheetName val="James"/>
      <sheetName val="James Trust "/>
      <sheetName val="Peterson"/>
      <sheetName val="Peter-David"/>
      <sheetName val="Peterson-Holly"/>
      <sheetName val="Peterson-James"/>
      <sheetName val="Peterson-Michael"/>
      <sheetName val="Puglisi"/>
      <sheetName val="S&amp;J"/>
      <sheetName val="Moss"/>
      <sheetName val="Schwarzman"/>
      <sheetName val="Z&amp;T"/>
      <sheetName val="Solota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row r="2">
          <cell r="A2" t="str">
            <v>130 Slater Street</v>
          </cell>
          <cell r="B2" t="str">
            <v>R130SLAT</v>
          </cell>
        </row>
        <row r="3">
          <cell r="A3" t="str">
            <v>130 Slater Street</v>
          </cell>
          <cell r="B3" t="str">
            <v>R130SLAT</v>
          </cell>
        </row>
        <row r="4">
          <cell r="A4" t="str">
            <v>1500 Don Mills</v>
          </cell>
          <cell r="B4" t="str">
            <v>RDONMILL</v>
          </cell>
        </row>
        <row r="5">
          <cell r="A5" t="str">
            <v>1500 Don Mills</v>
          </cell>
          <cell r="B5" t="str">
            <v>RDONMILL</v>
          </cell>
        </row>
        <row r="6">
          <cell r="A6" t="str">
            <v>1717 Arch Street</v>
          </cell>
          <cell r="B6" t="str">
            <v>R1717A</v>
          </cell>
        </row>
        <row r="7">
          <cell r="A7" t="str">
            <v>1717 Arch Street</v>
          </cell>
          <cell r="B7" t="str">
            <v>R1717A</v>
          </cell>
        </row>
        <row r="8">
          <cell r="A8" t="str">
            <v>1717 Arch Street 2</v>
          </cell>
          <cell r="B8" t="str">
            <v>R1717A02</v>
          </cell>
        </row>
        <row r="9">
          <cell r="A9" t="str">
            <v>1717 Arch Street 2</v>
          </cell>
          <cell r="B9" t="str">
            <v>R1717A02</v>
          </cell>
        </row>
        <row r="10">
          <cell r="A10" t="str">
            <v>1717 Arch Street 3 - BREP IV</v>
          </cell>
          <cell r="B10" t="str">
            <v>R1717A03</v>
          </cell>
        </row>
        <row r="11">
          <cell r="A11" t="str">
            <v>1717 Arch Street 3 - BREP IV</v>
          </cell>
          <cell r="B11" t="str">
            <v>R1717A03</v>
          </cell>
        </row>
        <row r="12">
          <cell r="A12" t="str">
            <v>357 Bay Street</v>
          </cell>
          <cell r="B12" t="str">
            <v>R357BAY</v>
          </cell>
        </row>
        <row r="13">
          <cell r="A13" t="str">
            <v>357 Bay Street</v>
          </cell>
          <cell r="B13" t="str">
            <v>R357BAY</v>
          </cell>
        </row>
        <row r="14">
          <cell r="A14" t="str">
            <v>360 Bay Street - BREP V</v>
          </cell>
          <cell r="B14" t="str">
            <v>R360BAY</v>
          </cell>
        </row>
        <row r="15">
          <cell r="A15" t="str">
            <v>360 Laurier</v>
          </cell>
          <cell r="B15" t="str">
            <v>R360LAUR</v>
          </cell>
        </row>
        <row r="16">
          <cell r="A16" t="str">
            <v>360 Laurier</v>
          </cell>
          <cell r="B16" t="str">
            <v>R360LAUR</v>
          </cell>
        </row>
        <row r="17">
          <cell r="A17" t="str">
            <v>366 Bay Street</v>
          </cell>
          <cell r="B17" t="str">
            <v>R366BAY</v>
          </cell>
        </row>
        <row r="18">
          <cell r="A18" t="str">
            <v>366 Bay Street</v>
          </cell>
          <cell r="B18" t="str">
            <v>R366BAY</v>
          </cell>
        </row>
        <row r="19">
          <cell r="A19" t="str">
            <v>60 Adelaide St - BREP V</v>
          </cell>
          <cell r="B19" t="str">
            <v>R60ADELA</v>
          </cell>
        </row>
        <row r="20">
          <cell r="A20" t="str">
            <v>8 King Street</v>
          </cell>
          <cell r="B20" t="str">
            <v>R8KING</v>
          </cell>
        </row>
        <row r="21">
          <cell r="A21" t="str">
            <v>8 King Street</v>
          </cell>
          <cell r="B21" t="str">
            <v>R8KING</v>
          </cell>
        </row>
        <row r="22">
          <cell r="A22" t="str">
            <v>80 Richmond</v>
          </cell>
          <cell r="B22" t="str">
            <v>R80RICH</v>
          </cell>
        </row>
        <row r="23">
          <cell r="A23" t="str">
            <v>80 Richmond</v>
          </cell>
          <cell r="B23" t="str">
            <v>R80RICH</v>
          </cell>
        </row>
        <row r="24">
          <cell r="A24" t="str">
            <v>Ariel</v>
          </cell>
          <cell r="B24" t="str">
            <v>ARIEL</v>
          </cell>
        </row>
        <row r="25">
          <cell r="A25" t="str">
            <v>ArrMaz</v>
          </cell>
          <cell r="B25" t="str">
            <v>ARRMAZ</v>
          </cell>
        </row>
        <row r="26">
          <cell r="A26" t="str">
            <v>Aspen</v>
          </cell>
          <cell r="B26" t="str">
            <v>ASPEN</v>
          </cell>
        </row>
        <row r="27">
          <cell r="A27" t="str">
            <v>Baker Centre - BREP V</v>
          </cell>
          <cell r="B27" t="str">
            <v>RBAKERCN</v>
          </cell>
        </row>
        <row r="28">
          <cell r="A28" t="str">
            <v>Barbanniers - BREP Intl</v>
          </cell>
          <cell r="B28" t="str">
            <v>RIBARB</v>
          </cell>
        </row>
        <row r="29">
          <cell r="A29" t="str">
            <v>Barbanniers2 - BREP Intl</v>
          </cell>
          <cell r="B29" t="str">
            <v>RIBARB02</v>
          </cell>
        </row>
        <row r="30">
          <cell r="A30" t="str">
            <v>Barbanniers3 - BREP Intl</v>
          </cell>
          <cell r="B30" t="str">
            <v>RIBARB03</v>
          </cell>
        </row>
        <row r="31">
          <cell r="A31" t="str">
            <v>Bastuban - BREP Intl</v>
          </cell>
          <cell r="B31" t="str">
            <v>RIBASTUB</v>
          </cell>
        </row>
        <row r="32">
          <cell r="A32" t="str">
            <v>Bastuban - BREP IV</v>
          </cell>
          <cell r="B32" t="str">
            <v>RBASTUBN</v>
          </cell>
        </row>
        <row r="33">
          <cell r="A33" t="str">
            <v>Bastuban - BREP IV</v>
          </cell>
          <cell r="B33" t="str">
            <v>RBASTUBN</v>
          </cell>
        </row>
        <row r="34">
          <cell r="A34" t="str">
            <v>BC Malls</v>
          </cell>
          <cell r="B34" t="str">
            <v>RBCMAL</v>
          </cell>
        </row>
        <row r="35">
          <cell r="A35" t="str">
            <v>BC Malls</v>
          </cell>
          <cell r="B35" t="str">
            <v>RBCMAL</v>
          </cell>
        </row>
        <row r="36">
          <cell r="A36" t="str">
            <v>BCorp Portfolio - BREP IV</v>
          </cell>
          <cell r="B36" t="str">
            <v>RBCORP</v>
          </cell>
        </row>
        <row r="37">
          <cell r="A37" t="str">
            <v>BCorp Portfolio - BREP IV</v>
          </cell>
          <cell r="B37" t="str">
            <v>RBCORP</v>
          </cell>
        </row>
        <row r="38">
          <cell r="A38" t="str">
            <v>Beaune - BREP Intl</v>
          </cell>
          <cell r="B38" t="str">
            <v>RIBEAU</v>
          </cell>
        </row>
        <row r="39">
          <cell r="A39" t="str">
            <v>Blackstream Aviation</v>
          </cell>
          <cell r="B39" t="str">
            <v>BLKSTM</v>
          </cell>
        </row>
        <row r="40">
          <cell r="A40" t="str">
            <v>Boardwalk Building - BREP V</v>
          </cell>
          <cell r="B40" t="str">
            <v>RBRDWALK</v>
          </cell>
        </row>
        <row r="41">
          <cell r="A41" t="str">
            <v>Boca Resorts</v>
          </cell>
          <cell r="B41" t="str">
            <v>RBOCAR</v>
          </cell>
        </row>
        <row r="42">
          <cell r="A42" t="str">
            <v>Boca Resorts</v>
          </cell>
          <cell r="B42" t="str">
            <v>RBOCAR</v>
          </cell>
        </row>
        <row r="43">
          <cell r="A43" t="str">
            <v>Boca Resorts 2</v>
          </cell>
          <cell r="B43" t="str">
            <v>RBOCAR02</v>
          </cell>
        </row>
        <row r="44">
          <cell r="A44" t="str">
            <v>Boca Resorts 2</v>
          </cell>
          <cell r="B44" t="str">
            <v>RBOCAR02</v>
          </cell>
        </row>
        <row r="45">
          <cell r="A45" t="str">
            <v>BOCA T-Rex</v>
          </cell>
          <cell r="B45" t="str">
            <v>RT-REX</v>
          </cell>
        </row>
        <row r="46">
          <cell r="A46" t="str">
            <v>BOCA T-Rex</v>
          </cell>
          <cell r="B46" t="str">
            <v>RT-REX</v>
          </cell>
        </row>
        <row r="47">
          <cell r="A47" t="str">
            <v>British Airport</v>
          </cell>
          <cell r="B47" t="str">
            <v>BAA</v>
          </cell>
        </row>
        <row r="48">
          <cell r="A48" t="str">
            <v>British Airport - BREP Intl II</v>
          </cell>
          <cell r="B48" t="str">
            <v>RITOGGLE</v>
          </cell>
        </row>
        <row r="49">
          <cell r="A49" t="str">
            <v>British Airport - BREP V</v>
          </cell>
          <cell r="B49" t="str">
            <v>TOGGLE</v>
          </cell>
        </row>
        <row r="50">
          <cell r="A50" t="str">
            <v>Cadbury Schweppes / Orangina</v>
          </cell>
          <cell r="B50" t="str">
            <v>ORANGINA</v>
          </cell>
        </row>
        <row r="51">
          <cell r="A51" t="str">
            <v>Cardinal - BCP V</v>
          </cell>
          <cell r="B51" t="str">
            <v>CARDINAL</v>
          </cell>
        </row>
        <row r="52">
          <cell r="A52" t="str">
            <v>CarrAmerica - 3025 Orchard</v>
          </cell>
          <cell r="B52" t="str">
            <v>RVORPKWY</v>
          </cell>
        </row>
        <row r="53">
          <cell r="A53" t="str">
            <v>CarrAmerica - BREP V</v>
          </cell>
          <cell r="B53" t="str">
            <v>RCARRAM</v>
          </cell>
        </row>
        <row r="54">
          <cell r="A54" t="str">
            <v>CarrAmerica - Canyon Pointe</v>
          </cell>
          <cell r="B54" t="str">
            <v>RVCANYON</v>
          </cell>
        </row>
        <row r="55">
          <cell r="A55" t="str">
            <v>CarrAmerica - McCarthy Ranch</v>
          </cell>
          <cell r="B55" t="str">
            <v>RMCCRTHY</v>
          </cell>
        </row>
        <row r="56">
          <cell r="A56" t="str">
            <v>CarrAmerica 10240</v>
          </cell>
          <cell r="B56" t="str">
            <v>RSCIENCE</v>
          </cell>
        </row>
        <row r="57">
          <cell r="A57" t="str">
            <v>Celanese</v>
          </cell>
          <cell r="B57" t="str">
            <v>CELANESE</v>
          </cell>
        </row>
        <row r="58">
          <cell r="A58" t="str">
            <v>Center Parcs - BCP V</v>
          </cell>
          <cell r="B58" t="str">
            <v>CPARKS</v>
          </cell>
        </row>
        <row r="59">
          <cell r="A59" t="str">
            <v>Center Parcs - BREP Intl II</v>
          </cell>
          <cell r="B59" t="str">
            <v>RICTRPAR</v>
          </cell>
        </row>
        <row r="60">
          <cell r="A60" t="str">
            <v>Center Parcs - BREP V</v>
          </cell>
          <cell r="B60" t="str">
            <v>RVCTRPAR</v>
          </cell>
        </row>
        <row r="61">
          <cell r="A61" t="str">
            <v>Center Parcs 2 - BREP Intl II</v>
          </cell>
          <cell r="B61" t="str">
            <v>RICTRPA2</v>
          </cell>
        </row>
        <row r="62">
          <cell r="A62" t="str">
            <v>Center Parcs 2 - BREP V</v>
          </cell>
          <cell r="B62" t="str">
            <v>RVCTRPA2</v>
          </cell>
        </row>
        <row r="63">
          <cell r="A63" t="str">
            <v>Charter Oak</v>
          </cell>
          <cell r="B63" t="str">
            <v>RCHART</v>
          </cell>
        </row>
        <row r="64">
          <cell r="A64" t="str">
            <v>Charter Oak</v>
          </cell>
          <cell r="B64" t="str">
            <v>RCHART</v>
          </cell>
        </row>
        <row r="65">
          <cell r="A65" t="str">
            <v>CHS - BMEZ II</v>
          </cell>
          <cell r="B65" t="str">
            <v>CHS</v>
          </cell>
        </row>
        <row r="66">
          <cell r="A66" t="str">
            <v>CineUK</v>
          </cell>
          <cell r="B66" t="str">
            <v>CINEUK</v>
          </cell>
        </row>
        <row r="67">
          <cell r="A67" t="str">
            <v>CineUK 2</v>
          </cell>
          <cell r="B67" t="str">
            <v>CINEUK02</v>
          </cell>
        </row>
        <row r="68">
          <cell r="A68" t="str">
            <v>CROSMAN - BMEZ II</v>
          </cell>
          <cell r="B68" t="str">
            <v>CROSMAN</v>
          </cell>
        </row>
        <row r="69">
          <cell r="A69" t="str">
            <v>DCS - BMEZZ II</v>
          </cell>
          <cell r="B69" t="str">
            <v>DCS</v>
          </cell>
        </row>
        <row r="70">
          <cell r="A70" t="str">
            <v>Dekko</v>
          </cell>
          <cell r="B70" t="str">
            <v>DEKKO</v>
          </cell>
        </row>
        <row r="71">
          <cell r="A71" t="str">
            <v>Deutsche Bank - BREP Intl</v>
          </cell>
          <cell r="B71" t="str">
            <v>RIDEUT</v>
          </cell>
        </row>
        <row r="72">
          <cell r="A72" t="str">
            <v>Deutsche Bank - BREP IV</v>
          </cell>
          <cell r="B72" t="str">
            <v>R4DEUT</v>
          </cell>
        </row>
        <row r="73">
          <cell r="A73" t="str">
            <v>Deutsche Bank - BREP IV</v>
          </cell>
          <cell r="B73" t="str">
            <v>R4DEUT</v>
          </cell>
        </row>
        <row r="74">
          <cell r="A74" t="str">
            <v>Deutsche Telekom KFW - BCP V</v>
          </cell>
          <cell r="B74" t="str">
            <v>DTKFW</v>
          </cell>
        </row>
        <row r="75">
          <cell r="A75" t="str">
            <v>Deutsche Telekom KFW 2 - BCP V</v>
          </cell>
          <cell r="B75" t="str">
            <v>DTKFW02</v>
          </cell>
        </row>
        <row r="76">
          <cell r="A76" t="str">
            <v>DIH - BREP Intl II</v>
          </cell>
          <cell r="B76" t="str">
            <v>RINTRHOT</v>
          </cell>
        </row>
        <row r="77">
          <cell r="A77" t="str">
            <v>DIH - BREP V</v>
          </cell>
          <cell r="B77" t="str">
            <v>RVINTHOT</v>
          </cell>
        </row>
        <row r="78">
          <cell r="A78" t="str">
            <v>Dominion Tower</v>
          </cell>
          <cell r="B78" t="str">
            <v>RDOMTOW</v>
          </cell>
        </row>
        <row r="79">
          <cell r="A79" t="str">
            <v>Dominion Tower</v>
          </cell>
          <cell r="B79" t="str">
            <v>RDOMTOW</v>
          </cell>
        </row>
        <row r="80">
          <cell r="A80" t="str">
            <v>Downing Street</v>
          </cell>
          <cell r="B80" t="str">
            <v>RDOWNST</v>
          </cell>
        </row>
        <row r="81">
          <cell r="A81" t="str">
            <v>Downing Street</v>
          </cell>
          <cell r="B81" t="str">
            <v>RDOWNST</v>
          </cell>
        </row>
        <row r="82">
          <cell r="A82" t="str">
            <v>DSF - BREP Intl II</v>
          </cell>
          <cell r="B82" t="str">
            <v>RIDSFUND</v>
          </cell>
        </row>
        <row r="83">
          <cell r="A83" t="str">
            <v>DSF - BREP V</v>
          </cell>
          <cell r="B83" t="str">
            <v>RDSFUNDS</v>
          </cell>
        </row>
        <row r="84">
          <cell r="A84" t="str">
            <v>Emcure</v>
          </cell>
          <cell r="B84" t="str">
            <v>EMCURE</v>
          </cell>
        </row>
        <row r="85">
          <cell r="A85" t="str">
            <v>Encore</v>
          </cell>
          <cell r="B85" t="str">
            <v>ENCORE</v>
          </cell>
        </row>
        <row r="86">
          <cell r="A86" t="str">
            <v>EOP - BREP V</v>
          </cell>
          <cell r="B86" t="str">
            <v>EOPROP</v>
          </cell>
        </row>
        <row r="87">
          <cell r="A87" t="str">
            <v>EOP - BREP VI</v>
          </cell>
          <cell r="B87" t="str">
            <v>R6EOPROP</v>
          </cell>
        </row>
        <row r="88">
          <cell r="A88" t="str">
            <v>Esplanade - BREP Intl II</v>
          </cell>
          <cell r="B88" t="str">
            <v>RIESPLND</v>
          </cell>
        </row>
        <row r="89">
          <cell r="A89" t="str">
            <v>Esplanade - BREP V</v>
          </cell>
          <cell r="B89" t="str">
            <v>RESPLNDE</v>
          </cell>
        </row>
        <row r="90">
          <cell r="A90" t="str">
            <v>Extended Stay America - BCP IV</v>
          </cell>
          <cell r="B90" t="str">
            <v>ESA</v>
          </cell>
        </row>
        <row r="91">
          <cell r="A91" t="str">
            <v>Extended Stay America - BREP IV</v>
          </cell>
          <cell r="B91" t="str">
            <v>RESTAY</v>
          </cell>
        </row>
        <row r="92">
          <cell r="A92" t="str">
            <v>Extended Stay America - BREP IV</v>
          </cell>
          <cell r="B92" t="str">
            <v>RESTAY</v>
          </cell>
        </row>
        <row r="93">
          <cell r="A93" t="str">
            <v>Extended Stay America 2 - BCP IV</v>
          </cell>
          <cell r="B93" t="str">
            <v>ESA02</v>
          </cell>
        </row>
        <row r="94">
          <cell r="A94" t="str">
            <v>Extended Stay America 2 - BREP IV</v>
          </cell>
          <cell r="B94" t="str">
            <v>RESTAY02</v>
          </cell>
        </row>
        <row r="95">
          <cell r="A95" t="str">
            <v>Extended Stay America 2 - BREP IV</v>
          </cell>
          <cell r="B95" t="str">
            <v>RESTAY02</v>
          </cell>
        </row>
        <row r="96">
          <cell r="A96" t="str">
            <v>Extended Stay America 3 - BCP IV</v>
          </cell>
          <cell r="B96" t="str">
            <v>ESA03</v>
          </cell>
        </row>
        <row r="97">
          <cell r="A97" t="str">
            <v>Extended Stay America 3 - BREP IV</v>
          </cell>
          <cell r="B97" t="str">
            <v>RESTAY03</v>
          </cell>
        </row>
        <row r="98">
          <cell r="A98" t="str">
            <v>Extended Stay America 3 - BREP IV</v>
          </cell>
          <cell r="B98" t="str">
            <v>RESTAY03</v>
          </cell>
        </row>
        <row r="99">
          <cell r="A99" t="str">
            <v>Extended Stay America 4 - BCP IV</v>
          </cell>
          <cell r="B99" t="str">
            <v>ESA04</v>
          </cell>
        </row>
        <row r="100">
          <cell r="A100" t="str">
            <v>Extended Stay America 4 - BREP IV</v>
          </cell>
          <cell r="B100" t="str">
            <v>RESTAY04</v>
          </cell>
        </row>
        <row r="101">
          <cell r="A101" t="str">
            <v>Extended Stay America 4 - BREP IV</v>
          </cell>
          <cell r="B101" t="str">
            <v>RESTAY04</v>
          </cell>
        </row>
        <row r="102">
          <cell r="A102" t="str">
            <v>Extended Stay America 5 - BCP IV</v>
          </cell>
          <cell r="B102" t="str">
            <v>ESA05</v>
          </cell>
        </row>
        <row r="103">
          <cell r="A103" t="str">
            <v>Extended Stay America 5 - BREP IV</v>
          </cell>
          <cell r="B103" t="str">
            <v>RESTAY05</v>
          </cell>
        </row>
        <row r="104">
          <cell r="A104" t="str">
            <v>Extended Stay America 5 - BREP IV</v>
          </cell>
          <cell r="B104" t="str">
            <v>RESTAY05</v>
          </cell>
        </row>
        <row r="105">
          <cell r="A105" t="str">
            <v>Extended Stay America 6 - BCP IV</v>
          </cell>
          <cell r="B105" t="str">
            <v>ESA06</v>
          </cell>
        </row>
        <row r="106">
          <cell r="A106" t="str">
            <v>Extended Stay America 6 - BREP IV</v>
          </cell>
          <cell r="B106" t="str">
            <v>RESTAY06</v>
          </cell>
        </row>
        <row r="107">
          <cell r="A107" t="str">
            <v>Extended Stay America 6 - BREP IV</v>
          </cell>
          <cell r="B107" t="str">
            <v>RESTAY06</v>
          </cell>
        </row>
        <row r="108">
          <cell r="A108" t="str">
            <v>FGIC</v>
          </cell>
          <cell r="B108" t="str">
            <v>FGIC</v>
          </cell>
        </row>
        <row r="109">
          <cell r="A109" t="str">
            <v>Foundation Coal Holdings LLC</v>
          </cell>
          <cell r="B109" t="str">
            <v>FOUNDATI</v>
          </cell>
        </row>
        <row r="110">
          <cell r="A110" t="str">
            <v>Freedom Communications - BCP IV</v>
          </cell>
          <cell r="B110" t="str">
            <v>FREEDOM</v>
          </cell>
        </row>
        <row r="111">
          <cell r="A111" t="str">
            <v>Freescale</v>
          </cell>
          <cell r="B111" t="str">
            <v>FREESCAL</v>
          </cell>
        </row>
        <row r="112">
          <cell r="A112" t="str">
            <v>Ft. Lauderdale Marriott</v>
          </cell>
          <cell r="B112" t="str">
            <v>RVFTLAUD</v>
          </cell>
        </row>
        <row r="113">
          <cell r="A113" t="str">
            <v>Ft. Lauderdale Marriott 2</v>
          </cell>
          <cell r="B113" t="str">
            <v>RVFTLAU2</v>
          </cell>
        </row>
        <row r="114">
          <cell r="A114" t="str">
            <v>Gerresheimer</v>
          </cell>
          <cell r="B114" t="str">
            <v>GHEIMER</v>
          </cell>
        </row>
        <row r="115">
          <cell r="A115" t="str">
            <v>Global Tower - BCP IV</v>
          </cell>
          <cell r="B115" t="str">
            <v>GTOWERS</v>
          </cell>
        </row>
        <row r="116">
          <cell r="A116" t="str">
            <v>Global Tower 2 - BCP IV</v>
          </cell>
          <cell r="B116" t="str">
            <v>GTOWERS2</v>
          </cell>
        </row>
        <row r="117">
          <cell r="A117" t="str">
            <v>Global Tower 3 - BCP IV</v>
          </cell>
          <cell r="B117" t="str">
            <v>GTOWERS3</v>
          </cell>
        </row>
        <row r="118">
          <cell r="A118" t="str">
            <v>Global Tower 4 - BCP IV</v>
          </cell>
          <cell r="B118" t="str">
            <v>GTOWERS4</v>
          </cell>
        </row>
        <row r="119">
          <cell r="A119" t="str">
            <v>Global Tower 5 - BCP IV</v>
          </cell>
          <cell r="B119" t="str">
            <v>GTOWERS5</v>
          </cell>
        </row>
        <row r="120">
          <cell r="A120" t="str">
            <v>Global Tower 6 - BCP IV</v>
          </cell>
          <cell r="B120" t="str">
            <v>GTOWER6</v>
          </cell>
        </row>
        <row r="121">
          <cell r="A121" t="str">
            <v>Global Towers 10 - BCP IV</v>
          </cell>
          <cell r="B121" t="str">
            <v>GTOWER10</v>
          </cell>
        </row>
        <row r="122">
          <cell r="A122" t="str">
            <v>Global Towers 7 - BCP IV</v>
          </cell>
          <cell r="B122" t="str">
            <v>GTOWERS7</v>
          </cell>
        </row>
        <row r="123">
          <cell r="A123" t="str">
            <v>Global Towers 8 - BCP IV</v>
          </cell>
          <cell r="B123" t="str">
            <v>GTOWERS8</v>
          </cell>
        </row>
        <row r="124">
          <cell r="A124" t="str">
            <v>Global Towers 9 - BCP IV</v>
          </cell>
          <cell r="B124" t="str">
            <v>GTOWERS9</v>
          </cell>
        </row>
        <row r="125">
          <cell r="A125" t="str">
            <v>Gold Toe</v>
          </cell>
          <cell r="B125" t="str">
            <v>GOLDT</v>
          </cell>
        </row>
        <row r="126">
          <cell r="A126" t="str">
            <v>Grosvenor Crescent - BREP Intl</v>
          </cell>
          <cell r="B126" t="str">
            <v>RIGROSCS</v>
          </cell>
        </row>
        <row r="127">
          <cell r="A127" t="str">
            <v>Grosvenor Crescent - BREP IV</v>
          </cell>
          <cell r="B127" t="str">
            <v>RGROSCST</v>
          </cell>
        </row>
        <row r="128">
          <cell r="A128" t="str">
            <v>Grosvenor Crescent - BREP IV</v>
          </cell>
          <cell r="B128" t="str">
            <v>RGROSCST</v>
          </cell>
        </row>
        <row r="129">
          <cell r="A129" t="str">
            <v>Hatfield - BREP Intl</v>
          </cell>
          <cell r="B129" t="str">
            <v>RIHATF</v>
          </cell>
        </row>
        <row r="130">
          <cell r="A130" t="str">
            <v>Hatfield2 - BREP Intl</v>
          </cell>
          <cell r="B130" t="str">
            <v>RIHATF02</v>
          </cell>
        </row>
        <row r="131">
          <cell r="A131" t="str">
            <v>Hawaii Marriotts</v>
          </cell>
          <cell r="B131" t="str">
            <v>RMHAWI</v>
          </cell>
        </row>
        <row r="132">
          <cell r="A132" t="str">
            <v>Hawaii Marriotts</v>
          </cell>
          <cell r="B132" t="str">
            <v>RMHAWI</v>
          </cell>
        </row>
        <row r="133">
          <cell r="A133" t="str">
            <v>Hawaii Marriotts 2</v>
          </cell>
          <cell r="B133" t="str">
            <v>RMHAWI02</v>
          </cell>
        </row>
        <row r="134">
          <cell r="A134" t="str">
            <v>Hawaii Marriotts 2</v>
          </cell>
          <cell r="B134" t="str">
            <v>RMHAWI02</v>
          </cell>
        </row>
        <row r="135">
          <cell r="A135" t="str">
            <v>Hawaii Marriotts 3</v>
          </cell>
          <cell r="B135" t="str">
            <v>RMHAWI03</v>
          </cell>
        </row>
        <row r="136">
          <cell r="A136" t="str">
            <v>Hawaii Marriotts 3</v>
          </cell>
          <cell r="B136" t="str">
            <v>RMHAWI03</v>
          </cell>
        </row>
        <row r="137">
          <cell r="A137" t="str">
            <v>Hawaii Marriotts 4</v>
          </cell>
          <cell r="B137" t="str">
            <v>RMHAWI04</v>
          </cell>
        </row>
        <row r="138">
          <cell r="A138" t="str">
            <v>Hawaii Marriotts 4</v>
          </cell>
          <cell r="B138" t="str">
            <v>RMHAWI04</v>
          </cell>
        </row>
        <row r="139">
          <cell r="A139" t="str">
            <v>Hawaii Marriotts 5</v>
          </cell>
          <cell r="B139" t="str">
            <v>RMHAWI05</v>
          </cell>
        </row>
        <row r="140">
          <cell r="A140" t="str">
            <v>Hawaii Marriotts 5</v>
          </cell>
          <cell r="B140" t="str">
            <v>RMHAWI05</v>
          </cell>
        </row>
        <row r="141">
          <cell r="A141" t="str">
            <v>Hawaii Marriotts 6</v>
          </cell>
          <cell r="B141" t="str">
            <v>RMHAWI06</v>
          </cell>
        </row>
        <row r="142">
          <cell r="A142" t="str">
            <v>Hawaii Marriotts 6</v>
          </cell>
          <cell r="B142" t="str">
            <v>RMHAWI06</v>
          </cell>
        </row>
        <row r="143">
          <cell r="A143" t="str">
            <v>Health Markets</v>
          </cell>
          <cell r="B143" t="str">
            <v>HEALTHM</v>
          </cell>
        </row>
        <row r="144">
          <cell r="A144" t="str">
            <v>Hemel Hempstead - BREP Intl</v>
          </cell>
          <cell r="B144" t="str">
            <v>RIHEME</v>
          </cell>
        </row>
        <row r="145">
          <cell r="A145" t="str">
            <v>Hemel Hempstead2 - BREP Intl</v>
          </cell>
          <cell r="B145" t="str">
            <v>RIHEME02</v>
          </cell>
        </row>
        <row r="146">
          <cell r="A146" t="str">
            <v>Hemel Hempstead3 - BREP Intl</v>
          </cell>
          <cell r="B146" t="str">
            <v>RIHEME03</v>
          </cell>
        </row>
        <row r="147">
          <cell r="A147" t="str">
            <v>Hospitality Europe - BREP Intl II</v>
          </cell>
          <cell r="B147" t="str">
            <v>RIHEBV</v>
          </cell>
        </row>
        <row r="148">
          <cell r="A148" t="str">
            <v>Hospitality Europe - BREP V</v>
          </cell>
          <cell r="B148" t="str">
            <v>RHEBV</v>
          </cell>
        </row>
        <row r="149">
          <cell r="A149" t="str">
            <v>Hyatt Washington</v>
          </cell>
          <cell r="B149" t="str">
            <v>RHWASH</v>
          </cell>
        </row>
        <row r="150">
          <cell r="A150" t="str">
            <v>Hyatt Washington</v>
          </cell>
          <cell r="B150" t="str">
            <v>RHWASH</v>
          </cell>
        </row>
        <row r="151">
          <cell r="A151" t="str">
            <v>INWOOD - BMEZZ II</v>
          </cell>
          <cell r="B151" t="str">
            <v>INWOOD</v>
          </cell>
        </row>
        <row r="152">
          <cell r="A152" t="str">
            <v>Iron Mountain - BREP Intl</v>
          </cell>
          <cell r="B152" t="str">
            <v>RIIRON</v>
          </cell>
        </row>
        <row r="153">
          <cell r="A153" t="str">
            <v>KDHM - BREP Intl</v>
          </cell>
          <cell r="B153" t="str">
            <v>RIKDHM</v>
          </cell>
        </row>
        <row r="154">
          <cell r="A154" t="str">
            <v>KDHM - BREP IV</v>
          </cell>
          <cell r="B154" t="str">
            <v>R4KDHM</v>
          </cell>
        </row>
        <row r="155">
          <cell r="A155" t="str">
            <v>KDHM - BREP IV</v>
          </cell>
          <cell r="B155" t="str">
            <v>R4KDHM</v>
          </cell>
        </row>
        <row r="156">
          <cell r="A156" t="str">
            <v>Kosmos Energy</v>
          </cell>
          <cell r="B156" t="str">
            <v>KOSMOS</v>
          </cell>
        </row>
        <row r="157">
          <cell r="A157" t="str">
            <v>Kosmos Energy 4</v>
          </cell>
          <cell r="B157" t="str">
            <v>KOSMOS04</v>
          </cell>
        </row>
        <row r="158">
          <cell r="A158" t="str">
            <v>Kosmos Energy 5</v>
          </cell>
          <cell r="B158" t="str">
            <v>KOSMOS05</v>
          </cell>
        </row>
        <row r="159">
          <cell r="A159" t="str">
            <v>Kosmos Energy 6</v>
          </cell>
          <cell r="B159" t="str">
            <v>KOSMOS06</v>
          </cell>
        </row>
        <row r="160">
          <cell r="A160" t="str">
            <v>Kosmos Energy 7</v>
          </cell>
          <cell r="B160" t="str">
            <v>KOSMOS07</v>
          </cell>
        </row>
        <row r="161">
          <cell r="A161" t="str">
            <v>Kosmos Energy2</v>
          </cell>
          <cell r="B161" t="str">
            <v>KOSMOS02</v>
          </cell>
        </row>
        <row r="162">
          <cell r="A162" t="str">
            <v>Kosmos Energy3</v>
          </cell>
          <cell r="B162" t="str">
            <v>KOSMOS03</v>
          </cell>
        </row>
        <row r="163">
          <cell r="A163" t="str">
            <v>KX200 - BREP Intl</v>
          </cell>
          <cell r="B163" t="str">
            <v>RIKINGSC</v>
          </cell>
        </row>
        <row r="164">
          <cell r="A164" t="str">
            <v>KX200 - BREP IV</v>
          </cell>
          <cell r="B164" t="str">
            <v>RKX2000</v>
          </cell>
        </row>
        <row r="165">
          <cell r="A165" t="str">
            <v>KX200 - BREP IV</v>
          </cell>
          <cell r="B165" t="str">
            <v>RKX2000</v>
          </cell>
        </row>
        <row r="166">
          <cell r="A166" t="str">
            <v>La Quinta - BREP IV</v>
          </cell>
          <cell r="B166" t="str">
            <v>RLAQUNTA</v>
          </cell>
        </row>
        <row r="167">
          <cell r="A167" t="str">
            <v>La Quinta - BREP IV</v>
          </cell>
          <cell r="B167" t="str">
            <v>RLAQUNTA</v>
          </cell>
        </row>
        <row r="168">
          <cell r="A168" t="str">
            <v>La Quinta - BREP V</v>
          </cell>
          <cell r="B168" t="str">
            <v>RVLAQNTA</v>
          </cell>
        </row>
        <row r="169">
          <cell r="A169" t="str">
            <v>La Quinta 2 - BREP V</v>
          </cell>
          <cell r="B169" t="str">
            <v>RVLAQNT2</v>
          </cell>
        </row>
        <row r="170">
          <cell r="A170" t="str">
            <v>La Quinta 3 - BREP V</v>
          </cell>
          <cell r="B170" t="str">
            <v>RVLAQNT3</v>
          </cell>
        </row>
        <row r="171">
          <cell r="A171" t="str">
            <v>La Quinta 4 - BREP V</v>
          </cell>
          <cell r="B171" t="str">
            <v>RVLAQNT4</v>
          </cell>
        </row>
        <row r="172">
          <cell r="A172" t="str">
            <v>La Quinta 5 - BREP V</v>
          </cell>
          <cell r="B172" t="str">
            <v>RVLAQNT5</v>
          </cell>
        </row>
        <row r="173">
          <cell r="A173" t="str">
            <v>La Quinta 6 - BREP V</v>
          </cell>
          <cell r="B173" t="str">
            <v>RVLAQNT6</v>
          </cell>
        </row>
        <row r="174">
          <cell r="A174" t="str">
            <v>Larkspur Hopitality - BREP IV</v>
          </cell>
          <cell r="B174" t="str">
            <v>RLARKS</v>
          </cell>
        </row>
        <row r="175">
          <cell r="A175" t="str">
            <v>Larkspur Hopitality - BREP IV</v>
          </cell>
          <cell r="B175" t="str">
            <v>RLARKS</v>
          </cell>
        </row>
        <row r="176">
          <cell r="A176" t="str">
            <v>Lonestar France - BREP Intl II</v>
          </cell>
          <cell r="B176" t="str">
            <v>RIBUDGET</v>
          </cell>
        </row>
        <row r="177">
          <cell r="A177" t="str">
            <v>Lonestar France - BREP V</v>
          </cell>
          <cell r="B177" t="str">
            <v>RVBUDGET</v>
          </cell>
        </row>
        <row r="178">
          <cell r="A178" t="str">
            <v>Maritim - BREP Intl II</v>
          </cell>
          <cell r="B178" t="str">
            <v>RIMARITI</v>
          </cell>
        </row>
        <row r="179">
          <cell r="A179" t="str">
            <v>Maritim - BREP V</v>
          </cell>
          <cell r="B179" t="str">
            <v>RMARITIM</v>
          </cell>
        </row>
        <row r="180">
          <cell r="A180" t="str">
            <v>Marriott Copenhagen - BREP Intl II</v>
          </cell>
          <cell r="B180" t="str">
            <v>RICOPNHA</v>
          </cell>
        </row>
        <row r="181">
          <cell r="A181" t="str">
            <v>Marriott Copenhagen - BREP V</v>
          </cell>
          <cell r="B181" t="str">
            <v>COPNHAGN</v>
          </cell>
        </row>
        <row r="182">
          <cell r="A182" t="str">
            <v>Marriott Grosvenor - BREP Intl</v>
          </cell>
          <cell r="B182" t="str">
            <v>RIGROS</v>
          </cell>
        </row>
        <row r="183">
          <cell r="A183" t="str">
            <v>Marriott Grosvenor - BREP IV</v>
          </cell>
          <cell r="B183" t="str">
            <v>R4GROS</v>
          </cell>
        </row>
        <row r="184">
          <cell r="A184" t="str">
            <v>Marriott Grosvenor - BREP IV</v>
          </cell>
          <cell r="B184" t="str">
            <v>R4GROS</v>
          </cell>
        </row>
        <row r="185">
          <cell r="A185" t="str">
            <v>Marriott Grosvenor 2 - BREP Intl</v>
          </cell>
          <cell r="B185" t="str">
            <v>RIGROS02</v>
          </cell>
        </row>
        <row r="186">
          <cell r="A186" t="str">
            <v>Marriott Grosvenor 2 - BREP IV</v>
          </cell>
          <cell r="B186" t="str">
            <v>R4GROS02</v>
          </cell>
        </row>
        <row r="187">
          <cell r="A187" t="str">
            <v>Marriott Grosvenor 2 - BREP IV</v>
          </cell>
          <cell r="B187" t="str">
            <v>R4GROS02</v>
          </cell>
        </row>
        <row r="188">
          <cell r="A188" t="str">
            <v>Marriott Grosvenor 3 - BREP Intl</v>
          </cell>
          <cell r="B188" t="str">
            <v>RIGROS03</v>
          </cell>
        </row>
        <row r="189">
          <cell r="A189" t="str">
            <v>Marriott Grosvenor 3 - BREP IV</v>
          </cell>
          <cell r="B189" t="str">
            <v>R4GROS03</v>
          </cell>
        </row>
        <row r="190">
          <cell r="A190" t="str">
            <v>Marriott Grosvenor 3 - BREP IV</v>
          </cell>
          <cell r="B190" t="str">
            <v>R4GROS03</v>
          </cell>
        </row>
        <row r="191">
          <cell r="A191" t="str">
            <v>Marriott Munich - BREP Intl</v>
          </cell>
          <cell r="B191" t="str">
            <v>RIMUNI</v>
          </cell>
        </row>
        <row r="192">
          <cell r="A192" t="str">
            <v>MeriStar - BREP V</v>
          </cell>
          <cell r="B192" t="str">
            <v>RMERHOSP</v>
          </cell>
        </row>
        <row r="193">
          <cell r="A193" t="str">
            <v>MeriStar 2 - BREP V</v>
          </cell>
          <cell r="B193" t="str">
            <v>RMERHOS2</v>
          </cell>
        </row>
        <row r="194">
          <cell r="A194" t="str">
            <v>Meristar Florida 2 - BREP V</v>
          </cell>
          <cell r="B194" t="str">
            <v>RMERFLH2</v>
          </cell>
        </row>
        <row r="195">
          <cell r="A195" t="str">
            <v>Merlin &amp; Legoland</v>
          </cell>
          <cell r="B195" t="str">
            <v>MLEGOLAN</v>
          </cell>
        </row>
        <row r="196">
          <cell r="A196" t="str">
            <v>Merlin &amp; Legoland 2</v>
          </cell>
          <cell r="B196" t="str">
            <v>MLEGOLA2</v>
          </cell>
        </row>
        <row r="197">
          <cell r="A197" t="str">
            <v>Michaels Stores</v>
          </cell>
          <cell r="B197" t="str">
            <v>MICHAELS</v>
          </cell>
        </row>
        <row r="198">
          <cell r="A198" t="str">
            <v>Middlesex - BREP Intl II</v>
          </cell>
          <cell r="B198" t="str">
            <v>RIMIDDSX</v>
          </cell>
        </row>
        <row r="199">
          <cell r="A199" t="str">
            <v>Middlesex - BREP V</v>
          </cell>
          <cell r="B199" t="str">
            <v>RMIDDLSX</v>
          </cell>
        </row>
        <row r="200">
          <cell r="A200" t="str">
            <v>Milner - BREP V</v>
          </cell>
          <cell r="B200" t="str">
            <v>RMILNER</v>
          </cell>
        </row>
        <row r="201">
          <cell r="A201" t="str">
            <v>Montecito - BCP IV</v>
          </cell>
          <cell r="B201" t="str">
            <v>MONTECTO</v>
          </cell>
        </row>
        <row r="202">
          <cell r="A202" t="str">
            <v>Mosaic Sales - BMEZZ II</v>
          </cell>
          <cell r="B202" t="str">
            <v>MOSAIC</v>
          </cell>
        </row>
        <row r="203">
          <cell r="A203" t="str">
            <v>Nalco</v>
          </cell>
          <cell r="B203" t="str">
            <v>NALCO</v>
          </cell>
        </row>
        <row r="204">
          <cell r="A204" t="str">
            <v>New Skies - BCP IV</v>
          </cell>
          <cell r="B204" t="str">
            <v>NEWSKIES</v>
          </cell>
        </row>
        <row r="205">
          <cell r="A205" t="str">
            <v>NHP - BCP IV</v>
          </cell>
          <cell r="B205" t="str">
            <v>NHP</v>
          </cell>
        </row>
        <row r="206">
          <cell r="A206" t="str">
            <v>NHP - BREP Intl</v>
          </cell>
          <cell r="B206" t="str">
            <v>RINHPSC</v>
          </cell>
        </row>
        <row r="207">
          <cell r="A207" t="str">
            <v>NHP - BREP IV</v>
          </cell>
          <cell r="B207" t="str">
            <v>RNHPSC</v>
          </cell>
        </row>
        <row r="208">
          <cell r="A208" t="str">
            <v>NHP - BREP IV</v>
          </cell>
          <cell r="B208" t="str">
            <v>RNHPSC</v>
          </cell>
        </row>
        <row r="209">
          <cell r="A209" t="str">
            <v>NHP 2 - BCP IV</v>
          </cell>
          <cell r="B209" t="str">
            <v>NHP02</v>
          </cell>
        </row>
        <row r="210">
          <cell r="A210" t="str">
            <v>NHP 2 - BREP IV</v>
          </cell>
          <cell r="B210" t="str">
            <v>RNHPSC2</v>
          </cell>
        </row>
        <row r="211">
          <cell r="A211" t="str">
            <v>NHP 2 - BREP IV</v>
          </cell>
          <cell r="B211" t="str">
            <v>RNHPSC2</v>
          </cell>
        </row>
        <row r="212">
          <cell r="A212" t="str">
            <v>NHP2 - BREP Intl</v>
          </cell>
          <cell r="B212" t="str">
            <v>RINHPSC2</v>
          </cell>
        </row>
        <row r="213">
          <cell r="A213" t="str">
            <v>Nikko Hotel - BREP Intl</v>
          </cell>
          <cell r="B213" t="str">
            <v>RINIKK</v>
          </cell>
        </row>
        <row r="214">
          <cell r="A214" t="str">
            <v>Nikko Hotel2 - BREP Intl</v>
          </cell>
          <cell r="B214" t="str">
            <v>RINIKK02</v>
          </cell>
        </row>
        <row r="215">
          <cell r="A215" t="str">
            <v>Parcolog - BREP Intl</v>
          </cell>
          <cell r="B215" t="str">
            <v>RIPARC</v>
          </cell>
        </row>
        <row r="216">
          <cell r="A216" t="str">
            <v>Parcolog2 - BREP Intl</v>
          </cell>
          <cell r="B216" t="str">
            <v>RIPARC02</v>
          </cell>
        </row>
        <row r="217">
          <cell r="A217" t="str">
            <v>Parcolog3 - BREP Intl</v>
          </cell>
          <cell r="B217" t="str">
            <v>RIPARC03</v>
          </cell>
        </row>
        <row r="218">
          <cell r="A218" t="str">
            <v>Pinnacle - BCP V</v>
          </cell>
          <cell r="B218" t="str">
            <v>PINNACLE</v>
          </cell>
        </row>
        <row r="219">
          <cell r="A219" t="str">
            <v>PlayCore - BMEZ II</v>
          </cell>
          <cell r="B219" t="str">
            <v>PLAYCORE</v>
          </cell>
        </row>
        <row r="220">
          <cell r="A220" t="str">
            <v>Prime Hospitality</v>
          </cell>
          <cell r="B220" t="str">
            <v>RPHCRP</v>
          </cell>
        </row>
        <row r="221">
          <cell r="A221" t="str">
            <v>Prime Hospitality</v>
          </cell>
          <cell r="B221" t="str">
            <v>RPHCRP</v>
          </cell>
        </row>
        <row r="222">
          <cell r="A222" t="str">
            <v>Prime Hospitality 2</v>
          </cell>
          <cell r="B222" t="str">
            <v>RPHCRP02</v>
          </cell>
        </row>
        <row r="223">
          <cell r="A223" t="str">
            <v>Prime Hospitality 2</v>
          </cell>
          <cell r="B223" t="str">
            <v>RPHCRP02</v>
          </cell>
        </row>
        <row r="224">
          <cell r="A224" t="str">
            <v>Regents Park</v>
          </cell>
          <cell r="B224" t="str">
            <v>REGENTPK</v>
          </cell>
        </row>
        <row r="225">
          <cell r="A225" t="str">
            <v>Resolution - BREP Intl</v>
          </cell>
          <cell r="B225" t="str">
            <v>RIRESO</v>
          </cell>
        </row>
        <row r="226">
          <cell r="A226" t="str">
            <v>Resolution 3 - BREP Intl</v>
          </cell>
          <cell r="B226" t="str">
            <v>RIRESO03</v>
          </cell>
        </row>
        <row r="227">
          <cell r="A227" t="str">
            <v>Resolution2 - BREP Intl</v>
          </cell>
          <cell r="B227" t="str">
            <v>RIRESO02</v>
          </cell>
        </row>
        <row r="228">
          <cell r="A228" t="str">
            <v>RGIS - BCP V</v>
          </cell>
          <cell r="B228" t="str">
            <v>RGIS</v>
          </cell>
        </row>
        <row r="229">
          <cell r="A229" t="str">
            <v>Rihga Royal</v>
          </cell>
          <cell r="B229" t="str">
            <v>RRIHGA</v>
          </cell>
        </row>
        <row r="230">
          <cell r="A230" t="str">
            <v>Rihga Royal</v>
          </cell>
          <cell r="B230" t="str">
            <v>RRIHGA</v>
          </cell>
        </row>
        <row r="231">
          <cell r="A231" t="str">
            <v>Rihga Royal 2</v>
          </cell>
          <cell r="B231" t="str">
            <v>RRIHGA02</v>
          </cell>
        </row>
        <row r="232">
          <cell r="A232" t="str">
            <v>Rihga Royal 2</v>
          </cell>
          <cell r="B232" t="str">
            <v>RRIHGA02</v>
          </cell>
        </row>
        <row r="233">
          <cell r="A233" t="str">
            <v>Rihga Royal 3</v>
          </cell>
          <cell r="B233" t="str">
            <v>RRIHGA03</v>
          </cell>
        </row>
        <row r="234">
          <cell r="A234" t="str">
            <v>Rihga Royal 3</v>
          </cell>
          <cell r="B234" t="str">
            <v>RRIHGA03</v>
          </cell>
        </row>
        <row r="235">
          <cell r="A235" t="str">
            <v>Rihga Royal 4</v>
          </cell>
          <cell r="B235" t="str">
            <v>RRIHGA04</v>
          </cell>
        </row>
        <row r="236">
          <cell r="A236" t="str">
            <v>Rihga Royal 4</v>
          </cell>
          <cell r="B236" t="str">
            <v>RRIHGA04</v>
          </cell>
        </row>
        <row r="237">
          <cell r="A237" t="str">
            <v>Rihga Royal 5</v>
          </cell>
          <cell r="B237" t="str">
            <v>RRIHGA05</v>
          </cell>
        </row>
        <row r="238">
          <cell r="A238" t="str">
            <v>Rihga Royal 5</v>
          </cell>
          <cell r="B238" t="str">
            <v>RRIHGA05</v>
          </cell>
        </row>
        <row r="239">
          <cell r="A239" t="str">
            <v>Rocky Mountain Plaza</v>
          </cell>
          <cell r="B239" t="str">
            <v>RRCKYMNT</v>
          </cell>
        </row>
        <row r="240">
          <cell r="A240" t="str">
            <v>Rocky Mountain Plaza</v>
          </cell>
          <cell r="B240" t="str">
            <v>RRCKYMNT</v>
          </cell>
        </row>
        <row r="241">
          <cell r="A241" t="str">
            <v>Scaleback - BCP IV</v>
          </cell>
          <cell r="B241" t="str">
            <v>SCBBCP4</v>
          </cell>
        </row>
        <row r="242">
          <cell r="A242" t="str">
            <v>Scaleback - BREP Intl</v>
          </cell>
          <cell r="B242" t="str">
            <v>SCBBREPI</v>
          </cell>
        </row>
        <row r="243">
          <cell r="A243" t="str">
            <v>Sithe</v>
          </cell>
          <cell r="B243" t="str">
            <v>SITHE</v>
          </cell>
        </row>
        <row r="244">
          <cell r="A244" t="str">
            <v>Sithe 2</v>
          </cell>
          <cell r="B244" t="str">
            <v>SITHE02</v>
          </cell>
        </row>
        <row r="245">
          <cell r="A245" t="str">
            <v>Sithe 3</v>
          </cell>
          <cell r="B245" t="str">
            <v>SITHE03</v>
          </cell>
        </row>
        <row r="246">
          <cell r="A246" t="str">
            <v>Sithe 4</v>
          </cell>
          <cell r="B246" t="str">
            <v>SITHE04</v>
          </cell>
        </row>
        <row r="247">
          <cell r="A247" t="str">
            <v>Skanska - BREP Intl</v>
          </cell>
          <cell r="B247" t="str">
            <v>RISKAN</v>
          </cell>
        </row>
        <row r="248">
          <cell r="A248" t="str">
            <v>Skanska 2 - BREP Intl</v>
          </cell>
          <cell r="B248" t="str">
            <v>RISKAN2</v>
          </cell>
        </row>
        <row r="249">
          <cell r="A249" t="str">
            <v>Skanska 2 - BREP IV</v>
          </cell>
          <cell r="B249" t="str">
            <v>RSKAN2</v>
          </cell>
        </row>
        <row r="250">
          <cell r="A250" t="str">
            <v>Skanska 2 - BREP IV</v>
          </cell>
          <cell r="B250" t="str">
            <v>RSKAN2</v>
          </cell>
        </row>
        <row r="251">
          <cell r="A251" t="str">
            <v>Somerfield - BREP Intl II</v>
          </cell>
          <cell r="B251" t="str">
            <v>RISOMRFL</v>
          </cell>
        </row>
        <row r="252">
          <cell r="A252" t="str">
            <v>Somerfield - BREP V</v>
          </cell>
          <cell r="B252" t="str">
            <v>RSOMRFLD</v>
          </cell>
        </row>
        <row r="253">
          <cell r="A253" t="str">
            <v>Southern Cross</v>
          </cell>
          <cell r="B253" t="str">
            <v>SOUTHERN</v>
          </cell>
        </row>
        <row r="254">
          <cell r="A254" t="str">
            <v>Southfield 2</v>
          </cell>
          <cell r="B254" t="str">
            <v>RSOUTH02</v>
          </cell>
        </row>
        <row r="255">
          <cell r="A255" t="str">
            <v>Spirit Group</v>
          </cell>
          <cell r="B255" t="str">
            <v>SN</v>
          </cell>
        </row>
        <row r="256">
          <cell r="A256" t="str">
            <v>Spirit Group - BREP Intl</v>
          </cell>
          <cell r="B256" t="str">
            <v>RISPIR</v>
          </cell>
        </row>
        <row r="257">
          <cell r="A257" t="str">
            <v>Spirit Group - BREP IV</v>
          </cell>
          <cell r="B257" t="str">
            <v>R4SPIR</v>
          </cell>
        </row>
        <row r="258">
          <cell r="A258" t="str">
            <v>Spirit Group - BREP IV</v>
          </cell>
          <cell r="B258" t="str">
            <v>R4SPIR</v>
          </cell>
        </row>
        <row r="259">
          <cell r="A259" t="str">
            <v>Strategic Partners</v>
          </cell>
          <cell r="B259" t="str">
            <v>STRATEGI</v>
          </cell>
        </row>
        <row r="260">
          <cell r="A260" t="str">
            <v>SULO</v>
          </cell>
          <cell r="B260" t="str">
            <v>SULO</v>
          </cell>
        </row>
        <row r="261">
          <cell r="A261" t="str">
            <v>SunGard - BCP IV</v>
          </cell>
          <cell r="B261" t="str">
            <v>SUNGARD</v>
          </cell>
        </row>
        <row r="262">
          <cell r="A262" t="str">
            <v>Susquehanna - BCP IV</v>
          </cell>
          <cell r="B262" t="str">
            <v>SUSQUEHA</v>
          </cell>
        </row>
        <row r="263">
          <cell r="A263" t="str">
            <v>TDC - BCP IV</v>
          </cell>
          <cell r="B263" t="str">
            <v>TDC</v>
          </cell>
        </row>
        <row r="264">
          <cell r="A264" t="str">
            <v>Team Health</v>
          </cell>
          <cell r="B264" t="str">
            <v>THEALTH</v>
          </cell>
        </row>
        <row r="265">
          <cell r="A265" t="str">
            <v>Team Health 2</v>
          </cell>
          <cell r="B265" t="str">
            <v>THEALTH2</v>
          </cell>
        </row>
        <row r="266">
          <cell r="A266" t="str">
            <v>Texas Genco</v>
          </cell>
          <cell r="B266" t="str">
            <v>TEXASG</v>
          </cell>
        </row>
        <row r="267">
          <cell r="A267" t="str">
            <v>Texas Genco 2</v>
          </cell>
          <cell r="B267" t="str">
            <v>TEXASG02</v>
          </cell>
        </row>
        <row r="268">
          <cell r="A268" t="str">
            <v>Town and Country</v>
          </cell>
          <cell r="B268" t="str">
            <v>RTWN&amp;CNY</v>
          </cell>
        </row>
        <row r="269">
          <cell r="A269" t="str">
            <v>Town and Country</v>
          </cell>
          <cell r="B269" t="str">
            <v>RTWN&amp;CNY</v>
          </cell>
        </row>
        <row r="270">
          <cell r="A270" t="str">
            <v>Tragus - BCP V</v>
          </cell>
          <cell r="B270" t="str">
            <v>TRAGUS</v>
          </cell>
        </row>
        <row r="271">
          <cell r="A271" t="str">
            <v>Travelport</v>
          </cell>
          <cell r="B271" t="str">
            <v>TRAVEL</v>
          </cell>
        </row>
        <row r="272">
          <cell r="A272" t="str">
            <v>Triangle Retail Center - BREP Intl</v>
          </cell>
          <cell r="B272" t="str">
            <v>RITRIA</v>
          </cell>
        </row>
        <row r="273">
          <cell r="A273" t="str">
            <v>Triangle Retail Center2 - BREP Intl</v>
          </cell>
          <cell r="B273" t="str">
            <v>RITRIA02</v>
          </cell>
        </row>
        <row r="274">
          <cell r="A274" t="str">
            <v>Trianon Palace - BREP Intl II</v>
          </cell>
          <cell r="B274" t="str">
            <v>RIWESTIN</v>
          </cell>
        </row>
        <row r="275">
          <cell r="A275" t="str">
            <v>Trianon Palace - BREP V</v>
          </cell>
          <cell r="B275" t="str">
            <v>TRIANON</v>
          </cell>
        </row>
        <row r="276">
          <cell r="A276" t="str">
            <v>Trizec</v>
          </cell>
          <cell r="B276" t="str">
            <v>RTRIZEC</v>
          </cell>
        </row>
        <row r="277">
          <cell r="A277" t="str">
            <v>TRW Automotive</v>
          </cell>
          <cell r="B277" t="str">
            <v>TRW</v>
          </cell>
        </row>
        <row r="278">
          <cell r="A278" t="str">
            <v>Tyco</v>
          </cell>
          <cell r="B278" t="str">
            <v>RTYCO</v>
          </cell>
        </row>
        <row r="279">
          <cell r="A279" t="str">
            <v>Tyco</v>
          </cell>
          <cell r="B279" t="str">
            <v>RTYCO</v>
          </cell>
        </row>
        <row r="280">
          <cell r="A280" t="str">
            <v>United Biscuits - BCP V</v>
          </cell>
          <cell r="B280" t="str">
            <v>BISCUITS</v>
          </cell>
        </row>
        <row r="281">
          <cell r="A281" t="str">
            <v>University Gateway</v>
          </cell>
          <cell r="B281" t="str">
            <v>RUNVGTWY</v>
          </cell>
        </row>
        <row r="282">
          <cell r="A282" t="str">
            <v>University Gateway</v>
          </cell>
          <cell r="B282" t="str">
            <v>RUNVGTWY</v>
          </cell>
        </row>
        <row r="283">
          <cell r="A283" t="str">
            <v>University Gateway 2</v>
          </cell>
          <cell r="B283" t="str">
            <v>RUNVGTW2</v>
          </cell>
        </row>
        <row r="284">
          <cell r="A284" t="str">
            <v>University Gateway 2</v>
          </cell>
          <cell r="B284" t="str">
            <v>RUNVGTW2</v>
          </cell>
        </row>
        <row r="285">
          <cell r="A285" t="str">
            <v>US Shipping - BCP V</v>
          </cell>
          <cell r="B285" t="str">
            <v>USSHIPBC</v>
          </cell>
        </row>
        <row r="286">
          <cell r="A286" t="str">
            <v>US Shipping - BMEZZ II</v>
          </cell>
          <cell r="B286" t="str">
            <v>USSHIP</v>
          </cell>
        </row>
        <row r="287">
          <cell r="A287" t="str">
            <v>US Shipping 2 - BCP V</v>
          </cell>
          <cell r="B287" t="str">
            <v>USSHIPB2</v>
          </cell>
        </row>
        <row r="288">
          <cell r="A288" t="str">
            <v>US Shipping 2 - BMEZZ II</v>
          </cell>
          <cell r="B288" t="str">
            <v>USSHIP02</v>
          </cell>
        </row>
        <row r="289">
          <cell r="A289" t="str">
            <v>Vanguard Health Systems</v>
          </cell>
          <cell r="B289" t="str">
            <v>VANGUARD</v>
          </cell>
        </row>
        <row r="290">
          <cell r="A290" t="str">
            <v>Vintners - BREP Intl</v>
          </cell>
          <cell r="B290" t="str">
            <v>RIVINT</v>
          </cell>
        </row>
        <row r="291">
          <cell r="A291" t="str">
            <v>Vintners2 - BREP Intl</v>
          </cell>
          <cell r="B291" t="str">
            <v>RIVINT02</v>
          </cell>
        </row>
        <row r="292">
          <cell r="A292" t="str">
            <v>Vitalia - BREP Intl II</v>
          </cell>
          <cell r="B292" t="str">
            <v>RIVITALI</v>
          </cell>
        </row>
        <row r="293">
          <cell r="A293" t="str">
            <v>Vitalia - BREP V</v>
          </cell>
          <cell r="B293" t="str">
            <v>RVITALIA</v>
          </cell>
        </row>
        <row r="294">
          <cell r="A294" t="str">
            <v>Vitalia 2 - BREP Intl II</v>
          </cell>
          <cell r="B294" t="str">
            <v>RIVITAL2</v>
          </cell>
        </row>
        <row r="295">
          <cell r="A295" t="str">
            <v>Vitalia 2 - BREP V</v>
          </cell>
          <cell r="B295" t="str">
            <v>VITALIA2</v>
          </cell>
        </row>
        <row r="296">
          <cell r="A296" t="str">
            <v>VNU</v>
          </cell>
          <cell r="B296" t="str">
            <v>VNU</v>
          </cell>
        </row>
        <row r="297">
          <cell r="A297" t="str">
            <v>VNU 2</v>
          </cell>
          <cell r="B297" t="str">
            <v>VNU02</v>
          </cell>
        </row>
        <row r="298">
          <cell r="A298" t="str">
            <v>WCM Residential - BREP Intl</v>
          </cell>
          <cell r="B298" t="str">
            <v>RIWCMRES</v>
          </cell>
        </row>
        <row r="299">
          <cell r="A299" t="str">
            <v>WCM Residential - BREP IV</v>
          </cell>
          <cell r="B299" t="str">
            <v>RWCMRES</v>
          </cell>
        </row>
        <row r="300">
          <cell r="A300" t="str">
            <v>WCM Residential - BREP IV</v>
          </cell>
          <cell r="B300" t="str">
            <v>RWCMRES</v>
          </cell>
        </row>
        <row r="301">
          <cell r="A301" t="str">
            <v>WCP Exposition</v>
          </cell>
          <cell r="B301" t="str">
            <v>WCP</v>
          </cell>
        </row>
        <row r="302">
          <cell r="A302" t="str">
            <v>White Flint Crossing</v>
          </cell>
          <cell r="B302" t="str">
            <v>RWFCROSS</v>
          </cell>
        </row>
        <row r="303">
          <cell r="A303" t="str">
            <v>White Flint Crossing</v>
          </cell>
          <cell r="B303" t="str">
            <v>RWFCROSS</v>
          </cell>
        </row>
        <row r="304">
          <cell r="A304" t="str">
            <v>WL Plastics</v>
          </cell>
          <cell r="B304" t="str">
            <v>WLP</v>
          </cell>
        </row>
        <row r="305">
          <cell r="A305" t="str">
            <v>WL Plastics 2</v>
          </cell>
          <cell r="B305" t="str">
            <v>WLP02</v>
          </cell>
        </row>
        <row r="306">
          <cell r="A306" t="str">
            <v>Woking - BREP Intl</v>
          </cell>
          <cell r="B306" t="str">
            <v>RIWOKI</v>
          </cell>
        </row>
        <row r="307">
          <cell r="A307" t="str">
            <v>Woking2 - BREP Intl</v>
          </cell>
          <cell r="B307" t="str">
            <v>RIWOKI02</v>
          </cell>
        </row>
        <row r="308">
          <cell r="A308" t="str">
            <v>Woking3 - BREP Intl</v>
          </cell>
          <cell r="B308" t="str">
            <v>RIWOKI03</v>
          </cell>
        </row>
        <row r="309">
          <cell r="A309" t="str">
            <v>Wyndham International</v>
          </cell>
          <cell r="B309" t="str">
            <v>RWYNDHAM</v>
          </cell>
        </row>
        <row r="310">
          <cell r="A310" t="str">
            <v>Wyndham International</v>
          </cell>
          <cell r="B310" t="str">
            <v>RWYNDHAM</v>
          </cell>
        </row>
        <row r="311">
          <cell r="A311" t="str">
            <v>Wyndham International 2</v>
          </cell>
          <cell r="B311" t="str">
            <v>RWYNDHA2</v>
          </cell>
        </row>
        <row r="312">
          <cell r="A312" t="str">
            <v>Wyndham International 2</v>
          </cell>
          <cell r="B312" t="str">
            <v>RWYNDHA2</v>
          </cell>
        </row>
        <row r="313">
          <cell r="A313" t="str">
            <v>Wyndham International 3</v>
          </cell>
          <cell r="B313" t="str">
            <v>RWYNDHA3</v>
          </cell>
        </row>
        <row r="314">
          <cell r="A314" t="str">
            <v>Wyndham International 3</v>
          </cell>
          <cell r="B314" t="str">
            <v>RWYNDHA3</v>
          </cell>
        </row>
        <row r="315">
          <cell r="A315" t="str">
            <v>Zeus - BREP Intl</v>
          </cell>
          <cell r="B315" t="str">
            <v>RIZEUS</v>
          </cell>
        </row>
        <row r="316">
          <cell r="A316" t="str">
            <v>Zurich - BREP V</v>
          </cell>
          <cell r="B316" t="str">
            <v>ZURICH</v>
          </cell>
        </row>
        <row r="317">
          <cell r="A317" t="str">
            <v>Graham</v>
          </cell>
          <cell r="B317" t="str">
            <v>GRAHM</v>
          </cell>
        </row>
        <row r="318">
          <cell r="A318" t="str">
            <v>Distressed Debt 2A - BCP III</v>
          </cell>
          <cell r="B318" t="str">
            <v>DDS2</v>
          </cell>
        </row>
        <row r="319">
          <cell r="A319" t="str">
            <v>Fitness2</v>
          </cell>
          <cell r="B319" t="str">
            <v>24HOUR02</v>
          </cell>
        </row>
        <row r="320">
          <cell r="A320" t="str">
            <v>Crowley Data2</v>
          </cell>
          <cell r="B320" t="str">
            <v>CROW02</v>
          </cell>
        </row>
        <row r="321">
          <cell r="A321" t="str">
            <v>Lafayette Square</v>
          </cell>
          <cell r="B321" t="str">
            <v>LAFAYETT</v>
          </cell>
        </row>
        <row r="322">
          <cell r="A322" t="str">
            <v>Universal</v>
          </cell>
          <cell r="B322" t="str">
            <v>USE</v>
          </cell>
        </row>
        <row r="323">
          <cell r="A323" t="str">
            <v>Western2</v>
          </cell>
          <cell r="B323" t="str">
            <v>WIN02</v>
          </cell>
        </row>
        <row r="324">
          <cell r="A324" t="str">
            <v>Digicel</v>
          </cell>
          <cell r="B324" t="str">
            <v>DIGICEL</v>
          </cell>
        </row>
        <row r="325">
          <cell r="A325" t="str">
            <v>Axtel2</v>
          </cell>
          <cell r="B325" t="str">
            <v>AXTEL02</v>
          </cell>
        </row>
        <row r="326">
          <cell r="A326" t="str">
            <v>LiveWire GB2</v>
          </cell>
          <cell r="B326" t="str">
            <v>LWGB02</v>
          </cell>
        </row>
        <row r="327">
          <cell r="A327" t="str">
            <v>Nycomed</v>
          </cell>
          <cell r="B327" t="str">
            <v>NYCOMD</v>
          </cell>
        </row>
        <row r="328">
          <cell r="A328" t="str">
            <v>Prestolite</v>
          </cell>
          <cell r="B328" t="str">
            <v>PRESTOLI</v>
          </cell>
        </row>
        <row r="329">
          <cell r="A329" t="str">
            <v>SpectaGuard2</v>
          </cell>
          <cell r="B329" t="str">
            <v>SPECTA02</v>
          </cell>
        </row>
        <row r="330">
          <cell r="A330" t="str">
            <v>Bryant Park</v>
          </cell>
          <cell r="B330" t="str">
            <v>BRYANT</v>
          </cell>
        </row>
        <row r="331">
          <cell r="A331" t="str">
            <v>CTI6</v>
          </cell>
          <cell r="B331" t="str">
            <v>CTI06</v>
          </cell>
        </row>
        <row r="332">
          <cell r="A332" t="str">
            <v>CTI</v>
          </cell>
          <cell r="B332" t="str">
            <v>CTI</v>
          </cell>
        </row>
        <row r="333">
          <cell r="A333" t="str">
            <v>Clark4</v>
          </cell>
          <cell r="B333" t="str">
            <v>CLARK04</v>
          </cell>
        </row>
        <row r="334">
          <cell r="A334" t="str">
            <v>Crowley Data</v>
          </cell>
          <cell r="B334" t="str">
            <v>CROW</v>
          </cell>
        </row>
        <row r="335">
          <cell r="A335" t="str">
            <v>UOL</v>
          </cell>
          <cell r="B335" t="str">
            <v>UOL</v>
          </cell>
        </row>
        <row r="336">
          <cell r="A336" t="str">
            <v>Clark8</v>
          </cell>
          <cell r="B336" t="str">
            <v>CLARK08</v>
          </cell>
        </row>
        <row r="337">
          <cell r="A337" t="str">
            <v>Cingular - BCP III</v>
          </cell>
          <cell r="B337" t="str">
            <v>CING</v>
          </cell>
        </row>
        <row r="338">
          <cell r="A338" t="str">
            <v>Kabel BW - BCP III</v>
          </cell>
          <cell r="B338" t="str">
            <v>KABEL05</v>
          </cell>
        </row>
        <row r="339">
          <cell r="A339" t="str">
            <v>Perksatwork</v>
          </cell>
          <cell r="B339" t="str">
            <v>ABILI</v>
          </cell>
        </row>
        <row r="340">
          <cell r="A340" t="str">
            <v>Jen-Coat</v>
          </cell>
          <cell r="B340" t="str">
            <v>JNCOAT</v>
          </cell>
        </row>
        <row r="341">
          <cell r="A341" t="str">
            <v>Universal2</v>
          </cell>
          <cell r="B341" t="str">
            <v>USE02</v>
          </cell>
        </row>
        <row r="342">
          <cell r="A342" t="str">
            <v>Western</v>
          </cell>
          <cell r="B342" t="str">
            <v>WIN</v>
          </cell>
        </row>
        <row r="343">
          <cell r="A343" t="str">
            <v>Utilicom8</v>
          </cell>
          <cell r="B343" t="str">
            <v>UTILI08</v>
          </cell>
        </row>
        <row r="344">
          <cell r="A344" t="str">
            <v>Distressed Debt 2D - BCP III</v>
          </cell>
          <cell r="B344" t="str">
            <v>DDS2D</v>
          </cell>
        </row>
        <row r="345">
          <cell r="A345" t="str">
            <v>PaeTec</v>
          </cell>
          <cell r="B345" t="str">
            <v>PAETC</v>
          </cell>
        </row>
        <row r="346">
          <cell r="A346" t="str">
            <v>Axtel8</v>
          </cell>
          <cell r="B346" t="str">
            <v>AXTEL08</v>
          </cell>
        </row>
        <row r="347">
          <cell r="A347" t="str">
            <v>Nutrition Technologies2</v>
          </cell>
          <cell r="B347" t="str">
            <v>NUTECH02</v>
          </cell>
        </row>
        <row r="348">
          <cell r="A348" t="str">
            <v>Axtel</v>
          </cell>
          <cell r="B348" t="str">
            <v>AXTEL</v>
          </cell>
        </row>
        <row r="349">
          <cell r="A349" t="str">
            <v>Clark7</v>
          </cell>
          <cell r="B349" t="str">
            <v>CLARK07</v>
          </cell>
        </row>
        <row r="350">
          <cell r="A350" t="str">
            <v>Nutrition Technologies</v>
          </cell>
          <cell r="B350" t="str">
            <v>NUTECH</v>
          </cell>
        </row>
        <row r="351">
          <cell r="A351" t="str">
            <v>Monument Park3</v>
          </cell>
          <cell r="B351" t="str">
            <v>MONUMEN3</v>
          </cell>
        </row>
        <row r="352">
          <cell r="A352" t="str">
            <v>Kabel BW 2 - BCP III</v>
          </cell>
          <cell r="B352" t="str">
            <v>KABEL07</v>
          </cell>
        </row>
        <row r="353">
          <cell r="A353" t="str">
            <v>Vitamin Shoppe</v>
          </cell>
          <cell r="B353" t="str">
            <v>VITASHOP</v>
          </cell>
        </row>
        <row r="354">
          <cell r="A354" t="str">
            <v>VS Holdings - Equity</v>
          </cell>
          <cell r="B354" t="str">
            <v>VSHEQ</v>
          </cell>
        </row>
        <row r="355">
          <cell r="A355" t="str">
            <v>Hanover Square2</v>
          </cell>
          <cell r="B355" t="str">
            <v>HANOVR02</v>
          </cell>
        </row>
        <row r="356">
          <cell r="A356" t="str">
            <v>Utilicom9</v>
          </cell>
          <cell r="B356" t="str">
            <v>UTILI09</v>
          </cell>
        </row>
        <row r="357">
          <cell r="A357" t="str">
            <v>Utilicom11</v>
          </cell>
          <cell r="B357" t="str">
            <v>UTILI11</v>
          </cell>
        </row>
        <row r="358">
          <cell r="A358" t="str">
            <v>CTI7</v>
          </cell>
          <cell r="B358" t="str">
            <v>CTI07</v>
          </cell>
        </row>
        <row r="359">
          <cell r="A359" t="str">
            <v>Graham4</v>
          </cell>
          <cell r="B359" t="str">
            <v>GRAHM04</v>
          </cell>
        </row>
        <row r="360">
          <cell r="A360" t="str">
            <v>Deutsche Telekom3 - BCP III</v>
          </cell>
          <cell r="B360" t="str">
            <v>KABEL03</v>
          </cell>
        </row>
        <row r="361">
          <cell r="A361" t="str">
            <v>LiveWire Encoda</v>
          </cell>
          <cell r="B361" t="str">
            <v>LWENC</v>
          </cell>
        </row>
        <row r="362">
          <cell r="A362" t="str">
            <v>Western5</v>
          </cell>
          <cell r="B362" t="str">
            <v>WIN05</v>
          </cell>
        </row>
        <row r="363">
          <cell r="A363" t="str">
            <v>THARCO</v>
          </cell>
          <cell r="B363" t="str">
            <v>THARCO</v>
          </cell>
        </row>
        <row r="364">
          <cell r="A364" t="str">
            <v>Prestolite 2</v>
          </cell>
          <cell r="B364" t="str">
            <v>PRESTOL2</v>
          </cell>
        </row>
        <row r="365">
          <cell r="A365" t="str">
            <v>Intermedia VI</v>
          </cell>
          <cell r="B365" t="str">
            <v>INTERM</v>
          </cell>
        </row>
        <row r="366">
          <cell r="A366" t="str">
            <v>Alphadog</v>
          </cell>
          <cell r="B366" t="str">
            <v>ALPHA</v>
          </cell>
        </row>
        <row r="367">
          <cell r="A367" t="str">
            <v>CTI5</v>
          </cell>
          <cell r="B367" t="str">
            <v>CTI05</v>
          </cell>
        </row>
        <row r="368">
          <cell r="A368" t="str">
            <v>Drake Beam2</v>
          </cell>
          <cell r="B368" t="str">
            <v>DRAKE02</v>
          </cell>
        </row>
        <row r="369">
          <cell r="A369" t="str">
            <v>Drake Beam</v>
          </cell>
          <cell r="B369" t="str">
            <v>DRAKE</v>
          </cell>
        </row>
        <row r="370">
          <cell r="A370" t="str">
            <v>Distressed Debt 1B - BCP III</v>
          </cell>
          <cell r="B370" t="str">
            <v>DDS-1B</v>
          </cell>
        </row>
        <row r="371">
          <cell r="A371" t="str">
            <v>Bright Now Dental 3</v>
          </cell>
          <cell r="B371" t="str">
            <v>BRIGHT03</v>
          </cell>
        </row>
        <row r="372">
          <cell r="A372" t="str">
            <v>Clark5</v>
          </cell>
          <cell r="B372" t="str">
            <v>CLARK05</v>
          </cell>
        </row>
        <row r="373">
          <cell r="A373" t="str">
            <v>American HS</v>
          </cell>
          <cell r="B373" t="str">
            <v>AMERHM</v>
          </cell>
        </row>
        <row r="374">
          <cell r="A374" t="str">
            <v>CMS</v>
          </cell>
          <cell r="B374" t="str">
            <v>CMS</v>
          </cell>
        </row>
        <row r="375">
          <cell r="A375" t="str">
            <v>Gibson Guitar</v>
          </cell>
          <cell r="B375" t="str">
            <v>GIBSON</v>
          </cell>
        </row>
        <row r="376">
          <cell r="A376" t="str">
            <v>Hanover Square</v>
          </cell>
          <cell r="B376" t="str">
            <v>HANOVER</v>
          </cell>
        </row>
        <row r="377">
          <cell r="A377" t="str">
            <v>Vantas HQ</v>
          </cell>
          <cell r="B377" t="str">
            <v>VANTHQ</v>
          </cell>
        </row>
        <row r="378">
          <cell r="A378" t="str">
            <v>Axtel6</v>
          </cell>
          <cell r="B378" t="str">
            <v>AXTEL06</v>
          </cell>
        </row>
        <row r="379">
          <cell r="A379" t="str">
            <v>Columbia House</v>
          </cell>
          <cell r="B379" t="str">
            <v>CHOUSE</v>
          </cell>
        </row>
        <row r="380">
          <cell r="A380" t="str">
            <v>Bryant Park 2</v>
          </cell>
          <cell r="B380" t="str">
            <v>LUNA</v>
          </cell>
        </row>
        <row r="381">
          <cell r="A381" t="str">
            <v>Clark6</v>
          </cell>
          <cell r="B381" t="str">
            <v>CLARK06</v>
          </cell>
        </row>
        <row r="382">
          <cell r="A382" t="str">
            <v>LiveWire Utility3</v>
          </cell>
          <cell r="B382" t="str">
            <v>LWUTI03</v>
          </cell>
        </row>
        <row r="383">
          <cell r="A383" t="str">
            <v>SpectaGuard</v>
          </cell>
          <cell r="B383" t="str">
            <v>SPECTA</v>
          </cell>
        </row>
        <row r="384">
          <cell r="A384" t="str">
            <v>Distressed Debt 1C - BCP III</v>
          </cell>
          <cell r="B384" t="str">
            <v>DDS1C</v>
          </cell>
        </row>
        <row r="385">
          <cell r="A385" t="str">
            <v>Utilicom6</v>
          </cell>
          <cell r="B385" t="str">
            <v>UTILI06</v>
          </cell>
        </row>
        <row r="386">
          <cell r="A386" t="str">
            <v>Astoria</v>
          </cell>
          <cell r="B386" t="str">
            <v>ASTORIA</v>
          </cell>
        </row>
        <row r="387">
          <cell r="A387" t="str">
            <v>Monument Park2</v>
          </cell>
          <cell r="B387" t="str">
            <v>MONUMEN2</v>
          </cell>
        </row>
        <row r="388">
          <cell r="A388" t="str">
            <v>Clark</v>
          </cell>
          <cell r="B388" t="str">
            <v>PREM</v>
          </cell>
        </row>
        <row r="389">
          <cell r="A389" t="str">
            <v>Graham3</v>
          </cell>
          <cell r="B389" t="str">
            <v>GRAHM03</v>
          </cell>
        </row>
        <row r="390">
          <cell r="A390" t="str">
            <v>Centennial</v>
          </cell>
          <cell r="B390" t="str">
            <v>CENTN</v>
          </cell>
        </row>
        <row r="391">
          <cell r="A391" t="str">
            <v>Clark2</v>
          </cell>
          <cell r="B391" t="str">
            <v>CLARK02</v>
          </cell>
        </row>
        <row r="392">
          <cell r="A392" t="str">
            <v>Borden</v>
          </cell>
          <cell r="B392" t="str">
            <v>IHDG</v>
          </cell>
        </row>
        <row r="393">
          <cell r="A393" t="str">
            <v>Primacom - BCP III</v>
          </cell>
          <cell r="B393" t="str">
            <v>PRIMA</v>
          </cell>
        </row>
        <row r="394">
          <cell r="A394" t="str">
            <v>CTI3</v>
          </cell>
          <cell r="B394" t="str">
            <v>CTI03</v>
          </cell>
        </row>
        <row r="395">
          <cell r="A395" t="str">
            <v>Utilicom2</v>
          </cell>
          <cell r="B395" t="str">
            <v>UTILI02</v>
          </cell>
        </row>
        <row r="396">
          <cell r="A396" t="str">
            <v>Distressed Debt - BCP III</v>
          </cell>
          <cell r="B396" t="str">
            <v>DDS</v>
          </cell>
        </row>
        <row r="397">
          <cell r="A397" t="str">
            <v>Distressed Debt 2B - BCP III</v>
          </cell>
          <cell r="B397" t="str">
            <v>DDS2B</v>
          </cell>
        </row>
        <row r="398">
          <cell r="A398" t="str">
            <v>Heartland 2</v>
          </cell>
          <cell r="B398" t="str">
            <v>HEART02</v>
          </cell>
        </row>
        <row r="399">
          <cell r="A399" t="str">
            <v>Monument Park</v>
          </cell>
          <cell r="B399" t="str">
            <v>MONUMENT</v>
          </cell>
        </row>
        <row r="400">
          <cell r="A400" t="str">
            <v>TWFanch2</v>
          </cell>
          <cell r="B400" t="str">
            <v>TWF2</v>
          </cell>
        </row>
        <row r="401">
          <cell r="A401" t="str">
            <v>Livewire Labs2</v>
          </cell>
          <cell r="B401" t="str">
            <v>LWLAB02</v>
          </cell>
        </row>
        <row r="402">
          <cell r="A402" t="str">
            <v>LiveWire GB</v>
          </cell>
          <cell r="B402" t="str">
            <v>LWGB</v>
          </cell>
        </row>
        <row r="403">
          <cell r="A403" t="str">
            <v>Graham2</v>
          </cell>
          <cell r="B403" t="str">
            <v>GRAHM02</v>
          </cell>
        </row>
        <row r="404">
          <cell r="A404" t="str">
            <v>iPCS - Mezz</v>
          </cell>
          <cell r="B404" t="str">
            <v>IPCSZ</v>
          </cell>
        </row>
        <row r="405">
          <cell r="A405" t="str">
            <v>Wilmar</v>
          </cell>
          <cell r="B405" t="str">
            <v>INTLIN</v>
          </cell>
        </row>
        <row r="406">
          <cell r="A406" t="str">
            <v>Axtel 10</v>
          </cell>
          <cell r="B406" t="str">
            <v>AXTEL10</v>
          </cell>
        </row>
        <row r="407">
          <cell r="A407" t="str">
            <v>Utilicom14</v>
          </cell>
          <cell r="B407" t="str">
            <v>UTILI14</v>
          </cell>
        </row>
        <row r="408">
          <cell r="A408" t="str">
            <v>Axtel5</v>
          </cell>
          <cell r="B408" t="str">
            <v>AXTEL05</v>
          </cell>
        </row>
        <row r="409">
          <cell r="A409" t="str">
            <v>Bright Now Dental</v>
          </cell>
          <cell r="B409" t="str">
            <v>BRIGHT</v>
          </cell>
        </row>
        <row r="410">
          <cell r="A410" t="str">
            <v>Utilicom12</v>
          </cell>
          <cell r="B410" t="str">
            <v>UTILI12</v>
          </cell>
        </row>
        <row r="411">
          <cell r="A411" t="str">
            <v>Bright Now Dental 2</v>
          </cell>
          <cell r="B411" t="str">
            <v>BRIGHT02</v>
          </cell>
        </row>
        <row r="412">
          <cell r="A412" t="str">
            <v>iPCS - BCP</v>
          </cell>
          <cell r="B412" t="str">
            <v>IPCS</v>
          </cell>
        </row>
        <row r="413">
          <cell r="A413" t="str">
            <v>StorageApps2</v>
          </cell>
          <cell r="B413" t="str">
            <v>STORA02</v>
          </cell>
        </row>
        <row r="414">
          <cell r="A414" t="str">
            <v>LIFFE - BCP</v>
          </cell>
          <cell r="B414" t="str">
            <v>LIFFE</v>
          </cell>
        </row>
        <row r="415">
          <cell r="A415" t="str">
            <v>ILC Industries</v>
          </cell>
          <cell r="B415" t="str">
            <v>ILC</v>
          </cell>
        </row>
        <row r="416">
          <cell r="A416" t="str">
            <v>Baker Tanks</v>
          </cell>
          <cell r="B416" t="str">
            <v>BAKER</v>
          </cell>
        </row>
        <row r="417">
          <cell r="A417" t="str">
            <v>IPCS2 - Mezz</v>
          </cell>
          <cell r="B417" t="str">
            <v>IPCSZ02</v>
          </cell>
        </row>
        <row r="418">
          <cell r="A418" t="str">
            <v>Axtel3</v>
          </cell>
          <cell r="B418" t="str">
            <v>AXTEL03</v>
          </cell>
        </row>
        <row r="419">
          <cell r="A419" t="str">
            <v>Paramount</v>
          </cell>
          <cell r="B419" t="str">
            <v>PARAMT</v>
          </cell>
        </row>
        <row r="420">
          <cell r="A420" t="str">
            <v>Distressed Debt 2C - BCP III</v>
          </cell>
          <cell r="B420" t="str">
            <v>DDS2C</v>
          </cell>
        </row>
        <row r="421">
          <cell r="A421" t="str">
            <v>StorageApps</v>
          </cell>
          <cell r="B421" t="str">
            <v>STORA</v>
          </cell>
        </row>
        <row r="422">
          <cell r="A422" t="str">
            <v>Utilicom7</v>
          </cell>
          <cell r="B422" t="str">
            <v>UTILI07</v>
          </cell>
        </row>
        <row r="423">
          <cell r="A423" t="str">
            <v>Knology2</v>
          </cell>
          <cell r="B423" t="str">
            <v>KNOLO2</v>
          </cell>
        </row>
        <row r="424">
          <cell r="A424" t="str">
            <v>Scaleback - BCP III</v>
          </cell>
          <cell r="B424" t="str">
            <v>SCBBCP3</v>
          </cell>
        </row>
        <row r="425">
          <cell r="A425" t="str">
            <v>Great Lakes - Mezz</v>
          </cell>
          <cell r="B425" t="str">
            <v>GLTRAN</v>
          </cell>
        </row>
        <row r="426">
          <cell r="A426" t="str">
            <v>Phosphorus - Equity</v>
          </cell>
          <cell r="B426" t="str">
            <v>RIPPLEWO</v>
          </cell>
        </row>
        <row r="427">
          <cell r="A427" t="str">
            <v>LiveWire GB3</v>
          </cell>
          <cell r="B427" t="str">
            <v>LWGB03</v>
          </cell>
        </row>
        <row r="428">
          <cell r="A428" t="str">
            <v>Deutsche Telekom - BCP</v>
          </cell>
          <cell r="B428" t="str">
            <v>KABEL</v>
          </cell>
        </row>
        <row r="429">
          <cell r="A429" t="str">
            <v>VS Holdings - Notes</v>
          </cell>
          <cell r="B429" t="str">
            <v>VSHNOTES</v>
          </cell>
        </row>
        <row r="430">
          <cell r="A430" t="str">
            <v>Deutsche Telekom2 - BCP III</v>
          </cell>
          <cell r="B430" t="str">
            <v>KABEL02</v>
          </cell>
        </row>
        <row r="431">
          <cell r="A431" t="str">
            <v>Union Square</v>
          </cell>
          <cell r="B431" t="str">
            <v>UNION</v>
          </cell>
        </row>
        <row r="432">
          <cell r="A432" t="str">
            <v>LiveWire Labs3</v>
          </cell>
          <cell r="B432" t="str">
            <v>LWLAB03</v>
          </cell>
        </row>
        <row r="433">
          <cell r="A433" t="str">
            <v>Nupremis - BCP</v>
          </cell>
          <cell r="B433" t="str">
            <v>NUPRM</v>
          </cell>
        </row>
        <row r="434">
          <cell r="A434" t="str">
            <v>Atlas</v>
          </cell>
          <cell r="B434" t="str">
            <v>ATLAS</v>
          </cell>
        </row>
        <row r="435">
          <cell r="A435" t="str">
            <v>Knology</v>
          </cell>
          <cell r="B435" t="str">
            <v>KNOLO</v>
          </cell>
        </row>
        <row r="436">
          <cell r="A436" t="str">
            <v>iPCS2 - BCP</v>
          </cell>
          <cell r="B436" t="str">
            <v>IPCS02</v>
          </cell>
        </row>
        <row r="437">
          <cell r="A437" t="str">
            <v>Utilicom4</v>
          </cell>
          <cell r="B437" t="str">
            <v>UTILI04</v>
          </cell>
        </row>
        <row r="438">
          <cell r="A438" t="str">
            <v>Utilicom13</v>
          </cell>
          <cell r="B438" t="str">
            <v>UTILI13</v>
          </cell>
        </row>
        <row r="439">
          <cell r="A439" t="str">
            <v>Kabel NRW - BCP III</v>
          </cell>
          <cell r="B439" t="str">
            <v>KABEL04</v>
          </cell>
        </row>
        <row r="440">
          <cell r="A440" t="str">
            <v>Oxbow</v>
          </cell>
          <cell r="B440" t="str">
            <v>OXBOW</v>
          </cell>
        </row>
        <row r="441">
          <cell r="A441" t="str">
            <v>Axtel 11</v>
          </cell>
          <cell r="B441" t="str">
            <v>AXTEL11</v>
          </cell>
        </row>
        <row r="442">
          <cell r="A442" t="str">
            <v>LiveWire Media</v>
          </cell>
          <cell r="B442" t="str">
            <v>LWMED</v>
          </cell>
        </row>
        <row r="443">
          <cell r="A443" t="str">
            <v>Axtel4</v>
          </cell>
          <cell r="B443" t="str">
            <v>AXTEL04</v>
          </cell>
        </row>
        <row r="444">
          <cell r="A444" t="str">
            <v>Axtel 12</v>
          </cell>
          <cell r="B444" t="str">
            <v>AXTEL12</v>
          </cell>
        </row>
        <row r="445">
          <cell r="A445" t="str">
            <v>Axtel7</v>
          </cell>
          <cell r="B445" t="str">
            <v>AXTEL07</v>
          </cell>
        </row>
        <row r="446">
          <cell r="A446" t="str">
            <v>Viatel</v>
          </cell>
          <cell r="B446" t="str">
            <v>VIATL</v>
          </cell>
        </row>
        <row r="447">
          <cell r="A447" t="str">
            <v>Sirius2</v>
          </cell>
          <cell r="B447" t="str">
            <v>SIRUS02</v>
          </cell>
        </row>
        <row r="448">
          <cell r="A448" t="str">
            <v>Kingdom Films 2</v>
          </cell>
          <cell r="B448" t="str">
            <v>KINGDOM2</v>
          </cell>
        </row>
        <row r="449">
          <cell r="A449" t="str">
            <v>Bear Creek</v>
          </cell>
          <cell r="B449" t="str">
            <v>BEARCREE</v>
          </cell>
        </row>
        <row r="450">
          <cell r="A450" t="str">
            <v>Bresnan</v>
          </cell>
          <cell r="B450" t="str">
            <v>BRESN</v>
          </cell>
        </row>
        <row r="451">
          <cell r="A451" t="str">
            <v>Utilicom3</v>
          </cell>
          <cell r="B451" t="str">
            <v>UTILI03</v>
          </cell>
        </row>
        <row r="452">
          <cell r="A452" t="str">
            <v>CTI2</v>
          </cell>
          <cell r="B452" t="str">
            <v>CTI02</v>
          </cell>
        </row>
        <row r="453">
          <cell r="A453" t="str">
            <v>PhoneFree.com</v>
          </cell>
          <cell r="B453" t="str">
            <v>PHONE</v>
          </cell>
        </row>
        <row r="454">
          <cell r="A454" t="str">
            <v>Clark3</v>
          </cell>
          <cell r="B454" t="str">
            <v>CLARK03</v>
          </cell>
        </row>
        <row r="455">
          <cell r="A455" t="str">
            <v>Utilicom5</v>
          </cell>
          <cell r="B455" t="str">
            <v>UTILI05</v>
          </cell>
        </row>
        <row r="456">
          <cell r="A456" t="str">
            <v>Hyde Park 2</v>
          </cell>
          <cell r="B456" t="str">
            <v>HYDE02</v>
          </cell>
        </row>
        <row r="457">
          <cell r="A457" t="str">
            <v>Heartland</v>
          </cell>
          <cell r="B457" t="str">
            <v>HEART</v>
          </cell>
        </row>
        <row r="458">
          <cell r="A458" t="str">
            <v>Nyco Holdings</v>
          </cell>
          <cell r="B458" t="str">
            <v>NYCOMD-M</v>
          </cell>
        </row>
        <row r="459">
          <cell r="A459" t="str">
            <v>Clark9</v>
          </cell>
          <cell r="B459" t="str">
            <v>CLARK09</v>
          </cell>
        </row>
        <row r="460">
          <cell r="A460" t="str">
            <v>Wellington Re</v>
          </cell>
          <cell r="B460" t="str">
            <v>WELING</v>
          </cell>
        </row>
        <row r="461">
          <cell r="A461" t="str">
            <v>Sirius</v>
          </cell>
          <cell r="B461" t="str">
            <v>SIRUS</v>
          </cell>
        </row>
        <row r="462">
          <cell r="A462" t="str">
            <v>Allied Waste2</v>
          </cell>
          <cell r="B462" t="str">
            <v>ALIED02</v>
          </cell>
        </row>
        <row r="463">
          <cell r="A463" t="str">
            <v>Kingdom Films</v>
          </cell>
          <cell r="B463" t="str">
            <v>KINGDOM</v>
          </cell>
        </row>
        <row r="464">
          <cell r="A464" t="str">
            <v>LiveWire Systems</v>
          </cell>
          <cell r="B464" t="str">
            <v>LWSYS</v>
          </cell>
        </row>
        <row r="465">
          <cell r="A465" t="str">
            <v>Western3</v>
          </cell>
          <cell r="B465" t="str">
            <v>WIN03</v>
          </cell>
        </row>
        <row r="466">
          <cell r="A466" t="str">
            <v>LiveWire Utility</v>
          </cell>
          <cell r="B466" t="str">
            <v>LWUTI</v>
          </cell>
        </row>
        <row r="467">
          <cell r="A467" t="str">
            <v>Livewire Labs</v>
          </cell>
          <cell r="B467" t="str">
            <v>LWLAB</v>
          </cell>
        </row>
        <row r="468">
          <cell r="A468" t="str">
            <v>Wellington Re2</v>
          </cell>
          <cell r="B468" t="str">
            <v>WELING02</v>
          </cell>
        </row>
        <row r="469">
          <cell r="A469" t="str">
            <v>Eight Oclock Coffee</v>
          </cell>
          <cell r="B469" t="str">
            <v>8OCLOCK</v>
          </cell>
        </row>
        <row r="470">
          <cell r="A470" t="str">
            <v>American Sports Products Group</v>
          </cell>
          <cell r="B470" t="str">
            <v>AMSPORT</v>
          </cell>
        </row>
        <row r="471">
          <cell r="A471" t="str">
            <v>eVentures</v>
          </cell>
          <cell r="B471" t="str">
            <v>NOVO</v>
          </cell>
        </row>
        <row r="472">
          <cell r="A472" t="str">
            <v>Scaleback - Bmezz</v>
          </cell>
          <cell r="B472" t="str">
            <v>SCBBMEZZ</v>
          </cell>
        </row>
        <row r="473">
          <cell r="A473" t="str">
            <v>Western4</v>
          </cell>
          <cell r="B473" t="str">
            <v>WIN04</v>
          </cell>
        </row>
        <row r="474">
          <cell r="A474" t="str">
            <v>Houghton Mifflin</v>
          </cell>
          <cell r="B474" t="str">
            <v>HOUGMIFF</v>
          </cell>
        </row>
        <row r="475">
          <cell r="A475" t="str">
            <v>Aviall</v>
          </cell>
          <cell r="B475" t="str">
            <v>AVIALL</v>
          </cell>
        </row>
        <row r="476">
          <cell r="A476" t="str">
            <v>CTI4</v>
          </cell>
          <cell r="B476" t="str">
            <v>CTI04</v>
          </cell>
        </row>
        <row r="477">
          <cell r="A477" t="str">
            <v>Acapulco</v>
          </cell>
          <cell r="B477" t="str">
            <v>ACAPOL</v>
          </cell>
        </row>
        <row r="478">
          <cell r="A478" t="str">
            <v>Kabel NRW 2 - BCP III</v>
          </cell>
          <cell r="B478" t="str">
            <v>KABEL06</v>
          </cell>
        </row>
        <row r="479">
          <cell r="A479" t="str">
            <v>Axtel9</v>
          </cell>
          <cell r="B479" t="str">
            <v>AXTEL09</v>
          </cell>
        </row>
        <row r="480">
          <cell r="A480" t="str">
            <v>LiveWire Utility2</v>
          </cell>
          <cell r="B480" t="str">
            <v>LWUTI02</v>
          </cell>
        </row>
        <row r="481">
          <cell r="A481" t="str">
            <v>Utilicom10</v>
          </cell>
          <cell r="B481" t="str">
            <v>UTILI10</v>
          </cell>
        </row>
        <row r="482">
          <cell r="A482" t="str">
            <v>Hyde Park</v>
          </cell>
          <cell r="B482" t="str">
            <v>HYDE</v>
          </cell>
        </row>
        <row r="483">
          <cell r="A483" t="str">
            <v>Fitness</v>
          </cell>
          <cell r="B483" t="str">
            <v>24HOUR</v>
          </cell>
        </row>
        <row r="484">
          <cell r="A484" t="str">
            <v>Utilicom</v>
          </cell>
          <cell r="B484" t="str">
            <v>UTILI</v>
          </cell>
        </row>
        <row r="485">
          <cell r="A485" t="str">
            <v>Trident Exploration</v>
          </cell>
          <cell r="B485" t="str">
            <v>TRIDENT</v>
          </cell>
        </row>
        <row r="486">
          <cell r="A486" t="str">
            <v>Phosphorus - Notes</v>
          </cell>
          <cell r="B486" t="str">
            <v>PCHEMICA</v>
          </cell>
        </row>
        <row r="487">
          <cell r="A487" t="str">
            <v>Susquehanna - BCOM</v>
          </cell>
          <cell r="B487" t="str">
            <v>SUSQUEHC</v>
          </cell>
        </row>
        <row r="488">
          <cell r="A488" t="str">
            <v>Global Tower 6 - BCOM</v>
          </cell>
          <cell r="B488" t="str">
            <v>GLOTOWE6</v>
          </cell>
        </row>
        <row r="489">
          <cell r="A489" t="str">
            <v>Deutsche Telekom KFW 2 - BCOM</v>
          </cell>
          <cell r="B489" t="str">
            <v>DTKFWC02</v>
          </cell>
        </row>
        <row r="490">
          <cell r="A490" t="str">
            <v>Nupremis - BCOM</v>
          </cell>
          <cell r="B490" t="str">
            <v>NUPRMC</v>
          </cell>
        </row>
        <row r="491">
          <cell r="A491" t="str">
            <v>Distressed Debt 2D - BCOM</v>
          </cell>
          <cell r="B491" t="str">
            <v>DDSC2D</v>
          </cell>
        </row>
        <row r="492">
          <cell r="A492" t="str">
            <v>Kabel NRW - BCOM</v>
          </cell>
          <cell r="B492" t="str">
            <v>KABELC04</v>
          </cell>
        </row>
        <row r="493">
          <cell r="A493" t="str">
            <v>Global Tower 5 - BCOM</v>
          </cell>
          <cell r="B493" t="str">
            <v>GLOTOWE5</v>
          </cell>
        </row>
        <row r="494">
          <cell r="A494" t="str">
            <v>Distressed Debt 2A - BCOM</v>
          </cell>
          <cell r="B494" t="str">
            <v>DDSC2</v>
          </cell>
        </row>
        <row r="495">
          <cell r="A495" t="str">
            <v>TDC - BCOM</v>
          </cell>
          <cell r="B495" t="str">
            <v>TDCC</v>
          </cell>
        </row>
        <row r="496">
          <cell r="A496" t="str">
            <v>iPCS - BCOM</v>
          </cell>
          <cell r="B496" t="str">
            <v>IPCSC</v>
          </cell>
        </row>
        <row r="497">
          <cell r="A497" t="str">
            <v>Cingular - BCOM</v>
          </cell>
          <cell r="B497" t="str">
            <v>CINGC</v>
          </cell>
        </row>
        <row r="498">
          <cell r="A498" t="str">
            <v>Distressed Debt 2B - BCOM</v>
          </cell>
          <cell r="B498" t="str">
            <v>DDSC2B</v>
          </cell>
        </row>
        <row r="499">
          <cell r="A499" t="str">
            <v>Deutsche Telekom KFW - BCOM</v>
          </cell>
          <cell r="B499" t="str">
            <v>DTKFWC</v>
          </cell>
        </row>
        <row r="500">
          <cell r="A500" t="str">
            <v>Deutsche Telekom - BCOM</v>
          </cell>
          <cell r="B500" t="str">
            <v>KABELC</v>
          </cell>
        </row>
        <row r="501">
          <cell r="A501" t="str">
            <v>Global Tower 2 - BCOM</v>
          </cell>
          <cell r="B501" t="str">
            <v>GLOTOWE2</v>
          </cell>
        </row>
        <row r="502">
          <cell r="A502" t="str">
            <v>iPCS2 - BCOM</v>
          </cell>
          <cell r="B502" t="str">
            <v>IPCSC02</v>
          </cell>
        </row>
        <row r="503">
          <cell r="A503" t="str">
            <v>Global Tower 7 - BCOM</v>
          </cell>
          <cell r="B503" t="str">
            <v>GLOTOWE7</v>
          </cell>
        </row>
        <row r="504">
          <cell r="A504" t="str">
            <v>Deutsche Telekom2 - BCOM</v>
          </cell>
          <cell r="B504" t="str">
            <v>KABELC02</v>
          </cell>
        </row>
        <row r="505">
          <cell r="A505" t="str">
            <v>Kabel NRW 2 - BCOM</v>
          </cell>
          <cell r="B505" t="str">
            <v>KABELC06</v>
          </cell>
        </row>
        <row r="506">
          <cell r="A506" t="str">
            <v>Global Tower - BCOM</v>
          </cell>
          <cell r="B506" t="str">
            <v>GLOTOWER</v>
          </cell>
        </row>
        <row r="507">
          <cell r="A507" t="str">
            <v>Freedom Communications - BCOM</v>
          </cell>
          <cell r="B507" t="str">
            <v>FREEDOMC</v>
          </cell>
        </row>
        <row r="508">
          <cell r="A508" t="str">
            <v>Kabel BW - BCOM</v>
          </cell>
          <cell r="B508" t="str">
            <v>KABELC05</v>
          </cell>
        </row>
        <row r="509">
          <cell r="A509" t="str">
            <v>Primacom - BCOM</v>
          </cell>
          <cell r="B509" t="str">
            <v>PRIMAC</v>
          </cell>
        </row>
        <row r="510">
          <cell r="A510" t="str">
            <v>LIFFE - BCOM</v>
          </cell>
          <cell r="B510" t="str">
            <v>LIFFEC</v>
          </cell>
        </row>
        <row r="511">
          <cell r="A511" t="str">
            <v>Distressed Debt 1B - BCOM</v>
          </cell>
          <cell r="B511" t="str">
            <v>DDSC-1B</v>
          </cell>
        </row>
        <row r="512">
          <cell r="A512" t="str">
            <v>Global Tower 8 - BCOM</v>
          </cell>
          <cell r="B512" t="str">
            <v>GLOTOWE8</v>
          </cell>
        </row>
        <row r="513">
          <cell r="A513" t="str">
            <v>Global Tower 3 - BCOM</v>
          </cell>
          <cell r="B513" t="str">
            <v>GLOTOWE3</v>
          </cell>
        </row>
        <row r="514">
          <cell r="A514" t="str">
            <v>Distressed Debt 2C - BCOM</v>
          </cell>
          <cell r="B514" t="str">
            <v>DDSC2C</v>
          </cell>
        </row>
        <row r="515">
          <cell r="A515" t="str">
            <v>SunGard - BCOM</v>
          </cell>
          <cell r="B515" t="str">
            <v>SUNGARDC</v>
          </cell>
        </row>
        <row r="516">
          <cell r="A516" t="str">
            <v>Deutsche Telekom3 - BCOM</v>
          </cell>
          <cell r="B516" t="str">
            <v>KABELC03</v>
          </cell>
        </row>
        <row r="517">
          <cell r="A517" t="str">
            <v>New Skies - BCOM</v>
          </cell>
          <cell r="B517" t="str">
            <v>NEWSKIEC</v>
          </cell>
        </row>
        <row r="518">
          <cell r="A518" t="str">
            <v>Klockner - BCP V</v>
          </cell>
          <cell r="B518" t="str">
            <v xml:space="preserve">KLOCKNER </v>
          </cell>
        </row>
        <row r="519">
          <cell r="A519" t="str">
            <v>56 Temperance Street - BREP V</v>
          </cell>
          <cell r="B519" t="str">
            <v>R56TEMP</v>
          </cell>
        </row>
        <row r="520">
          <cell r="A520" t="str">
            <v>36 Toronto Street - BREP V</v>
          </cell>
          <cell r="B520" t="str">
            <v>36TORNTO</v>
          </cell>
        </row>
        <row r="521">
          <cell r="A521" t="str">
            <v>The HSBC Building - BREP V</v>
          </cell>
          <cell r="B521" t="str">
            <v>HSBCBLDG</v>
          </cell>
        </row>
        <row r="522">
          <cell r="A522" t="str">
            <v>10 King Street - BREP V</v>
          </cell>
          <cell r="B522" t="str">
            <v>10KINGST</v>
          </cell>
        </row>
        <row r="523">
          <cell r="A523" t="str">
            <v>56 Temperance Street - BREP V</v>
          </cell>
          <cell r="B523" t="str">
            <v>R56TEMP</v>
          </cell>
        </row>
        <row r="524">
          <cell r="A524" t="str">
            <v>36 Toronto Street - BREP V</v>
          </cell>
          <cell r="B524" t="str">
            <v>36TORNTO</v>
          </cell>
        </row>
        <row r="525">
          <cell r="A525" t="str">
            <v>The HSBC Building - BREP V</v>
          </cell>
          <cell r="B525" t="str">
            <v>HSBCBLDG</v>
          </cell>
        </row>
        <row r="526">
          <cell r="A526" t="str">
            <v>10 King Street - BREP V</v>
          </cell>
          <cell r="B526" t="str">
            <v>10KINGST</v>
          </cell>
        </row>
        <row r="527">
          <cell r="A527" t="str">
            <v xml:space="preserve">Biomet </v>
          </cell>
          <cell r="B527" t="str">
            <v>BIOMET</v>
          </cell>
        </row>
        <row r="528">
          <cell r="A528" t="str">
            <v>Vistar</v>
          </cell>
          <cell r="B528" t="str">
            <v>VISTAR</v>
          </cell>
        </row>
        <row r="529">
          <cell r="A529" t="str">
            <v>Global Tower 4 - BCOM</v>
          </cell>
          <cell r="B529" t="str">
            <v>GLOTOWE4</v>
          </cell>
        </row>
        <row r="530">
          <cell r="A530" t="str">
            <v>Distressed Debt 1C - BCOM</v>
          </cell>
          <cell r="B530" t="str">
            <v>DDSC1C</v>
          </cell>
        </row>
        <row r="531">
          <cell r="A531" t="str">
            <v>Global Tower 9 - BCOM</v>
          </cell>
          <cell r="B531" t="str">
            <v>GLOTOWE9</v>
          </cell>
        </row>
        <row r="532">
          <cell r="A532" t="str">
            <v>Montecito - BCOM</v>
          </cell>
          <cell r="B532" t="str">
            <v>MONTECTC</v>
          </cell>
        </row>
        <row r="533">
          <cell r="A533" t="str">
            <v>Scaleback - BCOM</v>
          </cell>
          <cell r="B533" t="str">
            <v>SCBBCOM</v>
          </cell>
        </row>
        <row r="534">
          <cell r="A534" t="str">
            <v>Kabel BW 2 - BCOM</v>
          </cell>
          <cell r="B534" t="str">
            <v>KABELC07</v>
          </cell>
        </row>
        <row r="535">
          <cell r="A535" t="str">
            <v>Distressed Debt - BCOM</v>
          </cell>
          <cell r="B535" t="str">
            <v>DDSC</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Preliminary Target List"/>
      <sheetName val="FAQs"/>
      <sheetName val="Market Outreach Calendar =&gt;"/>
      <sheetName val="February"/>
      <sheetName val="March"/>
      <sheetName val="Buyer Search &gt;&gt;&gt;"/>
      <sheetName val="Strategic Analysis &gt;&gt;&gt;"/>
      <sheetName val="Factset Concrete - Formatted"/>
      <sheetName val="Factset Concrete (1-7-20)"/>
      <sheetName val="Factset Asphalt - Formatted"/>
      <sheetName val="Factset Asphalt (1-8-20)"/>
      <sheetName val="Financial Sponsor Analysis &gt;&gt;&gt;"/>
      <sheetName val="Axial-Conct Contractor (1-7-20)"/>
    </sheetNames>
    <sheetDataSet>
      <sheetData sheetId="0"/>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ank"/>
      <sheetName val="Cover"/>
      <sheetName val="Contents"/>
      <sheetName val="PR_01"/>
      <sheetName val="PR_02"/>
      <sheetName val="PR_03"/>
      <sheetName val="PR_04"/>
      <sheetName val="PR_06"/>
      <sheetName val="PR_07"/>
      <sheetName val="PR_09"/>
      <sheetName val="PR_10"/>
      <sheetName val="PR_11"/>
      <sheetName val="PR_12"/>
      <sheetName val="PR_13"/>
      <sheetName val="PR_14"/>
      <sheetName val="PR_15"/>
      <sheetName val="PR_16"/>
      <sheetName val="PR_17"/>
      <sheetName val="INP_01"/>
      <sheetName val="INP_02"/>
      <sheetName val="INP_03"/>
      <sheetName val="INP_04"/>
      <sheetName val="INP_05"/>
      <sheetName val="INP_06"/>
      <sheetName val="INP_07"/>
      <sheetName val="INP_08"/>
      <sheetName val="INP_09"/>
      <sheetName val="INP_10"/>
      <sheetName val="INP_11"/>
      <sheetName val="INP_12"/>
      <sheetName val="INP_13"/>
      <sheetName val="INP_14"/>
      <sheetName val="INP_15"/>
      <sheetName val="INP_16"/>
      <sheetName val="INP_17"/>
      <sheetName val="INP_18"/>
      <sheetName val="INP_19"/>
      <sheetName val="INP_20"/>
      <sheetName val="INP_21"/>
      <sheetName val="INP_22"/>
      <sheetName val="INP_23"/>
      <sheetName val="INP_24"/>
      <sheetName val="INP_25"/>
      <sheetName val="INP_26"/>
      <sheetName val="INP_27"/>
      <sheetName val="INP_28"/>
      <sheetName val="INP_29"/>
      <sheetName val="INP_30"/>
      <sheetName val="INP_31"/>
      <sheetName val="INP_32"/>
      <sheetName val="INP_33"/>
      <sheetName val="INP_34"/>
      <sheetName val="INP_35"/>
      <sheetName val="INP_36"/>
      <sheetName val="INP_37"/>
      <sheetName val="INP_38"/>
      <sheetName val="INP_39"/>
      <sheetName val="INP_40"/>
      <sheetName val="INP_41"/>
      <sheetName val="INP_42"/>
      <sheetName val="INP_43"/>
      <sheetName val="INP_44"/>
      <sheetName val="Graphs"/>
      <sheetName val="Graphs_Input"/>
      <sheetName val="Exhaust"/>
      <sheetName val="dlg_mc_mes_box"/>
      <sheetName val="dlg_select"/>
      <sheetName val="dlg_imip_select"/>
      <sheetName val="Graph Details"/>
      <sheetName val="dlg_category"/>
      <sheetName val="Validations"/>
      <sheetName val="Extract"/>
      <sheetName val="Details"/>
      <sheetName val="Dlg_draft"/>
      <sheetName val="Dlg_Front"/>
      <sheetName val="Dlg_about_PRP"/>
      <sheetName val="dlg_company_details"/>
      <sheetName val="dlg_paper_type"/>
      <sheetName val="Source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ow r="2">
          <cell r="B2" t="str">
            <v>2000/2001 Invensys Management Information System</v>
          </cell>
        </row>
        <row r="172">
          <cell r="B172" t="str">
            <v>G</v>
          </cell>
        </row>
        <row r="173">
          <cell r="B173" t="str">
            <v>Y</v>
          </cell>
        </row>
        <row r="174">
          <cell r="B174" t="str">
            <v>R</v>
          </cell>
        </row>
      </sheetData>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for Re-Plan (2)"/>
      <sheetName val="Summary for Re-Plan"/>
      <sheetName val="Database"/>
      <sheetName val="Contract Cost Summary"/>
      <sheetName val="Splits"/>
      <sheetName val="Summary"/>
      <sheetName val="Sheet3"/>
      <sheetName val="Sheet2"/>
      <sheetName val="Sheet1"/>
      <sheetName val="SUPER COMBO SUMMARY  PSV (FY08)"/>
      <sheetName val="Summary by EAC Elements (4)"/>
      <sheetName val="FY Input"/>
      <sheetName val="SUPER COMBO SUMMARY  PSV (F (2)"/>
      <sheetName val="SUPER COMBO SUMMARY  PSV"/>
      <sheetName val="Combined Summary By Qrtr PSV"/>
      <sheetName val="FY07&gt;-09 Rates"/>
    </sheetNames>
    <sheetDataSet>
      <sheetData sheetId="0" refreshError="1"/>
      <sheetData sheetId="1" refreshError="1"/>
      <sheetData sheetId="2" refreshError="1">
        <row r="1">
          <cell r="C1">
            <v>3</v>
          </cell>
          <cell r="F1">
            <v>55</v>
          </cell>
          <cell r="K1">
            <v>53</v>
          </cell>
        </row>
        <row r="2">
          <cell r="B2" t="str">
            <v>Integrated Systems</v>
          </cell>
          <cell r="AO2">
            <v>53393000</v>
          </cell>
        </row>
        <row r="3">
          <cell r="B3" t="str">
            <v>Updated&gt;</v>
          </cell>
          <cell r="C3">
            <v>39127</v>
          </cell>
          <cell r="V3" t="str">
            <v>Direct Labor Affordability</v>
          </cell>
        </row>
        <row r="4">
          <cell r="B4" t="str">
            <v>FU08-10 Planning</v>
          </cell>
          <cell r="E4">
            <v>83</v>
          </cell>
          <cell r="F4">
            <v>37</v>
          </cell>
          <cell r="G4">
            <v>83</v>
          </cell>
          <cell r="H4">
            <v>83</v>
          </cell>
          <cell r="I4">
            <v>83</v>
          </cell>
          <cell r="J4">
            <v>83</v>
          </cell>
          <cell r="K4">
            <v>83</v>
          </cell>
          <cell r="L4">
            <v>925794999.86521339</v>
          </cell>
          <cell r="M4">
            <v>84</v>
          </cell>
          <cell r="N4">
            <v>408057937.37869203</v>
          </cell>
          <cell r="O4">
            <v>24</v>
          </cell>
          <cell r="P4">
            <v>45689999.552538782</v>
          </cell>
          <cell r="Q4">
            <v>43927350.000000015</v>
          </cell>
          <cell r="R4">
            <v>35027654.720930219</v>
          </cell>
          <cell r="S4">
            <v>393046995.27906984</v>
          </cell>
          <cell r="T4">
            <v>120785016.27906972</v>
          </cell>
          <cell r="U4">
            <v>472002000</v>
          </cell>
          <cell r="V4">
            <v>14050279.671457902</v>
          </cell>
          <cell r="W4">
            <v>7402266.2551768124</v>
          </cell>
          <cell r="X4">
            <v>20730254.299265604</v>
          </cell>
          <cell r="Y4">
            <v>42182800.225900307</v>
          </cell>
          <cell r="Z4">
            <v>60909228.041541561</v>
          </cell>
          <cell r="AA4" t="e">
            <v>#VALUE!</v>
          </cell>
          <cell r="AB4" t="e">
            <v>#VALUE!</v>
          </cell>
          <cell r="AC4">
            <v>0</v>
          </cell>
          <cell r="AD4">
            <v>0</v>
          </cell>
          <cell r="AE4">
            <v>0</v>
          </cell>
          <cell r="AF4">
            <v>0</v>
          </cell>
          <cell r="AG4">
            <v>272261979</v>
          </cell>
          <cell r="AH4" t="e">
            <v>#VALUE!</v>
          </cell>
          <cell r="AI4" t="e">
            <v>#VALUE!</v>
          </cell>
          <cell r="AJ4" t="e">
            <v>#VALUE!</v>
          </cell>
          <cell r="AM4">
            <v>4</v>
          </cell>
          <cell r="AN4">
            <v>5</v>
          </cell>
        </row>
        <row r="5">
          <cell r="AC5" t="str">
            <v>Material &amp; Subcontracts</v>
          </cell>
        </row>
        <row r="6">
          <cell r="E6" t="str">
            <v>F/O-S, F/O-C, New, IC</v>
          </cell>
          <cell r="R6">
            <v>0.28999999999999998</v>
          </cell>
          <cell r="V6">
            <v>1.4350000000000001</v>
          </cell>
          <cell r="W6">
            <v>1.92</v>
          </cell>
          <cell r="X6">
            <v>1.28</v>
          </cell>
        </row>
        <row r="7">
          <cell r="A7" t="str">
            <v>LookUp</v>
          </cell>
          <cell r="B7" t="str">
            <v>Loc</v>
          </cell>
          <cell r="C7" t="str">
            <v>Program</v>
          </cell>
          <cell r="D7" t="str">
            <v>Program2</v>
          </cell>
          <cell r="E7" t="str">
            <v>Booked/ Potential as of 11/06</v>
          </cell>
          <cell r="F7" t="str">
            <v>Expected Award Date</v>
          </cell>
          <cell r="G7" t="str">
            <v>Cust</v>
          </cell>
          <cell r="H7" t="str">
            <v>Prod/ Eng</v>
          </cell>
          <cell r="I7" t="str">
            <v>Contr Type</v>
          </cell>
          <cell r="J7" t="str">
            <v>Intercompany Y/N</v>
          </cell>
          <cell r="K7" t="str">
            <v>CAS Y/N</v>
          </cell>
          <cell r="L7" t="str">
            <v>Gross</v>
          </cell>
          <cell r="M7" t="str">
            <v>POA</v>
          </cell>
          <cell r="N7" t="str">
            <v>Net</v>
          </cell>
          <cell r="O7" t="str">
            <v>m</v>
          </cell>
          <cell r="P7" t="str">
            <v>EBIT CHECK</v>
          </cell>
          <cell r="Q7" t="str">
            <v>Profit</v>
          </cell>
          <cell r="R7" t="str">
            <v>GOH</v>
          </cell>
          <cell r="S7" t="str">
            <v>TCI</v>
          </cell>
          <cell r="T7" t="str">
            <v>VA Base</v>
          </cell>
          <cell r="U7" t="str">
            <v>Sales</v>
          </cell>
          <cell r="V7" t="str">
            <v>CLW Engr
 XEXX</v>
          </cell>
          <cell r="W7" t="str">
            <v>CLW Mfg
 XMXX</v>
          </cell>
          <cell r="X7" t="str">
            <v>FTW
 XTXX</v>
          </cell>
          <cell r="Y7" t="str">
            <v>Total
 Direct Labor</v>
          </cell>
          <cell r="Z7" t="str">
            <v>Burden</v>
          </cell>
          <cell r="AA7" t="str">
            <v>Other Direct Costs</v>
          </cell>
          <cell r="AB7" t="str">
            <v>Total Value Added Base</v>
          </cell>
          <cell r="AC7" t="str">
            <v>I/C O&amp;GS</v>
          </cell>
          <cell r="AD7" t="str">
            <v>I/C TSC</v>
          </cell>
          <cell r="AE7" t="str">
            <v>I/C GASL</v>
          </cell>
          <cell r="AF7" t="str">
            <v>Material</v>
          </cell>
          <cell r="AG7" t="str">
            <v>Subcontract
Material</v>
          </cell>
          <cell r="AH7" t="str">
            <v>NTR</v>
          </cell>
          <cell r="AI7" t="str">
            <v>Total
Material</v>
          </cell>
          <cell r="AJ7" t="str">
            <v>Total Cost Input</v>
          </cell>
          <cell r="AM7" t="str">
            <v>ar</v>
          </cell>
          <cell r="AN7" t="str">
            <v>as</v>
          </cell>
        </row>
        <row r="8">
          <cell r="B8" t="str">
            <v>Clwt</v>
          </cell>
          <cell r="C8" t="str">
            <v>AAR-47 - LRIP/FRP</v>
          </cell>
          <cell r="E8" t="str">
            <v>Booked</v>
          </cell>
          <cell r="G8" t="str">
            <v>Navy</v>
          </cell>
          <cell r="H8" t="str">
            <v xml:space="preserve">Prod </v>
          </cell>
          <cell r="I8" t="str">
            <v>FFPN</v>
          </cell>
          <cell r="J8" t="str">
            <v>N</v>
          </cell>
          <cell r="K8" t="str">
            <v>Y</v>
          </cell>
          <cell r="Q8">
            <v>1491999.9999999991</v>
          </cell>
          <cell r="R8">
            <v>1095866.3875968987</v>
          </cell>
          <cell r="S8">
            <v>13996133.612403102</v>
          </cell>
          <cell r="T8">
            <v>3778849.6124030994</v>
          </cell>
        </row>
        <row r="9">
          <cell r="B9" t="str">
            <v>Clwt</v>
          </cell>
          <cell r="C9" t="str">
            <v>AAR-47 Warranty</v>
          </cell>
          <cell r="E9" t="str">
            <v>Booked</v>
          </cell>
          <cell r="G9" t="str">
            <v>Navy</v>
          </cell>
          <cell r="H9" t="str">
            <v xml:space="preserve">Prod </v>
          </cell>
          <cell r="I9" t="str">
            <v>FFPN</v>
          </cell>
          <cell r="J9" t="str">
            <v>N</v>
          </cell>
          <cell r="K9" t="str">
            <v>Y</v>
          </cell>
          <cell r="Q9">
            <v>36999.999999999993</v>
          </cell>
          <cell r="R9">
            <v>4057.7519379844985</v>
          </cell>
          <cell r="S9">
            <v>356942.24806201551</v>
          </cell>
          <cell r="T9">
            <v>13992.248062015513</v>
          </cell>
        </row>
        <row r="10">
          <cell r="B10" t="str">
            <v>Clwt</v>
          </cell>
          <cell r="C10" t="str">
            <v>Retrofit Plus Up</v>
          </cell>
          <cell r="E10" t="str">
            <v>Booked</v>
          </cell>
          <cell r="G10" t="str">
            <v>Navy</v>
          </cell>
          <cell r="H10" t="str">
            <v xml:space="preserve">Prod </v>
          </cell>
          <cell r="I10" t="str">
            <v>FFPN</v>
          </cell>
          <cell r="J10" t="str">
            <v>N</v>
          </cell>
          <cell r="K10" t="str">
            <v>Y</v>
          </cell>
          <cell r="Q10">
            <v>228000.00000000017</v>
          </cell>
          <cell r="R10">
            <v>153605.58139534883</v>
          </cell>
          <cell r="S10">
            <v>1598394.418604651</v>
          </cell>
          <cell r="T10">
            <v>529674.41860465112</v>
          </cell>
        </row>
        <row r="11">
          <cell r="B11" t="str">
            <v>Clwt</v>
          </cell>
          <cell r="C11" t="str">
            <v>AAR-47 FRP 4</v>
          </cell>
          <cell r="E11" t="str">
            <v>Booked</v>
          </cell>
          <cell r="G11" t="str">
            <v>Navy</v>
          </cell>
          <cell r="H11" t="str">
            <v xml:space="preserve">Prod </v>
          </cell>
          <cell r="I11" t="str">
            <v>FFPN</v>
          </cell>
          <cell r="J11" t="str">
            <v>N</v>
          </cell>
          <cell r="K11" t="str">
            <v>Y</v>
          </cell>
          <cell r="Q11">
            <v>454999.99999999965</v>
          </cell>
          <cell r="R11">
            <v>459238.60465116275</v>
          </cell>
          <cell r="S11">
            <v>4778761.3953488376</v>
          </cell>
          <cell r="T11">
            <v>1583581.3953488371</v>
          </cell>
        </row>
        <row r="12">
          <cell r="B12" t="str">
            <v>Clwt</v>
          </cell>
          <cell r="C12" t="str">
            <v>AAR-47 Depot</v>
          </cell>
          <cell r="E12" t="str">
            <v>Booked</v>
          </cell>
          <cell r="G12" t="str">
            <v>Navy</v>
          </cell>
          <cell r="H12" t="str">
            <v xml:space="preserve">Prod </v>
          </cell>
          <cell r="I12" t="str">
            <v>FFPN</v>
          </cell>
          <cell r="J12" t="str">
            <v>N</v>
          </cell>
          <cell r="K12" t="str">
            <v>Y</v>
          </cell>
          <cell r="Q12">
            <v>260999.99999999997</v>
          </cell>
          <cell r="R12">
            <v>91269.069767441862</v>
          </cell>
          <cell r="S12">
            <v>949730.93023255817</v>
          </cell>
          <cell r="T12">
            <v>314720.93023255817</v>
          </cell>
        </row>
        <row r="13">
          <cell r="B13" t="str">
            <v>Clwt</v>
          </cell>
          <cell r="C13" t="str">
            <v>AAR-47 FES</v>
          </cell>
          <cell r="E13" t="str">
            <v>Booked</v>
          </cell>
          <cell r="G13" t="str">
            <v>Navy</v>
          </cell>
          <cell r="H13" t="str">
            <v xml:space="preserve">Prod </v>
          </cell>
          <cell r="I13" t="str">
            <v>FFPN</v>
          </cell>
          <cell r="J13" t="str">
            <v>N</v>
          </cell>
          <cell r="K13" t="str">
            <v>Y</v>
          </cell>
          <cell r="Q13">
            <v>128000.00000000006</v>
          </cell>
          <cell r="R13">
            <v>207720.93023255811</v>
          </cell>
          <cell r="S13">
            <v>947279.06976744183</v>
          </cell>
          <cell r="T13">
            <v>716279.06976744183</v>
          </cell>
        </row>
        <row r="14">
          <cell r="B14" t="str">
            <v>Clwt</v>
          </cell>
          <cell r="C14" t="str">
            <v>AAR-47 FRP 5</v>
          </cell>
          <cell r="E14" t="str">
            <v>Booked</v>
          </cell>
          <cell r="G14" t="str">
            <v>Navy</v>
          </cell>
          <cell r="H14" t="str">
            <v xml:space="preserve">Prod </v>
          </cell>
          <cell r="I14" t="str">
            <v>FFPN</v>
          </cell>
          <cell r="J14" t="str">
            <v>N</v>
          </cell>
          <cell r="K14" t="str">
            <v>Y</v>
          </cell>
          <cell r="Q14">
            <v>404000.00000000012</v>
          </cell>
          <cell r="R14">
            <v>200336.04651162788</v>
          </cell>
          <cell r="S14">
            <v>2084663.953488372</v>
          </cell>
          <cell r="T14">
            <v>690813.95348837203</v>
          </cell>
        </row>
        <row r="15">
          <cell r="B15" t="str">
            <v>Clwt</v>
          </cell>
          <cell r="C15" t="str">
            <v>AAR-47 DCS Japan C-130</v>
          </cell>
          <cell r="E15" t="str">
            <v>Booked</v>
          </cell>
          <cell r="G15" t="str">
            <v>Foreign</v>
          </cell>
          <cell r="H15" t="str">
            <v xml:space="preserve">Prod </v>
          </cell>
          <cell r="I15" t="str">
            <v>FFPN</v>
          </cell>
          <cell r="J15" t="str">
            <v>N</v>
          </cell>
          <cell r="K15" t="str">
            <v>N</v>
          </cell>
          <cell r="Q15">
            <v>70000.000000000015</v>
          </cell>
          <cell r="R15">
            <v>31650.465116279065</v>
          </cell>
          <cell r="S15">
            <v>329349.53488372092</v>
          </cell>
          <cell r="T15">
            <v>109139.53488372092</v>
          </cell>
        </row>
        <row r="16">
          <cell r="B16" t="str">
            <v>Clwt</v>
          </cell>
          <cell r="C16" t="str">
            <v>AAR-47 DCS Canada MHP</v>
          </cell>
          <cell r="E16" t="str">
            <v>Booked</v>
          </cell>
          <cell r="G16" t="str">
            <v>Foreign</v>
          </cell>
          <cell r="H16" t="str">
            <v xml:space="preserve">Prod </v>
          </cell>
          <cell r="I16" t="str">
            <v>FFPN</v>
          </cell>
          <cell r="J16" t="str">
            <v>N</v>
          </cell>
          <cell r="K16" t="str">
            <v>N</v>
          </cell>
          <cell r="Q16">
            <v>373000</v>
          </cell>
          <cell r="R16">
            <v>110645.11627906979</v>
          </cell>
          <cell r="S16">
            <v>1151354.8837209302</v>
          </cell>
          <cell r="T16">
            <v>381534.88372093032</v>
          </cell>
        </row>
        <row r="17">
          <cell r="B17" t="str">
            <v>Clwt</v>
          </cell>
          <cell r="C17" t="str">
            <v>AAR-47 DCS Joyce Loebl UK</v>
          </cell>
          <cell r="E17" t="str">
            <v>Booked</v>
          </cell>
          <cell r="G17" t="str">
            <v>Foreign</v>
          </cell>
          <cell r="H17" t="str">
            <v xml:space="preserve">Prod </v>
          </cell>
          <cell r="I17" t="str">
            <v>FFPN</v>
          </cell>
          <cell r="J17" t="str">
            <v>N</v>
          </cell>
          <cell r="K17" t="str">
            <v>N</v>
          </cell>
          <cell r="Q17">
            <v>453999.99999999994</v>
          </cell>
          <cell r="R17">
            <v>117571.39534883719</v>
          </cell>
          <cell r="S17">
            <v>1223428.6046511629</v>
          </cell>
          <cell r="T17">
            <v>405418.60465116275</v>
          </cell>
        </row>
        <row r="18">
          <cell r="B18" t="str">
            <v>Clwt</v>
          </cell>
          <cell r="C18" t="str">
            <v>AAR-47 Commercial A/C</v>
          </cell>
          <cell r="E18" t="str">
            <v>Booked</v>
          </cell>
          <cell r="G18" t="str">
            <v>Foreign</v>
          </cell>
          <cell r="H18" t="str">
            <v xml:space="preserve">Prod </v>
          </cell>
          <cell r="I18" t="str">
            <v>FFPN</v>
          </cell>
          <cell r="J18" t="str">
            <v>N</v>
          </cell>
          <cell r="K18" t="str">
            <v>N</v>
          </cell>
          <cell r="Q18">
            <v>0</v>
          </cell>
          <cell r="R18">
            <v>964.4186046511627</v>
          </cell>
          <cell r="S18">
            <v>10035.581395348838</v>
          </cell>
          <cell r="T18">
            <v>3325.5813953488373</v>
          </cell>
        </row>
        <row r="19">
          <cell r="B19" t="str">
            <v>Clwt</v>
          </cell>
          <cell r="C19" t="str">
            <v>AAR-47 AF S/W Support Equipment</v>
          </cell>
          <cell r="E19" t="str">
            <v>Booked</v>
          </cell>
          <cell r="G19" t="str">
            <v>Foreign</v>
          </cell>
          <cell r="H19" t="str">
            <v xml:space="preserve">Prod </v>
          </cell>
          <cell r="I19" t="str">
            <v>FFPN</v>
          </cell>
          <cell r="J19" t="str">
            <v>N</v>
          </cell>
          <cell r="K19" t="str">
            <v>Y</v>
          </cell>
          <cell r="Q19">
            <v>12000.000000000004</v>
          </cell>
          <cell r="R19">
            <v>4208.3720930232548</v>
          </cell>
          <cell r="S19">
            <v>43791.627906976741</v>
          </cell>
          <cell r="T19">
            <v>14511.627906976742</v>
          </cell>
        </row>
        <row r="20">
          <cell r="B20" t="str">
            <v>Clwt</v>
          </cell>
          <cell r="C20" t="str">
            <v>AAR-47 DCS</v>
          </cell>
          <cell r="E20" t="str">
            <v>Booked</v>
          </cell>
          <cell r="G20" t="str">
            <v>Foreign</v>
          </cell>
          <cell r="H20" t="str">
            <v xml:space="preserve">Prod </v>
          </cell>
          <cell r="I20" t="str">
            <v>FFPN</v>
          </cell>
          <cell r="J20" t="str">
            <v>N</v>
          </cell>
          <cell r="K20" t="str">
            <v>N</v>
          </cell>
          <cell r="Q20">
            <v>43000.000000000036</v>
          </cell>
          <cell r="R20">
            <v>33666.976744186039</v>
          </cell>
          <cell r="S20">
            <v>350333.02325581393</v>
          </cell>
          <cell r="T20">
            <v>116093.02325581394</v>
          </cell>
        </row>
        <row r="21">
          <cell r="B21" t="str">
            <v>Clwt</v>
          </cell>
          <cell r="C21" t="str">
            <v xml:space="preserve">AAR-47 DCS </v>
          </cell>
          <cell r="E21" t="str">
            <v>Booked</v>
          </cell>
          <cell r="G21" t="str">
            <v>Foreign</v>
          </cell>
          <cell r="H21" t="str">
            <v xml:space="preserve">Prod </v>
          </cell>
          <cell r="I21" t="str">
            <v>FFPN</v>
          </cell>
          <cell r="J21" t="str">
            <v>N</v>
          </cell>
          <cell r="K21" t="str">
            <v>N</v>
          </cell>
          <cell r="Q21">
            <v>53999.999999999971</v>
          </cell>
          <cell r="R21">
            <v>26126.976744186046</v>
          </cell>
          <cell r="S21">
            <v>271873.02325581398</v>
          </cell>
          <cell r="T21">
            <v>90093.023255813954</v>
          </cell>
        </row>
        <row r="22">
          <cell r="B22" t="str">
            <v>Clwt</v>
          </cell>
          <cell r="C22" t="str">
            <v>AAR47 OFP</v>
          </cell>
          <cell r="E22" t="str">
            <v>Booked</v>
          </cell>
          <cell r="G22" t="str">
            <v>Foreign</v>
          </cell>
          <cell r="H22" t="str">
            <v xml:space="preserve">Prod </v>
          </cell>
          <cell r="I22" t="str">
            <v>FFPN</v>
          </cell>
          <cell r="J22" t="str">
            <v>N</v>
          </cell>
          <cell r="K22" t="str">
            <v>Y</v>
          </cell>
          <cell r="Q22">
            <v>151000.00000000009</v>
          </cell>
          <cell r="R22">
            <v>94306.201550387574</v>
          </cell>
          <cell r="S22">
            <v>744693.79844961234</v>
          </cell>
          <cell r="T22">
            <v>325193.79844961234</v>
          </cell>
        </row>
        <row r="23">
          <cell r="B23" t="str">
            <v>Clwt</v>
          </cell>
          <cell r="C23" t="str">
            <v xml:space="preserve">AAR-47 DCS </v>
          </cell>
          <cell r="E23" t="str">
            <v>Booked</v>
          </cell>
          <cell r="G23" t="str">
            <v>Foreign</v>
          </cell>
          <cell r="H23" t="str">
            <v xml:space="preserve">Prod </v>
          </cell>
          <cell r="I23" t="str">
            <v>FFPN</v>
          </cell>
          <cell r="J23" t="str">
            <v>N</v>
          </cell>
          <cell r="K23" t="str">
            <v>Y</v>
          </cell>
          <cell r="Q23">
            <v>109000.00000000003</v>
          </cell>
          <cell r="R23">
            <v>19200.697674418603</v>
          </cell>
          <cell r="S23">
            <v>199799.30232558138</v>
          </cell>
          <cell r="T23">
            <v>66209.30232558139</v>
          </cell>
        </row>
        <row r="24">
          <cell r="B24" t="str">
            <v>Clwt</v>
          </cell>
          <cell r="C24" t="str">
            <v>Armed Reconnaissance Helicopter (ARH) SDD</v>
          </cell>
          <cell r="E24" t="str">
            <v>Booked</v>
          </cell>
          <cell r="G24" t="str">
            <v>USA</v>
          </cell>
          <cell r="H24" t="str">
            <v xml:space="preserve">Prod </v>
          </cell>
          <cell r="I24" t="str">
            <v>FFPN</v>
          </cell>
          <cell r="J24" t="str">
            <v>N</v>
          </cell>
          <cell r="K24" t="str">
            <v>Y</v>
          </cell>
          <cell r="Q24">
            <v>236999.99999999997</v>
          </cell>
          <cell r="R24">
            <v>136947.44186046513</v>
          </cell>
          <cell r="S24">
            <v>1425052.5581395349</v>
          </cell>
          <cell r="T24">
            <v>472232.55813953496</v>
          </cell>
        </row>
        <row r="25">
          <cell r="B25" t="str">
            <v>Clwt</v>
          </cell>
          <cell r="C25" t="str">
            <v>Astronautics Brazil</v>
          </cell>
          <cell r="E25" t="str">
            <v>Booked</v>
          </cell>
          <cell r="G25" t="str">
            <v>Foreign</v>
          </cell>
          <cell r="H25" t="str">
            <v xml:space="preserve">Prod </v>
          </cell>
          <cell r="I25" t="str">
            <v>FFPN</v>
          </cell>
          <cell r="J25" t="str">
            <v>N</v>
          </cell>
          <cell r="K25" t="str">
            <v>Y</v>
          </cell>
          <cell r="Q25">
            <v>0</v>
          </cell>
          <cell r="R25">
            <v>175.34883720930227</v>
          </cell>
          <cell r="S25">
            <v>1824.6511627906975</v>
          </cell>
          <cell r="T25">
            <v>604.65116279069753</v>
          </cell>
        </row>
        <row r="26">
          <cell r="B26" t="str">
            <v>Clwt</v>
          </cell>
          <cell r="C26" t="str">
            <v>AAR-47 A-10</v>
          </cell>
          <cell r="E26" t="str">
            <v>Booked</v>
          </cell>
          <cell r="G26" t="str">
            <v>USAF</v>
          </cell>
          <cell r="H26" t="str">
            <v xml:space="preserve">Prod </v>
          </cell>
          <cell r="I26" t="str">
            <v>FFPN</v>
          </cell>
          <cell r="J26" t="str">
            <v>N</v>
          </cell>
          <cell r="K26" t="str">
            <v>Y</v>
          </cell>
          <cell r="Q26">
            <v>60000.000000000058</v>
          </cell>
          <cell r="R26">
            <v>121395.34883720928</v>
          </cell>
          <cell r="S26">
            <v>418604.65116279066</v>
          </cell>
          <cell r="T26">
            <v>418604.65116279066</v>
          </cell>
        </row>
        <row r="27">
          <cell r="B27" t="str">
            <v>Clwt</v>
          </cell>
          <cell r="C27" t="str">
            <v>Symetrics</v>
          </cell>
          <cell r="E27" t="str">
            <v>Booked</v>
          </cell>
          <cell r="G27" t="str">
            <v>DCS</v>
          </cell>
          <cell r="H27" t="str">
            <v xml:space="preserve">Prod </v>
          </cell>
          <cell r="I27" t="str">
            <v>FFPN</v>
          </cell>
          <cell r="J27" t="str">
            <v>N</v>
          </cell>
          <cell r="K27" t="str">
            <v>N</v>
          </cell>
          <cell r="Q27">
            <v>194000.00000000006</v>
          </cell>
          <cell r="R27">
            <v>92844.961240310062</v>
          </cell>
          <cell r="S27">
            <v>320155.03875968989</v>
          </cell>
          <cell r="T27">
            <v>320155.03875968989</v>
          </cell>
        </row>
        <row r="28">
          <cell r="B28" t="str">
            <v>Clwt</v>
          </cell>
          <cell r="C28" t="str">
            <v>MGARJS PIP</v>
          </cell>
          <cell r="E28" t="str">
            <v>Booked</v>
          </cell>
          <cell r="G28" t="str">
            <v>Foreign</v>
          </cell>
          <cell r="H28" t="str">
            <v xml:space="preserve">Prod </v>
          </cell>
          <cell r="I28" t="str">
            <v>FFPN</v>
          </cell>
          <cell r="J28" t="str">
            <v>N</v>
          </cell>
          <cell r="K28" t="str">
            <v>Y</v>
          </cell>
          <cell r="Q28">
            <v>427000</v>
          </cell>
          <cell r="R28">
            <v>75984.496124030993</v>
          </cell>
          <cell r="S28">
            <v>1308015.503875969</v>
          </cell>
          <cell r="T28">
            <v>262015.50387596898</v>
          </cell>
        </row>
        <row r="29">
          <cell r="B29" t="str">
            <v>Clwt</v>
          </cell>
          <cell r="C29" t="str">
            <v>CMBRE DEPOT - CLS</v>
          </cell>
          <cell r="E29" t="str">
            <v>Booked</v>
          </cell>
          <cell r="G29" t="str">
            <v>USAF</v>
          </cell>
          <cell r="H29" t="str">
            <v xml:space="preserve">Prod </v>
          </cell>
          <cell r="I29" t="str">
            <v>FFPN</v>
          </cell>
          <cell r="J29" t="str">
            <v>N</v>
          </cell>
          <cell r="K29" t="str">
            <v>Y</v>
          </cell>
          <cell r="Q29">
            <v>22000.000000000011</v>
          </cell>
          <cell r="R29">
            <v>25290.697674418599</v>
          </cell>
          <cell r="S29">
            <v>99709.30232558139</v>
          </cell>
          <cell r="T29">
            <v>87209.30232558139</v>
          </cell>
        </row>
        <row r="30">
          <cell r="B30" t="str">
            <v>Clwt</v>
          </cell>
          <cell r="C30" t="str">
            <v>CMBRE SDB</v>
          </cell>
          <cell r="E30" t="str">
            <v>Booked</v>
          </cell>
          <cell r="G30" t="str">
            <v>DCS</v>
          </cell>
          <cell r="H30" t="str">
            <v xml:space="preserve">Prod </v>
          </cell>
          <cell r="I30" t="str">
            <v>FFPN</v>
          </cell>
          <cell r="J30" t="str">
            <v>N</v>
          </cell>
          <cell r="K30" t="str">
            <v>Y</v>
          </cell>
          <cell r="Q30">
            <v>42999.999999999927</v>
          </cell>
          <cell r="R30">
            <v>127689.92248062017</v>
          </cell>
          <cell r="S30">
            <v>440310.07751937991</v>
          </cell>
          <cell r="T30">
            <v>440310.07751937991</v>
          </cell>
        </row>
        <row r="31">
          <cell r="B31" t="str">
            <v>Clwt</v>
          </cell>
          <cell r="C31" t="str">
            <v>CMBRE AARGM</v>
          </cell>
          <cell r="E31" t="str">
            <v>Booked</v>
          </cell>
          <cell r="G31" t="str">
            <v>USAF</v>
          </cell>
          <cell r="H31" t="str">
            <v xml:space="preserve">Prod </v>
          </cell>
          <cell r="I31" t="str">
            <v>FFPN</v>
          </cell>
          <cell r="J31" t="str">
            <v>N</v>
          </cell>
          <cell r="K31" t="str">
            <v>Y</v>
          </cell>
          <cell r="Q31">
            <v>66000</v>
          </cell>
          <cell r="R31">
            <v>53683.720930232557</v>
          </cell>
          <cell r="S31">
            <v>543316.27906976745</v>
          </cell>
          <cell r="T31">
            <v>185116.27906976745</v>
          </cell>
        </row>
        <row r="32">
          <cell r="B32" t="str">
            <v>Clwt</v>
          </cell>
          <cell r="C32" t="str">
            <v>CMBRE+ PY 1</v>
          </cell>
          <cell r="E32" t="str">
            <v>Booked</v>
          </cell>
          <cell r="G32" t="str">
            <v>USAF</v>
          </cell>
          <cell r="H32" t="str">
            <v xml:space="preserve">Prod </v>
          </cell>
          <cell r="I32" t="str">
            <v>FFPN</v>
          </cell>
          <cell r="J32" t="str">
            <v>N</v>
          </cell>
          <cell r="K32" t="str">
            <v>Y</v>
          </cell>
          <cell r="Q32">
            <v>503999.99999999983</v>
          </cell>
          <cell r="R32">
            <v>257897.67441860464</v>
          </cell>
          <cell r="S32">
            <v>2610102.3255813955</v>
          </cell>
          <cell r="T32">
            <v>889302.32558139542</v>
          </cell>
        </row>
        <row r="33">
          <cell r="B33" t="str">
            <v>Clwt</v>
          </cell>
          <cell r="C33" t="str">
            <v>CMBRE+ Retrofits</v>
          </cell>
          <cell r="E33" t="str">
            <v>Booked</v>
          </cell>
          <cell r="G33" t="str">
            <v>USAF</v>
          </cell>
          <cell r="H33" t="str">
            <v xml:space="preserve">Prod </v>
          </cell>
          <cell r="I33" t="str">
            <v>FFPN</v>
          </cell>
          <cell r="J33" t="str">
            <v>N</v>
          </cell>
          <cell r="K33" t="str">
            <v>Y</v>
          </cell>
          <cell r="Q33">
            <v>276000.00000000012</v>
          </cell>
          <cell r="R33">
            <v>140818.60465116278</v>
          </cell>
          <cell r="S33">
            <v>1425181.3953488371</v>
          </cell>
          <cell r="T33">
            <v>485581.39534883719</v>
          </cell>
        </row>
        <row r="34">
          <cell r="B34" t="str">
            <v>Clwt</v>
          </cell>
          <cell r="C34" t="str">
            <v>CASP</v>
          </cell>
          <cell r="E34" t="str">
            <v>Booked</v>
          </cell>
          <cell r="G34" t="str">
            <v>Navy</v>
          </cell>
          <cell r="H34" t="str">
            <v xml:space="preserve">Prod </v>
          </cell>
          <cell r="I34" t="str">
            <v>FFPN</v>
          </cell>
          <cell r="J34" t="str">
            <v>N</v>
          </cell>
          <cell r="K34" t="str">
            <v>Y</v>
          </cell>
          <cell r="Q34">
            <v>36000.000000000051</v>
          </cell>
          <cell r="R34">
            <v>49637.209302325566</v>
          </cell>
          <cell r="S34">
            <v>226362.79069767438</v>
          </cell>
          <cell r="T34">
            <v>171162.79069767438</v>
          </cell>
        </row>
        <row r="35">
          <cell r="B35" t="str">
            <v>Clwt</v>
          </cell>
          <cell r="C35" t="str">
            <v>MRM 5X0012</v>
          </cell>
          <cell r="E35" t="str">
            <v>Booked</v>
          </cell>
          <cell r="G35" t="str">
            <v>USA</v>
          </cell>
          <cell r="H35" t="str">
            <v xml:space="preserve">Prod </v>
          </cell>
          <cell r="I35" t="str">
            <v>CPFF</v>
          </cell>
          <cell r="J35" t="str">
            <v>N</v>
          </cell>
          <cell r="K35" t="str">
            <v>Y</v>
          </cell>
          <cell r="Q35">
            <v>0</v>
          </cell>
          <cell r="R35">
            <v>36148.837209302321</v>
          </cell>
          <cell r="S35">
            <v>164851.16279069768</v>
          </cell>
          <cell r="T35">
            <v>124651.16279069768</v>
          </cell>
        </row>
        <row r="36">
          <cell r="B36" t="str">
            <v>Clwt</v>
          </cell>
          <cell r="C36" t="str">
            <v>AAR-47B(V)2</v>
          </cell>
          <cell r="E36" t="str">
            <v>F/O - S</v>
          </cell>
          <cell r="F36">
            <v>39234</v>
          </cell>
          <cell r="G36" t="str">
            <v>Navy</v>
          </cell>
          <cell r="H36" t="str">
            <v xml:space="preserve">Prod </v>
          </cell>
          <cell r="I36" t="str">
            <v>CPFF</v>
          </cell>
          <cell r="J36" t="str">
            <v>N</v>
          </cell>
          <cell r="K36" t="str">
            <v>Y</v>
          </cell>
          <cell r="Q36">
            <v>470000.00000000006</v>
          </cell>
          <cell r="R36">
            <v>475465.11627906974</v>
          </cell>
          <cell r="S36">
            <v>3754534.8837209302</v>
          </cell>
          <cell r="T36">
            <v>1639534.8837209302</v>
          </cell>
        </row>
        <row r="37">
          <cell r="B37" t="str">
            <v>Clwt</v>
          </cell>
          <cell r="C37" t="str">
            <v>AAR-47 DCS</v>
          </cell>
          <cell r="E37" t="str">
            <v>F/O - S</v>
          </cell>
          <cell r="F37">
            <v>39448</v>
          </cell>
          <cell r="G37" t="str">
            <v>Foreign</v>
          </cell>
          <cell r="H37" t="str">
            <v xml:space="preserve">Prod </v>
          </cell>
          <cell r="I37" t="str">
            <v>FFPN</v>
          </cell>
          <cell r="J37" t="str">
            <v>N</v>
          </cell>
          <cell r="K37" t="str">
            <v>N</v>
          </cell>
          <cell r="Q37">
            <v>0</v>
          </cell>
          <cell r="R37">
            <v>1348.8372093023256</v>
          </cell>
          <cell r="S37">
            <v>4651.1627906976746</v>
          </cell>
          <cell r="T37">
            <v>4651.1627906976746</v>
          </cell>
        </row>
        <row r="38">
          <cell r="B38" t="str">
            <v>Clwt</v>
          </cell>
          <cell r="C38" t="str">
            <v>AAR-47 DCS</v>
          </cell>
          <cell r="E38" t="str">
            <v>New</v>
          </cell>
          <cell r="F38">
            <v>39508</v>
          </cell>
          <cell r="G38" t="str">
            <v>Foreign</v>
          </cell>
          <cell r="H38" t="str">
            <v xml:space="preserve">Prod </v>
          </cell>
          <cell r="I38" t="str">
            <v>FFPN</v>
          </cell>
          <cell r="J38" t="str">
            <v>N</v>
          </cell>
          <cell r="K38" t="str">
            <v>N</v>
          </cell>
          <cell r="Q38">
            <v>0</v>
          </cell>
          <cell r="R38">
            <v>674.41860465116281</v>
          </cell>
          <cell r="S38">
            <v>2325.5813953488373</v>
          </cell>
          <cell r="T38">
            <v>2325.5813953488373</v>
          </cell>
        </row>
        <row r="39">
          <cell r="B39" t="str">
            <v>Clwt</v>
          </cell>
          <cell r="C39" t="str">
            <v xml:space="preserve">AAR-47 DCS </v>
          </cell>
          <cell r="E39" t="str">
            <v>New</v>
          </cell>
          <cell r="F39">
            <v>39417</v>
          </cell>
          <cell r="G39" t="str">
            <v>Foreign</v>
          </cell>
          <cell r="H39" t="str">
            <v xml:space="preserve">Prod </v>
          </cell>
          <cell r="I39" t="str">
            <v>FFPN</v>
          </cell>
          <cell r="J39" t="str">
            <v>N</v>
          </cell>
          <cell r="K39" t="str">
            <v>N</v>
          </cell>
          <cell r="Q39">
            <v>3000.0000000000005</v>
          </cell>
          <cell r="R39">
            <v>2023.2558139534881</v>
          </cell>
          <cell r="S39">
            <v>6976.7441860465115</v>
          </cell>
          <cell r="T39">
            <v>6976.7441860465115</v>
          </cell>
        </row>
        <row r="40">
          <cell r="B40" t="str">
            <v>Clwt</v>
          </cell>
          <cell r="C40" t="str">
            <v xml:space="preserve">AAR-47 DCS </v>
          </cell>
          <cell r="E40" t="str">
            <v>F/O - S</v>
          </cell>
          <cell r="F40">
            <v>39203</v>
          </cell>
          <cell r="G40" t="str">
            <v>Foreign</v>
          </cell>
          <cell r="H40" t="str">
            <v xml:space="preserve">Prod </v>
          </cell>
          <cell r="I40" t="str">
            <v>FFPN</v>
          </cell>
          <cell r="J40" t="str">
            <v>N</v>
          </cell>
          <cell r="K40" t="str">
            <v>N</v>
          </cell>
          <cell r="Q40">
            <v>0</v>
          </cell>
          <cell r="R40">
            <v>674.41860465116281</v>
          </cell>
          <cell r="S40">
            <v>2325.5813953488373</v>
          </cell>
          <cell r="T40">
            <v>2325.5813953488373</v>
          </cell>
        </row>
        <row r="41">
          <cell r="B41" t="str">
            <v>Clwt</v>
          </cell>
          <cell r="C41" t="str">
            <v xml:space="preserve">AAR-47 DCS </v>
          </cell>
          <cell r="E41" t="str">
            <v>New</v>
          </cell>
          <cell r="F41">
            <v>39234</v>
          </cell>
          <cell r="G41" t="str">
            <v>Foreign</v>
          </cell>
          <cell r="H41" t="str">
            <v xml:space="preserve">Prod </v>
          </cell>
          <cell r="I41" t="str">
            <v>FFPN</v>
          </cell>
          <cell r="J41" t="str">
            <v>N</v>
          </cell>
          <cell r="K41" t="str">
            <v>N</v>
          </cell>
          <cell r="Q41">
            <v>3000</v>
          </cell>
          <cell r="R41">
            <v>1348.8372093023256</v>
          </cell>
          <cell r="S41">
            <v>4651.1627906976746</v>
          </cell>
          <cell r="T41">
            <v>4651.1627906976746</v>
          </cell>
        </row>
        <row r="42">
          <cell r="B42" t="str">
            <v>Clwt</v>
          </cell>
          <cell r="C42" t="str">
            <v xml:space="preserve">AAR-47 DCS </v>
          </cell>
          <cell r="E42" t="str">
            <v>New</v>
          </cell>
          <cell r="F42">
            <v>39417</v>
          </cell>
          <cell r="G42" t="str">
            <v>Foreign</v>
          </cell>
          <cell r="H42" t="str">
            <v xml:space="preserve">Prod </v>
          </cell>
          <cell r="I42" t="str">
            <v>FFPN</v>
          </cell>
          <cell r="J42" t="str">
            <v>N</v>
          </cell>
          <cell r="K42" t="str">
            <v>N</v>
          </cell>
          <cell r="Q42">
            <v>3000.0000000000009</v>
          </cell>
          <cell r="R42">
            <v>6069.7674418604647</v>
          </cell>
          <cell r="S42">
            <v>20930.232558139534</v>
          </cell>
          <cell r="T42">
            <v>20930.232558139534</v>
          </cell>
        </row>
        <row r="43">
          <cell r="B43" t="str">
            <v>Clwt</v>
          </cell>
          <cell r="C43" t="str">
            <v xml:space="preserve">AAR-47 DCS </v>
          </cell>
          <cell r="E43" t="str">
            <v>New</v>
          </cell>
          <cell r="F43">
            <v>39356</v>
          </cell>
          <cell r="G43" t="str">
            <v>Foreign</v>
          </cell>
          <cell r="H43" t="str">
            <v xml:space="preserve">Prod </v>
          </cell>
          <cell r="I43" t="str">
            <v>FFPN</v>
          </cell>
          <cell r="J43" t="str">
            <v>N</v>
          </cell>
          <cell r="K43" t="str">
            <v>N</v>
          </cell>
          <cell r="Q43">
            <v>36000.000000000007</v>
          </cell>
          <cell r="R43">
            <v>32372.093023255809</v>
          </cell>
          <cell r="S43">
            <v>111627.90697674418</v>
          </cell>
          <cell r="T43">
            <v>111627.90697674418</v>
          </cell>
        </row>
        <row r="44">
          <cell r="B44" t="str">
            <v>Clwt</v>
          </cell>
          <cell r="C44" t="str">
            <v xml:space="preserve">AAR-47 DCS </v>
          </cell>
          <cell r="E44" t="str">
            <v>F/O - S</v>
          </cell>
          <cell r="F44">
            <v>39326</v>
          </cell>
          <cell r="G44" t="str">
            <v>Foreign</v>
          </cell>
          <cell r="H44" t="str">
            <v xml:space="preserve">Prod </v>
          </cell>
          <cell r="I44" t="str">
            <v>FFPN</v>
          </cell>
          <cell r="J44" t="str">
            <v>N</v>
          </cell>
          <cell r="K44" t="str">
            <v>N</v>
          </cell>
          <cell r="Q44">
            <v>49000.000000000036</v>
          </cell>
          <cell r="R44">
            <v>41733.023255813947</v>
          </cell>
          <cell r="S44">
            <v>434266.97674418602</v>
          </cell>
          <cell r="T44">
            <v>143906.97674418605</v>
          </cell>
        </row>
        <row r="45">
          <cell r="B45" t="str">
            <v>Clwt</v>
          </cell>
          <cell r="C45" t="str">
            <v>AAR-47C(V)X</v>
          </cell>
          <cell r="E45" t="str">
            <v>New</v>
          </cell>
          <cell r="F45">
            <v>39448</v>
          </cell>
          <cell r="G45" t="str">
            <v>Navy</v>
          </cell>
          <cell r="H45" t="str">
            <v xml:space="preserve">Prod </v>
          </cell>
          <cell r="I45" t="str">
            <v>FFPN</v>
          </cell>
          <cell r="J45" t="str">
            <v>N</v>
          </cell>
          <cell r="K45" t="str">
            <v>Y</v>
          </cell>
          <cell r="Q45">
            <v>6000.0000000000009</v>
          </cell>
          <cell r="R45">
            <v>6069.7674418604647</v>
          </cell>
          <cell r="S45">
            <v>47930.232558139534</v>
          </cell>
          <cell r="T45">
            <v>20930.232558139534</v>
          </cell>
        </row>
        <row r="46">
          <cell r="B46" t="str">
            <v>Clwt</v>
          </cell>
          <cell r="C46" t="str">
            <v xml:space="preserve">CMBRE+ </v>
          </cell>
          <cell r="E46" t="str">
            <v>F/O - S</v>
          </cell>
          <cell r="F46">
            <v>39479</v>
          </cell>
          <cell r="G46" t="str">
            <v>USAF</v>
          </cell>
          <cell r="H46" t="str">
            <v xml:space="preserve">Prod </v>
          </cell>
          <cell r="I46" t="str">
            <v>FFPN</v>
          </cell>
          <cell r="J46" t="str">
            <v>N</v>
          </cell>
          <cell r="K46" t="str">
            <v>Y</v>
          </cell>
          <cell r="Q46">
            <v>108000</v>
          </cell>
          <cell r="R46">
            <v>55572.093023255809</v>
          </cell>
          <cell r="S46">
            <v>562427.90697674418</v>
          </cell>
          <cell r="T46">
            <v>191627.90697674418</v>
          </cell>
        </row>
        <row r="47">
          <cell r="B47" t="str">
            <v>Clwt</v>
          </cell>
          <cell r="C47" t="str">
            <v>CMBRE+ Retrofits</v>
          </cell>
          <cell r="E47" t="str">
            <v>F/O - S</v>
          </cell>
          <cell r="F47">
            <v>39479</v>
          </cell>
          <cell r="G47" t="str">
            <v>USAF</v>
          </cell>
          <cell r="H47" t="str">
            <v xml:space="preserve">Prod </v>
          </cell>
          <cell r="I47" t="str">
            <v>FFPN</v>
          </cell>
          <cell r="J47" t="str">
            <v>N</v>
          </cell>
          <cell r="K47" t="str">
            <v>Y</v>
          </cell>
          <cell r="Q47">
            <v>95999.999999999927</v>
          </cell>
          <cell r="R47">
            <v>48737.984496124045</v>
          </cell>
          <cell r="S47">
            <v>493262.01550387603</v>
          </cell>
          <cell r="T47">
            <v>168062.01550387603</v>
          </cell>
        </row>
        <row r="48">
          <cell r="B48" t="str">
            <v>Clwt</v>
          </cell>
          <cell r="C48" t="str">
            <v>CMBRE Air-to-Air Test Set Group</v>
          </cell>
          <cell r="E48" t="str">
            <v>F/O - S</v>
          </cell>
          <cell r="F48">
            <v>39479</v>
          </cell>
          <cell r="G48" t="str">
            <v>USAF</v>
          </cell>
          <cell r="H48" t="str">
            <v xml:space="preserve">Prod </v>
          </cell>
          <cell r="I48" t="str">
            <v>FFPN</v>
          </cell>
          <cell r="J48" t="str">
            <v>N</v>
          </cell>
          <cell r="K48" t="str">
            <v>Y</v>
          </cell>
          <cell r="Q48">
            <v>132000</v>
          </cell>
          <cell r="R48">
            <v>0</v>
          </cell>
          <cell r="S48">
            <v>138000</v>
          </cell>
          <cell r="T48">
            <v>0</v>
          </cell>
        </row>
        <row r="49">
          <cell r="B49" t="str">
            <v>Clwt</v>
          </cell>
          <cell r="C49" t="str">
            <v>CMBRE SDB Test Set Group</v>
          </cell>
          <cell r="E49" t="str">
            <v>F/O - S</v>
          </cell>
          <cell r="F49">
            <v>39479</v>
          </cell>
          <cell r="G49" t="str">
            <v>USAF</v>
          </cell>
          <cell r="H49" t="str">
            <v xml:space="preserve">Prod </v>
          </cell>
          <cell r="I49" t="str">
            <v>FFPN</v>
          </cell>
          <cell r="J49" t="str">
            <v>N</v>
          </cell>
          <cell r="K49" t="str">
            <v>Y</v>
          </cell>
          <cell r="Q49">
            <v>14000.000000000004</v>
          </cell>
          <cell r="R49">
            <v>6834.1085271317816</v>
          </cell>
          <cell r="S49">
            <v>69165.891472868214</v>
          </cell>
          <cell r="T49">
            <v>23565.891472868214</v>
          </cell>
        </row>
        <row r="50">
          <cell r="B50" t="str">
            <v>Clwt</v>
          </cell>
          <cell r="C50" t="str">
            <v>CMBRE AARGM Test Set Group</v>
          </cell>
          <cell r="E50" t="str">
            <v>F/O - S</v>
          </cell>
          <cell r="F50">
            <v>39479</v>
          </cell>
          <cell r="G50" t="str">
            <v>USAF</v>
          </cell>
          <cell r="H50" t="str">
            <v xml:space="preserve">Prod </v>
          </cell>
          <cell r="I50" t="str">
            <v>FFPN</v>
          </cell>
          <cell r="J50" t="str">
            <v>N</v>
          </cell>
          <cell r="K50" t="str">
            <v>Y</v>
          </cell>
          <cell r="Q50">
            <v>32000.000000000022</v>
          </cell>
          <cell r="R50">
            <v>16545.736434108527</v>
          </cell>
          <cell r="S50">
            <v>167454.26356589145</v>
          </cell>
          <cell r="T50">
            <v>57054.263565891473</v>
          </cell>
        </row>
        <row r="51">
          <cell r="B51" t="str">
            <v>Clwt</v>
          </cell>
          <cell r="C51" t="str">
            <v>CMBRE Misc</v>
          </cell>
          <cell r="E51" t="str">
            <v>F/O - S</v>
          </cell>
          <cell r="F51">
            <v>39479</v>
          </cell>
          <cell r="G51" t="str">
            <v>USAF</v>
          </cell>
          <cell r="H51" t="str">
            <v xml:space="preserve">Prod </v>
          </cell>
          <cell r="I51" t="str">
            <v>FFPN</v>
          </cell>
          <cell r="J51" t="str">
            <v>N</v>
          </cell>
          <cell r="K51" t="str">
            <v>Y</v>
          </cell>
          <cell r="Q51">
            <v>10000</v>
          </cell>
          <cell r="R51">
            <v>5215.5038759689915</v>
          </cell>
          <cell r="S51">
            <v>52784.496124031008</v>
          </cell>
          <cell r="T51">
            <v>17984.496124031008</v>
          </cell>
        </row>
        <row r="52">
          <cell r="B52" t="str">
            <v>Clwt</v>
          </cell>
          <cell r="C52" t="str">
            <v>CMBRE CLS</v>
          </cell>
          <cell r="E52" t="str">
            <v>F/O - S</v>
          </cell>
          <cell r="F52">
            <v>39479</v>
          </cell>
          <cell r="G52" t="str">
            <v>USAF</v>
          </cell>
          <cell r="H52" t="str">
            <v xml:space="preserve">Prod </v>
          </cell>
          <cell r="I52" t="str">
            <v>FFPN</v>
          </cell>
          <cell r="J52" t="str">
            <v>N</v>
          </cell>
          <cell r="K52" t="str">
            <v>Y</v>
          </cell>
          <cell r="Q52">
            <v>10000.000000000004</v>
          </cell>
          <cell r="R52">
            <v>4496.1240310077519</v>
          </cell>
          <cell r="S52">
            <v>45503.875968992244</v>
          </cell>
          <cell r="T52">
            <v>15503.875968992248</v>
          </cell>
        </row>
        <row r="53">
          <cell r="B53" t="str">
            <v>Clwt</v>
          </cell>
          <cell r="C53" t="str">
            <v>CMBRE++</v>
          </cell>
          <cell r="E53" t="str">
            <v>New</v>
          </cell>
          <cell r="F53">
            <v>39479</v>
          </cell>
          <cell r="G53" t="str">
            <v>USAF</v>
          </cell>
          <cell r="H53" t="str">
            <v xml:space="preserve">Prod </v>
          </cell>
          <cell r="I53" t="str">
            <v>FFPN</v>
          </cell>
          <cell r="J53" t="str">
            <v>N</v>
          </cell>
          <cell r="K53" t="str">
            <v>Y</v>
          </cell>
          <cell r="Q53">
            <v>16000</v>
          </cell>
          <cell r="R53">
            <v>15106.976744186046</v>
          </cell>
          <cell r="S53">
            <v>68893.023255813954</v>
          </cell>
          <cell r="T53">
            <v>52093.023255813954</v>
          </cell>
        </row>
        <row r="54">
          <cell r="B54" t="str">
            <v>Clwt</v>
          </cell>
          <cell r="C54" t="str">
            <v>MGARJS</v>
          </cell>
          <cell r="E54" t="str">
            <v>F/O - S</v>
          </cell>
          <cell r="F54">
            <v>39234</v>
          </cell>
          <cell r="G54" t="str">
            <v>Foreign</v>
          </cell>
          <cell r="H54" t="str">
            <v xml:space="preserve">Prod </v>
          </cell>
          <cell r="I54" t="str">
            <v>FFPN</v>
          </cell>
          <cell r="J54" t="str">
            <v>N</v>
          </cell>
          <cell r="K54" t="str">
            <v>Y</v>
          </cell>
          <cell r="Q54">
            <v>760000</v>
          </cell>
          <cell r="R54">
            <v>272734.8837209302</v>
          </cell>
          <cell r="S54">
            <v>2760265.1162790698</v>
          </cell>
          <cell r="T54">
            <v>940465.11627906968</v>
          </cell>
        </row>
        <row r="55">
          <cell r="B55" t="str">
            <v>Clwt</v>
          </cell>
          <cell r="C55" t="str">
            <v>MGARJS</v>
          </cell>
          <cell r="E55" t="str">
            <v>F/O - S</v>
          </cell>
          <cell r="F55">
            <v>39234</v>
          </cell>
          <cell r="G55" t="str">
            <v>Foreign</v>
          </cell>
          <cell r="H55" t="str">
            <v xml:space="preserve">Prod </v>
          </cell>
          <cell r="I55" t="str">
            <v>FFPN</v>
          </cell>
          <cell r="J55" t="str">
            <v>N</v>
          </cell>
          <cell r="K55" t="str">
            <v>Y</v>
          </cell>
          <cell r="Q55">
            <v>59000.000000000029</v>
          </cell>
          <cell r="R55">
            <v>21041.860465116271</v>
          </cell>
          <cell r="S55">
            <v>212958.1395348837</v>
          </cell>
          <cell r="T55">
            <v>72558.139534883696</v>
          </cell>
        </row>
        <row r="56">
          <cell r="B56" t="str">
            <v>Clwt</v>
          </cell>
          <cell r="C56" t="str">
            <v>MGARJS</v>
          </cell>
          <cell r="E56" t="str">
            <v>F/O - S</v>
          </cell>
          <cell r="F56">
            <v>39326</v>
          </cell>
          <cell r="G56" t="str">
            <v>Foreign</v>
          </cell>
          <cell r="H56" t="str">
            <v xml:space="preserve">Prod </v>
          </cell>
          <cell r="I56" t="str">
            <v>FFPN</v>
          </cell>
          <cell r="J56" t="str">
            <v>N</v>
          </cell>
          <cell r="K56" t="str">
            <v>Y</v>
          </cell>
          <cell r="Q56">
            <v>15000.000000000004</v>
          </cell>
          <cell r="R56">
            <v>5395.3488372093016</v>
          </cell>
          <cell r="S56">
            <v>54604.651162790695</v>
          </cell>
          <cell r="T56">
            <v>18604.651162790695</v>
          </cell>
        </row>
        <row r="57">
          <cell r="B57" t="str">
            <v>Clwt</v>
          </cell>
          <cell r="C57" t="str">
            <v>MRM SDD</v>
          </cell>
          <cell r="E57" t="str">
            <v>F/O - S</v>
          </cell>
          <cell r="G57" t="str">
            <v>USA</v>
          </cell>
          <cell r="H57" t="str">
            <v xml:space="preserve">Prod </v>
          </cell>
          <cell r="I57" t="str">
            <v>FFPN</v>
          </cell>
          <cell r="J57" t="str">
            <v>Y</v>
          </cell>
          <cell r="K57" t="str">
            <v>Y</v>
          </cell>
          <cell r="Q57">
            <v>27000</v>
          </cell>
          <cell r="R57">
            <v>51255.813953488367</v>
          </cell>
          <cell r="S57">
            <v>233744.18604651163</v>
          </cell>
          <cell r="T57">
            <v>176744.18604651163</v>
          </cell>
        </row>
        <row r="58">
          <cell r="B58" t="str">
            <v>Clwt</v>
          </cell>
          <cell r="C58" t="str">
            <v>CMBRE Upcoming Order</v>
          </cell>
          <cell r="E58" t="str">
            <v>F/O - S</v>
          </cell>
          <cell r="G58" t="str">
            <v>USAF</v>
          </cell>
          <cell r="H58" t="str">
            <v xml:space="preserve">Prod </v>
          </cell>
          <cell r="I58" t="str">
            <v>FFPN</v>
          </cell>
          <cell r="J58" t="str">
            <v>N</v>
          </cell>
          <cell r="K58" t="str">
            <v>Y</v>
          </cell>
          <cell r="Q58">
            <v>162600.00000000006</v>
          </cell>
          <cell r="R58">
            <v>82854.573643410855</v>
          </cell>
          <cell r="S58">
            <v>838545.42635658907</v>
          </cell>
          <cell r="T58">
            <v>285705.42635658919</v>
          </cell>
        </row>
        <row r="59">
          <cell r="B59" t="str">
            <v>Clwt</v>
          </cell>
          <cell r="C59" t="str">
            <v>MGARJS TG and ATDL</v>
          </cell>
          <cell r="E59" t="str">
            <v>F/O - S</v>
          </cell>
          <cell r="F59">
            <v>39326</v>
          </cell>
          <cell r="G59" t="str">
            <v>Foreign</v>
          </cell>
          <cell r="H59" t="str">
            <v xml:space="preserve">Prod </v>
          </cell>
          <cell r="I59" t="str">
            <v>FFPN</v>
          </cell>
          <cell r="J59" t="str">
            <v>N</v>
          </cell>
          <cell r="K59" t="str">
            <v>Y</v>
          </cell>
          <cell r="Q59">
            <v>140850</v>
          </cell>
          <cell r="R59">
            <v>71771.627906976719</v>
          </cell>
          <cell r="S59">
            <v>726378.37209302327</v>
          </cell>
          <cell r="T59">
            <v>247488.37209302321</v>
          </cell>
        </row>
        <row r="60">
          <cell r="B60" t="str">
            <v>FW</v>
          </cell>
          <cell r="C60" t="str">
            <v>MPA #2&amp;3</v>
          </cell>
          <cell r="E60" t="str">
            <v>Booked</v>
          </cell>
          <cell r="G60" t="str">
            <v>USAF</v>
          </cell>
          <cell r="H60" t="str">
            <v xml:space="preserve">Prod </v>
          </cell>
          <cell r="I60" t="str">
            <v>FFPN</v>
          </cell>
          <cell r="J60" t="str">
            <v>N</v>
          </cell>
          <cell r="K60" t="str">
            <v>N</v>
          </cell>
          <cell r="Q60">
            <v>24000.000000000044</v>
          </cell>
          <cell r="R60">
            <v>81155.038759689909</v>
          </cell>
          <cell r="S60">
            <v>279844.96124031005</v>
          </cell>
          <cell r="T60">
            <v>279844.96124031005</v>
          </cell>
        </row>
        <row r="61">
          <cell r="B61" t="str">
            <v>FW</v>
          </cell>
          <cell r="C61" t="str">
            <v>MPA #4</v>
          </cell>
          <cell r="E61" t="str">
            <v>Booked</v>
          </cell>
          <cell r="G61" t="str">
            <v>USAF</v>
          </cell>
          <cell r="H61" t="str">
            <v xml:space="preserve">Prod </v>
          </cell>
          <cell r="I61" t="str">
            <v>FFPN</v>
          </cell>
          <cell r="J61" t="str">
            <v>N</v>
          </cell>
          <cell r="K61" t="str">
            <v>Y</v>
          </cell>
          <cell r="Q61">
            <v>603000.00000000058</v>
          </cell>
          <cell r="R61">
            <v>125646.88372093007</v>
          </cell>
          <cell r="S61">
            <v>8607353.1162790693</v>
          </cell>
          <cell r="T61">
            <v>433265.11627906922</v>
          </cell>
        </row>
        <row r="62">
          <cell r="B62" t="str">
            <v>FW</v>
          </cell>
          <cell r="C62" t="str">
            <v>RC-26B Modernization - Katrina</v>
          </cell>
          <cell r="E62" t="str">
            <v>Booked</v>
          </cell>
          <cell r="G62" t="str">
            <v>USAF</v>
          </cell>
          <cell r="H62" t="str">
            <v xml:space="preserve">Prod </v>
          </cell>
          <cell r="I62" t="str">
            <v>FFPN</v>
          </cell>
          <cell r="J62" t="str">
            <v>N</v>
          </cell>
          <cell r="K62" t="str">
            <v>Y</v>
          </cell>
          <cell r="Q62">
            <v>311999.99999999942</v>
          </cell>
          <cell r="R62">
            <v>882004.65116279072</v>
          </cell>
          <cell r="S62">
            <v>6917995.3488372099</v>
          </cell>
          <cell r="T62">
            <v>3041395.3488372094</v>
          </cell>
        </row>
        <row r="63">
          <cell r="B63" t="str">
            <v>FW</v>
          </cell>
          <cell r="C63" t="str">
            <v>Scathe View Katrina</v>
          </cell>
          <cell r="E63" t="str">
            <v>Booked</v>
          </cell>
          <cell r="G63" t="str">
            <v>USAF</v>
          </cell>
          <cell r="H63" t="str">
            <v xml:space="preserve">Prod </v>
          </cell>
          <cell r="I63" t="str">
            <v>FFPN</v>
          </cell>
          <cell r="J63" t="str">
            <v>N</v>
          </cell>
          <cell r="K63" t="str">
            <v>Y</v>
          </cell>
          <cell r="Q63">
            <v>153000</v>
          </cell>
          <cell r="R63">
            <v>871573.64341085264</v>
          </cell>
          <cell r="S63">
            <v>3005426.3565891474</v>
          </cell>
          <cell r="T63">
            <v>3005426.3565891474</v>
          </cell>
        </row>
        <row r="64">
          <cell r="B64" t="str">
            <v>FW</v>
          </cell>
          <cell r="C64" t="str">
            <v>RC-26B GFY07</v>
          </cell>
          <cell r="E64" t="str">
            <v>Booked</v>
          </cell>
          <cell r="G64" t="str">
            <v>USAF</v>
          </cell>
          <cell r="H64" t="str">
            <v xml:space="preserve">Prod </v>
          </cell>
          <cell r="I64" t="str">
            <v>FFPN</v>
          </cell>
          <cell r="J64" t="str">
            <v>N</v>
          </cell>
          <cell r="K64" t="str">
            <v>Y</v>
          </cell>
          <cell r="Q64">
            <v>60000.000000000262</v>
          </cell>
          <cell r="R64">
            <v>133912.55813953487</v>
          </cell>
          <cell r="S64">
            <v>1498087.4418604649</v>
          </cell>
          <cell r="T64">
            <v>461767.4418604651</v>
          </cell>
        </row>
        <row r="65">
          <cell r="B65" t="str">
            <v>FW</v>
          </cell>
          <cell r="C65" t="str">
            <v>Emergency Services (0618)</v>
          </cell>
          <cell r="E65" t="str">
            <v>Booked</v>
          </cell>
          <cell r="G65" t="str">
            <v>USAF</v>
          </cell>
          <cell r="H65" t="str">
            <v xml:space="preserve">Prod </v>
          </cell>
          <cell r="I65" t="str">
            <v>CPFF</v>
          </cell>
          <cell r="J65" t="str">
            <v>N</v>
          </cell>
          <cell r="K65" t="str">
            <v>Y</v>
          </cell>
          <cell r="Q65">
            <v>72000.000000000087</v>
          </cell>
          <cell r="R65">
            <v>141789.76744186043</v>
          </cell>
          <cell r="S65">
            <v>734210.23255813948</v>
          </cell>
          <cell r="T65">
            <v>488930.23255813948</v>
          </cell>
        </row>
        <row r="66">
          <cell r="B66" t="str">
            <v>FW</v>
          </cell>
          <cell r="C66" t="str">
            <v>Emergency Services (0718)</v>
          </cell>
          <cell r="E66" t="str">
            <v>Booked</v>
          </cell>
          <cell r="G66" t="str">
            <v>USAF</v>
          </cell>
          <cell r="H66" t="str">
            <v xml:space="preserve">Prod </v>
          </cell>
          <cell r="I66" t="str">
            <v>CPFF</v>
          </cell>
          <cell r="J66" t="str">
            <v>N</v>
          </cell>
          <cell r="K66" t="str">
            <v>Y</v>
          </cell>
          <cell r="Q66">
            <v>72000.000000000058</v>
          </cell>
          <cell r="R66">
            <v>142760.93023255811</v>
          </cell>
          <cell r="S66">
            <v>739239.06976744183</v>
          </cell>
          <cell r="T66">
            <v>492279.06976744178</v>
          </cell>
        </row>
        <row r="67">
          <cell r="B67" t="str">
            <v>FW</v>
          </cell>
          <cell r="C67" t="str">
            <v>Scathe View COMMS Upgrade</v>
          </cell>
          <cell r="E67" t="str">
            <v>Booked</v>
          </cell>
          <cell r="G67" t="str">
            <v>USAF</v>
          </cell>
          <cell r="H67" t="str">
            <v xml:space="preserve">Prod </v>
          </cell>
          <cell r="I67" t="str">
            <v>FFPN</v>
          </cell>
          <cell r="J67" t="str">
            <v>N</v>
          </cell>
          <cell r="K67" t="str">
            <v>Y</v>
          </cell>
          <cell r="Q67">
            <v>65000.000000000102</v>
          </cell>
          <cell r="R67">
            <v>114210.54263565889</v>
          </cell>
          <cell r="S67">
            <v>405789.45736434101</v>
          </cell>
          <cell r="T67">
            <v>393829.45736434101</v>
          </cell>
        </row>
        <row r="68">
          <cell r="B68" t="str">
            <v>FW</v>
          </cell>
          <cell r="C68" t="str">
            <v>Iraqi Cessna (Phase 1)</v>
          </cell>
          <cell r="E68" t="str">
            <v>Booked</v>
          </cell>
          <cell r="G68" t="str">
            <v>USAF</v>
          </cell>
          <cell r="H68" t="str">
            <v xml:space="preserve">Prod </v>
          </cell>
          <cell r="I68" t="str">
            <v>FFPN</v>
          </cell>
          <cell r="J68" t="str">
            <v>N</v>
          </cell>
          <cell r="K68" t="str">
            <v>Y</v>
          </cell>
          <cell r="Q68">
            <v>828000.00000000023</v>
          </cell>
          <cell r="R68">
            <v>1100206.0465116275</v>
          </cell>
          <cell r="S68">
            <v>8439793.9534883723</v>
          </cell>
          <cell r="T68">
            <v>3793813.9534883713</v>
          </cell>
        </row>
        <row r="69">
          <cell r="B69" t="str">
            <v>FW</v>
          </cell>
          <cell r="C69" t="str">
            <v>Iraq Phase I CLS</v>
          </cell>
          <cell r="E69" t="str">
            <v>Booked</v>
          </cell>
          <cell r="G69" t="str">
            <v>USAF</v>
          </cell>
          <cell r="H69" t="str">
            <v xml:space="preserve">Prod </v>
          </cell>
          <cell r="I69" t="str">
            <v>FFPN</v>
          </cell>
          <cell r="J69" t="str">
            <v>N</v>
          </cell>
          <cell r="K69" t="str">
            <v>Y</v>
          </cell>
          <cell r="Q69">
            <v>395999.99999999942</v>
          </cell>
          <cell r="R69">
            <v>354280.18604651152</v>
          </cell>
          <cell r="S69">
            <v>4253719.8139534891</v>
          </cell>
          <cell r="T69">
            <v>1221655.8139534881</v>
          </cell>
        </row>
        <row r="70">
          <cell r="B70" t="str">
            <v>FW</v>
          </cell>
          <cell r="C70" t="str">
            <v>Iraq Phase IIa - 6 Aircraft</v>
          </cell>
          <cell r="E70" t="str">
            <v>Booked</v>
          </cell>
          <cell r="G70" t="str">
            <v>USAF</v>
          </cell>
          <cell r="H70" t="str">
            <v xml:space="preserve">Prod </v>
          </cell>
          <cell r="I70" t="str">
            <v>FFPN</v>
          </cell>
          <cell r="J70" t="str">
            <v>N</v>
          </cell>
          <cell r="K70" t="str">
            <v>Y</v>
          </cell>
          <cell r="Q70">
            <v>540000.00000000023</v>
          </cell>
          <cell r="R70">
            <v>477909.20930232544</v>
          </cell>
          <cell r="S70">
            <v>5738090.7906976743</v>
          </cell>
          <cell r="T70">
            <v>1647962.790697674</v>
          </cell>
        </row>
        <row r="71">
          <cell r="B71" t="str">
            <v>FW</v>
          </cell>
          <cell r="C71" t="str">
            <v>Scathe View GWOT</v>
          </cell>
          <cell r="E71" t="str">
            <v>Booked</v>
          </cell>
          <cell r="G71" t="str">
            <v>USAF</v>
          </cell>
          <cell r="H71" t="str">
            <v xml:space="preserve">Prod </v>
          </cell>
          <cell r="I71" t="str">
            <v>FFPN</v>
          </cell>
          <cell r="J71" t="str">
            <v>N</v>
          </cell>
          <cell r="K71" t="str">
            <v>Y</v>
          </cell>
          <cell r="Q71">
            <v>144000.0000000002</v>
          </cell>
          <cell r="R71">
            <v>153006.6976744186</v>
          </cell>
          <cell r="S71">
            <v>1502993.3023255812</v>
          </cell>
          <cell r="T71">
            <v>527609.30232558143</v>
          </cell>
        </row>
        <row r="72">
          <cell r="B72" t="str">
            <v>FW</v>
          </cell>
          <cell r="C72" t="str">
            <v>Scathe View Data Link (SNC)</v>
          </cell>
          <cell r="E72" t="str">
            <v>Booked</v>
          </cell>
          <cell r="G72" t="str">
            <v>USAF</v>
          </cell>
          <cell r="H72" t="str">
            <v xml:space="preserve">Prod </v>
          </cell>
          <cell r="I72" t="str">
            <v>FFPN</v>
          </cell>
          <cell r="J72" t="str">
            <v>N</v>
          </cell>
          <cell r="K72" t="str">
            <v>Y</v>
          </cell>
          <cell r="Q72">
            <v>14000.000000000004</v>
          </cell>
          <cell r="R72">
            <v>29062.046511627905</v>
          </cell>
          <cell r="S72">
            <v>103937.95348837209</v>
          </cell>
          <cell r="T72">
            <v>100213.95348837209</v>
          </cell>
        </row>
        <row r="73">
          <cell r="B73" t="str">
            <v>FW</v>
          </cell>
          <cell r="C73" t="str">
            <v>Counter NarcoTerrorism</v>
          </cell>
          <cell r="E73" t="str">
            <v>Booked</v>
          </cell>
          <cell r="G73" t="str">
            <v>USAF</v>
          </cell>
          <cell r="H73" t="str">
            <v xml:space="preserve">Prod </v>
          </cell>
          <cell r="I73" t="str">
            <v>FFPN</v>
          </cell>
          <cell r="J73" t="str">
            <v>N</v>
          </cell>
          <cell r="K73" t="str">
            <v>Y</v>
          </cell>
          <cell r="Q73">
            <v>36000</v>
          </cell>
          <cell r="R73">
            <v>60427.906976744183</v>
          </cell>
          <cell r="S73">
            <v>275572.09302325582</v>
          </cell>
          <cell r="T73">
            <v>208372.09302325582</v>
          </cell>
        </row>
        <row r="74">
          <cell r="B74" t="str">
            <v>FW</v>
          </cell>
          <cell r="C74" t="str">
            <v>C-26 CLS</v>
          </cell>
          <cell r="E74" t="str">
            <v>Booked</v>
          </cell>
          <cell r="G74" t="str">
            <v>USAF</v>
          </cell>
          <cell r="H74" t="str">
            <v xml:space="preserve">Prod </v>
          </cell>
          <cell r="I74" t="str">
            <v>FFPN</v>
          </cell>
          <cell r="J74" t="str">
            <v>N</v>
          </cell>
          <cell r="K74" t="str">
            <v>Y</v>
          </cell>
          <cell r="Q74">
            <v>29999.999999999993</v>
          </cell>
          <cell r="R74">
            <v>10790.697674418605</v>
          </cell>
          <cell r="S74">
            <v>229209.3023255814</v>
          </cell>
          <cell r="T74">
            <v>37209.302325581397</v>
          </cell>
        </row>
        <row r="75">
          <cell r="B75" t="str">
            <v>FW</v>
          </cell>
          <cell r="C75" t="str">
            <v>USCG Helo Upgrade</v>
          </cell>
          <cell r="E75" t="str">
            <v>Booked</v>
          </cell>
          <cell r="G75" t="str">
            <v>USAF</v>
          </cell>
          <cell r="H75" t="str">
            <v xml:space="preserve">Prod </v>
          </cell>
          <cell r="I75" t="str">
            <v>FFPN</v>
          </cell>
          <cell r="J75" t="str">
            <v>N</v>
          </cell>
          <cell r="K75" t="str">
            <v>Y</v>
          </cell>
          <cell r="Q75">
            <v>600000.00000000058</v>
          </cell>
          <cell r="R75">
            <v>775581.39534883702</v>
          </cell>
          <cell r="S75">
            <v>6124418.6046511624</v>
          </cell>
          <cell r="T75">
            <v>2674418.6046511624</v>
          </cell>
        </row>
        <row r="76">
          <cell r="B76" t="str">
            <v>FW</v>
          </cell>
          <cell r="C76" t="str">
            <v>MRA #5&amp;6</v>
          </cell>
          <cell r="E76" t="str">
            <v>F/O - S</v>
          </cell>
          <cell r="F76">
            <v>39209</v>
          </cell>
          <cell r="G76" t="str">
            <v>USAF</v>
          </cell>
          <cell r="H76" t="str">
            <v xml:space="preserve">Prod </v>
          </cell>
          <cell r="I76" t="str">
            <v>FFPN</v>
          </cell>
          <cell r="J76" t="str">
            <v>N</v>
          </cell>
          <cell r="K76" t="str">
            <v>Y</v>
          </cell>
          <cell r="Q76">
            <v>1423000.0000000028</v>
          </cell>
          <cell r="R76">
            <v>262058.16279069812</v>
          </cell>
          <cell r="S76">
            <v>20188941.837209299</v>
          </cell>
          <cell r="T76">
            <v>903648.83720930386</v>
          </cell>
        </row>
        <row r="77">
          <cell r="B77" t="str">
            <v>FW</v>
          </cell>
          <cell r="C77" t="str">
            <v>MRA #5&amp;6 Radar</v>
          </cell>
          <cell r="E77" t="str">
            <v>F/O - S</v>
          </cell>
          <cell r="F77">
            <v>0</v>
          </cell>
          <cell r="G77" t="str">
            <v>USAF</v>
          </cell>
          <cell r="H77" t="str">
            <v xml:space="preserve">Prod </v>
          </cell>
          <cell r="I77" t="str">
            <v>FFPN</v>
          </cell>
          <cell r="J77" t="str">
            <v>N</v>
          </cell>
          <cell r="K77" t="str">
            <v>Y</v>
          </cell>
          <cell r="Q77">
            <v>72000</v>
          </cell>
          <cell r="R77">
            <v>4055.5038759689842</v>
          </cell>
          <cell r="S77">
            <v>1799944.496124031</v>
          </cell>
          <cell r="T77">
            <v>13984.49612403098</v>
          </cell>
        </row>
        <row r="78">
          <cell r="B78" t="str">
            <v>FW</v>
          </cell>
          <cell r="C78" t="str">
            <v>Big Safari</v>
          </cell>
          <cell r="E78" t="str">
            <v>New</v>
          </cell>
          <cell r="F78">
            <v>39209</v>
          </cell>
          <cell r="G78" t="str">
            <v>USAF</v>
          </cell>
          <cell r="H78" t="str">
            <v xml:space="preserve">Prod </v>
          </cell>
          <cell r="I78" t="str">
            <v>FFPN</v>
          </cell>
          <cell r="J78" t="str">
            <v>N</v>
          </cell>
          <cell r="K78" t="str">
            <v>Y</v>
          </cell>
          <cell r="Q78">
            <v>180000.00000000041</v>
          </cell>
          <cell r="R78">
            <v>122172.27906976738</v>
          </cell>
          <cell r="S78">
            <v>2325827.7209302322</v>
          </cell>
          <cell r="T78">
            <v>421283.72093023238</v>
          </cell>
        </row>
        <row r="79">
          <cell r="B79" t="str">
            <v>FW</v>
          </cell>
          <cell r="C79" t="str">
            <v>RC-26B FGY08</v>
          </cell>
          <cell r="E79" t="str">
            <v>F/O - S</v>
          </cell>
          <cell r="F79">
            <v>0</v>
          </cell>
          <cell r="G79" t="str">
            <v>USAF</v>
          </cell>
          <cell r="H79" t="str">
            <v xml:space="preserve">Prod </v>
          </cell>
          <cell r="I79" t="str">
            <v>FFPN</v>
          </cell>
          <cell r="J79" t="str">
            <v>N</v>
          </cell>
          <cell r="K79" t="str">
            <v>Y</v>
          </cell>
          <cell r="Q79">
            <v>33999.999999999978</v>
          </cell>
          <cell r="R79">
            <v>21370.976744186039</v>
          </cell>
          <cell r="S79">
            <v>444629.02325581398</v>
          </cell>
          <cell r="T79">
            <v>73693.023255813925</v>
          </cell>
        </row>
        <row r="80">
          <cell r="B80" t="str">
            <v>FW</v>
          </cell>
          <cell r="C80" t="str">
            <v>Scathe View GFY08</v>
          </cell>
          <cell r="E80" t="str">
            <v>F/O - S</v>
          </cell>
          <cell r="F80">
            <v>39248</v>
          </cell>
          <cell r="G80" t="str">
            <v>USAF</v>
          </cell>
          <cell r="H80" t="str">
            <v xml:space="preserve">Prod </v>
          </cell>
          <cell r="I80" t="str">
            <v>FFPN</v>
          </cell>
          <cell r="J80" t="str">
            <v>N</v>
          </cell>
          <cell r="K80" t="str">
            <v>Y</v>
          </cell>
          <cell r="Q80">
            <v>34000.000000000058</v>
          </cell>
          <cell r="R80">
            <v>28913.674418604642</v>
          </cell>
          <cell r="S80">
            <v>437086.3255813953</v>
          </cell>
          <cell r="T80">
            <v>99702.325581395329</v>
          </cell>
        </row>
        <row r="81">
          <cell r="B81" t="str">
            <v>FW</v>
          </cell>
          <cell r="C81" t="str">
            <v>Scathe View II</v>
          </cell>
          <cell r="E81" t="str">
            <v>F/O - S</v>
          </cell>
          <cell r="F81">
            <v>0</v>
          </cell>
          <cell r="G81" t="str">
            <v>USAF</v>
          </cell>
          <cell r="H81" t="str">
            <v xml:space="preserve">Prod </v>
          </cell>
          <cell r="I81" t="str">
            <v>FFPN</v>
          </cell>
          <cell r="J81" t="str">
            <v>N</v>
          </cell>
          <cell r="K81" t="str">
            <v>Y</v>
          </cell>
          <cell r="Q81">
            <v>8000.0000000000437</v>
          </cell>
          <cell r="R81">
            <v>28775.193798449603</v>
          </cell>
          <cell r="S81">
            <v>131224.80620155035</v>
          </cell>
          <cell r="T81">
            <v>99224.806201550367</v>
          </cell>
        </row>
        <row r="82">
          <cell r="B82" t="str">
            <v>FW</v>
          </cell>
          <cell r="C82" t="str">
            <v>Iraq CLS</v>
          </cell>
          <cell r="E82" t="str">
            <v>New</v>
          </cell>
          <cell r="F82">
            <v>39455</v>
          </cell>
          <cell r="G82" t="str">
            <v>USAF</v>
          </cell>
          <cell r="H82" t="str">
            <v xml:space="preserve">Prod </v>
          </cell>
          <cell r="I82" t="str">
            <v>FFPN</v>
          </cell>
          <cell r="J82" t="str">
            <v>N</v>
          </cell>
          <cell r="K82" t="str">
            <v>Y</v>
          </cell>
          <cell r="Q82">
            <v>3000</v>
          </cell>
          <cell r="R82">
            <v>539.53488372093148</v>
          </cell>
          <cell r="S82">
            <v>47460.465116279069</v>
          </cell>
          <cell r="T82">
            <v>1860.4651162790742</v>
          </cell>
        </row>
        <row r="83">
          <cell r="B83" t="str">
            <v>FW</v>
          </cell>
          <cell r="C83" t="str">
            <v>Egypt C-130 Scathe View</v>
          </cell>
          <cell r="E83" t="str">
            <v>New</v>
          </cell>
          <cell r="F83">
            <v>0</v>
          </cell>
          <cell r="G83" t="str">
            <v>USAF</v>
          </cell>
          <cell r="H83" t="str">
            <v xml:space="preserve">Prod </v>
          </cell>
          <cell r="I83" t="str">
            <v>FFPN</v>
          </cell>
          <cell r="J83" t="str">
            <v>N</v>
          </cell>
          <cell r="K83" t="str">
            <v>Y</v>
          </cell>
          <cell r="Q83">
            <v>8000</v>
          </cell>
          <cell r="R83">
            <v>7321.4883720930229</v>
          </cell>
          <cell r="S83">
            <v>110678.51162790698</v>
          </cell>
          <cell r="T83">
            <v>25246.511627906977</v>
          </cell>
        </row>
        <row r="84">
          <cell r="B84" t="str">
            <v>FW</v>
          </cell>
          <cell r="C84" t="str">
            <v>MRA Developmental</v>
          </cell>
          <cell r="E84" t="str">
            <v>F/O - S</v>
          </cell>
          <cell r="F84">
            <v>0</v>
          </cell>
          <cell r="G84" t="str">
            <v>USAF</v>
          </cell>
          <cell r="H84" t="str">
            <v xml:space="preserve">Prod </v>
          </cell>
          <cell r="I84" t="str">
            <v>FFPN</v>
          </cell>
          <cell r="J84" t="str">
            <v>N</v>
          </cell>
          <cell r="K84" t="str">
            <v>Y</v>
          </cell>
          <cell r="Q84">
            <v>24000</v>
          </cell>
          <cell r="R84">
            <v>35069.767441860458</v>
          </cell>
          <cell r="S84">
            <v>276930.23255813954</v>
          </cell>
          <cell r="T84">
            <v>120930.23255813953</v>
          </cell>
        </row>
        <row r="85">
          <cell r="B85" t="str">
            <v>FW</v>
          </cell>
          <cell r="C85" t="str">
            <v>USCG Helo Upgrade</v>
          </cell>
          <cell r="E85" t="str">
            <v>New</v>
          </cell>
          <cell r="F85">
            <v>39270</v>
          </cell>
          <cell r="G85" t="str">
            <v>USAF</v>
          </cell>
          <cell r="H85" t="str">
            <v xml:space="preserve">Prod </v>
          </cell>
          <cell r="I85" t="str">
            <v>FFPN</v>
          </cell>
          <cell r="J85" t="str">
            <v>N</v>
          </cell>
          <cell r="K85" t="str">
            <v>Y</v>
          </cell>
          <cell r="Q85">
            <v>58000.000000000044</v>
          </cell>
          <cell r="R85">
            <v>88348.837209302306</v>
          </cell>
          <cell r="S85">
            <v>697651.16279069765</v>
          </cell>
          <cell r="T85">
            <v>304651.16279069765</v>
          </cell>
        </row>
        <row r="86">
          <cell r="B86" t="str">
            <v>FW</v>
          </cell>
          <cell r="C86" t="str">
            <v>CBP Helo</v>
          </cell>
          <cell r="E86" t="str">
            <v>New</v>
          </cell>
          <cell r="F86">
            <v>0</v>
          </cell>
          <cell r="G86" t="str">
            <v>USAF</v>
          </cell>
          <cell r="H86" t="str">
            <v xml:space="preserve">Prod </v>
          </cell>
          <cell r="I86" t="str">
            <v>FFPN</v>
          </cell>
          <cell r="J86" t="str">
            <v>N</v>
          </cell>
          <cell r="K86" t="str">
            <v>Y</v>
          </cell>
          <cell r="Q86">
            <v>36000.00000000008</v>
          </cell>
          <cell r="R86">
            <v>51930.23255813952</v>
          </cell>
          <cell r="S86">
            <v>410069.7674418604</v>
          </cell>
          <cell r="T86">
            <v>179069.76744186043</v>
          </cell>
        </row>
        <row r="87">
          <cell r="B87" t="str">
            <v>FW</v>
          </cell>
          <cell r="C87" t="str">
            <v>Unidentified ASE Integration</v>
          </cell>
          <cell r="E87" t="str">
            <v>New</v>
          </cell>
          <cell r="F87">
            <v>39423</v>
          </cell>
          <cell r="G87" t="str">
            <v>USAF</v>
          </cell>
          <cell r="H87" t="str">
            <v xml:space="preserve">Prod </v>
          </cell>
          <cell r="I87" t="str">
            <v>FFPN</v>
          </cell>
          <cell r="J87" t="str">
            <v>N</v>
          </cell>
          <cell r="K87" t="str">
            <v>Y</v>
          </cell>
          <cell r="Q87">
            <v>55999.999999999942</v>
          </cell>
          <cell r="R87">
            <v>52874.418604651175</v>
          </cell>
          <cell r="S87">
            <v>731125.58139534888</v>
          </cell>
          <cell r="T87">
            <v>182325.58139534888</v>
          </cell>
        </row>
        <row r="88">
          <cell r="B88" t="str">
            <v>FW</v>
          </cell>
          <cell r="C88" t="str">
            <v>AFSOC</v>
          </cell>
          <cell r="E88" t="str">
            <v>New</v>
          </cell>
          <cell r="F88">
            <v>0</v>
          </cell>
          <cell r="G88" t="str">
            <v>USAF</v>
          </cell>
          <cell r="H88" t="str">
            <v xml:space="preserve">Prod </v>
          </cell>
          <cell r="I88" t="str">
            <v>FFPN</v>
          </cell>
          <cell r="J88" t="str">
            <v>N</v>
          </cell>
          <cell r="K88" t="str">
            <v>Y</v>
          </cell>
          <cell r="Q88">
            <v>209000.00000000009</v>
          </cell>
          <cell r="R88">
            <v>214813.11627906971</v>
          </cell>
          <cell r="S88">
            <v>2579186.8837209302</v>
          </cell>
          <cell r="T88">
            <v>740734.88372093008</v>
          </cell>
        </row>
        <row r="89">
          <cell r="B89" t="str">
            <v>FW</v>
          </cell>
          <cell r="C89" t="str">
            <v>Iraq</v>
          </cell>
          <cell r="E89" t="str">
            <v>New</v>
          </cell>
          <cell r="F89">
            <v>0</v>
          </cell>
          <cell r="G89" t="str">
            <v>USAF</v>
          </cell>
          <cell r="H89" t="str">
            <v xml:space="preserve">Prod </v>
          </cell>
          <cell r="I89" t="str">
            <v>FFPN</v>
          </cell>
          <cell r="J89" t="str">
            <v>N</v>
          </cell>
          <cell r="K89" t="str">
            <v>Y</v>
          </cell>
          <cell r="Q89">
            <v>170000.00000000003</v>
          </cell>
          <cell r="R89">
            <v>171450.69767441854</v>
          </cell>
          <cell r="S89">
            <v>2058549.3023255814</v>
          </cell>
          <cell r="T89">
            <v>591209.3023255812</v>
          </cell>
        </row>
        <row r="90">
          <cell r="B90" t="str">
            <v>FW</v>
          </cell>
          <cell r="C90" t="str">
            <v>CNPTO</v>
          </cell>
          <cell r="E90" t="str">
            <v>New</v>
          </cell>
          <cell r="F90">
            <v>0</v>
          </cell>
          <cell r="G90" t="str">
            <v>USAF</v>
          </cell>
          <cell r="H90" t="str">
            <v xml:space="preserve">Prod </v>
          </cell>
          <cell r="I90" t="str">
            <v>FFPN</v>
          </cell>
          <cell r="J90" t="str">
            <v>N</v>
          </cell>
          <cell r="K90" t="str">
            <v>Y</v>
          </cell>
          <cell r="Q90">
            <v>89999.999999999942</v>
          </cell>
          <cell r="R90">
            <v>137581.39534883719</v>
          </cell>
          <cell r="S90">
            <v>1086418.6046511629</v>
          </cell>
          <cell r="T90">
            <v>474418.60465116275</v>
          </cell>
        </row>
        <row r="91">
          <cell r="B91" t="str">
            <v>Clwt</v>
          </cell>
          <cell r="C91" t="str">
            <v>CHALLENGE</v>
          </cell>
        </row>
        <row r="92">
          <cell r="B92" t="str">
            <v>FW</v>
          </cell>
          <cell r="C92" t="str">
            <v>CHALLENGE</v>
          </cell>
        </row>
        <row r="94">
          <cell r="B94" t="str">
            <v>Subtotal Programs</v>
          </cell>
          <cell r="Q94">
            <v>14642450.000000004</v>
          </cell>
          <cell r="R94">
            <v>11675884.906976739</v>
          </cell>
          <cell r="S94">
            <v>131015665.09302329</v>
          </cell>
          <cell r="T94">
            <v>40261672.093023241</v>
          </cell>
        </row>
        <row r="97">
          <cell r="B97" t="str">
            <v>ID</v>
          </cell>
        </row>
        <row r="99">
          <cell r="B99" t="str">
            <v>B&amp;P</v>
          </cell>
        </row>
        <row r="101">
          <cell r="B101" t="str">
            <v>Capital</v>
          </cell>
        </row>
        <row r="103">
          <cell r="B103" t="str">
            <v>Selling - Allowable</v>
          </cell>
        </row>
        <row r="104">
          <cell r="B104" t="str">
            <v>Selling - Unallowable</v>
          </cell>
        </row>
        <row r="105">
          <cell r="B105" t="str">
            <v>Total FY06 Affordability</v>
          </cell>
          <cell r="Q105">
            <v>14642450.000000004</v>
          </cell>
          <cell r="R105">
            <v>11675884.906976739</v>
          </cell>
          <cell r="S105">
            <v>131015665.09302329</v>
          </cell>
          <cell r="T105">
            <v>40261672.093023241</v>
          </cell>
        </row>
        <row r="107">
          <cell r="B107" t="str">
            <v>\\Fl02s-g\isd-share\OPS\Affordability\2007.01\[Affordability Look 06b1.xls]Summary for Re-Plan (2)</v>
          </cell>
        </row>
        <row r="108">
          <cell r="B108" t="str">
            <v>Sources</v>
          </cell>
        </row>
        <row r="109">
          <cell r="T109" t="str">
            <v>Hyperion</v>
          </cell>
        </row>
        <row r="110">
          <cell r="B110" t="str">
            <v>I:\DEPT8900\Strat Plan\FY08\[FY08-Affordability-Rev0.xls]Database</v>
          </cell>
        </row>
        <row r="113">
          <cell r="Q113">
            <v>14550450</v>
          </cell>
          <cell r="R113">
            <v>11696567.07751938</v>
          </cell>
        </row>
        <row r="114">
          <cell r="Q114">
            <v>-92000.000000003725</v>
          </cell>
          <cell r="R114">
            <v>20682.170542640612</v>
          </cell>
        </row>
        <row r="116">
          <cell r="Q116">
            <v>21004000</v>
          </cell>
        </row>
        <row r="117">
          <cell r="Q117">
            <v>-6453550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中资产"/>
      <sheetName val="调整表"/>
    </sheetNames>
    <sheetDataSet>
      <sheetData sheetId="0">
        <row r="6">
          <cell r="G6" t="str">
            <v>流动负债：</v>
          </cell>
        </row>
        <row r="7">
          <cell r="G7" t="str">
            <v xml:space="preserve">  短期借款</v>
          </cell>
        </row>
        <row r="8">
          <cell r="G8" t="str">
            <v xml:space="preserve">  应付票据</v>
          </cell>
        </row>
        <row r="9">
          <cell r="G9" t="str">
            <v xml:space="preserve">  应付帐款</v>
          </cell>
        </row>
        <row r="10">
          <cell r="G10" t="str">
            <v xml:space="preserve">  预收帐款</v>
          </cell>
        </row>
        <row r="11">
          <cell r="G11" t="str">
            <v xml:space="preserve">  其他应付款</v>
          </cell>
        </row>
        <row r="12">
          <cell r="G12" t="str">
            <v xml:space="preserve">  应付工资</v>
          </cell>
        </row>
        <row r="13">
          <cell r="G13" t="str">
            <v xml:space="preserve">  应付福利费</v>
          </cell>
        </row>
        <row r="14">
          <cell r="G14" t="str">
            <v xml:space="preserve">  未交税金</v>
          </cell>
        </row>
        <row r="15">
          <cell r="G15" t="str">
            <v xml:space="preserve">  未付利润</v>
          </cell>
        </row>
        <row r="16">
          <cell r="G16" t="str">
            <v xml:space="preserve">  其他未交款</v>
          </cell>
        </row>
        <row r="17">
          <cell r="G17" t="str">
            <v xml:space="preserve">  预提费用</v>
          </cell>
        </row>
        <row r="18">
          <cell r="G18" t="str">
            <v xml:space="preserve">  待扣税金</v>
          </cell>
        </row>
        <row r="19">
          <cell r="G19" t="str">
            <v xml:space="preserve">  一年内到期的长期负债</v>
          </cell>
        </row>
        <row r="20">
          <cell r="G20" t="str">
            <v xml:space="preserve">  其他流动负债</v>
          </cell>
        </row>
        <row r="21">
          <cell r="G21" t="str">
            <v>流动负债合计</v>
          </cell>
        </row>
        <row r="22">
          <cell r="G22" t="str">
            <v>长期负债：</v>
          </cell>
        </row>
        <row r="23">
          <cell r="G23" t="str">
            <v xml:space="preserve">  长期借款</v>
          </cell>
        </row>
        <row r="24">
          <cell r="G24" t="str">
            <v xml:space="preserve">  应付债券</v>
          </cell>
        </row>
        <row r="25">
          <cell r="G25" t="str">
            <v xml:space="preserve">  长期应付款</v>
          </cell>
        </row>
        <row r="26">
          <cell r="G26" t="str">
            <v xml:space="preserve">  其他长期负债</v>
          </cell>
        </row>
        <row r="27">
          <cell r="G27" t="str">
            <v>长期负债合计</v>
          </cell>
        </row>
        <row r="28">
          <cell r="G28" t="str">
            <v>负债合计</v>
          </cell>
        </row>
        <row r="29">
          <cell r="G29" t="str">
            <v>所有者权益：</v>
          </cell>
        </row>
        <row r="30">
          <cell r="G30" t="str">
            <v xml:space="preserve">  实收资本</v>
          </cell>
        </row>
        <row r="31">
          <cell r="G31" t="str">
            <v xml:space="preserve">  资本公积</v>
          </cell>
        </row>
        <row r="32">
          <cell r="G32" t="str">
            <v xml:space="preserve">  盈余公积</v>
          </cell>
        </row>
        <row r="33">
          <cell r="G33" t="str">
            <v xml:space="preserve">  未分配利润</v>
          </cell>
        </row>
        <row r="34">
          <cell r="G34" t="str">
            <v>所有者权益合计</v>
          </cell>
        </row>
        <row r="37">
          <cell r="G37" t="str">
            <v>负债及所有者权益总计</v>
          </cell>
        </row>
      </sheetData>
      <sheetData sheetId="1"/>
    </sheetDataSet>
  </externalBook>
</externalLink>
</file>

<file path=xl/persons/person.xml><?xml version="1.0" encoding="utf-8"?>
<personList xmlns="http://schemas.microsoft.com/office/spreadsheetml/2018/threadedcomments" xmlns:x="http://schemas.openxmlformats.org/spreadsheetml/2006/main">
  <person displayName="Jeremy Carter" id="{3E1EEAC4-3DC3-457E-B4C7-C7150D4DFEBF}" userId="Jeremy Carter" providerId="None"/>
  <person displayName="jeremy_john_carter@yahoo.com" id="{0060D17A-9843-4A2E-92F0-E2F4E493EB70}" userId="e19f68d426734b17" providerId="Windows Live"/>
  <person displayName="Jeremy Carter" id="{12BEC936-ED1B-466C-A939-929EC3CD2C84}" userId="S::jeremy.carter@mxdprocess.com::2bf84a45-aaec-46b3-8bad-fdd9b58d2fb6"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 Gallisdorfer" refreshedDate="45030.595939699073" createdVersion="6" refreshedVersion="8" minRefreshableVersion="3" recordCount="60" xr:uid="{B34E208C-B971-4ABC-8940-D5491417DC6B}">
  <cacheSource type="worksheet">
    <worksheetSource name="PaymentSchedule3"/>
  </cacheSource>
  <cacheFields count="12">
    <cacheField name="Payment Number" numFmtId="1">
      <sharedItems containsMixedTypes="1" containsNumber="1" containsInteger="1" minValue="1" maxValue="48"/>
    </cacheField>
    <cacheField name="Payment_x000a_Date" numFmtId="14">
      <sharedItems containsDate="1" containsMixedTypes="1" minDate="2020-06-22T00:00:00" maxDate="2024-05-23T00:00:00"/>
    </cacheField>
    <cacheField name="Beginning_x000a_Balance" numFmtId="176">
      <sharedItems containsMixedTypes="1" containsNumber="1" minValue="1430.7244960061678" maxValue="64527.86"/>
    </cacheField>
    <cacheField name="Scheduled Payment" numFmtId="176">
      <sharedItems containsMixedTypes="1" containsNumber="1" minValue="1434.5636067371058" maxValue="1434.5636067371058"/>
    </cacheField>
    <cacheField name="Extra_x000a_Payment" numFmtId="176">
      <sharedItems containsMixedTypes="1" containsNumber="1" containsInteger="1" minValue="0" maxValue="0"/>
    </cacheField>
    <cacheField name="Total_x000a_Payment" numFmtId="176">
      <sharedItems containsMixedTypes="1" containsNumber="1" minValue="1430.7244960061678" maxValue="1434.5636067371058"/>
    </cacheField>
    <cacheField name="Principal" numFmtId="176">
      <sharedItems containsMixedTypes="1" containsNumber="1" minValue="1261.4138490704393" maxValue="1426.8956593203131"/>
    </cacheField>
    <cacheField name="Interest" numFmtId="176">
      <sharedItems containsMixedTypes="1" containsNumber="1" minValue="3.8391107309498831" maxValue="173.14975766666666"/>
    </cacheField>
    <cacheField name="Ending_x000a_Balance" numFmtId="176">
      <sharedItems containsMixedTypes="1" containsNumber="1" minValue="0" maxValue="63266.446150929558"/>
    </cacheField>
    <cacheField name="Cumulative_x000a_Interest" numFmtId="176">
      <sharedItems containsMixedTypes="1" containsNumber="1" minValue="173.14975766666666" maxValue="4331.193123381081"/>
    </cacheField>
    <cacheField name="Year" numFmtId="0">
      <sharedItems containsMixedTypes="1" containsNumber="1" containsInteger="1" minValue="2020" maxValue="2024" count="6">
        <n v="2020"/>
        <n v="2021"/>
        <n v="2022"/>
        <n v="2023"/>
        <n v="2024"/>
        <e v="#VALUE!"/>
      </sharedItems>
    </cacheField>
    <cacheField name="Month" numFmtId="0">
      <sharedItems containsMixedTypes="1" containsNumber="1" containsInteger="1" minValue="1" maxValue="12" count="13">
        <n v="6"/>
        <n v="7"/>
        <n v="8"/>
        <n v="9"/>
        <n v="10"/>
        <n v="11"/>
        <n v="12"/>
        <n v="1"/>
        <n v="2"/>
        <n v="3"/>
        <n v="4"/>
        <n v="5"/>
        <e v="#VALU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n v="1"/>
    <d v="2020-06-22T00:00:00"/>
    <n v="64527.86"/>
    <n v="1434.5636067371058"/>
    <n v="0"/>
    <n v="1434.5636067371058"/>
    <n v="1261.4138490704393"/>
    <n v="173.14975766666666"/>
    <n v="63266.446150929558"/>
    <n v="173.14975766666666"/>
    <x v="0"/>
    <x v="0"/>
  </r>
  <r>
    <n v="2"/>
    <d v="2020-07-22T00:00:00"/>
    <n v="63266.446150929558"/>
    <n v="1434.5636067371058"/>
    <n v="0"/>
    <n v="1434.5636067371058"/>
    <n v="1264.7986428987781"/>
    <n v="169.76496383832765"/>
    <n v="62001.647508030779"/>
    <n v="342.9147215049943"/>
    <x v="0"/>
    <x v="1"/>
  </r>
  <r>
    <n v="3"/>
    <d v="2020-08-22T00:00:00"/>
    <n v="62001.647508030779"/>
    <n v="1434.5636067371058"/>
    <n v="0"/>
    <n v="1434.5636067371058"/>
    <n v="1268.1925192572232"/>
    <n v="166.37108747988259"/>
    <n v="60733.454988773556"/>
    <n v="509.28580898487689"/>
    <x v="0"/>
    <x v="2"/>
  </r>
  <r>
    <n v="4"/>
    <d v="2020-09-22T00:00:00"/>
    <n v="60733.454988773556"/>
    <n v="1434.5636067371058"/>
    <n v="0"/>
    <n v="1434.5636067371058"/>
    <n v="1271.5955025172302"/>
    <n v="162.9681042198757"/>
    <n v="59461.859486256326"/>
    <n v="672.25391320475262"/>
    <x v="0"/>
    <x v="3"/>
  </r>
  <r>
    <n v="5"/>
    <d v="2020-10-22T00:00:00"/>
    <n v="59461.859486256326"/>
    <n v="1434.5636067371058"/>
    <n v="0"/>
    <n v="1434.5636067371058"/>
    <n v="1275.0076171156513"/>
    <n v="159.55598962145447"/>
    <n v="58186.851869140672"/>
    <n v="831.80990282620712"/>
    <x v="0"/>
    <x v="4"/>
  </r>
  <r>
    <n v="6"/>
    <d v="2020-11-22T00:00:00"/>
    <n v="58186.851869140672"/>
    <n v="1434.5636067371058"/>
    <n v="0"/>
    <n v="1434.5636067371058"/>
    <n v="1278.4288875549116"/>
    <n v="156.13471918219412"/>
    <n v="56908.422981585762"/>
    <n v="987.94462200840121"/>
    <x v="0"/>
    <x v="5"/>
  </r>
  <r>
    <n v="7"/>
    <d v="2020-12-22T00:00:00"/>
    <n v="56908.422981585762"/>
    <n v="1434.5636067371058"/>
    <n v="0"/>
    <n v="1434.5636067371058"/>
    <n v="1281.859338403184"/>
    <n v="152.70426833392179"/>
    <n v="55626.563643182577"/>
    <n v="1140.6488903423231"/>
    <x v="0"/>
    <x v="6"/>
  </r>
  <r>
    <n v="8"/>
    <d v="2021-01-22T00:00:00"/>
    <n v="55626.563643182577"/>
    <n v="1434.5636067371058"/>
    <n v="0"/>
    <n v="1434.5636067371058"/>
    <n v="1285.298994294566"/>
    <n v="149.26461244253991"/>
    <n v="54341.264648888013"/>
    <n v="1289.9135027848629"/>
    <x v="1"/>
    <x v="7"/>
  </r>
  <r>
    <n v="9"/>
    <d v="2021-02-22T00:00:00"/>
    <n v="54341.264648888013"/>
    <n v="1434.5636067371058"/>
    <n v="0"/>
    <n v="1434.5636067371058"/>
    <n v="1288.7478799292562"/>
    <n v="145.8157268078495"/>
    <n v="53052.516768958754"/>
    <n v="1435.7292295927123"/>
    <x v="1"/>
    <x v="8"/>
  </r>
  <r>
    <n v="10"/>
    <d v="2021-03-22T00:00:00"/>
    <n v="53052.516768958754"/>
    <n v="1434.5636067371058"/>
    <n v="0"/>
    <n v="1434.5636067371058"/>
    <n v="1292.2060200737333"/>
    <n v="142.35758666337264"/>
    <n v="51760.310748885022"/>
    <n v="1578.0868162560848"/>
    <x v="1"/>
    <x v="9"/>
  </r>
  <r>
    <n v="11"/>
    <d v="2021-04-22T00:00:00"/>
    <n v="51760.310748885022"/>
    <n v="1434.5636067371058"/>
    <n v="0"/>
    <n v="1434.5636067371058"/>
    <n v="1295.673439560931"/>
    <n v="138.8901671761748"/>
    <n v="50464.637309324091"/>
    <n v="1716.9769834322597"/>
    <x v="1"/>
    <x v="10"/>
  </r>
  <r>
    <n v="12"/>
    <d v="2021-05-22T00:00:00"/>
    <n v="50464.637309324091"/>
    <n v="1434.5636067371058"/>
    <n v="0"/>
    <n v="1434.5636067371058"/>
    <n v="1299.1501632904196"/>
    <n v="135.4134434466863"/>
    <n v="49165.487146033673"/>
    <n v="1852.3904268789461"/>
    <x v="1"/>
    <x v="11"/>
  </r>
  <r>
    <n v="13"/>
    <d v="2021-06-22T00:00:00"/>
    <n v="49165.487146033673"/>
    <n v="1434.5636067371058"/>
    <n v="0"/>
    <n v="1434.5636067371058"/>
    <n v="1302.6362162285823"/>
    <n v="131.92739050852367"/>
    <n v="47862.850929805092"/>
    <n v="1984.3178173874699"/>
    <x v="1"/>
    <x v="0"/>
  </r>
  <r>
    <n v="14"/>
    <d v="2021-07-22T00:00:00"/>
    <n v="47862.850929805092"/>
    <n v="1434.5636067371058"/>
    <n v="0"/>
    <n v="1434.5636067371058"/>
    <n v="1306.1316234087956"/>
    <n v="128.43198332831031"/>
    <n v="46556.719306396299"/>
    <n v="2112.7498007157801"/>
    <x v="1"/>
    <x v="1"/>
  </r>
  <r>
    <n v="15"/>
    <d v="2021-08-22T00:00:00"/>
    <n v="46556.719306396299"/>
    <n v="1434.5636067371058"/>
    <n v="0"/>
    <n v="1434.5636067371058"/>
    <n v="1309.636409931609"/>
    <n v="124.92719680549672"/>
    <n v="45247.082896464686"/>
    <n v="2237.6769975212769"/>
    <x v="1"/>
    <x v="2"/>
  </r>
  <r>
    <n v="16"/>
    <d v="2021-09-22T00:00:00"/>
    <n v="45247.082896464686"/>
    <n v="1434.5636067371058"/>
    <n v="0"/>
    <n v="1434.5636067371058"/>
    <n v="1313.1506009649256"/>
    <n v="121.41300577218023"/>
    <n v="43933.932295499762"/>
    <n v="2359.0900032934574"/>
    <x v="1"/>
    <x v="3"/>
  </r>
  <r>
    <n v="17"/>
    <d v="2021-10-22T00:00:00"/>
    <n v="43933.932295499762"/>
    <n v="1434.5636067371058"/>
    <n v="0"/>
    <n v="1434.5636067371058"/>
    <n v="1316.6742217441815"/>
    <n v="117.88938499292435"/>
    <n v="42617.258073755584"/>
    <n v="2476.9793882863819"/>
    <x v="1"/>
    <x v="4"/>
  </r>
  <r>
    <n v="18"/>
    <d v="2021-11-22T00:00:00"/>
    <n v="42617.258073755584"/>
    <n v="1434.5636067371058"/>
    <n v="0"/>
    <n v="1434.5636067371058"/>
    <n v="1320.2072975725284"/>
    <n v="114.35630916457747"/>
    <n v="41297.050776183052"/>
    <n v="2591.3356974509593"/>
    <x v="1"/>
    <x v="5"/>
  </r>
  <r>
    <n v="19"/>
    <d v="2021-12-22T00:00:00"/>
    <n v="41297.050776183052"/>
    <n v="1434.5636067371058"/>
    <n v="0"/>
    <n v="1434.5636067371058"/>
    <n v="1323.7498538210148"/>
    <n v="110.81375291609118"/>
    <n v="39973.300922362039"/>
    <n v="2702.1494503670506"/>
    <x v="1"/>
    <x v="6"/>
  </r>
  <r>
    <n v="20"/>
    <d v="2022-01-22T00:00:00"/>
    <n v="39973.300922362039"/>
    <n v="1434.5636067371058"/>
    <n v="0"/>
    <n v="1434.5636067371058"/>
    <n v="1327.3019159287678"/>
    <n v="107.26169080833813"/>
    <n v="38645.999006433274"/>
    <n v="2809.4111411753888"/>
    <x v="2"/>
    <x v="7"/>
  </r>
  <r>
    <n v="21"/>
    <d v="2022-02-22T00:00:00"/>
    <n v="38645.999006433274"/>
    <n v="1434.5636067371058"/>
    <n v="0"/>
    <n v="1434.5636067371058"/>
    <n v="1330.8635094031765"/>
    <n v="103.70009733392928"/>
    <n v="37315.135497030096"/>
    <n v="2913.1112385093179"/>
    <x v="2"/>
    <x v="8"/>
  </r>
  <r>
    <n v="22"/>
    <d v="2022-03-22T00:00:00"/>
    <n v="37315.135497030096"/>
    <n v="1434.5636067371058"/>
    <n v="0"/>
    <n v="1434.5636067371058"/>
    <n v="1334.434659820075"/>
    <n v="100.12894691703075"/>
    <n v="35980.700837210024"/>
    <n v="3013.2401854263485"/>
    <x v="2"/>
    <x v="9"/>
  </r>
  <r>
    <n v="23"/>
    <d v="2022-04-22T00:00:00"/>
    <n v="35980.700837210024"/>
    <n v="1434.5636067371058"/>
    <n v="0"/>
    <n v="1434.5636067371058"/>
    <n v="1338.0153928239256"/>
    <n v="96.54821391318022"/>
    <n v="34642.685444386101"/>
    <n v="3109.7883993395285"/>
    <x v="2"/>
    <x v="10"/>
  </r>
  <r>
    <n v="24"/>
    <d v="2022-05-22T00:00:00"/>
    <n v="34642.685444386101"/>
    <n v="1434.5636067371058"/>
    <n v="0"/>
    <n v="1434.5636067371058"/>
    <n v="1341.6057341280032"/>
    <n v="92.957872609102694"/>
    <n v="33301.079710258098"/>
    <n v="3202.7462719486311"/>
    <x v="2"/>
    <x v="11"/>
  </r>
  <r>
    <n v="25"/>
    <d v="2022-06-22T00:00:00"/>
    <n v="33301.079710258098"/>
    <n v="1434.5636067371058"/>
    <n v="0"/>
    <n v="1434.5636067371058"/>
    <n v="1345.2057095145799"/>
    <n v="89.357897222525892"/>
    <n v="31955.874000743519"/>
    <n v="3292.1041691711571"/>
    <x v="2"/>
    <x v="0"/>
  </r>
  <r>
    <n v="26"/>
    <d v="2022-07-22T00:00:00"/>
    <n v="31955.874000743519"/>
    <n v="1434.5636067371058"/>
    <n v="0"/>
    <n v="1434.5636067371058"/>
    <n v="1348.8153448351106"/>
    <n v="85.748261901995107"/>
    <n v="30607.058655908408"/>
    <n v="3377.8524310731523"/>
    <x v="2"/>
    <x v="1"/>
  </r>
  <r>
    <n v="27"/>
    <d v="2022-08-22T00:00:00"/>
    <n v="30607.058655908408"/>
    <n v="1434.5636067371058"/>
    <n v="0"/>
    <n v="1434.5636067371058"/>
    <n v="1352.4346660104184"/>
    <n v="82.12894072668756"/>
    <n v="29254.623989897991"/>
    <n v="3459.98137179984"/>
    <x v="2"/>
    <x v="2"/>
  </r>
  <r>
    <n v="28"/>
    <d v="2022-09-22T00:00:00"/>
    <n v="29254.623989897991"/>
    <n v="1434.5636067371058"/>
    <n v="0"/>
    <n v="1434.5636067371058"/>
    <n v="1356.0636990308797"/>
    <n v="78.499907706226267"/>
    <n v="27898.56029086711"/>
    <n v="3538.4812795060661"/>
    <x v="2"/>
    <x v="3"/>
  </r>
  <r>
    <n v="29"/>
    <d v="2022-10-22T00:00:00"/>
    <n v="27898.56029086711"/>
    <n v="1434.5636067371058"/>
    <n v="0"/>
    <n v="1434.5636067371058"/>
    <n v="1359.7024699566125"/>
    <n v="74.86113678049341"/>
    <n v="26538.857820910496"/>
    <n v="3613.3424162865595"/>
    <x v="2"/>
    <x v="4"/>
  </r>
  <r>
    <n v="30"/>
    <d v="2022-11-22T00:00:00"/>
    <n v="26538.857820910496"/>
    <n v="1434.5636067371058"/>
    <n v="0"/>
    <n v="1434.5636067371058"/>
    <n v="1363.3510049176627"/>
    <n v="71.212601819443165"/>
    <n v="25175.506815992834"/>
    <n v="3684.5550181060025"/>
    <x v="2"/>
    <x v="5"/>
  </r>
  <r>
    <n v="31"/>
    <d v="2022-12-22T00:00:00"/>
    <n v="25175.506815992834"/>
    <n v="1434.5636067371058"/>
    <n v="0"/>
    <n v="1434.5636067371058"/>
    <n v="1367.0093301141917"/>
    <n v="67.554276622914102"/>
    <n v="23808.497485878641"/>
    <n v="3752.1092947289167"/>
    <x v="2"/>
    <x v="6"/>
  </r>
  <r>
    <n v="32"/>
    <d v="2023-01-22T00:00:00"/>
    <n v="23808.497485878641"/>
    <n v="1434.5636067371058"/>
    <n v="0"/>
    <n v="1434.5636067371058"/>
    <n v="1370.6774718166648"/>
    <n v="63.886134920441016"/>
    <n v="22437.820014061977"/>
    <n v="3815.9954296493579"/>
    <x v="3"/>
    <x v="7"/>
  </r>
  <r>
    <n v="33"/>
    <d v="2023-02-22T00:00:00"/>
    <n v="22437.820014061977"/>
    <n v="1434.5636067371058"/>
    <n v="0"/>
    <n v="1434.5636067371058"/>
    <n v="1374.3554563660396"/>
    <n v="60.208150371066303"/>
    <n v="21063.464557695937"/>
    <n v="3876.2035800204244"/>
    <x v="3"/>
    <x v="8"/>
  </r>
  <r>
    <n v="34"/>
    <d v="2023-03-22T00:00:00"/>
    <n v="21063.464557695937"/>
    <n v="1434.5636067371058"/>
    <n v="0"/>
    <n v="1434.5636067371058"/>
    <n v="1378.043310173955"/>
    <n v="56.520296563150758"/>
    <n v="19685.421247521983"/>
    <n v="3932.723876583575"/>
    <x v="3"/>
    <x v="9"/>
  </r>
  <r>
    <n v="35"/>
    <d v="2023-04-22T00:00:00"/>
    <n v="19685.421247521983"/>
    <n v="1434.5636067371058"/>
    <n v="0"/>
    <n v="1434.5636067371058"/>
    <n v="1381.7410597229218"/>
    <n v="52.822547014183982"/>
    <n v="18303.680187799062"/>
    <n v="3985.5464235977588"/>
    <x v="3"/>
    <x v="10"/>
  </r>
  <r>
    <n v="36"/>
    <d v="2023-05-22T00:00:00"/>
    <n v="18303.680187799062"/>
    <n v="1434.5636067371058"/>
    <n v="0"/>
    <n v="1434.5636067371058"/>
    <n v="1385.4487315665117"/>
    <n v="49.114875170594146"/>
    <n v="16918.231456232552"/>
    <n v="4034.6612987683529"/>
    <x v="3"/>
    <x v="11"/>
  </r>
  <r>
    <n v="37"/>
    <d v="2023-06-22T00:00:00"/>
    <n v="16918.231456232552"/>
    <n v="1434.5636067371058"/>
    <n v="0"/>
    <n v="1434.5636067371058"/>
    <n v="1389.1663523295485"/>
    <n v="45.397254407557341"/>
    <n v="15529.065103903004"/>
    <n v="4080.0585531759102"/>
    <x v="3"/>
    <x v="0"/>
  </r>
  <r>
    <n v="38"/>
    <d v="2023-07-22T00:00:00"/>
    <n v="15529.065103903004"/>
    <n v="1434.5636067371058"/>
    <n v="0"/>
    <n v="1434.5636067371058"/>
    <n v="1392.8939487082994"/>
    <n v="41.669658028806388"/>
    <n v="14136.171155194705"/>
    <n v="4121.7282112047169"/>
    <x v="3"/>
    <x v="1"/>
  </r>
  <r>
    <n v="39"/>
    <d v="2023-08-22T00:00:00"/>
    <n v="14136.171155194705"/>
    <n v="1434.5636067371058"/>
    <n v="0"/>
    <n v="1434.5636067371058"/>
    <n v="1396.6315474706666"/>
    <n v="37.932059266439119"/>
    <n v="12739.539607724038"/>
    <n v="4159.6602704711559"/>
    <x v="3"/>
    <x v="2"/>
  </r>
  <r>
    <n v="40"/>
    <d v="2023-09-22T00:00:00"/>
    <n v="12739.539607724038"/>
    <n v="1434.5636067371058"/>
    <n v="0"/>
    <n v="1434.5636067371058"/>
    <n v="1400.3791754563797"/>
    <n v="34.184431280726166"/>
    <n v="11339.160432267659"/>
    <n v="4193.844701751882"/>
    <x v="3"/>
    <x v="3"/>
  </r>
  <r>
    <n v="41"/>
    <d v="2023-10-22T00:00:00"/>
    <n v="11339.160432267659"/>
    <n v="1434.5636067371058"/>
    <n v="0"/>
    <n v="1434.5636067371058"/>
    <n v="1404.1368595771876"/>
    <n v="30.426747159918218"/>
    <n v="9935.0235726904721"/>
    <n v="4224.2714489117998"/>
    <x v="3"/>
    <x v="4"/>
  </r>
  <r>
    <n v="42"/>
    <d v="2023-11-22T00:00:00"/>
    <n v="9935.0235726904721"/>
    <n v="1434.5636067371058"/>
    <n v="0"/>
    <n v="1434.5636067371058"/>
    <n v="1407.904626817053"/>
    <n v="26.658979920052765"/>
    <n v="8527.1189458734189"/>
    <n v="4250.9304288318526"/>
    <x v="3"/>
    <x v="5"/>
  </r>
  <r>
    <n v="43"/>
    <d v="2023-12-22T00:00:00"/>
    <n v="8527.1189458734189"/>
    <n v="1434.5636067371058"/>
    <n v="0"/>
    <n v="1434.5636067371058"/>
    <n v="1411.6825042323455"/>
    <n v="22.881102504760339"/>
    <n v="7115.4364416410735"/>
    <n v="4273.8115313366134"/>
    <x v="3"/>
    <x v="6"/>
  </r>
  <r>
    <n v="44"/>
    <d v="2024-01-22T00:00:00"/>
    <n v="7115.4364416410735"/>
    <n v="1434.5636067371058"/>
    <n v="0"/>
    <n v="1434.5636067371058"/>
    <n v="1415.4705189520357"/>
    <n v="19.093087785070214"/>
    <n v="5699.9659226890381"/>
    <n v="4292.9046191216839"/>
    <x v="4"/>
    <x v="7"/>
  </r>
  <r>
    <n v="45"/>
    <d v="2024-02-22T00:00:00"/>
    <n v="5699.9659226890381"/>
    <n v="1434.5636067371058"/>
    <n v="0"/>
    <n v="1434.5636067371058"/>
    <n v="1419.2686981778902"/>
    <n v="15.294908559215584"/>
    <n v="4280.6972245111483"/>
    <n v="4308.1995276808993"/>
    <x v="4"/>
    <x v="8"/>
  </r>
  <r>
    <n v="46"/>
    <d v="2024-03-22T00:00:00"/>
    <n v="4280.6972245111483"/>
    <n v="1434.5636067371058"/>
    <n v="0"/>
    <n v="1434.5636067371058"/>
    <n v="1423.0770691846676"/>
    <n v="11.486537552438246"/>
    <n v="2857.6201553264809"/>
    <n v="4319.686065233338"/>
    <x v="4"/>
    <x v="9"/>
  </r>
  <r>
    <n v="47"/>
    <d v="2024-04-22T00:00:00"/>
    <n v="2857.6201553264809"/>
    <n v="1434.5636067371058"/>
    <n v="0"/>
    <n v="1434.5636067371058"/>
    <n v="1426.8956593203131"/>
    <n v="7.6679474167927228"/>
    <n v="1430.7244960061678"/>
    <n v="4327.3540126501312"/>
    <x v="4"/>
    <x v="10"/>
  </r>
  <r>
    <n v="48"/>
    <d v="2024-05-22T00:00:00"/>
    <n v="1430.7244960061678"/>
    <n v="1434.5636067371058"/>
    <n v="0"/>
    <n v="1430.7244960061678"/>
    <n v="1426.8853852752179"/>
    <n v="3.8391107309498831"/>
    <n v="0"/>
    <n v="4331.193123381081"/>
    <x v="4"/>
    <x v="11"/>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r>
    <s v=""/>
    <s v=""/>
    <s v=""/>
    <s v=""/>
    <s v=""/>
    <s v=""/>
    <s v=""/>
    <s v=""/>
    <s v=""/>
    <s v=""/>
    <x v="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A575C9-7216-4720-B19C-5353754A759C}" name="PivotTable1" cacheId="15" dataOnRows="1" applyNumberFormats="0" applyBorderFormats="0" applyFontFormats="0" applyPatternFormats="0" applyAlignmentFormats="0" applyWidthHeightFormats="1" dataCaption="Values" updatedVersion="8" minRefreshableVersion="3" useAutoFormatting="1" pageOverThenDown="1" rowGrandTotals="0" colGrandTotals="0" itemPrintTitles="1" createdVersion="6" indent="0" outline="1" outlineData="1" multipleFieldFilters="0">
  <location ref="R13:AR17" firstHeaderRow="1" firstDataRow="3" firstDataCol="1"/>
  <pivotFields count="12">
    <pivotField showAll="0"/>
    <pivotField showAll="0"/>
    <pivotField showAll="0"/>
    <pivotField showAll="0"/>
    <pivotField showAll="0"/>
    <pivotField showAll="0"/>
    <pivotField dataField="1" showAll="0"/>
    <pivotField dataField="1" showAll="0"/>
    <pivotField showAll="0"/>
    <pivotField showAll="0"/>
    <pivotField axis="axisCol" multipleItemSelectionAllowed="1" showAll="0">
      <items count="7">
        <item h="1" sd="0" x="0"/>
        <item x="1"/>
        <item x="2"/>
        <item h="1" sd="0" x="3"/>
        <item h="1" sd="0" x="4"/>
        <item h="1" sd="0" x="5"/>
        <item t="default" sd="0"/>
      </items>
    </pivotField>
    <pivotField axis="axisCol" showAll="0">
      <items count="14">
        <item x="7"/>
        <item x="8"/>
        <item x="9"/>
        <item x="10"/>
        <item x="11"/>
        <item x="0"/>
        <item x="1"/>
        <item x="2"/>
        <item x="3"/>
        <item x="4"/>
        <item x="5"/>
        <item x="6"/>
        <item h="1" x="12"/>
        <item t="default"/>
      </items>
    </pivotField>
  </pivotFields>
  <rowFields count="1">
    <field x="-2"/>
  </rowFields>
  <rowItems count="2">
    <i>
      <x/>
    </i>
    <i i="1">
      <x v="1"/>
    </i>
  </rowItems>
  <colFields count="2">
    <field x="10"/>
    <field x="11"/>
  </colFields>
  <colItems count="26">
    <i>
      <x v="1"/>
      <x/>
    </i>
    <i r="1">
      <x v="1"/>
    </i>
    <i r="1">
      <x v="2"/>
    </i>
    <i r="1">
      <x v="3"/>
    </i>
    <i r="1">
      <x v="4"/>
    </i>
    <i r="1">
      <x v="5"/>
    </i>
    <i r="1">
      <x v="6"/>
    </i>
    <i r="1">
      <x v="7"/>
    </i>
    <i r="1">
      <x v="8"/>
    </i>
    <i r="1">
      <x v="9"/>
    </i>
    <i r="1">
      <x v="10"/>
    </i>
    <i r="1">
      <x v="11"/>
    </i>
    <i t="default">
      <x v="1"/>
    </i>
    <i>
      <x v="2"/>
      <x/>
    </i>
    <i r="1">
      <x v="1"/>
    </i>
    <i r="1">
      <x v="2"/>
    </i>
    <i r="1">
      <x v="3"/>
    </i>
    <i r="1">
      <x v="4"/>
    </i>
    <i r="1">
      <x v="5"/>
    </i>
    <i r="1">
      <x v="6"/>
    </i>
    <i r="1">
      <x v="7"/>
    </i>
    <i r="1">
      <x v="8"/>
    </i>
    <i r="1">
      <x v="9"/>
    </i>
    <i r="1">
      <x v="10"/>
    </i>
    <i r="1">
      <x v="11"/>
    </i>
    <i t="default">
      <x v="2"/>
    </i>
  </colItems>
  <dataFields count="2">
    <dataField name="Sum of Interest" fld="7" baseField="0" baseItem="0"/>
    <dataField name="Sum of Principal" fld="6" baseField="0" baseItem="0"/>
  </dataFields>
  <formats count="1">
    <format dxfId="14">
      <pivotArea outline="0" collapsedLevelsAreSubtotals="1"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BF16B-50D9-4D39-B166-451B08121B8C}" name="PaymentSchedule3" displayName="PaymentSchedule3" ref="B13:M73" totalsRowShown="0" headerRowDxfId="13" dataDxfId="12" headerRowCellStyle="Style 6">
  <tableColumns count="12">
    <tableColumn id="1" xr3:uid="{C2E1D843-D3FA-4AAD-AA8A-74B13652C011}" name="Payment Number" dataDxfId="11" dataCellStyle="Number">
      <calculatedColumnFormula>IF(LoanIsGood,IF(ROW()-ROW(PaymentSchedule3[[#Headers],[Payment Number]])&gt;ScheduledNumberOfPayments,"",ROW()-ROW(PaymentSchedule3[[#Headers],[Payment Number]])),"")</calculatedColumnFormula>
    </tableColumn>
    <tableColumn id="2" xr3:uid="{686D2D46-16B0-4B84-B055-7E224EAE5F62}" name="Payment_x000a_Date" dataDxfId="10" dataCellStyle="Date">
      <calculatedColumnFormula>IF(PaymentSchedule3[[#This Row],[Payment Number]]&lt;&gt;"",EOMONTH(LoanStartDate,ROW(PaymentSchedule3[[#This Row],[Payment Number]])-ROW(PaymentSchedule3[[#Headers],[Payment Number]])-2)+DAY(LoanStartDate),"")</calculatedColumnFormula>
    </tableColumn>
    <tableColumn id="3" xr3:uid="{952EB231-B346-4FE6-B652-A34E7CBD1307}" name="Beginning_x000a_Balance" dataDxfId="9" dataCellStyle="Table Amount">
      <calculatedColumnFormula>IF(PaymentSchedule3[[#This Row],[Payment Number]]&lt;&gt;"",IF(ROW()-ROW(PaymentSchedule3[[#Headers],[Beginning
Balance]])=1,LoanAmount,INDEX(PaymentSchedule3[Ending
Balance],ROW()-ROW(PaymentSchedule3[[#Headers],[Beginning
Balance]])-1)),"")</calculatedColumnFormula>
    </tableColumn>
    <tableColumn id="4" xr3:uid="{F44B8CB8-756C-4E1E-A5AD-A8192F8EC2F0}" name="Scheduled Payment" dataDxfId="8" dataCellStyle="Table Amount">
      <calculatedColumnFormula>IF(PaymentSchedule3[[#This Row],[Payment Number]]&lt;&gt;"",ScheduledPayment,"")</calculatedColumnFormula>
    </tableColumn>
    <tableColumn id="5" xr3:uid="{FBF8C1F3-90BB-4219-A515-D3775F4901EC}" name="Extra_x000a_Payment" dataDxfId="7" dataCellStyle="Table Amount">
      <calculatedColumnFormula>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calculatedColumnFormula>
    </tableColumn>
    <tableColumn id="6" xr3:uid="{CFB4C411-3372-46B5-A073-AC9C13D1C14C}" name="Total_x000a_Payment" dataDxfId="6" dataCellStyle="Table Amount">
      <calculatedColumnFormula>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calculatedColumnFormula>
    </tableColumn>
    <tableColumn id="7" xr3:uid="{C5FA195F-5A3C-43EB-83A6-B5A403976662}" name="Principal" dataDxfId="5" dataCellStyle="Table Amount">
      <calculatedColumnFormula>IF(PaymentSchedule3[[#This Row],[Payment Number]]&lt;&gt;"",PaymentSchedule3[[#This Row],[Total
Payment]]-PaymentSchedule3[[#This Row],[Interest]],"")</calculatedColumnFormula>
    </tableColumn>
    <tableColumn id="8" xr3:uid="{1E424993-C253-4237-8F78-087074FE0B58}" name="Interest" dataDxfId="4" dataCellStyle="Table Amount">
      <calculatedColumnFormula>IF(PaymentSchedule3[[#This Row],[Payment Number]]&lt;&gt;"",PaymentSchedule3[[#This Row],[Beginning
Balance]]*(InterestRate/PaymentsPerYear),"")</calculatedColumnFormula>
    </tableColumn>
    <tableColumn id="9" xr3:uid="{ED49586E-CCF8-4DEA-8C00-C6D080740879}" name="Ending_x000a_Balance" dataDxfId="3" dataCellStyle="Table Amount">
      <calculatedColumnFormula>IF(PaymentSchedule3[[#This Row],[Payment Number]]&lt;&gt;"",IF(PaymentSchedule3[[#This Row],[Scheduled Payment]]+PaymentSchedule3[[#This Row],[Extra
Payment]]&lt;=PaymentSchedule3[[#This Row],[Beginning
Balance]],PaymentSchedule3[[#This Row],[Beginning
Balance]]-PaymentSchedule3[[#This Row],[Principal]],0),"")</calculatedColumnFormula>
    </tableColumn>
    <tableColumn id="10" xr3:uid="{12A45D9B-AAE8-41AB-8710-9928B50B4E9E}" name="Cumulative_x000a_Interest" dataDxfId="2" dataCellStyle="Table Amount">
      <calculatedColumnFormula>IF(PaymentSchedule3[[#This Row],[Payment Number]]&lt;&gt;"",SUM(INDEX(PaymentSchedule3[Interest],1,1):PaymentSchedule3[[#This Row],[Interest]]),"")</calculatedColumnFormula>
    </tableColumn>
    <tableColumn id="11" xr3:uid="{5F597042-BC40-4E7F-9FB4-C07D31202535}" name="Year" dataDxfId="1" dataCellStyle="Table Amount">
      <calculatedColumnFormula>YEAR(PaymentSchedule3[[#This Row],[Payment
Date]])</calculatedColumnFormula>
    </tableColumn>
    <tableColumn id="12" xr3:uid="{6FEB5CA6-45E1-40F8-A7CA-CFF2ADE5333C}" name="Month" dataDxfId="0" dataCellStyle="Table Amount">
      <calculatedColumnFormula>MONTH(PaymentSchedule3[[#This Row],[Payment
Date]])</calculatedColumnFormula>
    </tableColumn>
  </tableColumns>
  <tableStyleInfo name="Loan Amortization Schedule" showFirstColumn="0" showLastColumn="0" showRowStripes="1" showColumnStripes="0"/>
  <extLst>
    <ext xmlns:x14="http://schemas.microsoft.com/office/spreadsheetml/2009/9/main" uri="{504A1905-F514-4f6f-8877-14C23A59335A}">
      <x14:table altTextSummary="Track payment number, payment date, beginning balance, ending balance, scheduled payment, extra payment, principal amount, interest and cumulative interest amounts"/>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126" dT="2020-09-21T20:49:37.23" personId="{3E1EEAC4-3DC3-457E-B4C7-C7150D4DFEBF}" id="{A6073A33-9ABF-4A94-B044-41395E94A8F0}">
    <text>Includes Fall Property Tax = 19713</text>
  </threadedComment>
  <threadedComment ref="G142" dT="2020-09-21T20:50:42.42" personId="{3E1EEAC4-3DC3-457E-B4C7-C7150D4DFEBF}" id="{EA1EEF94-BFE4-4B33-B4E8-3DD4EF2394B7}">
    <text>Dec thru April include signifacant capex related to the facility move</text>
  </threadedComment>
  <threadedComment ref="J142" dT="2021-01-26T16:01:28.89" personId="{3E1EEAC4-3DC3-457E-B4C7-C7150D4DFEBF}" id="{3AC8A5B7-1045-4367-8545-28C4BBED84DE}">
    <text>Burn Table</text>
  </threadedComment>
  <threadedComment ref="K142" dT="2021-01-26T16:02:10.46" personId="{3E1EEAC4-3DC3-457E-B4C7-C7150D4DFEBF}" id="{705BC33B-5B6C-40D9-A2CC-3296CD7EF839}">
    <text>Casting Investments</text>
  </threadedComment>
  <threadedComment ref="AK148" dT="2023-10-17T05:54:14.89" personId="{12BEC936-ED1B-466C-A939-929EC3CD2C84}" id="{A779A5C4-882F-472B-9387-7151CA89DD4B}">
    <text>Correcting working capital adjustment on HEC acquisition</text>
  </threadedComment>
  <threadedComment ref="F160" dT="2020-03-23T03:14:54.93" personId="{3E1EEAC4-3DC3-457E-B4C7-C7150D4DFEBF}" id="{B022169C-72DB-4876-BD81-2ECC00C3241A}">
    <text>would be better to make this a % of TTM revenue</text>
  </threadedComment>
  <threadedComment ref="AJ183" dT="2023-05-21T22:29:01.57" personId="{12BEC936-ED1B-466C-A939-929EC3CD2C84}" id="{5A182BCA-C4F0-4561-841A-7BE91B522E13}">
    <text>This is the appraised value of the fixed assets</text>
  </threadedComment>
  <threadedComment ref="L206" dT="2020-06-12T05:26:29.97" personId="{3E1EEAC4-3DC3-457E-B4C7-C7150D4DFEBF}" id="{D61E9CA9-90EA-475B-B1DF-99868A260778}">
    <text>furniture loan added to PPP until new account created</text>
  </threadedComment>
  <threadedComment ref="AK246" dT="2023-10-11T21:09:58.63" personId="{12BEC936-ED1B-466C-A939-929EC3CD2C84}" id="{007A0B66-E9E1-48A3-89E5-A05091CCB29A}">
    <text>Adjustment to account for additional working capital from heritage</text>
  </threadedComment>
</ThreadedComments>
</file>

<file path=xl/threadedComments/threadedComment2.xml><?xml version="1.0" encoding="utf-8"?>
<ThreadedComments xmlns="http://schemas.microsoft.com/office/spreadsheetml/2018/threadedcomments" xmlns:x="http://schemas.openxmlformats.org/spreadsheetml/2006/main">
  <threadedComment ref="AJ57" dT="2020-12-12T01:33:44.26" personId="{3E1EEAC4-3DC3-457E-B4C7-C7150D4DFEBF}" id="{AC39A36B-103C-4ABF-8601-A423B3606E9A}">
    <text>corrected for previously high inventory adjustment that was skewing nmbers</text>
  </threadedComment>
</ThreadedComments>
</file>

<file path=xl/threadedComments/threadedComment3.xml><?xml version="1.0" encoding="utf-8"?>
<ThreadedComments xmlns="http://schemas.microsoft.com/office/spreadsheetml/2018/threadedcomments" xmlns:x="http://schemas.openxmlformats.org/spreadsheetml/2006/main">
  <threadedComment ref="AX10" dT="2022-01-07T20:53:59.49" personId="{3E1EEAC4-3DC3-457E-B4C7-C7150D4DFEBF}" id="{ADD5398E-CEAC-4F38-83A6-0DD4EFFA9424}">
    <text>increased for inflation plus 15% for headcount increases</text>
  </threadedComment>
  <threadedComment ref="AX61" dT="2022-01-07T20:51:12.81" personId="{3E1EEAC4-3DC3-457E-B4C7-C7150D4DFEBF}" id="{E665307B-9B65-4A61-B737-0567B8351245}">
    <text>added an inflationary increase + 15% increase in employee count</text>
  </threadedComment>
</ThreadedComments>
</file>

<file path=xl/threadedComments/threadedComment4.xml><?xml version="1.0" encoding="utf-8"?>
<ThreadedComments xmlns="http://schemas.microsoft.com/office/spreadsheetml/2018/threadedcomments" xmlns:x="http://schemas.openxmlformats.org/spreadsheetml/2006/main">
  <threadedComment ref="E15" dT="2020-12-03T21:48:39.58" personId="{3E1EEAC4-3DC3-457E-B4C7-C7150D4DFEBF}" id="{022D986B-BF3D-4141-9837-027921CE49A3}">
    <text>June 2020 value assmed for 2021</text>
  </threadedComment>
  <threadedComment ref="I15" dT="2020-12-03T21:48:39.58" personId="{3E1EEAC4-3DC3-457E-B4C7-C7150D4DFEBF}" id="{5DD6D30F-3EBF-4F37-865A-37A9741B8110}">
    <text>June 2020 value assmed for 2021</text>
  </threadedComment>
  <threadedComment ref="M15" dT="2020-12-03T21:48:39.58" personId="{3E1EEAC4-3DC3-457E-B4C7-C7150D4DFEBF}" id="{B4DBD434-3254-4E35-AAB8-6009E6BD872A}">
    <text>June 2020 value assmed for 2021</text>
  </threadedComment>
  <threadedComment ref="N15" dT="2020-12-03T21:48:39.58" personId="{3E1EEAC4-3DC3-457E-B4C7-C7150D4DFEBF}" id="{B872FCA6-E5FD-4554-844C-0D83F97ABE96}">
    <text>June 2020 value assmed for 2021</text>
  </threadedComment>
  <threadedComment ref="Q15" dT="2020-12-03T21:48:39.58" personId="{3E1EEAC4-3DC3-457E-B4C7-C7150D4DFEBF}" id="{423B847E-BA79-4774-97DF-FF6DFFF1C461}">
    <text>June 2020 value assmed for 2021</text>
  </threadedComment>
  <threadedComment ref="R15" dT="2020-12-03T21:48:39.58" personId="{3E1EEAC4-3DC3-457E-B4C7-C7150D4DFEBF}" id="{4C46B91C-F62B-405B-AFEE-F7378DFD38FA}">
    <text>June 2020 value assmed for 2021</text>
  </threadedComment>
  <threadedComment ref="U15" dT="2020-12-03T21:48:39.58" personId="{3E1EEAC4-3DC3-457E-B4C7-C7150D4DFEBF}" id="{513C358D-B452-4871-90E5-D3DE4CCF64F8}">
    <text>June 2020 value assmed for 2021</text>
  </threadedComment>
  <threadedComment ref="AC15" dT="2020-12-03T21:48:39.58" personId="{3E1EEAC4-3DC3-457E-B4C7-C7150D4DFEBF}" id="{62494F53-0D86-466B-A234-ECE3258BC979}">
    <text>June 2020 value assmed for 2021</text>
  </threadedComment>
  <threadedComment ref="AD15" dT="2020-12-03T21:48:39.58" personId="{3E1EEAC4-3DC3-457E-B4C7-C7150D4DFEBF}" id="{54356F20-4C96-4038-9D7D-458270DC70BB}">
    <text>June 2020 value assmed for 2021</text>
  </threadedComment>
  <threadedComment ref="AG15" dT="2020-12-03T21:48:39.58" personId="{3E1EEAC4-3DC3-457E-B4C7-C7150D4DFEBF}" id="{F941844D-9906-402C-9E1A-3D3BF4F183FF}">
    <text>June 2020 value assmed for 2021</text>
  </threadedComment>
  <threadedComment ref="AH15" dT="2020-12-03T21:48:39.58" personId="{3E1EEAC4-3DC3-457E-B4C7-C7150D4DFEBF}" id="{2B199FBB-9BD0-4415-B153-62C2E0EF706A}">
    <text>June 2020 value assmed for 2021</text>
  </threadedComment>
  <threadedComment ref="AK15" dT="2020-12-03T21:48:39.58" personId="{3E1EEAC4-3DC3-457E-B4C7-C7150D4DFEBF}" id="{465FC469-F8A0-4598-8F8E-35545A84E09B}">
    <text>June 2020 value assmed for 2021</text>
  </threadedComment>
  <threadedComment ref="AL15" dT="2020-12-03T21:48:39.58" personId="{3E1EEAC4-3DC3-457E-B4C7-C7150D4DFEBF}" id="{D68CD0FE-2200-481E-A1D2-42BEA85FFC1A}">
    <text>June 2020 value assmed for 2021</text>
  </threadedComment>
  <threadedComment ref="AO15" dT="2020-12-03T21:48:39.58" personId="{3E1EEAC4-3DC3-457E-B4C7-C7150D4DFEBF}" id="{5E49B402-3975-48AC-BF41-5F90441CCF9A}">
    <text>June 2020 value assmed for 2021</text>
  </threadedComment>
  <threadedComment ref="AP15" dT="2020-12-03T21:48:39.58" personId="{3E1EEAC4-3DC3-457E-B4C7-C7150D4DFEBF}" id="{A61771AA-9137-4720-A62D-06F7AA5B1575}">
    <text>June 2020 value assmed for 2021</text>
  </threadedComment>
  <threadedComment ref="AS15" dT="2020-12-03T21:48:39.58" personId="{3E1EEAC4-3DC3-457E-B4C7-C7150D4DFEBF}" id="{74E85105-4947-4941-8E9F-10A91FE8B94D}">
    <text>June 2020 value assmed for 2021</text>
  </threadedComment>
  <threadedComment ref="AT15" dT="2020-12-03T21:48:39.58" personId="{3E1EEAC4-3DC3-457E-B4C7-C7150D4DFEBF}" id="{90A561E0-C6EA-449E-BB5B-CF2F6C4984AC}">
    <text>June 2020 value assmed for 2021</text>
  </threadedComment>
  <threadedComment ref="AW15" dT="2020-12-03T21:48:39.58" personId="{3E1EEAC4-3DC3-457E-B4C7-C7150D4DFEBF}" id="{057FA0DE-9679-439E-96E8-A03D57FC3CEB}">
    <text>June 2020 value assmed for 2021</text>
  </threadedComment>
  <threadedComment ref="AX15" dT="2020-12-03T21:48:39.58" personId="{3E1EEAC4-3DC3-457E-B4C7-C7150D4DFEBF}" id="{C34F83D5-5E3B-4CA1-BE9E-7C3C8F18DF63}">
    <text>June 2020 value assmed for 2021</text>
  </threadedComment>
</ThreadedComments>
</file>

<file path=xl/threadedComments/threadedComment5.xml><?xml version="1.0" encoding="utf-8"?>
<ThreadedComments xmlns="http://schemas.microsoft.com/office/spreadsheetml/2018/threadedcomments" xmlns:x="http://schemas.openxmlformats.org/spreadsheetml/2006/main">
  <threadedComment ref="O74" dT="2020-09-21T16:10:03.66" personId="{3E1EEAC4-3DC3-457E-B4C7-C7150D4DFEBF}" id="{E785C195-8452-4A08-A951-B15BF87FBE8F}">
    <text>this month we recognized a non-cash charged for fixed asset impairment related to our facility move earlier this year.  There were numerous assets specific to our previous location that were written off.</text>
  </threadedComment>
  <threadedComment ref="Q78" dT="2020-05-20T19:54:00.52" personId="{0060D17A-9843-4A2E-92F0-E2F4E493EB70}" id="{D37B5C6E-E15F-4C5C-A08A-CEBB3CC647C2}">
    <text>assume bart interest at $8k</text>
  </threadedComment>
  <threadedComment ref="G94" dT="2020-09-21T20:50:42.42" personId="{3E1EEAC4-3DC3-457E-B4C7-C7150D4DFEBF}" id="{F3B9EED6-CF07-4257-A887-4679A6A22052}">
    <text>Dec thru April include signifacant capex related to the facility move</text>
  </threadedComment>
  <threadedComment ref="L94" dT="2020-03-27T05:49:56.24" personId="{3E1EEAC4-3DC3-457E-B4C7-C7150D4DFEBF}" id="{E4976D11-6C8E-4942-A253-E77944468887}">
    <text>New computers for engineering</text>
  </threadedComment>
  <threadedComment ref="F111" dT="2020-03-23T03:14:54.93" personId="{3E1EEAC4-3DC3-457E-B4C7-C7150D4DFEBF}" id="{0C693972-A030-424D-B062-1DA965A6310A}">
    <text>would be better to make this a % of TTM revenue</text>
  </threadedComment>
  <threadedComment ref="L143" dT="2020-06-12T05:26:29.97" personId="{3E1EEAC4-3DC3-457E-B4C7-C7150D4DFEBF}" id="{6843A90D-6822-4603-84B5-5CF8A3C0463C}">
    <text>furniture loan added to PPP until new account created</text>
  </threadedComment>
  <threadedComment ref="J174" dT="2020-04-10T04:48:03.64" personId="{0060D17A-9843-4A2E-92F0-E2F4E493EB70}" id="{E0EC7F8D-B0C0-42A1-81DE-98614CA9969E}">
    <text>randome adjustement to make up for cash delta from released balance sheet</text>
  </threadedComment>
  <threadedComment ref="K179" dT="2020-03-23T04:08:08.37" personId="{3E1EEAC4-3DC3-457E-B4C7-C7150D4DFEBF}" id="{4DDDD137-820B-4D4E-A1BB-EC296C9D32E6}">
    <text>this would be a principal payment to Bart, however, he has agreed to forego that to 1/1/21 per email on 3/20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vertex42.com/Calculators/simple-interest-loan.html"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vertex42.com/Calculators/simple-interest-loan.html"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vertex42.com/Calculators/simple-interest-loan.html"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vertex42.com/Calculators/simple-interest-loan.html"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vertex42.com/Calculators/simple-interest-loan.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2.bin"/><Relationship Id="rId4" Type="http://schemas.microsoft.com/office/2017/10/relationships/threadedComment" Target="../threadedComments/threadedComment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4.bin"/><Relationship Id="rId4" Type="http://schemas.microsoft.com/office/2017/10/relationships/threadedComment" Target="../threadedComments/threadedComment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www.vertex42.com/Calculators/simple-interest-loan.html" TargetMode="External"/></Relationships>
</file>

<file path=xl/worksheets/_rels/sheet2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7.bin"/><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www.vertex42.com/Calculators/simple-interest-loan.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7290-8A6C-4CAE-835A-67D1A6DEF8C2}">
  <sheetPr codeName="Sheet9">
    <tabColor theme="9" tint="0.79998168889431442"/>
  </sheetPr>
  <dimension ref="A1:Y231"/>
  <sheetViews>
    <sheetView zoomScale="80" zoomScaleNormal="90" workbookViewId="0">
      <pane xSplit="1" ySplit="1" topLeftCell="T91" activePane="bottomRight" state="frozen"/>
      <selection activeCell="AS17" sqref="AS17"/>
      <selection pane="topRight" activeCell="AS17" sqref="AS17"/>
      <selection pane="bottomLeft" activeCell="AS17" sqref="AS17"/>
      <selection pane="bottomRight" activeCell="W108" sqref="W108"/>
    </sheetView>
  </sheetViews>
  <sheetFormatPr defaultRowHeight="14.4" x14ac:dyDescent="0.3"/>
  <cols>
    <col min="1" max="1" width="69.88671875" customWidth="1"/>
    <col min="2" max="9" width="12.6640625" customWidth="1"/>
    <col min="10" max="10" width="14.33203125" bestFit="1" customWidth="1"/>
    <col min="11" max="11" width="14.33203125" style="1114" bestFit="1" customWidth="1"/>
    <col min="12" max="12" width="13.6640625" bestFit="1" customWidth="1"/>
    <col min="13" max="13" width="17.88671875" bestFit="1" customWidth="1"/>
    <col min="14" max="14" width="16.6640625" bestFit="1" customWidth="1"/>
    <col min="15" max="15" width="15.88671875" bestFit="1" customWidth="1"/>
    <col min="16" max="16" width="17.88671875" bestFit="1" customWidth="1"/>
    <col min="17" max="17" width="17.88671875" customWidth="1"/>
    <col min="18" max="20" width="14.109375" customWidth="1"/>
    <col min="21" max="22" width="13.88671875" bestFit="1" customWidth="1"/>
    <col min="23" max="23" width="18.109375" bestFit="1" customWidth="1"/>
    <col min="24" max="24" width="10.33203125" customWidth="1"/>
    <col min="25" max="25" width="11.5546875" customWidth="1"/>
  </cols>
  <sheetData>
    <row r="1" spans="1:25" ht="15" thickBot="1" x14ac:dyDescent="0.35">
      <c r="A1" s="977"/>
      <c r="B1" s="977" t="s">
        <v>842</v>
      </c>
      <c r="C1" s="977" t="s">
        <v>843</v>
      </c>
      <c r="D1" s="977" t="s">
        <v>844</v>
      </c>
      <c r="E1" s="977" t="s">
        <v>845</v>
      </c>
      <c r="F1" s="977" t="s">
        <v>846</v>
      </c>
      <c r="G1" s="977" t="s">
        <v>847</v>
      </c>
      <c r="H1" s="977" t="s">
        <v>848</v>
      </c>
      <c r="I1" s="977" t="s">
        <v>867</v>
      </c>
      <c r="J1" s="977" t="s">
        <v>869</v>
      </c>
      <c r="K1" s="1113" t="s">
        <v>871</v>
      </c>
      <c r="L1" s="977" t="s">
        <v>874</v>
      </c>
      <c r="M1" s="1139" t="s">
        <v>876</v>
      </c>
      <c r="N1" s="1220" t="s">
        <v>880</v>
      </c>
      <c r="O1" s="1220" t="s">
        <v>881</v>
      </c>
      <c r="P1" s="1139" t="s">
        <v>882</v>
      </c>
      <c r="Q1" s="1272" t="s">
        <v>883</v>
      </c>
      <c r="R1" s="1220" t="s">
        <v>884</v>
      </c>
      <c r="S1" s="1220" t="s">
        <v>885</v>
      </c>
      <c r="T1" s="1220" t="s">
        <v>886</v>
      </c>
      <c r="U1" s="977" t="s">
        <v>887</v>
      </c>
      <c r="V1" s="977" t="s">
        <v>888</v>
      </c>
      <c r="W1" s="1113" t="s">
        <v>879</v>
      </c>
      <c r="X1" s="1220" t="s">
        <v>889</v>
      </c>
      <c r="Y1" s="1221" t="s">
        <v>890</v>
      </c>
    </row>
    <row r="2" spans="1:25" x14ac:dyDescent="0.3">
      <c r="M2" s="1140"/>
      <c r="P2" s="28"/>
      <c r="Q2" s="10"/>
    </row>
    <row r="3" spans="1:25" ht="17.399999999999999" thickBot="1" x14ac:dyDescent="0.35">
      <c r="A3" s="978" t="s">
        <v>849</v>
      </c>
      <c r="B3" s="978">
        <v>1044303.34</v>
      </c>
      <c r="C3" s="978">
        <v>1652884.5</v>
      </c>
      <c r="D3" s="978">
        <v>1575982.77</v>
      </c>
      <c r="E3" s="978">
        <v>992763.59000000008</v>
      </c>
      <c r="F3" s="978">
        <v>1381793.94</v>
      </c>
      <c r="G3" s="978">
        <v>1523904.52</v>
      </c>
      <c r="H3" s="978">
        <v>1176299.8899999999</v>
      </c>
      <c r="I3" s="978">
        <v>1603804.25</v>
      </c>
      <c r="J3" s="978">
        <v>1267203.25</v>
      </c>
      <c r="K3" s="1110">
        <v>1061294.8999999999</v>
      </c>
      <c r="L3" s="978">
        <v>895604.14</v>
      </c>
      <c r="M3" s="1141">
        <v>1410447.71</v>
      </c>
      <c r="N3" s="1141">
        <v>717619.09</v>
      </c>
      <c r="O3" s="1141">
        <v>993945.60000000009</v>
      </c>
      <c r="P3" s="1141">
        <v>1815376.93</v>
      </c>
      <c r="Q3" s="1227">
        <v>1340763.29</v>
      </c>
      <c r="R3" s="978">
        <v>1315393.8799999999</v>
      </c>
      <c r="S3" s="978">
        <v>1410473.33</v>
      </c>
      <c r="T3" s="978">
        <v>1125554.1499999999</v>
      </c>
      <c r="U3" s="978">
        <v>902400.66</v>
      </c>
      <c r="V3" s="978">
        <v>992167.87</v>
      </c>
      <c r="W3" s="1227">
        <v>1618943.64</v>
      </c>
    </row>
    <row r="4" spans="1:25" ht="16.2" thickTop="1" x14ac:dyDescent="0.3">
      <c r="A4" s="980" t="s">
        <v>460</v>
      </c>
      <c r="B4" s="981">
        <v>289198.09000000003</v>
      </c>
      <c r="C4" s="981">
        <v>500138.54</v>
      </c>
      <c r="D4" s="981">
        <v>322389.32000000012</v>
      </c>
      <c r="E4" s="981">
        <v>31545.89000000001</v>
      </c>
      <c r="F4" s="981">
        <v>201667.21</v>
      </c>
      <c r="G4" s="981">
        <v>598824.64</v>
      </c>
      <c r="H4" s="981">
        <v>231283.77000000011</v>
      </c>
      <c r="I4" s="981">
        <v>831510.05</v>
      </c>
      <c r="J4" s="981">
        <v>485760.79999999987</v>
      </c>
      <c r="K4" s="1111">
        <v>417414.37</v>
      </c>
      <c r="L4" s="981">
        <v>331900.28000000003</v>
      </c>
      <c r="M4" s="1142">
        <v>574348.07999999996</v>
      </c>
      <c r="N4" s="1142">
        <v>-33320.580000000067</v>
      </c>
      <c r="O4" s="1142">
        <v>259339.3</v>
      </c>
      <c r="P4" s="1142">
        <v>633513.55000000005</v>
      </c>
      <c r="Q4" s="1228">
        <v>460165.65999999992</v>
      </c>
      <c r="R4" s="981">
        <v>934015.54</v>
      </c>
      <c r="S4" s="981">
        <v>530422.7300000001</v>
      </c>
      <c r="T4" s="981">
        <v>452927.55999999988</v>
      </c>
      <c r="U4" s="981">
        <v>436323.44</v>
      </c>
      <c r="V4" s="981">
        <v>367103.22</v>
      </c>
      <c r="W4" s="1228">
        <v>640612.16</v>
      </c>
    </row>
    <row r="5" spans="1:25" ht="15.6" x14ac:dyDescent="0.3">
      <c r="A5" s="972" t="s">
        <v>850</v>
      </c>
      <c r="B5" s="982">
        <v>1044236.69</v>
      </c>
      <c r="C5" s="982">
        <v>1651804.44</v>
      </c>
      <c r="D5" s="982">
        <v>1575102.99</v>
      </c>
      <c r="E5" s="982">
        <v>990747.66</v>
      </c>
      <c r="F5" s="982">
        <v>1380529.39</v>
      </c>
      <c r="G5" s="982">
        <v>1517068.73</v>
      </c>
      <c r="H5" s="982">
        <v>1174856.8600000001</v>
      </c>
      <c r="I5" s="982">
        <v>1602418</v>
      </c>
      <c r="J5" s="982">
        <v>1264652.67</v>
      </c>
      <c r="K5" s="1125">
        <v>1056928.96</v>
      </c>
      <c r="L5" s="982">
        <v>892346.29</v>
      </c>
      <c r="M5" s="1143">
        <v>1403572.65</v>
      </c>
      <c r="N5" s="1143">
        <v>715167.97</v>
      </c>
      <c r="O5" s="1143">
        <v>989735.55</v>
      </c>
      <c r="P5" s="1143">
        <v>1815627.69</v>
      </c>
      <c r="Q5" s="985">
        <v>1337742.4099999999</v>
      </c>
      <c r="R5" s="982">
        <v>1312588.05</v>
      </c>
      <c r="S5" s="982">
        <v>1408281.34</v>
      </c>
      <c r="T5" s="982">
        <v>1120992.22</v>
      </c>
      <c r="U5" s="982">
        <v>898618.87</v>
      </c>
      <c r="V5" s="982">
        <v>990962.08</v>
      </c>
      <c r="W5" s="985">
        <v>1616360.59</v>
      </c>
    </row>
    <row r="6" spans="1:25" ht="15.6" x14ac:dyDescent="0.3">
      <c r="A6" s="972" t="s">
        <v>620</v>
      </c>
      <c r="B6" s="982">
        <v>-541.36</v>
      </c>
      <c r="C6" s="982">
        <v>0</v>
      </c>
      <c r="D6" s="982">
        <v>396</v>
      </c>
      <c r="E6" s="982">
        <v>576</v>
      </c>
      <c r="F6" s="982">
        <v>322.02999999999997</v>
      </c>
      <c r="G6" s="982">
        <v>2856.72</v>
      </c>
      <c r="H6" s="982">
        <v>504</v>
      </c>
      <c r="I6" s="982">
        <v>3089.4</v>
      </c>
      <c r="J6" s="982">
        <v>39200.699999999997</v>
      </c>
      <c r="K6" s="1125">
        <v>1464.07</v>
      </c>
      <c r="L6" s="982">
        <v>2280.58</v>
      </c>
      <c r="M6" s="1143">
        <v>28674.13</v>
      </c>
      <c r="N6" s="1143">
        <v>9983.6299999999992</v>
      </c>
      <c r="O6" s="1143">
        <v>426.01</v>
      </c>
      <c r="P6" s="1143">
        <v>991.5</v>
      </c>
      <c r="Q6" s="985">
        <v>100</v>
      </c>
      <c r="R6" s="982">
        <v>8532.98</v>
      </c>
      <c r="S6" s="982">
        <v>3659</v>
      </c>
      <c r="T6" s="982">
        <v>2086.3000000000002</v>
      </c>
      <c r="U6" s="982">
        <v>0</v>
      </c>
      <c r="V6" s="982">
        <v>28186</v>
      </c>
      <c r="W6" s="985">
        <v>0</v>
      </c>
    </row>
    <row r="7" spans="1:25" ht="15.6" x14ac:dyDescent="0.3">
      <c r="A7" s="972" t="s">
        <v>621</v>
      </c>
      <c r="B7" s="982">
        <v>770679.41</v>
      </c>
      <c r="C7" s="982">
        <v>436032.63</v>
      </c>
      <c r="D7" s="982">
        <v>709915.75</v>
      </c>
      <c r="E7" s="982">
        <v>659731.06000000006</v>
      </c>
      <c r="F7" s="982">
        <v>639317.24</v>
      </c>
      <c r="G7" s="982">
        <v>928744.64</v>
      </c>
      <c r="H7" s="982">
        <v>563901.18999999994</v>
      </c>
      <c r="I7" s="982">
        <v>752821.41</v>
      </c>
      <c r="J7" s="982">
        <v>769886.86</v>
      </c>
      <c r="K7" s="1125">
        <v>532321.93000000005</v>
      </c>
      <c r="L7" s="982">
        <v>530183.01</v>
      </c>
      <c r="M7" s="1143">
        <v>586438.48</v>
      </c>
      <c r="N7" s="1143">
        <v>692132.21</v>
      </c>
      <c r="O7" s="1143">
        <v>436806.18</v>
      </c>
      <c r="P7" s="1143">
        <v>535194.11</v>
      </c>
      <c r="Q7" s="985">
        <v>440054.22</v>
      </c>
      <c r="R7" s="982">
        <v>560720.68000000005</v>
      </c>
      <c r="S7" s="982">
        <v>788520.98</v>
      </c>
      <c r="T7" s="982">
        <v>508998.05</v>
      </c>
      <c r="U7" s="982">
        <v>616367.82999999996</v>
      </c>
      <c r="V7" s="982">
        <v>534069.36</v>
      </c>
      <c r="W7" s="985">
        <v>561578.28</v>
      </c>
    </row>
    <row r="8" spans="1:25" ht="15.6" x14ac:dyDescent="0.3">
      <c r="A8" s="972" t="s">
        <v>622</v>
      </c>
      <c r="B8" s="982">
        <v>284769.67</v>
      </c>
      <c r="C8" s="982">
        <v>171029.36</v>
      </c>
      <c r="D8" s="982">
        <v>373421</v>
      </c>
      <c r="E8" s="982">
        <v>345490.69</v>
      </c>
      <c r="F8" s="982">
        <v>575277</v>
      </c>
      <c r="G8" s="982">
        <v>598850.74</v>
      </c>
      <c r="H8" s="982">
        <v>50266</v>
      </c>
      <c r="I8" s="982">
        <v>258966.33</v>
      </c>
      <c r="J8" s="982">
        <v>243574.68</v>
      </c>
      <c r="K8" s="1125">
        <v>170271.2</v>
      </c>
      <c r="L8" s="982">
        <v>88608.2</v>
      </c>
      <c r="M8" s="1143">
        <v>248826.05</v>
      </c>
      <c r="N8" s="1143">
        <v>67094.720000000001</v>
      </c>
      <c r="O8" s="1143">
        <v>7997</v>
      </c>
      <c r="P8" s="1143">
        <v>25304</v>
      </c>
      <c r="Q8" s="985">
        <v>500576.67</v>
      </c>
      <c r="R8" s="982">
        <v>570421.92000000004</v>
      </c>
      <c r="S8" s="982">
        <v>588914.15</v>
      </c>
      <c r="T8" s="982">
        <v>189925.21</v>
      </c>
      <c r="U8" s="982">
        <v>205210.09</v>
      </c>
      <c r="V8" s="982">
        <v>80342.25</v>
      </c>
      <c r="W8" s="985">
        <v>433584.33</v>
      </c>
    </row>
    <row r="9" spans="1:25" ht="15.6" x14ac:dyDescent="0.3">
      <c r="A9" s="972" t="s">
        <v>623</v>
      </c>
      <c r="B9" s="982">
        <v>15070</v>
      </c>
      <c r="C9" s="982">
        <v>70741.23</v>
      </c>
      <c r="D9" s="982">
        <v>120778.62</v>
      </c>
      <c r="E9" s="982">
        <v>516604.73</v>
      </c>
      <c r="F9" s="982">
        <v>7994.23</v>
      </c>
      <c r="G9" s="982">
        <v>311257.15999999997</v>
      </c>
      <c r="H9" s="982">
        <v>2787995.2</v>
      </c>
      <c r="I9" s="982">
        <v>127608.45</v>
      </c>
      <c r="J9" s="982">
        <v>134879.6</v>
      </c>
      <c r="K9" s="1125">
        <v>72638.5</v>
      </c>
      <c r="L9" s="982">
        <v>10699</v>
      </c>
      <c r="M9" s="1143">
        <v>62769.79</v>
      </c>
      <c r="N9" s="1143">
        <v>130362.62</v>
      </c>
      <c r="O9" s="1143">
        <v>835.1</v>
      </c>
      <c r="P9" s="1143">
        <v>71262</v>
      </c>
      <c r="Q9" s="985">
        <v>120758.18</v>
      </c>
      <c r="R9" s="982">
        <v>845850.12</v>
      </c>
      <c r="S9" s="982">
        <v>259091.1</v>
      </c>
      <c r="T9" s="982">
        <v>318015.09999999998</v>
      </c>
      <c r="U9" s="982">
        <v>108290.9</v>
      </c>
      <c r="V9" s="982">
        <v>176814.97</v>
      </c>
      <c r="W9" s="985">
        <v>263114.37</v>
      </c>
    </row>
    <row r="10" spans="1:25" ht="15.6" x14ac:dyDescent="0.3">
      <c r="A10" s="1398" t="s">
        <v>1238</v>
      </c>
      <c r="B10" s="982"/>
      <c r="C10" s="982"/>
      <c r="D10" s="982"/>
      <c r="E10" s="982"/>
      <c r="F10" s="982"/>
      <c r="G10" s="982"/>
      <c r="H10" s="982"/>
      <c r="I10" s="982"/>
      <c r="J10" s="982"/>
      <c r="K10" s="1125"/>
      <c r="L10" s="982"/>
      <c r="M10" s="1143"/>
      <c r="N10" s="1143"/>
      <c r="O10" s="1143"/>
      <c r="P10" s="1143"/>
      <c r="Q10" s="985"/>
      <c r="R10" s="982">
        <v>0</v>
      </c>
      <c r="S10" s="982">
        <v>0</v>
      </c>
      <c r="T10" s="982">
        <v>5333</v>
      </c>
      <c r="U10" s="982">
        <v>0</v>
      </c>
      <c r="V10" s="982">
        <v>0</v>
      </c>
      <c r="W10" s="985">
        <v>0</v>
      </c>
    </row>
    <row r="11" spans="1:25" ht="15.6" x14ac:dyDescent="0.3">
      <c r="A11" s="972" t="s">
        <v>624</v>
      </c>
      <c r="B11" s="982">
        <v>62.2</v>
      </c>
      <c r="C11" s="982">
        <v>359.73</v>
      </c>
      <c r="D11" s="982">
        <v>1641.78</v>
      </c>
      <c r="E11" s="982">
        <v>463.18</v>
      </c>
      <c r="F11" s="982">
        <v>3610.3</v>
      </c>
      <c r="G11" s="982">
        <v>2094.4299999999998</v>
      </c>
      <c r="H11" s="982">
        <v>563.97</v>
      </c>
      <c r="I11" s="982">
        <v>676.97</v>
      </c>
      <c r="J11" s="982">
        <v>440.81</v>
      </c>
      <c r="K11" s="1125">
        <v>8246.39</v>
      </c>
      <c r="L11" s="982">
        <v>302.81</v>
      </c>
      <c r="M11" s="1143">
        <v>757.32</v>
      </c>
      <c r="N11" s="1143">
        <v>185.81</v>
      </c>
      <c r="O11" s="1143">
        <v>2033.95</v>
      </c>
      <c r="P11" s="1143">
        <v>331.35</v>
      </c>
      <c r="Q11" s="985">
        <v>230.2</v>
      </c>
      <c r="R11" s="982">
        <v>795.34</v>
      </c>
      <c r="S11" s="982">
        <v>31118.26</v>
      </c>
      <c r="T11" s="982">
        <v>2136.73</v>
      </c>
      <c r="U11" s="982">
        <v>481.95</v>
      </c>
      <c r="V11" s="982">
        <v>329.99</v>
      </c>
      <c r="W11" s="985">
        <v>-4862.37</v>
      </c>
    </row>
    <row r="12" spans="1:25" ht="15.6" x14ac:dyDescent="0.3">
      <c r="A12" s="972" t="s">
        <v>625</v>
      </c>
      <c r="B12" s="982">
        <v>0</v>
      </c>
      <c r="C12" s="982">
        <v>0</v>
      </c>
      <c r="D12" s="982">
        <v>0</v>
      </c>
      <c r="E12" s="982">
        <v>1623.52</v>
      </c>
      <c r="F12" s="982">
        <v>0</v>
      </c>
      <c r="G12" s="982">
        <v>0</v>
      </c>
      <c r="H12" s="982">
        <v>0</v>
      </c>
      <c r="I12" s="982">
        <v>0.5</v>
      </c>
      <c r="J12" s="982">
        <v>2000</v>
      </c>
      <c r="K12" s="1125">
        <v>100</v>
      </c>
      <c r="L12" s="982">
        <v>400</v>
      </c>
      <c r="M12" s="1143">
        <v>7391.12</v>
      </c>
      <c r="N12" s="1143">
        <v>0</v>
      </c>
      <c r="O12" s="1143">
        <v>0</v>
      </c>
      <c r="P12" s="1143">
        <v>5477.83</v>
      </c>
      <c r="Q12" s="985">
        <v>9.16</v>
      </c>
      <c r="R12" s="982">
        <v>4547.97</v>
      </c>
      <c r="S12" s="982">
        <v>-36205.730000000003</v>
      </c>
      <c r="T12" s="982">
        <v>0</v>
      </c>
      <c r="U12" s="982">
        <v>0</v>
      </c>
      <c r="V12" s="982">
        <v>0</v>
      </c>
      <c r="W12" s="985">
        <v>-32270.55</v>
      </c>
    </row>
    <row r="13" spans="1:25" ht="15.6" x14ac:dyDescent="0.3">
      <c r="A13" s="972" t="s">
        <v>626</v>
      </c>
      <c r="B13" s="982">
        <v>-51581.94</v>
      </c>
      <c r="C13" s="982">
        <v>937990.01</v>
      </c>
      <c r="D13" s="982">
        <v>317425.86</v>
      </c>
      <c r="E13" s="982">
        <v>-598919.69999999995</v>
      </c>
      <c r="F13" s="982">
        <v>117723.46</v>
      </c>
      <c r="G13" s="982">
        <v>-413457.41</v>
      </c>
      <c r="H13" s="982">
        <v>-2300053.9500000002</v>
      </c>
      <c r="I13" s="982">
        <v>417559</v>
      </c>
      <c r="J13" s="982">
        <v>52969.22</v>
      </c>
      <c r="K13" s="1125">
        <v>241099.9</v>
      </c>
      <c r="L13" s="982">
        <v>244946.87</v>
      </c>
      <c r="M13" s="1143">
        <v>466406.45</v>
      </c>
      <c r="N13" s="1143">
        <v>-220154</v>
      </c>
      <c r="O13" s="1143">
        <v>530310</v>
      </c>
      <c r="P13" s="1143">
        <v>1153657</v>
      </c>
      <c r="Q13" s="985">
        <v>233629.36</v>
      </c>
      <c r="R13" s="982">
        <v>-712532.27</v>
      </c>
      <c r="S13" s="982">
        <v>-285433.33</v>
      </c>
      <c r="T13" s="982">
        <v>64439.6</v>
      </c>
      <c r="U13" s="982">
        <v>-69630.95</v>
      </c>
      <c r="V13" s="982">
        <v>154512.15</v>
      </c>
      <c r="W13" s="985">
        <v>349139.77</v>
      </c>
    </row>
    <row r="14" spans="1:25" ht="15.6" x14ac:dyDescent="0.3">
      <c r="A14" s="972" t="s">
        <v>627</v>
      </c>
      <c r="B14" s="982">
        <v>25778.71</v>
      </c>
      <c r="C14" s="982">
        <v>38636.050000000003</v>
      </c>
      <c r="D14" s="982">
        <v>54424.22</v>
      </c>
      <c r="E14" s="982">
        <v>63280.69</v>
      </c>
      <c r="F14" s="982">
        <v>41111.480000000003</v>
      </c>
      <c r="G14" s="982">
        <v>103852.29</v>
      </c>
      <c r="H14" s="982">
        <v>73245.399999999994</v>
      </c>
      <c r="I14" s="982">
        <v>41695.94</v>
      </c>
      <c r="J14" s="982">
        <v>34037.839999999997</v>
      </c>
      <c r="K14" s="1125">
        <v>33724.800000000003</v>
      </c>
      <c r="L14" s="982">
        <v>16886.66</v>
      </c>
      <c r="M14" s="1143">
        <v>19315.310000000001</v>
      </c>
      <c r="N14" s="1143">
        <v>46977.1</v>
      </c>
      <c r="O14" s="1143">
        <v>19188.36</v>
      </c>
      <c r="P14" s="1143">
        <v>31421.21</v>
      </c>
      <c r="Q14" s="985">
        <v>46018.66</v>
      </c>
      <c r="R14" s="982">
        <v>46225.88</v>
      </c>
      <c r="S14" s="982">
        <v>58616.91</v>
      </c>
      <c r="T14" s="982">
        <v>36592.879999999997</v>
      </c>
      <c r="U14" s="982">
        <v>38586.5</v>
      </c>
      <c r="V14" s="982">
        <v>17987.36</v>
      </c>
      <c r="W14" s="985">
        <v>36665.49</v>
      </c>
    </row>
    <row r="15" spans="1:25" ht="15.6" x14ac:dyDescent="0.3">
      <c r="A15" s="972" t="s">
        <v>628</v>
      </c>
      <c r="B15" s="982">
        <v>0</v>
      </c>
      <c r="C15" s="982">
        <v>-2203.67</v>
      </c>
      <c r="D15" s="982">
        <v>-740.24</v>
      </c>
      <c r="E15" s="982">
        <v>-234.31</v>
      </c>
      <c r="F15" s="982">
        <v>-5590</v>
      </c>
      <c r="G15" s="982">
        <v>-6092.84</v>
      </c>
      <c r="H15" s="982">
        <v>-1497.51</v>
      </c>
      <c r="I15" s="982">
        <v>0</v>
      </c>
      <c r="J15" s="982">
        <v>-10844.55</v>
      </c>
      <c r="K15" s="1125">
        <v>-3860.92</v>
      </c>
      <c r="L15" s="982">
        <v>-1988.36</v>
      </c>
      <c r="M15" s="1143">
        <v>-6318.38</v>
      </c>
      <c r="N15" s="1143">
        <v>-12854.12</v>
      </c>
      <c r="O15" s="1143">
        <v>-7861.05</v>
      </c>
      <c r="P15" s="1143">
        <v>-7671.43</v>
      </c>
      <c r="Q15" s="985">
        <v>-4434.04</v>
      </c>
      <c r="R15" s="982">
        <v>-17722.57</v>
      </c>
      <c r="S15" s="982">
        <v>0</v>
      </c>
      <c r="T15" s="982">
        <v>-9041.2999999999993</v>
      </c>
      <c r="U15" s="982">
        <v>-687.45</v>
      </c>
      <c r="V15" s="982">
        <v>-1280</v>
      </c>
      <c r="W15" s="985">
        <v>9411.27</v>
      </c>
    </row>
    <row r="16" spans="1:25" ht="15.6" x14ac:dyDescent="0.3">
      <c r="A16" s="972" t="s">
        <v>629</v>
      </c>
      <c r="B16" s="982">
        <v>0</v>
      </c>
      <c r="C16" s="982">
        <v>0</v>
      </c>
      <c r="D16" s="982">
        <v>-2160</v>
      </c>
      <c r="E16" s="982">
        <v>0</v>
      </c>
      <c r="F16" s="982">
        <v>0</v>
      </c>
      <c r="G16" s="982">
        <v>0</v>
      </c>
      <c r="H16" s="982">
        <v>0</v>
      </c>
      <c r="I16" s="982">
        <v>0</v>
      </c>
      <c r="J16" s="982">
        <v>0</v>
      </c>
      <c r="K16" s="1125">
        <v>0</v>
      </c>
      <c r="L16" s="982">
        <v>0</v>
      </c>
      <c r="M16" s="1143">
        <v>-11664.51</v>
      </c>
      <c r="N16" s="1143">
        <v>0</v>
      </c>
      <c r="O16" s="1143"/>
      <c r="P16" s="1143">
        <v>-401.32</v>
      </c>
      <c r="Q16" s="985">
        <v>0</v>
      </c>
      <c r="R16" s="982">
        <v>0</v>
      </c>
      <c r="S16" s="982">
        <v>0</v>
      </c>
      <c r="T16" s="982">
        <v>0</v>
      </c>
      <c r="U16" s="982">
        <v>0</v>
      </c>
      <c r="V16" s="982">
        <v>0</v>
      </c>
      <c r="W16" s="985">
        <v>0</v>
      </c>
    </row>
    <row r="17" spans="1:23" ht="15.6" x14ac:dyDescent="0.3">
      <c r="A17" s="972" t="s">
        <v>630</v>
      </c>
      <c r="B17" s="982">
        <v>0</v>
      </c>
      <c r="C17" s="982">
        <v>0</v>
      </c>
      <c r="D17" s="982">
        <v>0</v>
      </c>
      <c r="E17" s="982">
        <v>0</v>
      </c>
      <c r="F17" s="982">
        <v>0</v>
      </c>
      <c r="G17" s="982">
        <v>-11037</v>
      </c>
      <c r="H17" s="982">
        <v>0</v>
      </c>
      <c r="I17" s="982">
        <v>0</v>
      </c>
      <c r="J17" s="982">
        <v>-2560</v>
      </c>
      <c r="K17" s="1125">
        <v>0</v>
      </c>
      <c r="L17" s="982">
        <v>0</v>
      </c>
      <c r="M17" s="1143">
        <v>0</v>
      </c>
      <c r="N17" s="1143">
        <v>0</v>
      </c>
      <c r="O17" s="1143"/>
      <c r="P17" s="1143"/>
      <c r="Q17" s="985">
        <v>0</v>
      </c>
      <c r="R17" s="982">
        <v>0</v>
      </c>
      <c r="S17" s="982">
        <v>0</v>
      </c>
      <c r="T17" s="982">
        <v>0</v>
      </c>
      <c r="U17" s="982">
        <v>0</v>
      </c>
      <c r="V17" s="982">
        <v>0</v>
      </c>
      <c r="W17" s="985">
        <v>0</v>
      </c>
    </row>
    <row r="18" spans="1:23" ht="15.6" x14ac:dyDescent="0.3">
      <c r="A18" s="972" t="s">
        <v>631</v>
      </c>
      <c r="B18" s="982">
        <v>0</v>
      </c>
      <c r="C18" s="982">
        <v>-780.9</v>
      </c>
      <c r="D18" s="982">
        <v>0</v>
      </c>
      <c r="E18" s="982">
        <v>2131.8000000000002</v>
      </c>
      <c r="F18" s="982">
        <v>763.65</v>
      </c>
      <c r="G18" s="982">
        <v>0</v>
      </c>
      <c r="H18" s="982">
        <v>0</v>
      </c>
      <c r="I18" s="982">
        <v>0</v>
      </c>
      <c r="J18" s="982">
        <v>1067.51</v>
      </c>
      <c r="K18" s="1125">
        <v>923.09</v>
      </c>
      <c r="L18" s="982">
        <v>27.52</v>
      </c>
      <c r="M18" s="1143">
        <v>909.45</v>
      </c>
      <c r="N18" s="1143">
        <v>1440</v>
      </c>
      <c r="O18" s="1143">
        <v>0</v>
      </c>
      <c r="P18" s="1143">
        <v>61.44</v>
      </c>
      <c r="Q18" s="985">
        <v>800</v>
      </c>
      <c r="R18" s="982">
        <v>5748</v>
      </c>
      <c r="S18" s="982">
        <v>0</v>
      </c>
      <c r="T18" s="982">
        <v>2506.65</v>
      </c>
      <c r="U18" s="982">
        <v>0</v>
      </c>
      <c r="V18" s="982">
        <v>0</v>
      </c>
      <c r="W18" s="985">
        <v>0</v>
      </c>
    </row>
    <row r="19" spans="1:23" ht="15.6" x14ac:dyDescent="0.3">
      <c r="A19" s="972" t="s">
        <v>742</v>
      </c>
      <c r="B19" s="982">
        <v>0</v>
      </c>
      <c r="C19" s="982">
        <v>0</v>
      </c>
      <c r="D19" s="982">
        <v>0</v>
      </c>
      <c r="E19" s="982">
        <v>0</v>
      </c>
      <c r="F19" s="982">
        <v>0</v>
      </c>
      <c r="G19" s="982">
        <v>0</v>
      </c>
      <c r="H19" s="982">
        <v>-67.44</v>
      </c>
      <c r="I19" s="982">
        <v>0</v>
      </c>
      <c r="J19" s="982">
        <v>0</v>
      </c>
      <c r="K19" s="1125">
        <v>0</v>
      </c>
      <c r="L19" s="982">
        <v>0</v>
      </c>
      <c r="M19" s="1143">
        <v>67.44</v>
      </c>
      <c r="N19" s="1143">
        <v>0</v>
      </c>
      <c r="O19" s="1143"/>
      <c r="P19" s="1143"/>
      <c r="Q19" s="985">
        <v>0</v>
      </c>
      <c r="R19" s="982">
        <v>0</v>
      </c>
      <c r="S19" s="982">
        <v>0</v>
      </c>
      <c r="T19" s="982">
        <v>0</v>
      </c>
      <c r="U19" s="982">
        <v>0</v>
      </c>
      <c r="V19" s="982">
        <v>0</v>
      </c>
      <c r="W19" s="985">
        <v>0</v>
      </c>
    </row>
    <row r="20" spans="1:23" ht="15.6" x14ac:dyDescent="0.3">
      <c r="A20" s="972" t="s">
        <v>851</v>
      </c>
      <c r="B20" s="982">
        <v>1044236.69</v>
      </c>
      <c r="C20" s="982">
        <v>1651804.44</v>
      </c>
      <c r="D20" s="982">
        <v>1575102.99</v>
      </c>
      <c r="E20" s="982">
        <v>990747.66</v>
      </c>
      <c r="F20" s="982">
        <v>1380529.39</v>
      </c>
      <c r="G20" s="982">
        <v>1517068.73</v>
      </c>
      <c r="H20" s="982">
        <v>1174856.8600000001</v>
      </c>
      <c r="I20" s="982">
        <v>1602418</v>
      </c>
      <c r="J20" s="982">
        <v>1264652.67</v>
      </c>
      <c r="K20" s="1112">
        <v>1056928.96</v>
      </c>
      <c r="L20" s="982">
        <v>892346.29</v>
      </c>
      <c r="M20" s="1143">
        <v>1403572.65</v>
      </c>
      <c r="N20" s="1143">
        <v>715167.97</v>
      </c>
      <c r="O20" s="1143">
        <v>989735.55</v>
      </c>
      <c r="P20" s="1143">
        <v>1815627.69</v>
      </c>
      <c r="Q20" s="985">
        <v>1337742.4099999999</v>
      </c>
      <c r="R20" s="982">
        <v>1312588.05</v>
      </c>
      <c r="S20" s="982">
        <v>1408281.34</v>
      </c>
      <c r="T20" s="982">
        <v>1120992.22</v>
      </c>
      <c r="U20" s="982">
        <v>898618.87</v>
      </c>
      <c r="V20" s="982">
        <v>990962.08</v>
      </c>
      <c r="W20" s="985">
        <v>1616360.59</v>
      </c>
    </row>
    <row r="21" spans="1:23" ht="15.6" x14ac:dyDescent="0.3">
      <c r="A21" s="972"/>
      <c r="B21" s="982"/>
      <c r="C21" s="982"/>
      <c r="D21" s="982"/>
      <c r="E21" s="982"/>
      <c r="F21" s="982"/>
      <c r="G21" s="982"/>
      <c r="H21" s="982"/>
      <c r="I21" s="982"/>
      <c r="J21" s="982"/>
      <c r="K21" s="1112"/>
      <c r="L21" s="982"/>
      <c r="M21" s="1143"/>
      <c r="N21" s="1143"/>
      <c r="O21" s="1143"/>
      <c r="P21" s="1143"/>
      <c r="Q21" s="985"/>
      <c r="R21" s="982"/>
      <c r="S21" s="982"/>
      <c r="T21" s="982"/>
      <c r="U21" s="982"/>
      <c r="V21" s="982"/>
      <c r="W21" s="985"/>
    </row>
    <row r="22" spans="1:23" ht="15.6" x14ac:dyDescent="0.3">
      <c r="A22" s="986" t="s">
        <v>852</v>
      </c>
      <c r="B22" s="982">
        <v>755038.6</v>
      </c>
      <c r="C22" s="982">
        <v>1151665.8999999999</v>
      </c>
      <c r="D22" s="982">
        <v>1252713.67</v>
      </c>
      <c r="E22" s="982">
        <v>959201.77</v>
      </c>
      <c r="F22" s="982">
        <v>1178862.18</v>
      </c>
      <c r="G22" s="982">
        <v>918244.09</v>
      </c>
      <c r="H22" s="982">
        <v>943573.09</v>
      </c>
      <c r="I22" s="982">
        <v>770907.95</v>
      </c>
      <c r="J22" s="982">
        <v>778891.87</v>
      </c>
      <c r="K22" s="1112">
        <v>639514.59</v>
      </c>
      <c r="L22" s="982">
        <v>560446.01</v>
      </c>
      <c r="M22" s="1143">
        <v>829224.57</v>
      </c>
      <c r="N22" s="1143">
        <v>748488.55</v>
      </c>
      <c r="O22" s="1143">
        <v>730396.25</v>
      </c>
      <c r="P22" s="1143">
        <v>1182114.1399999999</v>
      </c>
      <c r="Q22" s="985">
        <v>877560.95</v>
      </c>
      <c r="R22" s="982">
        <v>378572.51</v>
      </c>
      <c r="S22" s="982">
        <v>877858.61</v>
      </c>
      <c r="T22" s="982">
        <v>668064.66</v>
      </c>
      <c r="U22" s="982">
        <v>462295.43</v>
      </c>
      <c r="V22" s="982">
        <v>623858.86</v>
      </c>
      <c r="W22" s="985">
        <v>975748.43</v>
      </c>
    </row>
    <row r="23" spans="1:23" ht="15.6" x14ac:dyDescent="0.3">
      <c r="A23" s="972" t="s">
        <v>743</v>
      </c>
      <c r="B23" s="982">
        <v>0</v>
      </c>
      <c r="C23" s="982">
        <v>20000.59</v>
      </c>
      <c r="D23" s="982">
        <v>20046.41</v>
      </c>
      <c r="E23" s="982">
        <v>-1442.73</v>
      </c>
      <c r="F23" s="982">
        <v>210.51</v>
      </c>
      <c r="G23" s="982">
        <v>2657.88</v>
      </c>
      <c r="H23" s="982">
        <v>3769.29</v>
      </c>
      <c r="I23" s="982">
        <v>1810</v>
      </c>
      <c r="J23" s="982">
        <v>552.70000000000005</v>
      </c>
      <c r="K23" s="1125">
        <v>488.18</v>
      </c>
      <c r="L23" s="982">
        <v>2666.91</v>
      </c>
      <c r="M23" s="1143">
        <v>2833.16</v>
      </c>
      <c r="N23" s="1143">
        <v>17910.47</v>
      </c>
      <c r="O23" s="1143">
        <v>25832.49</v>
      </c>
      <c r="P23" s="1143">
        <v>-37.57</v>
      </c>
      <c r="Q23" s="985">
        <v>17210.849999999999</v>
      </c>
      <c r="R23" s="982">
        <v>3146.24</v>
      </c>
      <c r="S23" s="982">
        <v>2138.08</v>
      </c>
      <c r="T23" s="982">
        <v>5406.63</v>
      </c>
      <c r="U23" s="982">
        <v>4891.6400000000003</v>
      </c>
      <c r="V23" s="982">
        <v>17777.05</v>
      </c>
      <c r="W23" s="985">
        <v>228.89</v>
      </c>
    </row>
    <row r="24" spans="1:23" ht="15.6" x14ac:dyDescent="0.3">
      <c r="A24" s="972" t="s">
        <v>744</v>
      </c>
      <c r="B24" s="982">
        <v>371035.72</v>
      </c>
      <c r="C24" s="982">
        <v>205886.4</v>
      </c>
      <c r="D24" s="982">
        <v>346798.2</v>
      </c>
      <c r="E24" s="982">
        <v>274891.18</v>
      </c>
      <c r="F24" s="982">
        <v>278199.95</v>
      </c>
      <c r="G24" s="982">
        <v>447513.65</v>
      </c>
      <c r="H24" s="982">
        <v>224359.37</v>
      </c>
      <c r="I24" s="982">
        <v>297625.90999999997</v>
      </c>
      <c r="J24" s="982">
        <v>309587.33</v>
      </c>
      <c r="K24" s="1125">
        <v>193629.67</v>
      </c>
      <c r="L24" s="982">
        <v>200442.09</v>
      </c>
      <c r="M24" s="1143">
        <v>230577.56</v>
      </c>
      <c r="N24" s="1143">
        <v>268313.34999999998</v>
      </c>
      <c r="O24" s="1143">
        <v>150857.48000000001</v>
      </c>
      <c r="P24" s="1143">
        <v>188319.58</v>
      </c>
      <c r="Q24" s="985">
        <v>193913.56</v>
      </c>
      <c r="R24" s="982">
        <v>135619.87</v>
      </c>
      <c r="S24" s="982">
        <v>268993.46000000002</v>
      </c>
      <c r="T24" s="982">
        <v>207004.41</v>
      </c>
      <c r="U24" s="982">
        <v>238801.12</v>
      </c>
      <c r="V24" s="982">
        <v>242392.88</v>
      </c>
      <c r="W24" s="985">
        <v>218200.18</v>
      </c>
    </row>
    <row r="25" spans="1:23" ht="15.6" x14ac:dyDescent="0.3">
      <c r="A25" s="972" t="s">
        <v>745</v>
      </c>
      <c r="B25" s="982">
        <v>227812.07</v>
      </c>
      <c r="C25" s="982">
        <v>135492</v>
      </c>
      <c r="D25" s="982">
        <v>215916.09</v>
      </c>
      <c r="E25" s="982">
        <v>239434.22</v>
      </c>
      <c r="F25" s="982">
        <v>495901.61</v>
      </c>
      <c r="G25" s="982">
        <v>292337.86</v>
      </c>
      <c r="H25" s="982">
        <v>44644.04</v>
      </c>
      <c r="I25" s="982">
        <v>186375.65</v>
      </c>
      <c r="J25" s="982">
        <v>200083.31</v>
      </c>
      <c r="K25" s="1125">
        <v>71552.03</v>
      </c>
      <c r="L25" s="982">
        <v>19303.61</v>
      </c>
      <c r="M25" s="1143">
        <v>200670.94</v>
      </c>
      <c r="N25" s="1143">
        <v>95058.69</v>
      </c>
      <c r="O25" s="1143">
        <v>12202.03</v>
      </c>
      <c r="P25" s="1143">
        <v>14081.64</v>
      </c>
      <c r="Q25" s="985">
        <v>286437.28000000003</v>
      </c>
      <c r="R25" s="982">
        <v>389395.54</v>
      </c>
      <c r="S25" s="982">
        <v>457478.3</v>
      </c>
      <c r="T25" s="982">
        <v>56051.28</v>
      </c>
      <c r="U25" s="982">
        <v>182116.82</v>
      </c>
      <c r="V25" s="982">
        <v>76394.23</v>
      </c>
      <c r="W25" s="985">
        <v>287718.32</v>
      </c>
    </row>
    <row r="26" spans="1:23" ht="15.6" x14ac:dyDescent="0.3">
      <c r="A26" s="972" t="s">
        <v>746</v>
      </c>
      <c r="B26" s="982">
        <v>285038.11</v>
      </c>
      <c r="C26" s="982">
        <v>61746.59</v>
      </c>
      <c r="D26" s="982">
        <v>134749.78</v>
      </c>
      <c r="E26" s="982">
        <v>379023.56</v>
      </c>
      <c r="F26" s="982">
        <v>6819.34</v>
      </c>
      <c r="G26" s="982">
        <v>302170.17</v>
      </c>
      <c r="H26" s="982">
        <v>1018881.87</v>
      </c>
      <c r="I26" s="982">
        <v>94579.18</v>
      </c>
      <c r="J26" s="982">
        <v>120125.64</v>
      </c>
      <c r="K26" s="1125">
        <v>70365.78</v>
      </c>
      <c r="L26" s="982">
        <v>96572.36</v>
      </c>
      <c r="M26" s="1143">
        <v>27107.97</v>
      </c>
      <c r="N26" s="1143">
        <v>291753.86</v>
      </c>
      <c r="O26" s="1143">
        <v>1482.18</v>
      </c>
      <c r="P26" s="1143">
        <v>69607.48</v>
      </c>
      <c r="Q26" s="985">
        <v>121293.09</v>
      </c>
      <c r="R26" s="982">
        <v>194397.1</v>
      </c>
      <c r="S26" s="982">
        <v>313436.15999999997</v>
      </c>
      <c r="T26" s="982">
        <v>251236.9</v>
      </c>
      <c r="U26" s="982">
        <v>59209.69</v>
      </c>
      <c r="V26" s="982">
        <v>171709.45</v>
      </c>
      <c r="W26" s="985">
        <v>200488.84</v>
      </c>
    </row>
    <row r="27" spans="1:23" ht="15.6" x14ac:dyDescent="0.3">
      <c r="A27" s="1398" t="s">
        <v>1239</v>
      </c>
      <c r="B27" s="982"/>
      <c r="C27" s="982"/>
      <c r="D27" s="982"/>
      <c r="E27" s="982"/>
      <c r="F27" s="982"/>
      <c r="G27" s="982"/>
      <c r="H27" s="982"/>
      <c r="I27" s="982"/>
      <c r="J27" s="982"/>
      <c r="K27" s="1125"/>
      <c r="L27" s="982"/>
      <c r="M27" s="1143"/>
      <c r="N27" s="1143"/>
      <c r="O27" s="1143"/>
      <c r="P27" s="1143"/>
      <c r="Q27" s="985"/>
      <c r="R27" s="982">
        <v>16616.189999999999</v>
      </c>
      <c r="S27" s="982">
        <v>0</v>
      </c>
      <c r="T27" s="982">
        <v>4831.1899999999996</v>
      </c>
      <c r="U27" s="982">
        <v>0</v>
      </c>
      <c r="V27" s="982">
        <v>0</v>
      </c>
      <c r="W27" s="985">
        <v>0</v>
      </c>
    </row>
    <row r="28" spans="1:23" ht="15.6" x14ac:dyDescent="0.3">
      <c r="A28" s="972" t="s">
        <v>747</v>
      </c>
      <c r="B28" s="982">
        <v>0</v>
      </c>
      <c r="C28" s="982">
        <v>435836.42</v>
      </c>
      <c r="D28" s="982">
        <v>159918.39000000001</v>
      </c>
      <c r="E28" s="982">
        <v>0</v>
      </c>
      <c r="F28" s="982">
        <v>0</v>
      </c>
      <c r="G28" s="982">
        <v>44643.62</v>
      </c>
      <c r="H28" s="982">
        <v>0</v>
      </c>
      <c r="I28" s="982">
        <v>0</v>
      </c>
      <c r="J28" s="982">
        <v>0</v>
      </c>
      <c r="K28" s="1125"/>
      <c r="L28" s="982">
        <v>1650</v>
      </c>
      <c r="M28" s="1143">
        <v>-34643.620000000003</v>
      </c>
      <c r="N28" s="1143">
        <v>975</v>
      </c>
      <c r="O28" s="1143">
        <v>0</v>
      </c>
      <c r="P28" s="1143"/>
      <c r="Q28" s="985">
        <v>13815</v>
      </c>
      <c r="R28" s="982">
        <v>-11940</v>
      </c>
      <c r="S28" s="982">
        <v>0</v>
      </c>
      <c r="T28" s="982">
        <v>4600.09</v>
      </c>
      <c r="U28" s="982">
        <v>0</v>
      </c>
      <c r="V28" s="982">
        <v>43793.83</v>
      </c>
      <c r="W28" s="985">
        <v>45</v>
      </c>
    </row>
    <row r="29" spans="1:23" ht="15.6" x14ac:dyDescent="0.3">
      <c r="A29" s="972" t="s">
        <v>748</v>
      </c>
      <c r="B29" s="982">
        <v>3173.16</v>
      </c>
      <c r="C29" s="982">
        <v>2675.72</v>
      </c>
      <c r="D29" s="982">
        <v>10853.48</v>
      </c>
      <c r="E29" s="982">
        <v>2115.2399999999998</v>
      </c>
      <c r="F29" s="982">
        <v>3755.84</v>
      </c>
      <c r="G29" s="982">
        <v>1624.5</v>
      </c>
      <c r="H29" s="982">
        <v>1600</v>
      </c>
      <c r="I29" s="982">
        <v>807.25</v>
      </c>
      <c r="J29" s="982">
        <v>1679.84</v>
      </c>
      <c r="K29" s="1125">
        <v>12776</v>
      </c>
      <c r="L29" s="982">
        <v>-11300</v>
      </c>
      <c r="M29" s="1143">
        <v>394</v>
      </c>
      <c r="N29" s="1143">
        <v>325</v>
      </c>
      <c r="O29" s="1143">
        <v>176.5</v>
      </c>
      <c r="P29" s="1143">
        <v>758.89</v>
      </c>
      <c r="Q29" s="985">
        <v>1104.24</v>
      </c>
      <c r="R29" s="982">
        <v>1147.6199999999999</v>
      </c>
      <c r="S29" s="982">
        <v>685</v>
      </c>
      <c r="T29" s="982">
        <v>213</v>
      </c>
      <c r="U29" s="982">
        <v>366</v>
      </c>
      <c r="V29" s="982">
        <v>635</v>
      </c>
      <c r="W29" s="985">
        <v>518.5</v>
      </c>
    </row>
    <row r="30" spans="1:23" ht="15.6" x14ac:dyDescent="0.3">
      <c r="A30" s="972" t="s">
        <v>749</v>
      </c>
      <c r="B30" s="982">
        <v>-273380.17</v>
      </c>
      <c r="C30" s="982">
        <v>-74.78</v>
      </c>
      <c r="D30" s="982">
        <v>123160.18</v>
      </c>
      <c r="E30" s="982">
        <v>-69440.009999999995</v>
      </c>
      <c r="F30" s="982">
        <v>174899.83</v>
      </c>
      <c r="G30" s="982">
        <v>-234712.95</v>
      </c>
      <c r="H30" s="982">
        <v>-729180.79</v>
      </c>
      <c r="I30" s="982">
        <v>56119</v>
      </c>
      <c r="J30" s="982">
        <v>95398.7</v>
      </c>
      <c r="K30" s="1125">
        <v>116742.63</v>
      </c>
      <c r="L30" s="982">
        <v>92519.91</v>
      </c>
      <c r="M30" s="1143">
        <v>177036</v>
      </c>
      <c r="N30" s="1143">
        <v>-156635</v>
      </c>
      <c r="O30" s="1143">
        <v>273222</v>
      </c>
      <c r="P30" s="1143">
        <v>665407</v>
      </c>
      <c r="Q30" s="985">
        <v>160520</v>
      </c>
      <c r="R30" s="982">
        <v>-423613.5</v>
      </c>
      <c r="S30" s="982">
        <v>-67882</v>
      </c>
      <c r="T30" s="982">
        <v>16885</v>
      </c>
      <c r="U30" s="982">
        <v>-134376.5</v>
      </c>
      <c r="V30" s="982">
        <v>-144879.24</v>
      </c>
      <c r="W30" s="985">
        <v>33401.879999999997</v>
      </c>
    </row>
    <row r="31" spans="1:23" ht="15.6" x14ac:dyDescent="0.3">
      <c r="A31" s="972" t="s">
        <v>617</v>
      </c>
      <c r="B31" s="982">
        <v>3825.52</v>
      </c>
      <c r="C31" s="982">
        <v>22622.7</v>
      </c>
      <c r="D31" s="982">
        <v>6592.04</v>
      </c>
      <c r="E31" s="982">
        <v>1472.1</v>
      </c>
      <c r="F31" s="982">
        <v>24</v>
      </c>
      <c r="G31" s="982">
        <v>-2034.59</v>
      </c>
      <c r="H31" s="982">
        <v>735.04</v>
      </c>
      <c r="I31" s="982">
        <v>2093.33</v>
      </c>
      <c r="J31" s="982">
        <v>1275.1300000000001</v>
      </c>
      <c r="K31" s="1125">
        <v>1115.22</v>
      </c>
      <c r="L31" s="982">
        <v>-1456.35</v>
      </c>
      <c r="M31" s="1143">
        <v>5012.6000000000004</v>
      </c>
      <c r="N31" s="1143">
        <v>-669.7</v>
      </c>
      <c r="O31" s="1143">
        <v>-1146.55</v>
      </c>
      <c r="P31" s="1143">
        <v>-13476.58</v>
      </c>
      <c r="Q31" s="985">
        <v>-3960.9</v>
      </c>
      <c r="R31" s="982">
        <v>595.13</v>
      </c>
      <c r="S31" s="982">
        <v>-31110.28</v>
      </c>
      <c r="T31" s="982">
        <v>-2890.44</v>
      </c>
      <c r="U31" s="982">
        <v>-3934.21</v>
      </c>
      <c r="V31" s="982">
        <v>7565.47</v>
      </c>
      <c r="W31" s="985">
        <v>3.43</v>
      </c>
    </row>
    <row r="32" spans="1:23" ht="15.6" x14ac:dyDescent="0.3">
      <c r="A32" s="972" t="s">
        <v>618</v>
      </c>
      <c r="B32" s="982">
        <v>0</v>
      </c>
      <c r="C32" s="982">
        <v>0</v>
      </c>
      <c r="D32" s="982">
        <v>0</v>
      </c>
      <c r="E32" s="982">
        <v>0</v>
      </c>
      <c r="F32" s="982">
        <v>0</v>
      </c>
      <c r="G32" s="982">
        <v>-295.45</v>
      </c>
      <c r="H32" s="982">
        <v>185.12</v>
      </c>
      <c r="I32" s="982">
        <v>45.84</v>
      </c>
      <c r="J32" s="982">
        <v>150.18</v>
      </c>
      <c r="K32" s="1125">
        <v>5025.88</v>
      </c>
      <c r="L32" s="982">
        <v>-172.59</v>
      </c>
      <c r="M32" s="1143">
        <v>-4354.91</v>
      </c>
      <c r="N32" s="1143">
        <v>47.62</v>
      </c>
      <c r="O32" s="1143">
        <v>-1.73</v>
      </c>
      <c r="P32" s="1143">
        <v>15.25</v>
      </c>
      <c r="Q32" s="985">
        <v>237</v>
      </c>
      <c r="R32" s="982">
        <v>-281.92</v>
      </c>
      <c r="S32" s="982">
        <v>-9.6</v>
      </c>
      <c r="T32" s="982">
        <v>-72.52</v>
      </c>
      <c r="U32" s="982">
        <v>-155.80000000000001</v>
      </c>
      <c r="V32" s="982">
        <v>345.82</v>
      </c>
      <c r="W32" s="985">
        <v>44.76</v>
      </c>
    </row>
    <row r="33" spans="1:23" ht="15.6" x14ac:dyDescent="0.3">
      <c r="A33" s="972" t="s">
        <v>619</v>
      </c>
      <c r="B33" s="982">
        <v>0</v>
      </c>
      <c r="C33" s="982">
        <v>0</v>
      </c>
      <c r="D33" s="982">
        <v>0</v>
      </c>
      <c r="E33" s="982">
        <v>0</v>
      </c>
      <c r="F33" s="982">
        <v>0</v>
      </c>
      <c r="G33" s="982">
        <v>-218.7</v>
      </c>
      <c r="H33" s="982">
        <v>0</v>
      </c>
      <c r="I33" s="982">
        <v>0</v>
      </c>
      <c r="J33" s="982">
        <v>218.7</v>
      </c>
      <c r="K33" s="1125">
        <v>0</v>
      </c>
      <c r="L33" s="982">
        <v>0</v>
      </c>
      <c r="M33" s="1143">
        <v>0</v>
      </c>
      <c r="N33" s="1143">
        <v>0</v>
      </c>
      <c r="O33" s="1143"/>
      <c r="P33" s="1143"/>
      <c r="Q33" s="985">
        <v>0</v>
      </c>
      <c r="R33" s="982">
        <v>0</v>
      </c>
      <c r="S33" s="982">
        <v>0</v>
      </c>
      <c r="T33" s="982">
        <v>5</v>
      </c>
      <c r="U33" s="982">
        <v>0</v>
      </c>
      <c r="V33" s="982">
        <v>0</v>
      </c>
      <c r="W33" s="985">
        <v>0</v>
      </c>
    </row>
    <row r="34" spans="1:23" ht="15.6" x14ac:dyDescent="0.3">
      <c r="A34" s="972" t="s">
        <v>609</v>
      </c>
      <c r="B34" s="982">
        <v>0</v>
      </c>
      <c r="C34" s="982">
        <v>0</v>
      </c>
      <c r="D34" s="982">
        <v>0</v>
      </c>
      <c r="E34" s="982">
        <v>0</v>
      </c>
      <c r="F34" s="982">
        <v>0</v>
      </c>
      <c r="G34" s="982">
        <v>3483.58</v>
      </c>
      <c r="H34" s="982">
        <v>4940.46</v>
      </c>
      <c r="I34" s="982">
        <v>5554.71</v>
      </c>
      <c r="J34" s="982">
        <v>1348.25</v>
      </c>
      <c r="K34" s="1125">
        <v>1619.7</v>
      </c>
      <c r="L34" s="982">
        <v>2075.27</v>
      </c>
      <c r="M34" s="1143">
        <v>6741.08</v>
      </c>
      <c r="N34" s="1143">
        <v>1053.83</v>
      </c>
      <c r="O34" s="1143">
        <v>1282.51</v>
      </c>
      <c r="P34" s="1143">
        <v>1315.99</v>
      </c>
      <c r="Q34" s="985">
        <v>3366.93</v>
      </c>
      <c r="R34" s="982">
        <v>9192.4599999999991</v>
      </c>
      <c r="S34" s="982">
        <v>7843.54</v>
      </c>
      <c r="T34" s="982">
        <v>4073.37</v>
      </c>
      <c r="U34" s="982">
        <v>16821.45</v>
      </c>
      <c r="V34" s="982">
        <v>2786.69</v>
      </c>
      <c r="W34" s="985">
        <v>8249.01</v>
      </c>
    </row>
    <row r="35" spans="1:23" ht="15.6" x14ac:dyDescent="0.3">
      <c r="A35" s="972" t="s">
        <v>610</v>
      </c>
      <c r="B35" s="982">
        <v>7400.75</v>
      </c>
      <c r="C35" s="982">
        <v>9492.0400000000009</v>
      </c>
      <c r="D35" s="982">
        <v>10155.32</v>
      </c>
      <c r="E35" s="982">
        <v>13556.74</v>
      </c>
      <c r="F35" s="982">
        <v>10938.48</v>
      </c>
      <c r="G35" s="982">
        <v>8780.67</v>
      </c>
      <c r="H35" s="982">
        <v>11243.34</v>
      </c>
      <c r="I35" s="982">
        <v>10918.32</v>
      </c>
      <c r="J35" s="982">
        <v>8088.61</v>
      </c>
      <c r="K35" s="1125">
        <v>14991.08</v>
      </c>
      <c r="L35" s="982">
        <v>10456.290000000001</v>
      </c>
      <c r="M35" s="1143">
        <v>9473.17</v>
      </c>
      <c r="N35" s="1143">
        <v>9229.65</v>
      </c>
      <c r="O35" s="1143">
        <v>7077.6</v>
      </c>
      <c r="P35" s="1143">
        <v>9688.18</v>
      </c>
      <c r="Q35" s="985">
        <v>10918.59</v>
      </c>
      <c r="R35" s="982">
        <v>16128.94</v>
      </c>
      <c r="S35" s="982">
        <v>12343.4</v>
      </c>
      <c r="T35" s="982">
        <v>11394.63</v>
      </c>
      <c r="U35" s="982">
        <v>11938</v>
      </c>
      <c r="V35" s="982">
        <v>14665.22</v>
      </c>
      <c r="W35" s="985">
        <v>14430.22</v>
      </c>
    </row>
    <row r="36" spans="1:23" ht="15.6" x14ac:dyDescent="0.3">
      <c r="A36" s="972" t="s">
        <v>611</v>
      </c>
      <c r="B36" s="982">
        <v>7585.7</v>
      </c>
      <c r="C36" s="982">
        <v>8535.44</v>
      </c>
      <c r="D36" s="982">
        <v>99</v>
      </c>
      <c r="E36" s="982">
        <v>0</v>
      </c>
      <c r="F36" s="982">
        <v>620.35</v>
      </c>
      <c r="G36" s="982">
        <v>1434</v>
      </c>
      <c r="H36" s="982">
        <v>2131.63</v>
      </c>
      <c r="I36" s="982">
        <v>1636.33</v>
      </c>
      <c r="J36" s="982">
        <v>1627.45</v>
      </c>
      <c r="K36" s="1125">
        <v>506.08</v>
      </c>
      <c r="L36" s="982">
        <v>1496.58</v>
      </c>
      <c r="M36" s="1143">
        <v>5856.23</v>
      </c>
      <c r="N36" s="1143">
        <v>506.08</v>
      </c>
      <c r="O36" s="1143">
        <v>-881.56</v>
      </c>
      <c r="P36" s="1143">
        <v>506.08</v>
      </c>
      <c r="Q36" s="985">
        <v>2040.24</v>
      </c>
      <c r="R36" s="982">
        <v>0</v>
      </c>
      <c r="S36" s="982">
        <v>959.9</v>
      </c>
      <c r="T36" s="982">
        <v>0</v>
      </c>
      <c r="U36" s="982">
        <v>2426.91</v>
      </c>
      <c r="V36" s="982">
        <v>1278.1600000000001</v>
      </c>
      <c r="W36" s="985">
        <v>1330.75</v>
      </c>
    </row>
    <row r="37" spans="1:23" ht="15.6" x14ac:dyDescent="0.3">
      <c r="A37" s="972" t="s">
        <v>612</v>
      </c>
      <c r="B37" s="982">
        <v>27049.45</v>
      </c>
      <c r="C37" s="982">
        <v>22421.85</v>
      </c>
      <c r="D37" s="982">
        <v>20996.66</v>
      </c>
      <c r="E37" s="982">
        <v>71444.929999999993</v>
      </c>
      <c r="F37" s="982">
        <v>15960.14</v>
      </c>
      <c r="G37" s="982">
        <v>39744.71</v>
      </c>
      <c r="H37" s="982">
        <v>22679.13</v>
      </c>
      <c r="I37" s="982">
        <v>34097.410000000003</v>
      </c>
      <c r="J37" s="982">
        <v>13652.12</v>
      </c>
      <c r="K37" s="1125">
        <v>19470.84</v>
      </c>
      <c r="L37" s="982">
        <v>11795.14</v>
      </c>
      <c r="M37" s="1143">
        <v>20093.900000000001</v>
      </c>
      <c r="N37" s="1143">
        <v>15513.71</v>
      </c>
      <c r="O37" s="1143">
        <v>17201.3</v>
      </c>
      <c r="P37" s="1143">
        <v>34922.17</v>
      </c>
      <c r="Q37" s="985">
        <v>15119.07</v>
      </c>
      <c r="R37" s="982">
        <v>8956.64</v>
      </c>
      <c r="S37" s="982">
        <v>22559.13</v>
      </c>
      <c r="T37" s="982">
        <v>16244.23</v>
      </c>
      <c r="U37" s="982">
        <v>28939.66</v>
      </c>
      <c r="V37" s="982">
        <v>33902.910000000003</v>
      </c>
      <c r="W37" s="985">
        <v>10803.07</v>
      </c>
    </row>
    <row r="38" spans="1:23" ht="15.6" x14ac:dyDescent="0.3">
      <c r="A38" s="1398" t="s">
        <v>1240</v>
      </c>
      <c r="B38" s="982"/>
      <c r="C38" s="982"/>
      <c r="D38" s="982"/>
      <c r="E38" s="982"/>
      <c r="F38" s="982"/>
      <c r="G38" s="982"/>
      <c r="H38" s="982"/>
      <c r="I38" s="982"/>
      <c r="J38" s="982"/>
      <c r="K38" s="1125"/>
      <c r="L38" s="982"/>
      <c r="M38" s="1143"/>
      <c r="N38" s="1143"/>
      <c r="O38" s="1143"/>
      <c r="P38" s="1143"/>
      <c r="Q38" s="985"/>
      <c r="R38" s="982">
        <v>0</v>
      </c>
      <c r="S38" s="982">
        <v>0</v>
      </c>
      <c r="T38" s="982">
        <v>0</v>
      </c>
      <c r="U38" s="982">
        <v>0</v>
      </c>
      <c r="V38" s="982">
        <v>0</v>
      </c>
      <c r="W38" s="985">
        <v>0</v>
      </c>
    </row>
    <row r="39" spans="1:23" ht="15.6" x14ac:dyDescent="0.3">
      <c r="A39" s="972" t="s">
        <v>613</v>
      </c>
      <c r="B39" s="982">
        <v>0</v>
      </c>
      <c r="C39" s="982">
        <v>0</v>
      </c>
      <c r="D39" s="982">
        <v>0</v>
      </c>
      <c r="E39" s="982">
        <v>0</v>
      </c>
      <c r="F39" s="982">
        <v>0</v>
      </c>
      <c r="G39" s="982">
        <v>249.9</v>
      </c>
      <c r="H39" s="982">
        <v>0</v>
      </c>
      <c r="I39" s="982">
        <v>7500</v>
      </c>
      <c r="J39" s="982">
        <v>2000</v>
      </c>
      <c r="K39" s="1125">
        <v>5000</v>
      </c>
      <c r="L39" s="982">
        <v>8000</v>
      </c>
      <c r="M39" s="1143">
        <v>23368.73</v>
      </c>
      <c r="N39" s="1143">
        <v>9724</v>
      </c>
      <c r="O39" s="1143">
        <v>9224.35</v>
      </c>
      <c r="P39" s="1143">
        <v>23500</v>
      </c>
      <c r="Q39" s="985">
        <v>0</v>
      </c>
      <c r="R39" s="982">
        <v>0</v>
      </c>
      <c r="S39" s="982">
        <v>0</v>
      </c>
      <c r="T39" s="982">
        <v>0</v>
      </c>
      <c r="U39" s="982">
        <v>-29.58</v>
      </c>
      <c r="V39" s="982">
        <v>0</v>
      </c>
      <c r="W39" s="985">
        <v>0</v>
      </c>
    </row>
    <row r="40" spans="1:23" ht="15.6" x14ac:dyDescent="0.3">
      <c r="A40" s="972" t="s">
        <v>614</v>
      </c>
      <c r="B40" s="982">
        <v>3303.9</v>
      </c>
      <c r="C40" s="982">
        <v>12601.99</v>
      </c>
      <c r="D40" s="982">
        <v>21176.17</v>
      </c>
      <c r="E40" s="982">
        <v>-5863.57</v>
      </c>
      <c r="F40" s="982">
        <v>-11583.58</v>
      </c>
      <c r="G40" s="982">
        <v>-10961.39</v>
      </c>
      <c r="H40" s="982">
        <v>77477.009999999995</v>
      </c>
      <c r="I40" s="982">
        <v>18894.11</v>
      </c>
      <c r="J40" s="982">
        <v>-49966.17</v>
      </c>
      <c r="K40" s="1125">
        <v>3697.1</v>
      </c>
      <c r="L40" s="982">
        <v>18465.740000000002</v>
      </c>
      <c r="M40" s="1143">
        <v>10528.42</v>
      </c>
      <c r="N40" s="1143">
        <v>6796.64</v>
      </c>
      <c r="O40" s="1143">
        <v>17695.09</v>
      </c>
      <c r="P40" s="1143">
        <v>5522.38</v>
      </c>
      <c r="Q40" s="985">
        <v>12783.99</v>
      </c>
      <c r="R40" s="982">
        <v>47606.2</v>
      </c>
      <c r="S40" s="982">
        <v>25280.98</v>
      </c>
      <c r="T40" s="982">
        <v>26528.39</v>
      </c>
      <c r="U40" s="982">
        <v>28761.94</v>
      </c>
      <c r="V40" s="982">
        <v>47880.28</v>
      </c>
      <c r="W40" s="985">
        <v>14172.45</v>
      </c>
    </row>
    <row r="41" spans="1:23" ht="15.6" x14ac:dyDescent="0.3">
      <c r="A41" s="972" t="s">
        <v>615</v>
      </c>
      <c r="B41" s="982">
        <v>0</v>
      </c>
      <c r="C41" s="982">
        <v>0</v>
      </c>
      <c r="D41" s="982">
        <v>3654.75</v>
      </c>
      <c r="E41" s="982">
        <v>0</v>
      </c>
      <c r="F41" s="982">
        <v>0</v>
      </c>
      <c r="G41" s="982">
        <v>547.9</v>
      </c>
      <c r="H41" s="982">
        <v>51.68</v>
      </c>
      <c r="I41" s="982">
        <v>0</v>
      </c>
      <c r="J41" s="982">
        <v>0</v>
      </c>
      <c r="K41" s="1125"/>
      <c r="L41" s="982">
        <v>0</v>
      </c>
      <c r="M41" s="1143">
        <v>0</v>
      </c>
      <c r="N41" s="1143">
        <v>0</v>
      </c>
      <c r="O41" s="1143"/>
      <c r="P41" s="1143"/>
      <c r="Q41" s="985">
        <v>7000</v>
      </c>
      <c r="R41" s="982">
        <v>7000</v>
      </c>
      <c r="S41" s="982">
        <v>7000</v>
      </c>
      <c r="T41" s="982">
        <v>0</v>
      </c>
      <c r="U41" s="982">
        <v>0</v>
      </c>
      <c r="V41" s="982">
        <v>0</v>
      </c>
      <c r="W41" s="985">
        <v>0</v>
      </c>
    </row>
    <row r="42" spans="1:23" ht="15.6" x14ac:dyDescent="0.3">
      <c r="A42" s="972" t="s">
        <v>616</v>
      </c>
      <c r="B42" s="982">
        <v>0</v>
      </c>
      <c r="C42" s="982">
        <v>0</v>
      </c>
      <c r="D42" s="982">
        <v>0</v>
      </c>
      <c r="E42" s="982">
        <v>0</v>
      </c>
      <c r="F42" s="982">
        <v>0</v>
      </c>
      <c r="G42" s="982">
        <v>33599.370000000003</v>
      </c>
      <c r="H42" s="982">
        <v>0</v>
      </c>
      <c r="I42" s="982">
        <v>0</v>
      </c>
      <c r="J42" s="982">
        <v>0</v>
      </c>
      <c r="K42" s="1125"/>
      <c r="L42" s="982">
        <v>0</v>
      </c>
      <c r="M42" s="1143">
        <v>0</v>
      </c>
      <c r="N42" s="1143">
        <v>0</v>
      </c>
      <c r="O42" s="1143"/>
      <c r="P42" s="1143"/>
      <c r="Q42" s="985">
        <v>0</v>
      </c>
      <c r="R42" s="982">
        <v>0</v>
      </c>
      <c r="S42" s="982">
        <v>0</v>
      </c>
      <c r="T42" s="982">
        <v>0</v>
      </c>
      <c r="U42" s="982">
        <v>0</v>
      </c>
      <c r="V42" s="982">
        <v>0</v>
      </c>
      <c r="W42" s="985">
        <v>0</v>
      </c>
    </row>
    <row r="43" spans="1:23" ht="15.6" x14ac:dyDescent="0.3">
      <c r="A43" s="1398" t="s">
        <v>1241</v>
      </c>
      <c r="B43" s="982"/>
      <c r="C43" s="982"/>
      <c r="D43" s="982"/>
      <c r="E43" s="982"/>
      <c r="F43" s="982"/>
      <c r="G43" s="982"/>
      <c r="H43" s="982"/>
      <c r="I43" s="982"/>
      <c r="J43" s="982"/>
      <c r="K43" s="1125"/>
      <c r="L43" s="982"/>
      <c r="M43" s="1143"/>
      <c r="N43" s="1143"/>
      <c r="O43" s="1143"/>
      <c r="P43" s="1143"/>
      <c r="Q43" s="985"/>
      <c r="R43" s="982">
        <v>0</v>
      </c>
      <c r="S43" s="982">
        <v>0</v>
      </c>
      <c r="T43" s="982">
        <v>0</v>
      </c>
      <c r="U43" s="982">
        <v>0</v>
      </c>
      <c r="V43" s="982">
        <v>0</v>
      </c>
      <c r="W43" s="985">
        <v>0</v>
      </c>
    </row>
    <row r="44" spans="1:23" ht="15.6" x14ac:dyDescent="0.3">
      <c r="A44" s="1398" t="s">
        <v>1242</v>
      </c>
      <c r="B44" s="982"/>
      <c r="C44" s="982"/>
      <c r="D44" s="982"/>
      <c r="E44" s="982"/>
      <c r="F44" s="982"/>
      <c r="G44" s="982"/>
      <c r="H44" s="982"/>
      <c r="I44" s="982"/>
      <c r="J44" s="982"/>
      <c r="K44" s="1125"/>
      <c r="L44" s="982"/>
      <c r="M44" s="1143"/>
      <c r="N44" s="1143"/>
      <c r="O44" s="1143"/>
      <c r="P44" s="1143"/>
      <c r="Q44" s="985"/>
      <c r="R44" s="982">
        <v>8500</v>
      </c>
      <c r="S44" s="982">
        <v>9000</v>
      </c>
      <c r="T44" s="982">
        <v>11883.39</v>
      </c>
      <c r="U44" s="982">
        <v>6613.59</v>
      </c>
      <c r="V44" s="982">
        <v>36283.93</v>
      </c>
      <c r="W44" s="985">
        <v>89455.94</v>
      </c>
    </row>
    <row r="45" spans="1:23" ht="15.6" x14ac:dyDescent="0.3">
      <c r="A45" s="972" t="s">
        <v>751</v>
      </c>
      <c r="B45" s="982">
        <v>18665.11</v>
      </c>
      <c r="C45" s="982">
        <v>22417.09</v>
      </c>
      <c r="D45" s="982">
        <v>68209.09</v>
      </c>
      <c r="E45" s="982">
        <v>48598.25</v>
      </c>
      <c r="F45" s="982">
        <v>58385.5</v>
      </c>
      <c r="G45" s="982">
        <v>57553.63</v>
      </c>
      <c r="H45" s="982">
        <v>44239.64</v>
      </c>
      <c r="I45" s="982">
        <v>49574.39</v>
      </c>
      <c r="J45" s="982">
        <v>41127.1</v>
      </c>
      <c r="K45" s="1125">
        <v>23927.35</v>
      </c>
      <c r="L45" s="982">
        <v>9887.14</v>
      </c>
      <c r="M45" s="1143">
        <v>40977.519999999997</v>
      </c>
      <c r="N45" s="1143">
        <v>33899.94</v>
      </c>
      <c r="O45" s="1143">
        <v>21220.91</v>
      </c>
      <c r="P45" s="1143">
        <v>32132.78</v>
      </c>
      <c r="Q45" s="985">
        <v>45900.26</v>
      </c>
      <c r="R45" s="982">
        <v>32646.07</v>
      </c>
      <c r="S45" s="982">
        <v>49563</v>
      </c>
      <c r="T45" s="982">
        <v>51783.96</v>
      </c>
      <c r="U45" s="982">
        <v>19292.22</v>
      </c>
      <c r="V45" s="982">
        <v>30341.54</v>
      </c>
      <c r="W45" s="985">
        <v>41765.949999999997</v>
      </c>
    </row>
    <row r="46" spans="1:23" ht="15.6" x14ac:dyDescent="0.3">
      <c r="A46" s="1404" t="s">
        <v>752</v>
      </c>
      <c r="B46" s="1405">
        <v>3980.78</v>
      </c>
      <c r="C46" s="1405">
        <v>4259.12</v>
      </c>
      <c r="D46" s="1405">
        <v>2890.75</v>
      </c>
      <c r="E46" s="1405">
        <v>19194.169999999998</v>
      </c>
      <c r="F46" s="1405">
        <v>3890.13</v>
      </c>
      <c r="G46" s="1405">
        <v>14138.6</v>
      </c>
      <c r="H46" s="1405">
        <v>4357.33</v>
      </c>
      <c r="I46" s="1405">
        <v>6032.14</v>
      </c>
      <c r="J46" s="1405">
        <v>3828.89</v>
      </c>
      <c r="K46" s="1406">
        <v>2932.06</v>
      </c>
      <c r="L46" s="1405">
        <v>2433.67</v>
      </c>
      <c r="M46" s="1407">
        <v>2582.88</v>
      </c>
      <c r="N46" s="1407">
        <v>5752.42</v>
      </c>
      <c r="O46" s="1407">
        <v>10800.92</v>
      </c>
      <c r="P46" s="1407">
        <v>3140.65</v>
      </c>
      <c r="Q46" s="1408">
        <v>684.03</v>
      </c>
      <c r="R46" s="1405">
        <v>3176.49</v>
      </c>
      <c r="S46" s="1405">
        <v>5902.83</v>
      </c>
      <c r="T46" s="1405">
        <v>1734.6</v>
      </c>
      <c r="U46" s="982">
        <v>9377.99</v>
      </c>
      <c r="V46" s="982">
        <v>2454.3000000000002</v>
      </c>
      <c r="W46" s="985">
        <v>1734.6</v>
      </c>
    </row>
    <row r="47" spans="1:23" ht="15.6" x14ac:dyDescent="0.3">
      <c r="A47" s="1409" t="s">
        <v>853</v>
      </c>
      <c r="B47" s="1410">
        <v>-67852.66</v>
      </c>
      <c r="C47" s="1410">
        <v>-56919.83</v>
      </c>
      <c r="D47" s="1410">
        <v>-85872.45</v>
      </c>
      <c r="E47" s="1410">
        <v>-113191.46</v>
      </c>
      <c r="F47" s="1410">
        <v>-60572.78</v>
      </c>
      <c r="G47" s="1410">
        <v>-133027.82</v>
      </c>
      <c r="H47" s="1410">
        <v>-41742.06</v>
      </c>
      <c r="I47" s="1410">
        <v>-100916.68</v>
      </c>
      <c r="J47" s="1410">
        <v>-95151.83</v>
      </c>
      <c r="K47" s="1411">
        <v>-66526.45</v>
      </c>
      <c r="L47" s="1410">
        <v>-57129.62</v>
      </c>
      <c r="M47" s="1412">
        <v>-94360.45</v>
      </c>
      <c r="N47" s="1412">
        <v>-56945.08</v>
      </c>
      <c r="O47" s="1412">
        <v>-40176.89</v>
      </c>
      <c r="P47" s="1412">
        <v>-75099.81</v>
      </c>
      <c r="Q47" s="1413">
        <v>-101028.35</v>
      </c>
      <c r="R47" s="1410">
        <v>-131228.34</v>
      </c>
      <c r="S47" s="1410">
        <v>-181072.56</v>
      </c>
      <c r="T47" s="1410">
        <v>-95988.87</v>
      </c>
      <c r="U47" s="982">
        <v>-100482.83</v>
      </c>
      <c r="V47" s="982">
        <v>-91022.2</v>
      </c>
      <c r="W47" s="985">
        <v>-86264.94</v>
      </c>
    </row>
    <row r="48" spans="1:23" ht="15.6" x14ac:dyDescent="0.3">
      <c r="A48" s="972" t="s">
        <v>604</v>
      </c>
      <c r="B48" s="982">
        <v>86950.93</v>
      </c>
      <c r="C48" s="982">
        <v>90602.99</v>
      </c>
      <c r="D48" s="982">
        <v>113486.04</v>
      </c>
      <c r="E48" s="982">
        <v>80737.679999999993</v>
      </c>
      <c r="F48" s="982">
        <v>95848.53</v>
      </c>
      <c r="G48" s="982">
        <v>81669.509999999995</v>
      </c>
      <c r="H48" s="989">
        <v>63628.71</v>
      </c>
      <c r="I48" s="989">
        <v>75373.710000000006</v>
      </c>
      <c r="J48" s="982">
        <v>79918.28</v>
      </c>
      <c r="K48" s="1125">
        <v>76096.639999999999</v>
      </c>
      <c r="L48" s="982">
        <v>64204.52</v>
      </c>
      <c r="M48" s="1143">
        <v>81465</v>
      </c>
      <c r="N48" s="1143">
        <v>73647.78</v>
      </c>
      <c r="O48" s="1143">
        <v>74507.679999999993</v>
      </c>
      <c r="P48" s="1143">
        <v>100565.53</v>
      </c>
      <c r="Q48" s="985">
        <v>83326.960000000006</v>
      </c>
      <c r="R48" s="982">
        <v>93093.87</v>
      </c>
      <c r="S48" s="982">
        <v>78927.94</v>
      </c>
      <c r="T48" s="982">
        <v>66431.5</v>
      </c>
      <c r="U48" s="982">
        <v>75089.52</v>
      </c>
      <c r="V48" s="982">
        <v>77737.27</v>
      </c>
      <c r="W48" s="985">
        <v>82327.039999999994</v>
      </c>
    </row>
    <row r="49" spans="1:23" ht="15.6" x14ac:dyDescent="0.3">
      <c r="A49" s="972" t="s">
        <v>605</v>
      </c>
      <c r="B49" s="982">
        <v>7012.84</v>
      </c>
      <c r="C49" s="982">
        <v>8194.6</v>
      </c>
      <c r="D49" s="982">
        <v>10016.790000000001</v>
      </c>
      <c r="E49" s="982">
        <v>6458.59</v>
      </c>
      <c r="F49" s="982">
        <v>7455.38</v>
      </c>
      <c r="G49" s="982">
        <v>6346.2</v>
      </c>
      <c r="H49" s="989">
        <v>4700.28</v>
      </c>
      <c r="I49" s="989">
        <v>6045.28</v>
      </c>
      <c r="J49" s="982">
        <v>6382.81</v>
      </c>
      <c r="K49" s="1125">
        <v>5990.54</v>
      </c>
      <c r="L49" s="982">
        <v>4872.0200000000004</v>
      </c>
      <c r="M49" s="1143">
        <v>6260.27</v>
      </c>
      <c r="N49" s="1143">
        <v>7403.75</v>
      </c>
      <c r="O49" s="1143">
        <v>7643.14</v>
      </c>
      <c r="P49" s="1143">
        <v>8677.0400000000009</v>
      </c>
      <c r="Q49" s="985">
        <v>6538.69</v>
      </c>
      <c r="R49" s="982">
        <v>7504.7</v>
      </c>
      <c r="S49" s="982">
        <v>6403.12</v>
      </c>
      <c r="T49" s="982">
        <v>5585.65</v>
      </c>
      <c r="U49" s="982">
        <v>5920.42</v>
      </c>
      <c r="V49" s="982">
        <v>6011.66</v>
      </c>
      <c r="W49" s="985">
        <v>6328.82</v>
      </c>
    </row>
    <row r="50" spans="1:23" ht="15.6" x14ac:dyDescent="0.3">
      <c r="A50" s="972" t="s">
        <v>606</v>
      </c>
      <c r="B50" s="982">
        <v>4808.5</v>
      </c>
      <c r="C50" s="982">
        <v>5372.7</v>
      </c>
      <c r="D50" s="982">
        <v>5087.3999999999996</v>
      </c>
      <c r="E50" s="982">
        <v>5084.2</v>
      </c>
      <c r="F50" s="982">
        <v>5920.9</v>
      </c>
      <c r="G50" s="982">
        <v>5034.2700000000004</v>
      </c>
      <c r="H50" s="989">
        <v>5933.7</v>
      </c>
      <c r="I50" s="989">
        <v>3516.29</v>
      </c>
      <c r="J50" s="982">
        <v>4798.8999999999996</v>
      </c>
      <c r="K50" s="1125">
        <v>3852.74</v>
      </c>
      <c r="L50" s="982">
        <v>4237.8999999999996</v>
      </c>
      <c r="M50" s="1143">
        <v>4121.67</v>
      </c>
      <c r="N50" s="1143">
        <v>4533.6000000000004</v>
      </c>
      <c r="O50" s="1143">
        <v>4805.3599999999997</v>
      </c>
      <c r="P50" s="1143">
        <v>4888.63</v>
      </c>
      <c r="Q50" s="985">
        <v>4971.25</v>
      </c>
      <c r="R50" s="982">
        <v>4373.04</v>
      </c>
      <c r="S50" s="982">
        <v>7855.75</v>
      </c>
      <c r="T50" s="982">
        <v>7630.85</v>
      </c>
      <c r="U50" s="982">
        <v>3934.66</v>
      </c>
      <c r="V50" s="982">
        <v>3306.77</v>
      </c>
      <c r="W50" s="985">
        <v>6179.35</v>
      </c>
    </row>
    <row r="51" spans="1:23" ht="15.6" x14ac:dyDescent="0.3">
      <c r="A51" s="1398" t="s">
        <v>1243</v>
      </c>
      <c r="B51" s="982"/>
      <c r="C51" s="982"/>
      <c r="D51" s="982"/>
      <c r="E51" s="982"/>
      <c r="F51" s="982"/>
      <c r="G51" s="982"/>
      <c r="H51" s="989"/>
      <c r="I51" s="989"/>
      <c r="J51" s="982"/>
      <c r="K51" s="1125"/>
      <c r="L51" s="982"/>
      <c r="M51" s="1143"/>
      <c r="N51" s="1143"/>
      <c r="O51" s="1143"/>
      <c r="P51" s="1143"/>
      <c r="Q51" s="985"/>
      <c r="R51" s="982">
        <v>1423</v>
      </c>
      <c r="S51" s="982">
        <v>0</v>
      </c>
      <c r="T51" s="982">
        <v>0</v>
      </c>
      <c r="U51" s="982">
        <v>0</v>
      </c>
      <c r="V51" s="982">
        <v>0</v>
      </c>
      <c r="W51" s="985">
        <v>0</v>
      </c>
    </row>
    <row r="52" spans="1:23" ht="15.6" x14ac:dyDescent="0.3">
      <c r="A52" s="972" t="s">
        <v>607</v>
      </c>
      <c r="B52" s="982">
        <v>847.3</v>
      </c>
      <c r="C52" s="982">
        <v>691.3</v>
      </c>
      <c r="D52" s="982">
        <v>691.3</v>
      </c>
      <c r="E52" s="982">
        <v>691.3</v>
      </c>
      <c r="F52" s="982">
        <v>1195</v>
      </c>
      <c r="G52" s="982">
        <v>1195.24</v>
      </c>
      <c r="H52" s="989">
        <v>1200</v>
      </c>
      <c r="I52" s="989">
        <v>412.44</v>
      </c>
      <c r="J52" s="982">
        <v>-0.22</v>
      </c>
      <c r="K52" s="1125">
        <v>1195</v>
      </c>
      <c r="L52" s="982">
        <v>1195</v>
      </c>
      <c r="M52" s="1143">
        <v>1195</v>
      </c>
      <c r="N52" s="1143">
        <v>1195</v>
      </c>
      <c r="O52" s="1143">
        <v>1195</v>
      </c>
      <c r="P52" s="1143">
        <v>0</v>
      </c>
      <c r="Q52" s="985">
        <v>0</v>
      </c>
      <c r="R52" s="982">
        <v>0</v>
      </c>
      <c r="S52" s="982">
        <v>1423</v>
      </c>
      <c r="T52" s="982">
        <v>2846</v>
      </c>
      <c r="U52" s="982">
        <v>1423</v>
      </c>
      <c r="V52" s="982">
        <v>1423</v>
      </c>
      <c r="W52" s="985">
        <v>-5127.07</v>
      </c>
    </row>
    <row r="53" spans="1:23" ht="15.6" x14ac:dyDescent="0.3">
      <c r="A53" s="972" t="s">
        <v>608</v>
      </c>
      <c r="B53" s="982">
        <v>330.24</v>
      </c>
      <c r="C53" s="982">
        <v>20602.349999999999</v>
      </c>
      <c r="D53" s="982">
        <v>9771.98</v>
      </c>
      <c r="E53" s="982">
        <v>14520.43</v>
      </c>
      <c r="F53" s="982">
        <v>20369.54</v>
      </c>
      <c r="G53" s="982">
        <v>20731.259999999998</v>
      </c>
      <c r="H53" s="989">
        <v>25097.18</v>
      </c>
      <c r="I53" s="989">
        <v>11648.3</v>
      </c>
      <c r="J53" s="982">
        <v>16817.59</v>
      </c>
      <c r="K53" s="1125">
        <v>8164.78</v>
      </c>
      <c r="L53" s="982">
        <v>5467.65</v>
      </c>
      <c r="M53" s="1143">
        <v>8445.5400000000009</v>
      </c>
      <c r="N53" s="1143">
        <v>7948.01</v>
      </c>
      <c r="O53" s="1143">
        <v>12390.42</v>
      </c>
      <c r="P53" s="1143">
        <v>11045.94</v>
      </c>
      <c r="Q53" s="985">
        <v>10376.11</v>
      </c>
      <c r="R53" s="982">
        <v>12909</v>
      </c>
      <c r="S53" s="982">
        <v>9250.0300000000007</v>
      </c>
      <c r="T53" s="982">
        <v>5836.22</v>
      </c>
      <c r="U53" s="982">
        <v>5629.56</v>
      </c>
      <c r="V53" s="982">
        <v>8118.68</v>
      </c>
      <c r="W53" s="985">
        <v>8823.5400000000009</v>
      </c>
    </row>
    <row r="54" spans="1:23" ht="15.6" x14ac:dyDescent="0.3">
      <c r="A54" s="1398" t="s">
        <v>1244</v>
      </c>
      <c r="B54" s="982"/>
      <c r="C54" s="982"/>
      <c r="D54" s="982"/>
      <c r="E54" s="982"/>
      <c r="F54" s="982"/>
      <c r="G54" s="982"/>
      <c r="H54" s="989"/>
      <c r="I54" s="989"/>
      <c r="J54" s="982"/>
      <c r="K54" s="1125"/>
      <c r="L54" s="982"/>
      <c r="M54" s="1143"/>
      <c r="N54" s="1143"/>
      <c r="O54" s="1143"/>
      <c r="P54" s="1143"/>
      <c r="Q54" s="985"/>
      <c r="R54" s="982">
        <v>1045</v>
      </c>
      <c r="S54" s="982">
        <v>0</v>
      </c>
      <c r="T54" s="982">
        <v>0</v>
      </c>
      <c r="U54" s="982">
        <v>0</v>
      </c>
      <c r="V54" s="982">
        <v>0</v>
      </c>
      <c r="W54" s="985">
        <v>2800</v>
      </c>
    </row>
    <row r="55" spans="1:23" ht="15.6" x14ac:dyDescent="0.3">
      <c r="A55" s="1409" t="s">
        <v>854</v>
      </c>
      <c r="B55" s="1410">
        <v>-137761.45000000001</v>
      </c>
      <c r="C55" s="1410">
        <v>-115564.5</v>
      </c>
      <c r="D55" s="1410">
        <v>-174347.09</v>
      </c>
      <c r="E55" s="1410">
        <v>-229812.97</v>
      </c>
      <c r="F55" s="1410">
        <v>-122981.09</v>
      </c>
      <c r="G55" s="1410">
        <v>-270086.8</v>
      </c>
      <c r="H55" s="1410">
        <v>-84749.04</v>
      </c>
      <c r="I55" s="1410">
        <v>-204891.43</v>
      </c>
      <c r="J55" s="1410">
        <v>-193187.05</v>
      </c>
      <c r="K55" s="1411">
        <v>-135068.84</v>
      </c>
      <c r="L55" s="1410">
        <v>-115990.45</v>
      </c>
      <c r="M55" s="1412">
        <v>-203148.92</v>
      </c>
      <c r="N55" s="1412">
        <v>-115615.77</v>
      </c>
      <c r="O55" s="1412">
        <v>-81571.259999999995</v>
      </c>
      <c r="P55" s="1412">
        <v>-152475.38</v>
      </c>
      <c r="Q55" s="1413">
        <v>-205118.18</v>
      </c>
      <c r="R55" s="1410">
        <v>-266433.3</v>
      </c>
      <c r="S55" s="1410">
        <v>-367632.16</v>
      </c>
      <c r="T55" s="1410">
        <v>-194090.18</v>
      </c>
      <c r="U55" s="982">
        <v>-204806.89</v>
      </c>
      <c r="V55" s="982">
        <v>-180874.91</v>
      </c>
      <c r="W55" s="985">
        <v>-172529.9</v>
      </c>
    </row>
    <row r="56" spans="1:23" ht="15.6" x14ac:dyDescent="0.3">
      <c r="A56" s="972" t="s">
        <v>592</v>
      </c>
      <c r="B56" s="982">
        <v>10537</v>
      </c>
      <c r="C56" s="982">
        <v>10537</v>
      </c>
      <c r="D56" s="982">
        <v>10537</v>
      </c>
      <c r="E56" s="982">
        <v>10537</v>
      </c>
      <c r="F56" s="982">
        <v>10537</v>
      </c>
      <c r="G56" s="982">
        <v>10537</v>
      </c>
      <c r="H56" s="982">
        <v>10537</v>
      </c>
      <c r="I56" s="982">
        <v>10537</v>
      </c>
      <c r="J56" s="982">
        <v>10537</v>
      </c>
      <c r="K56" s="1125">
        <v>10537</v>
      </c>
      <c r="L56" s="982">
        <v>10537</v>
      </c>
      <c r="M56" s="1143">
        <v>13694</v>
      </c>
      <c r="N56" s="1143">
        <v>10537</v>
      </c>
      <c r="O56" s="1143">
        <v>10537</v>
      </c>
      <c r="P56" s="1143">
        <v>10537</v>
      </c>
      <c r="Q56" s="985">
        <v>10537</v>
      </c>
      <c r="R56" s="982">
        <v>10537</v>
      </c>
      <c r="S56" s="982">
        <v>10537</v>
      </c>
      <c r="T56" s="982">
        <v>10537</v>
      </c>
      <c r="U56" s="982">
        <v>10537</v>
      </c>
      <c r="V56" s="982">
        <v>10537</v>
      </c>
      <c r="W56" s="985">
        <v>10537</v>
      </c>
    </row>
    <row r="57" spans="1:23" ht="15.6" x14ac:dyDescent="0.3">
      <c r="A57" s="1277" t="s">
        <v>593</v>
      </c>
      <c r="B57" s="982">
        <v>6838.27</v>
      </c>
      <c r="C57" s="982">
        <v>6838.27</v>
      </c>
      <c r="D57" s="982">
        <v>6838.27</v>
      </c>
      <c r="E57" s="982">
        <v>6838.27</v>
      </c>
      <c r="F57" s="982">
        <v>6838.27</v>
      </c>
      <c r="G57" s="982">
        <v>6838.27</v>
      </c>
      <c r="H57" s="982">
        <v>6838.27</v>
      </c>
      <c r="I57" s="982">
        <v>6838.27</v>
      </c>
      <c r="J57" s="982">
        <v>6838.27</v>
      </c>
      <c r="K57" s="1125">
        <v>10192.18</v>
      </c>
      <c r="L57" s="982">
        <v>10192.18</v>
      </c>
      <c r="M57" s="1143">
        <v>19921.36</v>
      </c>
      <c r="N57" s="1143">
        <v>10192.18</v>
      </c>
      <c r="O57" s="1143">
        <v>12953.87</v>
      </c>
      <c r="P57" s="1143">
        <v>12953.87</v>
      </c>
      <c r="Q57" s="985">
        <v>12953.87</v>
      </c>
      <c r="R57" s="982">
        <v>12953.87</v>
      </c>
      <c r="S57" s="982">
        <v>12953.87</v>
      </c>
      <c r="T57" s="982">
        <v>12953.87</v>
      </c>
      <c r="U57" s="982">
        <v>12953.87</v>
      </c>
      <c r="V57" s="982">
        <v>12953.87</v>
      </c>
      <c r="W57" s="985">
        <v>14783.33</v>
      </c>
    </row>
    <row r="58" spans="1:23" ht="15.6" x14ac:dyDescent="0.3">
      <c r="A58" s="1277" t="s">
        <v>594</v>
      </c>
      <c r="B58" s="982">
        <v>4816.3500000000004</v>
      </c>
      <c r="C58" s="982">
        <v>4816.3500000000004</v>
      </c>
      <c r="D58" s="982">
        <v>4816.3500000000004</v>
      </c>
      <c r="E58" s="982">
        <v>4816.3500000000004</v>
      </c>
      <c r="F58" s="982">
        <v>4816.3500000000004</v>
      </c>
      <c r="G58" s="982">
        <v>4816.3500000000004</v>
      </c>
      <c r="H58" s="982">
        <v>4816.3500000000004</v>
      </c>
      <c r="I58" s="982">
        <v>4816.3500000000004</v>
      </c>
      <c r="J58" s="982">
        <v>4816.3500000000004</v>
      </c>
      <c r="K58" s="1125">
        <v>4816.3500000000004</v>
      </c>
      <c r="L58" s="982">
        <v>4816.3500000000004</v>
      </c>
      <c r="M58" s="1143">
        <v>4816.3500000000004</v>
      </c>
      <c r="N58" s="1143">
        <v>4816.3500000000004</v>
      </c>
      <c r="O58" s="1143">
        <v>4816.3500000000004</v>
      </c>
      <c r="P58" s="1143">
        <v>4816.3500000000004</v>
      </c>
      <c r="Q58" s="985">
        <v>4816.3500000000004</v>
      </c>
      <c r="R58" s="982">
        <v>4816.3500000000004</v>
      </c>
      <c r="S58" s="982">
        <v>4816.3500000000004</v>
      </c>
      <c r="T58" s="982">
        <v>4816.3500000000004</v>
      </c>
      <c r="U58" s="982">
        <v>4816.3500000000004</v>
      </c>
      <c r="V58" s="982">
        <v>4816.3500000000004</v>
      </c>
      <c r="W58" s="985">
        <v>4816.3500000000004</v>
      </c>
    </row>
    <row r="59" spans="1:23" ht="15.6" x14ac:dyDescent="0.3">
      <c r="A59" s="972" t="s">
        <v>595</v>
      </c>
      <c r="B59" s="982">
        <v>0</v>
      </c>
      <c r="C59" s="982">
        <v>0</v>
      </c>
      <c r="D59" s="982">
        <v>0</v>
      </c>
      <c r="E59" s="982">
        <v>0</v>
      </c>
      <c r="F59" s="982">
        <v>247.74</v>
      </c>
      <c r="G59" s="982">
        <v>247.74</v>
      </c>
      <c r="H59" s="982">
        <v>250</v>
      </c>
      <c r="I59" s="982">
        <v>250</v>
      </c>
      <c r="J59" s="982">
        <v>309.67</v>
      </c>
      <c r="K59" s="1125">
        <v>309.67</v>
      </c>
      <c r="L59" s="982">
        <v>0</v>
      </c>
      <c r="M59" s="1143">
        <v>619.34</v>
      </c>
      <c r="N59" s="1143">
        <v>0</v>
      </c>
      <c r="O59" s="1143">
        <v>309.67</v>
      </c>
      <c r="P59" s="1143">
        <v>309.67</v>
      </c>
      <c r="Q59" s="985">
        <v>309.67</v>
      </c>
      <c r="R59" s="982">
        <v>0</v>
      </c>
      <c r="S59" s="982">
        <v>663.46</v>
      </c>
      <c r="T59" s="982">
        <v>508.47</v>
      </c>
      <c r="U59" s="982">
        <v>615.96</v>
      </c>
      <c r="V59" s="982">
        <v>0</v>
      </c>
      <c r="W59" s="985">
        <v>358.92</v>
      </c>
    </row>
    <row r="60" spans="1:23" ht="15.6" x14ac:dyDescent="0.3">
      <c r="A60" s="972" t="s">
        <v>596</v>
      </c>
      <c r="B60" s="982">
        <v>5417.5</v>
      </c>
      <c r="C60" s="982">
        <v>20954.47</v>
      </c>
      <c r="D60" s="982">
        <v>5921.69</v>
      </c>
      <c r="E60" s="982">
        <v>5606.48</v>
      </c>
      <c r="F60" s="982">
        <v>-4768.08</v>
      </c>
      <c r="G60" s="982">
        <v>16251.83</v>
      </c>
      <c r="H60" s="982">
        <v>2696.95</v>
      </c>
      <c r="I60" s="982">
        <v>5799.23</v>
      </c>
      <c r="J60" s="982">
        <v>29806.129999999997</v>
      </c>
      <c r="K60" s="1125">
        <v>10156.36</v>
      </c>
      <c r="L60" s="982">
        <v>4114.07</v>
      </c>
      <c r="M60" s="1143">
        <v>48385.65</v>
      </c>
      <c r="N60" s="1143">
        <v>8868.25</v>
      </c>
      <c r="O60" s="1143">
        <v>6548.9100000000008</v>
      </c>
      <c r="P60" s="1143">
        <v>11336.58</v>
      </c>
      <c r="Q60" s="985">
        <v>11726.21</v>
      </c>
      <c r="R60" s="982">
        <v>12643.84</v>
      </c>
      <c r="S60" s="982">
        <v>32511.18</v>
      </c>
      <c r="T60" s="982">
        <v>3689.86</v>
      </c>
      <c r="U60" s="982">
        <v>5747.51</v>
      </c>
      <c r="V60" s="982">
        <v>19224.07</v>
      </c>
      <c r="W60" s="985">
        <v>6351.09</v>
      </c>
    </row>
    <row r="61" spans="1:23" ht="15.6" x14ac:dyDescent="0.3">
      <c r="A61" s="972" t="s">
        <v>597</v>
      </c>
      <c r="B61" s="982">
        <v>4376.17</v>
      </c>
      <c r="C61" s="982">
        <v>4376.17</v>
      </c>
      <c r="D61" s="982">
        <v>4376.17</v>
      </c>
      <c r="E61" s="982">
        <v>16533.54</v>
      </c>
      <c r="F61" s="982">
        <v>4824.87</v>
      </c>
      <c r="G61" s="982">
        <v>4824.87</v>
      </c>
      <c r="H61" s="982">
        <v>4824.87</v>
      </c>
      <c r="I61" s="982">
        <v>4824.87</v>
      </c>
      <c r="J61" s="982">
        <v>4824.87</v>
      </c>
      <c r="K61" s="1125">
        <v>4824.87</v>
      </c>
      <c r="L61" s="982">
        <v>4824.87</v>
      </c>
      <c r="M61" s="1143">
        <v>4824.87</v>
      </c>
      <c r="N61" s="1143">
        <v>10671.72</v>
      </c>
      <c r="O61" s="1143">
        <v>4824.87</v>
      </c>
      <c r="P61" s="1143">
        <v>4824.87</v>
      </c>
      <c r="Q61" s="985">
        <v>9781.9699999999993</v>
      </c>
      <c r="R61" s="982">
        <v>4824.87</v>
      </c>
      <c r="S61" s="982">
        <v>4824.87</v>
      </c>
      <c r="T61" s="982">
        <v>19324.87</v>
      </c>
      <c r="U61" s="982">
        <v>4824.87</v>
      </c>
      <c r="V61" s="982">
        <v>4824.87</v>
      </c>
      <c r="W61" s="985">
        <v>4824.87</v>
      </c>
    </row>
    <row r="62" spans="1:23" ht="15.6" x14ac:dyDescent="0.3">
      <c r="A62" s="972" t="s">
        <v>598</v>
      </c>
      <c r="B62" s="982">
        <v>2230.5500000000002</v>
      </c>
      <c r="C62" s="982">
        <v>5837.01</v>
      </c>
      <c r="D62" s="982">
        <v>990.3</v>
      </c>
      <c r="E62" s="982">
        <v>364.29</v>
      </c>
      <c r="F62" s="982">
        <v>275.72000000000003</v>
      </c>
      <c r="G62" s="982">
        <v>933.23</v>
      </c>
      <c r="H62" s="982">
        <v>3171.45</v>
      </c>
      <c r="I62" s="982">
        <v>1461.24</v>
      </c>
      <c r="J62" s="982">
        <v>1829.31</v>
      </c>
      <c r="K62" s="1125">
        <v>1393.47</v>
      </c>
      <c r="L62" s="982">
        <v>2060.54</v>
      </c>
      <c r="M62" s="1143">
        <v>3412.51</v>
      </c>
      <c r="N62" s="1143">
        <v>2974.39</v>
      </c>
      <c r="O62" s="1143">
        <v>557.06000000000006</v>
      </c>
      <c r="P62" s="1143">
        <v>3221.04</v>
      </c>
      <c r="Q62" s="985">
        <v>1377.01</v>
      </c>
      <c r="R62" s="982">
        <v>1389.16</v>
      </c>
      <c r="S62" s="982">
        <v>1225.83</v>
      </c>
      <c r="T62" s="982">
        <v>663.98</v>
      </c>
      <c r="U62" s="982">
        <v>585.96</v>
      </c>
      <c r="V62" s="982">
        <v>1249.47</v>
      </c>
      <c r="W62" s="985">
        <v>1023.86</v>
      </c>
    </row>
    <row r="63" spans="1:23" ht="15.6" x14ac:dyDescent="0.3">
      <c r="A63" s="972" t="s">
        <v>599</v>
      </c>
      <c r="B63" s="982">
        <v>1112.6600000000001</v>
      </c>
      <c r="C63" s="982">
        <v>12145.48</v>
      </c>
      <c r="D63" s="982">
        <v>15012.82</v>
      </c>
      <c r="E63" s="982">
        <v>5746.15</v>
      </c>
      <c r="F63" s="982">
        <v>1657.25</v>
      </c>
      <c r="G63" s="982">
        <v>-4515.63</v>
      </c>
      <c r="H63" s="982">
        <v>5165.3</v>
      </c>
      <c r="I63" s="982">
        <v>9545.7999999999993</v>
      </c>
      <c r="J63" s="982">
        <v>4968.46</v>
      </c>
      <c r="K63" s="1125">
        <v>6233.92</v>
      </c>
      <c r="L63" s="982">
        <v>2212.73</v>
      </c>
      <c r="M63" s="1143">
        <v>3464.99</v>
      </c>
      <c r="N63" s="1143">
        <v>8652.58</v>
      </c>
      <c r="O63" s="1143">
        <v>969.95</v>
      </c>
      <c r="P63" s="1143">
        <v>5706.6</v>
      </c>
      <c r="Q63" s="985">
        <v>-4414.04</v>
      </c>
      <c r="R63" s="982">
        <v>3119.58</v>
      </c>
      <c r="S63" s="982">
        <v>5745.67</v>
      </c>
      <c r="T63" s="982">
        <v>5908.71</v>
      </c>
      <c r="U63" s="982">
        <v>8447.2800000000007</v>
      </c>
      <c r="V63" s="982">
        <v>13478.99</v>
      </c>
      <c r="W63" s="985">
        <v>3876.12</v>
      </c>
    </row>
    <row r="64" spans="1:23" ht="15.6" x14ac:dyDescent="0.3">
      <c r="A64" s="972" t="s">
        <v>600</v>
      </c>
      <c r="B64" s="982">
        <v>5439.48</v>
      </c>
      <c r="C64" s="982">
        <v>3895.4</v>
      </c>
      <c r="D64" s="982">
        <v>3836.06</v>
      </c>
      <c r="E64" s="982">
        <v>17795.14</v>
      </c>
      <c r="F64" s="982">
        <v>3966.36</v>
      </c>
      <c r="G64" s="982">
        <v>1205.6500000000001</v>
      </c>
      <c r="H64" s="982">
        <v>8587.66</v>
      </c>
      <c r="I64" s="982">
        <v>12063.93</v>
      </c>
      <c r="J64" s="982">
        <v>-1286.56</v>
      </c>
      <c r="K64" s="1125">
        <v>13378.99</v>
      </c>
      <c r="L64" s="982">
        <v>20359.57</v>
      </c>
      <c r="M64" s="1143">
        <v>4472.5200000000004</v>
      </c>
      <c r="N64" s="1143">
        <v>4483.8599999999997</v>
      </c>
      <c r="O64" s="1143">
        <v>1625.08</v>
      </c>
      <c r="P64" s="1143">
        <v>3330.74</v>
      </c>
      <c r="Q64" s="985">
        <v>2091.69</v>
      </c>
      <c r="R64" s="982">
        <v>1731.66</v>
      </c>
      <c r="S64" s="982">
        <v>632.99</v>
      </c>
      <c r="T64" s="982">
        <v>1473.45</v>
      </c>
      <c r="U64" s="982">
        <v>5051.9399999999996</v>
      </c>
      <c r="V64" s="982">
        <v>1849.35</v>
      </c>
      <c r="W64" s="985">
        <v>2346.86</v>
      </c>
    </row>
    <row r="65" spans="1:23" ht="15.6" x14ac:dyDescent="0.3">
      <c r="A65" s="972" t="s">
        <v>601</v>
      </c>
      <c r="B65" s="982">
        <v>1035.08</v>
      </c>
      <c r="C65" s="982">
        <v>1017.51</v>
      </c>
      <c r="D65" s="982">
        <v>820.21</v>
      </c>
      <c r="E65" s="982">
        <v>196.57</v>
      </c>
      <c r="F65" s="982">
        <v>100.7</v>
      </c>
      <c r="G65" s="982">
        <v>0</v>
      </c>
      <c r="H65" s="982">
        <v>0</v>
      </c>
      <c r="I65" s="982">
        <v>2327.48</v>
      </c>
      <c r="J65" s="982">
        <v>349.64</v>
      </c>
      <c r="K65" s="1125">
        <v>84.81</v>
      </c>
      <c r="L65" s="982">
        <v>250.05</v>
      </c>
      <c r="M65" s="1143">
        <v>75</v>
      </c>
      <c r="N65" s="1143">
        <v>1256.44</v>
      </c>
      <c r="O65" s="1143">
        <v>89.48</v>
      </c>
      <c r="P65" s="1143">
        <v>187.16</v>
      </c>
      <c r="Q65" s="985">
        <v>283.7</v>
      </c>
      <c r="R65" s="982">
        <v>369.19</v>
      </c>
      <c r="S65" s="982">
        <v>819.03</v>
      </c>
      <c r="T65" s="982">
        <v>361.11</v>
      </c>
      <c r="U65" s="982">
        <v>422.28</v>
      </c>
      <c r="V65" s="982">
        <v>509.61</v>
      </c>
      <c r="W65" s="985">
        <v>90.67</v>
      </c>
    </row>
    <row r="66" spans="1:23" ht="15.6" x14ac:dyDescent="0.3">
      <c r="A66" s="1398" t="s">
        <v>1245</v>
      </c>
      <c r="B66" s="982"/>
      <c r="C66" s="982"/>
      <c r="D66" s="982"/>
      <c r="E66" s="982"/>
      <c r="F66" s="982"/>
      <c r="G66" s="982"/>
      <c r="H66" s="982"/>
      <c r="I66" s="982"/>
      <c r="J66" s="982"/>
      <c r="K66" s="1125"/>
      <c r="L66" s="982"/>
      <c r="M66" s="1143"/>
      <c r="N66" s="1143"/>
      <c r="O66" s="1143"/>
      <c r="P66" s="1143"/>
      <c r="Q66" s="985"/>
      <c r="R66" s="982">
        <v>0</v>
      </c>
      <c r="S66" s="982">
        <v>0</v>
      </c>
      <c r="T66" s="982">
        <v>0</v>
      </c>
      <c r="U66" s="982">
        <v>0</v>
      </c>
      <c r="V66" s="982">
        <v>0</v>
      </c>
      <c r="W66" s="985">
        <v>23.4</v>
      </c>
    </row>
    <row r="67" spans="1:23" ht="15.6" x14ac:dyDescent="0.3">
      <c r="A67" s="972" t="s">
        <v>602</v>
      </c>
      <c r="B67" s="982">
        <v>6012.92</v>
      </c>
      <c r="C67" s="982">
        <v>6066.78</v>
      </c>
      <c r="D67" s="982">
        <v>6839.57</v>
      </c>
      <c r="E67" s="982">
        <v>10694.71</v>
      </c>
      <c r="F67" s="982">
        <v>3166.37</v>
      </c>
      <c r="G67" s="982">
        <v>1425.12</v>
      </c>
      <c r="H67" s="982">
        <v>7677.46</v>
      </c>
      <c r="I67" s="982">
        <v>1409.24</v>
      </c>
      <c r="J67" s="982">
        <v>7327.75</v>
      </c>
      <c r="K67" s="1125">
        <v>4277</v>
      </c>
      <c r="L67" s="982">
        <v>4619.32</v>
      </c>
      <c r="M67" s="1143">
        <v>7004.04</v>
      </c>
      <c r="N67" s="1143">
        <v>8307.5400000000009</v>
      </c>
      <c r="O67" s="1143">
        <v>7495.08</v>
      </c>
      <c r="P67" s="1143">
        <v>5812.36</v>
      </c>
      <c r="Q67" s="985">
        <v>4645.9799999999996</v>
      </c>
      <c r="R67" s="982">
        <v>3544.1</v>
      </c>
      <c r="S67" s="982">
        <v>3375.03</v>
      </c>
      <c r="T67" s="982">
        <v>3333.41</v>
      </c>
      <c r="U67" s="982">
        <v>3527.01</v>
      </c>
      <c r="V67" s="982">
        <v>5061.45</v>
      </c>
      <c r="W67" s="985">
        <v>3882.12</v>
      </c>
    </row>
    <row r="68" spans="1:23" ht="15.6" x14ac:dyDescent="0.3">
      <c r="A68" s="1398" t="s">
        <v>1246</v>
      </c>
      <c r="B68" s="982"/>
      <c r="C68" s="982"/>
      <c r="D68" s="982"/>
      <c r="E68" s="982"/>
      <c r="F68" s="982"/>
      <c r="G68" s="982"/>
      <c r="H68" s="982"/>
      <c r="I68" s="982"/>
      <c r="J68" s="982"/>
      <c r="K68" s="1125"/>
      <c r="L68" s="982"/>
      <c r="M68" s="1143"/>
      <c r="N68" s="1143"/>
      <c r="O68" s="1143"/>
      <c r="P68" s="1143"/>
      <c r="Q68" s="985"/>
      <c r="R68" s="982">
        <v>157.96</v>
      </c>
      <c r="S68" s="982">
        <v>0</v>
      </c>
      <c r="T68" s="982">
        <v>0</v>
      </c>
      <c r="U68" s="982">
        <v>0</v>
      </c>
      <c r="V68" s="982">
        <v>0</v>
      </c>
      <c r="W68" s="985">
        <v>238.68</v>
      </c>
    </row>
    <row r="69" spans="1:23" ht="15.6" x14ac:dyDescent="0.3">
      <c r="A69" s="972" t="s">
        <v>603</v>
      </c>
      <c r="B69" s="982">
        <v>17971.580000000002</v>
      </c>
      <c r="C69" s="982">
        <v>24645.35</v>
      </c>
      <c r="D69" s="982">
        <v>22853.91</v>
      </c>
      <c r="E69" s="982">
        <v>27750.79</v>
      </c>
      <c r="F69" s="982">
        <v>13656.71</v>
      </c>
      <c r="G69" s="982">
        <v>9680.43</v>
      </c>
      <c r="H69" s="982">
        <v>16431.990000000002</v>
      </c>
      <c r="I69" s="982">
        <v>9944.4</v>
      </c>
      <c r="J69" s="982">
        <v>10097.85</v>
      </c>
      <c r="K69" s="1125">
        <v>7843.69</v>
      </c>
      <c r="L69" s="982">
        <v>13748.31</v>
      </c>
      <c r="M69" s="1143">
        <v>16832.189999999999</v>
      </c>
      <c r="N69" s="1143">
        <v>11972.22</v>
      </c>
      <c r="O69" s="1143">
        <v>12806.93</v>
      </c>
      <c r="P69" s="1143">
        <v>26002.85</v>
      </c>
      <c r="Q69" s="985">
        <v>13281.51</v>
      </c>
      <c r="R69" s="982">
        <v>17735.87</v>
      </c>
      <c r="S69" s="982">
        <v>16874.650000000001</v>
      </c>
      <c r="T69" s="982">
        <v>14202.05</v>
      </c>
      <c r="U69" s="982">
        <v>13316.02</v>
      </c>
      <c r="V69" s="982">
        <v>10458.74</v>
      </c>
      <c r="W69" s="985">
        <v>27019.119999999999</v>
      </c>
    </row>
    <row r="70" spans="1:23" ht="15.6" x14ac:dyDescent="0.3">
      <c r="A70" s="972" t="s">
        <v>576</v>
      </c>
      <c r="B70" s="982">
        <v>37206.959999999999</v>
      </c>
      <c r="C70" s="982">
        <v>43988.68</v>
      </c>
      <c r="D70" s="982">
        <v>56578.49</v>
      </c>
      <c r="E70" s="982">
        <v>43084.31</v>
      </c>
      <c r="F70" s="982">
        <v>50745.14</v>
      </c>
      <c r="G70" s="982">
        <v>53613.08</v>
      </c>
      <c r="H70" s="988">
        <v>60914.559999999998</v>
      </c>
      <c r="I70" s="988">
        <v>53849.23</v>
      </c>
      <c r="J70" s="982">
        <v>50356.160000000003</v>
      </c>
      <c r="K70" s="1125">
        <v>52059.14</v>
      </c>
      <c r="L70" s="982">
        <v>46642.95</v>
      </c>
      <c r="M70" s="1143">
        <v>56721.09</v>
      </c>
      <c r="N70" s="1143">
        <v>50412.11</v>
      </c>
      <c r="O70" s="1143">
        <v>42460.639999999999</v>
      </c>
      <c r="P70" s="1143">
        <v>69570.73</v>
      </c>
      <c r="Q70" s="985">
        <v>48681.7</v>
      </c>
      <c r="R70" s="982">
        <v>57238.81</v>
      </c>
      <c r="S70" s="982">
        <v>61379.22</v>
      </c>
      <c r="T70" s="982">
        <v>53396.81</v>
      </c>
      <c r="U70" s="982">
        <v>56404.38</v>
      </c>
      <c r="V70" s="982">
        <v>51776.03</v>
      </c>
      <c r="W70" s="985">
        <v>52945.68</v>
      </c>
    </row>
    <row r="71" spans="1:23" ht="15.6" x14ac:dyDescent="0.3">
      <c r="A71" s="972" t="s">
        <v>577</v>
      </c>
      <c r="B71" s="982">
        <v>3019.57</v>
      </c>
      <c r="C71" s="982">
        <v>5181</v>
      </c>
      <c r="D71" s="982">
        <v>4824.53</v>
      </c>
      <c r="E71" s="982">
        <v>3300.39</v>
      </c>
      <c r="F71" s="982">
        <v>4312.49</v>
      </c>
      <c r="G71" s="982">
        <v>4061.82</v>
      </c>
      <c r="H71" s="988">
        <v>4794.96</v>
      </c>
      <c r="I71" s="988">
        <v>4139.8900000000003</v>
      </c>
      <c r="J71" s="982">
        <v>3830.27</v>
      </c>
      <c r="K71" s="1125">
        <v>4392.9799999999996</v>
      </c>
      <c r="L71" s="982">
        <v>3853.72</v>
      </c>
      <c r="M71" s="1143">
        <v>5915.58</v>
      </c>
      <c r="N71" s="1143">
        <v>5715.06</v>
      </c>
      <c r="O71" s="1143">
        <v>4017.14</v>
      </c>
      <c r="P71" s="1143">
        <v>4531.03</v>
      </c>
      <c r="Q71" s="985">
        <v>3682.77</v>
      </c>
      <c r="R71" s="982">
        <v>4495.07</v>
      </c>
      <c r="S71" s="982">
        <v>5679.56</v>
      </c>
      <c r="T71" s="982">
        <v>4846.62</v>
      </c>
      <c r="U71" s="982">
        <v>4441.3</v>
      </c>
      <c r="V71" s="982">
        <v>3924.99</v>
      </c>
      <c r="W71" s="985">
        <v>3981.31</v>
      </c>
    </row>
    <row r="72" spans="1:23" ht="15.6" x14ac:dyDescent="0.3">
      <c r="A72" s="972" t="s">
        <v>578</v>
      </c>
      <c r="B72" s="982">
        <v>1684.25</v>
      </c>
      <c r="C72" s="982">
        <v>859.1</v>
      </c>
      <c r="D72" s="982">
        <v>1141.2</v>
      </c>
      <c r="E72" s="982">
        <v>1684.25</v>
      </c>
      <c r="F72" s="982">
        <v>1695.8</v>
      </c>
      <c r="G72" s="982">
        <v>1416.9</v>
      </c>
      <c r="H72" s="988">
        <v>1977.9</v>
      </c>
      <c r="I72" s="988">
        <v>1977.9</v>
      </c>
      <c r="J72" s="982">
        <v>1977.9</v>
      </c>
      <c r="K72" s="1125">
        <v>1974.7</v>
      </c>
      <c r="L72" s="982">
        <v>2260</v>
      </c>
      <c r="M72" s="1143">
        <v>1909.83</v>
      </c>
      <c r="N72" s="1143">
        <v>1841.12</v>
      </c>
      <c r="O72" s="1143">
        <v>2200.4</v>
      </c>
      <c r="P72" s="1143">
        <v>1428.18</v>
      </c>
      <c r="Q72" s="985">
        <v>1885.2</v>
      </c>
      <c r="R72" s="982">
        <v>1884.6</v>
      </c>
      <c r="S72" s="982">
        <v>1884.6</v>
      </c>
      <c r="T72" s="982">
        <v>1891.4</v>
      </c>
      <c r="U72" s="982">
        <v>1891.4</v>
      </c>
      <c r="V72" s="982">
        <v>1891.4</v>
      </c>
      <c r="W72" s="985">
        <v>1888</v>
      </c>
    </row>
    <row r="73" spans="1:23" ht="15.6" x14ac:dyDescent="0.3">
      <c r="A73" s="972" t="s">
        <v>579</v>
      </c>
      <c r="B73" s="982">
        <v>1500</v>
      </c>
      <c r="C73" s="982">
        <v>18000</v>
      </c>
      <c r="D73" s="982">
        <v>3000</v>
      </c>
      <c r="E73" s="982">
        <v>0</v>
      </c>
      <c r="F73" s="982">
        <v>7274.59</v>
      </c>
      <c r="G73" s="982">
        <v>0</v>
      </c>
      <c r="H73" s="988">
        <v>2500</v>
      </c>
      <c r="I73" s="988">
        <v>0</v>
      </c>
      <c r="J73" s="982">
        <v>0</v>
      </c>
      <c r="K73" s="1125">
        <v>5844.57</v>
      </c>
      <c r="L73" s="982">
        <v>2655.28</v>
      </c>
      <c r="M73" s="1143">
        <v>22252.84</v>
      </c>
      <c r="N73" s="1143">
        <v>6597.06</v>
      </c>
      <c r="O73" s="1143">
        <v>0</v>
      </c>
      <c r="P73" s="1143"/>
      <c r="Q73" s="985">
        <v>0</v>
      </c>
      <c r="R73" s="982">
        <v>0</v>
      </c>
      <c r="S73" s="982">
        <v>0.01</v>
      </c>
      <c r="T73" s="982">
        <v>0</v>
      </c>
      <c r="U73" s="982">
        <v>0</v>
      </c>
      <c r="V73" s="982">
        <v>0</v>
      </c>
      <c r="W73" s="985">
        <v>0</v>
      </c>
    </row>
    <row r="74" spans="1:23" ht="15.6" x14ac:dyDescent="0.3">
      <c r="A74" s="972" t="s">
        <v>580</v>
      </c>
      <c r="B74" s="982">
        <v>262.14</v>
      </c>
      <c r="C74" s="982">
        <v>262.14</v>
      </c>
      <c r="D74" s="982">
        <v>262.14</v>
      </c>
      <c r="E74" s="982">
        <v>262.14</v>
      </c>
      <c r="F74" s="982">
        <v>669.2</v>
      </c>
      <c r="G74" s="982">
        <v>669.2</v>
      </c>
      <c r="H74" s="988">
        <v>670</v>
      </c>
      <c r="I74" s="988">
        <v>668.4</v>
      </c>
      <c r="J74" s="982">
        <v>0</v>
      </c>
      <c r="K74" s="1125">
        <v>669.2</v>
      </c>
      <c r="L74" s="982">
        <v>669.2</v>
      </c>
      <c r="M74" s="1143">
        <v>669.2</v>
      </c>
      <c r="N74" s="1143">
        <v>669.2</v>
      </c>
      <c r="O74" s="1143">
        <v>669.2</v>
      </c>
      <c r="P74" s="1143">
        <v>0</v>
      </c>
      <c r="Q74" s="985">
        <v>0</v>
      </c>
      <c r="R74" s="982">
        <v>797.43</v>
      </c>
      <c r="S74" s="982">
        <v>797.43</v>
      </c>
      <c r="T74" s="982">
        <v>1594.86</v>
      </c>
      <c r="U74" s="982">
        <v>797.43</v>
      </c>
      <c r="V74" s="982">
        <v>797.43</v>
      </c>
      <c r="W74" s="985">
        <v>810.29</v>
      </c>
    </row>
    <row r="75" spans="1:23" ht="15.6" x14ac:dyDescent="0.3">
      <c r="A75" s="972" t="s">
        <v>581</v>
      </c>
      <c r="B75" s="982">
        <v>32.99</v>
      </c>
      <c r="C75" s="982">
        <v>611.64</v>
      </c>
      <c r="D75" s="982">
        <v>595.04</v>
      </c>
      <c r="E75" s="982">
        <v>239.04</v>
      </c>
      <c r="F75" s="982">
        <v>183.19</v>
      </c>
      <c r="G75" s="982">
        <v>133.61000000000001</v>
      </c>
      <c r="H75" s="988">
        <v>812.91</v>
      </c>
      <c r="I75" s="988">
        <v>0</v>
      </c>
      <c r="J75" s="982">
        <v>481.86</v>
      </c>
      <c r="K75" s="1125">
        <v>423.08</v>
      </c>
      <c r="L75" s="982">
        <v>109.74</v>
      </c>
      <c r="M75" s="1143">
        <v>250.91</v>
      </c>
      <c r="N75" s="1143">
        <v>387.03</v>
      </c>
      <c r="O75" s="1143">
        <v>268.26</v>
      </c>
      <c r="P75" s="1143">
        <v>596.29</v>
      </c>
      <c r="Q75" s="985">
        <v>169.85</v>
      </c>
      <c r="R75" s="982">
        <v>1427.79</v>
      </c>
      <c r="S75" s="982">
        <v>168.29</v>
      </c>
      <c r="T75" s="982">
        <v>121.06</v>
      </c>
      <c r="U75" s="982">
        <v>154.38999999999999</v>
      </c>
      <c r="V75" s="982">
        <v>498.19</v>
      </c>
      <c r="W75" s="985">
        <v>421.12</v>
      </c>
    </row>
    <row r="76" spans="1:23" ht="15.6" x14ac:dyDescent="0.3">
      <c r="A76" s="1398" t="s">
        <v>1247</v>
      </c>
      <c r="B76" s="982"/>
      <c r="C76" s="982"/>
      <c r="D76" s="982"/>
      <c r="E76" s="982"/>
      <c r="F76" s="982"/>
      <c r="G76" s="982"/>
      <c r="H76" s="988"/>
      <c r="I76" s="988"/>
      <c r="J76" s="982"/>
      <c r="K76" s="1125"/>
      <c r="L76" s="982"/>
      <c r="M76" s="1143"/>
      <c r="N76" s="1143"/>
      <c r="O76" s="1143"/>
      <c r="P76" s="1143"/>
      <c r="Q76" s="985"/>
      <c r="R76" s="982">
        <v>0</v>
      </c>
      <c r="S76" s="982">
        <v>156.97999999999999</v>
      </c>
      <c r="T76" s="982">
        <v>22</v>
      </c>
      <c r="U76" s="982">
        <v>433.9</v>
      </c>
      <c r="V76" s="982">
        <v>112.47</v>
      </c>
      <c r="W76" s="985">
        <v>0</v>
      </c>
    </row>
    <row r="77" spans="1:23" ht="15.6" x14ac:dyDescent="0.3">
      <c r="A77" s="972" t="s">
        <v>582</v>
      </c>
      <c r="B77" s="982">
        <v>83.04</v>
      </c>
      <c r="C77" s="982">
        <v>41.52</v>
      </c>
      <c r="D77" s="982">
        <v>0</v>
      </c>
      <c r="E77" s="982">
        <v>0</v>
      </c>
      <c r="F77" s="982">
        <v>184.66</v>
      </c>
      <c r="G77" s="982">
        <v>184.64</v>
      </c>
      <c r="H77" s="988">
        <v>207.72</v>
      </c>
      <c r="I77" s="988">
        <v>138.47999999999999</v>
      </c>
      <c r="J77" s="982">
        <v>184.64</v>
      </c>
      <c r="K77" s="1125">
        <v>230.8</v>
      </c>
      <c r="L77" s="982">
        <v>230.8</v>
      </c>
      <c r="M77" s="1143">
        <v>330.8</v>
      </c>
      <c r="N77" s="1143">
        <v>161.56</v>
      </c>
      <c r="O77" s="1143">
        <v>207.72</v>
      </c>
      <c r="P77" s="1143">
        <v>184.64</v>
      </c>
      <c r="Q77" s="985">
        <v>184.64</v>
      </c>
      <c r="R77" s="982">
        <v>184.64</v>
      </c>
      <c r="S77" s="982">
        <v>276.95999999999998</v>
      </c>
      <c r="T77" s="982">
        <v>138.47999999999999</v>
      </c>
      <c r="U77" s="982">
        <v>138.47999999999999</v>
      </c>
      <c r="V77" s="982">
        <v>138.47999999999999</v>
      </c>
      <c r="W77" s="985">
        <v>138.47999999999999</v>
      </c>
    </row>
    <row r="78" spans="1:23" ht="15.6" x14ac:dyDescent="0.3">
      <c r="A78" s="972" t="s">
        <v>583</v>
      </c>
      <c r="B78" s="982">
        <v>833</v>
      </c>
      <c r="C78" s="982">
        <v>833</v>
      </c>
      <c r="D78" s="982">
        <v>833</v>
      </c>
      <c r="E78" s="982">
        <v>833</v>
      </c>
      <c r="F78" s="982">
        <v>833</v>
      </c>
      <c r="G78" s="982">
        <v>833</v>
      </c>
      <c r="H78" s="988">
        <v>833</v>
      </c>
      <c r="I78" s="988">
        <v>833</v>
      </c>
      <c r="J78" s="982">
        <v>856.08</v>
      </c>
      <c r="K78" s="1125">
        <v>833</v>
      </c>
      <c r="L78" s="982">
        <v>833</v>
      </c>
      <c r="M78" s="1143">
        <v>833</v>
      </c>
      <c r="N78" s="1143">
        <v>833</v>
      </c>
      <c r="O78" s="1143">
        <v>833</v>
      </c>
      <c r="P78" s="1143">
        <v>833</v>
      </c>
      <c r="Q78" s="985">
        <v>833</v>
      </c>
      <c r="R78" s="982">
        <v>833</v>
      </c>
      <c r="S78" s="982">
        <v>833</v>
      </c>
      <c r="T78" s="982">
        <v>833</v>
      </c>
      <c r="U78" s="982">
        <v>833</v>
      </c>
      <c r="V78" s="982">
        <v>833</v>
      </c>
      <c r="W78" s="985">
        <v>833</v>
      </c>
    </row>
    <row r="79" spans="1:23" ht="15.6" x14ac:dyDescent="0.3">
      <c r="A79" s="972" t="s">
        <v>584</v>
      </c>
      <c r="B79" s="982">
        <v>345.95</v>
      </c>
      <c r="C79" s="982">
        <v>345.95</v>
      </c>
      <c r="D79" s="982">
        <v>345.95</v>
      </c>
      <c r="E79" s="982">
        <v>345.95</v>
      </c>
      <c r="F79" s="982">
        <v>342.9</v>
      </c>
      <c r="G79" s="982">
        <v>342.9</v>
      </c>
      <c r="H79" s="988">
        <v>342.9</v>
      </c>
      <c r="I79" s="988">
        <v>342.9</v>
      </c>
      <c r="J79" s="982">
        <v>342.9</v>
      </c>
      <c r="K79" s="1125">
        <v>342.9</v>
      </c>
      <c r="L79" s="982">
        <v>342.9</v>
      </c>
      <c r="M79" s="1143">
        <v>342.9</v>
      </c>
      <c r="N79" s="1143">
        <v>342.9</v>
      </c>
      <c r="O79" s="1143">
        <v>342.9</v>
      </c>
      <c r="P79" s="1143">
        <v>342.9</v>
      </c>
      <c r="Q79" s="985">
        <v>342.9</v>
      </c>
      <c r="R79" s="982">
        <v>342.9</v>
      </c>
      <c r="S79" s="982">
        <v>342.9</v>
      </c>
      <c r="T79" s="982">
        <v>1392.9</v>
      </c>
      <c r="U79" s="982">
        <v>342.9</v>
      </c>
      <c r="V79" s="982">
        <v>342.9</v>
      </c>
      <c r="W79" s="985">
        <v>342.9</v>
      </c>
    </row>
    <row r="80" spans="1:23" ht="15.6" x14ac:dyDescent="0.3">
      <c r="A80" s="972" t="s">
        <v>565</v>
      </c>
      <c r="B80" s="982">
        <v>46260.13</v>
      </c>
      <c r="C80" s="982">
        <v>44037.8</v>
      </c>
      <c r="D80" s="982">
        <v>55905.31</v>
      </c>
      <c r="E80" s="982">
        <v>51696.68</v>
      </c>
      <c r="F80" s="982">
        <v>56420.26</v>
      </c>
      <c r="G80" s="982">
        <v>61350.49</v>
      </c>
      <c r="H80" s="987">
        <v>67113.789999999994</v>
      </c>
      <c r="I80" s="987">
        <v>56385</v>
      </c>
      <c r="J80" s="982">
        <v>52802.400000000001</v>
      </c>
      <c r="K80" s="1125">
        <v>45035.45</v>
      </c>
      <c r="L80" s="982">
        <v>55412.55</v>
      </c>
      <c r="M80" s="1143">
        <v>51832.62</v>
      </c>
      <c r="N80" s="1143">
        <v>54374.07</v>
      </c>
      <c r="O80" s="1143">
        <v>67244.87</v>
      </c>
      <c r="P80" s="1143">
        <v>60759.839999999997</v>
      </c>
      <c r="Q80" s="985">
        <v>47561.83</v>
      </c>
      <c r="R80" s="982">
        <v>52436.54</v>
      </c>
      <c r="S80" s="982">
        <v>55083.88</v>
      </c>
      <c r="T80" s="982">
        <v>46359.47</v>
      </c>
      <c r="U80" s="982">
        <v>54327.15</v>
      </c>
      <c r="V80" s="982">
        <v>53761.41</v>
      </c>
      <c r="W80" s="985">
        <v>55277.599999999999</v>
      </c>
    </row>
    <row r="81" spans="1:23" ht="15.6" x14ac:dyDescent="0.3">
      <c r="A81" s="972" t="s">
        <v>566</v>
      </c>
      <c r="B81" s="982">
        <v>3658.84</v>
      </c>
      <c r="C81" s="982">
        <v>3670.83</v>
      </c>
      <c r="D81" s="982">
        <v>4567.24</v>
      </c>
      <c r="E81" s="982">
        <v>3852.47</v>
      </c>
      <c r="F81" s="982">
        <v>4643.4799999999996</v>
      </c>
      <c r="G81" s="982">
        <v>4697.92</v>
      </c>
      <c r="H81" s="987">
        <v>5306.74</v>
      </c>
      <c r="I81" s="987">
        <v>4194.54</v>
      </c>
      <c r="J81" s="982">
        <v>3949.56</v>
      </c>
      <c r="K81" s="1125">
        <v>4017.78</v>
      </c>
      <c r="L81" s="982">
        <v>4449.12</v>
      </c>
      <c r="M81" s="1143">
        <v>4415.49</v>
      </c>
      <c r="N81" s="1143">
        <v>5571.25</v>
      </c>
      <c r="O81" s="1143">
        <v>6766</v>
      </c>
      <c r="P81" s="1143">
        <v>4846.26</v>
      </c>
      <c r="Q81" s="985">
        <v>4136.1000000000004</v>
      </c>
      <c r="R81" s="982">
        <v>3927.54</v>
      </c>
      <c r="S81" s="982">
        <v>4070.48</v>
      </c>
      <c r="T81" s="982">
        <v>3859.44</v>
      </c>
      <c r="U81" s="982">
        <v>4216.74</v>
      </c>
      <c r="V81" s="982">
        <v>4026</v>
      </c>
      <c r="W81" s="985">
        <v>4090.91</v>
      </c>
    </row>
    <row r="82" spans="1:23" ht="15.6" x14ac:dyDescent="0.3">
      <c r="A82" s="972" t="s">
        <v>567</v>
      </c>
      <c r="B82" s="982">
        <v>1984.3</v>
      </c>
      <c r="C82" s="982">
        <v>1984.3</v>
      </c>
      <c r="D82" s="982">
        <v>1984.3</v>
      </c>
      <c r="E82" s="982">
        <v>1984.3</v>
      </c>
      <c r="F82" s="982">
        <v>1984.3</v>
      </c>
      <c r="G82" s="982">
        <v>1984.3</v>
      </c>
      <c r="H82" s="987">
        <v>1984.3</v>
      </c>
      <c r="I82" s="987">
        <v>1984.3</v>
      </c>
      <c r="J82" s="982">
        <v>1974.7</v>
      </c>
      <c r="K82" s="1125">
        <v>1981.1</v>
      </c>
      <c r="L82" s="982">
        <v>1695.8</v>
      </c>
      <c r="M82" s="1143">
        <v>1081.67</v>
      </c>
      <c r="N82" s="1143">
        <v>1408.3</v>
      </c>
      <c r="O82" s="1143">
        <v>1259.8</v>
      </c>
      <c r="P82" s="1143">
        <v>1259.8</v>
      </c>
      <c r="Q82" s="985">
        <v>1256.4000000000001</v>
      </c>
      <c r="R82" s="982">
        <v>1877.8</v>
      </c>
      <c r="S82" s="982">
        <v>1565.4</v>
      </c>
      <c r="T82" s="982">
        <v>1565.4</v>
      </c>
      <c r="U82" s="982">
        <v>2186.8000000000002</v>
      </c>
      <c r="V82" s="982">
        <v>2186.8000000000002</v>
      </c>
      <c r="W82" s="985">
        <v>2186.8000000000002</v>
      </c>
    </row>
    <row r="83" spans="1:23" ht="15.6" x14ac:dyDescent="0.3">
      <c r="A83" s="972" t="s">
        <v>568</v>
      </c>
      <c r="B83" s="982">
        <v>500</v>
      </c>
      <c r="C83" s="982">
        <v>0</v>
      </c>
      <c r="D83" s="982">
        <v>500</v>
      </c>
      <c r="E83" s="982">
        <v>0</v>
      </c>
      <c r="F83" s="982">
        <v>2500</v>
      </c>
      <c r="G83" s="982">
        <v>0</v>
      </c>
      <c r="H83" s="987">
        <v>3000</v>
      </c>
      <c r="I83" s="987">
        <v>0</v>
      </c>
      <c r="J83" s="982">
        <v>0</v>
      </c>
      <c r="K83" s="1125">
        <v>3000</v>
      </c>
      <c r="L83" s="982">
        <v>0</v>
      </c>
      <c r="M83" s="1143">
        <v>4334.09</v>
      </c>
      <c r="N83" s="1143">
        <v>0</v>
      </c>
      <c r="O83" s="1143">
        <v>250</v>
      </c>
      <c r="P83" s="1143">
        <v>250</v>
      </c>
      <c r="Q83" s="985">
        <v>7000</v>
      </c>
      <c r="R83" s="982">
        <v>0</v>
      </c>
      <c r="S83" s="982">
        <v>0</v>
      </c>
      <c r="T83" s="982">
        <v>0</v>
      </c>
      <c r="U83" s="982">
        <v>0</v>
      </c>
      <c r="V83" s="982">
        <v>0</v>
      </c>
      <c r="W83" s="985">
        <v>0</v>
      </c>
    </row>
    <row r="84" spans="1:23" ht="15.6" x14ac:dyDescent="0.3">
      <c r="A84" s="972" t="s">
        <v>569</v>
      </c>
      <c r="B84" s="982">
        <v>179.2</v>
      </c>
      <c r="C84" s="982">
        <v>179.2</v>
      </c>
      <c r="D84" s="982">
        <v>179.2</v>
      </c>
      <c r="E84" s="982">
        <v>179.2</v>
      </c>
      <c r="F84" s="982">
        <v>430.2</v>
      </c>
      <c r="G84" s="982">
        <v>430.2</v>
      </c>
      <c r="H84" s="987">
        <v>430</v>
      </c>
      <c r="I84" s="987">
        <v>430.4</v>
      </c>
      <c r="J84" s="982">
        <v>0</v>
      </c>
      <c r="K84" s="1125">
        <v>430.2</v>
      </c>
      <c r="L84" s="982">
        <v>430.2</v>
      </c>
      <c r="M84" s="1143">
        <v>430.2</v>
      </c>
      <c r="N84" s="1143">
        <v>430.2</v>
      </c>
      <c r="O84" s="1143">
        <v>430.2</v>
      </c>
      <c r="P84" s="1143">
        <v>0</v>
      </c>
      <c r="Q84" s="985">
        <v>0</v>
      </c>
      <c r="R84" s="982">
        <v>512.01</v>
      </c>
      <c r="S84" s="982">
        <v>512.01</v>
      </c>
      <c r="T84" s="982">
        <v>1024.02</v>
      </c>
      <c r="U84" s="982">
        <v>512.01</v>
      </c>
      <c r="V84" s="982">
        <v>512.01</v>
      </c>
      <c r="W84" s="985">
        <v>520.27</v>
      </c>
    </row>
    <row r="85" spans="1:23" ht="15.6" x14ac:dyDescent="0.3">
      <c r="A85" s="972" t="s">
        <v>570</v>
      </c>
      <c r="B85" s="982">
        <v>4930.5600000000004</v>
      </c>
      <c r="C85" s="982">
        <v>8188.51</v>
      </c>
      <c r="D85" s="982">
        <v>2934.43</v>
      </c>
      <c r="E85" s="982">
        <v>2973.42</v>
      </c>
      <c r="F85" s="982">
        <v>2776.7</v>
      </c>
      <c r="G85" s="982">
        <v>4752.8</v>
      </c>
      <c r="H85" s="987">
        <v>1377.92</v>
      </c>
      <c r="I85" s="987">
        <v>3267.99</v>
      </c>
      <c r="J85" s="982">
        <v>1855.81</v>
      </c>
      <c r="K85" s="1125">
        <v>593.53</v>
      </c>
      <c r="L85" s="982">
        <v>333.41</v>
      </c>
      <c r="M85" s="1143">
        <v>1717.46</v>
      </c>
      <c r="N85" s="1143">
        <v>6186.35</v>
      </c>
      <c r="O85" s="1143">
        <v>7330.2</v>
      </c>
      <c r="P85" s="1143">
        <v>271.38</v>
      </c>
      <c r="Q85" s="985">
        <v>8</v>
      </c>
      <c r="R85" s="982">
        <v>9267.8799999999992</v>
      </c>
      <c r="S85" s="982">
        <v>1703.46</v>
      </c>
      <c r="T85" s="982">
        <v>-35.49</v>
      </c>
      <c r="U85" s="982">
        <v>113.5</v>
      </c>
      <c r="V85" s="982">
        <v>16.96</v>
      </c>
      <c r="W85" s="985">
        <v>23.85</v>
      </c>
    </row>
    <row r="86" spans="1:23" ht="15.6" x14ac:dyDescent="0.3">
      <c r="A86" s="972" t="s">
        <v>571</v>
      </c>
      <c r="B86" s="982">
        <v>0</v>
      </c>
      <c r="C86" s="982">
        <v>151.97999999999999</v>
      </c>
      <c r="D86" s="982">
        <v>248.15</v>
      </c>
      <c r="E86" s="982">
        <v>106.14</v>
      </c>
      <c r="F86" s="982">
        <v>207.2</v>
      </c>
      <c r="G86" s="982">
        <v>683.32</v>
      </c>
      <c r="H86" s="987">
        <v>459.81</v>
      </c>
      <c r="I86" s="987">
        <v>26.25</v>
      </c>
      <c r="J86" s="982">
        <v>555.05999999999995</v>
      </c>
      <c r="K86" s="1125">
        <v>282.12</v>
      </c>
      <c r="L86" s="982">
        <v>230.78</v>
      </c>
      <c r="M86" s="1143">
        <v>0</v>
      </c>
      <c r="N86" s="1143">
        <v>1075.28</v>
      </c>
      <c r="O86" s="1143">
        <v>694.55</v>
      </c>
      <c r="P86" s="1143">
        <v>105.88</v>
      </c>
      <c r="Q86" s="985">
        <v>0</v>
      </c>
      <c r="R86" s="982">
        <v>0</v>
      </c>
      <c r="S86" s="982">
        <v>0</v>
      </c>
      <c r="T86" s="982">
        <v>187.46</v>
      </c>
      <c r="U86" s="982">
        <v>0</v>
      </c>
      <c r="V86" s="982">
        <v>0</v>
      </c>
      <c r="W86" s="985">
        <v>0</v>
      </c>
    </row>
    <row r="87" spans="1:23" ht="15.6" x14ac:dyDescent="0.3">
      <c r="A87" s="972" t="s">
        <v>572</v>
      </c>
      <c r="B87" s="982">
        <v>1757.99</v>
      </c>
      <c r="C87" s="982">
        <v>432.65</v>
      </c>
      <c r="D87" s="982">
        <v>432.65</v>
      </c>
      <c r="E87" s="982">
        <v>432.65</v>
      </c>
      <c r="F87" s="982">
        <v>4914.71</v>
      </c>
      <c r="G87" s="982">
        <v>1170.23</v>
      </c>
      <c r="H87" s="987">
        <v>865.23</v>
      </c>
      <c r="I87" s="987">
        <v>865.23</v>
      </c>
      <c r="J87" s="982">
        <v>1477.91</v>
      </c>
      <c r="K87" s="1125">
        <v>703.23</v>
      </c>
      <c r="L87" s="982">
        <v>703.23</v>
      </c>
      <c r="M87" s="1143">
        <v>703.23</v>
      </c>
      <c r="N87" s="1143">
        <v>703.23</v>
      </c>
      <c r="O87" s="1143">
        <v>703.22</v>
      </c>
      <c r="P87" s="1143">
        <v>407.65</v>
      </c>
      <c r="Q87" s="985">
        <v>0</v>
      </c>
      <c r="R87" s="982">
        <v>0</v>
      </c>
      <c r="S87" s="982">
        <v>0</v>
      </c>
      <c r="T87" s="982">
        <v>0</v>
      </c>
      <c r="U87" s="982">
        <v>0</v>
      </c>
      <c r="V87" s="982">
        <v>0</v>
      </c>
      <c r="W87" s="985">
        <v>0</v>
      </c>
    </row>
    <row r="88" spans="1:23" ht="15.6" x14ac:dyDescent="0.3">
      <c r="A88" s="972" t="s">
        <v>573</v>
      </c>
      <c r="B88" s="982">
        <v>0</v>
      </c>
      <c r="C88" s="982">
        <v>0</v>
      </c>
      <c r="D88" s="982">
        <v>206</v>
      </c>
      <c r="E88" s="982">
        <v>0</v>
      </c>
      <c r="F88" s="982">
        <v>0</v>
      </c>
      <c r="G88" s="982">
        <v>-927</v>
      </c>
      <c r="H88" s="987">
        <v>1500</v>
      </c>
      <c r="I88" s="987">
        <v>0</v>
      </c>
      <c r="J88" s="982">
        <v>0</v>
      </c>
      <c r="K88" s="1112"/>
      <c r="L88" s="982">
        <v>0</v>
      </c>
      <c r="M88" s="1143">
        <v>8901.59</v>
      </c>
      <c r="N88" s="1143">
        <v>0</v>
      </c>
      <c r="O88" s="1143">
        <v>0</v>
      </c>
      <c r="P88" s="1143"/>
      <c r="Q88" s="985">
        <v>0</v>
      </c>
      <c r="R88" s="982">
        <v>1424.17</v>
      </c>
      <c r="S88" s="982">
        <v>0</v>
      </c>
      <c r="T88" s="982">
        <v>0</v>
      </c>
      <c r="U88" s="982">
        <v>0</v>
      </c>
      <c r="V88" s="982">
        <v>0</v>
      </c>
      <c r="W88" s="985">
        <v>0</v>
      </c>
    </row>
    <row r="89" spans="1:23" ht="15.6" x14ac:dyDescent="0.3">
      <c r="A89" s="972" t="s">
        <v>574</v>
      </c>
      <c r="B89" s="982">
        <v>648</v>
      </c>
      <c r="C89" s="982">
        <v>648</v>
      </c>
      <c r="D89" s="982">
        <v>648</v>
      </c>
      <c r="E89" s="982">
        <v>648</v>
      </c>
      <c r="F89" s="982">
        <v>648</v>
      </c>
      <c r="G89" s="982">
        <v>648</v>
      </c>
      <c r="H89" s="987">
        <v>648</v>
      </c>
      <c r="I89" s="987">
        <v>648</v>
      </c>
      <c r="J89" s="982">
        <v>648</v>
      </c>
      <c r="K89" s="1125">
        <v>648</v>
      </c>
      <c r="L89" s="982">
        <v>648</v>
      </c>
      <c r="M89" s="1143">
        <v>648</v>
      </c>
      <c r="N89" s="1143">
        <v>648</v>
      </c>
      <c r="O89" s="1143">
        <v>648</v>
      </c>
      <c r="P89" s="1143">
        <v>648</v>
      </c>
      <c r="Q89" s="985">
        <v>648</v>
      </c>
      <c r="R89" s="982">
        <v>648</v>
      </c>
      <c r="S89" s="982">
        <v>648</v>
      </c>
      <c r="T89" s="982">
        <v>648</v>
      </c>
      <c r="U89" s="982">
        <v>648</v>
      </c>
      <c r="V89" s="982">
        <v>648</v>
      </c>
      <c r="W89" s="985">
        <v>648</v>
      </c>
    </row>
    <row r="90" spans="1:23" ht="15.6" x14ac:dyDescent="0.3">
      <c r="A90" s="972" t="s">
        <v>575</v>
      </c>
      <c r="B90" s="982">
        <v>269.12</v>
      </c>
      <c r="C90" s="982">
        <v>269.12</v>
      </c>
      <c r="D90" s="982">
        <v>269.12</v>
      </c>
      <c r="E90" s="982">
        <v>269.12</v>
      </c>
      <c r="F90" s="982">
        <v>266.75</v>
      </c>
      <c r="G90" s="982">
        <v>266.75</v>
      </c>
      <c r="H90" s="987">
        <v>266.75</v>
      </c>
      <c r="I90" s="987">
        <v>266.75</v>
      </c>
      <c r="J90" s="982">
        <v>266.75</v>
      </c>
      <c r="K90" s="1125">
        <v>266.75</v>
      </c>
      <c r="L90" s="982">
        <v>266.75</v>
      </c>
      <c r="M90" s="1143">
        <v>266.75</v>
      </c>
      <c r="N90" s="1143">
        <v>266.75</v>
      </c>
      <c r="O90" s="1143">
        <v>266.75</v>
      </c>
      <c r="P90" s="1143">
        <v>266.75</v>
      </c>
      <c r="Q90" s="985">
        <v>537.85</v>
      </c>
      <c r="R90" s="982">
        <v>266.75</v>
      </c>
      <c r="S90" s="982">
        <v>266.75</v>
      </c>
      <c r="T90" s="982">
        <v>1016.75</v>
      </c>
      <c r="U90" s="982">
        <v>266.75</v>
      </c>
      <c r="V90" s="982">
        <v>266.75</v>
      </c>
      <c r="W90" s="985">
        <v>266.75</v>
      </c>
    </row>
    <row r="91" spans="1:23" ht="15.6" x14ac:dyDescent="0.3">
      <c r="A91" s="1398" t="s">
        <v>1248</v>
      </c>
      <c r="B91" s="982"/>
      <c r="C91" s="982"/>
      <c r="D91" s="982"/>
      <c r="E91" s="982"/>
      <c r="F91" s="982"/>
      <c r="G91" s="982"/>
      <c r="H91" s="987"/>
      <c r="I91" s="987"/>
      <c r="J91" s="982"/>
      <c r="K91" s="1125"/>
      <c r="L91" s="982"/>
      <c r="M91" s="1143"/>
      <c r="N91" s="1143"/>
      <c r="O91" s="1143"/>
      <c r="P91" s="1143"/>
      <c r="Q91" s="985"/>
      <c r="R91" s="982">
        <v>881.2</v>
      </c>
      <c r="S91" s="982">
        <v>4156.75</v>
      </c>
      <c r="T91" s="982">
        <v>0</v>
      </c>
      <c r="U91" s="982">
        <v>248.08</v>
      </c>
      <c r="V91" s="982">
        <v>1248.17</v>
      </c>
      <c r="W91" s="985">
        <v>0</v>
      </c>
    </row>
    <row r="92" spans="1:23" ht="15.6" x14ac:dyDescent="0.3">
      <c r="A92" s="972" t="s">
        <v>585</v>
      </c>
      <c r="B92" s="982">
        <v>0</v>
      </c>
      <c r="C92" s="982">
        <v>301.75</v>
      </c>
      <c r="D92" s="982">
        <v>0</v>
      </c>
      <c r="E92" s="982">
        <v>0</v>
      </c>
      <c r="F92" s="982">
        <v>0</v>
      </c>
      <c r="G92" s="982">
        <v>0</v>
      </c>
      <c r="H92" s="982">
        <v>0</v>
      </c>
      <c r="I92" s="982">
        <v>0</v>
      </c>
      <c r="J92" s="982">
        <v>0</v>
      </c>
      <c r="K92" s="1112">
        <v>0</v>
      </c>
      <c r="L92" s="982">
        <v>-14116.5</v>
      </c>
      <c r="M92" s="1143">
        <v>0</v>
      </c>
      <c r="N92" s="1143">
        <v>0</v>
      </c>
      <c r="O92" s="1143"/>
      <c r="P92" s="1143"/>
      <c r="Q92" s="985">
        <v>0</v>
      </c>
      <c r="R92" s="982">
        <v>0</v>
      </c>
      <c r="S92" s="982">
        <v>-1882.77</v>
      </c>
      <c r="T92" s="982">
        <v>0</v>
      </c>
      <c r="U92" s="982">
        <v>0</v>
      </c>
      <c r="V92" s="982">
        <v>0</v>
      </c>
      <c r="W92" s="985">
        <v>0</v>
      </c>
    </row>
    <row r="93" spans="1:23" ht="15.6" x14ac:dyDescent="0.3">
      <c r="A93" s="972" t="s">
        <v>586</v>
      </c>
      <c r="B93" s="982">
        <v>1995</v>
      </c>
      <c r="C93" s="982">
        <v>1500</v>
      </c>
      <c r="D93" s="982">
        <v>34.78</v>
      </c>
      <c r="E93" s="982">
        <v>0</v>
      </c>
      <c r="F93" s="982">
        <v>3368.86</v>
      </c>
      <c r="G93" s="982">
        <v>6543.83</v>
      </c>
      <c r="H93" s="982">
        <v>93.37</v>
      </c>
      <c r="I93" s="982">
        <v>0</v>
      </c>
      <c r="J93" s="982">
        <v>24.06</v>
      </c>
      <c r="K93" s="1125">
        <v>61.51</v>
      </c>
      <c r="L93" s="982">
        <v>218.1</v>
      </c>
      <c r="M93" s="1143">
        <v>4821.2999999999993</v>
      </c>
      <c r="N93" s="1143">
        <v>3285.97</v>
      </c>
      <c r="O93" s="1143">
        <v>0</v>
      </c>
      <c r="P93" s="1143">
        <v>7926.41</v>
      </c>
      <c r="Q93" s="985">
        <v>0</v>
      </c>
      <c r="R93" s="982">
        <v>0</v>
      </c>
      <c r="S93" s="982">
        <v>0</v>
      </c>
      <c r="T93" s="982">
        <v>0</v>
      </c>
      <c r="U93" s="982">
        <v>0</v>
      </c>
      <c r="V93" s="982">
        <v>0</v>
      </c>
      <c r="W93" s="985">
        <v>0</v>
      </c>
    </row>
    <row r="94" spans="1:23" ht="15.6" x14ac:dyDescent="0.3">
      <c r="A94" s="1398" t="s">
        <v>1265</v>
      </c>
      <c r="B94" s="982"/>
      <c r="C94" s="982"/>
      <c r="D94" s="982"/>
      <c r="E94" s="982"/>
      <c r="F94" s="982"/>
      <c r="G94" s="982"/>
      <c r="H94" s="982"/>
      <c r="I94" s="982"/>
      <c r="J94" s="982"/>
      <c r="K94" s="1125"/>
      <c r="L94" s="982"/>
      <c r="M94" s="1143"/>
      <c r="N94" s="1143"/>
      <c r="O94" s="1143"/>
      <c r="P94" s="1143"/>
      <c r="Q94" s="985"/>
      <c r="R94" s="982"/>
      <c r="S94" s="982"/>
      <c r="T94" s="982"/>
      <c r="U94" s="982">
        <v>387.97</v>
      </c>
      <c r="V94" s="982">
        <v>0</v>
      </c>
      <c r="W94" s="985">
        <v>0</v>
      </c>
    </row>
    <row r="95" spans="1:23" ht="15.6" x14ac:dyDescent="0.3">
      <c r="A95" s="972" t="s">
        <v>587</v>
      </c>
      <c r="B95" s="982">
        <v>0</v>
      </c>
      <c r="C95" s="982">
        <v>0</v>
      </c>
      <c r="D95" s="982">
        <v>96.16</v>
      </c>
      <c r="E95" s="982">
        <v>0</v>
      </c>
      <c r="F95" s="982">
        <v>0</v>
      </c>
      <c r="G95" s="982">
        <v>0</v>
      </c>
      <c r="H95" s="982">
        <v>0</v>
      </c>
      <c r="I95" s="982">
        <v>0</v>
      </c>
      <c r="J95" s="982">
        <v>0</v>
      </c>
      <c r="K95" s="1125">
        <v>132.38999999999999</v>
      </c>
      <c r="L95" s="982">
        <v>0</v>
      </c>
      <c r="M95" s="1143">
        <v>0</v>
      </c>
      <c r="N95" s="1143">
        <v>0</v>
      </c>
      <c r="O95" s="1143"/>
      <c r="P95" s="1143"/>
      <c r="Q95" s="985">
        <v>0</v>
      </c>
      <c r="R95" s="982">
        <v>0</v>
      </c>
      <c r="S95" s="982">
        <v>0</v>
      </c>
      <c r="T95" s="982">
        <v>0</v>
      </c>
      <c r="U95" s="982">
        <v>0</v>
      </c>
      <c r="V95" s="982">
        <v>162.25</v>
      </c>
      <c r="W95" s="985">
        <v>0</v>
      </c>
    </row>
    <row r="96" spans="1:23" ht="15.6" x14ac:dyDescent="0.3">
      <c r="A96" s="972" t="s">
        <v>588</v>
      </c>
      <c r="B96" s="982">
        <v>100</v>
      </c>
      <c r="C96" s="982">
        <v>245.7</v>
      </c>
      <c r="D96" s="982">
        <v>0</v>
      </c>
      <c r="E96" s="982">
        <v>0</v>
      </c>
      <c r="F96" s="982">
        <v>0</v>
      </c>
      <c r="G96" s="982">
        <v>0</v>
      </c>
      <c r="H96" s="982">
        <v>0</v>
      </c>
      <c r="I96" s="982">
        <v>68.75</v>
      </c>
      <c r="J96" s="982">
        <v>0</v>
      </c>
      <c r="K96" s="1125">
        <v>153.75</v>
      </c>
      <c r="L96" s="982">
        <v>0</v>
      </c>
      <c r="M96" s="1143">
        <v>0</v>
      </c>
      <c r="N96" s="1143">
        <v>80.05</v>
      </c>
      <c r="O96" s="1143">
        <v>0</v>
      </c>
      <c r="P96" s="1143"/>
      <c r="Q96" s="985">
        <v>294.75</v>
      </c>
      <c r="R96" s="982">
        <v>49.12</v>
      </c>
      <c r="S96" s="982">
        <v>1153.5</v>
      </c>
      <c r="T96" s="982">
        <v>410.03</v>
      </c>
      <c r="U96" s="982">
        <v>298.68</v>
      </c>
      <c r="V96" s="982">
        <v>0</v>
      </c>
      <c r="W96" s="985">
        <v>252.18</v>
      </c>
    </row>
    <row r="97" spans="1:23" ht="15.6" x14ac:dyDescent="0.3">
      <c r="A97" s="972" t="s">
        <v>589</v>
      </c>
      <c r="B97" s="982">
        <v>0</v>
      </c>
      <c r="C97" s="982">
        <v>0</v>
      </c>
      <c r="D97" s="982">
        <v>5634.16</v>
      </c>
      <c r="E97" s="982">
        <v>0</v>
      </c>
      <c r="F97" s="982">
        <v>0</v>
      </c>
      <c r="G97" s="982">
        <v>0</v>
      </c>
      <c r="H97" s="982">
        <v>0</v>
      </c>
      <c r="I97" s="982">
        <v>0</v>
      </c>
      <c r="J97" s="982">
        <v>900</v>
      </c>
      <c r="K97" s="1112">
        <v>0</v>
      </c>
      <c r="L97" s="982">
        <v>0</v>
      </c>
      <c r="M97" s="1143">
        <v>0</v>
      </c>
      <c r="N97" s="1143">
        <v>0</v>
      </c>
      <c r="O97" s="1143"/>
      <c r="P97" s="1143"/>
      <c r="Q97" s="985">
        <v>0</v>
      </c>
      <c r="R97" s="982">
        <v>0</v>
      </c>
      <c r="S97" s="982">
        <v>0</v>
      </c>
      <c r="T97" s="982">
        <v>0</v>
      </c>
      <c r="U97" s="982">
        <v>0</v>
      </c>
      <c r="V97" s="982">
        <v>0</v>
      </c>
      <c r="W97" s="985">
        <v>0</v>
      </c>
    </row>
    <row r="98" spans="1:23" ht="15.6" x14ac:dyDescent="0.3">
      <c r="A98" s="972" t="s">
        <v>590</v>
      </c>
      <c r="B98" s="982">
        <v>58.82</v>
      </c>
      <c r="C98" s="982">
        <v>81</v>
      </c>
      <c r="D98" s="982">
        <v>2771.73</v>
      </c>
      <c r="E98" s="982">
        <v>1130.1099999999999</v>
      </c>
      <c r="F98" s="982">
        <v>2054.4499999999998</v>
      </c>
      <c r="G98" s="982">
        <v>7194.96</v>
      </c>
      <c r="H98" s="982">
        <v>8463.5400000000009</v>
      </c>
      <c r="I98" s="982">
        <v>4322.1899999999996</v>
      </c>
      <c r="J98" s="982">
        <v>3803.35</v>
      </c>
      <c r="K98" s="1125">
        <v>2016.63</v>
      </c>
      <c r="L98" s="982">
        <v>1319.74</v>
      </c>
      <c r="M98" s="1143">
        <v>3260</v>
      </c>
      <c r="N98" s="1143">
        <v>1215.22</v>
      </c>
      <c r="O98" s="1143">
        <v>3400.72</v>
      </c>
      <c r="P98" s="1143">
        <v>4010.98</v>
      </c>
      <c r="Q98" s="985">
        <v>3667.87</v>
      </c>
      <c r="R98" s="982">
        <v>3448.31</v>
      </c>
      <c r="S98" s="982">
        <v>2915.79</v>
      </c>
      <c r="T98" s="982">
        <v>4025.58</v>
      </c>
      <c r="U98" s="982">
        <v>3208.68</v>
      </c>
      <c r="V98" s="982">
        <v>2732.4</v>
      </c>
      <c r="W98" s="985">
        <v>4894.99</v>
      </c>
    </row>
    <row r="99" spans="1:23" ht="15.6" x14ac:dyDescent="0.3">
      <c r="A99" s="972" t="s">
        <v>591</v>
      </c>
      <c r="B99" s="982">
        <v>285.92</v>
      </c>
      <c r="C99" s="982">
        <v>0</v>
      </c>
      <c r="D99" s="982">
        <v>0</v>
      </c>
      <c r="E99" s="982">
        <v>0</v>
      </c>
      <c r="F99" s="982">
        <v>0</v>
      </c>
      <c r="G99" s="982">
        <v>0</v>
      </c>
      <c r="H99" s="982">
        <v>0</v>
      </c>
      <c r="I99" s="982">
        <v>0</v>
      </c>
      <c r="J99" s="982">
        <v>0</v>
      </c>
      <c r="K99" s="1112">
        <v>0</v>
      </c>
      <c r="L99" s="982">
        <v>0</v>
      </c>
      <c r="M99" s="1143">
        <v>0</v>
      </c>
      <c r="N99" s="1143">
        <v>0</v>
      </c>
      <c r="O99" s="1143"/>
      <c r="P99" s="1143"/>
      <c r="Q99" s="985">
        <v>0</v>
      </c>
      <c r="R99" s="982">
        <v>0</v>
      </c>
      <c r="S99" s="982">
        <v>0</v>
      </c>
      <c r="T99" s="982">
        <v>0</v>
      </c>
      <c r="U99" s="982">
        <v>0</v>
      </c>
      <c r="V99" s="982">
        <v>0</v>
      </c>
      <c r="W99" s="985">
        <v>0</v>
      </c>
    </row>
    <row r="100" spans="1:23" ht="15.6" x14ac:dyDescent="0.3">
      <c r="A100" s="1398" t="s">
        <v>1266</v>
      </c>
      <c r="B100" s="982"/>
      <c r="C100" s="982"/>
      <c r="D100" s="982"/>
      <c r="E100" s="982"/>
      <c r="F100" s="982"/>
      <c r="G100" s="982"/>
      <c r="H100" s="982"/>
      <c r="I100" s="982"/>
      <c r="J100" s="982"/>
      <c r="K100" s="1112"/>
      <c r="L100" s="982"/>
      <c r="M100" s="1143"/>
      <c r="N100" s="1143"/>
      <c r="O100" s="1143"/>
      <c r="P100" s="1143"/>
      <c r="Q100" s="985"/>
      <c r="R100" s="982"/>
      <c r="S100" s="982"/>
      <c r="T100" s="982"/>
      <c r="U100" s="982">
        <v>0</v>
      </c>
      <c r="V100" s="982">
        <v>1162.2</v>
      </c>
      <c r="W100" s="985">
        <v>925.28</v>
      </c>
    </row>
    <row r="101" spans="1:23" ht="15.6" x14ac:dyDescent="0.3">
      <c r="A101" s="1278" t="s">
        <v>750</v>
      </c>
      <c r="B101" s="982">
        <v>1829.46</v>
      </c>
      <c r="C101" s="982">
        <v>1829.46</v>
      </c>
      <c r="D101" s="982">
        <v>1829.46</v>
      </c>
      <c r="E101" s="982">
        <v>1829.46</v>
      </c>
      <c r="F101" s="982">
        <v>1829.46</v>
      </c>
      <c r="G101" s="982">
        <v>1829.46</v>
      </c>
      <c r="H101" s="982">
        <v>1829.46</v>
      </c>
      <c r="I101" s="982">
        <v>1829.46</v>
      </c>
      <c r="J101" s="982">
        <v>1829.46</v>
      </c>
      <c r="K101" s="1125">
        <v>1829.46</v>
      </c>
      <c r="L101" s="982">
        <v>1829.46</v>
      </c>
      <c r="M101" s="1143">
        <v>1829.46</v>
      </c>
      <c r="N101" s="1143">
        <v>1829.46</v>
      </c>
      <c r="O101" s="1143">
        <v>1829.46</v>
      </c>
      <c r="P101" s="1143">
        <v>1829.46</v>
      </c>
      <c r="Q101" s="985">
        <v>1829.46</v>
      </c>
      <c r="R101" s="982">
        <v>1829.46</v>
      </c>
      <c r="S101" s="982">
        <v>1829.46</v>
      </c>
      <c r="T101" s="982">
        <v>1829.46</v>
      </c>
      <c r="U101" s="982">
        <v>1829.46</v>
      </c>
      <c r="V101" s="982">
        <v>1829.46</v>
      </c>
      <c r="W101" s="985">
        <v>0</v>
      </c>
    </row>
    <row r="102" spans="1:23" ht="15.6" x14ac:dyDescent="0.3">
      <c r="A102" s="972" t="s">
        <v>855</v>
      </c>
      <c r="B102" s="982">
        <f>SUM(B23:B101)</f>
        <v>755038.6</v>
      </c>
      <c r="C102" s="982">
        <v>1151665.8999999999</v>
      </c>
      <c r="D102" s="982">
        <v>1252713.67</v>
      </c>
      <c r="E102" s="982">
        <v>959201.77</v>
      </c>
      <c r="F102" s="982">
        <v>1178862.18</v>
      </c>
      <c r="G102" s="982">
        <v>918244.09</v>
      </c>
      <c r="H102" s="982">
        <v>943573.09</v>
      </c>
      <c r="I102" s="982">
        <v>770907.95</v>
      </c>
      <c r="J102" s="982">
        <v>778891.87</v>
      </c>
      <c r="K102" s="1112">
        <v>639514.59</v>
      </c>
      <c r="L102" s="982">
        <v>560446.01</v>
      </c>
      <c r="M102" s="1143">
        <v>829224.57</v>
      </c>
      <c r="N102" s="1143">
        <v>748488.55</v>
      </c>
      <c r="O102" s="1143">
        <v>730396.25</v>
      </c>
      <c r="P102" s="1143">
        <v>1182114.1399999999</v>
      </c>
      <c r="Q102" s="985">
        <v>877560.95</v>
      </c>
      <c r="R102" s="982">
        <v>378572.51</v>
      </c>
      <c r="S102" s="982">
        <v>877858.61</v>
      </c>
      <c r="T102" s="982">
        <v>668064.66</v>
      </c>
      <c r="U102" s="982">
        <v>462295.43</v>
      </c>
      <c r="V102" s="982">
        <v>623858.86</v>
      </c>
      <c r="W102" s="985">
        <v>975748.43</v>
      </c>
    </row>
    <row r="103" spans="1:23" ht="15.6" x14ac:dyDescent="0.3">
      <c r="A103" s="980" t="s">
        <v>856</v>
      </c>
      <c r="B103" s="982">
        <v>289198.09000000003</v>
      </c>
      <c r="C103" s="982">
        <v>500138.54</v>
      </c>
      <c r="D103" s="982">
        <v>322389.32000000012</v>
      </c>
      <c r="E103" s="982">
        <v>31545.89000000001</v>
      </c>
      <c r="F103" s="982">
        <v>201667.21</v>
      </c>
      <c r="G103" s="982">
        <v>598824.64</v>
      </c>
      <c r="H103" s="982">
        <v>231283.77000000011</v>
      </c>
      <c r="I103" s="982">
        <v>831510.05</v>
      </c>
      <c r="J103" s="982">
        <v>485760.79999999987</v>
      </c>
      <c r="K103" s="1112">
        <v>417414.37</v>
      </c>
      <c r="L103" s="982">
        <v>331900.28000000003</v>
      </c>
      <c r="M103" s="1143">
        <v>574348.07999999996</v>
      </c>
      <c r="N103" s="1143">
        <v>-33320.580000000067</v>
      </c>
      <c r="O103" s="1143">
        <v>259339.3</v>
      </c>
      <c r="P103" s="1143">
        <v>633513.55000000005</v>
      </c>
      <c r="Q103" s="985">
        <v>460181.46</v>
      </c>
      <c r="R103" s="982">
        <v>934015.54</v>
      </c>
      <c r="S103" s="982">
        <v>530422.7300000001</v>
      </c>
      <c r="T103" s="982">
        <v>452927.55999999988</v>
      </c>
      <c r="U103" s="982">
        <v>436323.44</v>
      </c>
      <c r="V103" s="982">
        <v>367103.22</v>
      </c>
      <c r="W103" s="985">
        <v>640612.16</v>
      </c>
    </row>
    <row r="104" spans="1:23" ht="15.6" x14ac:dyDescent="0.3">
      <c r="A104" s="980" t="s">
        <v>181</v>
      </c>
      <c r="B104" s="981">
        <v>66.650000000000006</v>
      </c>
      <c r="C104" s="981">
        <v>1080.06</v>
      </c>
      <c r="D104" s="981">
        <v>879.78</v>
      </c>
      <c r="E104" s="981">
        <v>2015.93</v>
      </c>
      <c r="F104" s="981">
        <v>1264.55</v>
      </c>
      <c r="G104" s="981">
        <v>6835.79</v>
      </c>
      <c r="H104" s="981">
        <v>1443.03</v>
      </c>
      <c r="I104" s="981">
        <v>1386.25</v>
      </c>
      <c r="J104" s="981">
        <v>2550.58</v>
      </c>
      <c r="K104" s="1111">
        <v>4365.9399999999996</v>
      </c>
      <c r="L104" s="981">
        <v>3257.85</v>
      </c>
      <c r="M104" s="1142">
        <v>6875.06</v>
      </c>
      <c r="N104" s="1142">
        <v>2451.12</v>
      </c>
      <c r="O104" s="1142">
        <v>4210.05</v>
      </c>
      <c r="P104" s="1142">
        <v>-250.76</v>
      </c>
      <c r="Q104" s="1228">
        <v>3020.88</v>
      </c>
      <c r="R104" s="981">
        <v>2805.83</v>
      </c>
      <c r="S104" s="981">
        <v>2191.9899999999998</v>
      </c>
      <c r="T104" s="981">
        <v>4561.93</v>
      </c>
      <c r="U104" s="981">
        <v>3781.79</v>
      </c>
      <c r="V104" s="981">
        <v>1205.79</v>
      </c>
      <c r="W104" s="1228">
        <v>2583.0500000000002</v>
      </c>
    </row>
    <row r="105" spans="1:23" ht="15.6" x14ac:dyDescent="0.3">
      <c r="A105" s="972" t="s">
        <v>632</v>
      </c>
      <c r="B105" s="982">
        <v>66.650000000000006</v>
      </c>
      <c r="C105" s="982">
        <v>80.06</v>
      </c>
      <c r="D105" s="982">
        <v>56.01</v>
      </c>
      <c r="E105" s="982">
        <v>23.5</v>
      </c>
      <c r="F105" s="982">
        <v>237.29</v>
      </c>
      <c r="G105" s="982">
        <v>407.24</v>
      </c>
      <c r="H105" s="982">
        <v>239.07</v>
      </c>
      <c r="I105" s="982">
        <v>1289.8399999999999</v>
      </c>
      <c r="J105" s="982">
        <v>1423.24</v>
      </c>
      <c r="K105" s="1125">
        <v>2300.9</v>
      </c>
      <c r="L105" s="982">
        <v>2219.6</v>
      </c>
      <c r="M105" s="1143">
        <v>2669.64</v>
      </c>
      <c r="N105" s="1143">
        <v>2420.11</v>
      </c>
      <c r="O105" s="1143">
        <v>2142.6</v>
      </c>
      <c r="P105" s="1143">
        <v>0</v>
      </c>
      <c r="Q105" s="985">
        <v>0</v>
      </c>
      <c r="R105" s="982">
        <v>0</v>
      </c>
      <c r="S105" s="982">
        <v>0</v>
      </c>
      <c r="T105" s="982">
        <v>0</v>
      </c>
      <c r="U105" s="982">
        <v>0</v>
      </c>
      <c r="V105" s="982">
        <v>0</v>
      </c>
      <c r="W105" s="985">
        <v>0</v>
      </c>
    </row>
    <row r="106" spans="1:23" ht="15.6" x14ac:dyDescent="0.3">
      <c r="A106" s="1398" t="s">
        <v>1249</v>
      </c>
      <c r="B106" s="982"/>
      <c r="C106" s="982"/>
      <c r="D106" s="982"/>
      <c r="E106" s="982"/>
      <c r="F106" s="982"/>
      <c r="G106" s="982"/>
      <c r="H106" s="982"/>
      <c r="I106" s="982"/>
      <c r="J106" s="982"/>
      <c r="K106" s="1125"/>
      <c r="L106" s="982"/>
      <c r="M106" s="1143"/>
      <c r="N106" s="1143"/>
      <c r="O106" s="1143"/>
      <c r="P106" s="1143"/>
      <c r="Q106" s="985"/>
      <c r="R106" s="982">
        <v>0</v>
      </c>
      <c r="S106" s="982">
        <v>0</v>
      </c>
      <c r="T106" s="982">
        <v>2386</v>
      </c>
      <c r="U106" s="982">
        <v>1461</v>
      </c>
      <c r="V106" s="982">
        <v>0</v>
      </c>
      <c r="W106" s="985">
        <v>1503</v>
      </c>
    </row>
    <row r="107" spans="1:23" ht="15.6" x14ac:dyDescent="0.3">
      <c r="A107" s="972" t="s">
        <v>633</v>
      </c>
      <c r="B107" s="982">
        <v>0</v>
      </c>
      <c r="C107" s="982">
        <v>1000</v>
      </c>
      <c r="D107" s="982">
        <v>823.77</v>
      </c>
      <c r="E107" s="982">
        <v>1992.43</v>
      </c>
      <c r="F107" s="982">
        <v>1027.26</v>
      </c>
      <c r="G107" s="982">
        <v>6428.55</v>
      </c>
      <c r="H107" s="982">
        <v>1203.96</v>
      </c>
      <c r="I107" s="982">
        <v>96.41</v>
      </c>
      <c r="J107" s="982">
        <v>1127.3399999999999</v>
      </c>
      <c r="K107" s="1125">
        <v>2065.04</v>
      </c>
      <c r="L107" s="982">
        <v>1038.25</v>
      </c>
      <c r="M107" s="1143">
        <v>4205.42</v>
      </c>
      <c r="N107" s="1143">
        <v>31.01</v>
      </c>
      <c r="O107" s="1143">
        <v>2067.4499999999998</v>
      </c>
      <c r="P107" s="1143">
        <v>-250.76</v>
      </c>
      <c r="Q107" s="985">
        <v>3020.88</v>
      </c>
      <c r="R107" s="982">
        <v>2805.83</v>
      </c>
      <c r="S107" s="982">
        <v>2191.9899999999998</v>
      </c>
      <c r="T107" s="982">
        <v>2175.9299999999998</v>
      </c>
      <c r="U107" s="982">
        <v>2320.79</v>
      </c>
      <c r="V107" s="982">
        <v>1205.79</v>
      </c>
      <c r="W107" s="985">
        <v>1080.05</v>
      </c>
    </row>
    <row r="108" spans="1:23" ht="15.6" x14ac:dyDescent="0.3">
      <c r="A108" s="980" t="s">
        <v>857</v>
      </c>
      <c r="B108" s="982">
        <v>66.650000000000006</v>
      </c>
      <c r="C108" s="982">
        <v>1080.06</v>
      </c>
      <c r="D108" s="982">
        <v>879.78</v>
      </c>
      <c r="E108" s="982">
        <v>2015.93</v>
      </c>
      <c r="F108" s="982">
        <v>1264.55</v>
      </c>
      <c r="G108" s="982">
        <v>6835.79</v>
      </c>
      <c r="H108" s="982">
        <v>1443.03</v>
      </c>
      <c r="I108" s="982">
        <v>1386.25</v>
      </c>
      <c r="J108" s="982">
        <v>2550.58</v>
      </c>
      <c r="K108" s="1112">
        <v>4365.9399999999996</v>
      </c>
      <c r="L108" s="982">
        <v>3257.85</v>
      </c>
      <c r="M108" s="1143">
        <v>6875.06</v>
      </c>
      <c r="N108" s="1143">
        <v>2451.12</v>
      </c>
      <c r="O108" s="1143">
        <v>4210.05</v>
      </c>
      <c r="P108" s="1143">
        <v>-250.76</v>
      </c>
      <c r="Q108" s="985">
        <v>3020.88</v>
      </c>
      <c r="R108" s="982">
        <v>2805.83</v>
      </c>
      <c r="S108" s="982">
        <v>2191.9899999999998</v>
      </c>
      <c r="T108" s="982">
        <v>4561.93</v>
      </c>
      <c r="U108" s="982">
        <v>3781.79</v>
      </c>
      <c r="V108" s="982">
        <v>1205.79</v>
      </c>
      <c r="W108" s="985">
        <v>2583.0500000000002</v>
      </c>
    </row>
    <row r="109" spans="1:23" ht="16.8" x14ac:dyDescent="0.3">
      <c r="A109" s="979" t="s">
        <v>858</v>
      </c>
      <c r="B109" s="979">
        <v>1044303.34</v>
      </c>
      <c r="C109" s="979">
        <v>1652884.5</v>
      </c>
      <c r="D109" s="979">
        <v>1575982.77</v>
      </c>
      <c r="E109" s="979">
        <v>992763.59000000008</v>
      </c>
      <c r="F109" s="979">
        <v>1381793.94</v>
      </c>
      <c r="G109" s="979">
        <v>1523904.52</v>
      </c>
      <c r="H109" s="979">
        <v>1176299.8899999999</v>
      </c>
      <c r="I109" s="979">
        <v>1603804.25</v>
      </c>
      <c r="J109" s="979">
        <v>1267203.25</v>
      </c>
      <c r="K109" s="1115">
        <v>1061294.8999999999</v>
      </c>
      <c r="L109" s="979">
        <v>895604.14</v>
      </c>
      <c r="M109" s="1144">
        <v>1410447.71</v>
      </c>
      <c r="N109" s="1144">
        <v>717619.09</v>
      </c>
      <c r="O109" s="1144">
        <v>993945.60000000009</v>
      </c>
      <c r="P109" s="1144">
        <v>1815376.93</v>
      </c>
      <c r="Q109" s="1229">
        <v>1340763.29</v>
      </c>
      <c r="R109" s="1401">
        <v>1315393.8799999999</v>
      </c>
      <c r="S109" s="1401">
        <v>1410473.33</v>
      </c>
      <c r="T109" s="1401">
        <v>1125554.1499999999</v>
      </c>
      <c r="U109" s="1401">
        <v>902400.66</v>
      </c>
      <c r="V109" s="1401">
        <v>992167.87</v>
      </c>
      <c r="W109" s="1419">
        <v>1618943.64</v>
      </c>
    </row>
    <row r="110" spans="1:23" x14ac:dyDescent="0.3">
      <c r="M110" s="28"/>
      <c r="N110" s="28"/>
      <c r="O110" s="28"/>
      <c r="P110" s="28"/>
      <c r="Q110" s="10"/>
      <c r="S110">
        <f>S20+S108</f>
        <v>1410473.33</v>
      </c>
      <c r="W110" s="10"/>
    </row>
    <row r="111" spans="1:23" ht="17.399999999999999" thickBot="1" x14ac:dyDescent="0.35">
      <c r="A111" s="978" t="s">
        <v>859</v>
      </c>
      <c r="B111" s="978">
        <v>228830.38</v>
      </c>
      <c r="C111" s="978">
        <v>284616.82</v>
      </c>
      <c r="D111" s="978">
        <v>276939.58</v>
      </c>
      <c r="E111" s="978">
        <v>299104.64000000001</v>
      </c>
      <c r="F111" s="978">
        <v>331324.49</v>
      </c>
      <c r="G111" s="978">
        <v>326421.77</v>
      </c>
      <c r="H111" s="978">
        <v>252579.78</v>
      </c>
      <c r="I111" s="978">
        <v>328218.31</v>
      </c>
      <c r="J111" s="978">
        <v>256586.31</v>
      </c>
      <c r="K111" s="1110">
        <v>285703.49</v>
      </c>
      <c r="L111" s="978">
        <v>190114.36</v>
      </c>
      <c r="M111" s="1141">
        <v>301669.02</v>
      </c>
      <c r="N111" s="1141">
        <v>241202.11</v>
      </c>
      <c r="O111" s="1141">
        <v>188858.69</v>
      </c>
      <c r="P111" s="1141">
        <v>286151.28000000003</v>
      </c>
      <c r="Q111" s="1227">
        <v>257218.63</v>
      </c>
      <c r="R111" s="978">
        <v>500607.77</v>
      </c>
      <c r="S111" s="978">
        <v>345914.31</v>
      </c>
      <c r="T111" s="978">
        <v>349394.45</v>
      </c>
      <c r="U111" s="978">
        <v>309562.62</v>
      </c>
      <c r="V111" s="978">
        <v>274685.42</v>
      </c>
      <c r="W111" s="1227">
        <v>486198.6</v>
      </c>
    </row>
    <row r="112" spans="1:23" ht="17.399999999999999" thickTop="1" x14ac:dyDescent="0.3">
      <c r="A112" s="980" t="s">
        <v>859</v>
      </c>
      <c r="B112" s="981">
        <v>228830.38</v>
      </c>
      <c r="C112" s="981">
        <v>284616.82</v>
      </c>
      <c r="D112" s="981">
        <v>276939.58</v>
      </c>
      <c r="E112" s="981">
        <v>299104.64000000001</v>
      </c>
      <c r="F112" s="981">
        <v>331324.49</v>
      </c>
      <c r="G112" s="981">
        <v>326421.77</v>
      </c>
      <c r="H112" s="981">
        <v>252579.78</v>
      </c>
      <c r="I112" s="981">
        <v>328218.31</v>
      </c>
      <c r="J112" s="981">
        <v>256586.31</v>
      </c>
      <c r="K112" s="1126">
        <v>285703.49</v>
      </c>
      <c r="L112" s="981">
        <v>190114.36</v>
      </c>
      <c r="M112" s="1142">
        <f>SUM(M113:M209)</f>
        <v>301669.02</v>
      </c>
      <c r="N112" s="1142">
        <v>241202.11</v>
      </c>
      <c r="O112" s="1142">
        <v>188858.69</v>
      </c>
      <c r="P112" s="1142">
        <v>286151.28000000003</v>
      </c>
      <c r="Q112" s="1228">
        <v>257136.45</v>
      </c>
      <c r="R112" s="981">
        <v>440701.9</v>
      </c>
      <c r="S112" s="981">
        <v>344943.17</v>
      </c>
      <c r="T112" s="981">
        <v>286994.45</v>
      </c>
      <c r="U112" s="981">
        <v>308771.90999999997</v>
      </c>
      <c r="V112" s="981">
        <v>274685.42</v>
      </c>
      <c r="W112" s="1228">
        <v>481198.6</v>
      </c>
    </row>
    <row r="113" spans="1:23" ht="15.6" x14ac:dyDescent="0.3">
      <c r="A113" s="972" t="s">
        <v>753</v>
      </c>
      <c r="B113" s="982">
        <v>444.04</v>
      </c>
      <c r="C113" s="982">
        <v>702.08</v>
      </c>
      <c r="D113" s="982">
        <v>523.26</v>
      </c>
      <c r="E113" s="982">
        <v>709.46</v>
      </c>
      <c r="F113" s="982">
        <v>709</v>
      </c>
      <c r="G113" s="982">
        <v>362.09</v>
      </c>
      <c r="H113" s="989">
        <v>444.2</v>
      </c>
      <c r="I113" s="989">
        <v>735.25</v>
      </c>
      <c r="J113" s="982">
        <v>592.33000000000004</v>
      </c>
      <c r="K113" s="1112">
        <v>535</v>
      </c>
      <c r="L113" s="982">
        <v>638.83000000000004</v>
      </c>
      <c r="M113" s="1143">
        <v>587.20000000000005</v>
      </c>
      <c r="N113" s="1143">
        <v>30.03</v>
      </c>
      <c r="O113" s="1143">
        <v>443.46</v>
      </c>
      <c r="P113" s="1143">
        <v>0</v>
      </c>
      <c r="Q113" s="985">
        <v>0</v>
      </c>
      <c r="R113" s="982">
        <v>1989.65</v>
      </c>
      <c r="S113" s="982">
        <v>0</v>
      </c>
      <c r="T113" s="982">
        <v>0</v>
      </c>
      <c r="U113" s="982">
        <v>0</v>
      </c>
      <c r="V113" s="982">
        <v>0</v>
      </c>
      <c r="W113" s="985">
        <v>0</v>
      </c>
    </row>
    <row r="114" spans="1:23" ht="15.6" x14ac:dyDescent="0.3">
      <c r="A114" s="972" t="s">
        <v>754</v>
      </c>
      <c r="B114" s="982">
        <v>556</v>
      </c>
      <c r="C114" s="982">
        <v>556</v>
      </c>
      <c r="D114" s="982">
        <v>556</v>
      </c>
      <c r="E114" s="982">
        <v>556</v>
      </c>
      <c r="F114" s="982">
        <v>556</v>
      </c>
      <c r="G114" s="982">
        <v>556</v>
      </c>
      <c r="H114" s="989">
        <v>556</v>
      </c>
      <c r="I114" s="989">
        <v>556</v>
      </c>
      <c r="J114" s="982">
        <v>556</v>
      </c>
      <c r="K114" s="1112">
        <v>556</v>
      </c>
      <c r="L114" s="982">
        <v>556</v>
      </c>
      <c r="M114" s="1143">
        <v>556</v>
      </c>
      <c r="N114" s="1143">
        <v>556</v>
      </c>
      <c r="O114" s="1143">
        <v>556</v>
      </c>
      <c r="P114" s="1143">
        <v>556</v>
      </c>
      <c r="Q114" s="985">
        <v>556</v>
      </c>
      <c r="R114" s="982">
        <v>556</v>
      </c>
      <c r="S114" s="982">
        <v>556</v>
      </c>
      <c r="T114" s="982">
        <v>556</v>
      </c>
      <c r="U114" s="982">
        <v>556</v>
      </c>
      <c r="V114" s="982">
        <v>556</v>
      </c>
      <c r="W114" s="985">
        <v>556</v>
      </c>
    </row>
    <row r="115" spans="1:23" ht="15.6" x14ac:dyDescent="0.3">
      <c r="A115" s="972" t="s">
        <v>755</v>
      </c>
      <c r="B115" s="982">
        <v>230.92</v>
      </c>
      <c r="C115" s="982">
        <v>230.92</v>
      </c>
      <c r="D115" s="982">
        <v>230.92</v>
      </c>
      <c r="E115" s="982">
        <v>230.92</v>
      </c>
      <c r="F115" s="982">
        <v>228.89</v>
      </c>
      <c r="G115" s="982">
        <v>228.89</v>
      </c>
      <c r="H115" s="989">
        <v>228.89</v>
      </c>
      <c r="I115" s="989">
        <v>228.89</v>
      </c>
      <c r="J115" s="982">
        <v>228.89</v>
      </c>
      <c r="K115" s="1112">
        <v>228.89</v>
      </c>
      <c r="L115" s="982">
        <v>228.89</v>
      </c>
      <c r="M115" s="1143">
        <v>228.89</v>
      </c>
      <c r="N115" s="1143">
        <v>228.89</v>
      </c>
      <c r="O115" s="1143">
        <v>228.89</v>
      </c>
      <c r="P115" s="1143">
        <v>228.89</v>
      </c>
      <c r="Q115" s="985">
        <v>228.89</v>
      </c>
      <c r="R115" s="982">
        <v>228.89</v>
      </c>
      <c r="S115" s="982">
        <v>228.89</v>
      </c>
      <c r="T115" s="982">
        <v>978.89</v>
      </c>
      <c r="U115" s="982">
        <v>228.89</v>
      </c>
      <c r="V115" s="982">
        <v>228.89</v>
      </c>
      <c r="W115" s="985">
        <v>228.89</v>
      </c>
    </row>
    <row r="116" spans="1:23" ht="15.6" x14ac:dyDescent="0.3">
      <c r="A116" s="972" t="s">
        <v>756</v>
      </c>
      <c r="B116" s="982">
        <v>10540.69</v>
      </c>
      <c r="C116" s="982">
        <v>11788.73</v>
      </c>
      <c r="D116" s="982">
        <v>14301.69</v>
      </c>
      <c r="E116" s="982">
        <v>12269.58</v>
      </c>
      <c r="F116" s="982">
        <v>12591.94</v>
      </c>
      <c r="G116" s="982">
        <v>12591.94</v>
      </c>
      <c r="H116" s="989">
        <v>12019.59</v>
      </c>
      <c r="I116" s="989">
        <v>13164.3</v>
      </c>
      <c r="J116" s="982">
        <v>12591.94</v>
      </c>
      <c r="K116" s="1112">
        <v>12019.58</v>
      </c>
      <c r="L116" s="982">
        <v>12591.94</v>
      </c>
      <c r="M116" s="1143">
        <v>12591.95</v>
      </c>
      <c r="N116" s="1143">
        <v>10066.18</v>
      </c>
      <c r="O116" s="1143">
        <v>4230.76</v>
      </c>
      <c r="P116" s="1143">
        <v>5119.2299999999996</v>
      </c>
      <c r="Q116" s="985">
        <v>4400</v>
      </c>
      <c r="R116" s="982">
        <v>5060</v>
      </c>
      <c r="S116" s="982">
        <v>4840</v>
      </c>
      <c r="T116" s="982">
        <v>4400</v>
      </c>
      <c r="U116" s="982">
        <v>5082</v>
      </c>
      <c r="V116" s="982">
        <v>4620</v>
      </c>
      <c r="W116" s="985">
        <v>4840</v>
      </c>
    </row>
    <row r="117" spans="1:23" ht="15.6" x14ac:dyDescent="0.3">
      <c r="A117" s="972" t="s">
        <v>757</v>
      </c>
      <c r="B117" s="982">
        <v>793.34</v>
      </c>
      <c r="C117" s="982">
        <v>2073.3000000000002</v>
      </c>
      <c r="D117" s="982">
        <v>1064.71</v>
      </c>
      <c r="E117" s="982">
        <v>877.24</v>
      </c>
      <c r="F117" s="982">
        <v>1141.07</v>
      </c>
      <c r="G117" s="982">
        <v>897.57</v>
      </c>
      <c r="H117" s="989">
        <v>913.11</v>
      </c>
      <c r="I117" s="989">
        <v>941.63</v>
      </c>
      <c r="J117" s="982">
        <v>897.57</v>
      </c>
      <c r="K117" s="1112">
        <v>1024.07</v>
      </c>
      <c r="L117" s="982">
        <v>1027.6199999999999</v>
      </c>
      <c r="M117" s="1143">
        <v>1180.8699999999999</v>
      </c>
      <c r="N117" s="1143">
        <v>999.18</v>
      </c>
      <c r="O117" s="1143">
        <v>445.79</v>
      </c>
      <c r="P117" s="1143">
        <v>416.16</v>
      </c>
      <c r="Q117" s="985">
        <v>331.46</v>
      </c>
      <c r="R117" s="982">
        <v>382.28</v>
      </c>
      <c r="S117" s="982">
        <v>361.67</v>
      </c>
      <c r="T117" s="982">
        <v>465.22</v>
      </c>
      <c r="U117" s="982">
        <v>383.98</v>
      </c>
      <c r="V117" s="982">
        <v>348.4</v>
      </c>
      <c r="W117" s="985">
        <v>365.34</v>
      </c>
    </row>
    <row r="118" spans="1:23" ht="15.6" x14ac:dyDescent="0.3">
      <c r="A118" s="972" t="s">
        <v>758</v>
      </c>
      <c r="B118" s="982">
        <v>29.52</v>
      </c>
      <c r="C118" s="982">
        <v>564.20000000000005</v>
      </c>
      <c r="D118" s="982">
        <v>564.20000000000005</v>
      </c>
      <c r="E118" s="982">
        <v>557.79999999999995</v>
      </c>
      <c r="F118" s="982">
        <v>557.79999999999995</v>
      </c>
      <c r="G118" s="982">
        <v>557.79999999999995</v>
      </c>
      <c r="H118" s="989">
        <v>557.79999999999995</v>
      </c>
      <c r="I118" s="989">
        <v>564.20000000000005</v>
      </c>
      <c r="J118" s="982">
        <v>564.20000000000005</v>
      </c>
      <c r="K118" s="1112">
        <v>564.20000000000005</v>
      </c>
      <c r="L118" s="982">
        <v>564.20000000000005</v>
      </c>
      <c r="M118" s="1143">
        <v>564.20000000000005</v>
      </c>
      <c r="N118" s="1143">
        <v>564.6</v>
      </c>
      <c r="O118" s="1143">
        <v>1640.75</v>
      </c>
      <c r="P118" s="1143">
        <v>1640.75</v>
      </c>
      <c r="Q118" s="985">
        <v>-2344.3000000000002</v>
      </c>
      <c r="R118" s="982">
        <v>312.39999999999998</v>
      </c>
      <c r="S118" s="982">
        <v>312.39999999999998</v>
      </c>
      <c r="T118" s="982">
        <v>312.39999999999998</v>
      </c>
      <c r="U118" s="982">
        <v>312.39999999999998</v>
      </c>
      <c r="V118" s="982">
        <v>312.39999999999998</v>
      </c>
      <c r="W118" s="985">
        <v>312.39999999999998</v>
      </c>
    </row>
    <row r="119" spans="1:23" ht="15.6" x14ac:dyDescent="0.3">
      <c r="A119" s="972" t="s">
        <v>759</v>
      </c>
      <c r="B119" s="982">
        <v>72.489999999999995</v>
      </c>
      <c r="C119" s="982">
        <v>72.489999999999995</v>
      </c>
      <c r="D119" s="982">
        <v>72.489999999999995</v>
      </c>
      <c r="E119" s="982">
        <v>72.489999999999995</v>
      </c>
      <c r="F119" s="982">
        <v>286.8</v>
      </c>
      <c r="G119" s="982">
        <v>286.8</v>
      </c>
      <c r="H119" s="989">
        <v>290</v>
      </c>
      <c r="I119" s="989">
        <v>283.60000000000002</v>
      </c>
      <c r="J119" s="982">
        <v>0</v>
      </c>
      <c r="K119" s="1112">
        <v>286.8</v>
      </c>
      <c r="L119" s="982">
        <v>286.8</v>
      </c>
      <c r="M119" s="1143">
        <v>286.8</v>
      </c>
      <c r="N119" s="1143">
        <v>286.8</v>
      </c>
      <c r="O119" s="1143">
        <v>286.8</v>
      </c>
      <c r="P119" s="1143">
        <v>0</v>
      </c>
      <c r="Q119" s="985">
        <v>0</v>
      </c>
      <c r="R119" s="982">
        <v>341.52</v>
      </c>
      <c r="S119" s="982">
        <v>341.52</v>
      </c>
      <c r="T119" s="982">
        <v>683.04</v>
      </c>
      <c r="U119" s="982">
        <v>341.52</v>
      </c>
      <c r="V119" s="982">
        <v>341.52</v>
      </c>
      <c r="W119" s="985">
        <v>346.94</v>
      </c>
    </row>
    <row r="120" spans="1:23" ht="15.6" x14ac:dyDescent="0.3">
      <c r="A120" s="972" t="s">
        <v>760</v>
      </c>
      <c r="B120" s="982">
        <v>0</v>
      </c>
      <c r="C120" s="982">
        <v>0</v>
      </c>
      <c r="D120" s="982">
        <v>0</v>
      </c>
      <c r="E120" s="982">
        <v>0</v>
      </c>
      <c r="F120" s="982">
        <v>3183.06</v>
      </c>
      <c r="G120" s="982">
        <v>0</v>
      </c>
      <c r="H120" s="989">
        <v>1250</v>
      </c>
      <c r="I120" s="989">
        <v>0</v>
      </c>
      <c r="J120" s="982">
        <v>0</v>
      </c>
      <c r="K120" s="1112">
        <v>2229.7199999999998</v>
      </c>
      <c r="L120" s="982">
        <v>1700.18</v>
      </c>
      <c r="M120" s="1143">
        <v>0</v>
      </c>
      <c r="N120" s="1143">
        <v>0</v>
      </c>
      <c r="O120" s="1143"/>
      <c r="P120" s="1143"/>
      <c r="Q120" s="985">
        <v>0</v>
      </c>
      <c r="R120" s="982">
        <v>0</v>
      </c>
      <c r="S120" s="982">
        <v>0</v>
      </c>
      <c r="T120" s="982">
        <v>0</v>
      </c>
      <c r="U120" s="982">
        <v>0</v>
      </c>
      <c r="V120" s="982">
        <v>0</v>
      </c>
      <c r="W120" s="985">
        <v>0</v>
      </c>
    </row>
    <row r="121" spans="1:23" ht="15.6" x14ac:dyDescent="0.3">
      <c r="A121" s="972" t="s">
        <v>761</v>
      </c>
      <c r="B121" s="982">
        <v>11000</v>
      </c>
      <c r="C121" s="982">
        <v>18000</v>
      </c>
      <c r="D121" s="982">
        <v>5500</v>
      </c>
      <c r="E121" s="982">
        <v>20000</v>
      </c>
      <c r="F121" s="982">
        <v>12850</v>
      </c>
      <c r="G121" s="982">
        <v>18121.57</v>
      </c>
      <c r="H121" s="989">
        <v>23410.560000000001</v>
      </c>
      <c r="I121" s="989">
        <v>18345.099999999999</v>
      </c>
      <c r="J121" s="982">
        <v>19295.21</v>
      </c>
      <c r="K121" s="1112">
        <v>19751.88</v>
      </c>
      <c r="L121" s="982">
        <v>19709.52</v>
      </c>
      <c r="M121" s="1143">
        <v>19320.62</v>
      </c>
      <c r="N121" s="1143">
        <v>21643.75</v>
      </c>
      <c r="O121" s="1143">
        <v>20182.21</v>
      </c>
      <c r="P121" s="1143">
        <v>25723.49</v>
      </c>
      <c r="Q121" s="985">
        <v>17129.71</v>
      </c>
      <c r="R121" s="982">
        <v>21384.98</v>
      </c>
      <c r="S121" s="982">
        <v>25167.4</v>
      </c>
      <c r="T121" s="982">
        <v>25762.7</v>
      </c>
      <c r="U121" s="982">
        <v>22993.45</v>
      </c>
      <c r="V121" s="982">
        <v>29640.14</v>
      </c>
      <c r="W121" s="985">
        <v>28269.34</v>
      </c>
    </row>
    <row r="122" spans="1:23" ht="15.6" x14ac:dyDescent="0.3">
      <c r="A122" s="972" t="s">
        <v>762</v>
      </c>
      <c r="B122" s="982">
        <v>2213.98</v>
      </c>
      <c r="C122" s="982">
        <v>2321.98</v>
      </c>
      <c r="D122" s="982">
        <v>2233.98</v>
      </c>
      <c r="E122" s="982">
        <v>2269.98</v>
      </c>
      <c r="F122" s="982">
        <v>2276.98</v>
      </c>
      <c r="G122" s="982">
        <v>2553.98</v>
      </c>
      <c r="H122" s="989">
        <v>2233.98</v>
      </c>
      <c r="I122" s="989">
        <v>2229.98</v>
      </c>
      <c r="J122" s="982">
        <v>2229.98</v>
      </c>
      <c r="K122" s="1112">
        <v>2229.98</v>
      </c>
      <c r="L122" s="982">
        <v>2243.98</v>
      </c>
      <c r="M122" s="1143">
        <v>2224.9899999999998</v>
      </c>
      <c r="N122" s="1143">
        <v>2224.9899999999998</v>
      </c>
      <c r="O122" s="1143">
        <v>2224.9899999999998</v>
      </c>
      <c r="P122" s="1143">
        <v>0</v>
      </c>
      <c r="Q122" s="985">
        <v>0</v>
      </c>
      <c r="R122" s="982">
        <v>2224.9899999999998</v>
      </c>
      <c r="S122" s="982">
        <v>2224.9899999999998</v>
      </c>
      <c r="T122" s="982">
        <v>2224.9899999999998</v>
      </c>
      <c r="U122" s="982">
        <v>2224.9899999999998</v>
      </c>
      <c r="V122" s="982">
        <v>0</v>
      </c>
      <c r="W122" s="985">
        <v>0</v>
      </c>
    </row>
    <row r="123" spans="1:23" ht="15.6" x14ac:dyDescent="0.3">
      <c r="A123" s="1278" t="s">
        <v>763</v>
      </c>
      <c r="B123" s="982">
        <v>0</v>
      </c>
      <c r="C123" s="982">
        <v>0</v>
      </c>
      <c r="D123" s="982">
        <v>0</v>
      </c>
      <c r="E123" s="982">
        <v>0</v>
      </c>
      <c r="F123" s="982">
        <v>0</v>
      </c>
      <c r="G123" s="982">
        <v>0</v>
      </c>
      <c r="H123" s="989">
        <v>0</v>
      </c>
      <c r="I123" s="989">
        <v>0</v>
      </c>
      <c r="J123" s="982">
        <v>0</v>
      </c>
      <c r="K123" s="1112"/>
      <c r="L123" s="982">
        <v>0</v>
      </c>
      <c r="M123" s="1143">
        <v>0</v>
      </c>
      <c r="N123" s="1143">
        <v>0</v>
      </c>
      <c r="O123" s="1143"/>
      <c r="P123" s="1143"/>
      <c r="Q123" s="985">
        <v>0</v>
      </c>
      <c r="R123" s="982">
        <v>0</v>
      </c>
      <c r="S123" s="982">
        <v>0</v>
      </c>
      <c r="T123" s="982">
        <v>0</v>
      </c>
      <c r="U123" s="982">
        <v>0</v>
      </c>
      <c r="V123" s="982">
        <v>0</v>
      </c>
      <c r="W123" s="985">
        <v>0</v>
      </c>
    </row>
    <row r="124" spans="1:23" ht="15.6" x14ac:dyDescent="0.3">
      <c r="A124" s="972" t="s">
        <v>764</v>
      </c>
      <c r="B124" s="982">
        <v>118</v>
      </c>
      <c r="C124" s="982">
        <v>1231.25</v>
      </c>
      <c r="D124" s="982">
        <v>148.5</v>
      </c>
      <c r="E124" s="982">
        <v>156.47999999999999</v>
      </c>
      <c r="F124" s="982">
        <v>10398.43</v>
      </c>
      <c r="G124" s="982">
        <v>188.56</v>
      </c>
      <c r="H124" s="989">
        <v>292.69</v>
      </c>
      <c r="I124" s="989">
        <v>118.75</v>
      </c>
      <c r="J124" s="982">
        <v>175.73</v>
      </c>
      <c r="K124" s="1112">
        <v>192.98</v>
      </c>
      <c r="L124" s="982">
        <v>663.08</v>
      </c>
      <c r="M124" s="1143">
        <v>119.25</v>
      </c>
      <c r="N124" s="1143">
        <v>30</v>
      </c>
      <c r="O124" s="1143">
        <v>0</v>
      </c>
      <c r="P124" s="1143"/>
      <c r="Q124" s="985">
        <v>0</v>
      </c>
      <c r="R124" s="982">
        <v>0</v>
      </c>
      <c r="S124" s="982">
        <v>0</v>
      </c>
      <c r="T124" s="982">
        <v>0</v>
      </c>
      <c r="U124" s="982">
        <v>0</v>
      </c>
      <c r="V124" s="982">
        <v>0</v>
      </c>
      <c r="W124" s="985">
        <v>0</v>
      </c>
    </row>
    <row r="125" spans="1:23" ht="15.6" x14ac:dyDescent="0.3">
      <c r="A125" s="972" t="s">
        <v>765</v>
      </c>
      <c r="B125" s="982">
        <v>187.53</v>
      </c>
      <c r="C125" s="982">
        <v>198.82</v>
      </c>
      <c r="D125" s="982">
        <v>90.18</v>
      </c>
      <c r="E125" s="982">
        <v>204.84</v>
      </c>
      <c r="F125" s="982">
        <v>322.56</v>
      </c>
      <c r="G125" s="982">
        <v>123.41</v>
      </c>
      <c r="H125" s="989">
        <v>218.6</v>
      </c>
      <c r="I125" s="989">
        <v>208.92</v>
      </c>
      <c r="J125" s="982">
        <v>202.89</v>
      </c>
      <c r="K125" s="1112">
        <v>206.32</v>
      </c>
      <c r="L125" s="982">
        <v>207.38</v>
      </c>
      <c r="M125" s="1143">
        <v>191.1</v>
      </c>
      <c r="N125" s="1143">
        <v>189.01</v>
      </c>
      <c r="O125" s="1143">
        <v>0</v>
      </c>
      <c r="P125" s="1143"/>
      <c r="Q125" s="985">
        <v>0</v>
      </c>
      <c r="R125" s="982">
        <v>0</v>
      </c>
      <c r="S125" s="982">
        <v>0</v>
      </c>
      <c r="T125" s="982">
        <v>0</v>
      </c>
      <c r="U125" s="982">
        <v>0</v>
      </c>
      <c r="V125" s="982">
        <v>0</v>
      </c>
      <c r="W125" s="985">
        <v>0</v>
      </c>
    </row>
    <row r="126" spans="1:23" ht="15.6" x14ac:dyDescent="0.3">
      <c r="A126" s="972" t="s">
        <v>766</v>
      </c>
      <c r="B126" s="982">
        <v>2900</v>
      </c>
      <c r="C126" s="982">
        <v>0</v>
      </c>
      <c r="D126" s="982">
        <v>0</v>
      </c>
      <c r="E126" s="982">
        <v>0</v>
      </c>
      <c r="F126" s="982">
        <v>2900</v>
      </c>
      <c r="G126" s="982">
        <v>2900</v>
      </c>
      <c r="H126" s="989">
        <v>2900</v>
      </c>
      <c r="I126" s="989">
        <v>2900</v>
      </c>
      <c r="J126" s="982">
        <v>2900</v>
      </c>
      <c r="K126" s="1112">
        <v>2900</v>
      </c>
      <c r="L126" s="982">
        <v>2900</v>
      </c>
      <c r="M126" s="1143">
        <v>2900</v>
      </c>
      <c r="N126" s="1143">
        <v>2900</v>
      </c>
      <c r="O126" s="1143">
        <v>0</v>
      </c>
      <c r="P126" s="1143">
        <v>2900</v>
      </c>
      <c r="Q126" s="985">
        <v>2900</v>
      </c>
      <c r="R126" s="982">
        <v>5800</v>
      </c>
      <c r="S126" s="982">
        <v>0</v>
      </c>
      <c r="T126" s="982">
        <v>5800</v>
      </c>
      <c r="U126" s="982">
        <v>0</v>
      </c>
      <c r="V126" s="982">
        <v>0</v>
      </c>
      <c r="W126" s="985">
        <v>9500</v>
      </c>
    </row>
    <row r="127" spans="1:23" ht="15.6" x14ac:dyDescent="0.3">
      <c r="A127" s="972" t="s">
        <v>767</v>
      </c>
      <c r="B127" s="982">
        <v>2579.4899999999998</v>
      </c>
      <c r="C127" s="982">
        <v>2579.4899999999998</v>
      </c>
      <c r="D127" s="982">
        <v>2579.4899999999998</v>
      </c>
      <c r="E127" s="982">
        <v>2579.4899999999998</v>
      </c>
      <c r="F127" s="982">
        <v>2479.52</v>
      </c>
      <c r="G127" s="982">
        <v>2579.4899999999998</v>
      </c>
      <c r="H127" s="989">
        <v>2579.4899999999998</v>
      </c>
      <c r="I127" s="989">
        <v>2579.4899999999998</v>
      </c>
      <c r="J127" s="982">
        <v>2579.4899999999998</v>
      </c>
      <c r="K127" s="1112">
        <v>2579.4899999999998</v>
      </c>
      <c r="L127" s="982">
        <v>2579.4899999999998</v>
      </c>
      <c r="M127" s="1143">
        <v>99.94</v>
      </c>
      <c r="N127" s="1143">
        <v>0</v>
      </c>
      <c r="O127" s="1143"/>
      <c r="P127" s="1143"/>
      <c r="Q127" s="985">
        <v>0</v>
      </c>
      <c r="R127" s="982">
        <v>0</v>
      </c>
      <c r="S127" s="982">
        <v>0</v>
      </c>
      <c r="T127" s="982">
        <v>0</v>
      </c>
      <c r="U127" s="982">
        <v>0</v>
      </c>
      <c r="V127" s="982">
        <v>0</v>
      </c>
      <c r="W127" s="985">
        <v>0</v>
      </c>
    </row>
    <row r="128" spans="1:23" ht="15.6" x14ac:dyDescent="0.3">
      <c r="A128" s="972" t="s">
        <v>768</v>
      </c>
      <c r="B128" s="982">
        <v>513.64</v>
      </c>
      <c r="C128" s="982">
        <v>720.35</v>
      </c>
      <c r="D128" s="982">
        <v>275.31</v>
      </c>
      <c r="E128" s="982">
        <v>275.31</v>
      </c>
      <c r="F128" s="982">
        <v>275.31</v>
      </c>
      <c r="G128" s="982">
        <v>282.62</v>
      </c>
      <c r="H128" s="989">
        <v>249.63</v>
      </c>
      <c r="I128" s="989">
        <v>264.62</v>
      </c>
      <c r="J128" s="982">
        <v>247.06</v>
      </c>
      <c r="K128" s="1112">
        <v>280.45999999999998</v>
      </c>
      <c r="L128" s="982">
        <v>310.47000000000003</v>
      </c>
      <c r="M128" s="1143">
        <v>342.26</v>
      </c>
      <c r="N128" s="1143">
        <v>342.26</v>
      </c>
      <c r="O128" s="1143">
        <v>0</v>
      </c>
      <c r="P128" s="1143"/>
      <c r="Q128" s="985">
        <v>0</v>
      </c>
      <c r="R128" s="982">
        <v>0</v>
      </c>
      <c r="S128" s="982">
        <v>0</v>
      </c>
      <c r="T128" s="982">
        <v>0</v>
      </c>
      <c r="U128" s="982">
        <v>0</v>
      </c>
      <c r="V128" s="982">
        <v>0</v>
      </c>
      <c r="W128" s="985">
        <v>0</v>
      </c>
    </row>
    <row r="129" spans="1:23" ht="15.6" x14ac:dyDescent="0.3">
      <c r="A129" s="972" t="s">
        <v>769</v>
      </c>
      <c r="B129" s="982">
        <v>4878.07</v>
      </c>
      <c r="C129" s="982">
        <v>2681.21</v>
      </c>
      <c r="D129" s="982">
        <v>1242.1199999999999</v>
      </c>
      <c r="E129" s="982">
        <v>7370.7</v>
      </c>
      <c r="F129" s="982">
        <v>29291.63</v>
      </c>
      <c r="G129" s="982">
        <v>5132.12</v>
      </c>
      <c r="H129" s="989">
        <v>202.48</v>
      </c>
      <c r="I129" s="989">
        <v>14105.15</v>
      </c>
      <c r="J129" s="982">
        <v>7175.83</v>
      </c>
      <c r="K129" s="1112">
        <v>14571.89</v>
      </c>
      <c r="L129" s="982">
        <v>1473.22</v>
      </c>
      <c r="M129" s="1143">
        <v>426.43</v>
      </c>
      <c r="N129" s="1143">
        <v>0</v>
      </c>
      <c r="O129" s="1143">
        <v>1000</v>
      </c>
      <c r="P129" s="1143">
        <v>14461.61</v>
      </c>
      <c r="Q129" s="985">
        <v>13342.13</v>
      </c>
      <c r="R129" s="982">
        <v>8645.4599999999991</v>
      </c>
      <c r="S129" s="982">
        <v>17327.77</v>
      </c>
      <c r="T129" s="982">
        <v>6621.69</v>
      </c>
      <c r="U129" s="982">
        <v>16251.84</v>
      </c>
      <c r="V129" s="982">
        <v>14066.96</v>
      </c>
      <c r="W129" s="985">
        <v>11927.96</v>
      </c>
    </row>
    <row r="130" spans="1:23" ht="15.6" x14ac:dyDescent="0.3">
      <c r="A130" s="972" t="s">
        <v>770</v>
      </c>
      <c r="B130" s="982">
        <v>0</v>
      </c>
      <c r="C130" s="982">
        <v>0</v>
      </c>
      <c r="D130" s="982">
        <v>0</v>
      </c>
      <c r="E130" s="982">
        <v>0</v>
      </c>
      <c r="F130" s="982">
        <v>0</v>
      </c>
      <c r="G130" s="982">
        <v>3011.46</v>
      </c>
      <c r="H130" s="989">
        <v>1752.34</v>
      </c>
      <c r="I130" s="989">
        <v>6563.75</v>
      </c>
      <c r="J130" s="982">
        <v>3632.45</v>
      </c>
      <c r="K130" s="1112">
        <v>192.8</v>
      </c>
      <c r="L130" s="982">
        <v>0</v>
      </c>
      <c r="M130" s="1143">
        <v>0</v>
      </c>
      <c r="N130" s="1143">
        <v>0</v>
      </c>
      <c r="O130" s="1143">
        <v>0</v>
      </c>
      <c r="P130" s="1143">
        <v>436.4</v>
      </c>
      <c r="Q130" s="985">
        <v>116.49</v>
      </c>
      <c r="R130" s="982">
        <v>3778.03</v>
      </c>
      <c r="S130" s="982">
        <v>1728.94</v>
      </c>
      <c r="T130" s="982">
        <v>1931.99</v>
      </c>
      <c r="U130" s="982">
        <v>409.2</v>
      </c>
      <c r="V130" s="982">
        <v>5962.94</v>
      </c>
      <c r="W130" s="985">
        <v>0</v>
      </c>
    </row>
    <row r="131" spans="1:23" ht="15.6" x14ac:dyDescent="0.3">
      <c r="A131" s="1398" t="s">
        <v>1250</v>
      </c>
      <c r="B131" s="982"/>
      <c r="C131" s="982"/>
      <c r="D131" s="982"/>
      <c r="E131" s="982"/>
      <c r="F131" s="982"/>
      <c r="G131" s="982"/>
      <c r="H131" s="989"/>
      <c r="I131" s="989"/>
      <c r="J131" s="982"/>
      <c r="K131" s="1112"/>
      <c r="L131" s="982"/>
      <c r="M131" s="1143"/>
      <c r="N131" s="1143"/>
      <c r="O131" s="1143"/>
      <c r="P131" s="1143"/>
      <c r="Q131" s="985"/>
      <c r="R131" s="982">
        <v>0</v>
      </c>
      <c r="S131" s="982">
        <v>401.36</v>
      </c>
      <c r="T131" s="982">
        <v>0</v>
      </c>
      <c r="U131" s="982">
        <v>266.27</v>
      </c>
      <c r="V131" s="982">
        <v>372.09</v>
      </c>
      <c r="W131" s="985">
        <v>0</v>
      </c>
    </row>
    <row r="132" spans="1:23" ht="15.6" x14ac:dyDescent="0.3">
      <c r="A132" s="972" t="s">
        <v>771</v>
      </c>
      <c r="B132" s="982">
        <v>71.75</v>
      </c>
      <c r="C132" s="982">
        <v>162.99</v>
      </c>
      <c r="D132" s="982">
        <v>194.55</v>
      </c>
      <c r="E132" s="982">
        <v>202.3</v>
      </c>
      <c r="F132" s="982">
        <v>169.39</v>
      </c>
      <c r="G132" s="982">
        <v>162.03</v>
      </c>
      <c r="H132" s="989">
        <v>196.57</v>
      </c>
      <c r="I132" s="989">
        <v>149.52000000000001</v>
      </c>
      <c r="J132" s="982">
        <v>0</v>
      </c>
      <c r="K132" s="1112">
        <v>198.53</v>
      </c>
      <c r="L132" s="982">
        <v>232.71</v>
      </c>
      <c r="M132" s="1143">
        <v>151.16999999999999</v>
      </c>
      <c r="N132" s="1143">
        <v>0</v>
      </c>
      <c r="O132" s="1143">
        <v>0</v>
      </c>
      <c r="P132" s="1143">
        <v>72.760000000000005</v>
      </c>
      <c r="Q132" s="985">
        <v>0</v>
      </c>
      <c r="R132" s="982">
        <v>0</v>
      </c>
      <c r="S132" s="982">
        <v>162.63999999999999</v>
      </c>
      <c r="T132" s="982">
        <v>0</v>
      </c>
      <c r="U132" s="982">
        <v>0</v>
      </c>
      <c r="V132" s="982">
        <v>0</v>
      </c>
      <c r="W132" s="985">
        <v>0</v>
      </c>
    </row>
    <row r="133" spans="1:23" ht="15.6" x14ac:dyDescent="0.3">
      <c r="A133" s="1398" t="s">
        <v>1251</v>
      </c>
      <c r="B133" s="982"/>
      <c r="C133" s="982"/>
      <c r="D133" s="982"/>
      <c r="E133" s="982"/>
      <c r="F133" s="982"/>
      <c r="G133" s="982"/>
      <c r="H133" s="989"/>
      <c r="I133" s="989"/>
      <c r="J133" s="982"/>
      <c r="K133" s="1112"/>
      <c r="L133" s="982"/>
      <c r="M133" s="1143"/>
      <c r="N133" s="1143"/>
      <c r="O133" s="1143"/>
      <c r="P133" s="1143"/>
      <c r="Q133" s="985"/>
      <c r="R133" s="982">
        <v>77.34</v>
      </c>
      <c r="S133" s="982">
        <v>0</v>
      </c>
      <c r="T133" s="982">
        <v>0</v>
      </c>
      <c r="U133" s="982">
        <v>0</v>
      </c>
      <c r="V133" s="982">
        <v>0</v>
      </c>
      <c r="W133" s="985">
        <v>0</v>
      </c>
    </row>
    <row r="134" spans="1:23" ht="15.6" x14ac:dyDescent="0.3">
      <c r="A134" s="972" t="s">
        <v>772</v>
      </c>
      <c r="B134" s="982">
        <v>0</v>
      </c>
      <c r="C134" s="982">
        <v>8683.61</v>
      </c>
      <c r="D134" s="982">
        <v>18465.150000000001</v>
      </c>
      <c r="E134" s="982">
        <v>10946.5</v>
      </c>
      <c r="F134" s="982">
        <v>597.51</v>
      </c>
      <c r="G134" s="982">
        <v>10500.4</v>
      </c>
      <c r="H134" s="989">
        <v>22737.4</v>
      </c>
      <c r="I134" s="989">
        <v>10952.3</v>
      </c>
      <c r="J134" s="982">
        <v>5249.83</v>
      </c>
      <c r="K134" s="1112">
        <v>2136.13</v>
      </c>
      <c r="L134" s="982">
        <v>-60610.42</v>
      </c>
      <c r="M134" s="1143">
        <v>757.3</v>
      </c>
      <c r="N134" s="1143">
        <v>815.44999999999993</v>
      </c>
      <c r="O134" s="1143">
        <v>3986.83</v>
      </c>
      <c r="P134" s="1143">
        <v>2103.79</v>
      </c>
      <c r="Q134" s="985">
        <v>2749.59</v>
      </c>
      <c r="R134" s="982">
        <v>85.6</v>
      </c>
      <c r="S134" s="982">
        <v>695.27</v>
      </c>
      <c r="T134" s="982">
        <v>68.3</v>
      </c>
      <c r="U134" s="982">
        <v>81.819999999999993</v>
      </c>
      <c r="V134" s="982">
        <v>0</v>
      </c>
      <c r="W134" s="985">
        <v>0</v>
      </c>
    </row>
    <row r="135" spans="1:23" ht="15.6" x14ac:dyDescent="0.3">
      <c r="A135" s="972" t="s">
        <v>773</v>
      </c>
      <c r="B135" s="982">
        <v>5653.85</v>
      </c>
      <c r="C135" s="982">
        <v>6325.84</v>
      </c>
      <c r="D135" s="982">
        <v>6962.19</v>
      </c>
      <c r="E135" s="982">
        <v>6228.58</v>
      </c>
      <c r="F135" s="982">
        <v>6514.71</v>
      </c>
      <c r="G135" s="982">
        <v>6514.7</v>
      </c>
      <c r="H135" s="990">
        <v>6218.59</v>
      </c>
      <c r="I135" s="990">
        <v>6810.82</v>
      </c>
      <c r="J135" s="982">
        <v>6514.71</v>
      </c>
      <c r="K135" s="1112">
        <v>6195.5</v>
      </c>
      <c r="L135" s="982">
        <v>6514.71</v>
      </c>
      <c r="M135" s="1143">
        <v>6514.71</v>
      </c>
      <c r="N135" s="1143">
        <v>6514.7</v>
      </c>
      <c r="O135" s="1143">
        <v>2961.23</v>
      </c>
      <c r="P135" s="1143">
        <v>18331.12</v>
      </c>
      <c r="Q135" s="985">
        <v>7106.08</v>
      </c>
      <c r="R135" s="982">
        <v>27464.57</v>
      </c>
      <c r="S135" s="982">
        <v>25829.01</v>
      </c>
      <c r="T135" s="982">
        <v>-9225.69</v>
      </c>
      <c r="U135" s="982">
        <v>30674.31</v>
      </c>
      <c r="V135" s="982">
        <v>-15014.27</v>
      </c>
      <c r="W135" s="985">
        <v>29927.62</v>
      </c>
    </row>
    <row r="136" spans="1:23" ht="15.6" x14ac:dyDescent="0.3">
      <c r="A136" s="972" t="s">
        <v>774</v>
      </c>
      <c r="B136" s="982">
        <v>1250</v>
      </c>
      <c r="C136" s="982">
        <v>0</v>
      </c>
      <c r="D136" s="982">
        <v>0</v>
      </c>
      <c r="E136" s="982">
        <v>0</v>
      </c>
      <c r="F136" s="982">
        <v>3750</v>
      </c>
      <c r="G136" s="982">
        <v>0</v>
      </c>
      <c r="H136" s="990">
        <v>1250</v>
      </c>
      <c r="I136" s="990">
        <v>0</v>
      </c>
      <c r="J136" s="982">
        <v>0</v>
      </c>
      <c r="K136" s="1112">
        <v>4750</v>
      </c>
      <c r="L136" s="982">
        <v>0</v>
      </c>
      <c r="M136" s="1143">
        <v>2458.1</v>
      </c>
      <c r="N136" s="1143">
        <v>0</v>
      </c>
      <c r="O136" s="1143"/>
      <c r="P136" s="1143"/>
      <c r="Q136" s="985">
        <v>0</v>
      </c>
      <c r="R136" s="982">
        <v>0</v>
      </c>
      <c r="S136" s="982">
        <v>0</v>
      </c>
      <c r="T136" s="982">
        <v>0</v>
      </c>
      <c r="U136" s="982">
        <v>0</v>
      </c>
      <c r="V136" s="982">
        <v>0</v>
      </c>
      <c r="W136" s="985">
        <v>0</v>
      </c>
    </row>
    <row r="137" spans="1:23" ht="15.6" x14ac:dyDescent="0.3">
      <c r="A137" s="972" t="s">
        <v>775</v>
      </c>
      <c r="B137" s="982">
        <v>555.66999999999996</v>
      </c>
      <c r="C137" s="982">
        <v>666.78</v>
      </c>
      <c r="D137" s="982">
        <v>522.41</v>
      </c>
      <c r="E137" s="982">
        <v>464.38</v>
      </c>
      <c r="F137" s="982">
        <v>582.82000000000005</v>
      </c>
      <c r="G137" s="982">
        <v>487.18</v>
      </c>
      <c r="H137" s="990">
        <v>552.78</v>
      </c>
      <c r="I137" s="990">
        <v>514.04</v>
      </c>
      <c r="J137" s="982">
        <v>489.2</v>
      </c>
      <c r="K137" s="1112">
        <v>562.04</v>
      </c>
      <c r="L137" s="982">
        <v>489.2</v>
      </c>
      <c r="M137" s="1143">
        <v>654.98</v>
      </c>
      <c r="N137" s="1143">
        <v>667.88</v>
      </c>
      <c r="O137" s="1143">
        <v>301.04000000000002</v>
      </c>
      <c r="P137" s="1143">
        <v>1381.8</v>
      </c>
      <c r="Q137" s="985">
        <v>1499.22</v>
      </c>
      <c r="R137" s="982">
        <v>2042.89</v>
      </c>
      <c r="S137" s="982">
        <v>2059.31</v>
      </c>
      <c r="T137" s="982">
        <v>2579.7600000000002</v>
      </c>
      <c r="U137" s="982">
        <v>2280.1799999999998</v>
      </c>
      <c r="V137" s="982">
        <v>2059.73</v>
      </c>
      <c r="W137" s="985">
        <v>2161.9699999999998</v>
      </c>
    </row>
    <row r="138" spans="1:23" ht="15.6" x14ac:dyDescent="0.3">
      <c r="A138" s="972" t="s">
        <v>776</v>
      </c>
      <c r="B138" s="982">
        <v>282.10000000000002</v>
      </c>
      <c r="C138" s="982">
        <v>282.10000000000002</v>
      </c>
      <c r="D138" s="982">
        <v>282.10000000000002</v>
      </c>
      <c r="E138" s="982">
        <v>282.10000000000002</v>
      </c>
      <c r="F138" s="982">
        <v>282.10000000000002</v>
      </c>
      <c r="G138" s="982">
        <v>282.10000000000002</v>
      </c>
      <c r="H138" s="990">
        <v>282.10000000000002</v>
      </c>
      <c r="I138" s="990">
        <v>282.10000000000002</v>
      </c>
      <c r="J138" s="982">
        <v>282.10000000000002</v>
      </c>
      <c r="K138" s="1112">
        <v>282.10000000000002</v>
      </c>
      <c r="L138" s="982">
        <v>282.10000000000002</v>
      </c>
      <c r="M138" s="1143">
        <v>282.10000000000002</v>
      </c>
      <c r="N138" s="1143">
        <v>282.3</v>
      </c>
      <c r="O138" s="1143">
        <v>312.39999999999998</v>
      </c>
      <c r="P138" s="1143">
        <v>621.4</v>
      </c>
      <c r="Q138" s="985">
        <v>624.79999999999995</v>
      </c>
      <c r="R138" s="982">
        <v>1249.5999999999999</v>
      </c>
      <c r="S138" s="982">
        <v>937.2</v>
      </c>
      <c r="T138" s="982">
        <v>937.2</v>
      </c>
      <c r="U138" s="982">
        <v>937.2</v>
      </c>
      <c r="V138" s="982">
        <v>1246.0999999999999</v>
      </c>
      <c r="W138" s="985">
        <v>1246.2</v>
      </c>
    </row>
    <row r="139" spans="1:23" ht="15.6" x14ac:dyDescent="0.3">
      <c r="A139" s="972" t="s">
        <v>777</v>
      </c>
      <c r="B139" s="982">
        <v>899.59</v>
      </c>
      <c r="C139" s="982">
        <v>261.74</v>
      </c>
      <c r="D139" s="982">
        <v>755.89</v>
      </c>
      <c r="E139" s="982">
        <v>126</v>
      </c>
      <c r="F139" s="982">
        <v>1348.09</v>
      </c>
      <c r="G139" s="982">
        <v>10234.51</v>
      </c>
      <c r="H139" s="990">
        <v>-8127.49</v>
      </c>
      <c r="I139" s="990">
        <v>303.87</v>
      </c>
      <c r="J139" s="982">
        <v>1166.6400000000001</v>
      </c>
      <c r="K139" s="1112">
        <v>1176.72</v>
      </c>
      <c r="L139" s="982">
        <v>4683.54</v>
      </c>
      <c r="M139" s="1143">
        <v>1643.5</v>
      </c>
      <c r="N139" s="1143">
        <v>354.8</v>
      </c>
      <c r="O139" s="1143">
        <v>209.88</v>
      </c>
      <c r="P139" s="1143">
        <v>523.37</v>
      </c>
      <c r="Q139" s="985">
        <v>566.88</v>
      </c>
      <c r="R139" s="982">
        <v>1742.86</v>
      </c>
      <c r="S139" s="982">
        <v>461.71</v>
      </c>
      <c r="T139" s="982">
        <v>623.29999999999995</v>
      </c>
      <c r="U139" s="982">
        <v>897.92</v>
      </c>
      <c r="V139" s="982">
        <v>56.88</v>
      </c>
      <c r="W139" s="985">
        <v>0</v>
      </c>
    </row>
    <row r="140" spans="1:23" ht="15.6" x14ac:dyDescent="0.3">
      <c r="A140" s="972" t="s">
        <v>778</v>
      </c>
      <c r="B140" s="982">
        <v>6461.55</v>
      </c>
      <c r="C140" s="982">
        <v>7015.35</v>
      </c>
      <c r="D140" s="982">
        <v>7788.68</v>
      </c>
      <c r="E140" s="982">
        <v>6980.53</v>
      </c>
      <c r="F140" s="982">
        <v>7310.74</v>
      </c>
      <c r="G140" s="982">
        <v>7310.76</v>
      </c>
      <c r="H140" s="991">
        <v>6978.45</v>
      </c>
      <c r="I140" s="991">
        <v>7476.91</v>
      </c>
      <c r="J140" s="982">
        <v>7310.86</v>
      </c>
      <c r="K140" s="1112">
        <v>6978.45</v>
      </c>
      <c r="L140" s="982">
        <v>7310.75</v>
      </c>
      <c r="M140" s="1143">
        <v>7310.76</v>
      </c>
      <c r="N140" s="1143">
        <v>3987.68</v>
      </c>
      <c r="O140" s="1143">
        <v>465.23</v>
      </c>
      <c r="P140" s="1143">
        <v>-2791.38</v>
      </c>
      <c r="Q140" s="985">
        <v>0</v>
      </c>
      <c r="R140" s="982">
        <v>0</v>
      </c>
      <c r="S140" s="982">
        <v>0</v>
      </c>
      <c r="T140" s="982">
        <v>0</v>
      </c>
      <c r="U140" s="982">
        <v>0</v>
      </c>
      <c r="V140" s="982">
        <v>0</v>
      </c>
      <c r="W140" s="985">
        <v>0</v>
      </c>
    </row>
    <row r="141" spans="1:23" ht="15.6" x14ac:dyDescent="0.3">
      <c r="A141" s="972" t="s">
        <v>779</v>
      </c>
      <c r="B141" s="982">
        <v>629.99</v>
      </c>
      <c r="C141" s="982">
        <v>725.83</v>
      </c>
      <c r="D141" s="982">
        <v>709.07</v>
      </c>
      <c r="E141" s="982">
        <v>532.09</v>
      </c>
      <c r="F141" s="982">
        <v>653.14</v>
      </c>
      <c r="G141" s="982">
        <v>557.52</v>
      </c>
      <c r="H141" s="991">
        <v>624.84</v>
      </c>
      <c r="I141" s="991">
        <v>570.39</v>
      </c>
      <c r="J141" s="982">
        <v>539.75</v>
      </c>
      <c r="K141" s="1112">
        <v>592.01</v>
      </c>
      <c r="L141" s="982">
        <v>521.98</v>
      </c>
      <c r="M141" s="1143">
        <v>623.83000000000004</v>
      </c>
      <c r="N141" s="1143">
        <v>379.23</v>
      </c>
      <c r="O141" s="1143">
        <v>35.83</v>
      </c>
      <c r="P141" s="1143">
        <v>-214.94</v>
      </c>
      <c r="Q141" s="985">
        <v>0</v>
      </c>
      <c r="R141" s="982">
        <v>0</v>
      </c>
      <c r="S141" s="982">
        <v>0</v>
      </c>
      <c r="T141" s="982">
        <v>0</v>
      </c>
      <c r="U141" s="982">
        <v>0</v>
      </c>
      <c r="V141" s="982">
        <v>0</v>
      </c>
      <c r="W141" s="985">
        <v>0</v>
      </c>
    </row>
    <row r="142" spans="1:23" ht="15.6" x14ac:dyDescent="0.3">
      <c r="A142" s="972" t="s">
        <v>780</v>
      </c>
      <c r="B142" s="982">
        <v>3.2</v>
      </c>
      <c r="C142" s="982">
        <v>3.2</v>
      </c>
      <c r="D142" s="982">
        <v>3.2</v>
      </c>
      <c r="E142" s="982">
        <v>3.2</v>
      </c>
      <c r="F142" s="982">
        <v>3.2</v>
      </c>
      <c r="G142" s="982">
        <v>3.2</v>
      </c>
      <c r="H142" s="991">
        <v>3.2</v>
      </c>
      <c r="I142" s="991">
        <v>3.2</v>
      </c>
      <c r="J142" s="982">
        <v>3.2</v>
      </c>
      <c r="K142" s="1112">
        <v>282.10000000000002</v>
      </c>
      <c r="L142" s="982">
        <v>282.10000000000002</v>
      </c>
      <c r="M142" s="1143">
        <v>282.10000000000002</v>
      </c>
      <c r="N142" s="1143">
        <v>282.3</v>
      </c>
      <c r="O142" s="1143">
        <v>312.39999999999998</v>
      </c>
      <c r="P142" s="1143">
        <v>0</v>
      </c>
      <c r="Q142" s="985">
        <v>0</v>
      </c>
      <c r="R142" s="982">
        <v>0</v>
      </c>
      <c r="S142" s="982">
        <v>0</v>
      </c>
      <c r="T142" s="982">
        <v>0</v>
      </c>
      <c r="U142" s="982">
        <v>0</v>
      </c>
      <c r="V142" s="982">
        <v>0</v>
      </c>
      <c r="W142" s="985">
        <v>0</v>
      </c>
    </row>
    <row r="143" spans="1:23" ht="15.6" x14ac:dyDescent="0.3">
      <c r="A143" s="1398" t="s">
        <v>1267</v>
      </c>
      <c r="B143" s="982">
        <v>1250</v>
      </c>
      <c r="C143" s="982">
        <v>0</v>
      </c>
      <c r="D143" s="982">
        <v>0</v>
      </c>
      <c r="E143" s="982">
        <v>0</v>
      </c>
      <c r="F143" s="982">
        <v>1250</v>
      </c>
      <c r="G143" s="982">
        <v>0</v>
      </c>
      <c r="H143" s="991">
        <v>1250</v>
      </c>
      <c r="I143" s="991">
        <v>0</v>
      </c>
      <c r="J143" s="982">
        <v>0</v>
      </c>
      <c r="K143" s="1125">
        <v>1250</v>
      </c>
      <c r="L143" s="982">
        <v>0</v>
      </c>
      <c r="M143" s="1143">
        <v>1748.41</v>
      </c>
      <c r="N143" s="1143">
        <v>0</v>
      </c>
      <c r="O143" s="1143"/>
      <c r="P143" s="1143"/>
      <c r="Q143" s="985">
        <v>0</v>
      </c>
      <c r="R143" s="982">
        <v>0</v>
      </c>
      <c r="S143" s="982">
        <v>0</v>
      </c>
      <c r="T143" s="982">
        <v>0</v>
      </c>
      <c r="U143" s="982">
        <v>0</v>
      </c>
      <c r="V143" s="982">
        <v>0</v>
      </c>
      <c r="W143" s="985">
        <v>0</v>
      </c>
    </row>
    <row r="144" spans="1:23" ht="15.6" x14ac:dyDescent="0.3">
      <c r="A144" s="972" t="s">
        <v>782</v>
      </c>
      <c r="B144" s="982">
        <v>7877.21</v>
      </c>
      <c r="C144" s="982">
        <v>7390.77</v>
      </c>
      <c r="D144" s="982">
        <v>7384.26</v>
      </c>
      <c r="E144" s="982">
        <v>6809.93</v>
      </c>
      <c r="F144" s="982">
        <v>6923.1</v>
      </c>
      <c r="G144" s="982">
        <v>6923.1</v>
      </c>
      <c r="H144" s="992">
        <v>7615.42</v>
      </c>
      <c r="I144" s="992">
        <v>7153.86</v>
      </c>
      <c r="J144" s="982">
        <v>6923.1</v>
      </c>
      <c r="K144" s="1125">
        <v>6692.33</v>
      </c>
      <c r="L144" s="982">
        <v>6923.1</v>
      </c>
      <c r="M144" s="1143">
        <v>7615.42</v>
      </c>
      <c r="N144" s="1143">
        <v>2284.61</v>
      </c>
      <c r="O144" s="1143">
        <v>1846.16</v>
      </c>
      <c r="P144" s="1143">
        <v>3688.74</v>
      </c>
      <c r="Q144" s="985">
        <v>0</v>
      </c>
      <c r="R144" s="982">
        <v>692.31</v>
      </c>
      <c r="S144" s="982">
        <v>-1846.15</v>
      </c>
      <c r="T144" s="982">
        <v>0</v>
      </c>
      <c r="U144" s="982">
        <v>715.38</v>
      </c>
      <c r="V144" s="982">
        <v>230.77</v>
      </c>
      <c r="W144" s="985">
        <v>461.54</v>
      </c>
    </row>
    <row r="145" spans="1:23" ht="15.6" x14ac:dyDescent="0.3">
      <c r="A145" s="972" t="s">
        <v>783</v>
      </c>
      <c r="B145" s="982">
        <v>2657.89</v>
      </c>
      <c r="C145" s="982">
        <v>745.29</v>
      </c>
      <c r="D145" s="982">
        <v>811.78</v>
      </c>
      <c r="E145" s="982">
        <v>1631.45</v>
      </c>
      <c r="F145" s="982">
        <v>1213.43</v>
      </c>
      <c r="G145" s="982">
        <v>2259.58</v>
      </c>
      <c r="H145" s="992">
        <v>1017</v>
      </c>
      <c r="I145" s="992">
        <v>547.58000000000004</v>
      </c>
      <c r="J145" s="982">
        <v>743.4</v>
      </c>
      <c r="K145" s="1125">
        <v>1234.54</v>
      </c>
      <c r="L145" s="982">
        <v>549.47</v>
      </c>
      <c r="M145" s="1143">
        <v>1023.06</v>
      </c>
      <c r="N145" s="1143">
        <v>193.85</v>
      </c>
      <c r="O145" s="1143">
        <v>158.32</v>
      </c>
      <c r="P145" s="1143">
        <v>969.62</v>
      </c>
      <c r="Q145" s="985">
        <v>0</v>
      </c>
      <c r="R145" s="982">
        <v>53.31</v>
      </c>
      <c r="S145" s="982">
        <v>-142.15</v>
      </c>
      <c r="T145" s="982">
        <v>0</v>
      </c>
      <c r="U145" s="982">
        <v>55.08</v>
      </c>
      <c r="V145" s="982">
        <v>17.77</v>
      </c>
      <c r="W145" s="985">
        <v>35.54</v>
      </c>
    </row>
    <row r="146" spans="1:23" ht="15.6" x14ac:dyDescent="0.3">
      <c r="A146" s="972" t="s">
        <v>784</v>
      </c>
      <c r="B146" s="982">
        <v>282.10000000000002</v>
      </c>
      <c r="C146" s="982">
        <v>282.10000000000002</v>
      </c>
      <c r="D146" s="982">
        <v>282.10000000000002</v>
      </c>
      <c r="E146" s="982">
        <v>282.10000000000002</v>
      </c>
      <c r="F146" s="982">
        <v>282.10000000000002</v>
      </c>
      <c r="G146" s="982">
        <v>282.10000000000002</v>
      </c>
      <c r="H146" s="992">
        <v>282.10000000000002</v>
      </c>
      <c r="I146" s="992">
        <v>282.10000000000002</v>
      </c>
      <c r="J146" s="982">
        <v>282.10000000000002</v>
      </c>
      <c r="K146" s="1125">
        <v>282.10000000000002</v>
      </c>
      <c r="L146" s="982">
        <v>282.10000000000002</v>
      </c>
      <c r="M146" s="1143">
        <v>282.10000000000002</v>
      </c>
      <c r="N146" s="1143">
        <v>282.3</v>
      </c>
      <c r="O146" s="1143">
        <v>312.39999999999998</v>
      </c>
      <c r="P146" s="1143">
        <v>312.39999999999998</v>
      </c>
      <c r="Q146" s="985">
        <v>312.39999999999998</v>
      </c>
      <c r="R146" s="982">
        <v>312.39999999999998</v>
      </c>
      <c r="S146" s="982">
        <v>312.39999999999998</v>
      </c>
      <c r="T146" s="982">
        <v>312.39999999999998</v>
      </c>
      <c r="U146" s="982">
        <v>312.39999999999998</v>
      </c>
      <c r="V146" s="982">
        <v>312.39999999999998</v>
      </c>
      <c r="W146" s="985">
        <v>312.39999999999998</v>
      </c>
    </row>
    <row r="147" spans="1:23" ht="15.6" x14ac:dyDescent="0.3">
      <c r="A147" s="972" t="s">
        <v>785</v>
      </c>
      <c r="B147" s="982">
        <v>10.95</v>
      </c>
      <c r="C147" s="982">
        <v>0</v>
      </c>
      <c r="D147" s="982">
        <v>0</v>
      </c>
      <c r="E147" s="982">
        <v>0</v>
      </c>
      <c r="F147" s="982">
        <v>0</v>
      </c>
      <c r="G147" s="982">
        <v>6.57</v>
      </c>
      <c r="H147" s="992">
        <v>0</v>
      </c>
      <c r="I147" s="992">
        <v>21.9</v>
      </c>
      <c r="J147" s="982">
        <v>55.22</v>
      </c>
      <c r="K147" s="1125">
        <v>12.95</v>
      </c>
      <c r="L147" s="982">
        <v>12.95</v>
      </c>
      <c r="M147" s="1143">
        <v>12.95</v>
      </c>
      <c r="N147" s="1143">
        <v>157.27000000000001</v>
      </c>
      <c r="O147" s="1143">
        <v>0</v>
      </c>
      <c r="P147" s="1143"/>
      <c r="Q147" s="985">
        <v>2759.56</v>
      </c>
      <c r="R147" s="982">
        <v>25.9</v>
      </c>
      <c r="S147" s="982">
        <v>0</v>
      </c>
      <c r="T147" s="982">
        <v>60.87</v>
      </c>
      <c r="U147" s="982">
        <v>0</v>
      </c>
      <c r="V147" s="982">
        <v>12.18</v>
      </c>
      <c r="W147" s="985">
        <v>0</v>
      </c>
    </row>
    <row r="148" spans="1:23" ht="15.6" x14ac:dyDescent="0.3">
      <c r="A148" s="972" t="s">
        <v>786</v>
      </c>
      <c r="B148" s="982">
        <v>0</v>
      </c>
      <c r="C148" s="982">
        <v>0</v>
      </c>
      <c r="D148" s="982">
        <v>0</v>
      </c>
      <c r="E148" s="982">
        <v>0</v>
      </c>
      <c r="F148" s="982">
        <v>61.93</v>
      </c>
      <c r="G148" s="982">
        <v>61.93</v>
      </c>
      <c r="H148" s="992">
        <v>474.35</v>
      </c>
      <c r="I148" s="992">
        <v>0</v>
      </c>
      <c r="J148" s="982">
        <v>0</v>
      </c>
      <c r="K148" s="1112">
        <v>0</v>
      </c>
      <c r="L148" s="982">
        <v>0</v>
      </c>
      <c r="M148" s="1143">
        <v>0</v>
      </c>
      <c r="N148" s="1143">
        <v>0</v>
      </c>
      <c r="O148" s="1143"/>
      <c r="P148" s="1143"/>
      <c r="Q148" s="985">
        <v>0</v>
      </c>
      <c r="R148" s="982">
        <v>0</v>
      </c>
      <c r="S148" s="982">
        <v>0</v>
      </c>
      <c r="T148" s="982">
        <v>0</v>
      </c>
      <c r="U148" s="982">
        <v>0</v>
      </c>
      <c r="V148" s="982">
        <v>0</v>
      </c>
      <c r="W148" s="985">
        <v>0</v>
      </c>
    </row>
    <row r="149" spans="1:23" ht="15.6" x14ac:dyDescent="0.3">
      <c r="A149" s="972" t="s">
        <v>787</v>
      </c>
      <c r="B149" s="982">
        <v>2507</v>
      </c>
      <c r="C149" s="982">
        <v>3294</v>
      </c>
      <c r="D149" s="982">
        <v>15</v>
      </c>
      <c r="E149" s="982">
        <v>9489</v>
      </c>
      <c r="F149" s="982">
        <v>21366</v>
      </c>
      <c r="G149" s="982">
        <v>21502.12</v>
      </c>
      <c r="H149" s="992">
        <v>624</v>
      </c>
      <c r="I149" s="992">
        <v>3416</v>
      </c>
      <c r="J149" s="982">
        <v>2398.33</v>
      </c>
      <c r="K149" s="1125">
        <v>7540.21</v>
      </c>
      <c r="L149" s="982">
        <v>422</v>
      </c>
      <c r="M149" s="1143">
        <v>6241</v>
      </c>
      <c r="N149" s="1143">
        <v>756</v>
      </c>
      <c r="O149" s="1143">
        <v>197</v>
      </c>
      <c r="P149" s="1143">
        <v>2295</v>
      </c>
      <c r="Q149" s="985">
        <v>0</v>
      </c>
      <c r="R149" s="982">
        <v>13490</v>
      </c>
      <c r="S149" s="982">
        <v>0</v>
      </c>
      <c r="T149" s="982">
        <v>0</v>
      </c>
      <c r="U149" s="982">
        <v>0</v>
      </c>
      <c r="V149" s="982">
        <v>0</v>
      </c>
      <c r="W149" s="985">
        <v>0</v>
      </c>
    </row>
    <row r="150" spans="1:23" ht="15.6" x14ac:dyDescent="0.3">
      <c r="A150" s="972" t="s">
        <v>788</v>
      </c>
      <c r="B150" s="982">
        <v>2460.1799999999998</v>
      </c>
      <c r="C150" s="982">
        <v>7346.7</v>
      </c>
      <c r="D150" s="982">
        <v>3570.24</v>
      </c>
      <c r="E150" s="982">
        <v>2402.9899999999998</v>
      </c>
      <c r="F150" s="982">
        <v>445.32</v>
      </c>
      <c r="G150" s="982">
        <v>1519.35</v>
      </c>
      <c r="H150" s="992">
        <v>-887.4</v>
      </c>
      <c r="I150" s="992">
        <v>1285.6600000000001</v>
      </c>
      <c r="J150" s="982">
        <v>613.9</v>
      </c>
      <c r="K150" s="1125">
        <v>255.36</v>
      </c>
      <c r="L150" s="982">
        <v>3508.87</v>
      </c>
      <c r="M150" s="1143">
        <v>279.18</v>
      </c>
      <c r="N150" s="1143">
        <v>247.82</v>
      </c>
      <c r="O150" s="1143">
        <v>497.35</v>
      </c>
      <c r="P150" s="1143">
        <v>3596.22</v>
      </c>
      <c r="Q150" s="985">
        <v>211.31</v>
      </c>
      <c r="R150" s="982">
        <v>57.02</v>
      </c>
      <c r="S150" s="982">
        <v>0</v>
      </c>
      <c r="T150" s="982">
        <v>0</v>
      </c>
      <c r="U150" s="982">
        <v>1097.8</v>
      </c>
      <c r="V150" s="982">
        <v>175.76</v>
      </c>
      <c r="W150" s="985">
        <v>1904.97</v>
      </c>
    </row>
    <row r="151" spans="1:23" ht="15.6" x14ac:dyDescent="0.3">
      <c r="A151" s="972" t="s">
        <v>789</v>
      </c>
      <c r="B151" s="982">
        <v>14.9</v>
      </c>
      <c r="C151" s="982">
        <v>436.24</v>
      </c>
      <c r="D151" s="982">
        <v>122.22</v>
      </c>
      <c r="E151" s="982">
        <v>599.9</v>
      </c>
      <c r="F151" s="982">
        <v>108.78</v>
      </c>
      <c r="G151" s="982">
        <v>133.87</v>
      </c>
      <c r="H151" s="992">
        <v>516</v>
      </c>
      <c r="I151" s="992">
        <v>201.35</v>
      </c>
      <c r="J151" s="982">
        <v>589.27</v>
      </c>
      <c r="K151" s="1125">
        <v>341.23</v>
      </c>
      <c r="L151" s="982">
        <v>306.22000000000003</v>
      </c>
      <c r="M151" s="1143">
        <v>376.47</v>
      </c>
      <c r="N151" s="1143">
        <v>0</v>
      </c>
      <c r="O151" s="1143">
        <v>58</v>
      </c>
      <c r="P151" s="1536">
        <v>165.25</v>
      </c>
      <c r="Q151" s="985">
        <v>680.47</v>
      </c>
      <c r="R151" s="982">
        <v>0</v>
      </c>
      <c r="S151" s="982">
        <v>0</v>
      </c>
      <c r="T151" s="982">
        <v>0</v>
      </c>
      <c r="U151" s="982">
        <v>343.33</v>
      </c>
      <c r="V151" s="982">
        <v>14.47</v>
      </c>
      <c r="W151" s="985">
        <v>145.71</v>
      </c>
    </row>
    <row r="152" spans="1:23" ht="15.6" x14ac:dyDescent="0.3">
      <c r="A152" s="972" t="s">
        <v>790</v>
      </c>
      <c r="B152" s="982">
        <v>99</v>
      </c>
      <c r="C152" s="982">
        <v>1270.6600000000001</v>
      </c>
      <c r="D152" s="982">
        <v>108.94</v>
      </c>
      <c r="E152" s="982">
        <v>99</v>
      </c>
      <c r="F152" s="982">
        <v>99</v>
      </c>
      <c r="G152" s="982">
        <v>99</v>
      </c>
      <c r="H152" s="992">
        <v>0</v>
      </c>
      <c r="I152" s="992">
        <v>20099</v>
      </c>
      <c r="J152" s="982">
        <v>-19901</v>
      </c>
      <c r="K152" s="1125">
        <v>99</v>
      </c>
      <c r="L152" s="982">
        <v>99</v>
      </c>
      <c r="M152" s="1143">
        <v>16156.48</v>
      </c>
      <c r="N152" s="1143">
        <v>99</v>
      </c>
      <c r="O152" s="1143">
        <v>99</v>
      </c>
      <c r="P152" s="1143">
        <v>0</v>
      </c>
      <c r="Q152" s="985">
        <v>0</v>
      </c>
      <c r="R152" s="982">
        <v>0</v>
      </c>
      <c r="S152" s="982">
        <v>-7542.64</v>
      </c>
      <c r="T152" s="982">
        <v>0</v>
      </c>
      <c r="U152" s="982">
        <v>0</v>
      </c>
      <c r="V152" s="982">
        <v>0</v>
      </c>
      <c r="W152" s="985">
        <v>0</v>
      </c>
    </row>
    <row r="153" spans="1:23" ht="15.6" x14ac:dyDescent="0.3">
      <c r="A153" s="972" t="s">
        <v>791</v>
      </c>
      <c r="B153" s="982">
        <v>0</v>
      </c>
      <c r="C153" s="982">
        <v>5000</v>
      </c>
      <c r="D153" s="982">
        <v>1500</v>
      </c>
      <c r="E153" s="982">
        <v>0</v>
      </c>
      <c r="F153" s="982">
        <v>0</v>
      </c>
      <c r="G153" s="982">
        <v>0</v>
      </c>
      <c r="H153" s="992">
        <v>0</v>
      </c>
      <c r="I153" s="992">
        <v>0</v>
      </c>
      <c r="J153" s="982">
        <v>0</v>
      </c>
      <c r="K153" s="1112"/>
      <c r="L153" s="982">
        <v>0</v>
      </c>
      <c r="M153" s="1143">
        <v>8283.14</v>
      </c>
      <c r="N153" s="1143">
        <v>0</v>
      </c>
      <c r="O153" s="1143"/>
      <c r="P153" s="1143"/>
      <c r="Q153" s="985">
        <v>0</v>
      </c>
      <c r="R153" s="982">
        <v>0</v>
      </c>
      <c r="S153" s="982">
        <v>0</v>
      </c>
      <c r="T153" s="982">
        <v>0</v>
      </c>
      <c r="U153" s="982">
        <v>0</v>
      </c>
      <c r="V153" s="982">
        <v>0</v>
      </c>
      <c r="W153" s="985">
        <v>0</v>
      </c>
    </row>
    <row r="154" spans="1:23" ht="15.6" x14ac:dyDescent="0.3">
      <c r="A154" s="972" t="s">
        <v>792</v>
      </c>
      <c r="B154" s="982">
        <v>0</v>
      </c>
      <c r="C154" s="982">
        <v>65.78</v>
      </c>
      <c r="D154" s="982">
        <v>136.52000000000001</v>
      </c>
      <c r="E154" s="982">
        <v>265.57</v>
      </c>
      <c r="F154" s="982">
        <v>323.86</v>
      </c>
      <c r="G154" s="982">
        <v>406.05</v>
      </c>
      <c r="H154" s="989">
        <v>0</v>
      </c>
      <c r="I154" s="989">
        <v>168.47</v>
      </c>
      <c r="J154" s="982">
        <v>111.7</v>
      </c>
      <c r="K154" s="1125">
        <v>249.23</v>
      </c>
      <c r="L154" s="982">
        <v>143.16</v>
      </c>
      <c r="M154" s="1143">
        <v>405.98</v>
      </c>
      <c r="N154" s="1143">
        <v>0</v>
      </c>
      <c r="O154" s="1143">
        <v>22.23</v>
      </c>
      <c r="P154" s="1143">
        <v>467.3</v>
      </c>
      <c r="Q154" s="985">
        <v>1207.1500000000001</v>
      </c>
      <c r="R154" s="982">
        <v>781.22</v>
      </c>
      <c r="S154" s="982">
        <v>354.49</v>
      </c>
      <c r="T154" s="982">
        <v>245.02</v>
      </c>
      <c r="U154" s="982">
        <v>124.41</v>
      </c>
      <c r="V154" s="982">
        <v>1603.42</v>
      </c>
      <c r="W154" s="985">
        <v>380.76</v>
      </c>
    </row>
    <row r="155" spans="1:23" ht="15.6" x14ac:dyDescent="0.3">
      <c r="A155" s="972" t="s">
        <v>793</v>
      </c>
      <c r="B155" s="982">
        <v>35</v>
      </c>
      <c r="C155" s="982">
        <v>17.5</v>
      </c>
      <c r="D155" s="982">
        <v>0</v>
      </c>
      <c r="E155" s="982">
        <v>0</v>
      </c>
      <c r="F155" s="982">
        <v>0</v>
      </c>
      <c r="G155" s="982">
        <v>0</v>
      </c>
      <c r="H155" s="989">
        <v>23.08</v>
      </c>
      <c r="I155" s="989">
        <v>0</v>
      </c>
      <c r="J155" s="982">
        <v>0</v>
      </c>
      <c r="K155" s="1125">
        <v>308.69</v>
      </c>
      <c r="L155" s="982">
        <v>0</v>
      </c>
      <c r="M155" s="1143">
        <v>46.16</v>
      </c>
      <c r="N155" s="1143">
        <v>0</v>
      </c>
      <c r="O155" s="1143"/>
      <c r="P155" s="1143"/>
      <c r="Q155" s="985">
        <v>0</v>
      </c>
      <c r="R155" s="982">
        <v>0</v>
      </c>
      <c r="S155" s="982">
        <v>0</v>
      </c>
      <c r="T155" s="982">
        <v>0</v>
      </c>
      <c r="U155" s="982">
        <v>0</v>
      </c>
      <c r="V155" s="982">
        <v>0</v>
      </c>
      <c r="W155" s="985">
        <v>0</v>
      </c>
    </row>
    <row r="156" spans="1:23" ht="15.6" x14ac:dyDescent="0.3">
      <c r="A156" s="1398" t="s">
        <v>1252</v>
      </c>
      <c r="B156" s="982"/>
      <c r="C156" s="982"/>
      <c r="D156" s="982"/>
      <c r="E156" s="982"/>
      <c r="F156" s="982"/>
      <c r="G156" s="982"/>
      <c r="H156" s="989"/>
      <c r="I156" s="989"/>
      <c r="J156" s="982"/>
      <c r="K156" s="1125"/>
      <c r="L156" s="982"/>
      <c r="M156" s="1143"/>
      <c r="N156" s="1143"/>
      <c r="O156" s="1143"/>
      <c r="P156" s="1143"/>
      <c r="Q156" s="985"/>
      <c r="R156" s="982">
        <v>31.5</v>
      </c>
      <c r="S156" s="982">
        <v>0</v>
      </c>
      <c r="T156" s="982">
        <v>1047.3599999999999</v>
      </c>
      <c r="U156" s="982">
        <v>-363.74</v>
      </c>
      <c r="V156" s="982">
        <v>294.54000000000002</v>
      </c>
      <c r="W156" s="985">
        <v>0</v>
      </c>
    </row>
    <row r="157" spans="1:23" ht="15.6" x14ac:dyDescent="0.3">
      <c r="A157" s="1398" t="s">
        <v>1253</v>
      </c>
      <c r="B157" s="982"/>
      <c r="C157" s="982"/>
      <c r="D157" s="982"/>
      <c r="E157" s="982"/>
      <c r="F157" s="982"/>
      <c r="G157" s="982"/>
      <c r="H157" s="989"/>
      <c r="I157" s="989"/>
      <c r="J157" s="982"/>
      <c r="K157" s="1125"/>
      <c r="L157" s="982"/>
      <c r="M157" s="1143"/>
      <c r="N157" s="1143"/>
      <c r="O157" s="1143"/>
      <c r="P157" s="1143"/>
      <c r="Q157" s="985"/>
      <c r="R157" s="982">
        <v>35057.49</v>
      </c>
      <c r="S157" s="982">
        <v>50941.39</v>
      </c>
      <c r="T157" s="982">
        <v>11120.19</v>
      </c>
      <c r="U157" s="982">
        <v>727.4</v>
      </c>
      <c r="V157" s="982">
        <v>0</v>
      </c>
      <c r="W157" s="985">
        <v>132000</v>
      </c>
    </row>
    <row r="158" spans="1:23" ht="15.6" x14ac:dyDescent="0.3">
      <c r="A158" s="972" t="s">
        <v>794</v>
      </c>
      <c r="B158" s="982">
        <v>27088.47</v>
      </c>
      <c r="C158" s="982">
        <v>25730.48</v>
      </c>
      <c r="D158" s="982">
        <v>35471.82</v>
      </c>
      <c r="E158" s="982">
        <v>29966.42</v>
      </c>
      <c r="F158" s="982">
        <v>29126.6</v>
      </c>
      <c r="G158" s="982">
        <v>26489.89</v>
      </c>
      <c r="H158" s="989">
        <v>19205.04</v>
      </c>
      <c r="I158" s="989">
        <v>20406.150000000001</v>
      </c>
      <c r="J158" s="982">
        <v>25164.98</v>
      </c>
      <c r="K158" s="1125">
        <v>24805.99</v>
      </c>
      <c r="L158" s="982">
        <v>22792.15</v>
      </c>
      <c r="M158" s="1143">
        <v>31520.21</v>
      </c>
      <c r="N158" s="1143">
        <v>31736.03</v>
      </c>
      <c r="O158" s="1143">
        <v>32543.67</v>
      </c>
      <c r="P158" s="1143">
        <v>32866.26</v>
      </c>
      <c r="Q158" s="985">
        <v>31703.94</v>
      </c>
      <c r="R158" s="982">
        <v>34762.199999999997</v>
      </c>
      <c r="S158" s="982">
        <v>39103.89</v>
      </c>
      <c r="T158" s="982">
        <v>23393.54</v>
      </c>
      <c r="U158" s="982">
        <v>23396.94</v>
      </c>
      <c r="V158" s="982">
        <v>31577.39</v>
      </c>
      <c r="W158" s="985">
        <v>33412.720000000001</v>
      </c>
    </row>
    <row r="159" spans="1:23" ht="15.6" x14ac:dyDescent="0.3">
      <c r="A159" s="972" t="s">
        <v>795</v>
      </c>
      <c r="B159" s="982">
        <v>2955.78</v>
      </c>
      <c r="C159" s="982">
        <v>2760.16</v>
      </c>
      <c r="D159" s="982">
        <v>3207.62</v>
      </c>
      <c r="E159" s="982">
        <v>3014.44</v>
      </c>
      <c r="F159" s="982">
        <v>3031.96</v>
      </c>
      <c r="G159" s="982">
        <v>2326.38</v>
      </c>
      <c r="H159" s="989">
        <v>2545.42</v>
      </c>
      <c r="I159" s="989">
        <v>1921.53</v>
      </c>
      <c r="J159" s="982">
        <v>2903.57</v>
      </c>
      <c r="K159" s="1125">
        <v>2661.49</v>
      </c>
      <c r="L159" s="982">
        <v>2960</v>
      </c>
      <c r="M159" s="1143">
        <v>3673.6</v>
      </c>
      <c r="N159" s="1143">
        <v>5632.55</v>
      </c>
      <c r="O159" s="1143">
        <v>3960.4</v>
      </c>
      <c r="P159" s="1143">
        <v>3248.3</v>
      </c>
      <c r="Q159" s="985">
        <v>3284.12</v>
      </c>
      <c r="R159" s="982">
        <v>5189.87</v>
      </c>
      <c r="S159" s="982">
        <v>6585.27</v>
      </c>
      <c r="T159" s="982">
        <v>4336.47</v>
      </c>
      <c r="U159" s="982">
        <v>3479.77</v>
      </c>
      <c r="V159" s="982">
        <v>4044.8</v>
      </c>
      <c r="W159" s="985">
        <v>3722.72</v>
      </c>
    </row>
    <row r="160" spans="1:23" ht="15.6" x14ac:dyDescent="0.3">
      <c r="A160" s="972" t="s">
        <v>796</v>
      </c>
      <c r="B160" s="982">
        <v>129.91</v>
      </c>
      <c r="C160" s="982">
        <v>129.91</v>
      </c>
      <c r="D160" s="982">
        <v>129.91</v>
      </c>
      <c r="E160" s="982">
        <v>129.91</v>
      </c>
      <c r="F160" s="982">
        <v>430.2</v>
      </c>
      <c r="G160" s="982">
        <v>430.2</v>
      </c>
      <c r="H160" s="989">
        <v>430</v>
      </c>
      <c r="I160" s="989">
        <v>430.4</v>
      </c>
      <c r="J160" s="982">
        <v>0</v>
      </c>
      <c r="K160" s="1125">
        <v>430.2</v>
      </c>
      <c r="L160" s="982">
        <v>430.2</v>
      </c>
      <c r="M160" s="1143">
        <v>430.2</v>
      </c>
      <c r="N160" s="1143">
        <v>430.2</v>
      </c>
      <c r="O160" s="1143">
        <v>430.2</v>
      </c>
      <c r="P160" s="1143">
        <v>0</v>
      </c>
      <c r="Q160" s="985">
        <v>0</v>
      </c>
      <c r="R160" s="982">
        <v>512.01</v>
      </c>
      <c r="S160" s="982">
        <v>512.01</v>
      </c>
      <c r="T160" s="982">
        <v>1024.02</v>
      </c>
      <c r="U160" s="982">
        <v>512.01</v>
      </c>
      <c r="V160" s="982">
        <v>512.01</v>
      </c>
      <c r="W160" s="985">
        <v>520.27</v>
      </c>
    </row>
    <row r="161" spans="1:23" ht="15.6" x14ac:dyDescent="0.3">
      <c r="A161" s="972" t="s">
        <v>797</v>
      </c>
      <c r="B161" s="982">
        <v>2255.6799999999998</v>
      </c>
      <c r="C161" s="982">
        <v>2255.6799999999998</v>
      </c>
      <c r="D161" s="982">
        <v>2253.39</v>
      </c>
      <c r="E161" s="982">
        <v>2255.6799999999998</v>
      </c>
      <c r="F161" s="982">
        <v>1976.78</v>
      </c>
      <c r="G161" s="982">
        <v>2255.6799999999998</v>
      </c>
      <c r="H161" s="989">
        <v>1976.78</v>
      </c>
      <c r="I161" s="989">
        <v>1976.78</v>
      </c>
      <c r="J161" s="982">
        <v>1039.6099999999999</v>
      </c>
      <c r="K161" s="1125">
        <v>1415.78</v>
      </c>
      <c r="L161" s="982">
        <v>1415.78</v>
      </c>
      <c r="M161" s="1143">
        <v>1086.95</v>
      </c>
      <c r="N161" s="1143">
        <v>1413.03</v>
      </c>
      <c r="O161" s="1143">
        <v>1563.53</v>
      </c>
      <c r="P161" s="1143">
        <v>1563.53</v>
      </c>
      <c r="Q161" s="985">
        <v>1560.13</v>
      </c>
      <c r="R161" s="982">
        <v>945.87</v>
      </c>
      <c r="S161" s="982">
        <v>1253</v>
      </c>
      <c r="T161" s="982">
        <v>1246.2</v>
      </c>
      <c r="U161" s="982">
        <v>1246.2</v>
      </c>
      <c r="V161" s="982">
        <v>937.2</v>
      </c>
      <c r="W161" s="985">
        <v>940.6</v>
      </c>
    </row>
    <row r="162" spans="1:23" ht="15.6" x14ac:dyDescent="0.3">
      <c r="A162" s="972" t="s">
        <v>798</v>
      </c>
      <c r="B162" s="982">
        <v>7749</v>
      </c>
      <c r="C162" s="982">
        <v>4495</v>
      </c>
      <c r="D162" s="982">
        <v>9989</v>
      </c>
      <c r="E162" s="982">
        <v>11002</v>
      </c>
      <c r="F162" s="982">
        <v>4216</v>
      </c>
      <c r="G162" s="982">
        <v>8741</v>
      </c>
      <c r="H162" s="989">
        <v>4137</v>
      </c>
      <c r="I162" s="989">
        <v>8785.6</v>
      </c>
      <c r="J162" s="982">
        <v>8680.09</v>
      </c>
      <c r="K162" s="1125">
        <v>6908.94</v>
      </c>
      <c r="L162" s="982">
        <v>13345</v>
      </c>
      <c r="M162" s="1143">
        <v>13738.1</v>
      </c>
      <c r="N162" s="1143">
        <v>23610</v>
      </c>
      <c r="O162" s="1143">
        <v>8560</v>
      </c>
      <c r="P162" s="1143">
        <v>10607</v>
      </c>
      <c r="Q162" s="985">
        <v>24377</v>
      </c>
      <c r="R162" s="982">
        <v>34343</v>
      </c>
      <c r="S162" s="982">
        <v>34644</v>
      </c>
      <c r="T162" s="982">
        <v>47999</v>
      </c>
      <c r="U162" s="982">
        <v>38472.120000000003</v>
      </c>
      <c r="V162" s="982">
        <v>16271</v>
      </c>
      <c r="W162" s="985">
        <v>22860</v>
      </c>
    </row>
    <row r="163" spans="1:23" ht="15.6" x14ac:dyDescent="0.3">
      <c r="A163" s="1398" t="s">
        <v>1254</v>
      </c>
      <c r="B163" s="982"/>
      <c r="C163" s="982"/>
      <c r="D163" s="982"/>
      <c r="E163" s="982"/>
      <c r="F163" s="982"/>
      <c r="G163" s="982"/>
      <c r="H163" s="989"/>
      <c r="I163" s="989"/>
      <c r="J163" s="982"/>
      <c r="K163" s="1125"/>
      <c r="L163" s="982"/>
      <c r="M163" s="1143"/>
      <c r="N163" s="1143"/>
      <c r="O163" s="1143"/>
      <c r="P163" s="1143"/>
      <c r="Q163" s="985"/>
      <c r="R163" s="982">
        <v>0</v>
      </c>
      <c r="S163" s="982">
        <v>0</v>
      </c>
      <c r="T163" s="982">
        <v>0</v>
      </c>
      <c r="U163" s="982">
        <v>0</v>
      </c>
      <c r="V163" s="982">
        <v>0</v>
      </c>
      <c r="W163" s="985">
        <v>0</v>
      </c>
    </row>
    <row r="164" spans="1:23" ht="15.6" x14ac:dyDescent="0.3">
      <c r="A164" s="972" t="s">
        <v>799</v>
      </c>
      <c r="B164" s="982">
        <v>556</v>
      </c>
      <c r="C164" s="982">
        <v>556</v>
      </c>
      <c r="D164" s="982">
        <v>556</v>
      </c>
      <c r="E164" s="982">
        <v>556</v>
      </c>
      <c r="F164" s="982">
        <v>556</v>
      </c>
      <c r="G164" s="982">
        <v>556</v>
      </c>
      <c r="H164" s="989">
        <v>556</v>
      </c>
      <c r="I164" s="989">
        <v>556</v>
      </c>
      <c r="J164" s="982">
        <v>556</v>
      </c>
      <c r="K164" s="1125">
        <v>556</v>
      </c>
      <c r="L164" s="982">
        <v>556</v>
      </c>
      <c r="M164" s="1143">
        <v>556</v>
      </c>
      <c r="N164" s="1143">
        <v>556</v>
      </c>
      <c r="O164" s="1143">
        <v>556</v>
      </c>
      <c r="P164" s="1143">
        <v>556</v>
      </c>
      <c r="Q164" s="985">
        <v>556</v>
      </c>
      <c r="R164" s="982">
        <v>556</v>
      </c>
      <c r="S164" s="982">
        <v>556</v>
      </c>
      <c r="T164" s="982">
        <v>556</v>
      </c>
      <c r="U164" s="982">
        <v>556</v>
      </c>
      <c r="V164" s="982">
        <v>556</v>
      </c>
      <c r="W164" s="985">
        <v>556</v>
      </c>
    </row>
    <row r="165" spans="1:23" ht="15.6" x14ac:dyDescent="0.3">
      <c r="A165" s="972" t="s">
        <v>800</v>
      </c>
      <c r="B165" s="982">
        <v>230.92</v>
      </c>
      <c r="C165" s="982">
        <v>230.92</v>
      </c>
      <c r="D165" s="982">
        <v>230.92</v>
      </c>
      <c r="E165" s="982">
        <v>230.92</v>
      </c>
      <c r="F165" s="982">
        <v>228.89</v>
      </c>
      <c r="G165" s="982">
        <v>228.89</v>
      </c>
      <c r="H165" s="989">
        <v>228.89</v>
      </c>
      <c r="I165" s="989">
        <v>228.89</v>
      </c>
      <c r="J165" s="982">
        <v>228.89</v>
      </c>
      <c r="K165" s="1125">
        <v>228.89</v>
      </c>
      <c r="L165" s="982">
        <v>228.89</v>
      </c>
      <c r="M165" s="1143">
        <v>228.89</v>
      </c>
      <c r="N165" s="1143">
        <v>228.89</v>
      </c>
      <c r="O165" s="1143">
        <v>228.89</v>
      </c>
      <c r="P165" s="1143">
        <v>228.89</v>
      </c>
      <c r="Q165" s="985">
        <v>228.89</v>
      </c>
      <c r="R165" s="982">
        <v>228.89</v>
      </c>
      <c r="S165" s="982">
        <v>228.89</v>
      </c>
      <c r="T165" s="982">
        <v>903.89</v>
      </c>
      <c r="U165" s="982">
        <v>228.89</v>
      </c>
      <c r="V165" s="982">
        <v>228.89</v>
      </c>
      <c r="W165" s="985">
        <v>228.89</v>
      </c>
    </row>
    <row r="166" spans="1:23" ht="15.6" x14ac:dyDescent="0.3">
      <c r="A166" s="972" t="s">
        <v>801</v>
      </c>
      <c r="B166" s="982">
        <v>6000</v>
      </c>
      <c r="C166" s="982">
        <v>22749</v>
      </c>
      <c r="D166" s="982">
        <v>0</v>
      </c>
      <c r="E166" s="982">
        <v>0</v>
      </c>
      <c r="F166" s="982">
        <v>0</v>
      </c>
      <c r="G166" s="982">
        <v>-7749</v>
      </c>
      <c r="H166" s="989">
        <v>6000</v>
      </c>
      <c r="I166" s="989">
        <v>0</v>
      </c>
      <c r="J166" s="982">
        <v>0</v>
      </c>
      <c r="K166" s="1112">
        <v>0</v>
      </c>
      <c r="L166" s="982">
        <v>7200</v>
      </c>
      <c r="M166" s="1143">
        <v>-4288.12</v>
      </c>
      <c r="N166" s="1143">
        <v>0</v>
      </c>
      <c r="O166" s="1143"/>
      <c r="P166" s="1143">
        <v>0</v>
      </c>
      <c r="Q166" s="985">
        <v>0</v>
      </c>
      <c r="R166" s="982">
        <v>0</v>
      </c>
      <c r="S166" s="982">
        <v>0</v>
      </c>
      <c r="T166" s="982">
        <v>0</v>
      </c>
      <c r="U166" s="982">
        <v>0</v>
      </c>
      <c r="V166" s="982">
        <v>0</v>
      </c>
      <c r="W166" s="985">
        <v>0</v>
      </c>
    </row>
    <row r="167" spans="1:23" ht="15.6" x14ac:dyDescent="0.3">
      <c r="A167" s="972" t="s">
        <v>802</v>
      </c>
      <c r="B167" s="982">
        <v>39344.629999999997</v>
      </c>
      <c r="C167" s="982">
        <v>37984.410000000003</v>
      </c>
      <c r="D167" s="982">
        <v>45194.239999999998</v>
      </c>
      <c r="E167" s="982">
        <v>47018.01</v>
      </c>
      <c r="F167" s="982">
        <v>36611.82</v>
      </c>
      <c r="G167" s="982">
        <v>39373.31</v>
      </c>
      <c r="H167" s="993">
        <v>42282.87</v>
      </c>
      <c r="I167" s="993">
        <v>44218.17</v>
      </c>
      <c r="J167" s="982">
        <v>48631.42</v>
      </c>
      <c r="K167" s="1125">
        <v>49335.48</v>
      </c>
      <c r="L167" s="982">
        <v>50861.85</v>
      </c>
      <c r="M167" s="1143">
        <v>51585.67</v>
      </c>
      <c r="N167" s="1143">
        <v>51236.959999999999</v>
      </c>
      <c r="O167" s="1143">
        <v>46735.79</v>
      </c>
      <c r="P167" s="1143">
        <v>56602.99</v>
      </c>
      <c r="Q167" s="985">
        <v>48467.87</v>
      </c>
      <c r="R167" s="982">
        <v>55888.07</v>
      </c>
      <c r="S167" s="982">
        <v>54957.120000000003</v>
      </c>
      <c r="T167" s="982">
        <v>50277.21</v>
      </c>
      <c r="U167" s="982">
        <v>58061.440000000002</v>
      </c>
      <c r="V167" s="982">
        <v>52469.41</v>
      </c>
      <c r="W167" s="985">
        <v>55296.42</v>
      </c>
    </row>
    <row r="168" spans="1:23" ht="15.6" x14ac:dyDescent="0.3">
      <c r="A168" s="972" t="s">
        <v>803</v>
      </c>
      <c r="B168" s="982">
        <v>3331.65</v>
      </c>
      <c r="C168" s="982">
        <v>4340.45</v>
      </c>
      <c r="D168" s="982">
        <v>3319.43</v>
      </c>
      <c r="E168" s="982">
        <v>3665.35</v>
      </c>
      <c r="F168" s="982">
        <v>34995.480000000003</v>
      </c>
      <c r="G168" s="982">
        <v>20119.5</v>
      </c>
      <c r="H168" s="993">
        <v>1145.1500000000001</v>
      </c>
      <c r="I168" s="993">
        <v>3296.83</v>
      </c>
      <c r="J168" s="982">
        <v>2326.98</v>
      </c>
      <c r="K168" s="1125">
        <v>3044.96</v>
      </c>
      <c r="L168" s="982">
        <v>2488.44</v>
      </c>
      <c r="M168" s="1143">
        <v>2188.39</v>
      </c>
      <c r="N168" s="1143">
        <v>5668.59</v>
      </c>
      <c r="O168" s="1143">
        <v>3813.6</v>
      </c>
      <c r="P168" s="1143">
        <v>4288.62</v>
      </c>
      <c r="Q168" s="985">
        <v>3929.81</v>
      </c>
      <c r="R168" s="982">
        <v>4586.67</v>
      </c>
      <c r="S168" s="982">
        <v>4303.84</v>
      </c>
      <c r="T168" s="982">
        <v>2986.27</v>
      </c>
      <c r="U168" s="982">
        <v>3171.39</v>
      </c>
      <c r="V168" s="982">
        <v>2742.38</v>
      </c>
      <c r="W168" s="985">
        <v>2990.04</v>
      </c>
    </row>
    <row r="169" spans="1:23" ht="15.6" x14ac:dyDescent="0.3">
      <c r="A169" s="972" t="s">
        <v>804</v>
      </c>
      <c r="B169" s="982">
        <v>1908.62</v>
      </c>
      <c r="C169" s="982">
        <v>1908.62</v>
      </c>
      <c r="D169" s="982">
        <v>1908.62</v>
      </c>
      <c r="E169" s="982">
        <v>3381.78</v>
      </c>
      <c r="F169" s="982">
        <v>1908.62</v>
      </c>
      <c r="G169" s="982">
        <v>3962.33</v>
      </c>
      <c r="H169" s="993">
        <v>2179.1999999999998</v>
      </c>
      <c r="I169" s="993">
        <v>1626.58</v>
      </c>
      <c r="J169" s="982">
        <v>1815.12</v>
      </c>
      <c r="K169" s="1125">
        <v>1914.51</v>
      </c>
      <c r="L169" s="982">
        <v>1908.62</v>
      </c>
      <c r="M169" s="1143">
        <v>2723.54</v>
      </c>
      <c r="N169" s="1143">
        <v>2191.7199999999998</v>
      </c>
      <c r="O169" s="1143">
        <v>2364.69</v>
      </c>
      <c r="P169" s="1143">
        <v>2417.2600000000002</v>
      </c>
      <c r="Q169" s="985">
        <v>1835.13</v>
      </c>
      <c r="R169" s="982">
        <v>2417.2600000000002</v>
      </c>
      <c r="S169" s="982">
        <v>5846.54</v>
      </c>
      <c r="T169" s="982">
        <v>5120.26</v>
      </c>
      <c r="U169" s="982">
        <v>4881.74</v>
      </c>
      <c r="V169" s="982">
        <v>4885.21</v>
      </c>
      <c r="W169" s="985">
        <v>4532.8500000000004</v>
      </c>
    </row>
    <row r="170" spans="1:23" ht="15.6" x14ac:dyDescent="0.3">
      <c r="A170" s="972" t="s">
        <v>805</v>
      </c>
      <c r="B170" s="982">
        <v>85.87</v>
      </c>
      <c r="C170" s="982">
        <v>85.87</v>
      </c>
      <c r="D170" s="982">
        <v>85.87</v>
      </c>
      <c r="E170" s="982">
        <v>85.87</v>
      </c>
      <c r="F170" s="982">
        <v>334.6</v>
      </c>
      <c r="G170" s="982">
        <v>334.6</v>
      </c>
      <c r="H170" s="993">
        <v>0</v>
      </c>
      <c r="I170" s="993">
        <v>669.2</v>
      </c>
      <c r="J170" s="982">
        <v>0.22</v>
      </c>
      <c r="K170" s="1125">
        <v>334.82</v>
      </c>
      <c r="L170" s="982">
        <v>334.82</v>
      </c>
      <c r="M170" s="1143">
        <v>334.82</v>
      </c>
      <c r="N170" s="1143">
        <v>334.82</v>
      </c>
      <c r="O170" s="1143">
        <v>334.82</v>
      </c>
      <c r="P170" s="1143">
        <v>0</v>
      </c>
      <c r="Q170" s="985">
        <v>0</v>
      </c>
      <c r="R170" s="982">
        <v>398.03</v>
      </c>
      <c r="S170" s="982">
        <v>398.67</v>
      </c>
      <c r="T170" s="982">
        <v>797.4</v>
      </c>
      <c r="U170" s="982">
        <v>398.7</v>
      </c>
      <c r="V170" s="982">
        <v>398.7</v>
      </c>
      <c r="W170" s="985">
        <v>405.17</v>
      </c>
    </row>
    <row r="171" spans="1:23" ht="15.6" x14ac:dyDescent="0.3">
      <c r="A171" s="1398" t="s">
        <v>1255</v>
      </c>
      <c r="B171" s="982"/>
      <c r="C171" s="982"/>
      <c r="D171" s="982"/>
      <c r="E171" s="982"/>
      <c r="F171" s="982"/>
      <c r="G171" s="982"/>
      <c r="H171" s="993"/>
      <c r="I171" s="993"/>
      <c r="J171" s="982"/>
      <c r="K171" s="1125"/>
      <c r="L171" s="982"/>
      <c r="M171" s="1143"/>
      <c r="N171" s="1143"/>
      <c r="O171" s="1143"/>
      <c r="P171" s="1143"/>
      <c r="Q171" s="985"/>
      <c r="R171" s="982">
        <v>36453.1</v>
      </c>
      <c r="S171" s="982">
        <v>0</v>
      </c>
      <c r="T171" s="982">
        <v>0</v>
      </c>
      <c r="U171" s="982">
        <v>0</v>
      </c>
      <c r="V171" s="982">
        <v>0</v>
      </c>
      <c r="W171" s="985">
        <v>15000</v>
      </c>
    </row>
    <row r="172" spans="1:23" ht="15.6" x14ac:dyDescent="0.3">
      <c r="A172" s="972" t="s">
        <v>806</v>
      </c>
      <c r="B172" s="982">
        <v>0</v>
      </c>
      <c r="C172" s="982">
        <v>0</v>
      </c>
      <c r="D172" s="982">
        <v>0</v>
      </c>
      <c r="E172" s="982">
        <v>0</v>
      </c>
      <c r="F172" s="982">
        <v>0</v>
      </c>
      <c r="G172" s="982">
        <v>4.7699999999999996</v>
      </c>
      <c r="H172" s="993">
        <v>0</v>
      </c>
      <c r="I172" s="993">
        <v>6250</v>
      </c>
      <c r="J172" s="982">
        <v>-1265.95</v>
      </c>
      <c r="K172" s="1125">
        <v>6378.6</v>
      </c>
      <c r="L172" s="982">
        <v>0</v>
      </c>
      <c r="M172" s="1143">
        <v>33847.440000000002</v>
      </c>
      <c r="N172" s="1143">
        <v>-59.4</v>
      </c>
      <c r="O172" s="1143">
        <v>-0.1</v>
      </c>
      <c r="P172" s="1143">
        <v>510.13</v>
      </c>
      <c r="Q172" s="985">
        <v>-2426.35</v>
      </c>
      <c r="R172" s="982">
        <v>14681.84</v>
      </c>
      <c r="S172" s="982">
        <v>1331.68</v>
      </c>
      <c r="T172" s="982">
        <v>3039.73</v>
      </c>
      <c r="U172" s="982">
        <v>5255.51</v>
      </c>
      <c r="V172" s="982">
        <v>-13380.88</v>
      </c>
      <c r="W172" s="985">
        <v>775.98</v>
      </c>
    </row>
    <row r="173" spans="1:23" ht="15.6" x14ac:dyDescent="0.3">
      <c r="A173" s="1276" t="s">
        <v>807</v>
      </c>
      <c r="B173" s="982">
        <v>4399.4799999999996</v>
      </c>
      <c r="C173" s="982">
        <v>243.49</v>
      </c>
      <c r="D173" s="982">
        <v>1409.08</v>
      </c>
      <c r="E173" s="982">
        <v>5995.53</v>
      </c>
      <c r="F173" s="982">
        <v>184.84</v>
      </c>
      <c r="G173" s="982">
        <v>4366.55</v>
      </c>
      <c r="H173" s="993">
        <v>2448.9499999999998</v>
      </c>
      <c r="I173" s="993">
        <v>541.98</v>
      </c>
      <c r="J173" s="982">
        <v>577.42999999999995</v>
      </c>
      <c r="K173" s="1125">
        <v>4425.9799999999996</v>
      </c>
      <c r="L173" s="982">
        <v>632.25</v>
      </c>
      <c r="M173" s="1143">
        <v>3659.11</v>
      </c>
      <c r="N173" s="1143">
        <v>4451.6099999999997</v>
      </c>
      <c r="O173" s="1143">
        <v>711.45</v>
      </c>
      <c r="P173" s="1143">
        <v>739.19</v>
      </c>
      <c r="Q173" s="985">
        <v>852.13</v>
      </c>
      <c r="R173" s="982">
        <v>693.63</v>
      </c>
      <c r="S173" s="982">
        <v>-1979.18</v>
      </c>
      <c r="T173" s="982">
        <v>0</v>
      </c>
      <c r="U173" s="982">
        <v>0</v>
      </c>
      <c r="V173" s="982">
        <v>0</v>
      </c>
      <c r="W173" s="985">
        <v>3.43</v>
      </c>
    </row>
    <row r="174" spans="1:23" ht="15.6" x14ac:dyDescent="0.3">
      <c r="A174" s="972" t="s">
        <v>808</v>
      </c>
      <c r="B174" s="982">
        <v>609.16999999999996</v>
      </c>
      <c r="C174" s="982">
        <v>759.86</v>
      </c>
      <c r="D174" s="982">
        <v>782.87</v>
      </c>
      <c r="E174" s="982">
        <v>899.11</v>
      </c>
      <c r="F174" s="982">
        <v>925.89</v>
      </c>
      <c r="G174" s="982">
        <v>852.09</v>
      </c>
      <c r="H174" s="993">
        <v>1079.94</v>
      </c>
      <c r="I174" s="993">
        <v>-1614.33</v>
      </c>
      <c r="J174" s="982">
        <v>1109.92</v>
      </c>
      <c r="K174" s="1125">
        <v>1041.21</v>
      </c>
      <c r="L174" s="982">
        <v>1235.97</v>
      </c>
      <c r="M174" s="1143">
        <v>1007.49</v>
      </c>
      <c r="N174" s="1143">
        <v>802.81</v>
      </c>
      <c r="O174" s="1143">
        <v>873.62</v>
      </c>
      <c r="P174" s="1143">
        <v>758.17</v>
      </c>
      <c r="Q174" s="985">
        <v>1067.71</v>
      </c>
      <c r="R174" s="982">
        <v>1310.32</v>
      </c>
      <c r="S174" s="982">
        <v>1243.05</v>
      </c>
      <c r="T174" s="982">
        <v>1796.92</v>
      </c>
      <c r="U174" s="982">
        <v>1163.3399999999999</v>
      </c>
      <c r="V174" s="982">
        <v>950.29</v>
      </c>
      <c r="W174" s="985">
        <v>939.59</v>
      </c>
    </row>
    <row r="175" spans="1:23" ht="15.6" x14ac:dyDescent="0.3">
      <c r="A175" s="972" t="s">
        <v>809</v>
      </c>
      <c r="B175" s="982">
        <v>0</v>
      </c>
      <c r="C175" s="982">
        <v>10.95</v>
      </c>
      <c r="D175" s="982">
        <v>0</v>
      </c>
      <c r="E175" s="982">
        <v>21.9</v>
      </c>
      <c r="F175" s="982">
        <v>0</v>
      </c>
      <c r="G175" s="982">
        <v>928.74</v>
      </c>
      <c r="H175" s="993">
        <v>256.32</v>
      </c>
      <c r="I175" s="993">
        <v>0</v>
      </c>
      <c r="J175" s="982">
        <v>0</v>
      </c>
      <c r="K175" s="1125">
        <v>2806.46</v>
      </c>
      <c r="L175" s="982">
        <v>0</v>
      </c>
      <c r="M175" s="1143">
        <v>0</v>
      </c>
      <c r="N175" s="1143">
        <v>0</v>
      </c>
      <c r="O175" s="1143"/>
      <c r="P175" s="1143">
        <v>49.2</v>
      </c>
      <c r="Q175" s="985">
        <v>97.01</v>
      </c>
      <c r="R175" s="982">
        <v>264.5</v>
      </c>
      <c r="S175" s="982">
        <v>1402.22</v>
      </c>
      <c r="T175" s="982">
        <v>8</v>
      </c>
      <c r="U175" s="982">
        <v>0</v>
      </c>
      <c r="V175" s="982">
        <v>195.16</v>
      </c>
      <c r="W175" s="985">
        <v>69.64</v>
      </c>
    </row>
    <row r="176" spans="1:23" ht="15.6" x14ac:dyDescent="0.3">
      <c r="A176" s="972" t="s">
        <v>810</v>
      </c>
      <c r="B176" s="982">
        <v>1364.79</v>
      </c>
      <c r="C176" s="982">
        <v>2658.65</v>
      </c>
      <c r="D176" s="982">
        <v>1323.47</v>
      </c>
      <c r="E176" s="982">
        <v>3034.44</v>
      </c>
      <c r="F176" s="982">
        <v>2223.33</v>
      </c>
      <c r="G176" s="982">
        <v>354.75</v>
      </c>
      <c r="H176" s="993">
        <v>279.91000000000003</v>
      </c>
      <c r="I176" s="993">
        <v>1081.74</v>
      </c>
      <c r="J176" s="982">
        <v>394.37</v>
      </c>
      <c r="K176" s="1125">
        <v>1426.22</v>
      </c>
      <c r="L176" s="982">
        <v>2080.4299999999998</v>
      </c>
      <c r="M176" s="1143">
        <v>2693.07</v>
      </c>
      <c r="N176" s="1143">
        <v>2144.84</v>
      </c>
      <c r="O176" s="1143">
        <v>1366.82</v>
      </c>
      <c r="P176" s="1143">
        <v>2012.81</v>
      </c>
      <c r="Q176" s="985">
        <v>3477.27</v>
      </c>
      <c r="R176" s="982">
        <v>1506.88</v>
      </c>
      <c r="S176" s="982">
        <v>1832.02</v>
      </c>
      <c r="T176" s="982">
        <v>1956.86</v>
      </c>
      <c r="U176" s="982">
        <v>2302.09</v>
      </c>
      <c r="V176" s="982">
        <v>898.21</v>
      </c>
      <c r="W176" s="985">
        <v>909.19</v>
      </c>
    </row>
    <row r="177" spans="1:23" ht="15.6" x14ac:dyDescent="0.3">
      <c r="A177" s="972" t="s">
        <v>811</v>
      </c>
      <c r="B177" s="982">
        <v>53.9</v>
      </c>
      <c r="C177" s="982">
        <v>54.8</v>
      </c>
      <c r="D177" s="982">
        <v>55.2</v>
      </c>
      <c r="E177" s="982">
        <v>68.56</v>
      </c>
      <c r="F177" s="982">
        <v>59.05</v>
      </c>
      <c r="G177" s="982">
        <v>58.2</v>
      </c>
      <c r="H177" s="993">
        <v>57.85</v>
      </c>
      <c r="I177" s="993">
        <v>54.55</v>
      </c>
      <c r="J177" s="982">
        <v>0</v>
      </c>
      <c r="K177" s="1125">
        <v>53.5</v>
      </c>
      <c r="L177" s="982">
        <v>60.5</v>
      </c>
      <c r="M177" s="1143">
        <v>49</v>
      </c>
      <c r="N177" s="1143">
        <v>48.8</v>
      </c>
      <c r="O177" s="1143">
        <v>48.35</v>
      </c>
      <c r="P177" s="1143">
        <v>50.85</v>
      </c>
      <c r="Q177" s="985">
        <v>51.05</v>
      </c>
      <c r="R177" s="982">
        <v>46.35</v>
      </c>
      <c r="S177" s="982">
        <v>49</v>
      </c>
      <c r="T177" s="982">
        <v>49.3</v>
      </c>
      <c r="U177" s="982">
        <v>46.95</v>
      </c>
      <c r="V177" s="982">
        <v>52.5</v>
      </c>
      <c r="W177" s="985">
        <v>49.05</v>
      </c>
    </row>
    <row r="178" spans="1:23" ht="15.6" x14ac:dyDescent="0.3">
      <c r="A178" s="1277" t="s">
        <v>812</v>
      </c>
      <c r="B178" s="982">
        <v>1163.97</v>
      </c>
      <c r="C178" s="982">
        <v>1163.97</v>
      </c>
      <c r="D178" s="982">
        <v>1163.97</v>
      </c>
      <c r="E178" s="982">
        <v>1163.97</v>
      </c>
      <c r="F178" s="982">
        <v>1163.97</v>
      </c>
      <c r="G178" s="982">
        <v>1163.97</v>
      </c>
      <c r="H178" s="993">
        <v>1163.97</v>
      </c>
      <c r="I178" s="993">
        <v>1163.97</v>
      </c>
      <c r="J178" s="982">
        <v>1163.97</v>
      </c>
      <c r="K178" s="1125">
        <v>1163.97</v>
      </c>
      <c r="L178" s="982">
        <v>1163.97</v>
      </c>
      <c r="M178" s="1143">
        <v>1163.97</v>
      </c>
      <c r="N178" s="1143">
        <v>1163.97</v>
      </c>
      <c r="O178" s="1143">
        <v>1163.97</v>
      </c>
      <c r="P178" s="1143">
        <v>1163.97</v>
      </c>
      <c r="Q178" s="985">
        <v>1163.97</v>
      </c>
      <c r="R178" s="982">
        <v>1163.97</v>
      </c>
      <c r="S178" s="982">
        <v>1163.97</v>
      </c>
      <c r="T178" s="982">
        <v>1163.97</v>
      </c>
      <c r="U178" s="982">
        <v>1163.97</v>
      </c>
      <c r="V178" s="982">
        <v>1163.97</v>
      </c>
      <c r="W178" s="985">
        <v>1163.97</v>
      </c>
    </row>
    <row r="179" spans="1:23" ht="15.6" x14ac:dyDescent="0.3">
      <c r="A179" s="1277" t="s">
        <v>813</v>
      </c>
      <c r="B179" s="982">
        <v>312.5</v>
      </c>
      <c r="C179" s="982">
        <v>312.5</v>
      </c>
      <c r="D179" s="982">
        <v>312.5</v>
      </c>
      <c r="E179" s="982">
        <v>312.5</v>
      </c>
      <c r="F179" s="982">
        <v>312.5</v>
      </c>
      <c r="G179" s="982">
        <v>312.5</v>
      </c>
      <c r="H179" s="993">
        <v>312.5</v>
      </c>
      <c r="I179" s="993">
        <v>312.5</v>
      </c>
      <c r="J179" s="982">
        <v>312.5</v>
      </c>
      <c r="K179" s="1125">
        <v>312.5</v>
      </c>
      <c r="L179" s="982">
        <v>312.5</v>
      </c>
      <c r="M179" s="1143">
        <v>312.5</v>
      </c>
      <c r="N179" s="1143">
        <v>312.5</v>
      </c>
      <c r="O179" s="1143">
        <v>312.5</v>
      </c>
      <c r="P179" s="1143">
        <v>312.5</v>
      </c>
      <c r="Q179" s="985">
        <v>312.5</v>
      </c>
      <c r="R179" s="982">
        <v>312.5</v>
      </c>
      <c r="S179" s="982">
        <v>312.5</v>
      </c>
      <c r="T179" s="982">
        <v>312.5</v>
      </c>
      <c r="U179" s="982">
        <v>312.5</v>
      </c>
      <c r="V179" s="982">
        <v>312.5</v>
      </c>
      <c r="W179" s="985">
        <v>312.5</v>
      </c>
    </row>
    <row r="180" spans="1:23" ht="15.6" x14ac:dyDescent="0.3">
      <c r="A180" s="1277" t="s">
        <v>814</v>
      </c>
      <c r="B180" s="982">
        <v>1322.88</v>
      </c>
      <c r="C180" s="982">
        <v>1322.88</v>
      </c>
      <c r="D180" s="982">
        <v>1322.88</v>
      </c>
      <c r="E180" s="982">
        <v>1322.88</v>
      </c>
      <c r="F180" s="982">
        <v>1322.88</v>
      </c>
      <c r="G180" s="982">
        <v>1322.88</v>
      </c>
      <c r="H180" s="993">
        <v>1322.88</v>
      </c>
      <c r="I180" s="993">
        <v>1322.88</v>
      </c>
      <c r="J180" s="982">
        <v>1322.88</v>
      </c>
      <c r="K180" s="1125">
        <v>1322.88</v>
      </c>
      <c r="L180" s="982">
        <v>1322.88</v>
      </c>
      <c r="M180" s="1143">
        <v>1322.88</v>
      </c>
      <c r="N180" s="1143">
        <v>1322.88</v>
      </c>
      <c r="O180" s="1143">
        <v>1322.88</v>
      </c>
      <c r="P180" s="1143">
        <v>1322.88</v>
      </c>
      <c r="Q180" s="985">
        <v>1322.88</v>
      </c>
      <c r="R180" s="982">
        <v>1322.88</v>
      </c>
      <c r="S180" s="982">
        <v>1322.88</v>
      </c>
      <c r="T180" s="982">
        <v>1322.88</v>
      </c>
      <c r="U180" s="982">
        <v>1322.88</v>
      </c>
      <c r="V180" s="982">
        <v>1322.88</v>
      </c>
      <c r="W180" s="985">
        <v>1322.88</v>
      </c>
    </row>
    <row r="181" spans="1:23" ht="15.6" x14ac:dyDescent="0.3">
      <c r="A181" s="1277" t="s">
        <v>815</v>
      </c>
      <c r="B181" s="982">
        <v>930.43</v>
      </c>
      <c r="C181" s="982">
        <v>930.43</v>
      </c>
      <c r="D181" s="982">
        <v>930.43</v>
      </c>
      <c r="E181" s="982">
        <v>930.43</v>
      </c>
      <c r="F181" s="982">
        <v>930.43</v>
      </c>
      <c r="G181" s="982">
        <v>930.43</v>
      </c>
      <c r="H181" s="993">
        <v>930.43</v>
      </c>
      <c r="I181" s="993">
        <v>930.43</v>
      </c>
      <c r="J181" s="982">
        <v>930.43</v>
      </c>
      <c r="K181" s="1125">
        <v>930.43</v>
      </c>
      <c r="L181" s="982">
        <v>930.43</v>
      </c>
      <c r="M181" s="1143">
        <v>930.43</v>
      </c>
      <c r="N181" s="1143">
        <v>930.43</v>
      </c>
      <c r="O181" s="1143">
        <v>930.43</v>
      </c>
      <c r="P181" s="1143">
        <v>930.43</v>
      </c>
      <c r="Q181" s="985">
        <v>930.43</v>
      </c>
      <c r="R181" s="982">
        <v>930.43</v>
      </c>
      <c r="S181" s="982">
        <v>930.43</v>
      </c>
      <c r="T181" s="982">
        <v>930.43</v>
      </c>
      <c r="U181" s="982">
        <v>930.43</v>
      </c>
      <c r="V181" s="982">
        <v>930.43</v>
      </c>
      <c r="W181" s="985">
        <v>930.43</v>
      </c>
    </row>
    <row r="182" spans="1:23" ht="15.6" x14ac:dyDescent="0.3">
      <c r="A182" s="1278" t="s">
        <v>816</v>
      </c>
      <c r="B182" s="982">
        <v>1658.33</v>
      </c>
      <c r="C182" s="982">
        <v>1658.33</v>
      </c>
      <c r="D182" s="982">
        <v>1658.33</v>
      </c>
      <c r="E182" s="982">
        <v>1658.33</v>
      </c>
      <c r="F182" s="982">
        <v>1658.33</v>
      </c>
      <c r="G182" s="982">
        <v>1658.33</v>
      </c>
      <c r="H182" s="993">
        <v>1658.33</v>
      </c>
      <c r="I182" s="993">
        <v>1658.33</v>
      </c>
      <c r="J182" s="982">
        <v>1658.33</v>
      </c>
      <c r="K182" s="1125">
        <v>1658.33</v>
      </c>
      <c r="L182" s="982">
        <v>1658.33</v>
      </c>
      <c r="M182" s="1143">
        <v>1658.33</v>
      </c>
      <c r="N182" s="1143">
        <v>1658.33</v>
      </c>
      <c r="O182" s="1143">
        <v>1658.33</v>
      </c>
      <c r="P182" s="1143">
        <v>1658.33</v>
      </c>
      <c r="Q182" s="985">
        <v>1658.33</v>
      </c>
      <c r="R182" s="982">
        <v>1658.33</v>
      </c>
      <c r="S182" s="982">
        <v>1658.33</v>
      </c>
      <c r="T182" s="982">
        <v>1658.33</v>
      </c>
      <c r="U182" s="982">
        <v>1658.33</v>
      </c>
      <c r="V182" s="982">
        <v>1658.33</v>
      </c>
      <c r="W182" s="985">
        <v>1658.33</v>
      </c>
    </row>
    <row r="183" spans="1:23" ht="15.6" x14ac:dyDescent="0.3">
      <c r="A183" s="972" t="s">
        <v>817</v>
      </c>
      <c r="B183" s="982">
        <v>815.82</v>
      </c>
      <c r="C183" s="982">
        <v>1143.24</v>
      </c>
      <c r="D183" s="982">
        <v>4682.1099999999997</v>
      </c>
      <c r="E183" s="982">
        <v>1550.7</v>
      </c>
      <c r="F183" s="982">
        <v>2635.26</v>
      </c>
      <c r="G183" s="982">
        <v>2388.34</v>
      </c>
      <c r="H183" s="993">
        <v>361.47</v>
      </c>
      <c r="I183" s="993">
        <v>2418.81</v>
      </c>
      <c r="J183" s="982">
        <v>1963.08</v>
      </c>
      <c r="K183" s="1125">
        <v>3587.5</v>
      </c>
      <c r="L183" s="982">
        <v>1276.52</v>
      </c>
      <c r="M183" s="1143">
        <v>3122.6</v>
      </c>
      <c r="N183" s="1143">
        <v>-144.19999999999999</v>
      </c>
      <c r="O183" s="1143">
        <v>3386.24</v>
      </c>
      <c r="P183" s="1143">
        <v>4698.34</v>
      </c>
      <c r="Q183" s="985">
        <v>9227.18</v>
      </c>
      <c r="R183" s="982">
        <v>3806.73</v>
      </c>
      <c r="S183" s="982">
        <v>1287.48</v>
      </c>
      <c r="T183" s="982">
        <v>5338.89</v>
      </c>
      <c r="U183" s="982">
        <v>9126.93</v>
      </c>
      <c r="V183" s="982">
        <v>12765.06</v>
      </c>
      <c r="W183" s="985">
        <v>11592.28</v>
      </c>
    </row>
    <row r="184" spans="1:23" ht="15.6" x14ac:dyDescent="0.3">
      <c r="A184" s="972" t="s">
        <v>818</v>
      </c>
      <c r="B184" s="982">
        <v>0</v>
      </c>
      <c r="C184" s="982">
        <v>1100</v>
      </c>
      <c r="D184" s="982">
        <v>3381</v>
      </c>
      <c r="E184" s="982">
        <v>2294.4</v>
      </c>
      <c r="F184" s="982">
        <v>1013.8</v>
      </c>
      <c r="G184" s="982">
        <v>2565</v>
      </c>
      <c r="H184" s="993">
        <v>6266.31</v>
      </c>
      <c r="I184" s="993">
        <v>11231</v>
      </c>
      <c r="J184" s="982">
        <v>0</v>
      </c>
      <c r="K184" s="1125">
        <v>34132</v>
      </c>
      <c r="L184" s="982">
        <v>0</v>
      </c>
      <c r="M184" s="1143">
        <v>700</v>
      </c>
      <c r="N184" s="1143">
        <v>3535</v>
      </c>
      <c r="O184" s="1143">
        <v>571.39</v>
      </c>
      <c r="P184" s="1143">
        <v>0</v>
      </c>
      <c r="Q184" s="985">
        <v>150</v>
      </c>
      <c r="R184" s="982">
        <v>200</v>
      </c>
      <c r="S184" s="982">
        <v>0</v>
      </c>
      <c r="T184" s="982">
        <v>150</v>
      </c>
      <c r="U184" s="982">
        <v>150</v>
      </c>
      <c r="V184" s="982">
        <v>800</v>
      </c>
      <c r="W184" s="985">
        <v>625</v>
      </c>
    </row>
    <row r="185" spans="1:23" ht="15.6" x14ac:dyDescent="0.3">
      <c r="A185" s="972" t="s">
        <v>819</v>
      </c>
      <c r="B185" s="982">
        <v>0</v>
      </c>
      <c r="C185" s="982">
        <v>0</v>
      </c>
      <c r="D185" s="982">
        <v>0</v>
      </c>
      <c r="E185" s="982">
        <v>0</v>
      </c>
      <c r="F185" s="982">
        <v>0</v>
      </c>
      <c r="G185" s="982">
        <v>0</v>
      </c>
      <c r="H185" s="993">
        <v>75</v>
      </c>
      <c r="I185" s="993">
        <v>0</v>
      </c>
      <c r="J185" s="982">
        <v>0</v>
      </c>
      <c r="K185" s="1125">
        <v>0</v>
      </c>
      <c r="L185" s="982">
        <v>190</v>
      </c>
      <c r="M185" s="1143">
        <v>0</v>
      </c>
      <c r="N185" s="1143">
        <v>0</v>
      </c>
      <c r="O185" s="1143"/>
      <c r="P185" s="1143"/>
      <c r="Q185" s="985">
        <v>0</v>
      </c>
      <c r="R185" s="982">
        <v>0</v>
      </c>
      <c r="S185" s="982">
        <v>0</v>
      </c>
      <c r="T185" s="982">
        <v>0</v>
      </c>
      <c r="U185" s="982">
        <v>0</v>
      </c>
      <c r="V185" s="982">
        <v>0</v>
      </c>
      <c r="W185" s="985">
        <v>0</v>
      </c>
    </row>
    <row r="186" spans="1:23" ht="15.6" x14ac:dyDescent="0.3">
      <c r="A186" s="972" t="s">
        <v>820</v>
      </c>
      <c r="B186" s="982">
        <v>1089.06</v>
      </c>
      <c r="C186" s="982">
        <v>1089.06</v>
      </c>
      <c r="D186" s="982">
        <v>5441.16</v>
      </c>
      <c r="E186" s="982">
        <v>5506.44</v>
      </c>
      <c r="F186" s="982">
        <v>5608.34</v>
      </c>
      <c r="G186" s="982">
        <v>12274.44</v>
      </c>
      <c r="H186" s="993">
        <v>7106.08</v>
      </c>
      <c r="I186" s="993">
        <v>6606.08</v>
      </c>
      <c r="J186" s="982">
        <v>6796.41</v>
      </c>
      <c r="K186" s="1125">
        <v>6796.41</v>
      </c>
      <c r="L186" s="982">
        <v>-7301.93</v>
      </c>
      <c r="M186" s="1143">
        <v>9832.76</v>
      </c>
      <c r="N186" s="1143">
        <v>1188.07</v>
      </c>
      <c r="O186" s="1143">
        <v>6796.41</v>
      </c>
      <c r="P186" s="1143">
        <v>6796.39</v>
      </c>
      <c r="Q186" s="985">
        <v>5608.22</v>
      </c>
      <c r="R186" s="982">
        <v>0</v>
      </c>
      <c r="S186" s="982">
        <v>14999.51</v>
      </c>
      <c r="T186" s="982">
        <v>8913.36</v>
      </c>
      <c r="U186" s="982">
        <v>13102.69</v>
      </c>
      <c r="V186" s="982">
        <v>6500</v>
      </c>
      <c r="W186" s="985">
        <v>776.77</v>
      </c>
    </row>
    <row r="187" spans="1:23" ht="15.6" x14ac:dyDescent="0.3">
      <c r="A187" s="972" t="s">
        <v>821</v>
      </c>
      <c r="B187" s="982">
        <v>8332</v>
      </c>
      <c r="C187" s="982">
        <v>22348.69</v>
      </c>
      <c r="D187" s="982">
        <v>8333.33</v>
      </c>
      <c r="E187" s="982">
        <v>8384.33</v>
      </c>
      <c r="F187" s="982">
        <v>11333.33</v>
      </c>
      <c r="G187" s="982">
        <v>23097.33</v>
      </c>
      <c r="H187" s="993">
        <v>1422</v>
      </c>
      <c r="I187" s="993">
        <v>6149.33</v>
      </c>
      <c r="J187" s="982">
        <v>8333.33</v>
      </c>
      <c r="K187" s="1125">
        <v>16748.330000000002</v>
      </c>
      <c r="L187" s="982">
        <v>11458.33</v>
      </c>
      <c r="M187" s="1143">
        <v>8333.33</v>
      </c>
      <c r="N187" s="1143">
        <v>8649.33</v>
      </c>
      <c r="O187" s="1143">
        <v>0</v>
      </c>
      <c r="P187" s="1143">
        <v>7250</v>
      </c>
      <c r="Q187" s="985">
        <v>0</v>
      </c>
      <c r="R187" s="982">
        <v>0</v>
      </c>
      <c r="S187" s="982">
        <v>21331.66</v>
      </c>
      <c r="T187" s="982">
        <v>21666.66</v>
      </c>
      <c r="U187" s="982">
        <v>22666.66</v>
      </c>
      <c r="V187" s="982">
        <v>23668.66</v>
      </c>
      <c r="W187" s="985">
        <v>10088.33</v>
      </c>
    </row>
    <row r="188" spans="1:23" ht="15.6" x14ac:dyDescent="0.3">
      <c r="A188" s="972" t="s">
        <v>822</v>
      </c>
      <c r="B188" s="982">
        <v>0</v>
      </c>
      <c r="C188" s="982">
        <v>0</v>
      </c>
      <c r="D188" s="982">
        <v>0</v>
      </c>
      <c r="E188" s="982">
        <v>189.99</v>
      </c>
      <c r="F188" s="982">
        <v>0</v>
      </c>
      <c r="G188" s="982">
        <v>0</v>
      </c>
      <c r="H188" s="993">
        <v>0</v>
      </c>
      <c r="I188" s="993">
        <v>0</v>
      </c>
      <c r="J188" s="982">
        <v>0</v>
      </c>
      <c r="K188" s="1125"/>
      <c r="L188" s="982">
        <v>0</v>
      </c>
      <c r="M188" s="1143">
        <v>0</v>
      </c>
      <c r="N188" s="1143">
        <v>0</v>
      </c>
      <c r="O188" s="1143"/>
      <c r="P188" s="1143"/>
      <c r="Q188" s="985">
        <v>0</v>
      </c>
      <c r="R188" s="982">
        <v>0</v>
      </c>
      <c r="S188" s="982">
        <v>0</v>
      </c>
      <c r="T188" s="982">
        <v>0</v>
      </c>
      <c r="U188" s="982">
        <v>0</v>
      </c>
      <c r="V188" s="982">
        <v>0</v>
      </c>
      <c r="W188" s="985">
        <v>0</v>
      </c>
    </row>
    <row r="189" spans="1:23" ht="15.6" x14ac:dyDescent="0.3">
      <c r="A189" s="972" t="s">
        <v>823</v>
      </c>
      <c r="B189" s="982">
        <v>45.94</v>
      </c>
      <c r="C189" s="982">
        <v>45.94</v>
      </c>
      <c r="D189" s="982">
        <v>45.94</v>
      </c>
      <c r="E189" s="982">
        <v>45.94</v>
      </c>
      <c r="F189" s="982">
        <v>45.94</v>
      </c>
      <c r="G189" s="982">
        <v>45.94</v>
      </c>
      <c r="H189" s="993">
        <v>178.06</v>
      </c>
      <c r="I189" s="993">
        <v>0</v>
      </c>
      <c r="J189" s="982">
        <v>0</v>
      </c>
      <c r="K189" s="1125"/>
      <c r="L189" s="982">
        <v>0</v>
      </c>
      <c r="M189" s="1143">
        <v>0</v>
      </c>
      <c r="N189" s="1143">
        <v>0</v>
      </c>
      <c r="O189" s="1143"/>
      <c r="P189" s="1143"/>
      <c r="Q189" s="985">
        <v>0</v>
      </c>
      <c r="R189" s="982">
        <v>0</v>
      </c>
      <c r="S189" s="982">
        <v>0</v>
      </c>
      <c r="T189" s="982">
        <v>0</v>
      </c>
      <c r="U189" s="982">
        <v>0</v>
      </c>
      <c r="V189" s="982">
        <v>0</v>
      </c>
      <c r="W189" s="985">
        <v>0</v>
      </c>
    </row>
    <row r="190" spans="1:23" ht="15.6" x14ac:dyDescent="0.3">
      <c r="A190" s="972" t="s">
        <v>824</v>
      </c>
      <c r="B190" s="982">
        <v>689.4</v>
      </c>
      <c r="C190" s="982">
        <v>296.35000000000002</v>
      </c>
      <c r="D190" s="982">
        <v>350.31</v>
      </c>
      <c r="E190" s="982">
        <v>559.75</v>
      </c>
      <c r="F190" s="982">
        <v>457.13</v>
      </c>
      <c r="G190" s="982">
        <v>626.41999999999996</v>
      </c>
      <c r="H190" s="993">
        <v>415.23</v>
      </c>
      <c r="I190" s="993">
        <v>0</v>
      </c>
      <c r="J190" s="982">
        <v>505.85</v>
      </c>
      <c r="K190" s="1125">
        <v>332.48</v>
      </c>
      <c r="L190" s="982">
        <v>1035.18</v>
      </c>
      <c r="M190" s="1143">
        <v>1557.54</v>
      </c>
      <c r="N190" s="1143">
        <v>493.62</v>
      </c>
      <c r="O190" s="1143">
        <v>792.3</v>
      </c>
      <c r="P190" s="1143">
        <v>593.78</v>
      </c>
      <c r="Q190" s="985">
        <v>708.3</v>
      </c>
      <c r="R190" s="982">
        <v>718.39</v>
      </c>
      <c r="S190" s="982">
        <v>482.22</v>
      </c>
      <c r="T190" s="982">
        <v>772.77</v>
      </c>
      <c r="U190" s="982">
        <v>967.86</v>
      </c>
      <c r="V190" s="982">
        <v>573.6</v>
      </c>
      <c r="W190" s="985">
        <v>730.82</v>
      </c>
    </row>
    <row r="191" spans="1:23" ht="15.6" x14ac:dyDescent="0.3">
      <c r="A191" s="1398" t="s">
        <v>1256</v>
      </c>
      <c r="B191" s="982"/>
      <c r="C191" s="982"/>
      <c r="D191" s="982"/>
      <c r="E191" s="982"/>
      <c r="F191" s="982"/>
      <c r="G191" s="982"/>
      <c r="H191" s="993"/>
      <c r="I191" s="993"/>
      <c r="J191" s="982"/>
      <c r="K191" s="1125"/>
      <c r="L191" s="982"/>
      <c r="M191" s="1143"/>
      <c r="N191" s="1143"/>
      <c r="O191" s="1143"/>
      <c r="P191" s="1143"/>
      <c r="Q191" s="985"/>
      <c r="R191" s="982">
        <v>0</v>
      </c>
      <c r="S191" s="982">
        <v>0</v>
      </c>
      <c r="T191" s="982">
        <v>2512.8000000000002</v>
      </c>
      <c r="U191" s="982">
        <v>-424.64</v>
      </c>
      <c r="V191" s="982">
        <v>0</v>
      </c>
      <c r="W191" s="985">
        <v>0</v>
      </c>
    </row>
    <row r="192" spans="1:23" ht="15.6" x14ac:dyDescent="0.3">
      <c r="A192" s="972" t="s">
        <v>825</v>
      </c>
      <c r="B192" s="982">
        <v>78.84</v>
      </c>
      <c r="C192" s="982">
        <v>0.4</v>
      </c>
      <c r="D192" s="982">
        <v>701.33</v>
      </c>
      <c r="E192" s="982">
        <v>2602.3200000000002</v>
      </c>
      <c r="F192" s="982">
        <v>5876.83</v>
      </c>
      <c r="G192" s="982">
        <v>574.88</v>
      </c>
      <c r="H192" s="993">
        <v>-71.150000000000006</v>
      </c>
      <c r="I192" s="993">
        <v>376.84</v>
      </c>
      <c r="J192" s="982">
        <v>4010.31</v>
      </c>
      <c r="K192" s="1112">
        <v>-704.62</v>
      </c>
      <c r="L192" s="982">
        <v>-897.66</v>
      </c>
      <c r="M192" s="1143">
        <v>-13942.43</v>
      </c>
      <c r="N192" s="1143">
        <v>6323.95</v>
      </c>
      <c r="O192" s="1143">
        <v>2779.67</v>
      </c>
      <c r="P192" s="1143">
        <v>7452.58</v>
      </c>
      <c r="Q192" s="985">
        <v>3246.79</v>
      </c>
      <c r="R192" s="982">
        <v>4303.6899999999996</v>
      </c>
      <c r="S192" s="982">
        <v>10526.98</v>
      </c>
      <c r="T192" s="982">
        <v>5541.52</v>
      </c>
      <c r="U192" s="982">
        <v>10530.38</v>
      </c>
      <c r="V192" s="982">
        <v>4492.8900000000003</v>
      </c>
      <c r="W192" s="985">
        <v>10724.3</v>
      </c>
    </row>
    <row r="193" spans="1:23" ht="15.6" x14ac:dyDescent="0.3">
      <c r="A193" s="972" t="s">
        <v>826</v>
      </c>
      <c r="B193" s="982">
        <v>2318.4899999999998</v>
      </c>
      <c r="C193" s="982">
        <v>3880.52</v>
      </c>
      <c r="D193" s="982">
        <v>4626.1000000000004</v>
      </c>
      <c r="E193" s="982">
        <v>3981.99</v>
      </c>
      <c r="F193" s="982">
        <v>2200.5500000000002</v>
      </c>
      <c r="G193" s="982">
        <v>3707.54</v>
      </c>
      <c r="H193" s="993">
        <v>4373.33</v>
      </c>
      <c r="I193" s="993">
        <v>3245.1</v>
      </c>
      <c r="J193" s="982">
        <v>3207.25</v>
      </c>
      <c r="K193" s="1112">
        <v>5888.77</v>
      </c>
      <c r="L193" s="982">
        <v>4245.04</v>
      </c>
      <c r="M193" s="1143">
        <v>3921.23</v>
      </c>
      <c r="N193" s="1143">
        <v>3729.12</v>
      </c>
      <c r="O193" s="1143">
        <v>3290.87</v>
      </c>
      <c r="P193" s="1143">
        <v>2644.61</v>
      </c>
      <c r="Q193" s="985">
        <v>3293.79</v>
      </c>
      <c r="R193" s="982">
        <v>3653.53</v>
      </c>
      <c r="S193" s="982">
        <v>8174.77</v>
      </c>
      <c r="T193" s="982">
        <v>5695.84</v>
      </c>
      <c r="U193" s="982">
        <v>7046.28</v>
      </c>
      <c r="V193" s="982">
        <v>4201.6499999999996</v>
      </c>
      <c r="W193" s="985">
        <v>3572.15</v>
      </c>
    </row>
    <row r="194" spans="1:23" ht="15.6" x14ac:dyDescent="0.3">
      <c r="A194" s="972" t="s">
        <v>827</v>
      </c>
      <c r="B194" s="982">
        <v>550</v>
      </c>
      <c r="C194" s="982">
        <v>550</v>
      </c>
      <c r="D194" s="982">
        <v>550</v>
      </c>
      <c r="E194" s="982">
        <v>1100</v>
      </c>
      <c r="F194" s="982">
        <v>550</v>
      </c>
      <c r="G194" s="982">
        <v>0</v>
      </c>
      <c r="H194" s="993">
        <v>1100</v>
      </c>
      <c r="I194" s="993">
        <v>0</v>
      </c>
      <c r="J194" s="982">
        <v>0</v>
      </c>
      <c r="K194" s="1112">
        <v>168.67</v>
      </c>
      <c r="L194" s="982">
        <v>1.68</v>
      </c>
      <c r="M194" s="1143">
        <v>0</v>
      </c>
      <c r="N194" s="1143">
        <v>0</v>
      </c>
      <c r="O194" s="1143"/>
      <c r="P194" s="1143"/>
      <c r="Q194" s="985">
        <v>0</v>
      </c>
      <c r="R194" s="982">
        <v>0</v>
      </c>
      <c r="S194" s="982">
        <v>0</v>
      </c>
      <c r="T194" s="982">
        <v>0</v>
      </c>
      <c r="U194" s="982">
        <v>0</v>
      </c>
      <c r="V194" s="982">
        <v>0</v>
      </c>
      <c r="W194" s="985">
        <v>0</v>
      </c>
    </row>
    <row r="195" spans="1:23" ht="15.6" x14ac:dyDescent="0.3">
      <c r="A195" s="972" t="s">
        <v>828</v>
      </c>
      <c r="B195" s="982">
        <v>545.84</v>
      </c>
      <c r="C195" s="982">
        <v>1173.4000000000001</v>
      </c>
      <c r="D195" s="982">
        <v>-24.26</v>
      </c>
      <c r="E195" s="982">
        <v>385.27</v>
      </c>
      <c r="F195" s="982">
        <v>2018.54</v>
      </c>
      <c r="G195" s="982">
        <v>1666.69</v>
      </c>
      <c r="H195" s="993">
        <v>376.55</v>
      </c>
      <c r="I195" s="993">
        <v>594.94000000000005</v>
      </c>
      <c r="J195" s="982">
        <v>176.95</v>
      </c>
      <c r="K195" s="1112">
        <v>83.25</v>
      </c>
      <c r="L195" s="982">
        <v>302.7</v>
      </c>
      <c r="M195" s="1143">
        <v>496.65</v>
      </c>
      <c r="N195" s="1143">
        <v>300.3</v>
      </c>
      <c r="O195" s="1143">
        <v>1083.2</v>
      </c>
      <c r="P195" s="1143">
        <v>125.35</v>
      </c>
      <c r="Q195" s="985">
        <v>0</v>
      </c>
      <c r="R195" s="982">
        <v>0</v>
      </c>
      <c r="S195" s="982">
        <v>0</v>
      </c>
      <c r="T195" s="982">
        <v>0</v>
      </c>
      <c r="U195" s="982">
        <v>0</v>
      </c>
      <c r="V195" s="982">
        <v>0</v>
      </c>
      <c r="W195" s="985">
        <v>0</v>
      </c>
    </row>
    <row r="196" spans="1:23" ht="15.6" x14ac:dyDescent="0.3">
      <c r="A196" s="972" t="s">
        <v>829</v>
      </c>
      <c r="B196" s="982">
        <v>0</v>
      </c>
      <c r="C196" s="982">
        <v>0</v>
      </c>
      <c r="D196" s="982">
        <v>13815.77</v>
      </c>
      <c r="E196" s="982">
        <v>3160.24</v>
      </c>
      <c r="F196" s="982">
        <v>988.98</v>
      </c>
      <c r="G196" s="982">
        <v>-1133.71</v>
      </c>
      <c r="H196" s="993">
        <v>0</v>
      </c>
      <c r="I196" s="993">
        <v>0</v>
      </c>
      <c r="J196" s="982">
        <v>0</v>
      </c>
      <c r="K196" s="1112">
        <v>-6192.53</v>
      </c>
      <c r="L196" s="982">
        <v>1372.73</v>
      </c>
      <c r="M196" s="1143">
        <v>10781.62</v>
      </c>
      <c r="N196" s="1143">
        <v>2747.11</v>
      </c>
      <c r="O196" s="1143">
        <v>859.64</v>
      </c>
      <c r="P196" s="1143">
        <v>3252.78</v>
      </c>
      <c r="Q196" s="985">
        <v>-2627.26</v>
      </c>
      <c r="R196" s="982">
        <v>5405.1</v>
      </c>
      <c r="S196" s="982">
        <v>5088.87</v>
      </c>
      <c r="T196" s="982">
        <v>-4532.68</v>
      </c>
      <c r="U196" s="982">
        <v>0</v>
      </c>
      <c r="V196" s="982">
        <v>0</v>
      </c>
      <c r="W196" s="985">
        <v>65</v>
      </c>
    </row>
    <row r="197" spans="1:23" ht="15.6" x14ac:dyDescent="0.3">
      <c r="A197" s="972" t="s">
        <v>830</v>
      </c>
      <c r="B197" s="982">
        <v>0</v>
      </c>
      <c r="C197" s="982">
        <v>2.2000000000000002</v>
      </c>
      <c r="D197" s="982">
        <v>0</v>
      </c>
      <c r="E197" s="982">
        <v>0</v>
      </c>
      <c r="F197" s="982">
        <v>0</v>
      </c>
      <c r="G197" s="982">
        <v>0</v>
      </c>
      <c r="H197" s="993">
        <v>0</v>
      </c>
      <c r="I197" s="993">
        <v>0</v>
      </c>
      <c r="J197" s="982">
        <v>0</v>
      </c>
      <c r="K197" s="1112">
        <v>0</v>
      </c>
      <c r="L197" s="982">
        <v>0</v>
      </c>
      <c r="M197" s="1143">
        <v>0</v>
      </c>
      <c r="N197" s="1143">
        <v>60</v>
      </c>
      <c r="O197" s="1143">
        <v>0</v>
      </c>
      <c r="P197" s="1143"/>
      <c r="Q197" s="985">
        <v>0</v>
      </c>
      <c r="R197" s="982">
        <v>0</v>
      </c>
      <c r="S197" s="982">
        <v>0</v>
      </c>
      <c r="T197" s="982">
        <v>0</v>
      </c>
      <c r="U197" s="982">
        <v>26.6</v>
      </c>
      <c r="V197" s="982">
        <v>0</v>
      </c>
      <c r="W197" s="985">
        <v>2.4900000000000002</v>
      </c>
    </row>
    <row r="198" spans="1:23" ht="15.6" x14ac:dyDescent="0.3">
      <c r="A198" s="972" t="s">
        <v>831</v>
      </c>
      <c r="B198" s="982">
        <v>153.66999999999999</v>
      </c>
      <c r="C198" s="982">
        <v>153.66999999999999</v>
      </c>
      <c r="D198" s="982">
        <v>153.66999999999999</v>
      </c>
      <c r="E198" s="982">
        <v>153.66999999999999</v>
      </c>
      <c r="F198" s="982">
        <v>152.32</v>
      </c>
      <c r="G198" s="982">
        <v>152.32</v>
      </c>
      <c r="H198" s="993">
        <v>152.32</v>
      </c>
      <c r="I198" s="993">
        <v>152.32</v>
      </c>
      <c r="J198" s="982">
        <v>152.32</v>
      </c>
      <c r="K198" s="1112">
        <v>152.32</v>
      </c>
      <c r="L198" s="982">
        <v>152.32</v>
      </c>
      <c r="M198" s="1143">
        <v>152.32</v>
      </c>
      <c r="N198" s="1143">
        <v>152.32</v>
      </c>
      <c r="O198" s="1143">
        <v>152.32</v>
      </c>
      <c r="P198" s="1143">
        <v>152.32</v>
      </c>
      <c r="Q198" s="985">
        <v>152.32</v>
      </c>
      <c r="R198" s="982">
        <v>152.32</v>
      </c>
      <c r="S198" s="982">
        <v>152.32</v>
      </c>
      <c r="T198" s="982">
        <v>602.32000000000005</v>
      </c>
      <c r="U198" s="982">
        <v>152.32</v>
      </c>
      <c r="V198" s="982">
        <v>152.32</v>
      </c>
      <c r="W198" s="985">
        <v>152.32</v>
      </c>
    </row>
    <row r="199" spans="1:23" ht="15.6" x14ac:dyDescent="0.3">
      <c r="A199" s="972" t="s">
        <v>832</v>
      </c>
      <c r="B199" s="982">
        <v>782.06</v>
      </c>
      <c r="C199" s="982">
        <v>3116.84</v>
      </c>
      <c r="D199" s="982">
        <v>978.08</v>
      </c>
      <c r="E199" s="982">
        <v>1473.1</v>
      </c>
      <c r="F199" s="982">
        <v>895.59</v>
      </c>
      <c r="G199" s="982">
        <v>1167.4100000000001</v>
      </c>
      <c r="H199" s="993">
        <v>1910.13</v>
      </c>
      <c r="I199" s="993">
        <v>1743.45</v>
      </c>
      <c r="J199" s="982">
        <v>1933.05</v>
      </c>
      <c r="K199" s="1112">
        <v>1861.47</v>
      </c>
      <c r="L199" s="982">
        <v>2389.11</v>
      </c>
      <c r="M199" s="1143">
        <v>2587.1</v>
      </c>
      <c r="N199" s="1143">
        <v>2828.96</v>
      </c>
      <c r="O199" s="1143">
        <v>2834.09</v>
      </c>
      <c r="P199" s="1143">
        <v>3525.26</v>
      </c>
      <c r="Q199" s="985">
        <v>2234.5</v>
      </c>
      <c r="R199" s="982">
        <v>920</v>
      </c>
      <c r="S199" s="982">
        <v>2303.88</v>
      </c>
      <c r="T199" s="982">
        <v>1750.65</v>
      </c>
      <c r="U199" s="982">
        <v>2064.46</v>
      </c>
      <c r="V199" s="982">
        <v>2239.92</v>
      </c>
      <c r="W199" s="985">
        <v>992.39</v>
      </c>
    </row>
    <row r="200" spans="1:23" ht="15.6" x14ac:dyDescent="0.3">
      <c r="A200" s="972" t="s">
        <v>833</v>
      </c>
      <c r="B200" s="982">
        <v>370</v>
      </c>
      <c r="C200" s="982">
        <v>370</v>
      </c>
      <c r="D200" s="982">
        <v>370</v>
      </c>
      <c r="E200" s="982">
        <v>370</v>
      </c>
      <c r="F200" s="982">
        <v>370</v>
      </c>
      <c r="G200" s="982">
        <v>370</v>
      </c>
      <c r="H200" s="993">
        <v>370</v>
      </c>
      <c r="I200" s="993">
        <v>370</v>
      </c>
      <c r="J200" s="982">
        <v>370</v>
      </c>
      <c r="K200" s="1112">
        <v>370</v>
      </c>
      <c r="L200" s="982">
        <v>370</v>
      </c>
      <c r="M200" s="1143">
        <v>370</v>
      </c>
      <c r="N200" s="1143">
        <v>370</v>
      </c>
      <c r="O200" s="1143">
        <v>370</v>
      </c>
      <c r="P200" s="1143">
        <v>370</v>
      </c>
      <c r="Q200" s="985">
        <v>370</v>
      </c>
      <c r="R200" s="982">
        <v>370</v>
      </c>
      <c r="S200" s="982">
        <v>370</v>
      </c>
      <c r="T200" s="982">
        <v>370</v>
      </c>
      <c r="U200" s="982">
        <v>370</v>
      </c>
      <c r="V200" s="982">
        <v>370</v>
      </c>
      <c r="W200" s="985">
        <v>370</v>
      </c>
    </row>
    <row r="201" spans="1:23" ht="15.6" x14ac:dyDescent="0.3">
      <c r="A201" s="972" t="s">
        <v>834</v>
      </c>
      <c r="B201" s="982">
        <v>200</v>
      </c>
      <c r="C201" s="982">
        <v>200</v>
      </c>
      <c r="D201" s="982">
        <v>200</v>
      </c>
      <c r="E201" s="982">
        <v>200</v>
      </c>
      <c r="F201" s="982">
        <v>200</v>
      </c>
      <c r="G201" s="982">
        <v>200</v>
      </c>
      <c r="H201" s="993">
        <v>37.75</v>
      </c>
      <c r="I201" s="993">
        <v>37.65</v>
      </c>
      <c r="J201" s="982">
        <v>36.07</v>
      </c>
      <c r="K201" s="1112">
        <v>0</v>
      </c>
      <c r="L201" s="982">
        <v>0</v>
      </c>
      <c r="M201" s="1143">
        <v>0</v>
      </c>
      <c r="N201" s="1143">
        <v>0</v>
      </c>
      <c r="O201" s="1143"/>
      <c r="P201" s="1143"/>
      <c r="Q201" s="985">
        <v>0</v>
      </c>
      <c r="R201" s="982">
        <v>0</v>
      </c>
      <c r="S201" s="982">
        <v>0</v>
      </c>
      <c r="T201" s="982">
        <v>0</v>
      </c>
      <c r="U201" s="982">
        <v>0</v>
      </c>
      <c r="V201" s="982">
        <v>0</v>
      </c>
      <c r="W201" s="985">
        <v>0</v>
      </c>
    </row>
    <row r="202" spans="1:23" ht="15.6" x14ac:dyDescent="0.3">
      <c r="A202" s="972" t="s">
        <v>835</v>
      </c>
      <c r="B202" s="982">
        <v>35.950000000000003</v>
      </c>
      <c r="C202" s="982">
        <v>800.8</v>
      </c>
      <c r="D202" s="982">
        <v>12.53</v>
      </c>
      <c r="E202" s="982">
        <v>450.2</v>
      </c>
      <c r="F202" s="982">
        <v>1559.25</v>
      </c>
      <c r="G202" s="982">
        <v>3739.62</v>
      </c>
      <c r="H202" s="993">
        <v>2746.68</v>
      </c>
      <c r="I202" s="993">
        <v>2665.09</v>
      </c>
      <c r="J202" s="982">
        <v>4108.67</v>
      </c>
      <c r="K202" s="1112">
        <v>1873.31</v>
      </c>
      <c r="L202" s="982">
        <v>5791.21</v>
      </c>
      <c r="M202" s="1143">
        <v>4055.96</v>
      </c>
      <c r="N202" s="1143">
        <v>10928.03</v>
      </c>
      <c r="O202" s="1143">
        <v>3198.19</v>
      </c>
      <c r="P202" s="1143">
        <v>9509.0499999999993</v>
      </c>
      <c r="Q202" s="985">
        <v>10880.01</v>
      </c>
      <c r="R202" s="982">
        <v>11685.45</v>
      </c>
      <c r="S202" s="982">
        <v>445.98</v>
      </c>
      <c r="T202" s="982">
        <v>12103.84</v>
      </c>
      <c r="U202" s="982">
        <v>9018.93</v>
      </c>
      <c r="V202" s="982">
        <v>4449.1899999999996</v>
      </c>
      <c r="W202" s="985">
        <v>5325.06</v>
      </c>
    </row>
    <row r="203" spans="1:23" ht="15.6" x14ac:dyDescent="0.3">
      <c r="A203" s="972" t="s">
        <v>836</v>
      </c>
      <c r="B203" s="982">
        <v>3160.61</v>
      </c>
      <c r="C203" s="982">
        <v>3134.97</v>
      </c>
      <c r="D203" s="982">
        <v>4689.79</v>
      </c>
      <c r="E203" s="982">
        <v>3458.83</v>
      </c>
      <c r="F203" s="982">
        <v>7293.91</v>
      </c>
      <c r="G203" s="982">
        <v>4879.6099999999997</v>
      </c>
      <c r="H203" s="993">
        <v>3337.69</v>
      </c>
      <c r="I203" s="993">
        <v>4638.07</v>
      </c>
      <c r="J203" s="982">
        <v>5497.57</v>
      </c>
      <c r="K203" s="1112">
        <v>6132.05</v>
      </c>
      <c r="L203" s="982">
        <v>10729.87</v>
      </c>
      <c r="M203" s="1143">
        <v>3344.02</v>
      </c>
      <c r="N203" s="1143">
        <v>4246.3599999999997</v>
      </c>
      <c r="O203" s="1143">
        <v>2647.07</v>
      </c>
      <c r="P203" s="1143">
        <v>2006.7</v>
      </c>
      <c r="Q203" s="985">
        <v>3368.56</v>
      </c>
      <c r="R203" s="982">
        <v>1942.7</v>
      </c>
      <c r="S203" s="982">
        <v>4528.49</v>
      </c>
      <c r="T203" s="982">
        <v>4041.16</v>
      </c>
      <c r="U203" s="982">
        <v>1780.33</v>
      </c>
      <c r="V203" s="982">
        <v>14110.96</v>
      </c>
      <c r="W203" s="985">
        <v>15957.05</v>
      </c>
    </row>
    <row r="204" spans="1:23" ht="15.6" x14ac:dyDescent="0.3">
      <c r="A204" s="972" t="s">
        <v>837</v>
      </c>
      <c r="B204" s="982">
        <v>12449.13</v>
      </c>
      <c r="C204" s="982">
        <v>10343.49</v>
      </c>
      <c r="D204" s="982">
        <v>21071.27</v>
      </c>
      <c r="E204" s="982">
        <v>12382.66</v>
      </c>
      <c r="F204" s="982">
        <v>9584.56</v>
      </c>
      <c r="G204" s="982">
        <v>11056.88</v>
      </c>
      <c r="H204" s="993">
        <v>11461.75</v>
      </c>
      <c r="I204" s="993">
        <v>19994.36</v>
      </c>
      <c r="J204" s="982">
        <v>29322.9</v>
      </c>
      <c r="K204" s="1112">
        <v>7609.27</v>
      </c>
      <c r="L204" s="982">
        <v>7583.71</v>
      </c>
      <c r="M204" s="1143">
        <v>9238.14</v>
      </c>
      <c r="N204" s="1143">
        <v>4000.38</v>
      </c>
      <c r="O204" s="1143">
        <v>6467.75</v>
      </c>
      <c r="P204" s="1143">
        <v>3379.15</v>
      </c>
      <c r="Q204" s="985">
        <v>3213.97</v>
      </c>
      <c r="R204" s="982">
        <v>8568.9699999999993</v>
      </c>
      <c r="S204" s="982">
        <v>3565.87</v>
      </c>
      <c r="T204" s="982">
        <v>2976.47</v>
      </c>
      <c r="U204" s="982">
        <v>3432.97</v>
      </c>
      <c r="V204" s="982">
        <v>8978.39</v>
      </c>
      <c r="W204" s="985">
        <v>2785.47</v>
      </c>
    </row>
    <row r="205" spans="1:23" ht="15.6" x14ac:dyDescent="0.3">
      <c r="A205" s="972" t="s">
        <v>838</v>
      </c>
      <c r="B205" s="982">
        <v>19201.95</v>
      </c>
      <c r="C205" s="982">
        <v>2134.11</v>
      </c>
      <c r="D205" s="982">
        <v>4050.19</v>
      </c>
      <c r="E205" s="982">
        <v>4977.1000000000004</v>
      </c>
      <c r="F205" s="982">
        <v>1532.73</v>
      </c>
      <c r="G205" s="982">
        <v>1432.26</v>
      </c>
      <c r="H205" s="993">
        <v>5157.0200000000004</v>
      </c>
      <c r="I205" s="993">
        <v>3039.62</v>
      </c>
      <c r="J205" s="982">
        <v>3982.03</v>
      </c>
      <c r="K205" s="1112">
        <v>2717.95</v>
      </c>
      <c r="L205" s="982">
        <v>2417.2600000000002</v>
      </c>
      <c r="M205" s="1143">
        <v>2026.06</v>
      </c>
      <c r="N205" s="1143">
        <v>1163.93</v>
      </c>
      <c r="O205" s="1143">
        <v>213.93</v>
      </c>
      <c r="P205" s="1143">
        <v>3586.68</v>
      </c>
      <c r="Q205" s="985">
        <v>2218.19</v>
      </c>
      <c r="R205" s="982">
        <v>3351.21</v>
      </c>
      <c r="S205" s="982">
        <v>6862.45</v>
      </c>
      <c r="T205" s="982">
        <v>1779.88</v>
      </c>
      <c r="U205" s="982">
        <v>655.98</v>
      </c>
      <c r="V205" s="982">
        <v>4011.35</v>
      </c>
      <c r="W205" s="985">
        <v>2117.92</v>
      </c>
    </row>
    <row r="206" spans="1:23" ht="15.6" x14ac:dyDescent="0.3">
      <c r="A206" s="972" t="s">
        <v>839</v>
      </c>
      <c r="B206" s="982">
        <v>0</v>
      </c>
      <c r="C206" s="982">
        <v>7693.48</v>
      </c>
      <c r="D206" s="982">
        <v>11857.09</v>
      </c>
      <c r="E206" s="982">
        <v>21904.92</v>
      </c>
      <c r="F206" s="982">
        <v>14921.59</v>
      </c>
      <c r="G206" s="982">
        <v>25684.73</v>
      </c>
      <c r="H206" s="993">
        <v>23875.78</v>
      </c>
      <c r="I206" s="993">
        <v>42573.27</v>
      </c>
      <c r="J206" s="982">
        <v>16605.53</v>
      </c>
      <c r="K206" s="1112">
        <v>3635.72</v>
      </c>
      <c r="L206" s="982">
        <v>3470.14</v>
      </c>
      <c r="M206" s="1143">
        <v>-6745.65</v>
      </c>
      <c r="N206" s="1143">
        <v>4378</v>
      </c>
      <c r="O206" s="1143">
        <v>867</v>
      </c>
      <c r="P206" s="1143">
        <v>4166</v>
      </c>
      <c r="Q206" s="985">
        <v>2709</v>
      </c>
      <c r="R206" s="982">
        <v>1583</v>
      </c>
      <c r="S206" s="982">
        <v>458.48</v>
      </c>
      <c r="T206" s="982">
        <v>1258</v>
      </c>
      <c r="U206" s="982">
        <v>970</v>
      </c>
      <c r="V206" s="982">
        <v>-4234.04</v>
      </c>
      <c r="W206" s="985">
        <v>1823.04</v>
      </c>
    </row>
    <row r="207" spans="1:23" ht="15.6" x14ac:dyDescent="0.3">
      <c r="A207" s="972" t="s">
        <v>840</v>
      </c>
      <c r="B207" s="982">
        <v>4500</v>
      </c>
      <c r="C207" s="982">
        <v>19000</v>
      </c>
      <c r="D207" s="982">
        <v>0</v>
      </c>
      <c r="E207" s="982">
        <v>3000</v>
      </c>
      <c r="F207" s="982">
        <v>1500</v>
      </c>
      <c r="G207" s="982">
        <v>2000</v>
      </c>
      <c r="H207" s="993">
        <v>0</v>
      </c>
      <c r="I207" s="993">
        <v>0</v>
      </c>
      <c r="J207" s="982">
        <v>0</v>
      </c>
      <c r="K207" s="1112">
        <v>8381.0300000000007</v>
      </c>
      <c r="L207" s="982">
        <v>11974</v>
      </c>
      <c r="M207" s="1143">
        <v>39713.85</v>
      </c>
      <c r="N207" s="1143">
        <v>-8189</v>
      </c>
      <c r="O207" s="1143">
        <v>0</v>
      </c>
      <c r="P207" s="1143">
        <v>16850</v>
      </c>
      <c r="Q207" s="985">
        <v>6880.22</v>
      </c>
      <c r="R207" s="982">
        <v>60000</v>
      </c>
      <c r="S207" s="982">
        <v>0.1</v>
      </c>
      <c r="T207" s="982">
        <v>7668.16</v>
      </c>
      <c r="U207" s="982">
        <v>0</v>
      </c>
      <c r="V207" s="982">
        <v>0</v>
      </c>
      <c r="W207" s="985">
        <v>2119.96</v>
      </c>
    </row>
    <row r="208" spans="1:23" ht="15.6" x14ac:dyDescent="0.3">
      <c r="A208" s="1398" t="s">
        <v>1257</v>
      </c>
      <c r="B208" s="982"/>
      <c r="C208" s="982"/>
      <c r="D208" s="982"/>
      <c r="E208" s="982"/>
      <c r="F208" s="982"/>
      <c r="G208" s="982"/>
      <c r="H208" s="993"/>
      <c r="I208" s="993"/>
      <c r="J208" s="982"/>
      <c r="K208" s="1112"/>
      <c r="L208" s="982"/>
      <c r="M208" s="1143"/>
      <c r="N208" s="1143"/>
      <c r="O208" s="1143"/>
      <c r="P208" s="1143"/>
      <c r="Q208" s="985"/>
      <c r="R208" s="982">
        <v>0</v>
      </c>
      <c r="S208" s="982">
        <v>-24305.439999999999</v>
      </c>
      <c r="T208" s="982">
        <v>0</v>
      </c>
      <c r="U208" s="982">
        <v>-8361.07</v>
      </c>
      <c r="V208" s="982">
        <v>0</v>
      </c>
      <c r="W208" s="985">
        <v>0</v>
      </c>
    </row>
    <row r="209" spans="1:23" ht="15.6" x14ac:dyDescent="0.3">
      <c r="A209" s="972" t="s">
        <v>841</v>
      </c>
      <c r="B209" s="982">
        <v>0</v>
      </c>
      <c r="C209" s="982">
        <v>0</v>
      </c>
      <c r="D209" s="982">
        <v>1351.47</v>
      </c>
      <c r="E209" s="982">
        <v>8782.85</v>
      </c>
      <c r="F209" s="982">
        <v>5053.46</v>
      </c>
      <c r="G209" s="982">
        <v>1283.71</v>
      </c>
      <c r="H209" s="993">
        <v>0</v>
      </c>
      <c r="I209" s="993">
        <v>2535.5</v>
      </c>
      <c r="J209" s="982">
        <v>4792.3500000000004</v>
      </c>
      <c r="K209" s="1112">
        <v>-22796.31</v>
      </c>
      <c r="L209" s="982">
        <v>0</v>
      </c>
      <c r="M209" s="1143">
        <v>-33067.949999999997</v>
      </c>
      <c r="N209" s="1143">
        <v>1258.3900000000001</v>
      </c>
      <c r="O209" s="1143">
        <v>53.83</v>
      </c>
      <c r="P209" s="1143">
        <v>4900</v>
      </c>
      <c r="Q209" s="985">
        <v>26675</v>
      </c>
      <c r="R209" s="982">
        <v>0</v>
      </c>
      <c r="S209" s="982">
        <v>5300</v>
      </c>
      <c r="T209" s="982">
        <v>0</v>
      </c>
      <c r="U209" s="982">
        <v>0</v>
      </c>
      <c r="V209" s="982">
        <v>35420</v>
      </c>
      <c r="W209" s="985">
        <v>37854</v>
      </c>
    </row>
    <row r="210" spans="1:23" ht="15.6" x14ac:dyDescent="0.3">
      <c r="A210" s="980" t="s">
        <v>860</v>
      </c>
      <c r="B210" s="982">
        <f>SUM(B113:B209)</f>
        <v>228830.37999999998</v>
      </c>
      <c r="C210" s="982">
        <v>284616.82</v>
      </c>
      <c r="D210" s="982">
        <v>276939.58</v>
      </c>
      <c r="E210" s="982">
        <v>299104.64000000001</v>
      </c>
      <c r="F210" s="982">
        <v>331324.49</v>
      </c>
      <c r="G210" s="982">
        <v>326421.77</v>
      </c>
      <c r="H210" s="982">
        <v>252579.78</v>
      </c>
      <c r="I210" s="982">
        <v>328218.31</v>
      </c>
      <c r="J210" s="982">
        <v>256586.31</v>
      </c>
      <c r="K210" s="1112">
        <v>285703.49</v>
      </c>
      <c r="L210" s="982">
        <v>190114.36</v>
      </c>
      <c r="M210" s="1143">
        <f>SUM(M113:M209)</f>
        <v>301669.02</v>
      </c>
      <c r="N210" s="1143">
        <v>241202.11</v>
      </c>
      <c r="O210" s="1143">
        <v>188858.69</v>
      </c>
      <c r="P210" s="1143">
        <v>286151.28000000003</v>
      </c>
      <c r="Q210" s="985">
        <v>257136.45</v>
      </c>
      <c r="R210" s="982">
        <v>440701.9</v>
      </c>
      <c r="S210" s="982">
        <v>344943.17</v>
      </c>
      <c r="T210" s="982">
        <v>286994.45</v>
      </c>
      <c r="U210" s="982">
        <v>308771.90999999997</v>
      </c>
      <c r="V210" s="982">
        <v>274685.42</v>
      </c>
      <c r="W210" s="985">
        <v>481198.6</v>
      </c>
    </row>
    <row r="211" spans="1:23" ht="15.6" x14ac:dyDescent="0.3">
      <c r="A211" s="980" t="s">
        <v>216</v>
      </c>
      <c r="B211" s="981">
        <v>0</v>
      </c>
      <c r="C211" s="981">
        <v>0</v>
      </c>
      <c r="D211" s="981">
        <v>0</v>
      </c>
      <c r="E211" s="981">
        <v>0</v>
      </c>
      <c r="F211" s="981">
        <v>0</v>
      </c>
      <c r="G211" s="981">
        <v>0</v>
      </c>
      <c r="H211" s="981">
        <v>0</v>
      </c>
      <c r="I211" s="981">
        <v>0</v>
      </c>
      <c r="J211" s="981">
        <v>0</v>
      </c>
      <c r="K211" s="1111">
        <v>0</v>
      </c>
      <c r="L211" s="981">
        <v>0</v>
      </c>
      <c r="M211" s="1142">
        <v>0</v>
      </c>
      <c r="N211" s="1228">
        <v>0</v>
      </c>
      <c r="O211" s="1228">
        <v>0</v>
      </c>
      <c r="P211" s="1228">
        <v>0</v>
      </c>
      <c r="Q211" s="1228">
        <v>0</v>
      </c>
      <c r="R211" s="981">
        <v>59905.87</v>
      </c>
      <c r="S211" s="981">
        <v>971.14</v>
      </c>
      <c r="T211" s="981">
        <v>62400</v>
      </c>
      <c r="U211" s="981">
        <v>790.71</v>
      </c>
      <c r="V211" s="981">
        <v>0</v>
      </c>
      <c r="W211" s="1228">
        <v>5000</v>
      </c>
    </row>
    <row r="212" spans="1:23" ht="15.6" x14ac:dyDescent="0.3">
      <c r="A212" s="1398" t="s">
        <v>1258</v>
      </c>
      <c r="B212" s="981"/>
      <c r="C212" s="981"/>
      <c r="D212" s="981"/>
      <c r="E212" s="981"/>
      <c r="F212" s="981"/>
      <c r="G212" s="981"/>
      <c r="H212" s="981"/>
      <c r="I212" s="981"/>
      <c r="J212" s="981"/>
      <c r="K212" s="1111"/>
      <c r="L212" s="981"/>
      <c r="M212" s="1142"/>
      <c r="N212" s="1228"/>
      <c r="O212" s="1228"/>
      <c r="P212" s="1228"/>
      <c r="Q212" s="1228"/>
      <c r="R212" s="982">
        <v>59905.87</v>
      </c>
      <c r="S212" s="982">
        <v>971.14</v>
      </c>
      <c r="T212" s="982">
        <v>62400</v>
      </c>
      <c r="U212" s="982">
        <v>790.71</v>
      </c>
      <c r="V212" s="982">
        <v>0</v>
      </c>
      <c r="W212" s="985">
        <v>5000</v>
      </c>
    </row>
    <row r="213" spans="1:23" ht="15.6" x14ac:dyDescent="0.3">
      <c r="A213" s="980" t="s">
        <v>1259</v>
      </c>
      <c r="B213" s="981"/>
      <c r="C213" s="981"/>
      <c r="D213" s="981"/>
      <c r="E213" s="981"/>
      <c r="F213" s="981"/>
      <c r="G213" s="981"/>
      <c r="H213" s="981"/>
      <c r="I213" s="981"/>
      <c r="J213" s="981"/>
      <c r="K213" s="1111"/>
      <c r="L213" s="981"/>
      <c r="M213" s="1142"/>
      <c r="N213" s="1228"/>
      <c r="O213" s="1228"/>
      <c r="P213" s="1228"/>
      <c r="Q213" s="1228"/>
      <c r="R213" s="982">
        <v>59905.87</v>
      </c>
      <c r="S213" s="982">
        <v>971.14</v>
      </c>
      <c r="T213" s="982">
        <v>62400</v>
      </c>
      <c r="U213" s="982">
        <v>790.71</v>
      </c>
      <c r="V213" s="982">
        <v>0</v>
      </c>
      <c r="W213" s="985">
        <v>5000</v>
      </c>
    </row>
    <row r="214" spans="1:23" ht="16.8" x14ac:dyDescent="0.3">
      <c r="A214" s="979" t="s">
        <v>860</v>
      </c>
      <c r="B214" s="979">
        <v>228830.38</v>
      </c>
      <c r="C214" s="979">
        <v>284616.82</v>
      </c>
      <c r="D214" s="979">
        <v>276939.58</v>
      </c>
      <c r="E214" s="979">
        <v>299104.64000000001</v>
      </c>
      <c r="F214" s="979">
        <v>331324.49</v>
      </c>
      <c r="G214" s="979">
        <v>326421.77</v>
      </c>
      <c r="H214" s="979">
        <v>252579.78</v>
      </c>
      <c r="I214" s="979">
        <v>328218.31</v>
      </c>
      <c r="J214" s="979">
        <v>256586.31</v>
      </c>
      <c r="K214" s="1115">
        <v>285703.49</v>
      </c>
      <c r="L214" s="979">
        <v>190114.36</v>
      </c>
      <c r="M214" s="1144">
        <v>301669.02</v>
      </c>
      <c r="N214" s="1229">
        <v>241202.11</v>
      </c>
      <c r="O214" s="1229">
        <v>188858.69</v>
      </c>
      <c r="P214" s="1229">
        <v>286151.28000000003</v>
      </c>
      <c r="Q214" s="1229">
        <v>257136.45</v>
      </c>
      <c r="R214" s="1401">
        <v>500607.77</v>
      </c>
      <c r="S214" s="1418">
        <v>345914.31</v>
      </c>
      <c r="T214" s="1401">
        <v>349394.45</v>
      </c>
      <c r="U214" s="1401">
        <v>309562.62</v>
      </c>
      <c r="V214" s="1401">
        <v>274685.42</v>
      </c>
      <c r="W214" s="1419">
        <v>486198.6</v>
      </c>
    </row>
    <row r="215" spans="1:23" x14ac:dyDescent="0.3">
      <c r="M215" s="28"/>
      <c r="N215" s="10"/>
      <c r="O215" s="10"/>
      <c r="P215" s="10"/>
      <c r="Q215" s="10"/>
      <c r="S215">
        <f>S210+S213</f>
        <v>345914.31</v>
      </c>
      <c r="W215" s="10"/>
    </row>
    <row r="216" spans="1:23" ht="17.399999999999999" thickBot="1" x14ac:dyDescent="0.35">
      <c r="A216" s="978" t="s">
        <v>861</v>
      </c>
      <c r="B216" s="978">
        <v>60434.359999999993</v>
      </c>
      <c r="C216" s="978">
        <v>216601.78000000009</v>
      </c>
      <c r="D216" s="978">
        <v>46329.520000000077</v>
      </c>
      <c r="E216" s="978">
        <v>-265542.81999999989</v>
      </c>
      <c r="F216" s="978">
        <v>-128392.73</v>
      </c>
      <c r="G216" s="978">
        <v>279238.65999999997</v>
      </c>
      <c r="H216" s="978">
        <v>-19852.979999999839</v>
      </c>
      <c r="I216" s="978">
        <v>504677.99</v>
      </c>
      <c r="J216" s="978">
        <v>231725.07</v>
      </c>
      <c r="K216" s="1110">
        <v>136076.81999999989</v>
      </c>
      <c r="L216" s="978">
        <v>145043.76999999999</v>
      </c>
      <c r="M216" s="1141">
        <v>279554.12</v>
      </c>
      <c r="N216" s="1227">
        <v>-272071.57000000012</v>
      </c>
      <c r="O216" s="1227">
        <v>74690.660000000091</v>
      </c>
      <c r="P216" s="1227">
        <v>347111.51</v>
      </c>
      <c r="Q216" s="1227">
        <v>206065.89</v>
      </c>
      <c r="R216" s="978">
        <v>436213.60000000009</v>
      </c>
      <c r="S216" s="978">
        <v>186700.41000000009</v>
      </c>
      <c r="T216" s="978">
        <v>108095.03999999991</v>
      </c>
      <c r="U216" s="978">
        <v>130542.6100000001</v>
      </c>
      <c r="V216" s="978">
        <v>93623.590000000026</v>
      </c>
      <c r="W216" s="1227">
        <v>156996.6100000001</v>
      </c>
    </row>
    <row r="217" spans="1:23" ht="15" thickTop="1" x14ac:dyDescent="0.3">
      <c r="N217" s="27"/>
      <c r="S217" s="314">
        <f>S103-S214</f>
        <v>184508.4200000001</v>
      </c>
    </row>
    <row r="218" spans="1:23" x14ac:dyDescent="0.3">
      <c r="S218" s="314"/>
    </row>
    <row r="219" spans="1:23" x14ac:dyDescent="0.3">
      <c r="A219" t="s">
        <v>379</v>
      </c>
      <c r="B219">
        <f>B173</f>
        <v>4399.4799999999996</v>
      </c>
      <c r="C219" s="10">
        <f t="shared" ref="C219:S219" si="0">C173</f>
        <v>243.49</v>
      </c>
      <c r="D219" s="10">
        <f t="shared" si="0"/>
        <v>1409.08</v>
      </c>
      <c r="E219" s="10">
        <f t="shared" si="0"/>
        <v>5995.53</v>
      </c>
      <c r="F219" s="10">
        <f t="shared" si="0"/>
        <v>184.84</v>
      </c>
      <c r="G219" s="10">
        <f t="shared" si="0"/>
        <v>4366.55</v>
      </c>
      <c r="H219" s="10">
        <f t="shared" si="0"/>
        <v>2448.9499999999998</v>
      </c>
      <c r="I219" s="10">
        <f t="shared" si="0"/>
        <v>541.98</v>
      </c>
      <c r="J219" s="10">
        <f t="shared" si="0"/>
        <v>577.42999999999995</v>
      </c>
      <c r="K219" s="10">
        <f t="shared" si="0"/>
        <v>4425.9799999999996</v>
      </c>
      <c r="L219" s="10">
        <f t="shared" si="0"/>
        <v>632.25</v>
      </c>
      <c r="M219" s="10">
        <f t="shared" si="0"/>
        <v>3659.11</v>
      </c>
      <c r="N219" s="10">
        <f t="shared" si="0"/>
        <v>4451.6099999999997</v>
      </c>
      <c r="O219" s="10">
        <f t="shared" si="0"/>
        <v>711.45</v>
      </c>
      <c r="P219" s="10">
        <f t="shared" si="0"/>
        <v>739.19</v>
      </c>
      <c r="Q219" s="10">
        <f t="shared" si="0"/>
        <v>852.13</v>
      </c>
      <c r="R219" s="10">
        <f t="shared" si="0"/>
        <v>693.63</v>
      </c>
      <c r="S219" s="10">
        <f t="shared" si="0"/>
        <v>-1979.18</v>
      </c>
      <c r="T219" s="10">
        <f t="shared" ref="T219:V219" si="1">T173</f>
        <v>0</v>
      </c>
      <c r="U219" s="10">
        <f t="shared" si="1"/>
        <v>0</v>
      </c>
      <c r="V219" s="10">
        <f t="shared" si="1"/>
        <v>0</v>
      </c>
    </row>
    <row r="220" spans="1:23" x14ac:dyDescent="0.3">
      <c r="A220" t="s">
        <v>1260</v>
      </c>
      <c r="B220">
        <f>B209</f>
        <v>0</v>
      </c>
      <c r="C220" s="10">
        <f t="shared" ref="C220:S220" si="2">C209</f>
        <v>0</v>
      </c>
      <c r="D220" s="10">
        <f t="shared" si="2"/>
        <v>1351.47</v>
      </c>
      <c r="E220" s="10">
        <f t="shared" si="2"/>
        <v>8782.85</v>
      </c>
      <c r="F220" s="10">
        <f t="shared" si="2"/>
        <v>5053.46</v>
      </c>
      <c r="G220" s="10">
        <f t="shared" si="2"/>
        <v>1283.71</v>
      </c>
      <c r="H220" s="10">
        <f t="shared" si="2"/>
        <v>0</v>
      </c>
      <c r="I220" s="10">
        <f t="shared" si="2"/>
        <v>2535.5</v>
      </c>
      <c r="J220" s="10">
        <f t="shared" si="2"/>
        <v>4792.3500000000004</v>
      </c>
      <c r="K220" s="10">
        <f t="shared" si="2"/>
        <v>-22796.31</v>
      </c>
      <c r="L220" s="10">
        <f t="shared" si="2"/>
        <v>0</v>
      </c>
      <c r="M220" s="10">
        <f t="shared" si="2"/>
        <v>-33067.949999999997</v>
      </c>
      <c r="N220" s="10">
        <f t="shared" si="2"/>
        <v>1258.3900000000001</v>
      </c>
      <c r="O220" s="10">
        <f t="shared" si="2"/>
        <v>53.83</v>
      </c>
      <c r="P220" s="10">
        <f t="shared" si="2"/>
        <v>4900</v>
      </c>
      <c r="Q220" s="10">
        <f t="shared" si="2"/>
        <v>26675</v>
      </c>
      <c r="R220" s="10">
        <f t="shared" si="2"/>
        <v>0</v>
      </c>
      <c r="S220" s="10">
        <f t="shared" si="2"/>
        <v>5300</v>
      </c>
      <c r="T220" s="10">
        <f t="shared" ref="T220:V220" si="3">T209</f>
        <v>0</v>
      </c>
      <c r="U220" s="10">
        <f t="shared" si="3"/>
        <v>0</v>
      </c>
      <c r="V220" s="10">
        <f t="shared" si="3"/>
        <v>35420</v>
      </c>
      <c r="W220" s="10">
        <f t="shared" ref="W220" si="4">W209</f>
        <v>37854</v>
      </c>
    </row>
    <row r="221" spans="1:23" x14ac:dyDescent="0.3">
      <c r="A221" t="s">
        <v>216</v>
      </c>
      <c r="B221">
        <f t="shared" ref="B221:S221" si="5">SUM(B57,B58,B178:B181)</f>
        <v>15384.400000000001</v>
      </c>
      <c r="C221" s="10">
        <f t="shared" si="5"/>
        <v>15384.400000000001</v>
      </c>
      <c r="D221" s="10">
        <f t="shared" si="5"/>
        <v>15384.400000000001</v>
      </c>
      <c r="E221" s="10">
        <f t="shared" si="5"/>
        <v>15384.400000000001</v>
      </c>
      <c r="F221" s="10">
        <f t="shared" si="5"/>
        <v>15384.400000000001</v>
      </c>
      <c r="G221" s="10">
        <f t="shared" si="5"/>
        <v>15384.400000000001</v>
      </c>
      <c r="H221" s="10">
        <f t="shared" si="5"/>
        <v>15384.400000000001</v>
      </c>
      <c r="I221" s="10">
        <f t="shared" si="5"/>
        <v>15384.400000000001</v>
      </c>
      <c r="J221" s="10">
        <f t="shared" si="5"/>
        <v>15384.400000000001</v>
      </c>
      <c r="K221" s="10">
        <f t="shared" si="5"/>
        <v>18738.310000000001</v>
      </c>
      <c r="L221" s="10">
        <f t="shared" si="5"/>
        <v>18738.310000000001</v>
      </c>
      <c r="M221" s="10">
        <f t="shared" si="5"/>
        <v>28467.49</v>
      </c>
      <c r="N221" s="10">
        <f t="shared" si="5"/>
        <v>18738.310000000001</v>
      </c>
      <c r="O221" s="10">
        <f t="shared" si="5"/>
        <v>21500.000000000004</v>
      </c>
      <c r="P221" s="10">
        <f t="shared" si="5"/>
        <v>21500.000000000004</v>
      </c>
      <c r="Q221" s="10">
        <f t="shared" si="5"/>
        <v>21500.000000000004</v>
      </c>
      <c r="R221" s="10">
        <f t="shared" si="5"/>
        <v>21500.000000000004</v>
      </c>
      <c r="S221" s="10">
        <f t="shared" si="5"/>
        <v>21500.000000000004</v>
      </c>
      <c r="T221" s="10">
        <f t="shared" ref="T221:V221" si="6">SUM(T57,T58,T178:T181)</f>
        <v>21500.000000000004</v>
      </c>
      <c r="U221" s="10">
        <f t="shared" si="6"/>
        <v>21500.000000000004</v>
      </c>
      <c r="V221" s="10">
        <f t="shared" si="6"/>
        <v>21500.000000000004</v>
      </c>
      <c r="W221" s="10">
        <f t="shared" ref="W221" si="7">SUM(W57,W58,W178:W181)</f>
        <v>23329.460000000003</v>
      </c>
    </row>
    <row r="222" spans="1:23" x14ac:dyDescent="0.3">
      <c r="A222" s="1487" t="s">
        <v>217</v>
      </c>
      <c r="B222" s="1487">
        <f>SUM(B101,B123,B182)</f>
        <v>3487.79</v>
      </c>
      <c r="C222" s="1535">
        <f t="shared" ref="C222:S222" si="8">SUM(C101,C123,C182)</f>
        <v>3487.79</v>
      </c>
      <c r="D222" s="1535">
        <f t="shared" si="8"/>
        <v>3487.79</v>
      </c>
      <c r="E222" s="1535">
        <f t="shared" si="8"/>
        <v>3487.79</v>
      </c>
      <c r="F222" s="1535">
        <f t="shared" si="8"/>
        <v>3487.79</v>
      </c>
      <c r="G222" s="1535">
        <f t="shared" si="8"/>
        <v>3487.79</v>
      </c>
      <c r="H222" s="1535">
        <f t="shared" si="8"/>
        <v>3487.79</v>
      </c>
      <c r="I222" s="1535">
        <f t="shared" si="8"/>
        <v>3487.79</v>
      </c>
      <c r="J222" s="1535">
        <f t="shared" si="8"/>
        <v>3487.79</v>
      </c>
      <c r="K222" s="1535">
        <f t="shared" si="8"/>
        <v>3487.79</v>
      </c>
      <c r="L222" s="1535">
        <f t="shared" si="8"/>
        <v>3487.79</v>
      </c>
      <c r="M222" s="1535">
        <f t="shared" si="8"/>
        <v>3487.79</v>
      </c>
      <c r="N222" s="1535">
        <f t="shared" si="8"/>
        <v>3487.79</v>
      </c>
      <c r="O222" s="1535">
        <f t="shared" si="8"/>
        <v>3487.79</v>
      </c>
      <c r="P222" s="1535">
        <f t="shared" si="8"/>
        <v>3487.79</v>
      </c>
      <c r="Q222" s="1535">
        <f t="shared" si="8"/>
        <v>3487.79</v>
      </c>
      <c r="R222" s="1535">
        <f t="shared" si="8"/>
        <v>3487.79</v>
      </c>
      <c r="S222" s="1535">
        <f t="shared" si="8"/>
        <v>3487.79</v>
      </c>
      <c r="T222" s="1535">
        <f t="shared" ref="T222:V222" si="9">SUM(T101,T123,T182)</f>
        <v>3487.79</v>
      </c>
      <c r="U222" s="1535">
        <f t="shared" si="9"/>
        <v>3487.79</v>
      </c>
      <c r="V222" s="1535">
        <f t="shared" si="9"/>
        <v>3487.79</v>
      </c>
      <c r="W222" s="1535">
        <f t="shared" ref="W222" si="10">SUM(W101,W123,W182)</f>
        <v>1658.33</v>
      </c>
    </row>
    <row r="223" spans="1:23" x14ac:dyDescent="0.3">
      <c r="A223" t="s">
        <v>1346</v>
      </c>
      <c r="B223">
        <f>B216+SUM(B219:B222)</f>
        <v>83706.03</v>
      </c>
      <c r="C223" s="10">
        <f t="shared" ref="C223:S223" si="11">C216+SUM(C219:C222)</f>
        <v>235717.46000000008</v>
      </c>
      <c r="D223" s="10">
        <f t="shared" si="11"/>
        <v>67962.260000000082</v>
      </c>
      <c r="E223" s="10">
        <f t="shared" si="11"/>
        <v>-231892.24999999988</v>
      </c>
      <c r="F223" s="10">
        <f t="shared" si="11"/>
        <v>-104282.23999999999</v>
      </c>
      <c r="G223" s="10">
        <f t="shared" si="11"/>
        <v>303761.11</v>
      </c>
      <c r="H223" s="10">
        <f t="shared" si="11"/>
        <v>1468.1600000001636</v>
      </c>
      <c r="I223" s="10">
        <f t="shared" si="11"/>
        <v>526627.66</v>
      </c>
      <c r="J223" s="10">
        <f t="shared" si="11"/>
        <v>255967.04</v>
      </c>
      <c r="K223" s="10">
        <f t="shared" si="11"/>
        <v>139932.58999999988</v>
      </c>
      <c r="L223" s="10">
        <f t="shared" si="11"/>
        <v>167902.12</v>
      </c>
      <c r="M223" s="10">
        <f t="shared" si="11"/>
        <v>282100.56</v>
      </c>
      <c r="N223" s="10">
        <f t="shared" si="11"/>
        <v>-244135.47000000012</v>
      </c>
      <c r="O223" s="10">
        <f t="shared" si="11"/>
        <v>100443.7300000001</v>
      </c>
      <c r="P223" s="10">
        <f t="shared" si="11"/>
        <v>377738.49</v>
      </c>
      <c r="Q223" s="10">
        <f t="shared" si="11"/>
        <v>258580.81000000003</v>
      </c>
      <c r="R223" s="10">
        <f t="shared" si="11"/>
        <v>461895.02000000008</v>
      </c>
      <c r="S223" s="10">
        <f t="shared" si="11"/>
        <v>215009.02000000011</v>
      </c>
      <c r="T223" s="10">
        <f t="shared" ref="T223:V223" si="12">T216+SUM(T219:T222)</f>
        <v>133082.8299999999</v>
      </c>
      <c r="U223" s="10">
        <f t="shared" si="12"/>
        <v>155530.40000000011</v>
      </c>
      <c r="V223" s="10">
        <f t="shared" si="12"/>
        <v>154031.38000000003</v>
      </c>
      <c r="W223" s="10">
        <f t="shared" ref="W223" si="13">W216+SUM(W219:W222)</f>
        <v>219838.40000000011</v>
      </c>
    </row>
    <row r="224" spans="1:23" x14ac:dyDescent="0.3">
      <c r="A224" t="s">
        <v>1347</v>
      </c>
      <c r="S224" s="27">
        <f>'HEC Financials'!AZ97</f>
        <v>-335289.95958999998</v>
      </c>
      <c r="T224" s="27">
        <f>'HEC Financials'!BA97</f>
        <v>26253.04018</v>
      </c>
      <c r="U224" s="27">
        <f>'HEC Financials'!BB97</f>
        <v>119979.79562</v>
      </c>
      <c r="V224" s="27">
        <f>'HEC Financials'!BC97</f>
        <v>131878.38</v>
      </c>
      <c r="W224" s="27">
        <f>'HEC Financials'!BD97</f>
        <v>106944.01962000001</v>
      </c>
    </row>
    <row r="225" spans="1:23" x14ac:dyDescent="0.3">
      <c r="A225" s="1487" t="s">
        <v>1348</v>
      </c>
      <c r="B225" s="1487"/>
      <c r="C225" s="1487"/>
      <c r="D225" s="1487"/>
      <c r="E225" s="1487"/>
      <c r="F225" s="1487"/>
      <c r="G225" s="1487"/>
      <c r="H225" s="1487"/>
      <c r="I225" s="1487"/>
      <c r="J225" s="1487"/>
      <c r="K225" s="1534"/>
      <c r="L225" s="1487"/>
      <c r="M225" s="1487"/>
      <c r="N225" s="1487"/>
      <c r="O225" s="1487"/>
      <c r="P225" s="1487"/>
      <c r="Q225" s="1487"/>
      <c r="R225" s="1487"/>
      <c r="S225" s="1487">
        <f>'All Statements'!AK49-'All Statements'!AK73</f>
        <v>0</v>
      </c>
      <c r="T225" s="1487">
        <f>'All Statements'!AL49-'All Statements'!AL73</f>
        <v>-1000</v>
      </c>
      <c r="U225" s="1487">
        <f>'All Statements'!AM49-'All Statements'!AM73</f>
        <v>-18150</v>
      </c>
      <c r="V225" s="1487">
        <f>'All Statements'!AN49-'All Statements'!AN73</f>
        <v>-1950</v>
      </c>
      <c r="W225" s="1487">
        <f>'All Statements'!AO49-'All Statements'!AO73</f>
        <v>-12782.699999999997</v>
      </c>
    </row>
    <row r="226" spans="1:23" x14ac:dyDescent="0.3">
      <c r="A226" t="s">
        <v>1351</v>
      </c>
      <c r="N226" s="27">
        <f t="shared" ref="N226:R226" si="14">SUM(N223:N225)</f>
        <v>-244135.47000000012</v>
      </c>
      <c r="O226" s="27">
        <f t="shared" si="14"/>
        <v>100443.7300000001</v>
      </c>
      <c r="P226" s="27">
        <f t="shared" si="14"/>
        <v>377738.49</v>
      </c>
      <c r="Q226" s="27">
        <f t="shared" si="14"/>
        <v>258580.81000000003</v>
      </c>
      <c r="R226" s="27">
        <f t="shared" si="14"/>
        <v>461895.02000000008</v>
      </c>
      <c r="S226" s="27">
        <f>SUM(S223:S225)</f>
        <v>-120280.93958999988</v>
      </c>
      <c r="T226" s="27">
        <f t="shared" ref="T226:V226" si="15">SUM(T223:T225)</f>
        <v>158335.87017999991</v>
      </c>
      <c r="U226" s="27">
        <f t="shared" si="15"/>
        <v>257360.19562000013</v>
      </c>
      <c r="V226" s="27">
        <f t="shared" si="15"/>
        <v>283959.76</v>
      </c>
      <c r="W226" s="27">
        <f t="shared" ref="W226" si="16">SUM(W223:W225)</f>
        <v>313999.71962000011</v>
      </c>
    </row>
    <row r="228" spans="1:23" x14ac:dyDescent="0.3">
      <c r="A228" t="s">
        <v>1349</v>
      </c>
      <c r="N228" s="1530">
        <f>'All Statements'!AF134</f>
        <v>-244135.47000000006</v>
      </c>
      <c r="O228" s="1530">
        <f>'All Statements'!AG134</f>
        <v>100443.73000000004</v>
      </c>
      <c r="P228" s="1530">
        <f>'All Statements'!AH134</f>
        <v>377738.49</v>
      </c>
      <c r="Q228" s="1530">
        <f>'All Statements'!AI134</f>
        <v>258580.80999999997</v>
      </c>
      <c r="R228" s="1530">
        <f>'All Statements'!AJ134</f>
        <v>461895.02</v>
      </c>
      <c r="S228" s="1530">
        <f>'All Statements'!AK134</f>
        <v>-120280.97000000004</v>
      </c>
      <c r="T228" s="1530">
        <f>'All Statements'!AL134</f>
        <v>158335.81000000008</v>
      </c>
      <c r="U228" s="1530">
        <f>'All Statements'!AM134</f>
        <v>257360.04000000007</v>
      </c>
      <c r="V228" s="1530">
        <f>'All Statements'!AN134</f>
        <v>283959.75999999983</v>
      </c>
      <c r="W228" s="1530">
        <f>'All Statements'!AO134</f>
        <v>313999.60000000038</v>
      </c>
    </row>
    <row r="230" spans="1:23" x14ac:dyDescent="0.3">
      <c r="A230" t="s">
        <v>1350</v>
      </c>
      <c r="N230" s="27">
        <f>ROUND(N228-N226,0)</f>
        <v>0</v>
      </c>
      <c r="O230" s="27">
        <f t="shared" ref="O230:V230" si="17">ROUND(O228-O226,0)</f>
        <v>0</v>
      </c>
      <c r="P230" s="27">
        <f t="shared" si="17"/>
        <v>0</v>
      </c>
      <c r="Q230" s="27">
        <f t="shared" si="17"/>
        <v>0</v>
      </c>
      <c r="R230" s="27">
        <f t="shared" si="17"/>
        <v>0</v>
      </c>
      <c r="S230" s="27">
        <f t="shared" si="17"/>
        <v>0</v>
      </c>
      <c r="T230" s="27">
        <f t="shared" si="17"/>
        <v>0</v>
      </c>
      <c r="U230" s="27">
        <f t="shared" si="17"/>
        <v>0</v>
      </c>
      <c r="V230" s="27">
        <f t="shared" si="17"/>
        <v>0</v>
      </c>
      <c r="W230" s="27">
        <f t="shared" ref="W230" si="18">ROUND(W228-W226,0)</f>
        <v>0</v>
      </c>
    </row>
    <row r="231" spans="1:23" x14ac:dyDescent="0.3">
      <c r="P231" s="27"/>
    </row>
  </sheetData>
  <phoneticPr fontId="68" type="noConversion"/>
  <conditionalFormatting sqref="Y4:Y216">
    <cfRule type="cellIs" dxfId="290" priority="2" operator="equal">
      <formula>TRUE</formula>
    </cfRule>
  </conditionalFormatting>
  <conditionalFormatting sqref="N230:W230">
    <cfRule type="cellIs" dxfId="289" priority="1" operator="equal">
      <formula>0</formula>
    </cfRule>
  </conditionalFormatting>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D6EC3-E9C0-4B70-A837-8C8297BAA77B}">
  <sheetPr codeName="Sheet13">
    <tabColor theme="9" tint="0.79998168889431442"/>
  </sheetPr>
  <dimension ref="A1:Y129"/>
  <sheetViews>
    <sheetView zoomScale="80" zoomScaleNormal="80" workbookViewId="0">
      <pane xSplit="1" ySplit="1" topLeftCell="S39" activePane="bottomRight" state="frozen"/>
      <selection activeCell="AS17" sqref="AS17"/>
      <selection pane="topRight" activeCell="AS17" sqref="AS17"/>
      <selection pane="bottomLeft" activeCell="AS17" sqref="AS17"/>
      <selection pane="bottomRight" activeCell="W126" sqref="W126"/>
    </sheetView>
  </sheetViews>
  <sheetFormatPr defaultRowHeight="14.4" x14ac:dyDescent="0.3"/>
  <cols>
    <col min="1" max="1" width="50.6640625" customWidth="1"/>
    <col min="2" max="2" width="17.6640625" bestFit="1" customWidth="1"/>
    <col min="3" max="8" width="16.6640625" bestFit="1" customWidth="1"/>
    <col min="9" max="11" width="17.33203125" customWidth="1"/>
    <col min="12" max="12" width="17" bestFit="1" customWidth="1"/>
    <col min="13" max="13" width="17.33203125" customWidth="1"/>
    <col min="14" max="14" width="23.6640625" customWidth="1"/>
    <col min="15" max="15" width="19.88671875" style="1047" bestFit="1" customWidth="1"/>
    <col min="16" max="24" width="19.88671875" bestFit="1" customWidth="1"/>
    <col min="25" max="25" width="12.6640625" bestFit="1" customWidth="1"/>
  </cols>
  <sheetData>
    <row r="1" spans="1:24" ht="15" thickBot="1" x14ac:dyDescent="0.35">
      <c r="A1" s="977"/>
      <c r="B1" s="977" t="s">
        <v>741</v>
      </c>
      <c r="C1" s="977" t="s">
        <v>634</v>
      </c>
      <c r="D1" s="977" t="s">
        <v>635</v>
      </c>
      <c r="E1" s="977" t="s">
        <v>636</v>
      </c>
      <c r="F1" s="977" t="s">
        <v>637</v>
      </c>
      <c r="G1" s="977" t="s">
        <v>638</v>
      </c>
      <c r="H1" s="977" t="s">
        <v>639</v>
      </c>
      <c r="I1" s="977" t="s">
        <v>864</v>
      </c>
      <c r="J1" s="977" t="s">
        <v>868</v>
      </c>
      <c r="K1" s="977" t="s">
        <v>870</v>
      </c>
      <c r="L1" s="977" t="s">
        <v>872</v>
      </c>
      <c r="M1" s="977" t="s">
        <v>875</v>
      </c>
      <c r="N1" s="977" t="s">
        <v>877</v>
      </c>
      <c r="O1" s="1222" t="s">
        <v>891</v>
      </c>
      <c r="P1" s="1272" t="s">
        <v>912</v>
      </c>
      <c r="Q1" s="1272" t="s">
        <v>928</v>
      </c>
      <c r="R1" s="1272" t="s">
        <v>930</v>
      </c>
      <c r="S1" s="1272" t="s">
        <v>1286</v>
      </c>
      <c r="T1" s="1272" t="s">
        <v>1287</v>
      </c>
      <c r="U1" s="1272" t="s">
        <v>1288</v>
      </c>
      <c r="V1" s="1272" t="s">
        <v>1289</v>
      </c>
      <c r="W1" s="1272" t="s">
        <v>1290</v>
      </c>
      <c r="X1" s="1272" t="s">
        <v>1358</v>
      </c>
    </row>
    <row r="2" spans="1:24" x14ac:dyDescent="0.3">
      <c r="P2" s="10"/>
      <c r="Q2" s="10"/>
      <c r="R2" s="10"/>
      <c r="S2" s="10"/>
      <c r="T2" s="10"/>
      <c r="U2" s="10"/>
      <c r="V2" s="10"/>
      <c r="W2" s="10"/>
      <c r="X2" s="10"/>
    </row>
    <row r="3" spans="1:24" ht="17.399999999999999" thickBot="1" x14ac:dyDescent="0.35">
      <c r="A3" s="978" t="s">
        <v>640</v>
      </c>
      <c r="B3" s="978">
        <v>10038511.26</v>
      </c>
      <c r="C3" s="978">
        <v>9547685.5500000007</v>
      </c>
      <c r="D3" s="978">
        <v>10698576.01</v>
      </c>
      <c r="E3" s="978">
        <v>10920219.08</v>
      </c>
      <c r="F3" s="978">
        <v>9734769.7599999998</v>
      </c>
      <c r="G3" s="978">
        <v>10120258.26</v>
      </c>
      <c r="H3" s="978">
        <v>9343061.5899999999</v>
      </c>
      <c r="I3" s="978">
        <v>6643271.1899999985</v>
      </c>
      <c r="J3" s="978">
        <v>7836066.3000000007</v>
      </c>
      <c r="K3" s="978">
        <v>7656335.4699999997</v>
      </c>
      <c r="L3" s="978">
        <v>8282339.3899999997</v>
      </c>
      <c r="M3" s="978">
        <v>8665501.2100000009</v>
      </c>
      <c r="N3" s="978">
        <v>10609989.619999999</v>
      </c>
      <c r="O3" s="1223">
        <v>9391375.0800000001</v>
      </c>
      <c r="P3" s="1227">
        <v>10169561.210000001</v>
      </c>
      <c r="Q3" s="1227">
        <v>11545748.25</v>
      </c>
      <c r="R3" s="1227">
        <v>11154653.130000001</v>
      </c>
      <c r="S3" s="1227">
        <v>10977645.300000001</v>
      </c>
      <c r="T3" s="1227">
        <v>10324191.26</v>
      </c>
      <c r="U3" s="1227">
        <v>10257958.039999999</v>
      </c>
      <c r="V3" s="1227">
        <v>10321851.24</v>
      </c>
      <c r="W3" s="1227">
        <v>10520713.949999999</v>
      </c>
      <c r="X3" s="1227">
        <v>10898495.970000001</v>
      </c>
    </row>
    <row r="4" spans="1:24" ht="17.399999999999999" thickTop="1" x14ac:dyDescent="0.3">
      <c r="A4" s="979" t="s">
        <v>232</v>
      </c>
      <c r="B4" s="979">
        <v>8840988.1099999994</v>
      </c>
      <c r="C4" s="979">
        <v>8369034.5899999999</v>
      </c>
      <c r="D4" s="979">
        <v>9538797.2400000002</v>
      </c>
      <c r="E4" s="979">
        <v>9779312.5</v>
      </c>
      <c r="F4" s="979">
        <v>8596046.5299999993</v>
      </c>
      <c r="G4" s="979">
        <v>8914564.6699999999</v>
      </c>
      <c r="H4" s="979">
        <v>8058619.8199999994</v>
      </c>
      <c r="I4" s="979">
        <v>5359744.1999999993</v>
      </c>
      <c r="J4" s="979">
        <v>6528722.1400000006</v>
      </c>
      <c r="K4" s="979">
        <v>6217260.0099999998</v>
      </c>
      <c r="L4" s="979">
        <v>6864016.7599999998</v>
      </c>
      <c r="M4" s="979">
        <v>7136799.21</v>
      </c>
      <c r="N4" s="979">
        <v>8019898.0099999998</v>
      </c>
      <c r="O4" s="1226">
        <v>6770952.8100000015</v>
      </c>
      <c r="P4" s="1229">
        <v>7500445.79</v>
      </c>
      <c r="Q4" s="1229">
        <v>8758518.2300000004</v>
      </c>
      <c r="R4" s="1229">
        <v>8447747.3100000005</v>
      </c>
      <c r="S4" s="1229">
        <v>8176687.4699999997</v>
      </c>
      <c r="T4" s="1229">
        <v>7381886.4000000004</v>
      </c>
      <c r="U4" s="1229">
        <v>7286904.9100000001</v>
      </c>
      <c r="V4" s="1229">
        <v>7395426.1600000001</v>
      </c>
      <c r="W4" s="1229">
        <v>7541726.6600000001</v>
      </c>
      <c r="X4" s="1419">
        <v>7891815.3200000003</v>
      </c>
    </row>
    <row r="5" spans="1:24" ht="15.6" x14ac:dyDescent="0.3">
      <c r="A5" s="980" t="s">
        <v>641</v>
      </c>
      <c r="B5" s="981">
        <v>3792926.9</v>
      </c>
      <c r="C5" s="1127">
        <v>3186303.88</v>
      </c>
      <c r="D5" s="1127">
        <v>2631522.27</v>
      </c>
      <c r="E5" s="1127">
        <v>2095716.67</v>
      </c>
      <c r="F5" s="1127">
        <v>1808365.97</v>
      </c>
      <c r="G5" s="1127">
        <v>1854687.82</v>
      </c>
      <c r="H5" s="1127">
        <v>1175740.21</v>
      </c>
      <c r="I5" s="981">
        <v>1208759.69</v>
      </c>
      <c r="J5" s="981">
        <v>1531736.32</v>
      </c>
      <c r="K5" s="981">
        <v>1478221.69</v>
      </c>
      <c r="L5" s="981">
        <v>1604005.94</v>
      </c>
      <c r="M5" s="981">
        <v>1717237.5</v>
      </c>
      <c r="N5" s="981">
        <v>1822042.98</v>
      </c>
      <c r="O5" s="1423">
        <v>1237982.8999999999</v>
      </c>
      <c r="P5" s="1228">
        <v>1596875.89</v>
      </c>
      <c r="Q5" s="1228">
        <v>1952995.46</v>
      </c>
      <c r="R5" s="1421">
        <v>1425299.87</v>
      </c>
      <c r="S5" s="1228">
        <v>1657597.63</v>
      </c>
      <c r="T5" s="1228">
        <v>888939.67</v>
      </c>
      <c r="U5" s="1228">
        <v>1180231.03</v>
      </c>
      <c r="V5" s="1228">
        <v>871172.78</v>
      </c>
      <c r="W5" s="1228">
        <v>604115.91</v>
      </c>
      <c r="X5" s="1228">
        <v>593351</v>
      </c>
    </row>
    <row r="6" spans="1:24" ht="15.6" x14ac:dyDescent="0.3">
      <c r="A6" s="1417" t="s">
        <v>1268</v>
      </c>
      <c r="B6" s="981">
        <v>200000</v>
      </c>
      <c r="C6" s="1127">
        <v>202174</v>
      </c>
      <c r="D6" s="1127">
        <v>236776</v>
      </c>
      <c r="E6" s="1127">
        <v>200000</v>
      </c>
      <c r="F6" s="1127">
        <v>206452</v>
      </c>
      <c r="G6" s="1127">
        <v>209202.5</v>
      </c>
      <c r="H6" s="1127">
        <v>209202.5</v>
      </c>
      <c r="I6" s="981">
        <v>246596.08</v>
      </c>
      <c r="J6" s="981">
        <v>247917.08</v>
      </c>
      <c r="K6" s="981">
        <v>223286</v>
      </c>
      <c r="L6" s="981">
        <v>220602</v>
      </c>
      <c r="M6" s="981">
        <v>201341</v>
      </c>
      <c r="N6" s="981">
        <v>200000</v>
      </c>
      <c r="O6" s="1423">
        <v>200000</v>
      </c>
      <c r="P6" s="1228">
        <v>200479</v>
      </c>
      <c r="Q6" s="1228">
        <v>200000</v>
      </c>
      <c r="R6" s="1421">
        <v>200000</v>
      </c>
      <c r="S6" s="1228">
        <v>187045.3</v>
      </c>
      <c r="T6" s="1228">
        <v>187045.3</v>
      </c>
      <c r="U6" s="1228">
        <v>191310.3</v>
      </c>
      <c r="V6" s="1228">
        <v>209038.3</v>
      </c>
      <c r="W6" s="1228">
        <v>187844.3</v>
      </c>
      <c r="X6" s="985">
        <v>183622.98</v>
      </c>
    </row>
    <row r="7" spans="1:24" ht="15.6" x14ac:dyDescent="0.3">
      <c r="A7" s="1417" t="s">
        <v>1269</v>
      </c>
      <c r="B7" s="981">
        <v>781801.09</v>
      </c>
      <c r="C7" s="1127">
        <v>20</v>
      </c>
      <c r="D7" s="1127">
        <v>402705.84</v>
      </c>
      <c r="E7" s="1127">
        <v>409327.19</v>
      </c>
      <c r="F7" s="1127">
        <v>1529941.01</v>
      </c>
      <c r="G7" s="1127">
        <v>225366.08</v>
      </c>
      <c r="H7" s="1127">
        <v>288271.44</v>
      </c>
      <c r="I7" s="981">
        <v>1000</v>
      </c>
      <c r="J7" s="981">
        <v>15286.5</v>
      </c>
      <c r="K7" s="981">
        <v>1000</v>
      </c>
      <c r="L7" s="981">
        <v>1000</v>
      </c>
      <c r="M7" s="981">
        <v>1000</v>
      </c>
      <c r="N7" s="981">
        <v>100</v>
      </c>
      <c r="O7" s="1423">
        <v>28661.42</v>
      </c>
      <c r="P7" s="1228">
        <v>100</v>
      </c>
      <c r="Q7" s="1228">
        <v>100</v>
      </c>
      <c r="R7" s="1421">
        <v>100</v>
      </c>
      <c r="S7" s="1228">
        <v>50303.94</v>
      </c>
      <c r="T7" s="1228">
        <v>100</v>
      </c>
      <c r="U7" s="1228">
        <v>114965.52</v>
      </c>
      <c r="V7" s="1228">
        <v>19160.919999999998</v>
      </c>
      <c r="W7" s="1228">
        <v>100</v>
      </c>
      <c r="X7" s="985">
        <v>45295.25</v>
      </c>
    </row>
    <row r="8" spans="1:24" ht="15.6" x14ac:dyDescent="0.3">
      <c r="A8" s="1417" t="s">
        <v>1270</v>
      </c>
      <c r="B8" s="981">
        <v>2810519.34</v>
      </c>
      <c r="C8" s="1127">
        <v>2983503.41</v>
      </c>
      <c r="D8" s="1127">
        <v>1991433.96</v>
      </c>
      <c r="E8" s="1127">
        <v>1485783.01</v>
      </c>
      <c r="F8" s="1127">
        <v>71366.490000000005</v>
      </c>
      <c r="G8" s="1127">
        <v>1419512.77</v>
      </c>
      <c r="H8" s="1127">
        <v>677659.8</v>
      </c>
      <c r="I8" s="981">
        <v>960557.14</v>
      </c>
      <c r="J8" s="981">
        <v>1267926.27</v>
      </c>
      <c r="K8" s="981">
        <v>1253329.22</v>
      </c>
      <c r="L8" s="981">
        <v>1381797.47</v>
      </c>
      <c r="M8" s="981">
        <v>1514290.03</v>
      </c>
      <c r="N8" s="981">
        <v>1621336.51</v>
      </c>
      <c r="O8" s="1423">
        <v>1008715.01</v>
      </c>
      <c r="P8" s="1228">
        <v>1395690.42</v>
      </c>
      <c r="Q8" s="1228">
        <v>1752288.99</v>
      </c>
      <c r="R8" s="1421">
        <v>1224593.3999999999</v>
      </c>
      <c r="S8" s="1228">
        <v>1419641.92</v>
      </c>
      <c r="T8" s="1228">
        <v>701187.9</v>
      </c>
      <c r="U8" s="1228">
        <v>868955.21</v>
      </c>
      <c r="V8" s="1228">
        <v>637973.56000000006</v>
      </c>
      <c r="W8" s="1228">
        <v>411171.61</v>
      </c>
      <c r="X8" s="985">
        <v>359432.77</v>
      </c>
    </row>
    <row r="9" spans="1:24" ht="15.6" x14ac:dyDescent="0.3">
      <c r="A9" s="1417" t="s">
        <v>1271</v>
      </c>
      <c r="B9" s="981">
        <v>606.47</v>
      </c>
      <c r="C9" s="1127">
        <v>606.47</v>
      </c>
      <c r="D9" s="1127">
        <v>606.47</v>
      </c>
      <c r="E9" s="1127">
        <v>606.47</v>
      </c>
      <c r="F9" s="1127">
        <v>606.47</v>
      </c>
      <c r="G9" s="1127">
        <v>606.47</v>
      </c>
      <c r="H9" s="1127">
        <v>606.47</v>
      </c>
      <c r="I9" s="981">
        <v>606.47</v>
      </c>
      <c r="J9" s="981">
        <v>606.47</v>
      </c>
      <c r="K9" s="981">
        <v>606.47</v>
      </c>
      <c r="L9" s="981">
        <v>606.47</v>
      </c>
      <c r="M9" s="981">
        <v>606.47</v>
      </c>
      <c r="N9" s="981">
        <v>606.47</v>
      </c>
      <c r="O9" s="1423">
        <v>606.47</v>
      </c>
      <c r="P9" s="1228">
        <v>606.47</v>
      </c>
      <c r="Q9" s="1228">
        <v>606.47</v>
      </c>
      <c r="R9" s="1421">
        <v>606.47</v>
      </c>
      <c r="S9" s="1228">
        <v>606.47</v>
      </c>
      <c r="T9" s="1228">
        <v>606.47</v>
      </c>
      <c r="U9" s="1228">
        <v>5000</v>
      </c>
      <c r="V9" s="1228">
        <v>5000</v>
      </c>
      <c r="W9" s="1228">
        <v>5000</v>
      </c>
      <c r="X9" s="985">
        <v>5000</v>
      </c>
    </row>
    <row r="10" spans="1:24" ht="15.6" x14ac:dyDescent="0.3">
      <c r="A10" s="1417" t="s">
        <v>1272</v>
      </c>
      <c r="B10" s="981">
        <v>3792926.9</v>
      </c>
      <c r="C10" s="1127">
        <v>3186303.88</v>
      </c>
      <c r="D10" s="1127">
        <v>2631522.27</v>
      </c>
      <c r="E10" s="1127">
        <v>2095716.67</v>
      </c>
      <c r="F10" s="1127">
        <v>1808365.97</v>
      </c>
      <c r="G10" s="1127">
        <v>1854687.82</v>
      </c>
      <c r="H10" s="1127">
        <v>1175740.21</v>
      </c>
      <c r="I10" s="981">
        <v>1208759.69</v>
      </c>
      <c r="J10" s="981">
        <v>1531736.32</v>
      </c>
      <c r="K10" s="981">
        <v>1478221.69</v>
      </c>
      <c r="L10" s="981">
        <v>1604005.94</v>
      </c>
      <c r="M10" s="981">
        <v>1717237.5</v>
      </c>
      <c r="N10" s="981">
        <v>1822042.98</v>
      </c>
      <c r="O10" s="1423">
        <v>1237982.8999999999</v>
      </c>
      <c r="P10" s="1228">
        <v>1596875.89</v>
      </c>
      <c r="Q10" s="1228">
        <v>1952995.46</v>
      </c>
      <c r="R10" s="1421">
        <v>1425299.87</v>
      </c>
      <c r="S10" s="1228">
        <v>1657597.63</v>
      </c>
      <c r="T10" s="1228">
        <v>888939.67</v>
      </c>
      <c r="U10" s="1228">
        <v>1180231.03</v>
      </c>
      <c r="V10" s="1228">
        <v>871172.78</v>
      </c>
      <c r="W10" s="1228">
        <v>604115.91</v>
      </c>
      <c r="X10" s="985">
        <v>593351</v>
      </c>
    </row>
    <row r="11" spans="1:24" ht="15.6" x14ac:dyDescent="0.3">
      <c r="A11" s="980" t="s">
        <v>642</v>
      </c>
      <c r="B11" s="981">
        <v>1146210.0900000001</v>
      </c>
      <c r="C11" s="981">
        <v>643544</v>
      </c>
      <c r="D11" s="981">
        <v>1216725.8500000001</v>
      </c>
      <c r="E11" s="981">
        <v>1476056.61</v>
      </c>
      <c r="F11" s="981">
        <v>1106906.3400000001</v>
      </c>
      <c r="G11" s="981">
        <v>1138520.06</v>
      </c>
      <c r="H11" s="981">
        <v>1206688.22</v>
      </c>
      <c r="I11" s="981">
        <v>1162319.57</v>
      </c>
      <c r="J11" s="981">
        <v>1594406.5</v>
      </c>
      <c r="K11" s="981">
        <v>1687920.15</v>
      </c>
      <c r="L11" s="981">
        <v>1551292.52</v>
      </c>
      <c r="M11" s="981">
        <v>1346543.52</v>
      </c>
      <c r="N11" s="981">
        <v>1469833.16</v>
      </c>
      <c r="O11" s="1423">
        <v>1141367.58</v>
      </c>
      <c r="P11" s="1228">
        <v>919816.87</v>
      </c>
      <c r="Q11" s="1228">
        <v>1026767.05</v>
      </c>
      <c r="R11" s="1421">
        <v>903183.35999999999</v>
      </c>
      <c r="S11" s="1228">
        <v>960893.17</v>
      </c>
      <c r="T11" s="1228">
        <v>1185083.73</v>
      </c>
      <c r="U11" s="1228">
        <v>683915.19</v>
      </c>
      <c r="V11" s="1228">
        <v>891234.62</v>
      </c>
      <c r="W11" s="1228">
        <v>953765.73</v>
      </c>
      <c r="X11" s="1228">
        <v>1199303.8400000001</v>
      </c>
    </row>
    <row r="12" spans="1:24" ht="15.6" x14ac:dyDescent="0.3">
      <c r="A12" s="972" t="s">
        <v>643</v>
      </c>
      <c r="B12" s="982">
        <v>1146210.0900000001</v>
      </c>
      <c r="C12" s="982">
        <v>643544</v>
      </c>
      <c r="D12" s="982">
        <v>1216725.8500000001</v>
      </c>
      <c r="E12" s="982">
        <v>1476056.61</v>
      </c>
      <c r="F12" s="982">
        <v>1106906.3400000001</v>
      </c>
      <c r="G12" s="982">
        <v>1138520.06</v>
      </c>
      <c r="H12" s="982">
        <v>1206688.22</v>
      </c>
      <c r="I12" s="982">
        <v>1162319.57</v>
      </c>
      <c r="J12" s="982">
        <v>1600656.5</v>
      </c>
      <c r="K12" s="982">
        <v>1694170.15</v>
      </c>
      <c r="L12" s="982">
        <v>1557542.52</v>
      </c>
      <c r="M12" s="982">
        <v>1352793.52</v>
      </c>
      <c r="N12" s="982">
        <v>1476083.16</v>
      </c>
      <c r="O12" s="1424">
        <v>1147617.58</v>
      </c>
      <c r="P12" s="985">
        <v>926066.87</v>
      </c>
      <c r="Q12" s="985">
        <v>1033017.05</v>
      </c>
      <c r="R12" s="1422">
        <v>929063.06</v>
      </c>
      <c r="S12" s="985">
        <v>967784.77</v>
      </c>
      <c r="T12" s="985">
        <v>1191975.33</v>
      </c>
      <c r="U12" s="985">
        <v>690806.79</v>
      </c>
      <c r="V12" s="985">
        <v>898126.22</v>
      </c>
      <c r="W12" s="985">
        <v>960657.33</v>
      </c>
      <c r="X12" s="985">
        <v>1209303.8400000001</v>
      </c>
    </row>
    <row r="13" spans="1:24" ht="15.6" x14ac:dyDescent="0.3">
      <c r="A13" s="1398" t="s">
        <v>1273</v>
      </c>
      <c r="B13" s="982">
        <v>0</v>
      </c>
      <c r="C13" s="982">
        <v>0</v>
      </c>
      <c r="D13" s="982">
        <v>0</v>
      </c>
      <c r="E13" s="982">
        <v>0</v>
      </c>
      <c r="F13" s="982">
        <v>0</v>
      </c>
      <c r="G13" s="982">
        <v>0</v>
      </c>
      <c r="H13" s="982">
        <v>0</v>
      </c>
      <c r="I13" s="982">
        <v>0</v>
      </c>
      <c r="J13" s="982">
        <v>-6250</v>
      </c>
      <c r="K13" s="982">
        <v>-6250</v>
      </c>
      <c r="L13" s="982">
        <v>-6250</v>
      </c>
      <c r="M13" s="982">
        <v>-6250</v>
      </c>
      <c r="N13" s="982">
        <v>-6250</v>
      </c>
      <c r="O13" s="1424">
        <v>-6250</v>
      </c>
      <c r="P13" s="985">
        <v>-6250</v>
      </c>
      <c r="Q13" s="985">
        <v>-6250</v>
      </c>
      <c r="R13" s="1422">
        <v>-25879.7</v>
      </c>
      <c r="S13" s="985">
        <v>-6891.6</v>
      </c>
      <c r="T13" s="985">
        <v>-6891.6</v>
      </c>
      <c r="U13" s="985">
        <v>-6891.6</v>
      </c>
      <c r="V13" s="985">
        <v>-6891.6</v>
      </c>
      <c r="W13" s="985">
        <v>-6891.6</v>
      </c>
      <c r="X13" s="985">
        <v>-10000</v>
      </c>
    </row>
    <row r="14" spans="1:24" ht="15.6" x14ac:dyDescent="0.3">
      <c r="A14" s="980" t="s">
        <v>644</v>
      </c>
      <c r="B14" s="982">
        <v>1146210.0900000001</v>
      </c>
      <c r="C14" s="982">
        <v>643544</v>
      </c>
      <c r="D14" s="982">
        <v>1216725.8500000001</v>
      </c>
      <c r="E14" s="982">
        <v>1476056.61</v>
      </c>
      <c r="F14" s="982">
        <v>1106906.3400000001</v>
      </c>
      <c r="G14" s="982">
        <v>1138520.06</v>
      </c>
      <c r="H14" s="982">
        <v>1206688.22</v>
      </c>
      <c r="I14" s="982">
        <v>1162319.57</v>
      </c>
      <c r="J14" s="982">
        <v>1594406.5</v>
      </c>
      <c r="K14" s="982">
        <v>1687920.15</v>
      </c>
      <c r="L14" s="982">
        <v>1551292.52</v>
      </c>
      <c r="M14" s="982">
        <v>1346543.52</v>
      </c>
      <c r="N14" s="982">
        <v>1469833.16</v>
      </c>
      <c r="O14" s="1424">
        <v>1141367.58</v>
      </c>
      <c r="P14" s="985">
        <v>919816.87</v>
      </c>
      <c r="Q14" s="985">
        <v>1026767.05</v>
      </c>
      <c r="R14" s="1422">
        <v>903183.35999999999</v>
      </c>
      <c r="S14" s="985">
        <v>960893.17</v>
      </c>
      <c r="T14" s="985">
        <v>1185083.73</v>
      </c>
      <c r="U14" s="985">
        <v>683915.19</v>
      </c>
      <c r="V14" s="985">
        <v>891234.62</v>
      </c>
      <c r="W14" s="985">
        <v>953765.73</v>
      </c>
      <c r="X14" s="985">
        <v>1199303.8400000001</v>
      </c>
    </row>
    <row r="15" spans="1:24" ht="15.6" x14ac:dyDescent="0.3">
      <c r="A15" s="980" t="s">
        <v>232</v>
      </c>
      <c r="B15" s="981">
        <v>3901851.12</v>
      </c>
      <c r="C15" s="981">
        <v>4539186.71</v>
      </c>
      <c r="D15" s="981">
        <v>5690549.1200000001</v>
      </c>
      <c r="E15" s="981">
        <v>6207539.2199999997</v>
      </c>
      <c r="F15" s="981">
        <v>5680774.2199999997</v>
      </c>
      <c r="G15" s="981">
        <v>5921356.79</v>
      </c>
      <c r="H15" s="981">
        <v>5676191.3899999997</v>
      </c>
      <c r="I15" s="981">
        <v>2988664.94</v>
      </c>
      <c r="J15" s="981">
        <v>3402579.32</v>
      </c>
      <c r="K15" s="981">
        <v>3051118.17</v>
      </c>
      <c r="L15" s="981">
        <v>3708718.3</v>
      </c>
      <c r="M15" s="981">
        <v>4073018.19</v>
      </c>
      <c r="N15" s="981">
        <v>4728021.87</v>
      </c>
      <c r="O15" s="1224">
        <v>4391602.33</v>
      </c>
      <c r="P15" s="1228">
        <v>4983753.03</v>
      </c>
      <c r="Q15" s="1228">
        <v>5778755.7199999997</v>
      </c>
      <c r="R15" s="1228">
        <v>6119264.0800000001</v>
      </c>
      <c r="S15" s="1228">
        <v>5558196.6699999999</v>
      </c>
      <c r="T15" s="1228">
        <v>5307863</v>
      </c>
      <c r="U15" s="1228">
        <v>5422758.6900000004</v>
      </c>
      <c r="V15" s="1228">
        <v>5633018.7599999998</v>
      </c>
      <c r="W15" s="1228">
        <v>5983845.0199999996</v>
      </c>
      <c r="X15" s="1228">
        <v>6099160.4800000004</v>
      </c>
    </row>
    <row r="16" spans="1:24" ht="15.6" x14ac:dyDescent="0.3">
      <c r="A16" s="972" t="s">
        <v>645</v>
      </c>
      <c r="B16" s="982">
        <v>198.63</v>
      </c>
      <c r="C16" s="982">
        <v>198.63</v>
      </c>
      <c r="D16" s="982">
        <v>198.63</v>
      </c>
      <c r="E16" s="982">
        <v>198.63</v>
      </c>
      <c r="F16" s="982">
        <v>188.63</v>
      </c>
      <c r="G16" s="982">
        <v>187.72</v>
      </c>
      <c r="H16" s="982">
        <v>187.72</v>
      </c>
      <c r="I16" s="982">
        <v>187.72</v>
      </c>
      <c r="J16" s="982">
        <v>187.72</v>
      </c>
      <c r="K16" s="982">
        <v>28.22</v>
      </c>
      <c r="L16" s="982">
        <v>28.22</v>
      </c>
      <c r="M16" s="982">
        <v>28.22</v>
      </c>
      <c r="N16" s="982">
        <v>28.22</v>
      </c>
      <c r="O16" s="1424">
        <v>28.22</v>
      </c>
      <c r="P16" s="985">
        <v>3088.22</v>
      </c>
      <c r="Q16" s="985">
        <v>3088.22</v>
      </c>
      <c r="R16" s="1422">
        <v>3088.22</v>
      </c>
      <c r="S16" s="985">
        <v>-1651.18</v>
      </c>
      <c r="T16" s="985">
        <v>-1651.18</v>
      </c>
      <c r="U16" s="985">
        <v>-1651.18</v>
      </c>
      <c r="V16" s="985">
        <v>-1651.18</v>
      </c>
      <c r="W16" s="985">
        <v>-13456.49</v>
      </c>
      <c r="X16" s="985">
        <v>-18388.580000000002</v>
      </c>
    </row>
    <row r="17" spans="1:24" ht="15.6" x14ac:dyDescent="0.3">
      <c r="A17" s="1398" t="s">
        <v>1274</v>
      </c>
      <c r="B17" s="982">
        <v>0</v>
      </c>
      <c r="C17" s="982">
        <v>0</v>
      </c>
      <c r="D17" s="982">
        <v>0</v>
      </c>
      <c r="E17" s="982">
        <v>0</v>
      </c>
      <c r="F17" s="982">
        <v>0</v>
      </c>
      <c r="G17" s="982">
        <v>0</v>
      </c>
      <c r="H17" s="982">
        <v>0</v>
      </c>
      <c r="I17" s="982">
        <v>0</v>
      </c>
      <c r="J17" s="982">
        <v>0</v>
      </c>
      <c r="K17" s="982">
        <v>0</v>
      </c>
      <c r="L17" s="982">
        <v>0</v>
      </c>
      <c r="M17" s="982">
        <v>0</v>
      </c>
      <c r="N17" s="982">
        <v>0</v>
      </c>
      <c r="O17" s="1424">
        <v>0</v>
      </c>
      <c r="P17" s="985">
        <v>0</v>
      </c>
      <c r="Q17" s="985">
        <v>-169.44</v>
      </c>
      <c r="R17" s="1422">
        <v>-3893.47</v>
      </c>
      <c r="S17" s="985">
        <v>-3893.47</v>
      </c>
      <c r="T17" s="985">
        <v>-3893.47</v>
      </c>
      <c r="U17" s="985">
        <v>-3893.47</v>
      </c>
      <c r="V17" s="985">
        <v>-3893.47</v>
      </c>
      <c r="W17" s="985">
        <v>-3893.47</v>
      </c>
      <c r="X17" s="985">
        <v>-3893.47</v>
      </c>
    </row>
    <row r="18" spans="1:24" ht="15.6" x14ac:dyDescent="0.3">
      <c r="A18" s="972" t="s">
        <v>862</v>
      </c>
      <c r="B18" s="982">
        <v>45.94</v>
      </c>
      <c r="C18" s="982">
        <v>45.94</v>
      </c>
      <c r="D18" s="982">
        <v>19208.7</v>
      </c>
      <c r="E18" s="982">
        <v>19208.7</v>
      </c>
      <c r="F18" s="982">
        <v>19208.7</v>
      </c>
      <c r="G18" s="982">
        <v>36493.58</v>
      </c>
      <c r="H18" s="982">
        <v>36493.58</v>
      </c>
      <c r="I18" s="982">
        <v>0</v>
      </c>
      <c r="J18" s="982">
        <v>0</v>
      </c>
      <c r="K18" s="982">
        <v>36493.58</v>
      </c>
      <c r="L18" s="982">
        <v>36493.58</v>
      </c>
      <c r="M18" s="982">
        <v>36493.58</v>
      </c>
      <c r="N18" s="982">
        <v>36493.58</v>
      </c>
      <c r="O18" s="1424">
        <v>36493.58</v>
      </c>
      <c r="P18" s="985">
        <v>36493.58</v>
      </c>
      <c r="Q18" s="985">
        <v>36493.58</v>
      </c>
      <c r="R18" s="1422">
        <v>36493.58</v>
      </c>
      <c r="S18" s="985">
        <v>36493.58</v>
      </c>
      <c r="T18" s="985">
        <v>36493.58</v>
      </c>
      <c r="U18" s="985">
        <v>36493.58</v>
      </c>
      <c r="V18" s="985">
        <v>36493.58</v>
      </c>
      <c r="W18" s="985">
        <v>36493.58</v>
      </c>
      <c r="X18" s="985">
        <v>36493.58</v>
      </c>
    </row>
    <row r="19" spans="1:24" ht="15.6" x14ac:dyDescent="0.3">
      <c r="A19" s="972" t="s">
        <v>646</v>
      </c>
      <c r="B19" s="982">
        <v>6389.02</v>
      </c>
      <c r="C19" s="982">
        <v>101460.86</v>
      </c>
      <c r="D19" s="982">
        <v>82298.100000000006</v>
      </c>
      <c r="E19" s="982">
        <v>90917.42</v>
      </c>
      <c r="F19" s="982">
        <v>91035.24</v>
      </c>
      <c r="G19" s="982">
        <v>128174.19</v>
      </c>
      <c r="H19" s="982">
        <v>73627.77</v>
      </c>
      <c r="I19" s="982">
        <v>77242.78</v>
      </c>
      <c r="J19" s="982">
        <v>71842.399999999994</v>
      </c>
      <c r="K19" s="982">
        <v>71373.070000000007</v>
      </c>
      <c r="L19" s="982">
        <v>71373.070000000007</v>
      </c>
      <c r="M19" s="982">
        <v>72212.84</v>
      </c>
      <c r="N19" s="982">
        <v>80412.710000000006</v>
      </c>
      <c r="O19" s="1424">
        <v>77156.740000000005</v>
      </c>
      <c r="P19" s="985">
        <v>74726.850000000006</v>
      </c>
      <c r="Q19" s="985">
        <v>113144.79</v>
      </c>
      <c r="R19" s="1422">
        <v>122118.1</v>
      </c>
      <c r="S19" s="985">
        <v>123678.83</v>
      </c>
      <c r="T19" s="985">
        <v>118558.95</v>
      </c>
      <c r="U19" s="985">
        <v>109763.64</v>
      </c>
      <c r="V19" s="985">
        <v>111269.75</v>
      </c>
      <c r="W19" s="985">
        <v>31444.82</v>
      </c>
      <c r="X19" s="985">
        <v>31815.439999999999</v>
      </c>
    </row>
    <row r="20" spans="1:24" ht="15.6" x14ac:dyDescent="0.3">
      <c r="A20" s="972" t="s">
        <v>863</v>
      </c>
      <c r="B20" s="982">
        <v>-533401.80000000005</v>
      </c>
      <c r="C20" s="982">
        <v>-519351.51</v>
      </c>
      <c r="D20" s="982">
        <v>-615125.22</v>
      </c>
      <c r="E20" s="982">
        <v>-525002.67000000004</v>
      </c>
      <c r="F20" s="982">
        <v>-451791.03</v>
      </c>
      <c r="G20" s="982">
        <v>-564230.29</v>
      </c>
      <c r="H20" s="982">
        <v>-475998.19</v>
      </c>
      <c r="I20" s="982">
        <v>-541666.43999999994</v>
      </c>
      <c r="J20" s="982">
        <v>-569368.24</v>
      </c>
      <c r="K20" s="982">
        <v>-616469.05000000005</v>
      </c>
      <c r="L20" s="982">
        <v>-451507.33</v>
      </c>
      <c r="M20" s="982">
        <v>-429662.02</v>
      </c>
      <c r="N20" s="982">
        <v>-426657.24</v>
      </c>
      <c r="O20" s="1424">
        <v>-509481.6</v>
      </c>
      <c r="P20" s="985">
        <v>-550365.37</v>
      </c>
      <c r="Q20" s="985">
        <v>-648664.62</v>
      </c>
      <c r="R20" s="1422">
        <v>-647508.19999999995</v>
      </c>
      <c r="S20" s="985">
        <v>-582864.97</v>
      </c>
      <c r="T20" s="985">
        <v>-572450.4</v>
      </c>
      <c r="U20" s="985">
        <v>-679352.07</v>
      </c>
      <c r="V20" s="985">
        <v>-614338.44999999995</v>
      </c>
      <c r="W20" s="985">
        <v>-649610.85</v>
      </c>
      <c r="X20" s="985">
        <v>-670408.74</v>
      </c>
    </row>
    <row r="21" spans="1:24" ht="15.6" x14ac:dyDescent="0.3">
      <c r="A21" s="972" t="s">
        <v>647</v>
      </c>
      <c r="B21" s="982">
        <v>0</v>
      </c>
      <c r="C21" s="982">
        <v>0</v>
      </c>
      <c r="D21" s="982">
        <v>0</v>
      </c>
      <c r="E21" s="982">
        <v>0</v>
      </c>
      <c r="F21" s="982">
        <v>0</v>
      </c>
      <c r="G21" s="982">
        <v>0</v>
      </c>
      <c r="H21" s="982">
        <v>0</v>
      </c>
      <c r="I21" s="982">
        <v>0</v>
      </c>
      <c r="J21" s="982">
        <v>0</v>
      </c>
      <c r="K21" s="982">
        <v>0</v>
      </c>
      <c r="L21" s="982">
        <v>0</v>
      </c>
      <c r="M21" s="982">
        <v>0</v>
      </c>
      <c r="N21" s="982">
        <v>0</v>
      </c>
      <c r="O21" s="1424">
        <v>0</v>
      </c>
      <c r="P21" s="985">
        <v>0</v>
      </c>
      <c r="Q21" s="985">
        <v>0</v>
      </c>
      <c r="R21" s="1422">
        <v>0</v>
      </c>
      <c r="S21" s="985">
        <v>0</v>
      </c>
      <c r="T21" s="985">
        <v>0</v>
      </c>
      <c r="U21" s="985">
        <v>0</v>
      </c>
      <c r="V21" s="985">
        <v>0</v>
      </c>
      <c r="W21" s="985">
        <v>0</v>
      </c>
      <c r="X21" s="985">
        <v>0</v>
      </c>
    </row>
    <row r="22" spans="1:24" ht="15.6" x14ac:dyDescent="0.3">
      <c r="A22" s="972" t="s">
        <v>648</v>
      </c>
      <c r="B22" s="982">
        <v>-6439.63</v>
      </c>
      <c r="C22" s="982">
        <v>-6439.63</v>
      </c>
      <c r="D22" s="982">
        <v>-6439.63</v>
      </c>
      <c r="E22" s="982">
        <v>5435.68</v>
      </c>
      <c r="F22" s="982">
        <v>5435.68</v>
      </c>
      <c r="G22" s="982">
        <v>5435.68</v>
      </c>
      <c r="H22" s="982">
        <v>-4564.32</v>
      </c>
      <c r="I22" s="982">
        <v>-4564.32</v>
      </c>
      <c r="J22" s="982">
        <v>-4564.32</v>
      </c>
      <c r="K22" s="982">
        <v>-4564.32</v>
      </c>
      <c r="L22" s="982">
        <v>-4564.32</v>
      </c>
      <c r="M22" s="982">
        <v>-4564.32</v>
      </c>
      <c r="N22" s="982">
        <v>5435.68</v>
      </c>
      <c r="O22" s="1424">
        <v>5435.68</v>
      </c>
      <c r="P22" s="985">
        <v>5435.68</v>
      </c>
      <c r="Q22" s="985">
        <v>5435.68</v>
      </c>
      <c r="R22" s="1422">
        <v>5435.68</v>
      </c>
      <c r="S22" s="985">
        <v>5435.68</v>
      </c>
      <c r="T22" s="985">
        <v>5435.68</v>
      </c>
      <c r="U22" s="985">
        <v>5497.95</v>
      </c>
      <c r="V22" s="985">
        <v>5497.95</v>
      </c>
      <c r="W22" s="985">
        <v>0</v>
      </c>
      <c r="X22" s="985">
        <v>0</v>
      </c>
    </row>
    <row r="23" spans="1:24" ht="15.6" x14ac:dyDescent="0.3">
      <c r="A23" s="1398" t="s">
        <v>1275</v>
      </c>
      <c r="B23" s="982">
        <v>0</v>
      </c>
      <c r="C23" s="982">
        <v>0</v>
      </c>
      <c r="D23" s="982">
        <v>0</v>
      </c>
      <c r="E23" s="982">
        <v>0</v>
      </c>
      <c r="F23" s="982">
        <v>0</v>
      </c>
      <c r="G23" s="982">
        <v>0</v>
      </c>
      <c r="H23" s="982">
        <v>0</v>
      </c>
      <c r="I23" s="982">
        <v>0</v>
      </c>
      <c r="J23" s="982">
        <v>0</v>
      </c>
      <c r="K23" s="982">
        <v>0</v>
      </c>
      <c r="L23" s="982">
        <v>0</v>
      </c>
      <c r="M23" s="982">
        <v>0</v>
      </c>
      <c r="N23" s="982">
        <v>0</v>
      </c>
      <c r="O23" s="1424">
        <v>0</v>
      </c>
      <c r="P23" s="985">
        <v>0</v>
      </c>
      <c r="Q23" s="985">
        <v>0</v>
      </c>
      <c r="R23" s="1422">
        <v>-635.25</v>
      </c>
      <c r="S23" s="985">
        <v>0</v>
      </c>
      <c r="T23" s="985">
        <v>0</v>
      </c>
      <c r="U23" s="985">
        <v>0</v>
      </c>
      <c r="V23" s="985">
        <v>0</v>
      </c>
      <c r="W23" s="985">
        <v>0</v>
      </c>
      <c r="X23" s="985">
        <v>0</v>
      </c>
    </row>
    <row r="24" spans="1:24" ht="15.6" x14ac:dyDescent="0.3">
      <c r="A24" s="972" t="s">
        <v>649</v>
      </c>
      <c r="B24" s="982">
        <v>2542608.7200000002</v>
      </c>
      <c r="C24" s="982">
        <v>2491026.7799999998</v>
      </c>
      <c r="D24" s="982">
        <v>3429016.79</v>
      </c>
      <c r="E24" s="982">
        <v>3746442.65</v>
      </c>
      <c r="F24" s="982">
        <v>3147522.95</v>
      </c>
      <c r="G24" s="982">
        <v>3265246.41</v>
      </c>
      <c r="H24" s="985">
        <v>2851789</v>
      </c>
      <c r="I24" s="982">
        <v>551735.05000000005</v>
      </c>
      <c r="J24" s="982">
        <v>969294.05</v>
      </c>
      <c r="K24" s="982">
        <v>1022263.27</v>
      </c>
      <c r="L24" s="982">
        <v>1263363.17</v>
      </c>
      <c r="M24" s="982">
        <v>1508310.04</v>
      </c>
      <c r="N24" s="982">
        <v>1974716.49</v>
      </c>
      <c r="O24" s="1424">
        <v>1754562.49</v>
      </c>
      <c r="P24" s="985">
        <v>2284872.4900000002</v>
      </c>
      <c r="Q24" s="985">
        <v>3438529.49</v>
      </c>
      <c r="R24" s="1422">
        <v>3672158.85</v>
      </c>
      <c r="S24" s="985">
        <v>2959626.58</v>
      </c>
      <c r="T24" s="985">
        <v>2674193.25</v>
      </c>
      <c r="U24" s="985">
        <v>2738632.85</v>
      </c>
      <c r="V24" s="985">
        <v>2669001.9</v>
      </c>
      <c r="W24" s="985">
        <v>2823514.05</v>
      </c>
      <c r="X24" s="985">
        <v>3172653.82</v>
      </c>
    </row>
    <row r="25" spans="1:24" ht="15.6" x14ac:dyDescent="0.3">
      <c r="A25" s="972" t="s">
        <v>650</v>
      </c>
      <c r="B25" s="982">
        <v>2871.73</v>
      </c>
      <c r="C25" s="982">
        <v>2342.34</v>
      </c>
      <c r="D25" s="982">
        <v>1377.59</v>
      </c>
      <c r="E25" s="982">
        <v>4151.55</v>
      </c>
      <c r="F25" s="982">
        <v>4290.97</v>
      </c>
      <c r="G25" s="982">
        <v>3573.63</v>
      </c>
      <c r="H25" s="982">
        <v>2624.41</v>
      </c>
      <c r="I25" s="982">
        <v>-2100.5300000000002</v>
      </c>
      <c r="J25" s="982">
        <v>-1673.74</v>
      </c>
      <c r="K25" s="982">
        <v>-2888.18</v>
      </c>
      <c r="L25" s="982">
        <v>-2768.14</v>
      </c>
      <c r="M25" s="982">
        <v>-3248.77</v>
      </c>
      <c r="N25" s="982">
        <v>-5165.7700000000004</v>
      </c>
      <c r="O25" s="1424">
        <v>-5356.32</v>
      </c>
      <c r="P25" s="985">
        <v>-5469.28</v>
      </c>
      <c r="Q25" s="985">
        <v>-5363.46</v>
      </c>
      <c r="R25" s="1422">
        <v>-5391.91</v>
      </c>
      <c r="S25" s="985">
        <v>-5941.98</v>
      </c>
      <c r="T25" s="985">
        <v>-9340.34</v>
      </c>
      <c r="U25" s="985">
        <v>-11850.35</v>
      </c>
      <c r="V25" s="985">
        <v>-11711.65</v>
      </c>
      <c r="W25" s="985">
        <v>-11368.1</v>
      </c>
      <c r="X25" s="985">
        <v>-11479.47</v>
      </c>
    </row>
    <row r="26" spans="1:24" ht="15.6" x14ac:dyDescent="0.3">
      <c r="A26" s="972" t="s">
        <v>651</v>
      </c>
      <c r="B26" s="982">
        <v>-53.18</v>
      </c>
      <c r="C26" s="982">
        <v>-29.25</v>
      </c>
      <c r="D26" s="982">
        <v>-21.93</v>
      </c>
      <c r="E26" s="982">
        <v>39.24</v>
      </c>
      <c r="F26" s="982">
        <v>85.65</v>
      </c>
      <c r="G26" s="982">
        <v>137.79</v>
      </c>
      <c r="H26" s="982">
        <v>158.16999999999999</v>
      </c>
      <c r="I26" s="982">
        <v>85.13</v>
      </c>
      <c r="J26" s="982">
        <v>135.35</v>
      </c>
      <c r="K26" s="982">
        <v>94.25</v>
      </c>
      <c r="L26" s="982">
        <v>91.04</v>
      </c>
      <c r="M26" s="982">
        <v>114.35</v>
      </c>
      <c r="N26" s="982">
        <v>75.930000000000007</v>
      </c>
      <c r="O26" s="1424">
        <v>48.69</v>
      </c>
      <c r="P26" s="985">
        <v>106.29</v>
      </c>
      <c r="Q26" s="985">
        <v>155.72999999999999</v>
      </c>
      <c r="R26" s="1422">
        <v>116.74</v>
      </c>
      <c r="S26" s="985">
        <v>140.97999999999999</v>
      </c>
      <c r="T26" s="985">
        <v>30.12</v>
      </c>
      <c r="U26" s="985">
        <v>21.6</v>
      </c>
      <c r="V26" s="985">
        <v>97.28</v>
      </c>
      <c r="W26" s="985">
        <v>103.18</v>
      </c>
      <c r="X26" s="985">
        <v>121.78</v>
      </c>
    </row>
    <row r="27" spans="1:24" ht="15.6" x14ac:dyDescent="0.3">
      <c r="A27" s="972" t="s">
        <v>652</v>
      </c>
      <c r="B27" s="982">
        <v>-1345.34</v>
      </c>
      <c r="C27" s="982">
        <v>-1314.04</v>
      </c>
      <c r="D27" s="982">
        <v>-1291.6099999999999</v>
      </c>
      <c r="E27" s="982">
        <v>-984.34</v>
      </c>
      <c r="F27" s="982">
        <v>-918.9</v>
      </c>
      <c r="G27" s="982">
        <v>-619.14</v>
      </c>
      <c r="H27" s="982">
        <v>-390.65</v>
      </c>
      <c r="I27" s="982">
        <v>-801.75</v>
      </c>
      <c r="J27" s="982">
        <v>-2206.39</v>
      </c>
      <c r="K27" s="982">
        <v>-2470.4899999999998</v>
      </c>
      <c r="L27" s="982">
        <v>-2492.75</v>
      </c>
      <c r="M27" s="982">
        <v>-2403.5100000000002</v>
      </c>
      <c r="N27" s="982">
        <v>-2748.49</v>
      </c>
      <c r="O27" s="1424">
        <v>-2889.72</v>
      </c>
      <c r="P27" s="985">
        <v>-2660.36</v>
      </c>
      <c r="Q27" s="985">
        <v>-2400.27</v>
      </c>
      <c r="R27" s="1422">
        <v>-2733.75</v>
      </c>
      <c r="S27" s="985">
        <v>-2744.17</v>
      </c>
      <c r="T27" s="985">
        <v>-3396.62</v>
      </c>
      <c r="U27" s="985">
        <v>-3627.47</v>
      </c>
      <c r="V27" s="985">
        <v>-3346.36</v>
      </c>
      <c r="W27" s="985">
        <v>-3409.43</v>
      </c>
      <c r="X27" s="985">
        <v>-3424.97</v>
      </c>
    </row>
    <row r="28" spans="1:24" ht="15.6" x14ac:dyDescent="0.3">
      <c r="A28" s="972" t="s">
        <v>653</v>
      </c>
      <c r="B28" s="982">
        <v>-209.47</v>
      </c>
      <c r="C28" s="982">
        <v>-64.73</v>
      </c>
      <c r="D28" s="982">
        <v>79.89</v>
      </c>
      <c r="E28" s="982">
        <v>146.19999999999999</v>
      </c>
      <c r="F28" s="982">
        <v>55.79</v>
      </c>
      <c r="G28" s="982">
        <v>-115.67</v>
      </c>
      <c r="H28" s="982">
        <v>188.22</v>
      </c>
      <c r="I28" s="982">
        <v>-29.8</v>
      </c>
      <c r="J28" s="982">
        <v>415.85</v>
      </c>
      <c r="K28" s="982">
        <v>545.52</v>
      </c>
      <c r="L28" s="982">
        <v>615.04</v>
      </c>
      <c r="M28" s="982">
        <v>684.56</v>
      </c>
      <c r="N28" s="982">
        <v>707.51</v>
      </c>
      <c r="O28" s="1424">
        <v>536.05999999999995</v>
      </c>
      <c r="P28" s="985">
        <v>605.58000000000004</v>
      </c>
      <c r="Q28" s="985">
        <v>434.13</v>
      </c>
      <c r="R28" s="1422">
        <v>262.68</v>
      </c>
      <c r="S28" s="985">
        <v>91.23</v>
      </c>
      <c r="T28" s="985">
        <v>-33.65</v>
      </c>
      <c r="U28" s="985">
        <v>-33.65</v>
      </c>
      <c r="V28" s="985">
        <v>-33.65</v>
      </c>
      <c r="W28" s="985">
        <v>0</v>
      </c>
      <c r="X28" s="985">
        <v>0</v>
      </c>
    </row>
    <row r="29" spans="1:24" ht="15.6" x14ac:dyDescent="0.3">
      <c r="A29" s="972" t="s">
        <v>654</v>
      </c>
      <c r="B29" s="982">
        <v>-429.32</v>
      </c>
      <c r="C29" s="982">
        <v>-450.12</v>
      </c>
      <c r="D29" s="982">
        <v>-369.34</v>
      </c>
      <c r="E29" s="982">
        <v>-304.29000000000002</v>
      </c>
      <c r="F29" s="982">
        <v>-218.98</v>
      </c>
      <c r="G29" s="982">
        <v>-235.17</v>
      </c>
      <c r="H29" s="982">
        <v>-276.5</v>
      </c>
      <c r="I29" s="982">
        <v>-374.88</v>
      </c>
      <c r="J29" s="982">
        <v>-244.4</v>
      </c>
      <c r="K29" s="982">
        <v>-266.72000000000003</v>
      </c>
      <c r="L29" s="982">
        <v>-147.13</v>
      </c>
      <c r="M29" s="982">
        <v>-21.65</v>
      </c>
      <c r="N29" s="982">
        <v>-183.07</v>
      </c>
      <c r="O29" s="1424">
        <v>-195.12</v>
      </c>
      <c r="P29" s="985">
        <v>291.11</v>
      </c>
      <c r="Q29" s="985">
        <v>342.01</v>
      </c>
      <c r="R29" s="1422">
        <v>381.57</v>
      </c>
      <c r="S29" s="985">
        <v>404.93</v>
      </c>
      <c r="T29" s="985">
        <v>274.55</v>
      </c>
      <c r="U29" s="985">
        <v>277.51</v>
      </c>
      <c r="V29" s="985">
        <v>308.85000000000002</v>
      </c>
      <c r="W29" s="985">
        <v>333.99</v>
      </c>
      <c r="X29" s="985">
        <v>359.13</v>
      </c>
    </row>
    <row r="30" spans="1:24" ht="15.6" x14ac:dyDescent="0.3">
      <c r="A30" s="972" t="s">
        <v>655</v>
      </c>
      <c r="B30" s="982">
        <v>-391.52</v>
      </c>
      <c r="C30" s="982">
        <v>-226.79</v>
      </c>
      <c r="D30" s="982">
        <v>-570.85</v>
      </c>
      <c r="E30" s="982">
        <v>-385.31</v>
      </c>
      <c r="F30" s="982">
        <v>373.65</v>
      </c>
      <c r="G30" s="982">
        <v>-451.78</v>
      </c>
      <c r="H30" s="982">
        <v>-249.71</v>
      </c>
      <c r="I30" s="982">
        <v>13.64</v>
      </c>
      <c r="J30" s="982">
        <v>-297.74</v>
      </c>
      <c r="K30" s="982">
        <v>102.99</v>
      </c>
      <c r="L30" s="982">
        <v>243.23</v>
      </c>
      <c r="M30" s="982">
        <v>402.57</v>
      </c>
      <c r="N30" s="982">
        <v>-958.24</v>
      </c>
      <c r="O30" s="1424">
        <v>-552.17999999999995</v>
      </c>
      <c r="P30" s="985">
        <v>-942.66</v>
      </c>
      <c r="Q30" s="985">
        <v>-1068.56</v>
      </c>
      <c r="R30" s="1422">
        <v>-1140.81</v>
      </c>
      <c r="S30" s="985">
        <v>-1203.22</v>
      </c>
      <c r="T30" s="985">
        <v>-1342.76</v>
      </c>
      <c r="U30" s="985">
        <v>-1363.45</v>
      </c>
      <c r="V30" s="985">
        <v>-1391</v>
      </c>
      <c r="W30" s="985">
        <v>-1418.55</v>
      </c>
      <c r="X30" s="985">
        <v>-1446.1</v>
      </c>
    </row>
    <row r="31" spans="1:24" ht="15.6" x14ac:dyDescent="0.3">
      <c r="A31" s="972" t="s">
        <v>656</v>
      </c>
      <c r="B31" s="982">
        <v>319042.7</v>
      </c>
      <c r="C31" s="982">
        <v>466807.09</v>
      </c>
      <c r="D31" s="982">
        <v>524125.85</v>
      </c>
      <c r="E31" s="982">
        <v>398675.88</v>
      </c>
      <c r="F31" s="982">
        <v>405600.94</v>
      </c>
      <c r="G31" s="982">
        <v>423911.56</v>
      </c>
      <c r="H31" s="982">
        <v>453155.06</v>
      </c>
      <c r="I31" s="982">
        <v>322400.07</v>
      </c>
      <c r="J31" s="982">
        <v>301769.75</v>
      </c>
      <c r="K31" s="982">
        <v>280018.36</v>
      </c>
      <c r="L31" s="982">
        <v>394990.53</v>
      </c>
      <c r="M31" s="982">
        <v>338626.19</v>
      </c>
      <c r="N31" s="982">
        <v>556022.4</v>
      </c>
      <c r="O31" s="1225">
        <v>544410.85</v>
      </c>
      <c r="P31" s="985">
        <v>530417.06000000006</v>
      </c>
      <c r="Q31" s="985">
        <v>448156.96</v>
      </c>
      <c r="R31" s="1422">
        <v>378074.15</v>
      </c>
      <c r="S31" s="985">
        <v>383724.05</v>
      </c>
      <c r="T31" s="985">
        <v>442640.06</v>
      </c>
      <c r="U31" s="985">
        <v>502619.68</v>
      </c>
      <c r="V31" s="985">
        <v>490998.53</v>
      </c>
      <c r="W31" s="985">
        <v>419308.27</v>
      </c>
      <c r="X31" s="985">
        <v>305373.06</v>
      </c>
    </row>
    <row r="32" spans="1:24" ht="15.6" x14ac:dyDescent="0.3">
      <c r="A32" s="1398" t="s">
        <v>1276</v>
      </c>
      <c r="B32" s="982">
        <v>5088.87</v>
      </c>
      <c r="C32" s="982">
        <v>5088.87</v>
      </c>
      <c r="D32" s="982">
        <v>5088.87</v>
      </c>
      <c r="E32" s="982">
        <v>5088.87</v>
      </c>
      <c r="F32" s="982">
        <v>5088.87</v>
      </c>
      <c r="G32" s="982">
        <v>5088.87</v>
      </c>
      <c r="H32" s="982">
        <v>5088.87</v>
      </c>
      <c r="I32" s="982">
        <v>5088.87</v>
      </c>
      <c r="J32" s="982">
        <v>7206.37</v>
      </c>
      <c r="K32" s="982">
        <v>7206.37</v>
      </c>
      <c r="L32" s="982">
        <v>7206.37</v>
      </c>
      <c r="M32" s="982">
        <v>7206.37</v>
      </c>
      <c r="N32" s="982">
        <v>5088.87</v>
      </c>
      <c r="O32" s="1424">
        <v>5088.87</v>
      </c>
      <c r="P32" s="985">
        <v>5088.87</v>
      </c>
      <c r="Q32" s="985">
        <v>5088.87</v>
      </c>
      <c r="R32" s="1422">
        <v>5088.87</v>
      </c>
      <c r="S32" s="985">
        <v>5088.87</v>
      </c>
      <c r="T32" s="985">
        <v>102253.56</v>
      </c>
      <c r="U32" s="985">
        <v>239637.35</v>
      </c>
      <c r="V32" s="985">
        <v>7235.19</v>
      </c>
      <c r="W32" s="985">
        <v>143564.31</v>
      </c>
      <c r="X32" s="985">
        <v>278587.31</v>
      </c>
    </row>
    <row r="33" spans="1:25" ht="15.6" x14ac:dyDescent="0.3">
      <c r="A33" s="972" t="s">
        <v>657</v>
      </c>
      <c r="B33" s="982">
        <v>0</v>
      </c>
      <c r="C33" s="982">
        <v>9.99</v>
      </c>
      <c r="D33" s="982">
        <v>19.98</v>
      </c>
      <c r="E33" s="982">
        <v>29.97</v>
      </c>
      <c r="F33" s="982">
        <v>1537.92</v>
      </c>
      <c r="G33" s="982">
        <v>1650.24</v>
      </c>
      <c r="H33" s="982">
        <v>1776.5</v>
      </c>
      <c r="I33" s="982">
        <v>1704.53</v>
      </c>
      <c r="J33" s="982">
        <v>1764.53</v>
      </c>
      <c r="K33" s="982">
        <v>1744.53</v>
      </c>
      <c r="L33" s="982">
        <v>1784.53</v>
      </c>
      <c r="M33" s="982">
        <v>1844.53</v>
      </c>
      <c r="N33" s="982">
        <v>687.08</v>
      </c>
      <c r="O33" s="1424">
        <v>737.08</v>
      </c>
      <c r="P33" s="985">
        <v>737.08</v>
      </c>
      <c r="Q33" s="985">
        <v>803.81</v>
      </c>
      <c r="R33" s="1422">
        <v>553.08000000000004</v>
      </c>
      <c r="S33" s="985">
        <v>553.08000000000004</v>
      </c>
      <c r="T33" s="985">
        <v>25012.79</v>
      </c>
      <c r="U33" s="985">
        <v>707.35</v>
      </c>
      <c r="V33" s="985">
        <v>417.35</v>
      </c>
      <c r="W33" s="985">
        <v>417.35</v>
      </c>
      <c r="X33" s="985">
        <v>417.35</v>
      </c>
    </row>
    <row r="34" spans="1:25" ht="15.6" x14ac:dyDescent="0.3">
      <c r="A34" s="972" t="s">
        <v>658</v>
      </c>
      <c r="B34" s="982">
        <v>963686.78</v>
      </c>
      <c r="C34" s="982">
        <v>1360655.01</v>
      </c>
      <c r="D34" s="982">
        <v>1553694.29</v>
      </c>
      <c r="E34" s="982">
        <v>1475196.85</v>
      </c>
      <c r="F34" s="982">
        <v>1426765.43</v>
      </c>
      <c r="G34" s="982">
        <v>1612574.15</v>
      </c>
      <c r="H34" s="985">
        <v>2527431.39</v>
      </c>
      <c r="I34" s="982">
        <v>2680281.08</v>
      </c>
      <c r="J34" s="982">
        <v>2721305.49</v>
      </c>
      <c r="K34" s="982">
        <v>2498895.29</v>
      </c>
      <c r="L34" s="982">
        <v>2749534.34</v>
      </c>
      <c r="M34" s="982">
        <v>3006847.27</v>
      </c>
      <c r="N34" s="982">
        <v>3024023.76</v>
      </c>
      <c r="O34" s="1225">
        <v>2978884.03</v>
      </c>
      <c r="P34" s="985">
        <v>3346588.52</v>
      </c>
      <c r="Q34" s="985">
        <v>3761501.46</v>
      </c>
      <c r="R34" s="1422">
        <v>4045399.98</v>
      </c>
      <c r="S34" s="985">
        <v>3634199.67</v>
      </c>
      <c r="T34" s="985">
        <v>3485868.26</v>
      </c>
      <c r="U34" s="985">
        <v>3364569.24</v>
      </c>
      <c r="V34" s="985">
        <v>3587608.18</v>
      </c>
      <c r="W34" s="985">
        <v>3616755.14</v>
      </c>
      <c r="X34" s="985">
        <v>3299307</v>
      </c>
    </row>
    <row r="35" spans="1:25" ht="15.6" x14ac:dyDescent="0.3">
      <c r="A35" s="972" t="s">
        <v>659</v>
      </c>
      <c r="B35" s="982">
        <v>0</v>
      </c>
      <c r="C35" s="982">
        <v>0</v>
      </c>
      <c r="D35" s="982">
        <v>-1242.69</v>
      </c>
      <c r="E35" s="982">
        <v>-2023.98</v>
      </c>
      <c r="F35" s="982">
        <v>0</v>
      </c>
      <c r="G35" s="982">
        <v>0</v>
      </c>
      <c r="H35" s="982">
        <v>0</v>
      </c>
      <c r="I35" s="982">
        <v>0</v>
      </c>
      <c r="J35" s="982">
        <v>0</v>
      </c>
      <c r="K35" s="982">
        <v>0</v>
      </c>
      <c r="L35" s="982">
        <v>0</v>
      </c>
      <c r="M35" s="982">
        <v>-527.62</v>
      </c>
      <c r="N35" s="982">
        <v>0</v>
      </c>
      <c r="O35" s="1225">
        <v>0</v>
      </c>
      <c r="P35" s="985">
        <v>0</v>
      </c>
      <c r="Q35" s="985">
        <v>0</v>
      </c>
      <c r="R35" s="985">
        <v>0</v>
      </c>
      <c r="S35" s="985">
        <v>0</v>
      </c>
      <c r="T35" s="985">
        <v>0</v>
      </c>
      <c r="U35" s="985">
        <v>0</v>
      </c>
      <c r="V35" s="985">
        <v>0</v>
      </c>
      <c r="W35" s="985">
        <v>0</v>
      </c>
      <c r="X35" s="985">
        <v>196125</v>
      </c>
    </row>
    <row r="36" spans="1:25" ht="15.6" x14ac:dyDescent="0.3">
      <c r="A36" s="972" t="s">
        <v>660</v>
      </c>
      <c r="B36" s="982">
        <v>0</v>
      </c>
      <c r="C36" s="982">
        <v>0</v>
      </c>
      <c r="D36" s="982">
        <v>0</v>
      </c>
      <c r="E36" s="982">
        <v>0</v>
      </c>
      <c r="F36" s="982">
        <v>0</v>
      </c>
      <c r="G36" s="982">
        <v>0</v>
      </c>
      <c r="H36" s="985">
        <v>-938026</v>
      </c>
      <c r="I36" s="982">
        <v>-281344</v>
      </c>
      <c r="J36" s="982">
        <v>-337463</v>
      </c>
      <c r="K36" s="982">
        <v>-432861.7</v>
      </c>
      <c r="L36" s="982">
        <v>-549604.32999999996</v>
      </c>
      <c r="M36" s="982">
        <v>-642124.24</v>
      </c>
      <c r="N36" s="982">
        <v>-819160.24</v>
      </c>
      <c r="O36" s="1424">
        <v>-662525.24</v>
      </c>
      <c r="P36" s="985">
        <v>-935747.24</v>
      </c>
      <c r="Q36" s="985">
        <v>-1601154.24</v>
      </c>
      <c r="R36" s="1422">
        <v>-1711674.24</v>
      </c>
      <c r="S36" s="985">
        <v>-1338060.74</v>
      </c>
      <c r="T36" s="985">
        <v>-1270178.74</v>
      </c>
      <c r="U36" s="985">
        <v>-1287063.74</v>
      </c>
      <c r="V36" s="985">
        <v>-1152687.24</v>
      </c>
      <c r="W36" s="985">
        <v>-1007808</v>
      </c>
      <c r="X36" s="985">
        <v>-1041209.88</v>
      </c>
    </row>
    <row r="37" spans="1:25" ht="15.6" x14ac:dyDescent="0.3">
      <c r="A37" s="972" t="s">
        <v>661</v>
      </c>
      <c r="B37" s="982">
        <v>0</v>
      </c>
      <c r="C37" s="982">
        <v>0</v>
      </c>
      <c r="D37" s="982">
        <v>0</v>
      </c>
      <c r="E37" s="982">
        <v>0</v>
      </c>
      <c r="F37" s="982">
        <v>0</v>
      </c>
      <c r="G37" s="982">
        <v>0</v>
      </c>
      <c r="H37" s="982">
        <v>0</v>
      </c>
      <c r="I37" s="982">
        <v>0</v>
      </c>
      <c r="J37" s="982">
        <v>0</v>
      </c>
      <c r="K37" s="982">
        <v>0</v>
      </c>
      <c r="L37" s="982">
        <v>0</v>
      </c>
      <c r="M37" s="982">
        <v>0</v>
      </c>
      <c r="N37" s="982">
        <v>0</v>
      </c>
      <c r="O37" s="1225">
        <v>0</v>
      </c>
      <c r="P37" s="985">
        <v>0</v>
      </c>
      <c r="Q37" s="985">
        <v>0</v>
      </c>
      <c r="R37" s="1422">
        <v>0</v>
      </c>
      <c r="S37" s="985">
        <v>0</v>
      </c>
      <c r="T37" s="985">
        <v>0</v>
      </c>
      <c r="U37" s="985">
        <v>0</v>
      </c>
      <c r="V37" s="985">
        <v>0</v>
      </c>
      <c r="W37" s="985">
        <v>0</v>
      </c>
      <c r="X37" s="985">
        <v>0</v>
      </c>
    </row>
    <row r="38" spans="1:25" ht="15.6" x14ac:dyDescent="0.3">
      <c r="A38" s="972" t="s">
        <v>662</v>
      </c>
      <c r="B38" s="982">
        <v>608755.99</v>
      </c>
      <c r="C38" s="982">
        <v>643994.27</v>
      </c>
      <c r="D38" s="982">
        <v>705068.7</v>
      </c>
      <c r="E38" s="982">
        <v>995275.17</v>
      </c>
      <c r="F38" s="982">
        <v>1031079.71</v>
      </c>
      <c r="G38" s="982">
        <v>1009102.02</v>
      </c>
      <c r="H38" s="982">
        <v>1147743.07</v>
      </c>
      <c r="I38" s="982">
        <v>185374.79</v>
      </c>
      <c r="J38" s="982">
        <v>248689.91</v>
      </c>
      <c r="K38" s="982">
        <v>196087.45</v>
      </c>
      <c r="L38" s="982">
        <v>197515.13</v>
      </c>
      <c r="M38" s="982">
        <v>186235.75</v>
      </c>
      <c r="N38" s="982">
        <v>280364.42</v>
      </c>
      <c r="O38" s="1225">
        <v>150381.95000000001</v>
      </c>
      <c r="P38" s="985">
        <v>171648.34</v>
      </c>
      <c r="Q38" s="985">
        <v>205563.31</v>
      </c>
      <c r="R38" s="1422">
        <v>204231.94</v>
      </c>
      <c r="S38" s="985">
        <v>330947.65000000002</v>
      </c>
      <c r="T38" s="985">
        <v>265218.09000000003</v>
      </c>
      <c r="U38" s="985">
        <v>394535.05</v>
      </c>
      <c r="V38" s="985">
        <v>494304.93</v>
      </c>
      <c r="W38" s="985">
        <v>574108.94999999995</v>
      </c>
      <c r="X38" s="985">
        <v>465184.95</v>
      </c>
    </row>
    <row r="39" spans="1:25" ht="15.6" x14ac:dyDescent="0.3">
      <c r="A39" s="1398" t="s">
        <v>1277</v>
      </c>
      <c r="B39" s="982">
        <v>0</v>
      </c>
      <c r="C39" s="982">
        <v>0</v>
      </c>
      <c r="D39" s="982">
        <v>0</v>
      </c>
      <c r="E39" s="982">
        <v>0</v>
      </c>
      <c r="F39" s="982">
        <v>0</v>
      </c>
      <c r="G39" s="982">
        <v>0</v>
      </c>
      <c r="H39" s="982">
        <v>0</v>
      </c>
      <c r="I39" s="982">
        <v>0</v>
      </c>
      <c r="J39" s="982">
        <v>0</v>
      </c>
      <c r="K39" s="982">
        <v>0</v>
      </c>
      <c r="L39" s="982">
        <v>0</v>
      </c>
      <c r="M39" s="982">
        <v>0</v>
      </c>
      <c r="N39" s="982">
        <v>-15368.73</v>
      </c>
      <c r="O39" s="1225">
        <v>-15368.73</v>
      </c>
      <c r="P39" s="985">
        <v>-15368.73</v>
      </c>
      <c r="Q39" s="985">
        <v>-15368.73</v>
      </c>
      <c r="R39" s="985">
        <v>-15368.73</v>
      </c>
      <c r="S39" s="985">
        <v>-15368.73</v>
      </c>
      <c r="T39" s="985">
        <v>-15368.73</v>
      </c>
      <c r="U39" s="985">
        <v>-15368.73</v>
      </c>
      <c r="V39" s="985">
        <v>-15368.73</v>
      </c>
      <c r="W39" s="985">
        <v>-15368.73</v>
      </c>
      <c r="X39" s="985">
        <v>-15368.73</v>
      </c>
    </row>
    <row r="40" spans="1:25" ht="15.6" x14ac:dyDescent="0.3">
      <c r="A40" s="1398" t="s">
        <v>1278</v>
      </c>
      <c r="B40" s="982">
        <v>0</v>
      </c>
      <c r="C40" s="982">
        <v>0</v>
      </c>
      <c r="D40" s="982">
        <v>0</v>
      </c>
      <c r="E40" s="982">
        <v>0</v>
      </c>
      <c r="F40" s="982">
        <v>0</v>
      </c>
      <c r="G40" s="982">
        <v>0</v>
      </c>
      <c r="H40" s="982">
        <v>0</v>
      </c>
      <c r="I40" s="982">
        <v>0</v>
      </c>
      <c r="J40" s="982">
        <v>0</v>
      </c>
      <c r="K40" s="982">
        <v>0</v>
      </c>
      <c r="L40" s="982">
        <v>0</v>
      </c>
      <c r="M40" s="982">
        <v>0</v>
      </c>
      <c r="N40" s="982">
        <v>34207</v>
      </c>
      <c r="O40" s="1225">
        <v>34207</v>
      </c>
      <c r="P40" s="985">
        <v>34207</v>
      </c>
      <c r="Q40" s="985">
        <v>34207</v>
      </c>
      <c r="R40" s="985">
        <v>34207</v>
      </c>
      <c r="S40" s="985">
        <v>34207</v>
      </c>
      <c r="T40" s="985">
        <v>34207</v>
      </c>
      <c r="U40" s="985">
        <v>34207</v>
      </c>
      <c r="V40" s="985">
        <v>34207</v>
      </c>
      <c r="W40" s="985">
        <v>44135</v>
      </c>
      <c r="X40" s="985">
        <v>78342</v>
      </c>
    </row>
    <row r="41" spans="1:25" ht="15.6" x14ac:dyDescent="0.3">
      <c r="A41" s="972" t="s">
        <v>663</v>
      </c>
      <c r="B41" s="982">
        <v>-4567</v>
      </c>
      <c r="C41" s="982">
        <v>-4567</v>
      </c>
      <c r="D41" s="982">
        <v>-4567</v>
      </c>
      <c r="E41" s="982">
        <v>-4567</v>
      </c>
      <c r="F41" s="982">
        <v>-4567</v>
      </c>
      <c r="G41" s="982">
        <v>-4567</v>
      </c>
      <c r="H41" s="982">
        <v>-4567</v>
      </c>
      <c r="I41" s="982">
        <v>-4567</v>
      </c>
      <c r="J41" s="982">
        <v>-4567</v>
      </c>
      <c r="K41" s="982">
        <v>-4567</v>
      </c>
      <c r="L41" s="982">
        <v>-4567</v>
      </c>
      <c r="M41" s="982">
        <v>-4567</v>
      </c>
      <c r="N41" s="982">
        <v>0</v>
      </c>
      <c r="O41" s="1225">
        <v>0</v>
      </c>
      <c r="P41" s="985">
        <v>0</v>
      </c>
      <c r="Q41" s="985">
        <v>0</v>
      </c>
      <c r="R41" s="985">
        <v>0</v>
      </c>
      <c r="S41" s="985">
        <v>0</v>
      </c>
      <c r="T41" s="985">
        <v>0</v>
      </c>
      <c r="U41" s="985">
        <v>0</v>
      </c>
      <c r="V41" s="985">
        <v>0</v>
      </c>
      <c r="W41" s="985">
        <v>0</v>
      </c>
      <c r="X41" s="985">
        <v>0</v>
      </c>
    </row>
    <row r="42" spans="1:25" ht="15.6" x14ac:dyDescent="0.3">
      <c r="A42" s="972" t="s">
        <v>664</v>
      </c>
      <c r="B42" s="982">
        <v>0</v>
      </c>
      <c r="C42" s="982">
        <v>0</v>
      </c>
      <c r="D42" s="982">
        <v>0</v>
      </c>
      <c r="E42" s="982">
        <v>0</v>
      </c>
      <c r="F42" s="982">
        <v>0</v>
      </c>
      <c r="G42" s="982">
        <v>0</v>
      </c>
      <c r="H42" s="982">
        <v>0</v>
      </c>
      <c r="I42" s="982">
        <v>0</v>
      </c>
      <c r="J42" s="982">
        <v>352.73</v>
      </c>
      <c r="K42" s="982">
        <v>352.73</v>
      </c>
      <c r="L42" s="982">
        <v>1131.05</v>
      </c>
      <c r="M42" s="982">
        <v>1131.05</v>
      </c>
      <c r="N42" s="982">
        <v>0</v>
      </c>
      <c r="O42" s="1225">
        <v>0</v>
      </c>
      <c r="P42" s="985">
        <v>0</v>
      </c>
      <c r="Q42" s="985">
        <v>0</v>
      </c>
      <c r="R42" s="985">
        <v>0</v>
      </c>
      <c r="S42" s="985">
        <v>-4667</v>
      </c>
      <c r="T42" s="985">
        <v>-4667</v>
      </c>
      <c r="U42" s="985">
        <v>0</v>
      </c>
      <c r="V42" s="985">
        <v>0</v>
      </c>
      <c r="W42" s="985">
        <v>0</v>
      </c>
      <c r="X42" s="985">
        <v>0</v>
      </c>
    </row>
    <row r="43" spans="1:25" ht="15.6" x14ac:dyDescent="0.3">
      <c r="A43" s="980" t="s">
        <v>247</v>
      </c>
      <c r="B43" s="982">
        <v>3901851.12</v>
      </c>
      <c r="C43" s="982">
        <v>4539186.71</v>
      </c>
      <c r="D43" s="982">
        <v>5690549.1200000001</v>
      </c>
      <c r="E43" s="982">
        <v>6207539.2199999997</v>
      </c>
      <c r="F43" s="982">
        <v>5680774.2199999997</v>
      </c>
      <c r="G43" s="982">
        <v>5921356.79</v>
      </c>
      <c r="H43" s="982">
        <v>5676191.3899999997</v>
      </c>
      <c r="I43" s="982">
        <v>2988664.94</v>
      </c>
      <c r="J43" s="982">
        <v>3402579.32</v>
      </c>
      <c r="K43" s="982">
        <v>3051118.17</v>
      </c>
      <c r="L43" s="982">
        <v>3708718.3</v>
      </c>
      <c r="M43" s="982">
        <v>4073018.19</v>
      </c>
      <c r="N43" s="982">
        <v>4728021.87</v>
      </c>
      <c r="O43" s="1225">
        <v>4391602.33</v>
      </c>
      <c r="P43" s="985">
        <v>4983753.03</v>
      </c>
      <c r="Q43" s="985">
        <v>5778755.7199999997</v>
      </c>
      <c r="R43" s="985">
        <v>6119264.0800000001</v>
      </c>
      <c r="S43" s="985">
        <v>5558196.6699999999</v>
      </c>
      <c r="T43" s="985">
        <v>5307863</v>
      </c>
      <c r="U43" s="985">
        <v>5422758.6900000004</v>
      </c>
      <c r="V43" s="985">
        <v>5633018.7599999998</v>
      </c>
      <c r="W43" s="985">
        <v>5983845.0199999996</v>
      </c>
      <c r="X43" s="985">
        <v>6099160.4800000004</v>
      </c>
    </row>
    <row r="44" spans="1:25" ht="15.6" x14ac:dyDescent="0.3">
      <c r="A44" s="980" t="s">
        <v>665</v>
      </c>
      <c r="B44" s="981">
        <v>0</v>
      </c>
      <c r="C44" s="981">
        <v>0</v>
      </c>
      <c r="D44" s="981">
        <v>0</v>
      </c>
      <c r="E44" s="981">
        <v>0</v>
      </c>
      <c r="F44" s="981">
        <v>0</v>
      </c>
      <c r="G44" s="981">
        <v>0</v>
      </c>
      <c r="H44" s="981">
        <v>0</v>
      </c>
      <c r="I44" s="981">
        <v>0</v>
      </c>
      <c r="J44" s="981">
        <v>0</v>
      </c>
      <c r="K44" s="981">
        <v>0</v>
      </c>
      <c r="L44" s="981">
        <v>0</v>
      </c>
      <c r="M44" s="981">
        <v>0</v>
      </c>
      <c r="N44" s="981">
        <v>0</v>
      </c>
      <c r="O44" s="1224">
        <v>0</v>
      </c>
      <c r="P44" s="1228">
        <v>0</v>
      </c>
      <c r="Q44" s="1228">
        <v>0</v>
      </c>
      <c r="R44" s="1228">
        <v>0</v>
      </c>
      <c r="S44" s="1228">
        <v>0</v>
      </c>
      <c r="T44" s="1228">
        <v>0</v>
      </c>
      <c r="U44" s="1228">
        <v>0</v>
      </c>
      <c r="V44" s="1228">
        <v>0</v>
      </c>
      <c r="W44" s="1228">
        <v>0</v>
      </c>
      <c r="X44" s="1228">
        <v>0</v>
      </c>
    </row>
    <row r="45" spans="1:25" ht="15.6" x14ac:dyDescent="0.3">
      <c r="A45" s="981" t="s">
        <v>247</v>
      </c>
      <c r="B45" s="981">
        <v>8840988.1099999994</v>
      </c>
      <c r="C45" s="981">
        <v>8369034.5899999999</v>
      </c>
      <c r="D45" s="981">
        <v>9538797.2400000002</v>
      </c>
      <c r="E45" s="981">
        <v>9779312.5</v>
      </c>
      <c r="F45" s="981">
        <v>8596046.5299999993</v>
      </c>
      <c r="G45" s="981">
        <v>8914564.6699999999</v>
      </c>
      <c r="H45" s="981">
        <v>8058619.8199999994</v>
      </c>
      <c r="I45" s="981">
        <v>5359744.1999999993</v>
      </c>
      <c r="J45" s="981">
        <v>6528722.1400000006</v>
      </c>
      <c r="K45" s="981">
        <v>6217260.0099999998</v>
      </c>
      <c r="L45" s="981">
        <v>6864016.7599999998</v>
      </c>
      <c r="M45" s="981">
        <v>7136799.21</v>
      </c>
      <c r="N45" s="981">
        <v>8019898.0099999998</v>
      </c>
      <c r="O45" s="1224">
        <v>6770952.8100000015</v>
      </c>
      <c r="P45" s="1228">
        <v>7500445.79</v>
      </c>
      <c r="Q45" s="1228">
        <v>8758518.2300000004</v>
      </c>
      <c r="R45" s="1228">
        <v>8447747.3100000005</v>
      </c>
      <c r="S45" s="1228">
        <v>8176687.4699999997</v>
      </c>
      <c r="T45" s="1228">
        <v>7381886.4000000004</v>
      </c>
      <c r="U45" s="1228">
        <v>7286904.9100000001</v>
      </c>
      <c r="V45" s="1228">
        <v>7395426.1600000001</v>
      </c>
      <c r="W45" s="1228">
        <v>7541726.6600000001</v>
      </c>
      <c r="X45" s="1228">
        <v>7891815.3200000003</v>
      </c>
      <c r="Y45" s="27"/>
    </row>
    <row r="46" spans="1:25" ht="16.8" x14ac:dyDescent="0.3">
      <c r="A46" s="979" t="s">
        <v>666</v>
      </c>
      <c r="B46" s="979">
        <v>1197523.1499999999</v>
      </c>
      <c r="C46" s="979">
        <v>1178650.96</v>
      </c>
      <c r="D46" s="979">
        <v>1159778.77</v>
      </c>
      <c r="E46" s="979">
        <v>1140906.58</v>
      </c>
      <c r="F46" s="979">
        <v>1138723.23</v>
      </c>
      <c r="G46" s="979">
        <v>1205693.5900000001</v>
      </c>
      <c r="H46" s="979">
        <v>1284441.77</v>
      </c>
      <c r="I46" s="979">
        <v>1283526.99</v>
      </c>
      <c r="J46" s="979">
        <v>1307344.1599999999</v>
      </c>
      <c r="K46" s="979">
        <v>1439075.46</v>
      </c>
      <c r="L46" s="979">
        <v>1418322.63</v>
      </c>
      <c r="M46" s="979">
        <v>1528702</v>
      </c>
      <c r="N46" s="979">
        <v>2590091.61</v>
      </c>
      <c r="O46" s="1226">
        <v>2620422.27</v>
      </c>
      <c r="P46" s="1229">
        <v>2669115.42</v>
      </c>
      <c r="Q46" s="1229">
        <v>2787230.02</v>
      </c>
      <c r="R46" s="1229">
        <v>2706905.82</v>
      </c>
      <c r="S46" s="1229">
        <v>2800957.83</v>
      </c>
      <c r="T46" s="1229">
        <v>2826354.59</v>
      </c>
      <c r="U46" s="1229">
        <v>2855102.86</v>
      </c>
      <c r="V46" s="1229">
        <v>2810474.81</v>
      </c>
      <c r="W46" s="1229">
        <v>2863037.02</v>
      </c>
      <c r="X46" s="1419">
        <v>2890730.38</v>
      </c>
    </row>
    <row r="47" spans="1:25" ht="15.6" x14ac:dyDescent="0.3">
      <c r="A47" s="972" t="s">
        <v>667</v>
      </c>
      <c r="B47" s="982">
        <v>14394.23</v>
      </c>
      <c r="C47" s="982">
        <v>14394.23</v>
      </c>
      <c r="D47" s="982">
        <v>14394.23</v>
      </c>
      <c r="E47" s="982">
        <v>14394.23</v>
      </c>
      <c r="F47" s="982">
        <v>31083.07</v>
      </c>
      <c r="G47" s="982">
        <v>40950.620000000003</v>
      </c>
      <c r="H47" s="982">
        <v>44153.62</v>
      </c>
      <c r="I47" s="982">
        <v>62111.03</v>
      </c>
      <c r="J47" s="982">
        <v>104800.39</v>
      </c>
      <c r="K47" s="982">
        <v>251356.89</v>
      </c>
      <c r="L47" s="982">
        <v>252830.16</v>
      </c>
      <c r="M47" s="982">
        <v>287997.02</v>
      </c>
      <c r="N47" s="982">
        <v>47865.97</v>
      </c>
      <c r="O47" s="1225">
        <v>100422.73</v>
      </c>
      <c r="P47" s="985">
        <v>174103.67</v>
      </c>
      <c r="Q47" s="985">
        <v>317206.06</v>
      </c>
      <c r="R47" s="985">
        <v>97578.78</v>
      </c>
      <c r="S47" s="985">
        <v>205887.09</v>
      </c>
      <c r="T47" s="985">
        <v>256271.64</v>
      </c>
      <c r="U47" s="985">
        <v>310007.7</v>
      </c>
      <c r="V47" s="985">
        <v>322006.37</v>
      </c>
      <c r="W47" s="985">
        <v>399556.37</v>
      </c>
      <c r="X47" s="985">
        <v>426432.92</v>
      </c>
    </row>
    <row r="48" spans="1:25" ht="15.6" x14ac:dyDescent="0.3">
      <c r="A48" s="972" t="s">
        <v>668</v>
      </c>
      <c r="B48" s="982">
        <v>1135605.3899999999</v>
      </c>
      <c r="C48" s="982">
        <v>1135605.3899999999</v>
      </c>
      <c r="D48" s="982">
        <v>1135605.3899999999</v>
      </c>
      <c r="E48" s="982">
        <v>1135605.3899999999</v>
      </c>
      <c r="F48" s="982">
        <v>1135605.3899999999</v>
      </c>
      <c r="G48" s="982">
        <v>1211580.3899999999</v>
      </c>
      <c r="H48" s="982">
        <v>1305997.76</v>
      </c>
      <c r="I48" s="982">
        <v>1305997.76</v>
      </c>
      <c r="J48" s="982">
        <v>1305997.76</v>
      </c>
      <c r="K48" s="982">
        <v>1310044.75</v>
      </c>
      <c r="L48" s="982">
        <v>1310044.75</v>
      </c>
      <c r="M48" s="982">
        <v>1323510.44</v>
      </c>
      <c r="N48" s="982">
        <v>1550368.32</v>
      </c>
      <c r="O48" s="1225">
        <v>1550368.32</v>
      </c>
      <c r="P48" s="985">
        <v>1550368.32</v>
      </c>
      <c r="Q48" s="985">
        <v>1550368.32</v>
      </c>
      <c r="R48" s="985">
        <v>1578238.29</v>
      </c>
      <c r="S48" s="985">
        <v>1578238.29</v>
      </c>
      <c r="T48" s="985">
        <v>1578238.29</v>
      </c>
      <c r="U48" s="985">
        <v>1578238.29</v>
      </c>
      <c r="V48" s="985">
        <v>1145690.6200000001</v>
      </c>
      <c r="W48" s="985">
        <v>1145690.6200000001</v>
      </c>
      <c r="X48" s="985">
        <v>1145690.6200000001</v>
      </c>
      <c r="Y48" s="27"/>
    </row>
    <row r="49" spans="1:25" ht="15.6" x14ac:dyDescent="0.3">
      <c r="A49" s="972" t="s">
        <v>669</v>
      </c>
      <c r="B49" s="982">
        <v>105669.5</v>
      </c>
      <c r="C49" s="982">
        <v>105669.5</v>
      </c>
      <c r="D49" s="982">
        <v>105669.5</v>
      </c>
      <c r="E49" s="982">
        <v>105669.5</v>
      </c>
      <c r="F49" s="982">
        <v>105669.5</v>
      </c>
      <c r="G49" s="982">
        <v>105669.5</v>
      </c>
      <c r="H49" s="982">
        <v>105669.5</v>
      </c>
      <c r="I49" s="982">
        <v>105669.5</v>
      </c>
      <c r="J49" s="982">
        <v>105669.5</v>
      </c>
      <c r="K49" s="982">
        <v>105669.5</v>
      </c>
      <c r="L49" s="982">
        <v>105669.5</v>
      </c>
      <c r="M49" s="982">
        <v>105669.5</v>
      </c>
      <c r="N49" s="982">
        <v>114450.81</v>
      </c>
      <c r="O49" s="1225">
        <v>114450.81</v>
      </c>
      <c r="P49" s="985">
        <v>114450.81</v>
      </c>
      <c r="Q49" s="985">
        <v>114450.81</v>
      </c>
      <c r="R49" s="985">
        <v>114450.81</v>
      </c>
      <c r="S49" s="985">
        <v>114450.81</v>
      </c>
      <c r="T49" s="985">
        <v>114450.81</v>
      </c>
      <c r="U49" s="985">
        <v>114450.81</v>
      </c>
      <c r="V49" s="985">
        <v>114450.81</v>
      </c>
      <c r="W49" s="985">
        <v>114450.81</v>
      </c>
      <c r="X49" s="985">
        <v>114450.81</v>
      </c>
    </row>
    <row r="50" spans="1:25" ht="15.6" x14ac:dyDescent="0.3">
      <c r="A50" s="972" t="s">
        <v>670</v>
      </c>
      <c r="B50" s="982">
        <v>225504.55</v>
      </c>
      <c r="C50" s="982">
        <v>225504.55</v>
      </c>
      <c r="D50" s="982">
        <v>225504.55</v>
      </c>
      <c r="E50" s="982">
        <v>225504.55</v>
      </c>
      <c r="F50" s="982">
        <v>225504.55</v>
      </c>
      <c r="G50" s="982">
        <v>225504.55</v>
      </c>
      <c r="H50" s="982">
        <v>225504.55</v>
      </c>
      <c r="I50" s="982">
        <v>225504.55</v>
      </c>
      <c r="J50" s="982">
        <v>225504.55</v>
      </c>
      <c r="K50" s="982">
        <v>225504.55</v>
      </c>
      <c r="L50" s="982">
        <v>225504.55</v>
      </c>
      <c r="M50" s="982">
        <v>228178.47</v>
      </c>
      <c r="N50" s="982">
        <v>232670.33</v>
      </c>
      <c r="O50" s="1225">
        <v>232670.33</v>
      </c>
      <c r="P50" s="985">
        <v>232670.33</v>
      </c>
      <c r="Q50" s="985">
        <v>232670.33</v>
      </c>
      <c r="R50" s="985">
        <v>369091.23</v>
      </c>
      <c r="S50" s="985">
        <v>379822.72</v>
      </c>
      <c r="T50" s="985">
        <v>379822.72</v>
      </c>
      <c r="U50" s="985">
        <v>379822.72</v>
      </c>
      <c r="V50" s="985">
        <v>379822.72</v>
      </c>
      <c r="W50" s="985">
        <v>379822.72</v>
      </c>
      <c r="X50" s="985">
        <v>379822.72</v>
      </c>
    </row>
    <row r="51" spans="1:25" ht="15.6" x14ac:dyDescent="0.3">
      <c r="A51" s="1398" t="s">
        <v>1279</v>
      </c>
      <c r="B51" s="982">
        <v>0</v>
      </c>
      <c r="C51" s="982">
        <v>0</v>
      </c>
      <c r="D51" s="982">
        <v>0</v>
      </c>
      <c r="E51" s="982">
        <v>0</v>
      </c>
      <c r="F51" s="982">
        <v>0</v>
      </c>
      <c r="G51" s="982">
        <v>0</v>
      </c>
      <c r="H51" s="982">
        <v>0</v>
      </c>
      <c r="I51" s="982">
        <v>0</v>
      </c>
      <c r="J51" s="982">
        <v>0</v>
      </c>
      <c r="K51" s="982">
        <v>0</v>
      </c>
      <c r="L51" s="982">
        <v>0</v>
      </c>
      <c r="M51" s="982">
        <v>0</v>
      </c>
      <c r="N51" s="982">
        <v>-61299</v>
      </c>
      <c r="O51" s="1225">
        <v>-61299</v>
      </c>
      <c r="P51" s="985">
        <v>-61299</v>
      </c>
      <c r="Q51" s="985">
        <v>-61299</v>
      </c>
      <c r="R51" s="985">
        <v>-61299</v>
      </c>
      <c r="S51" s="985">
        <v>-61299</v>
      </c>
      <c r="T51" s="985">
        <v>-61299</v>
      </c>
      <c r="U51" s="985">
        <v>-61299</v>
      </c>
      <c r="V51" s="985">
        <v>-61299</v>
      </c>
      <c r="W51" s="985">
        <v>-61299</v>
      </c>
      <c r="X51" s="985">
        <v>0</v>
      </c>
    </row>
    <row r="52" spans="1:25" ht="15.6" x14ac:dyDescent="0.3">
      <c r="A52" s="972" t="s">
        <v>671</v>
      </c>
      <c r="B52" s="982">
        <v>112323.75</v>
      </c>
      <c r="C52" s="982">
        <v>112323.75</v>
      </c>
      <c r="D52" s="982">
        <v>112323.75</v>
      </c>
      <c r="E52" s="982">
        <v>112323.75</v>
      </c>
      <c r="F52" s="982">
        <v>112323.75</v>
      </c>
      <c r="G52" s="982">
        <v>112323.75</v>
      </c>
      <c r="H52" s="982">
        <v>112323.75</v>
      </c>
      <c r="I52" s="982">
        <v>112323.75</v>
      </c>
      <c r="J52" s="982">
        <v>112323.75</v>
      </c>
      <c r="K52" s="982">
        <v>112323.75</v>
      </c>
      <c r="L52" s="982">
        <v>112323.75</v>
      </c>
      <c r="M52" s="982">
        <v>112323.75</v>
      </c>
      <c r="N52" s="982">
        <v>112323.75</v>
      </c>
      <c r="O52" s="1225">
        <v>112323.75</v>
      </c>
      <c r="P52" s="985">
        <v>112323.75</v>
      </c>
      <c r="Q52" s="985">
        <v>112323.75</v>
      </c>
      <c r="R52" s="985">
        <v>112323.75</v>
      </c>
      <c r="S52" s="985">
        <v>112323.75</v>
      </c>
      <c r="T52" s="985">
        <v>112323.75</v>
      </c>
      <c r="U52" s="985">
        <v>112323.75</v>
      </c>
      <c r="V52" s="985">
        <v>112323.75</v>
      </c>
      <c r="W52" s="985">
        <v>112323.75</v>
      </c>
      <c r="X52" s="985">
        <v>112323.75</v>
      </c>
      <c r="Y52" s="27"/>
    </row>
    <row r="53" spans="1:25" ht="15.6" x14ac:dyDescent="0.3">
      <c r="A53" s="972" t="s">
        <v>672</v>
      </c>
      <c r="B53" s="982">
        <v>682672.36</v>
      </c>
      <c r="C53" s="982">
        <v>682672.36</v>
      </c>
      <c r="D53" s="982">
        <v>682672.36</v>
      </c>
      <c r="E53" s="982">
        <v>682672.36</v>
      </c>
      <c r="F53" s="982">
        <v>682672.36</v>
      </c>
      <c r="G53" s="982">
        <v>682672.36</v>
      </c>
      <c r="H53" s="982">
        <v>682672.36</v>
      </c>
      <c r="I53" s="982">
        <v>682672.36</v>
      </c>
      <c r="J53" s="982">
        <v>682672.36</v>
      </c>
      <c r="K53" s="982">
        <v>682672.36</v>
      </c>
      <c r="L53" s="982">
        <v>682672.36</v>
      </c>
      <c r="M53" s="982">
        <v>682672.36</v>
      </c>
      <c r="N53" s="982">
        <v>682672.36</v>
      </c>
      <c r="O53" s="1225">
        <v>682672.36</v>
      </c>
      <c r="P53" s="985">
        <v>682672.36</v>
      </c>
      <c r="Q53" s="985">
        <v>682672.36</v>
      </c>
      <c r="R53" s="985">
        <v>682672.36</v>
      </c>
      <c r="S53" s="985">
        <v>682672.36</v>
      </c>
      <c r="T53" s="985">
        <v>682672.36</v>
      </c>
      <c r="U53" s="985">
        <v>682672.36</v>
      </c>
      <c r="V53" s="985">
        <v>682672.36</v>
      </c>
      <c r="W53" s="985">
        <v>682672.36</v>
      </c>
      <c r="X53" s="985">
        <v>682672.36</v>
      </c>
      <c r="Y53" s="27"/>
    </row>
    <row r="54" spans="1:25" ht="15.6" x14ac:dyDescent="0.3">
      <c r="A54" s="972" t="s">
        <v>673</v>
      </c>
      <c r="B54" s="982">
        <v>60496.06</v>
      </c>
      <c r="C54" s="982">
        <v>60496.06</v>
      </c>
      <c r="D54" s="982">
        <v>60496.06</v>
      </c>
      <c r="E54" s="982">
        <v>60496.06</v>
      </c>
      <c r="F54" s="982">
        <v>60496.06</v>
      </c>
      <c r="G54" s="982">
        <v>60496.06</v>
      </c>
      <c r="H54" s="982">
        <v>60496.06</v>
      </c>
      <c r="I54" s="982">
        <v>60496.06</v>
      </c>
      <c r="J54" s="982">
        <v>60496.06</v>
      </c>
      <c r="K54" s="982">
        <v>60496.06</v>
      </c>
      <c r="L54" s="982">
        <v>60496.06</v>
      </c>
      <c r="M54" s="982">
        <v>60496.06</v>
      </c>
      <c r="N54" s="982">
        <v>60496.06</v>
      </c>
      <c r="O54" s="1225">
        <v>60496.06</v>
      </c>
      <c r="P54" s="985">
        <v>60496.06</v>
      </c>
      <c r="Q54" s="985">
        <v>60496.06</v>
      </c>
      <c r="R54" s="985">
        <v>60496.06</v>
      </c>
      <c r="S54" s="985">
        <v>60496.06</v>
      </c>
      <c r="T54" s="985">
        <v>60496.06</v>
      </c>
      <c r="U54" s="985">
        <v>60496.06</v>
      </c>
      <c r="V54" s="985">
        <v>41996.06</v>
      </c>
      <c r="W54" s="985">
        <v>41996.06</v>
      </c>
      <c r="X54" s="985">
        <v>67800.66</v>
      </c>
      <c r="Y54" s="27"/>
    </row>
    <row r="55" spans="1:25" ht="15.6" x14ac:dyDescent="0.3">
      <c r="A55" s="1398" t="s">
        <v>1280</v>
      </c>
      <c r="B55" s="982">
        <v>0</v>
      </c>
      <c r="C55" s="982">
        <v>0</v>
      </c>
      <c r="D55" s="982">
        <v>0</v>
      </c>
      <c r="E55" s="982">
        <v>0</v>
      </c>
      <c r="F55" s="982">
        <v>0</v>
      </c>
      <c r="G55" s="982">
        <v>0</v>
      </c>
      <c r="H55" s="982">
        <v>0</v>
      </c>
      <c r="I55" s="982">
        <v>0</v>
      </c>
      <c r="J55" s="982">
        <v>0</v>
      </c>
      <c r="K55" s="982">
        <v>0</v>
      </c>
      <c r="L55" s="982">
        <v>0</v>
      </c>
      <c r="M55" s="982">
        <v>0</v>
      </c>
      <c r="N55" s="982">
        <v>1139096.17</v>
      </c>
      <c r="O55" s="1225">
        <v>1139096.17</v>
      </c>
      <c r="P55" s="985">
        <v>1139096.17</v>
      </c>
      <c r="Q55" s="985">
        <v>1139096.17</v>
      </c>
      <c r="R55" s="985">
        <v>1139096.17</v>
      </c>
      <c r="S55" s="985">
        <v>1139096.17</v>
      </c>
      <c r="T55" s="985">
        <v>1139096.17</v>
      </c>
      <c r="U55" s="985">
        <v>1139096.17</v>
      </c>
      <c r="V55" s="985">
        <v>1139096.17</v>
      </c>
      <c r="W55" s="985">
        <v>1139096.17</v>
      </c>
      <c r="X55" s="985">
        <v>1139096.17</v>
      </c>
      <c r="Y55" s="27"/>
    </row>
    <row r="56" spans="1:25" ht="15.6" x14ac:dyDescent="0.3">
      <c r="A56" s="972" t="s">
        <v>674</v>
      </c>
      <c r="B56" s="982">
        <v>-879839.74</v>
      </c>
      <c r="C56" s="982">
        <v>-886678.01</v>
      </c>
      <c r="D56" s="982">
        <v>-893516.28</v>
      </c>
      <c r="E56" s="982">
        <v>-900354.55</v>
      </c>
      <c r="F56" s="982">
        <v>-907192.82</v>
      </c>
      <c r="G56" s="982">
        <v>-914031.09</v>
      </c>
      <c r="H56" s="982">
        <v>-920869.36</v>
      </c>
      <c r="I56" s="982">
        <v>-927707.63</v>
      </c>
      <c r="J56" s="982">
        <v>-934545.9</v>
      </c>
      <c r="K56" s="982">
        <v>-941384.17</v>
      </c>
      <c r="L56" s="982">
        <v>-951576.35</v>
      </c>
      <c r="M56" s="982">
        <v>-961768.53</v>
      </c>
      <c r="N56" s="982">
        <v>-967841.13</v>
      </c>
      <c r="O56" s="1225">
        <v>-978033.31</v>
      </c>
      <c r="P56" s="985">
        <v>-990987.18</v>
      </c>
      <c r="Q56" s="985">
        <v>-1003941.05</v>
      </c>
      <c r="R56" s="985">
        <v>-1016894.92</v>
      </c>
      <c r="S56" s="985">
        <v>-1029848.79</v>
      </c>
      <c r="T56" s="985">
        <v>-1042802.66</v>
      </c>
      <c r="U56" s="985">
        <v>-1055756.53</v>
      </c>
      <c r="V56" s="985">
        <v>-667801.66</v>
      </c>
      <c r="W56" s="985">
        <v>-680755.53</v>
      </c>
      <c r="X56" s="985">
        <v>-695538.86</v>
      </c>
      <c r="Y56" s="27"/>
    </row>
    <row r="57" spans="1:25" ht="15.6" x14ac:dyDescent="0.3">
      <c r="A57" s="972" t="s">
        <v>675</v>
      </c>
      <c r="B57" s="982">
        <v>-34370.03</v>
      </c>
      <c r="C57" s="982">
        <v>-35534</v>
      </c>
      <c r="D57" s="982">
        <v>-36697.97</v>
      </c>
      <c r="E57" s="982">
        <v>-37861.94</v>
      </c>
      <c r="F57" s="982">
        <v>-39025.910000000003</v>
      </c>
      <c r="G57" s="982">
        <v>-40189.879999999997</v>
      </c>
      <c r="H57" s="982">
        <v>-41353.85</v>
      </c>
      <c r="I57" s="982">
        <v>-42517.82</v>
      </c>
      <c r="J57" s="982">
        <v>-43681.79</v>
      </c>
      <c r="K57" s="982">
        <v>-44845.760000000002</v>
      </c>
      <c r="L57" s="982">
        <v>-46009.73</v>
      </c>
      <c r="M57" s="982">
        <v>-47173.7</v>
      </c>
      <c r="N57" s="982">
        <v>-48110.68</v>
      </c>
      <c r="O57" s="1225">
        <v>-49274.65</v>
      </c>
      <c r="P57" s="985">
        <v>-50438.62</v>
      </c>
      <c r="Q57" s="985">
        <v>-51602.59</v>
      </c>
      <c r="R57" s="985">
        <v>-52766.559999999998</v>
      </c>
      <c r="S57" s="985">
        <v>-53930.53</v>
      </c>
      <c r="T57" s="985">
        <v>-55094.5</v>
      </c>
      <c r="U57" s="985">
        <v>-56258.47</v>
      </c>
      <c r="V57" s="985">
        <v>-57422.44</v>
      </c>
      <c r="W57" s="985">
        <v>-58586.41</v>
      </c>
      <c r="X57" s="985">
        <v>-59750.38</v>
      </c>
      <c r="Y57" s="27"/>
    </row>
    <row r="58" spans="1:25" ht="15.6" x14ac:dyDescent="0.3">
      <c r="A58" s="972" t="s">
        <v>676</v>
      </c>
      <c r="B58" s="982">
        <v>-196763.77</v>
      </c>
      <c r="C58" s="982">
        <v>-198086.65</v>
      </c>
      <c r="D58" s="982">
        <v>-199409.53</v>
      </c>
      <c r="E58" s="982">
        <v>-200732.41</v>
      </c>
      <c r="F58" s="982">
        <v>-202055.29</v>
      </c>
      <c r="G58" s="982">
        <v>-203378.17</v>
      </c>
      <c r="H58" s="982">
        <v>-204701.05</v>
      </c>
      <c r="I58" s="982">
        <v>-206023.93</v>
      </c>
      <c r="J58" s="982">
        <v>-207346.81</v>
      </c>
      <c r="K58" s="982">
        <v>-208669.69</v>
      </c>
      <c r="L58" s="982">
        <v>-209992.57</v>
      </c>
      <c r="M58" s="982">
        <v>-211315.45</v>
      </c>
      <c r="N58" s="982">
        <v>-213012.55</v>
      </c>
      <c r="O58" s="1225">
        <v>-214335.43</v>
      </c>
      <c r="P58" s="985">
        <v>-215658.31</v>
      </c>
      <c r="Q58" s="985">
        <v>-216981.19</v>
      </c>
      <c r="R58" s="985">
        <v>-218304.07</v>
      </c>
      <c r="S58" s="985">
        <v>-219626.95</v>
      </c>
      <c r="T58" s="985">
        <v>-220949.83</v>
      </c>
      <c r="U58" s="985">
        <v>-222272.71</v>
      </c>
      <c r="V58" s="985">
        <v>-223595.59</v>
      </c>
      <c r="W58" s="985">
        <v>-224918.47</v>
      </c>
      <c r="X58" s="985">
        <v>-226241.35</v>
      </c>
      <c r="Y58" s="27"/>
    </row>
    <row r="59" spans="1:25" ht="15.6" x14ac:dyDescent="0.3">
      <c r="A59" s="972" t="s">
        <v>1281</v>
      </c>
      <c r="B59" s="982">
        <v>0</v>
      </c>
      <c r="C59" s="982">
        <v>0</v>
      </c>
      <c r="D59" s="982">
        <v>0</v>
      </c>
      <c r="E59" s="982">
        <v>0</v>
      </c>
      <c r="F59" s="982">
        <v>0</v>
      </c>
      <c r="G59" s="982">
        <v>0</v>
      </c>
      <c r="H59" s="982">
        <v>0</v>
      </c>
      <c r="I59" s="982">
        <v>0</v>
      </c>
      <c r="J59" s="982">
        <v>0</v>
      </c>
      <c r="K59" s="982">
        <v>0</v>
      </c>
      <c r="L59" s="982">
        <v>0</v>
      </c>
      <c r="M59" s="982">
        <v>0</v>
      </c>
      <c r="N59" s="982">
        <v>-42748.639999999999</v>
      </c>
      <c r="O59" s="1225">
        <v>-42748.639999999999</v>
      </c>
      <c r="P59" s="985">
        <v>-42748.639999999999</v>
      </c>
      <c r="Q59" s="985">
        <v>-42748.639999999999</v>
      </c>
      <c r="R59" s="985">
        <v>-42748.639999999999</v>
      </c>
      <c r="S59" s="985">
        <v>-42748.639999999999</v>
      </c>
      <c r="T59" s="985">
        <v>-42748.639999999999</v>
      </c>
      <c r="U59" s="985">
        <v>-42748.639999999999</v>
      </c>
      <c r="V59" s="985">
        <v>-42748.639999999999</v>
      </c>
      <c r="W59" s="985">
        <v>-42748.639999999999</v>
      </c>
      <c r="X59" s="985">
        <v>-42748.639999999999</v>
      </c>
      <c r="Y59" s="27"/>
    </row>
    <row r="60" spans="1:25" ht="15.6" x14ac:dyDescent="0.3">
      <c r="A60" s="972" t="s">
        <v>677</v>
      </c>
      <c r="B60" s="982">
        <v>-81742.52</v>
      </c>
      <c r="C60" s="982">
        <v>-82672.95</v>
      </c>
      <c r="D60" s="982">
        <v>-83603.38</v>
      </c>
      <c r="E60" s="982">
        <v>-84533.81</v>
      </c>
      <c r="F60" s="982">
        <v>-85464.24</v>
      </c>
      <c r="G60" s="982">
        <v>-86394.67</v>
      </c>
      <c r="H60" s="982">
        <v>-87325.1</v>
      </c>
      <c r="I60" s="982">
        <v>-88255.53</v>
      </c>
      <c r="J60" s="982">
        <v>-89185.96</v>
      </c>
      <c r="K60" s="982">
        <v>-90116.39</v>
      </c>
      <c r="L60" s="982">
        <v>-91046.82</v>
      </c>
      <c r="M60" s="982">
        <v>-91977.25</v>
      </c>
      <c r="N60" s="982">
        <v>-92907.68</v>
      </c>
      <c r="O60" s="1225">
        <v>-93838.11</v>
      </c>
      <c r="P60" s="985">
        <v>-94768.54</v>
      </c>
      <c r="Q60" s="985">
        <v>-95698.97</v>
      </c>
      <c r="R60" s="985">
        <v>-96629.4</v>
      </c>
      <c r="S60" s="985">
        <v>-97559.83</v>
      </c>
      <c r="T60" s="985">
        <v>-98490.26</v>
      </c>
      <c r="U60" s="985">
        <v>-99420.69</v>
      </c>
      <c r="V60" s="985">
        <v>-100351.12</v>
      </c>
      <c r="W60" s="985">
        <v>-101281.55</v>
      </c>
      <c r="X60" s="985">
        <v>-102211.98</v>
      </c>
      <c r="Y60" s="27"/>
    </row>
    <row r="61" spans="1:25" ht="15.6" x14ac:dyDescent="0.3">
      <c r="A61" s="972" t="s">
        <v>678</v>
      </c>
      <c r="B61" s="982">
        <v>-101233.59</v>
      </c>
      <c r="C61" s="982">
        <v>-106049.94</v>
      </c>
      <c r="D61" s="982">
        <v>-110866.29</v>
      </c>
      <c r="E61" s="982">
        <v>-115682.64</v>
      </c>
      <c r="F61" s="982">
        <v>-120498.99</v>
      </c>
      <c r="G61" s="982">
        <v>-125315.34</v>
      </c>
      <c r="H61" s="982">
        <v>-130131.69</v>
      </c>
      <c r="I61" s="982">
        <v>-134948.04</v>
      </c>
      <c r="J61" s="982">
        <v>-139764.39000000001</v>
      </c>
      <c r="K61" s="982">
        <v>-144580.74</v>
      </c>
      <c r="L61" s="982">
        <v>-149397.09</v>
      </c>
      <c r="M61" s="982">
        <v>-154213.44</v>
      </c>
      <c r="N61" s="982">
        <v>-156072.49</v>
      </c>
      <c r="O61" s="1225">
        <v>-160888.84</v>
      </c>
      <c r="P61" s="985">
        <v>-165705.19</v>
      </c>
      <c r="Q61" s="985">
        <v>-170521.54</v>
      </c>
      <c r="R61" s="985">
        <v>-175337.89</v>
      </c>
      <c r="S61" s="985">
        <v>-180154.23999999999</v>
      </c>
      <c r="T61" s="985">
        <v>-184970.59</v>
      </c>
      <c r="U61" s="985">
        <v>-189786.94</v>
      </c>
      <c r="V61" s="985">
        <v>-194603.29</v>
      </c>
      <c r="W61" s="985">
        <v>-199419.64</v>
      </c>
      <c r="X61" s="985">
        <v>-204235.99</v>
      </c>
      <c r="Y61" s="27"/>
    </row>
    <row r="62" spans="1:25" ht="15.6" x14ac:dyDescent="0.3">
      <c r="A62" s="972" t="s">
        <v>679</v>
      </c>
      <c r="B62" s="982">
        <v>-39495</v>
      </c>
      <c r="C62" s="982">
        <v>-39807.5</v>
      </c>
      <c r="D62" s="982">
        <v>-40120</v>
      </c>
      <c r="E62" s="982">
        <v>-40432.5</v>
      </c>
      <c r="F62" s="982">
        <v>-40745</v>
      </c>
      <c r="G62" s="982">
        <v>-41057.5</v>
      </c>
      <c r="H62" s="982">
        <v>-41370</v>
      </c>
      <c r="I62" s="982">
        <v>-41682.5</v>
      </c>
      <c r="J62" s="982">
        <v>-41995</v>
      </c>
      <c r="K62" s="982">
        <v>-42307.5</v>
      </c>
      <c r="L62" s="982">
        <v>-42620</v>
      </c>
      <c r="M62" s="982">
        <v>-42932.5</v>
      </c>
      <c r="N62" s="982">
        <v>-43245</v>
      </c>
      <c r="O62" s="1225">
        <v>-43557.5</v>
      </c>
      <c r="P62" s="985">
        <v>-43870</v>
      </c>
      <c r="Q62" s="985">
        <v>-44182.5</v>
      </c>
      <c r="R62" s="985">
        <v>-44495</v>
      </c>
      <c r="S62" s="985">
        <v>-44807.5</v>
      </c>
      <c r="T62" s="985">
        <v>-45120</v>
      </c>
      <c r="U62" s="985">
        <v>-45432.5</v>
      </c>
      <c r="V62" s="985">
        <v>-27245</v>
      </c>
      <c r="W62" s="985">
        <v>-27557.5</v>
      </c>
      <c r="X62" s="985">
        <v>-27870</v>
      </c>
      <c r="Y62" s="27"/>
    </row>
    <row r="63" spans="1:25" ht="15.6" x14ac:dyDescent="0.3">
      <c r="A63" s="972" t="s">
        <v>680</v>
      </c>
      <c r="B63" s="982">
        <v>199000</v>
      </c>
      <c r="C63" s="982">
        <v>199000</v>
      </c>
      <c r="D63" s="982">
        <v>199000</v>
      </c>
      <c r="E63" s="982">
        <v>199000</v>
      </c>
      <c r="F63" s="982">
        <v>199000</v>
      </c>
      <c r="G63" s="982">
        <v>199000</v>
      </c>
      <c r="H63" s="982">
        <v>199000</v>
      </c>
      <c r="I63" s="982">
        <v>199000</v>
      </c>
      <c r="J63" s="982">
        <v>199000</v>
      </c>
      <c r="K63" s="982">
        <v>199000</v>
      </c>
      <c r="L63" s="982">
        <v>199000</v>
      </c>
      <c r="M63" s="982">
        <v>199000</v>
      </c>
      <c r="N63" s="982">
        <v>199000</v>
      </c>
      <c r="O63" s="1225">
        <v>199000</v>
      </c>
      <c r="P63" s="985">
        <v>199000</v>
      </c>
      <c r="Q63" s="985">
        <v>199000</v>
      </c>
      <c r="R63" s="985">
        <v>199000</v>
      </c>
      <c r="S63" s="985">
        <v>199000</v>
      </c>
      <c r="T63" s="985">
        <v>199000</v>
      </c>
      <c r="U63" s="985">
        <v>199000</v>
      </c>
      <c r="V63" s="985">
        <v>199000</v>
      </c>
      <c r="W63" s="985">
        <v>199000</v>
      </c>
      <c r="X63" s="985">
        <v>199000</v>
      </c>
    </row>
    <row r="64" spans="1:25" ht="15.6" x14ac:dyDescent="0.3">
      <c r="A64" s="972" t="s">
        <v>681</v>
      </c>
      <c r="B64" s="982">
        <v>41637.5</v>
      </c>
      <c r="C64" s="982">
        <v>41637.5</v>
      </c>
      <c r="D64" s="982">
        <v>41637.5</v>
      </c>
      <c r="E64" s="982">
        <v>41637.5</v>
      </c>
      <c r="F64" s="982">
        <v>41637.5</v>
      </c>
      <c r="G64" s="982">
        <v>41637.5</v>
      </c>
      <c r="H64" s="982">
        <v>41637.5</v>
      </c>
      <c r="I64" s="982">
        <v>41637.5</v>
      </c>
      <c r="J64" s="982">
        <v>41637.5</v>
      </c>
      <c r="K64" s="982">
        <v>41637.5</v>
      </c>
      <c r="L64" s="982">
        <v>41637.5</v>
      </c>
      <c r="M64" s="982">
        <v>122936.5</v>
      </c>
      <c r="N64" s="982">
        <v>122936.5</v>
      </c>
      <c r="O64" s="1225">
        <v>122936.5</v>
      </c>
      <c r="P64" s="985">
        <v>122936.5</v>
      </c>
      <c r="Q64" s="985">
        <v>122936.5</v>
      </c>
      <c r="R64" s="985">
        <v>122936.5</v>
      </c>
      <c r="S64" s="985">
        <v>122936.5</v>
      </c>
      <c r="T64" s="985">
        <v>122936.5</v>
      </c>
      <c r="U64" s="985">
        <v>122936.5</v>
      </c>
      <c r="V64" s="985">
        <v>122936.5</v>
      </c>
      <c r="W64" s="985">
        <v>122936.5</v>
      </c>
      <c r="X64" s="985">
        <v>61637.5</v>
      </c>
    </row>
    <row r="65" spans="1:25" ht="15.6" x14ac:dyDescent="0.3">
      <c r="A65" s="972" t="s">
        <v>682</v>
      </c>
      <c r="B65" s="982">
        <v>0</v>
      </c>
      <c r="C65" s="982">
        <v>0</v>
      </c>
      <c r="D65" s="982">
        <v>0</v>
      </c>
      <c r="E65" s="982">
        <v>0</v>
      </c>
      <c r="F65" s="982">
        <v>0</v>
      </c>
      <c r="G65" s="982">
        <v>0</v>
      </c>
      <c r="H65" s="982">
        <v>0</v>
      </c>
      <c r="I65" s="982">
        <v>0</v>
      </c>
      <c r="J65" s="982">
        <v>0</v>
      </c>
      <c r="K65" s="982">
        <v>0</v>
      </c>
      <c r="L65" s="982">
        <v>0</v>
      </c>
      <c r="M65" s="982">
        <v>0</v>
      </c>
      <c r="N65" s="982">
        <v>0</v>
      </c>
      <c r="O65" s="1225">
        <v>0</v>
      </c>
      <c r="P65" s="985">
        <v>0</v>
      </c>
      <c r="Q65" s="985">
        <v>0</v>
      </c>
      <c r="R65" s="985">
        <v>0</v>
      </c>
      <c r="S65" s="985">
        <v>0</v>
      </c>
      <c r="T65" s="985">
        <v>0</v>
      </c>
      <c r="U65" s="985">
        <v>0</v>
      </c>
      <c r="V65" s="985">
        <v>0</v>
      </c>
      <c r="W65" s="985">
        <v>0</v>
      </c>
      <c r="X65" s="985">
        <v>0</v>
      </c>
    </row>
    <row r="66" spans="1:25" ht="15.6" x14ac:dyDescent="0.3">
      <c r="A66" s="972" t="s">
        <v>683</v>
      </c>
      <c r="B66" s="982">
        <v>65860.44</v>
      </c>
      <c r="C66" s="982">
        <v>65860.44</v>
      </c>
      <c r="D66" s="982">
        <v>65860.44</v>
      </c>
      <c r="E66" s="982">
        <v>65860.44</v>
      </c>
      <c r="F66" s="982">
        <v>65860.44</v>
      </c>
      <c r="G66" s="982">
        <v>65860.44</v>
      </c>
      <c r="H66" s="982">
        <v>65860.44</v>
      </c>
      <c r="I66" s="982">
        <v>65860.44</v>
      </c>
      <c r="J66" s="982">
        <v>65860.44</v>
      </c>
      <c r="K66" s="982">
        <v>65860.44</v>
      </c>
      <c r="L66" s="982">
        <v>65860.44</v>
      </c>
      <c r="M66" s="982">
        <v>65860.44</v>
      </c>
      <c r="N66" s="982">
        <v>65860.44</v>
      </c>
      <c r="O66" s="1225">
        <v>65860.44</v>
      </c>
      <c r="P66" s="985">
        <v>65860.44</v>
      </c>
      <c r="Q66" s="985">
        <v>65860.44</v>
      </c>
      <c r="R66" s="985">
        <v>65860.44</v>
      </c>
      <c r="S66" s="985">
        <v>65860.44</v>
      </c>
      <c r="T66" s="985">
        <v>65860.44</v>
      </c>
      <c r="U66" s="985">
        <v>65860.44</v>
      </c>
      <c r="V66" s="985">
        <v>65860.44</v>
      </c>
      <c r="W66" s="985">
        <v>65860.44</v>
      </c>
      <c r="X66" s="985">
        <v>65860.44</v>
      </c>
    </row>
    <row r="67" spans="1:25" ht="15.6" x14ac:dyDescent="0.3">
      <c r="A67" s="972" t="s">
        <v>684</v>
      </c>
      <c r="B67" s="982">
        <v>-41287.25</v>
      </c>
      <c r="C67" s="982">
        <v>-42945.58</v>
      </c>
      <c r="D67" s="982">
        <v>-44603.91</v>
      </c>
      <c r="E67" s="982">
        <v>-46262.239999999998</v>
      </c>
      <c r="F67" s="982">
        <v>-47920.57</v>
      </c>
      <c r="G67" s="982">
        <v>-49578.9</v>
      </c>
      <c r="H67" s="982">
        <v>-51237.23</v>
      </c>
      <c r="I67" s="982">
        <v>-52895.56</v>
      </c>
      <c r="J67" s="982">
        <v>-54553.89</v>
      </c>
      <c r="K67" s="982">
        <v>-56212.22</v>
      </c>
      <c r="L67" s="982">
        <v>-57870.55</v>
      </c>
      <c r="M67" s="982">
        <v>-59528.88</v>
      </c>
      <c r="N67" s="982">
        <v>-63016.61</v>
      </c>
      <c r="O67" s="1225">
        <v>-64674.94</v>
      </c>
      <c r="P67" s="985">
        <v>-66333.27</v>
      </c>
      <c r="Q67" s="985">
        <v>-67991.600000000006</v>
      </c>
      <c r="R67" s="985">
        <v>-69649.929999999993</v>
      </c>
      <c r="S67" s="985">
        <v>-71308.259999999995</v>
      </c>
      <c r="T67" s="985">
        <v>-72966.59</v>
      </c>
      <c r="U67" s="985">
        <v>-74624.92</v>
      </c>
      <c r="V67" s="985">
        <v>-76283.25</v>
      </c>
      <c r="W67" s="985">
        <v>-77941.58</v>
      </c>
      <c r="X67" s="985">
        <v>-79599.91</v>
      </c>
    </row>
    <row r="68" spans="1:25" ht="15.6" x14ac:dyDescent="0.3">
      <c r="A68" s="972" t="s">
        <v>685</v>
      </c>
      <c r="B68" s="982">
        <v>-41637.53</v>
      </c>
      <c r="C68" s="982">
        <v>-41637.53</v>
      </c>
      <c r="D68" s="982">
        <v>-41637.53</v>
      </c>
      <c r="E68" s="982">
        <v>-41637.53</v>
      </c>
      <c r="F68" s="982">
        <v>-41637.53</v>
      </c>
      <c r="G68" s="982">
        <v>-41637.53</v>
      </c>
      <c r="H68" s="982">
        <v>-41637.53</v>
      </c>
      <c r="I68" s="982">
        <v>-41637.53</v>
      </c>
      <c r="J68" s="982">
        <v>-41637.53</v>
      </c>
      <c r="K68" s="982">
        <v>-41637.53</v>
      </c>
      <c r="L68" s="982">
        <v>-41637.53</v>
      </c>
      <c r="M68" s="982">
        <v>-41637.53</v>
      </c>
      <c r="N68" s="982">
        <v>0</v>
      </c>
      <c r="O68" s="1225">
        <v>0</v>
      </c>
      <c r="P68" s="985">
        <v>0</v>
      </c>
      <c r="Q68" s="985">
        <v>0</v>
      </c>
      <c r="R68" s="985">
        <v>0</v>
      </c>
      <c r="S68" s="985">
        <v>0</v>
      </c>
      <c r="T68" s="985">
        <v>0</v>
      </c>
      <c r="U68" s="985">
        <v>0</v>
      </c>
      <c r="V68" s="985">
        <v>0</v>
      </c>
      <c r="W68" s="985">
        <v>0</v>
      </c>
      <c r="X68" s="985">
        <v>0</v>
      </c>
    </row>
    <row r="69" spans="1:25" ht="15.6" x14ac:dyDescent="0.3">
      <c r="A69" s="972" t="s">
        <v>686</v>
      </c>
      <c r="B69" s="982">
        <v>0</v>
      </c>
      <c r="C69" s="982">
        <v>0</v>
      </c>
      <c r="D69" s="982">
        <v>0</v>
      </c>
      <c r="E69" s="982">
        <v>0</v>
      </c>
      <c r="F69" s="982">
        <v>0</v>
      </c>
      <c r="G69" s="982">
        <v>0</v>
      </c>
      <c r="H69" s="982">
        <v>0</v>
      </c>
      <c r="I69" s="982">
        <v>0</v>
      </c>
      <c r="J69" s="982">
        <v>0</v>
      </c>
      <c r="K69" s="982">
        <v>0</v>
      </c>
      <c r="L69" s="982">
        <v>0</v>
      </c>
      <c r="M69" s="982">
        <v>0</v>
      </c>
      <c r="N69" s="982">
        <v>0</v>
      </c>
      <c r="O69" s="1225">
        <v>0</v>
      </c>
      <c r="P69" s="985">
        <v>0</v>
      </c>
      <c r="Q69" s="985">
        <v>0</v>
      </c>
      <c r="R69" s="985">
        <v>0</v>
      </c>
      <c r="S69" s="985">
        <v>0</v>
      </c>
      <c r="T69" s="985">
        <v>0</v>
      </c>
      <c r="U69" s="985">
        <v>0</v>
      </c>
      <c r="V69" s="985">
        <v>0</v>
      </c>
      <c r="W69" s="985">
        <v>0</v>
      </c>
      <c r="X69" s="985">
        <v>0</v>
      </c>
    </row>
    <row r="70" spans="1:25" ht="15.6" x14ac:dyDescent="0.3">
      <c r="A70" s="972" t="s">
        <v>687</v>
      </c>
      <c r="B70" s="982">
        <v>-29271.200000000001</v>
      </c>
      <c r="C70" s="982">
        <v>-31100.66</v>
      </c>
      <c r="D70" s="982">
        <v>-32930.120000000003</v>
      </c>
      <c r="E70" s="982">
        <v>-34759.58</v>
      </c>
      <c r="F70" s="982">
        <v>-36589.040000000001</v>
      </c>
      <c r="G70" s="982">
        <v>-38418.5</v>
      </c>
      <c r="H70" s="982">
        <v>-40247.96</v>
      </c>
      <c r="I70" s="982">
        <v>-42077.42</v>
      </c>
      <c r="J70" s="982">
        <v>-43906.879999999997</v>
      </c>
      <c r="K70" s="982">
        <v>-45736.34</v>
      </c>
      <c r="L70" s="982">
        <v>-47565.8</v>
      </c>
      <c r="M70" s="982">
        <v>-49395.26</v>
      </c>
      <c r="N70" s="982">
        <v>-49395.32</v>
      </c>
      <c r="O70" s="1225">
        <v>-51224.78</v>
      </c>
      <c r="P70" s="985">
        <v>-53054.239999999998</v>
      </c>
      <c r="Q70" s="985">
        <v>-54883.7</v>
      </c>
      <c r="R70" s="985">
        <v>-56713.16</v>
      </c>
      <c r="S70" s="985">
        <v>-58542.62</v>
      </c>
      <c r="T70" s="985">
        <v>-60372.08</v>
      </c>
      <c r="U70" s="985">
        <v>-62201.54</v>
      </c>
      <c r="V70" s="985">
        <v>-64031</v>
      </c>
      <c r="W70" s="985">
        <v>-65860.460000000006</v>
      </c>
      <c r="X70" s="985">
        <v>-65860.460000000006</v>
      </c>
    </row>
    <row r="71" spans="1:25" ht="15.6" x14ac:dyDescent="0.3">
      <c r="A71" s="981" t="s">
        <v>688</v>
      </c>
      <c r="B71" s="981">
        <v>1197523.1499999999</v>
      </c>
      <c r="C71" s="981">
        <v>1178650.96</v>
      </c>
      <c r="D71" s="981">
        <v>1159778.77</v>
      </c>
      <c r="E71" s="981">
        <v>1140906.58</v>
      </c>
      <c r="F71" s="981">
        <v>1138723.23</v>
      </c>
      <c r="G71" s="981">
        <v>1205693.5900000001</v>
      </c>
      <c r="H71" s="981">
        <v>1284441.77</v>
      </c>
      <c r="I71" s="981">
        <v>1283526.99</v>
      </c>
      <c r="J71" s="981">
        <v>1307344.1599999999</v>
      </c>
      <c r="K71" s="981">
        <v>1439075.46</v>
      </c>
      <c r="L71" s="981">
        <v>1418322.63</v>
      </c>
      <c r="M71" s="981">
        <v>1528702</v>
      </c>
      <c r="N71" s="981">
        <v>2590091.61</v>
      </c>
      <c r="O71" s="1224">
        <v>2620422.27</v>
      </c>
      <c r="P71" s="1228">
        <v>2669115.42</v>
      </c>
      <c r="Q71" s="1228">
        <v>2787230.02</v>
      </c>
      <c r="R71" s="1228">
        <v>2706905.82</v>
      </c>
      <c r="S71" s="1228">
        <v>2800957.83</v>
      </c>
      <c r="T71" s="1228">
        <v>2826354.59</v>
      </c>
      <c r="U71" s="1228">
        <v>2855102.86</v>
      </c>
      <c r="V71" s="1228">
        <v>2810474.81</v>
      </c>
      <c r="W71" s="1228">
        <v>2863037.02</v>
      </c>
      <c r="X71" s="1228">
        <v>2890730.38</v>
      </c>
      <c r="Y71" s="27"/>
    </row>
    <row r="72" spans="1:25" ht="16.8" x14ac:dyDescent="0.3">
      <c r="A72" s="979" t="s">
        <v>689</v>
      </c>
      <c r="B72" s="979">
        <v>0</v>
      </c>
      <c r="C72" s="979">
        <v>0</v>
      </c>
      <c r="D72" s="979">
        <v>0</v>
      </c>
      <c r="E72" s="979">
        <v>0</v>
      </c>
      <c r="F72" s="979">
        <v>0</v>
      </c>
      <c r="G72" s="979">
        <v>0</v>
      </c>
      <c r="H72" s="979">
        <v>0</v>
      </c>
      <c r="I72" s="979">
        <v>0</v>
      </c>
      <c r="J72" s="979">
        <v>0</v>
      </c>
      <c r="K72" s="979">
        <v>0</v>
      </c>
      <c r="L72" s="979">
        <v>0</v>
      </c>
      <c r="M72" s="979">
        <v>0</v>
      </c>
      <c r="N72" s="979">
        <v>0</v>
      </c>
      <c r="O72" s="1226">
        <v>0</v>
      </c>
      <c r="P72" s="1229">
        <v>0</v>
      </c>
      <c r="Q72" s="1229">
        <v>0</v>
      </c>
      <c r="R72" s="1229">
        <v>0</v>
      </c>
      <c r="S72" s="1229">
        <v>0</v>
      </c>
      <c r="T72" s="1229">
        <v>115950.27</v>
      </c>
      <c r="U72" s="1229">
        <v>115950.27</v>
      </c>
      <c r="V72" s="1229">
        <v>115950.27</v>
      </c>
      <c r="W72" s="1229">
        <v>115950.27</v>
      </c>
      <c r="X72" s="1419">
        <v>115950.27</v>
      </c>
    </row>
    <row r="73" spans="1:25" ht="16.8" x14ac:dyDescent="0.3">
      <c r="A73" s="1420" t="s">
        <v>1282</v>
      </c>
      <c r="B73" s="1401">
        <v>0</v>
      </c>
      <c r="C73" s="1401">
        <v>0</v>
      </c>
      <c r="D73" s="1401">
        <v>0</v>
      </c>
      <c r="E73" s="1401">
        <v>0</v>
      </c>
      <c r="F73" s="1401">
        <v>0</v>
      </c>
      <c r="G73" s="1401">
        <v>0</v>
      </c>
      <c r="H73" s="1401">
        <v>0</v>
      </c>
      <c r="I73" s="1401">
        <v>0</v>
      </c>
      <c r="J73" s="1401">
        <v>0</v>
      </c>
      <c r="K73" s="1401">
        <v>0</v>
      </c>
      <c r="L73" s="1401">
        <v>0</v>
      </c>
      <c r="M73" s="1401">
        <v>0</v>
      </c>
      <c r="N73" s="1401">
        <v>0</v>
      </c>
      <c r="O73" s="1418">
        <v>0</v>
      </c>
      <c r="P73" s="1419">
        <v>0</v>
      </c>
      <c r="Q73" s="1419">
        <v>0</v>
      </c>
      <c r="R73" s="1419">
        <v>0</v>
      </c>
      <c r="S73" s="1419">
        <v>0</v>
      </c>
      <c r="T73" s="1419">
        <v>115950.27</v>
      </c>
      <c r="U73" s="1419">
        <v>115950.27</v>
      </c>
      <c r="V73" s="1419">
        <v>115950.27</v>
      </c>
      <c r="W73" s="1419">
        <v>115950.27</v>
      </c>
      <c r="X73" s="985">
        <v>115950.27</v>
      </c>
    </row>
    <row r="74" spans="1:25" ht="16.8" x14ac:dyDescent="0.3">
      <c r="A74" s="1420" t="s">
        <v>1283</v>
      </c>
      <c r="B74" s="1401">
        <v>0</v>
      </c>
      <c r="C74" s="1401">
        <v>0</v>
      </c>
      <c r="D74" s="1401">
        <v>0</v>
      </c>
      <c r="E74" s="1401">
        <v>0</v>
      </c>
      <c r="F74" s="1401">
        <v>0</v>
      </c>
      <c r="G74" s="1401">
        <v>0</v>
      </c>
      <c r="H74" s="1401">
        <v>0</v>
      </c>
      <c r="I74" s="1401">
        <v>0</v>
      </c>
      <c r="J74" s="1401">
        <v>0</v>
      </c>
      <c r="K74" s="1401">
        <v>0</v>
      </c>
      <c r="L74" s="1401">
        <v>0</v>
      </c>
      <c r="M74" s="1401">
        <v>0</v>
      </c>
      <c r="N74" s="1401">
        <v>0</v>
      </c>
      <c r="O74" s="1418">
        <v>0</v>
      </c>
      <c r="P74" s="1419">
        <v>0</v>
      </c>
      <c r="Q74" s="1419">
        <v>0</v>
      </c>
      <c r="R74" s="1419">
        <v>0</v>
      </c>
      <c r="S74" s="1419">
        <v>0</v>
      </c>
      <c r="T74" s="1419">
        <v>115950.27</v>
      </c>
      <c r="U74" s="1419">
        <v>115950.27</v>
      </c>
      <c r="V74" s="1419">
        <v>115950.27</v>
      </c>
      <c r="W74" s="1419">
        <v>115950.27</v>
      </c>
      <c r="X74" s="1228">
        <v>115950.27</v>
      </c>
    </row>
    <row r="75" spans="1:25" ht="16.8" x14ac:dyDescent="0.3">
      <c r="A75" s="979" t="s">
        <v>690</v>
      </c>
      <c r="B75" s="979">
        <v>10038511.26</v>
      </c>
      <c r="C75" s="979">
        <v>9547685.5500000007</v>
      </c>
      <c r="D75" s="979">
        <v>10698576.01</v>
      </c>
      <c r="E75" s="979">
        <v>10920219.08</v>
      </c>
      <c r="F75" s="979">
        <v>9734769.7599999998</v>
      </c>
      <c r="G75" s="979">
        <v>10120258.26</v>
      </c>
      <c r="H75" s="979">
        <v>9343061.5899999999</v>
      </c>
      <c r="I75" s="979">
        <v>6643271.1899999985</v>
      </c>
      <c r="J75" s="979">
        <v>7836066.3000000007</v>
      </c>
      <c r="K75" s="979">
        <v>7656335.4699999997</v>
      </c>
      <c r="L75" s="979">
        <v>8282339.3899999997</v>
      </c>
      <c r="M75" s="979">
        <v>8665501.2100000009</v>
      </c>
      <c r="N75" s="979">
        <v>10609989.619999999</v>
      </c>
      <c r="O75" s="1226">
        <v>9391375.0800000001</v>
      </c>
      <c r="P75" s="1229">
        <v>10169561.210000001</v>
      </c>
      <c r="Q75" s="1229">
        <v>11545748.25</v>
      </c>
      <c r="R75" s="1229">
        <v>11154653.130000001</v>
      </c>
      <c r="S75" s="1229">
        <v>10977645.300000001</v>
      </c>
      <c r="T75" s="1229">
        <v>10324191.26</v>
      </c>
      <c r="U75" s="1229">
        <v>10257958.039999999</v>
      </c>
      <c r="V75" s="1229">
        <v>10321851.24</v>
      </c>
      <c r="W75" s="1229">
        <v>10520713.949999999</v>
      </c>
      <c r="X75" s="1419">
        <v>10898495.970000001</v>
      </c>
    </row>
    <row r="76" spans="1:25" x14ac:dyDescent="0.3">
      <c r="H76" s="856"/>
      <c r="P76" s="10"/>
      <c r="Q76" s="10"/>
      <c r="R76" s="10"/>
      <c r="S76" s="10"/>
      <c r="T76" s="10"/>
      <c r="U76" s="10">
        <f>SUM(U56:U62)</f>
        <v>-1711676.4799999997</v>
      </c>
      <c r="V76" s="10">
        <f>SUM(V56:V62)</f>
        <v>-1313767.7400000002</v>
      </c>
      <c r="W76" s="10"/>
      <c r="X76" s="10"/>
      <c r="Y76" s="27"/>
    </row>
    <row r="77" spans="1:25" ht="17.399999999999999" thickBot="1" x14ac:dyDescent="0.35">
      <c r="A77" s="978" t="s">
        <v>691</v>
      </c>
      <c r="B77" s="978">
        <v>7464176.6299999999</v>
      </c>
      <c r="C77" s="978">
        <v>6912916.5600000015</v>
      </c>
      <c r="D77" s="978">
        <v>7847205.2399999993</v>
      </c>
      <c r="E77" s="978">
        <v>8022518.79</v>
      </c>
      <c r="F77" s="978">
        <v>7920687.29</v>
      </c>
      <c r="G77" s="978">
        <v>8434568.5200000014</v>
      </c>
      <c r="H77" s="978">
        <v>7378133.1899999985</v>
      </c>
      <c r="I77" s="978">
        <v>4698195.7699999996</v>
      </c>
      <c r="J77" s="978">
        <v>5386312.8899999997</v>
      </c>
      <c r="K77" s="978">
        <v>4974856.99</v>
      </c>
      <c r="L77" s="978">
        <v>5539048.4199999999</v>
      </c>
      <c r="M77" s="978">
        <v>5777166.4699999997</v>
      </c>
      <c r="N77" s="978">
        <v>7500155.879999999</v>
      </c>
      <c r="O77" s="1223">
        <v>6553612.9100000001</v>
      </c>
      <c r="P77" s="1227">
        <v>7257108.3800000008</v>
      </c>
      <c r="Q77" s="1227">
        <v>8286183.9100000001</v>
      </c>
      <c r="R77" s="1227">
        <v>8189022.8999999994</v>
      </c>
      <c r="S77" s="1227">
        <v>7575801.4699999997</v>
      </c>
      <c r="T77" s="1227">
        <v>6735647.0199999996</v>
      </c>
      <c r="U77" s="1227">
        <v>6561318.7599999998</v>
      </c>
      <c r="V77" s="1227">
        <v>6494669.3499999996</v>
      </c>
      <c r="W77" s="1227">
        <v>6599908.4699999997</v>
      </c>
      <c r="X77" s="1227">
        <v>6820693.879999999</v>
      </c>
    </row>
    <row r="78" spans="1:25" ht="17.399999999999999" thickTop="1" x14ac:dyDescent="0.3">
      <c r="A78" s="979" t="s">
        <v>255</v>
      </c>
      <c r="B78" s="979">
        <v>6709151.5300000003</v>
      </c>
      <c r="C78" s="979">
        <v>6182155.4900000002</v>
      </c>
      <c r="D78" s="979">
        <v>7117775.0299999993</v>
      </c>
      <c r="E78" s="979">
        <v>7294423.0099999998</v>
      </c>
      <c r="F78" s="979">
        <v>7278028.9900000002</v>
      </c>
      <c r="G78" s="979">
        <v>7738129.1400000006</v>
      </c>
      <c r="H78" s="979">
        <v>6712651.0899999999</v>
      </c>
      <c r="I78" s="979">
        <v>4038038.7</v>
      </c>
      <c r="J78" s="979">
        <v>4725793.75</v>
      </c>
      <c r="K78" s="979">
        <v>4327622.07</v>
      </c>
      <c r="L78" s="979">
        <v>4916194.3899999997</v>
      </c>
      <c r="M78" s="979">
        <v>5124674.4800000004</v>
      </c>
      <c r="N78" s="979">
        <v>5693653.4499999993</v>
      </c>
      <c r="O78" s="1226">
        <v>5268802.92</v>
      </c>
      <c r="P78" s="1229">
        <v>5974150.4400000004</v>
      </c>
      <c r="Q78" s="1229">
        <v>6996528.5599999996</v>
      </c>
      <c r="R78" s="1229">
        <v>6903381.1399999997</v>
      </c>
      <c r="S78" s="1229">
        <v>6288431.4699999997</v>
      </c>
      <c r="T78" s="1229">
        <v>5574285</v>
      </c>
      <c r="U78" s="1229">
        <v>5399995</v>
      </c>
      <c r="V78" s="1229">
        <v>5333269.34</v>
      </c>
      <c r="W78" s="1229">
        <v>5438508.46</v>
      </c>
      <c r="X78" s="1419">
        <v>5577293.8699999992</v>
      </c>
    </row>
    <row r="79" spans="1:25" ht="15.6" x14ac:dyDescent="0.3">
      <c r="A79" s="980" t="s">
        <v>255</v>
      </c>
      <c r="B79" s="981">
        <v>6136959.0300000003</v>
      </c>
      <c r="C79" s="981">
        <v>5409904.9400000004</v>
      </c>
      <c r="D79" s="981">
        <v>6101089.3099999996</v>
      </c>
      <c r="E79" s="981">
        <v>6483735.2199999997</v>
      </c>
      <c r="F79" s="981">
        <v>6267976.5</v>
      </c>
      <c r="G79" s="981">
        <v>6891380.9000000004</v>
      </c>
      <c r="H79" s="981">
        <v>6177857.1100000003</v>
      </c>
      <c r="I79" s="981">
        <v>3693498.93</v>
      </c>
      <c r="J79" s="981">
        <v>4422581.18</v>
      </c>
      <c r="K79" s="981">
        <v>4087305.95</v>
      </c>
      <c r="L79" s="981">
        <v>4374114.22</v>
      </c>
      <c r="M79" s="981">
        <v>4594791.3899999997</v>
      </c>
      <c r="N79" s="981">
        <v>5130537.8099999996</v>
      </c>
      <c r="O79" s="1224">
        <v>4730038.37</v>
      </c>
      <c r="P79" s="1228">
        <v>5277055.08</v>
      </c>
      <c r="Q79" s="1228">
        <v>6233807.8399999999</v>
      </c>
      <c r="R79" s="1228">
        <v>6300410.2999999998</v>
      </c>
      <c r="S79" s="1228">
        <v>5826587.2999999998</v>
      </c>
      <c r="T79" s="1228">
        <v>5073200.7</v>
      </c>
      <c r="U79" s="1228">
        <v>4952294.74</v>
      </c>
      <c r="V79" s="1228">
        <v>4833585.22</v>
      </c>
      <c r="W79" s="1228">
        <v>4690934.92</v>
      </c>
      <c r="X79" s="1228">
        <v>4910692.1399999997</v>
      </c>
    </row>
    <row r="80" spans="1:25" ht="15.6" x14ac:dyDescent="0.3">
      <c r="A80" s="972" t="s">
        <v>692</v>
      </c>
      <c r="B80" s="982">
        <v>211513.42</v>
      </c>
      <c r="C80" s="982">
        <v>131261.92000000001</v>
      </c>
      <c r="D80" s="982">
        <v>156078.81</v>
      </c>
      <c r="E80" s="982">
        <v>76916.91</v>
      </c>
      <c r="F80" s="982">
        <v>35837.99</v>
      </c>
      <c r="G80" s="982">
        <v>397585.83</v>
      </c>
      <c r="H80" s="982">
        <v>255132.38</v>
      </c>
      <c r="I80" s="982">
        <v>207494.59</v>
      </c>
      <c r="J80" s="982">
        <v>330766.84000000003</v>
      </c>
      <c r="K80" s="982">
        <v>119467.93</v>
      </c>
      <c r="L80" s="982">
        <v>124905.96</v>
      </c>
      <c r="M80" s="982">
        <v>138647.28</v>
      </c>
      <c r="N80" s="982">
        <v>144418.85</v>
      </c>
      <c r="O80" s="1225">
        <v>117314.16</v>
      </c>
      <c r="P80" s="985">
        <v>234638.25</v>
      </c>
      <c r="Q80" s="985">
        <v>73002.399999999994</v>
      </c>
      <c r="R80" s="985">
        <v>149981.12</v>
      </c>
      <c r="S80" s="985">
        <v>147026.64000000001</v>
      </c>
      <c r="T80" s="985">
        <v>130031.38</v>
      </c>
      <c r="U80" s="985">
        <v>110778.17</v>
      </c>
      <c r="V80" s="985">
        <v>148356.35</v>
      </c>
      <c r="W80" s="985">
        <v>142858.54999999999</v>
      </c>
      <c r="X80" s="985">
        <v>88948.88</v>
      </c>
    </row>
    <row r="81" spans="1:24" ht="15.6" x14ac:dyDescent="0.3">
      <c r="A81" s="972" t="s">
        <v>693</v>
      </c>
      <c r="B81" s="982">
        <v>76491.34</v>
      </c>
      <c r="C81" s="982">
        <v>76491.34</v>
      </c>
      <c r="D81" s="982">
        <v>76491.34</v>
      </c>
      <c r="E81" s="982">
        <v>76491.34</v>
      </c>
      <c r="F81" s="982">
        <v>76491.34</v>
      </c>
      <c r="G81" s="982">
        <v>76491.34</v>
      </c>
      <c r="H81" s="982">
        <v>76491.34</v>
      </c>
      <c r="I81" s="982">
        <v>76491.34</v>
      </c>
      <c r="J81" s="982">
        <v>76491.34</v>
      </c>
      <c r="K81" s="982">
        <v>76491.34</v>
      </c>
      <c r="L81" s="982">
        <v>78443.87</v>
      </c>
      <c r="M81" s="982">
        <v>78443.87</v>
      </c>
      <c r="N81" s="982">
        <v>78443.87</v>
      </c>
      <c r="O81" s="1225">
        <v>78443.87</v>
      </c>
      <c r="P81" s="985">
        <v>78443.87</v>
      </c>
      <c r="Q81" s="985">
        <v>78443.87</v>
      </c>
      <c r="R81" s="985">
        <v>78443.87</v>
      </c>
      <c r="S81" s="985">
        <v>78443.87</v>
      </c>
      <c r="T81" s="985">
        <v>78443.87</v>
      </c>
      <c r="U81" s="985">
        <v>78443.87</v>
      </c>
      <c r="V81" s="985">
        <v>78443.87</v>
      </c>
      <c r="W81" s="985">
        <v>78443.87</v>
      </c>
      <c r="X81" s="985">
        <v>78443.87</v>
      </c>
    </row>
    <row r="82" spans="1:24" ht="15.6" x14ac:dyDescent="0.3">
      <c r="A82" s="972" t="s">
        <v>694</v>
      </c>
      <c r="B82" s="982">
        <v>0</v>
      </c>
      <c r="C82" s="982">
        <v>0</v>
      </c>
      <c r="D82" s="982">
        <v>0</v>
      </c>
      <c r="E82" s="982">
        <v>0</v>
      </c>
      <c r="F82" s="982">
        <v>0</v>
      </c>
      <c r="G82" s="982">
        <v>0</v>
      </c>
      <c r="H82" s="982">
        <v>0</v>
      </c>
      <c r="I82" s="982">
        <v>0</v>
      </c>
      <c r="J82" s="982">
        <v>0</v>
      </c>
      <c r="K82" s="982">
        <v>0</v>
      </c>
      <c r="L82" s="982">
        <v>0</v>
      </c>
      <c r="M82" s="982">
        <v>0</v>
      </c>
      <c r="N82" s="982">
        <v>0</v>
      </c>
      <c r="O82" s="1225">
        <v>0</v>
      </c>
      <c r="P82" s="985">
        <v>0</v>
      </c>
      <c r="Q82" s="985">
        <v>0</v>
      </c>
      <c r="R82" s="985">
        <v>0</v>
      </c>
      <c r="S82" s="985">
        <v>0</v>
      </c>
      <c r="T82" s="985">
        <v>0</v>
      </c>
      <c r="U82" s="985">
        <v>0</v>
      </c>
      <c r="V82" s="985">
        <v>0</v>
      </c>
      <c r="W82" s="985">
        <v>0</v>
      </c>
      <c r="X82" s="985">
        <v>0</v>
      </c>
    </row>
    <row r="83" spans="1:24" ht="15.6" x14ac:dyDescent="0.3">
      <c r="A83" s="1398" t="s">
        <v>1284</v>
      </c>
      <c r="B83" s="982">
        <v>-56913.279999999999</v>
      </c>
      <c r="C83" s="982">
        <v>-56913.279999999999</v>
      </c>
      <c r="D83" s="982">
        <v>-56913.279999999999</v>
      </c>
      <c r="E83" s="982">
        <v>-56913.279999999999</v>
      </c>
      <c r="F83" s="982">
        <v>-56913.279999999999</v>
      </c>
      <c r="G83" s="982">
        <v>-56913.279999999999</v>
      </c>
      <c r="H83" s="982">
        <v>-56913.279999999999</v>
      </c>
      <c r="I83" s="982">
        <v>-56913.279999999999</v>
      </c>
      <c r="J83" s="982">
        <v>-56913.279999999999</v>
      </c>
      <c r="K83" s="982">
        <v>-56913.279999999999</v>
      </c>
      <c r="L83" s="982">
        <v>-56913.279999999999</v>
      </c>
      <c r="M83" s="982">
        <v>-56913.279999999999</v>
      </c>
      <c r="N83" s="982">
        <v>-56913.279999999999</v>
      </c>
      <c r="O83" s="1225">
        <v>-56913.279999999999</v>
      </c>
      <c r="P83" s="985">
        <v>-56913.279999999999</v>
      </c>
      <c r="Q83" s="985">
        <v>-56913.279999999999</v>
      </c>
      <c r="R83" s="985">
        <v>-56913.279999999999</v>
      </c>
      <c r="S83" s="985">
        <v>-56913.279999999999</v>
      </c>
      <c r="T83" s="985">
        <v>-56913.279999999999</v>
      </c>
      <c r="U83" s="985">
        <v>-56913.279999999999</v>
      </c>
      <c r="V83" s="985">
        <v>-56913.279999999999</v>
      </c>
      <c r="W83" s="985">
        <v>-56913.279999999999</v>
      </c>
      <c r="X83" s="985">
        <v>-56913.279999999999</v>
      </c>
    </row>
    <row r="84" spans="1:24" ht="15.6" x14ac:dyDescent="0.3">
      <c r="A84" s="972" t="s">
        <v>695</v>
      </c>
      <c r="B84" s="982">
        <v>74412.5</v>
      </c>
      <c r="C84" s="982">
        <v>85171.09</v>
      </c>
      <c r="D84" s="982">
        <v>89906.55</v>
      </c>
      <c r="E84" s="982">
        <v>132505.99</v>
      </c>
      <c r="F84" s="982">
        <v>133781.9</v>
      </c>
      <c r="G84" s="982">
        <v>170477.66</v>
      </c>
      <c r="H84" s="982">
        <v>185531.49</v>
      </c>
      <c r="I84" s="982">
        <v>62935.66</v>
      </c>
      <c r="J84" s="982">
        <v>99550.57</v>
      </c>
      <c r="K84" s="982">
        <v>129322.28</v>
      </c>
      <c r="L84" s="982">
        <v>143954.63</v>
      </c>
      <c r="M84" s="982">
        <v>148881.16</v>
      </c>
      <c r="N84" s="982">
        <v>60087.97</v>
      </c>
      <c r="O84" s="1225">
        <v>88810.01</v>
      </c>
      <c r="P84" s="985">
        <v>91539.71</v>
      </c>
      <c r="Q84" s="985">
        <v>144004.32999999999</v>
      </c>
      <c r="R84" s="985">
        <v>144996.39000000001</v>
      </c>
      <c r="S84" s="985">
        <v>190779.86</v>
      </c>
      <c r="T84" s="985">
        <v>76774.77</v>
      </c>
      <c r="U84" s="985">
        <v>76670.33</v>
      </c>
      <c r="V84" s="985">
        <v>112099.63</v>
      </c>
      <c r="W84" s="985">
        <v>132066.85</v>
      </c>
      <c r="X84" s="985">
        <v>162599.17000000001</v>
      </c>
    </row>
    <row r="85" spans="1:24" ht="15.6" x14ac:dyDescent="0.3">
      <c r="A85" s="972" t="s">
        <v>696</v>
      </c>
      <c r="B85" s="982">
        <v>0</v>
      </c>
      <c r="C85" s="982">
        <v>0</v>
      </c>
      <c r="D85" s="982">
        <v>0</v>
      </c>
      <c r="E85" s="982">
        <v>0</v>
      </c>
      <c r="F85" s="982">
        <v>0</v>
      </c>
      <c r="G85" s="982">
        <v>0</v>
      </c>
      <c r="H85" s="982">
        <v>0</v>
      </c>
      <c r="I85" s="982">
        <v>0</v>
      </c>
      <c r="J85" s="982">
        <v>0</v>
      </c>
      <c r="K85" s="982">
        <v>0</v>
      </c>
      <c r="L85" s="982">
        <v>0</v>
      </c>
      <c r="M85" s="982">
        <v>7200</v>
      </c>
      <c r="N85" s="982">
        <v>20000</v>
      </c>
      <c r="O85" s="1225">
        <v>0</v>
      </c>
      <c r="P85" s="985">
        <v>0</v>
      </c>
      <c r="Q85" s="985">
        <v>0</v>
      </c>
      <c r="R85" s="985">
        <v>0</v>
      </c>
      <c r="S85" s="985">
        <v>60000</v>
      </c>
      <c r="T85" s="985">
        <v>60000</v>
      </c>
      <c r="U85" s="985">
        <v>30000</v>
      </c>
      <c r="V85" s="985">
        <v>30000</v>
      </c>
      <c r="W85" s="985">
        <v>28332.27</v>
      </c>
      <c r="X85" s="985">
        <v>35000</v>
      </c>
    </row>
    <row r="86" spans="1:24" ht="15.6" x14ac:dyDescent="0.3">
      <c r="A86" s="972" t="s">
        <v>697</v>
      </c>
      <c r="B86" s="982">
        <v>33105</v>
      </c>
      <c r="C86" s="982">
        <v>12725</v>
      </c>
      <c r="D86" s="982">
        <v>18007</v>
      </c>
      <c r="E86" s="982">
        <v>20222</v>
      </c>
      <c r="F86" s="982">
        <v>15850.88</v>
      </c>
      <c r="G86" s="982">
        <v>20941.88</v>
      </c>
      <c r="H86" s="982">
        <v>24149</v>
      </c>
      <c r="I86" s="982">
        <v>13540.19</v>
      </c>
      <c r="J86" s="982">
        <v>20980.79</v>
      </c>
      <c r="K86" s="982">
        <v>19449.5</v>
      </c>
      <c r="L86" s="982">
        <v>16569.05</v>
      </c>
      <c r="M86" s="982">
        <v>13889</v>
      </c>
      <c r="N86" s="982">
        <v>19078.72</v>
      </c>
      <c r="O86" s="1225">
        <v>18495.599999999999</v>
      </c>
      <c r="P86" s="985">
        <v>8775.6</v>
      </c>
      <c r="Q86" s="985">
        <v>4442.1499999999996</v>
      </c>
      <c r="R86" s="985">
        <v>18174.240000000002</v>
      </c>
      <c r="S86" s="985">
        <v>61312.47</v>
      </c>
      <c r="T86" s="985">
        <v>10114.64</v>
      </c>
      <c r="U86" s="985">
        <v>23469.64</v>
      </c>
      <c r="V86" s="985">
        <v>27533</v>
      </c>
      <c r="W86" s="985">
        <v>16271</v>
      </c>
      <c r="X86" s="985">
        <v>154860</v>
      </c>
    </row>
    <row r="87" spans="1:24" ht="15.6" x14ac:dyDescent="0.3">
      <c r="A87" s="972" t="s">
        <v>698</v>
      </c>
      <c r="B87" s="982">
        <v>-217.51</v>
      </c>
      <c r="C87" s="982">
        <v>5259.53</v>
      </c>
      <c r="D87" s="982">
        <v>6353.38</v>
      </c>
      <c r="E87" s="982">
        <v>-217.51</v>
      </c>
      <c r="F87" s="982">
        <v>-217.51</v>
      </c>
      <c r="G87" s="982">
        <v>-217.51</v>
      </c>
      <c r="H87" s="982">
        <v>-217.51</v>
      </c>
      <c r="I87" s="982">
        <v>5422.79</v>
      </c>
      <c r="J87" s="982">
        <v>0</v>
      </c>
      <c r="K87" s="982">
        <v>0</v>
      </c>
      <c r="L87" s="982">
        <v>0</v>
      </c>
      <c r="M87" s="982">
        <v>0</v>
      </c>
      <c r="N87" s="982">
        <v>3567.24</v>
      </c>
      <c r="O87" s="1225">
        <v>0</v>
      </c>
      <c r="P87" s="985">
        <v>0</v>
      </c>
      <c r="Q87" s="985">
        <v>5159.32</v>
      </c>
      <c r="R87" s="985">
        <v>5159.32</v>
      </c>
      <c r="S87" s="985">
        <v>5159.32</v>
      </c>
      <c r="T87" s="985">
        <v>5159.32</v>
      </c>
      <c r="U87" s="985">
        <v>5159.32</v>
      </c>
      <c r="V87" s="985">
        <v>5160.29</v>
      </c>
      <c r="W87" s="985">
        <v>5160.29</v>
      </c>
      <c r="X87" s="985">
        <v>0</v>
      </c>
    </row>
    <row r="88" spans="1:24" ht="15.6" x14ac:dyDescent="0.3">
      <c r="A88" s="972" t="s">
        <v>699</v>
      </c>
      <c r="B88" s="982">
        <v>0</v>
      </c>
      <c r="C88" s="982">
        <v>0</v>
      </c>
      <c r="D88" s="982">
        <v>0</v>
      </c>
      <c r="E88" s="982">
        <v>0</v>
      </c>
      <c r="F88" s="982">
        <v>0</v>
      </c>
      <c r="G88" s="982">
        <v>0</v>
      </c>
      <c r="H88" s="982">
        <v>0</v>
      </c>
      <c r="I88" s="982">
        <v>0</v>
      </c>
      <c r="J88" s="982">
        <v>0</v>
      </c>
      <c r="K88" s="982">
        <v>0</v>
      </c>
      <c r="L88" s="982">
        <v>0</v>
      </c>
      <c r="M88" s="982">
        <v>0</v>
      </c>
      <c r="N88" s="982">
        <v>101740.84</v>
      </c>
      <c r="O88" s="1225">
        <v>101740.84</v>
      </c>
      <c r="P88" s="985">
        <v>101740.84</v>
      </c>
      <c r="Q88" s="985">
        <v>101740.84</v>
      </c>
      <c r="R88" s="985">
        <v>101740.84</v>
      </c>
      <c r="S88" s="985">
        <v>102540.84</v>
      </c>
      <c r="T88" s="985">
        <v>102540.84</v>
      </c>
      <c r="U88" s="985">
        <v>102540.84</v>
      </c>
      <c r="V88" s="985">
        <v>102540.84</v>
      </c>
      <c r="W88" s="985">
        <v>102540.84</v>
      </c>
      <c r="X88" s="985">
        <v>0</v>
      </c>
    </row>
    <row r="89" spans="1:24" ht="15.6" x14ac:dyDescent="0.3">
      <c r="A89" s="972" t="s">
        <v>700</v>
      </c>
      <c r="B89" s="982">
        <v>0</v>
      </c>
      <c r="C89" s="982">
        <v>0</v>
      </c>
      <c r="D89" s="982">
        <v>0</v>
      </c>
      <c r="E89" s="982">
        <v>-9179.84</v>
      </c>
      <c r="F89" s="982">
        <v>-9089.56</v>
      </c>
      <c r="G89" s="982">
        <v>-9089.56</v>
      </c>
      <c r="H89" s="982">
        <v>0</v>
      </c>
      <c r="I89" s="982">
        <v>0</v>
      </c>
      <c r="J89" s="982">
        <v>0</v>
      </c>
      <c r="K89" s="982">
        <v>0</v>
      </c>
      <c r="L89" s="982">
        <v>0</v>
      </c>
      <c r="M89" s="982">
        <v>0</v>
      </c>
      <c r="N89" s="982">
        <v>37433.760000000002</v>
      </c>
      <c r="O89" s="1225">
        <v>37612.65</v>
      </c>
      <c r="P89" s="985">
        <v>37612.65</v>
      </c>
      <c r="Q89" s="985">
        <v>37612.65</v>
      </c>
      <c r="R89" s="985">
        <v>37612.65</v>
      </c>
      <c r="S89" s="985">
        <v>37612.65</v>
      </c>
      <c r="T89" s="985">
        <v>37612.65</v>
      </c>
      <c r="U89" s="985">
        <v>37612.65</v>
      </c>
      <c r="V89" s="985">
        <v>37612.65</v>
      </c>
      <c r="W89" s="985">
        <v>37612.65</v>
      </c>
      <c r="X89" s="985">
        <v>0</v>
      </c>
    </row>
    <row r="90" spans="1:24" ht="15.6" x14ac:dyDescent="0.3">
      <c r="A90" s="972" t="s">
        <v>701</v>
      </c>
      <c r="B90" s="982">
        <v>5606.75</v>
      </c>
      <c r="C90" s="982">
        <v>11213.5</v>
      </c>
      <c r="D90" s="982">
        <v>16820.25</v>
      </c>
      <c r="E90" s="982">
        <v>22427</v>
      </c>
      <c r="F90" s="982">
        <v>0</v>
      </c>
      <c r="G90" s="982">
        <v>6044.62</v>
      </c>
      <c r="H90" s="982">
        <v>12089.24</v>
      </c>
      <c r="I90" s="982">
        <v>18133.86</v>
      </c>
      <c r="J90" s="982">
        <v>24178.48</v>
      </c>
      <c r="K90" s="982">
        <v>30223.1</v>
      </c>
      <c r="L90" s="982">
        <v>36267.72</v>
      </c>
      <c r="M90" s="982">
        <v>42312.34</v>
      </c>
      <c r="N90" s="982">
        <v>48356.959999999999</v>
      </c>
      <c r="O90" s="1225">
        <v>54401.58</v>
      </c>
      <c r="P90" s="985">
        <v>60446.2</v>
      </c>
      <c r="Q90" s="985">
        <v>32446.76</v>
      </c>
      <c r="R90" s="985">
        <v>0</v>
      </c>
      <c r="S90" s="985">
        <v>6044.62</v>
      </c>
      <c r="T90" s="985">
        <v>12089.24</v>
      </c>
      <c r="U90" s="985">
        <v>36308.86</v>
      </c>
      <c r="V90" s="985">
        <v>42353.48</v>
      </c>
      <c r="W90" s="985">
        <v>48398.1</v>
      </c>
      <c r="X90" s="985">
        <v>54442.720000000001</v>
      </c>
    </row>
    <row r="91" spans="1:24" ht="15.6" x14ac:dyDescent="0.3">
      <c r="A91" s="972" t="s">
        <v>702</v>
      </c>
      <c r="B91" s="982">
        <v>5729015.1900000004</v>
      </c>
      <c r="C91" s="982">
        <v>5073260.58</v>
      </c>
      <c r="D91" s="982">
        <v>5702010.3600000003</v>
      </c>
      <c r="E91" s="982">
        <v>6165049.0599999996</v>
      </c>
      <c r="F91" s="982">
        <v>6037160.0099999998</v>
      </c>
      <c r="G91" s="982">
        <v>6237002.5599999996</v>
      </c>
      <c r="H91" s="982">
        <v>5623054.3499999996</v>
      </c>
      <c r="I91" s="982">
        <v>3308669.27</v>
      </c>
      <c r="J91" s="982">
        <v>3854654.68</v>
      </c>
      <c r="K91" s="982">
        <v>3701914.82</v>
      </c>
      <c r="L91" s="982">
        <v>3984215.51</v>
      </c>
      <c r="M91" s="982">
        <v>4171708.76</v>
      </c>
      <c r="N91" s="982">
        <v>4610977.5999999996</v>
      </c>
      <c r="O91" s="1225">
        <v>4224947.2300000004</v>
      </c>
      <c r="P91" s="985">
        <v>4666660.16</v>
      </c>
      <c r="Q91" s="985">
        <v>5750039.0800000001</v>
      </c>
      <c r="R91" s="985">
        <v>5711456.4400000004</v>
      </c>
      <c r="S91" s="985">
        <v>5100104.97</v>
      </c>
      <c r="T91" s="985">
        <v>4535481.74</v>
      </c>
      <c r="U91" s="985">
        <v>4423043.87</v>
      </c>
      <c r="V91" s="985">
        <v>4213440.54</v>
      </c>
      <c r="W91" s="985">
        <v>4062408.22</v>
      </c>
      <c r="X91" s="985">
        <v>4314356.1100000003</v>
      </c>
    </row>
    <row r="92" spans="1:24" ht="15.6" x14ac:dyDescent="0.3">
      <c r="A92" s="972" t="s">
        <v>703</v>
      </c>
      <c r="B92" s="982">
        <v>12689.11</v>
      </c>
      <c r="C92" s="982">
        <v>12689.11</v>
      </c>
      <c r="D92" s="982">
        <v>12689.11</v>
      </c>
      <c r="E92" s="982">
        <v>12689.11</v>
      </c>
      <c r="F92" s="982">
        <v>12689.11</v>
      </c>
      <c r="G92" s="982">
        <v>12689.11</v>
      </c>
      <c r="H92" s="982">
        <v>12689.11</v>
      </c>
      <c r="I92" s="982">
        <v>12689.11</v>
      </c>
      <c r="J92" s="982">
        <v>12689.11</v>
      </c>
      <c r="K92" s="982">
        <v>12689.11</v>
      </c>
      <c r="L92" s="982">
        <v>12689.11</v>
      </c>
      <c r="M92" s="982">
        <v>12689.11</v>
      </c>
      <c r="N92" s="982">
        <v>12689.11</v>
      </c>
      <c r="O92" s="1225">
        <v>12689.11</v>
      </c>
      <c r="P92" s="985">
        <v>12689.11</v>
      </c>
      <c r="Q92" s="985">
        <v>12689.11</v>
      </c>
      <c r="R92" s="985">
        <v>12689.11</v>
      </c>
      <c r="S92" s="985">
        <v>12689.11</v>
      </c>
      <c r="T92" s="985">
        <v>12689.11</v>
      </c>
      <c r="U92" s="985">
        <v>12689.11</v>
      </c>
      <c r="V92" s="985">
        <v>12689.11</v>
      </c>
      <c r="W92" s="985">
        <v>12689.11</v>
      </c>
      <c r="X92" s="985">
        <v>0</v>
      </c>
    </row>
    <row r="93" spans="1:24" ht="15.6" x14ac:dyDescent="0.3">
      <c r="A93" s="972" t="s">
        <v>704</v>
      </c>
      <c r="B93" s="982">
        <v>51256.51</v>
      </c>
      <c r="C93" s="982">
        <v>58746.15</v>
      </c>
      <c r="D93" s="982">
        <v>79645.789999999994</v>
      </c>
      <c r="E93" s="982">
        <v>43744.44</v>
      </c>
      <c r="F93" s="982">
        <v>22385.62</v>
      </c>
      <c r="G93" s="982">
        <v>36368.25</v>
      </c>
      <c r="H93" s="982">
        <v>45850.99</v>
      </c>
      <c r="I93" s="982">
        <v>45035.4</v>
      </c>
      <c r="J93" s="982">
        <v>60182.65</v>
      </c>
      <c r="K93" s="982">
        <v>54661.15</v>
      </c>
      <c r="L93" s="982">
        <v>33981.65</v>
      </c>
      <c r="M93" s="982">
        <v>37933.15</v>
      </c>
      <c r="N93" s="982">
        <v>50656.17</v>
      </c>
      <c r="O93" s="1225">
        <v>52496.6</v>
      </c>
      <c r="P93" s="985">
        <v>41421.97</v>
      </c>
      <c r="Q93" s="985">
        <v>51140.61</v>
      </c>
      <c r="R93" s="985">
        <v>97069.6</v>
      </c>
      <c r="S93" s="985">
        <v>81786.23</v>
      </c>
      <c r="T93" s="985">
        <v>69176.42</v>
      </c>
      <c r="U93" s="985">
        <v>72491.360000000001</v>
      </c>
      <c r="V93" s="985">
        <v>80268.740000000005</v>
      </c>
      <c r="W93" s="985">
        <v>81066.45</v>
      </c>
      <c r="X93" s="985">
        <v>78954.67</v>
      </c>
    </row>
    <row r="94" spans="1:24" ht="15.6" x14ac:dyDescent="0.3">
      <c r="A94" s="972" t="s">
        <v>705</v>
      </c>
      <c r="B94" s="982">
        <v>0</v>
      </c>
      <c r="C94" s="982">
        <v>0</v>
      </c>
      <c r="D94" s="982">
        <v>0</v>
      </c>
      <c r="E94" s="982">
        <v>0</v>
      </c>
      <c r="F94" s="982">
        <v>0</v>
      </c>
      <c r="G94" s="982">
        <v>0</v>
      </c>
      <c r="H94" s="982">
        <v>0</v>
      </c>
      <c r="I94" s="982">
        <v>0</v>
      </c>
      <c r="J94" s="982">
        <v>0</v>
      </c>
      <c r="K94" s="982">
        <v>0</v>
      </c>
      <c r="L94" s="982">
        <v>0</v>
      </c>
      <c r="M94" s="982">
        <v>0</v>
      </c>
      <c r="N94" s="982">
        <v>0</v>
      </c>
      <c r="O94" s="1225">
        <v>0</v>
      </c>
      <c r="P94" s="985">
        <v>0</v>
      </c>
      <c r="Q94" s="985">
        <v>0</v>
      </c>
      <c r="R94" s="985">
        <v>0</v>
      </c>
      <c r="S94" s="985">
        <v>0</v>
      </c>
      <c r="T94" s="985">
        <v>0</v>
      </c>
      <c r="U94" s="985">
        <v>0</v>
      </c>
      <c r="V94" s="985">
        <v>0</v>
      </c>
      <c r="W94" s="985">
        <v>0</v>
      </c>
      <c r="X94" s="985">
        <v>0</v>
      </c>
    </row>
    <row r="95" spans="1:24" ht="15.6" x14ac:dyDescent="0.3">
      <c r="A95" s="980" t="s">
        <v>706</v>
      </c>
      <c r="B95" s="982">
        <v>6136959.0300000003</v>
      </c>
      <c r="C95" s="982">
        <v>5409904.9400000004</v>
      </c>
      <c r="D95" s="982">
        <v>6101089.3099999996</v>
      </c>
      <c r="E95" s="982">
        <v>6483735.2199999997</v>
      </c>
      <c r="F95" s="982">
        <v>6267976.5</v>
      </c>
      <c r="G95" s="982">
        <v>6891380.9000000004</v>
      </c>
      <c r="H95" s="982">
        <v>6177857.1100000003</v>
      </c>
      <c r="I95" s="982">
        <v>3693498.93</v>
      </c>
      <c r="J95" s="982">
        <v>4422581.18</v>
      </c>
      <c r="K95" s="982">
        <v>4087305.95</v>
      </c>
      <c r="L95" s="982">
        <v>4374114.22</v>
      </c>
      <c r="M95" s="982">
        <v>4594791.3899999997</v>
      </c>
      <c r="N95" s="982">
        <v>5130537.8099999996</v>
      </c>
      <c r="O95" s="1225">
        <v>4730038.37</v>
      </c>
      <c r="P95" s="985">
        <v>5277055.08</v>
      </c>
      <c r="Q95" s="985">
        <v>6233807.8399999999</v>
      </c>
      <c r="R95" s="985">
        <v>6300410.2999999998</v>
      </c>
      <c r="S95" s="985">
        <v>5826587.2999999998</v>
      </c>
      <c r="T95" s="985">
        <v>5073200.7</v>
      </c>
      <c r="U95" s="985">
        <v>4952294.74</v>
      </c>
      <c r="V95" s="985">
        <v>4833585.22</v>
      </c>
      <c r="W95" s="985">
        <v>4690934.92</v>
      </c>
      <c r="X95" s="985">
        <v>4910692.1399999997</v>
      </c>
    </row>
    <row r="96" spans="1:24" ht="15.6" x14ac:dyDescent="0.3">
      <c r="A96" s="980" t="s">
        <v>707</v>
      </c>
      <c r="B96" s="981">
        <v>572192.5</v>
      </c>
      <c r="C96" s="981">
        <v>772250.55</v>
      </c>
      <c r="D96" s="981">
        <v>1016685.72</v>
      </c>
      <c r="E96" s="981">
        <v>810687.79</v>
      </c>
      <c r="F96" s="981">
        <v>1010052.49</v>
      </c>
      <c r="G96" s="981">
        <v>846748.24</v>
      </c>
      <c r="H96" s="981">
        <v>534793.98</v>
      </c>
      <c r="I96" s="981">
        <v>344539.77</v>
      </c>
      <c r="J96" s="981">
        <v>303212.57</v>
      </c>
      <c r="K96" s="981">
        <v>240316.12</v>
      </c>
      <c r="L96" s="981">
        <v>542080.17000000004</v>
      </c>
      <c r="M96" s="981">
        <v>529883.09</v>
      </c>
      <c r="N96" s="981">
        <v>563115.64</v>
      </c>
      <c r="O96" s="1224">
        <v>538764.55000000005</v>
      </c>
      <c r="P96" s="1228">
        <v>697095.36</v>
      </c>
      <c r="Q96" s="1228">
        <v>762720.72</v>
      </c>
      <c r="R96" s="1228">
        <v>602970.84</v>
      </c>
      <c r="S96" s="1228">
        <v>461844.17</v>
      </c>
      <c r="T96" s="1228">
        <v>501084.3</v>
      </c>
      <c r="U96" s="1228">
        <v>447700.26</v>
      </c>
      <c r="V96" s="1228">
        <v>499684.12</v>
      </c>
      <c r="W96" s="1228">
        <v>747573.54</v>
      </c>
      <c r="X96" s="1228">
        <v>666601.73</v>
      </c>
    </row>
    <row r="97" spans="1:24" ht="15.6" x14ac:dyDescent="0.3">
      <c r="A97" s="972" t="s">
        <v>708</v>
      </c>
      <c r="B97" s="982">
        <v>584574.14</v>
      </c>
      <c r="C97" s="982">
        <v>784632.19</v>
      </c>
      <c r="D97" s="982">
        <v>1029067.36</v>
      </c>
      <c r="E97" s="982">
        <v>818846.08</v>
      </c>
      <c r="F97" s="982">
        <v>1016909.04</v>
      </c>
      <c r="G97" s="982">
        <v>775135.32</v>
      </c>
      <c r="H97" s="982">
        <v>468667.35</v>
      </c>
      <c r="I97" s="982">
        <v>261699.45</v>
      </c>
      <c r="J97" s="982">
        <v>249922.57</v>
      </c>
      <c r="K97" s="982">
        <v>158105.67000000001</v>
      </c>
      <c r="L97" s="982">
        <v>488929.03</v>
      </c>
      <c r="M97" s="982">
        <v>452873.85</v>
      </c>
      <c r="N97" s="982">
        <v>503548.12</v>
      </c>
      <c r="O97" s="1225">
        <v>500559.27</v>
      </c>
      <c r="P97" s="985">
        <v>658780.07999999996</v>
      </c>
      <c r="Q97" s="985">
        <v>750667.76</v>
      </c>
      <c r="R97" s="985">
        <v>590917.88</v>
      </c>
      <c r="S97" s="985">
        <v>439238.63</v>
      </c>
      <c r="T97" s="985">
        <v>482725.64</v>
      </c>
      <c r="U97" s="985">
        <v>437343.3</v>
      </c>
      <c r="V97" s="985">
        <v>489327.16</v>
      </c>
      <c r="W97" s="985">
        <v>724406.88</v>
      </c>
      <c r="X97" s="985">
        <v>641601.73</v>
      </c>
    </row>
    <row r="98" spans="1:24" ht="15.6" x14ac:dyDescent="0.3">
      <c r="A98" s="972" t="s">
        <v>709</v>
      </c>
      <c r="B98" s="982">
        <v>-12381.64</v>
      </c>
      <c r="C98" s="982">
        <v>-12381.64</v>
      </c>
      <c r="D98" s="982">
        <v>-12381.64</v>
      </c>
      <c r="E98" s="982">
        <v>-8158.29</v>
      </c>
      <c r="F98" s="982">
        <v>-6856.55</v>
      </c>
      <c r="G98" s="982">
        <v>71612.92</v>
      </c>
      <c r="H98" s="982">
        <v>66126.63</v>
      </c>
      <c r="I98" s="982">
        <v>82840.320000000007</v>
      </c>
      <c r="J98" s="982">
        <v>53290</v>
      </c>
      <c r="K98" s="982">
        <v>82210.45</v>
      </c>
      <c r="L98" s="982">
        <v>53151.14</v>
      </c>
      <c r="M98" s="982">
        <v>77009.240000000005</v>
      </c>
      <c r="N98" s="982">
        <v>59567.519999999997</v>
      </c>
      <c r="O98" s="1225">
        <v>38205.279999999999</v>
      </c>
      <c r="P98" s="985">
        <v>38315.279999999999</v>
      </c>
      <c r="Q98" s="985">
        <v>12052.96</v>
      </c>
      <c r="R98" s="985">
        <v>12052.96</v>
      </c>
      <c r="S98" s="985">
        <v>22605.54</v>
      </c>
      <c r="T98" s="985">
        <v>18358.66</v>
      </c>
      <c r="U98" s="985">
        <v>10356.959999999999</v>
      </c>
      <c r="V98" s="985">
        <v>10356.959999999999</v>
      </c>
      <c r="W98" s="985">
        <v>23166.66</v>
      </c>
      <c r="X98" s="985">
        <v>25000</v>
      </c>
    </row>
    <row r="99" spans="1:24" ht="15.6" x14ac:dyDescent="0.3">
      <c r="A99" s="980" t="s">
        <v>710</v>
      </c>
      <c r="B99" s="982">
        <v>572192.5</v>
      </c>
      <c r="C99" s="982">
        <v>772250.55</v>
      </c>
      <c r="D99" s="982">
        <v>1016685.72</v>
      </c>
      <c r="E99" s="982">
        <v>810687.79</v>
      </c>
      <c r="F99" s="982">
        <v>1010052.49</v>
      </c>
      <c r="G99" s="982">
        <v>846748.24</v>
      </c>
      <c r="H99" s="982">
        <v>534793.98</v>
      </c>
      <c r="I99" s="982">
        <v>344539.77</v>
      </c>
      <c r="J99" s="982">
        <v>303212.57</v>
      </c>
      <c r="K99" s="982">
        <v>240316.12</v>
      </c>
      <c r="L99" s="982">
        <v>542080.17000000004</v>
      </c>
      <c r="M99" s="982">
        <v>529883.09</v>
      </c>
      <c r="N99" s="982">
        <v>563115.64</v>
      </c>
      <c r="O99" s="1225">
        <v>538764.55000000005</v>
      </c>
      <c r="P99" s="985">
        <v>697095.36</v>
      </c>
      <c r="Q99" s="985">
        <v>762720.72</v>
      </c>
      <c r="R99" s="985">
        <v>602970.84</v>
      </c>
      <c r="S99" s="985">
        <v>461844.17</v>
      </c>
      <c r="T99" s="985">
        <v>501084.3</v>
      </c>
      <c r="U99" s="985">
        <v>447700.26</v>
      </c>
      <c r="V99" s="985">
        <v>499684.12</v>
      </c>
      <c r="W99" s="985">
        <v>747573.54</v>
      </c>
      <c r="X99" s="985">
        <v>666601.73</v>
      </c>
    </row>
    <row r="100" spans="1:24" ht="15.6" x14ac:dyDescent="0.3">
      <c r="A100" s="981" t="s">
        <v>706</v>
      </c>
      <c r="B100" s="981">
        <v>6709151.5300000003</v>
      </c>
      <c r="C100" s="981">
        <v>6182155.4900000002</v>
      </c>
      <c r="D100" s="981">
        <v>7117775.0299999993</v>
      </c>
      <c r="E100" s="981">
        <v>7294423.0099999998</v>
      </c>
      <c r="F100" s="981">
        <v>7278028.9900000002</v>
      </c>
      <c r="G100" s="981">
        <v>7738129.1400000006</v>
      </c>
      <c r="H100" s="981">
        <v>6712651.0899999999</v>
      </c>
      <c r="I100" s="981">
        <v>4038038.7</v>
      </c>
      <c r="J100" s="981">
        <v>4725793.75</v>
      </c>
      <c r="K100" s="981">
        <v>4327622.07</v>
      </c>
      <c r="L100" s="981">
        <v>4916194.3899999997</v>
      </c>
      <c r="M100" s="981">
        <v>5124674.4800000004</v>
      </c>
      <c r="N100" s="981">
        <v>5693653.4499999993</v>
      </c>
      <c r="O100" s="1224">
        <v>5268802.92</v>
      </c>
      <c r="P100" s="1228">
        <v>5974150.4400000004</v>
      </c>
      <c r="Q100" s="1228">
        <v>6996528.5599999996</v>
      </c>
      <c r="R100" s="1228">
        <v>6903381.1399999997</v>
      </c>
      <c r="S100" s="1228">
        <v>6288431.4699999997</v>
      </c>
      <c r="T100" s="1228">
        <v>5574285</v>
      </c>
      <c r="U100" s="1228">
        <v>5399995</v>
      </c>
      <c r="V100" s="1228">
        <v>5333269.34</v>
      </c>
      <c r="W100" s="1228">
        <v>5438508.46</v>
      </c>
      <c r="X100" s="1228">
        <v>5577293.8699999992</v>
      </c>
    </row>
    <row r="101" spans="1:24" ht="16.8" x14ac:dyDescent="0.3">
      <c r="A101" s="979" t="s">
        <v>711</v>
      </c>
      <c r="B101" s="979">
        <v>755025.1</v>
      </c>
      <c r="C101" s="979">
        <v>730761.07</v>
      </c>
      <c r="D101" s="979">
        <v>729430.21</v>
      </c>
      <c r="E101" s="979">
        <v>728095.78</v>
      </c>
      <c r="F101" s="979">
        <v>642658.30000000005</v>
      </c>
      <c r="G101" s="979">
        <v>696439.38</v>
      </c>
      <c r="H101" s="979">
        <v>665482.1</v>
      </c>
      <c r="I101" s="979">
        <v>660157.06999999995</v>
      </c>
      <c r="J101" s="979">
        <v>660519.14</v>
      </c>
      <c r="K101" s="979">
        <v>647234.92000000004</v>
      </c>
      <c r="L101" s="979">
        <v>622854.03</v>
      </c>
      <c r="M101" s="979">
        <v>652491.99</v>
      </c>
      <c r="N101" s="979">
        <v>1806502.43</v>
      </c>
      <c r="O101" s="1226">
        <v>1284809.99</v>
      </c>
      <c r="P101" s="1229">
        <v>1282957.94</v>
      </c>
      <c r="Q101" s="1229">
        <v>1289655.3500000001</v>
      </c>
      <c r="R101" s="1229">
        <v>1285641.76</v>
      </c>
      <c r="S101" s="1229">
        <v>1287370</v>
      </c>
      <c r="T101" s="1229">
        <v>1161362.02</v>
      </c>
      <c r="U101" s="1229">
        <v>1161323.76</v>
      </c>
      <c r="V101" s="1229">
        <v>1161400.01</v>
      </c>
      <c r="W101" s="1229">
        <v>1161400.01</v>
      </c>
      <c r="X101" s="1419">
        <v>1243400.01</v>
      </c>
    </row>
    <row r="102" spans="1:24" ht="15.6" x14ac:dyDescent="0.3">
      <c r="A102" s="972" t="s">
        <v>712</v>
      </c>
      <c r="B102" s="982">
        <v>79717.56</v>
      </c>
      <c r="C102" s="982">
        <v>79717.56</v>
      </c>
      <c r="D102" s="982">
        <v>79717.56</v>
      </c>
      <c r="E102" s="982">
        <v>79717.56</v>
      </c>
      <c r="F102" s="982">
        <v>18861.23</v>
      </c>
      <c r="G102" s="982">
        <v>11931.42</v>
      </c>
      <c r="H102" s="982">
        <v>5728.26</v>
      </c>
      <c r="I102" s="982">
        <v>1752.05</v>
      </c>
      <c r="J102" s="982">
        <v>3466.55</v>
      </c>
      <c r="K102" s="982">
        <v>740.89</v>
      </c>
      <c r="L102" s="982">
        <v>1295.57</v>
      </c>
      <c r="M102" s="982">
        <v>1621.88</v>
      </c>
      <c r="N102" s="982">
        <v>2637.22</v>
      </c>
      <c r="O102" s="1225">
        <v>-7087.12</v>
      </c>
      <c r="P102" s="985">
        <v>-5586.98</v>
      </c>
      <c r="Q102" s="985">
        <v>4415.5600000000004</v>
      </c>
      <c r="R102" s="985">
        <v>3707.1</v>
      </c>
      <c r="S102" s="985">
        <v>8798.61</v>
      </c>
      <c r="T102" s="985">
        <v>9962.01</v>
      </c>
      <c r="U102" s="985">
        <v>9923.75</v>
      </c>
      <c r="V102" s="985">
        <v>10000</v>
      </c>
      <c r="W102" s="985">
        <v>10000</v>
      </c>
      <c r="X102" s="985">
        <v>92000</v>
      </c>
    </row>
    <row r="103" spans="1:24" ht="15.6" x14ac:dyDescent="0.3">
      <c r="A103" s="972" t="s">
        <v>713</v>
      </c>
      <c r="B103" s="982">
        <v>601784.23</v>
      </c>
      <c r="C103" s="982">
        <v>578847.5</v>
      </c>
      <c r="D103" s="982">
        <v>578847.5</v>
      </c>
      <c r="E103" s="982">
        <v>578847.5</v>
      </c>
      <c r="F103" s="982">
        <v>555604.37</v>
      </c>
      <c r="G103" s="982">
        <v>555604.37</v>
      </c>
      <c r="H103" s="982">
        <v>532195.46</v>
      </c>
      <c r="I103" s="982">
        <v>532195.46</v>
      </c>
      <c r="J103" s="982">
        <v>532195.46</v>
      </c>
      <c r="K103" s="982">
        <v>532195.46</v>
      </c>
      <c r="L103" s="982">
        <v>508619.59</v>
      </c>
      <c r="M103" s="982">
        <v>508619.59</v>
      </c>
      <c r="N103" s="982">
        <v>508619.59</v>
      </c>
      <c r="O103" s="1225">
        <v>0</v>
      </c>
      <c r="P103" s="985">
        <v>0</v>
      </c>
      <c r="Q103" s="985">
        <v>0</v>
      </c>
      <c r="R103" s="985">
        <v>0</v>
      </c>
      <c r="S103" s="985">
        <v>0</v>
      </c>
      <c r="T103" s="985">
        <v>0</v>
      </c>
      <c r="U103" s="985">
        <v>0</v>
      </c>
      <c r="V103" s="985">
        <v>0</v>
      </c>
      <c r="W103" s="985">
        <v>0</v>
      </c>
      <c r="X103" s="985">
        <v>0</v>
      </c>
    </row>
    <row r="104" spans="1:24" ht="15.6" x14ac:dyDescent="0.3">
      <c r="A104" s="972" t="s">
        <v>714</v>
      </c>
      <c r="B104" s="982">
        <v>73523.31</v>
      </c>
      <c r="C104" s="982">
        <v>72196.009999999995</v>
      </c>
      <c r="D104" s="982">
        <v>70865.149999999994</v>
      </c>
      <c r="E104" s="982">
        <v>69530.720000000001</v>
      </c>
      <c r="F104" s="982">
        <v>68192.7</v>
      </c>
      <c r="G104" s="982">
        <v>128903.59</v>
      </c>
      <c r="H104" s="982">
        <v>127558.38</v>
      </c>
      <c r="I104" s="982">
        <v>126209.56</v>
      </c>
      <c r="J104" s="982">
        <v>124857.13</v>
      </c>
      <c r="K104" s="982">
        <v>114298.57</v>
      </c>
      <c r="L104" s="982">
        <v>112938.87</v>
      </c>
      <c r="M104" s="982">
        <v>142250.51999999999</v>
      </c>
      <c r="N104" s="982">
        <v>143845.60999999999</v>
      </c>
      <c r="O104" s="1225">
        <v>140497.1</v>
      </c>
      <c r="P104" s="985">
        <v>137144.91</v>
      </c>
      <c r="Q104" s="985">
        <v>133839.78</v>
      </c>
      <c r="R104" s="985">
        <v>130534.65</v>
      </c>
      <c r="S104" s="985">
        <v>127171.38</v>
      </c>
      <c r="T104" s="985">
        <v>0</v>
      </c>
      <c r="U104" s="985">
        <v>0</v>
      </c>
      <c r="V104" s="985">
        <v>0</v>
      </c>
      <c r="W104" s="985">
        <v>0</v>
      </c>
      <c r="X104" s="985">
        <v>0</v>
      </c>
    </row>
    <row r="105" spans="1:24" ht="15.6" x14ac:dyDescent="0.3">
      <c r="A105" s="1398" t="s">
        <v>1285</v>
      </c>
      <c r="B105" s="982">
        <v>0</v>
      </c>
      <c r="C105" s="982">
        <v>0</v>
      </c>
      <c r="D105" s="982">
        <v>0</v>
      </c>
      <c r="E105" s="982">
        <v>0</v>
      </c>
      <c r="F105" s="982">
        <v>0</v>
      </c>
      <c r="G105" s="982">
        <v>0</v>
      </c>
      <c r="H105" s="982">
        <v>0</v>
      </c>
      <c r="I105" s="982">
        <v>0</v>
      </c>
      <c r="J105" s="982">
        <v>0</v>
      </c>
      <c r="K105" s="982">
        <v>0</v>
      </c>
      <c r="L105" s="982">
        <v>0</v>
      </c>
      <c r="M105" s="982">
        <v>0</v>
      </c>
      <c r="N105" s="982">
        <v>1151400.01</v>
      </c>
      <c r="O105" s="1225">
        <v>1151400.01</v>
      </c>
      <c r="P105" s="985">
        <v>1151400.01</v>
      </c>
      <c r="Q105" s="985">
        <v>1151400.01</v>
      </c>
      <c r="R105" s="985">
        <v>1151400.01</v>
      </c>
      <c r="S105" s="985">
        <v>1151400.01</v>
      </c>
      <c r="T105" s="985">
        <v>1151400.01</v>
      </c>
      <c r="U105" s="985">
        <v>1151400.01</v>
      </c>
      <c r="V105" s="985">
        <v>1151400.01</v>
      </c>
      <c r="W105" s="985">
        <v>1151400.01</v>
      </c>
      <c r="X105" s="985">
        <v>1151400.01</v>
      </c>
    </row>
    <row r="106" spans="1:24" ht="15.6" x14ac:dyDescent="0.3">
      <c r="A106" s="981" t="s">
        <v>715</v>
      </c>
      <c r="B106" s="981">
        <v>755025.1</v>
      </c>
      <c r="C106" s="981">
        <v>730761.07</v>
      </c>
      <c r="D106" s="981">
        <v>729430.21</v>
      </c>
      <c r="E106" s="981">
        <v>728095.78</v>
      </c>
      <c r="F106" s="981">
        <v>642658.30000000005</v>
      </c>
      <c r="G106" s="981">
        <v>696439.38</v>
      </c>
      <c r="H106" s="981">
        <v>665482.1</v>
      </c>
      <c r="I106" s="981">
        <v>660157.06999999995</v>
      </c>
      <c r="J106" s="981">
        <v>660519.14</v>
      </c>
      <c r="K106" s="981">
        <v>647234.92000000004</v>
      </c>
      <c r="L106" s="981">
        <v>622854.03</v>
      </c>
      <c r="M106" s="981">
        <v>652491.99</v>
      </c>
      <c r="N106" s="981">
        <v>1806502.43</v>
      </c>
      <c r="O106" s="1224">
        <v>1284809.99</v>
      </c>
      <c r="P106" s="1228">
        <v>1282957.94</v>
      </c>
      <c r="Q106" s="1228">
        <v>1289655.3500000001</v>
      </c>
      <c r="R106" s="1228">
        <v>1285641.76</v>
      </c>
      <c r="S106" s="1228">
        <v>1287370</v>
      </c>
      <c r="T106" s="1228">
        <v>1161362.02</v>
      </c>
      <c r="U106" s="1228">
        <v>1161323.76</v>
      </c>
      <c r="V106" s="1228">
        <v>1161400.01</v>
      </c>
      <c r="W106" s="1228">
        <v>1161400.01</v>
      </c>
      <c r="X106" s="1228">
        <v>1243400.01</v>
      </c>
    </row>
    <row r="107" spans="1:24" ht="16.8" x14ac:dyDescent="0.3">
      <c r="A107" s="979" t="s">
        <v>716</v>
      </c>
      <c r="B107" s="979">
        <v>7464176.6299999999</v>
      </c>
      <c r="C107" s="979">
        <v>6912916.5600000015</v>
      </c>
      <c r="D107" s="979">
        <v>7847205.2399999993</v>
      </c>
      <c r="E107" s="979">
        <v>8022518.79</v>
      </c>
      <c r="F107" s="979">
        <v>7920687.29</v>
      </c>
      <c r="G107" s="979">
        <v>8434568.5200000014</v>
      </c>
      <c r="H107" s="979">
        <v>7378133.1899999985</v>
      </c>
      <c r="I107" s="979">
        <v>4698195.7699999996</v>
      </c>
      <c r="J107" s="979">
        <v>5386312.8899999997</v>
      </c>
      <c r="K107" s="979">
        <v>4974856.99</v>
      </c>
      <c r="L107" s="979">
        <v>5539048.4199999999</v>
      </c>
      <c r="M107" s="979">
        <v>5777166.4699999997</v>
      </c>
      <c r="N107" s="979">
        <v>7500155.879999999</v>
      </c>
      <c r="O107" s="1226">
        <v>6553612.9100000001</v>
      </c>
      <c r="P107" s="1229">
        <v>7257108.3800000008</v>
      </c>
      <c r="Q107" s="1229">
        <v>8286183.9100000001</v>
      </c>
      <c r="R107" s="1229">
        <v>8189022.8999999994</v>
      </c>
      <c r="S107" s="1229">
        <v>7575801.4699999997</v>
      </c>
      <c r="T107" s="1229">
        <v>6735647.0199999996</v>
      </c>
      <c r="U107" s="1229">
        <v>6561318.7599999998</v>
      </c>
      <c r="V107" s="1229">
        <v>6494669.3499999996</v>
      </c>
      <c r="W107" s="1229">
        <v>6599908.4699999997</v>
      </c>
      <c r="X107" s="1419">
        <v>6820693.879999999</v>
      </c>
    </row>
    <row r="108" spans="1:24" x14ac:dyDescent="0.3">
      <c r="P108" s="10"/>
      <c r="Q108" s="10"/>
      <c r="R108" s="10"/>
      <c r="S108" s="10"/>
      <c r="T108" s="10"/>
      <c r="U108" s="10"/>
      <c r="V108" s="10"/>
      <c r="W108" s="10"/>
      <c r="X108" s="10"/>
    </row>
    <row r="109" spans="1:24" ht="17.399999999999999" thickBot="1" x14ac:dyDescent="0.35">
      <c r="A109" s="978" t="s">
        <v>717</v>
      </c>
      <c r="B109" s="978">
        <v>2574334.56</v>
      </c>
      <c r="C109" s="978">
        <v>2634768.92</v>
      </c>
      <c r="D109" s="978">
        <v>2851370.7</v>
      </c>
      <c r="E109" s="978">
        <v>2897700.22</v>
      </c>
      <c r="F109" s="978">
        <v>1814082.4</v>
      </c>
      <c r="G109" s="978">
        <v>1685689.67</v>
      </c>
      <c r="H109" s="978">
        <v>1964928.33</v>
      </c>
      <c r="I109" s="978">
        <v>1945075.35</v>
      </c>
      <c r="J109" s="978">
        <v>2449753.34</v>
      </c>
      <c r="K109" s="978">
        <v>2681478.41</v>
      </c>
      <c r="L109" s="978">
        <v>2743290.9</v>
      </c>
      <c r="M109" s="978">
        <v>2888334.67</v>
      </c>
      <c r="N109" s="1227">
        <v>3109833.67</v>
      </c>
      <c r="O109" s="1223">
        <v>2837762.1</v>
      </c>
      <c r="P109" s="1227">
        <v>2912452.76</v>
      </c>
      <c r="Q109" s="1227">
        <v>3259564.27</v>
      </c>
      <c r="R109" s="1227">
        <v>2965630.16</v>
      </c>
      <c r="S109" s="1227">
        <v>3401843.76</v>
      </c>
      <c r="T109" s="1227">
        <v>3588544.17</v>
      </c>
      <c r="U109" s="1227">
        <v>3696639.21</v>
      </c>
      <c r="V109" s="1227">
        <v>3827181.82</v>
      </c>
      <c r="W109" s="1227">
        <v>3920805.41</v>
      </c>
      <c r="X109" s="1227">
        <v>4077802.02</v>
      </c>
    </row>
    <row r="110" spans="1:24" ht="17.399999999999999" thickTop="1" x14ac:dyDescent="0.3">
      <c r="A110" s="979" t="s">
        <v>718</v>
      </c>
      <c r="B110" s="979">
        <v>0</v>
      </c>
      <c r="C110" s="979">
        <v>60434.359999999993</v>
      </c>
      <c r="D110" s="979">
        <v>277036.14</v>
      </c>
      <c r="E110" s="979">
        <v>323365.65999999992</v>
      </c>
      <c r="F110" s="979">
        <v>57822.839999999967</v>
      </c>
      <c r="G110" s="979">
        <v>-70569.890000000014</v>
      </c>
      <c r="H110" s="979">
        <v>208668.77</v>
      </c>
      <c r="I110" s="979">
        <v>188815.78999999989</v>
      </c>
      <c r="J110" s="979">
        <v>693493.78</v>
      </c>
      <c r="K110" s="979">
        <v>925218.84999999986</v>
      </c>
      <c r="L110" s="979">
        <v>1061295.67</v>
      </c>
      <c r="M110" s="979">
        <v>1206339.44</v>
      </c>
      <c r="N110" s="979">
        <v>0</v>
      </c>
      <c r="O110" s="1226">
        <v>-272071.57000000012</v>
      </c>
      <c r="P110" s="1229">
        <v>-197380.90999999989</v>
      </c>
      <c r="Q110" s="1229">
        <v>149730.60000000009</v>
      </c>
      <c r="R110" s="1229">
        <v>355796.49000000022</v>
      </c>
      <c r="S110" s="1229">
        <v>792010.08999999985</v>
      </c>
      <c r="T110" s="1229">
        <v>978710.5</v>
      </c>
      <c r="U110" s="1229">
        <v>1086805.54</v>
      </c>
      <c r="V110" s="1229">
        <v>1217348.1499999999</v>
      </c>
      <c r="W110" s="1229">
        <v>1310971.74</v>
      </c>
      <c r="X110" s="1419">
        <v>1467968.35</v>
      </c>
    </row>
    <row r="111" spans="1:24" ht="15.6" x14ac:dyDescent="0.3">
      <c r="A111" s="980" t="s">
        <v>719</v>
      </c>
      <c r="B111" s="981">
        <v>-1.396983861923218E-9</v>
      </c>
      <c r="C111" s="981">
        <v>60434.359999999993</v>
      </c>
      <c r="D111" s="981">
        <v>277036.13999999978</v>
      </c>
      <c r="E111" s="981">
        <v>323365.66000000038</v>
      </c>
      <c r="F111" s="981">
        <v>57822.840000000317</v>
      </c>
      <c r="G111" s="981">
        <v>-70569.890000000363</v>
      </c>
      <c r="H111" s="981">
        <v>208668.77000000031</v>
      </c>
      <c r="I111" s="981">
        <v>188815.78999999911</v>
      </c>
      <c r="J111" s="981">
        <v>693493.77999999886</v>
      </c>
      <c r="K111" s="981">
        <v>925218.84999999963</v>
      </c>
      <c r="L111" s="981">
        <v>1061295.67</v>
      </c>
      <c r="M111" s="981">
        <v>1206339.439999999</v>
      </c>
      <c r="N111" s="1224">
        <v>-2.328306436538696E-10</v>
      </c>
      <c r="O111" s="1224">
        <v>-272071.57000000012</v>
      </c>
      <c r="P111" s="1228">
        <v>-197380.91000000009</v>
      </c>
      <c r="Q111" s="1228">
        <v>149730.60000000021</v>
      </c>
      <c r="R111" s="1228">
        <v>355796.49</v>
      </c>
      <c r="S111" s="1228">
        <v>792010.09000000008</v>
      </c>
      <c r="T111" s="1228">
        <v>978710.50000000035</v>
      </c>
      <c r="U111" s="1228">
        <v>1086805.54</v>
      </c>
      <c r="V111" s="1228">
        <v>1217348.1499999999</v>
      </c>
      <c r="W111" s="1228">
        <v>1310971.7399999991</v>
      </c>
      <c r="X111" s="1228">
        <v>1467968.35</v>
      </c>
    </row>
    <row r="112" spans="1:24" ht="15.6" x14ac:dyDescent="0.3">
      <c r="A112" s="972" t="s">
        <v>720</v>
      </c>
      <c r="B112" s="982">
        <v>669250.7499999986</v>
      </c>
      <c r="C112" s="982">
        <v>60434.359999999993</v>
      </c>
      <c r="D112" s="982">
        <v>277036.13999999978</v>
      </c>
      <c r="E112" s="982">
        <v>323365.66000000038</v>
      </c>
      <c r="F112" s="982">
        <v>57822.840000000317</v>
      </c>
      <c r="G112" s="982">
        <v>-70569.890000000363</v>
      </c>
      <c r="H112" s="982">
        <v>208668.77000000031</v>
      </c>
      <c r="I112" s="982">
        <v>188815.78999999911</v>
      </c>
      <c r="J112" s="982">
        <v>693493.77999999886</v>
      </c>
      <c r="K112" s="982">
        <v>925218.84999999963</v>
      </c>
      <c r="L112" s="982">
        <v>1061295.67</v>
      </c>
      <c r="M112" s="982">
        <v>1206339.439999999</v>
      </c>
      <c r="N112" s="1225">
        <v>1440160.97</v>
      </c>
      <c r="O112" s="1225">
        <v>-272071.57000000012</v>
      </c>
      <c r="P112" s="985">
        <v>-197380.91000000009</v>
      </c>
      <c r="Q112" s="985">
        <v>149730.60000000021</v>
      </c>
      <c r="R112" s="985">
        <v>355796.49</v>
      </c>
      <c r="S112" s="985">
        <v>792010.09000000008</v>
      </c>
      <c r="T112" s="985">
        <v>978710.50000000035</v>
      </c>
      <c r="U112" s="985">
        <v>1086805.54</v>
      </c>
      <c r="V112" s="985">
        <v>1217348.1499999999</v>
      </c>
      <c r="W112" s="985">
        <v>1310971.7399999991</v>
      </c>
      <c r="X112" s="985">
        <v>1467968.35</v>
      </c>
    </row>
    <row r="113" spans="1:24" ht="15.6" x14ac:dyDescent="0.3">
      <c r="A113" s="972" t="s">
        <v>721</v>
      </c>
      <c r="B113" s="982">
        <v>-669250.75</v>
      </c>
      <c r="C113" s="982">
        <v>0</v>
      </c>
      <c r="D113" s="982">
        <v>0</v>
      </c>
      <c r="E113" s="982">
        <v>0</v>
      </c>
      <c r="F113" s="982">
        <v>0</v>
      </c>
      <c r="G113" s="982">
        <v>0</v>
      </c>
      <c r="H113" s="982">
        <v>0</v>
      </c>
      <c r="I113" s="982">
        <v>0</v>
      </c>
      <c r="J113" s="982">
        <v>0</v>
      </c>
      <c r="K113" s="982">
        <v>0</v>
      </c>
      <c r="L113" s="982">
        <v>0</v>
      </c>
      <c r="M113" s="982">
        <v>0</v>
      </c>
      <c r="N113" s="1225">
        <v>-1440160.97</v>
      </c>
      <c r="O113" s="1225">
        <v>0</v>
      </c>
      <c r="P113" s="985">
        <v>0</v>
      </c>
      <c r="Q113" s="985">
        <v>0</v>
      </c>
      <c r="R113" s="985">
        <v>0</v>
      </c>
      <c r="S113" s="985">
        <v>0</v>
      </c>
      <c r="T113" s="985">
        <v>0</v>
      </c>
      <c r="U113" s="985">
        <v>0</v>
      </c>
      <c r="V113" s="985">
        <v>0</v>
      </c>
      <c r="W113" s="985">
        <v>0</v>
      </c>
      <c r="X113" s="985">
        <v>0</v>
      </c>
    </row>
    <row r="114" spans="1:24" ht="15.6" x14ac:dyDescent="0.3">
      <c r="A114" s="980" t="s">
        <v>722</v>
      </c>
      <c r="B114" s="982">
        <v>-1.396983861923218E-9</v>
      </c>
      <c r="C114" s="982">
        <v>60434.359999999993</v>
      </c>
      <c r="D114" s="982">
        <v>277036.13999999978</v>
      </c>
      <c r="E114" s="982">
        <v>323365.66000000038</v>
      </c>
      <c r="F114" s="982">
        <v>57822.840000000317</v>
      </c>
      <c r="G114" s="982">
        <v>-70569.890000000363</v>
      </c>
      <c r="H114" s="982">
        <v>208668.77000000031</v>
      </c>
      <c r="I114" s="982">
        <v>188815.78999999911</v>
      </c>
      <c r="J114" s="982">
        <v>693493.77999999886</v>
      </c>
      <c r="K114" s="982">
        <v>925218.84999999963</v>
      </c>
      <c r="L114" s="982">
        <v>1061295.67</v>
      </c>
      <c r="M114" s="982">
        <v>1206339.439999999</v>
      </c>
      <c r="N114" s="1225">
        <v>-2.328306436538696E-10</v>
      </c>
      <c r="O114" s="1225">
        <v>-272071.57000000012</v>
      </c>
      <c r="P114" s="985">
        <v>-197380.91000000009</v>
      </c>
      <c r="Q114" s="985">
        <v>149730.60000000021</v>
      </c>
      <c r="R114" s="985">
        <v>355796.49</v>
      </c>
      <c r="S114" s="985">
        <v>792010.09000000008</v>
      </c>
      <c r="T114" s="985">
        <v>978710.50000000035</v>
      </c>
      <c r="U114" s="985">
        <v>1086805.54</v>
      </c>
      <c r="V114" s="985">
        <v>1217348.1499999999</v>
      </c>
      <c r="W114" s="985">
        <v>1310971.7399999991</v>
      </c>
      <c r="X114" s="985">
        <v>1467968.35</v>
      </c>
    </row>
    <row r="115" spans="1:24" ht="15.6" x14ac:dyDescent="0.3">
      <c r="A115" s="980" t="s">
        <v>723</v>
      </c>
      <c r="B115" s="981">
        <v>1.396983861923218E-9</v>
      </c>
      <c r="C115" s="981">
        <v>0</v>
      </c>
      <c r="D115" s="981">
        <v>1.746229827404022E-10</v>
      </c>
      <c r="E115" s="981">
        <v>-4.6566128730773926E-10</v>
      </c>
      <c r="F115" s="981">
        <v>-3.4924596548080439E-10</v>
      </c>
      <c r="G115" s="981">
        <v>3.4924596548080439E-10</v>
      </c>
      <c r="H115" s="981">
        <v>-2.328306436538696E-10</v>
      </c>
      <c r="I115" s="981">
        <v>8.149072527885437E-10</v>
      </c>
      <c r="J115" s="981">
        <v>1.1641532182693479E-9</v>
      </c>
      <c r="K115" s="981">
        <v>2.328306436538696E-10</v>
      </c>
      <c r="L115" s="981">
        <v>-4.6566128730773926E-10</v>
      </c>
      <c r="M115" s="981">
        <v>9.3132257461547852E-10</v>
      </c>
      <c r="N115" s="1224">
        <v>2.328306436538696E-10</v>
      </c>
      <c r="O115" s="1224">
        <v>0</v>
      </c>
      <c r="P115" s="1228">
        <v>1.746229827404022E-10</v>
      </c>
      <c r="Q115" s="1228">
        <v>-1.164153218269348E-10</v>
      </c>
      <c r="R115" s="1228">
        <v>2.328306436538696E-10</v>
      </c>
      <c r="S115" s="1228">
        <v>-2.328306436538696E-10</v>
      </c>
      <c r="T115" s="1228">
        <v>-3.4924596548080439E-10</v>
      </c>
      <c r="U115" s="1228">
        <v>4.6566128730773926E-10</v>
      </c>
      <c r="V115" s="1228">
        <v>0</v>
      </c>
      <c r="W115" s="1228">
        <v>1.396983861923218E-9</v>
      </c>
      <c r="X115" s="1228">
        <v>4.6566128730773926E-10</v>
      </c>
    </row>
    <row r="116" spans="1:24" ht="15.6" x14ac:dyDescent="0.3">
      <c r="A116" s="981" t="s">
        <v>724</v>
      </c>
      <c r="B116" s="981">
        <v>0</v>
      </c>
      <c r="C116" s="981">
        <v>60434.359999999993</v>
      </c>
      <c r="D116" s="981">
        <v>277036.14</v>
      </c>
      <c r="E116" s="981">
        <v>323365.65999999992</v>
      </c>
      <c r="F116" s="981">
        <v>57822.839999999967</v>
      </c>
      <c r="G116" s="981">
        <v>-70569.890000000014</v>
      </c>
      <c r="H116" s="981">
        <v>208668.77</v>
      </c>
      <c r="I116" s="981">
        <v>188815.78999999989</v>
      </c>
      <c r="J116" s="981">
        <v>693493.78</v>
      </c>
      <c r="K116" s="981">
        <v>925218.84999999986</v>
      </c>
      <c r="L116" s="981">
        <v>1061295.67</v>
      </c>
      <c r="M116" s="981">
        <v>1206339.44</v>
      </c>
      <c r="N116" s="1224">
        <v>0</v>
      </c>
      <c r="O116" s="1224">
        <v>-272071.57000000012</v>
      </c>
      <c r="P116" s="1228">
        <v>-197380.90999999989</v>
      </c>
      <c r="Q116" s="1228">
        <v>149730.60000000009</v>
      </c>
      <c r="R116" s="1228">
        <v>355796.49000000022</v>
      </c>
      <c r="S116" s="1228">
        <v>792010.08999999985</v>
      </c>
      <c r="T116" s="1228">
        <v>978710.5</v>
      </c>
      <c r="U116" s="1228">
        <v>1086805.54</v>
      </c>
      <c r="V116" s="1228">
        <v>1217348.1499999999</v>
      </c>
      <c r="W116" s="1228">
        <v>1310971.74</v>
      </c>
      <c r="X116" s="1228">
        <v>1467968.35</v>
      </c>
    </row>
    <row r="117" spans="1:24" ht="16.8" x14ac:dyDescent="0.3">
      <c r="A117" s="979" t="s">
        <v>725</v>
      </c>
      <c r="B117" s="979">
        <v>2574334.56</v>
      </c>
      <c r="C117" s="979">
        <v>2574334.56</v>
      </c>
      <c r="D117" s="979">
        <v>2574334.56</v>
      </c>
      <c r="E117" s="979">
        <v>2574334.56</v>
      </c>
      <c r="F117" s="979">
        <v>1756259.56</v>
      </c>
      <c r="G117" s="979">
        <v>1756259.56</v>
      </c>
      <c r="H117" s="979">
        <v>1756259.56</v>
      </c>
      <c r="I117" s="979">
        <v>1756259.56</v>
      </c>
      <c r="J117" s="979">
        <v>1756259.56</v>
      </c>
      <c r="K117" s="979">
        <v>1756259.56</v>
      </c>
      <c r="L117" s="979">
        <v>1681995.23</v>
      </c>
      <c r="M117" s="979">
        <v>1681995.23</v>
      </c>
      <c r="N117" s="1226">
        <v>3109833.67</v>
      </c>
      <c r="O117" s="1226">
        <v>3109833.67</v>
      </c>
      <c r="P117" s="1229">
        <v>3109833.67</v>
      </c>
      <c r="Q117" s="1229">
        <v>3109833.67</v>
      </c>
      <c r="R117" s="1229">
        <v>2609833.67</v>
      </c>
      <c r="S117" s="1229">
        <v>2609833.67</v>
      </c>
      <c r="T117" s="1229">
        <v>2609833.67</v>
      </c>
      <c r="U117" s="1229">
        <v>2609833.67</v>
      </c>
      <c r="V117" s="1229">
        <v>2609833.67</v>
      </c>
      <c r="W117" s="1229">
        <v>2609833.67</v>
      </c>
      <c r="X117" s="1419">
        <v>2609833.67</v>
      </c>
    </row>
    <row r="118" spans="1:24" ht="15.6" x14ac:dyDescent="0.3">
      <c r="A118" s="972" t="s">
        <v>735</v>
      </c>
      <c r="B118" s="982">
        <v>1000</v>
      </c>
      <c r="C118" s="982">
        <v>1000</v>
      </c>
      <c r="D118" s="982">
        <v>1000</v>
      </c>
      <c r="E118" s="982">
        <v>1000</v>
      </c>
      <c r="F118" s="982">
        <v>1000</v>
      </c>
      <c r="G118" s="982">
        <v>1000</v>
      </c>
      <c r="H118" s="982">
        <v>1000</v>
      </c>
      <c r="I118" s="982">
        <v>1000</v>
      </c>
      <c r="J118" s="982">
        <v>1000</v>
      </c>
      <c r="K118" s="982">
        <v>1000</v>
      </c>
      <c r="L118" s="982">
        <v>1000</v>
      </c>
      <c r="M118" s="982">
        <v>1000</v>
      </c>
      <c r="N118" s="1464">
        <v>1000</v>
      </c>
      <c r="O118" s="1225">
        <v>1000</v>
      </c>
      <c r="P118" s="985">
        <v>1000</v>
      </c>
      <c r="Q118" s="985">
        <v>1000</v>
      </c>
      <c r="R118" s="985">
        <v>1000</v>
      </c>
      <c r="S118" s="985">
        <v>1000</v>
      </c>
      <c r="T118" s="985">
        <v>1000</v>
      </c>
      <c r="U118" s="985">
        <v>1000</v>
      </c>
      <c r="V118" s="985">
        <v>1000</v>
      </c>
      <c r="W118" s="985">
        <v>1000</v>
      </c>
      <c r="X118" s="985">
        <v>1000</v>
      </c>
    </row>
    <row r="119" spans="1:24" ht="15.6" x14ac:dyDescent="0.3">
      <c r="A119" s="972" t="s">
        <v>736</v>
      </c>
      <c r="B119" s="982">
        <v>-943667</v>
      </c>
      <c r="C119" s="982">
        <v>-943667</v>
      </c>
      <c r="D119" s="982">
        <v>-943667</v>
      </c>
      <c r="E119" s="982">
        <v>-943667</v>
      </c>
      <c r="F119" s="982">
        <v>-943667</v>
      </c>
      <c r="G119" s="982">
        <v>-943667</v>
      </c>
      <c r="H119" s="982">
        <v>-943667</v>
      </c>
      <c r="I119" s="982">
        <v>-943667</v>
      </c>
      <c r="J119" s="982">
        <v>-943667</v>
      </c>
      <c r="K119" s="982">
        <v>-943667</v>
      </c>
      <c r="L119" s="982">
        <v>-943667</v>
      </c>
      <c r="M119" s="982">
        <v>-943667</v>
      </c>
      <c r="N119" s="1464">
        <v>-943667</v>
      </c>
      <c r="O119" s="1225">
        <v>-943667</v>
      </c>
      <c r="P119" s="985">
        <v>-943667</v>
      </c>
      <c r="Q119" s="985">
        <v>-943667</v>
      </c>
      <c r="R119" s="985">
        <v>-943667</v>
      </c>
      <c r="S119" s="985">
        <v>-943667</v>
      </c>
      <c r="T119" s="985">
        <v>-943667</v>
      </c>
      <c r="U119" s="985">
        <v>-943667</v>
      </c>
      <c r="V119" s="985">
        <v>-943667</v>
      </c>
      <c r="W119" s="985">
        <v>-943667</v>
      </c>
      <c r="X119" s="985">
        <v>-943667</v>
      </c>
    </row>
    <row r="120" spans="1:24" ht="15.6" x14ac:dyDescent="0.3">
      <c r="A120" s="972" t="s">
        <v>737</v>
      </c>
      <c r="B120" s="982">
        <v>300000</v>
      </c>
      <c r="C120" s="982">
        <v>300000</v>
      </c>
      <c r="D120" s="982">
        <v>300000</v>
      </c>
      <c r="E120" s="982">
        <v>300000</v>
      </c>
      <c r="F120" s="982">
        <v>300000</v>
      </c>
      <c r="G120" s="982">
        <v>300000</v>
      </c>
      <c r="H120" s="982">
        <v>300000</v>
      </c>
      <c r="I120" s="982">
        <v>300000</v>
      </c>
      <c r="J120" s="982">
        <v>300000</v>
      </c>
      <c r="K120" s="982">
        <v>300000</v>
      </c>
      <c r="L120" s="982">
        <v>300000</v>
      </c>
      <c r="M120" s="982">
        <v>300000</v>
      </c>
      <c r="N120" s="1464">
        <v>300000</v>
      </c>
      <c r="O120" s="1225">
        <v>300000</v>
      </c>
      <c r="P120" s="985">
        <v>300000</v>
      </c>
      <c r="Q120" s="985">
        <v>300000</v>
      </c>
      <c r="R120" s="985">
        <v>300000</v>
      </c>
      <c r="S120" s="985">
        <v>300000</v>
      </c>
      <c r="T120" s="985">
        <v>300000</v>
      </c>
      <c r="U120" s="985">
        <v>300000</v>
      </c>
      <c r="V120" s="985">
        <v>300000</v>
      </c>
      <c r="W120" s="985">
        <v>300000</v>
      </c>
      <c r="X120" s="985">
        <v>300000</v>
      </c>
    </row>
    <row r="121" spans="1:24" ht="15.6" x14ac:dyDescent="0.3">
      <c r="A121" s="972" t="s">
        <v>738</v>
      </c>
      <c r="B121" s="982">
        <v>3578314.35</v>
      </c>
      <c r="C121" s="982">
        <v>3578314.35</v>
      </c>
      <c r="D121" s="982">
        <v>3578314.35</v>
      </c>
      <c r="E121" s="982">
        <v>3578314.35</v>
      </c>
      <c r="F121" s="982">
        <v>3578314.35</v>
      </c>
      <c r="G121" s="982">
        <v>3578314.35</v>
      </c>
      <c r="H121" s="982">
        <v>3578314.35</v>
      </c>
      <c r="I121" s="982">
        <v>3578314.35</v>
      </c>
      <c r="J121" s="982">
        <v>3578314.35</v>
      </c>
      <c r="K121" s="982">
        <v>3578314.35</v>
      </c>
      <c r="L121" s="982">
        <v>3578314.35</v>
      </c>
      <c r="M121" s="982">
        <v>3578314.35</v>
      </c>
      <c r="N121" s="1464">
        <v>4646994.46</v>
      </c>
      <c r="O121" s="1225">
        <v>4646994.46</v>
      </c>
      <c r="P121" s="985">
        <v>4646994.46</v>
      </c>
      <c r="Q121" s="985">
        <v>4646994.46</v>
      </c>
      <c r="R121" s="985">
        <v>4646994.46</v>
      </c>
      <c r="S121" s="985">
        <v>4646994.46</v>
      </c>
      <c r="T121" s="985">
        <v>4646994.46</v>
      </c>
      <c r="U121" s="985">
        <v>4646994.46</v>
      </c>
      <c r="V121" s="985">
        <v>4646994.46</v>
      </c>
      <c r="W121" s="985">
        <v>4646994.46</v>
      </c>
      <c r="X121" s="985">
        <v>4646994.46</v>
      </c>
    </row>
    <row r="122" spans="1:24" ht="15.6" x14ac:dyDescent="0.3">
      <c r="A122" s="972" t="s">
        <v>739</v>
      </c>
      <c r="B122" s="982">
        <v>-361312.79</v>
      </c>
      <c r="C122" s="982">
        <v>-361312.79</v>
      </c>
      <c r="D122" s="982">
        <v>-361312.79</v>
      </c>
      <c r="E122" s="982">
        <v>-361312.79</v>
      </c>
      <c r="F122" s="982">
        <v>-1179387.79</v>
      </c>
      <c r="G122" s="982">
        <v>-1179387.79</v>
      </c>
      <c r="H122" s="982">
        <v>-1179387.79</v>
      </c>
      <c r="I122" s="982">
        <v>-1179387.79</v>
      </c>
      <c r="J122" s="982">
        <v>-1179387.79</v>
      </c>
      <c r="K122" s="982">
        <v>-1179387.79</v>
      </c>
      <c r="L122" s="982">
        <v>-1253652.1200000001</v>
      </c>
      <c r="M122" s="982">
        <v>-1253652.1200000001</v>
      </c>
      <c r="N122" s="1464">
        <v>-894493.79</v>
      </c>
      <c r="O122" s="1225">
        <v>-894493.79</v>
      </c>
      <c r="P122" s="985">
        <v>-894493.79</v>
      </c>
      <c r="Q122" s="985">
        <v>-894493.79</v>
      </c>
      <c r="R122" s="985">
        <v>-1394493.79</v>
      </c>
      <c r="S122" s="985">
        <v>-1394493.79</v>
      </c>
      <c r="T122" s="985">
        <v>-1394493.79</v>
      </c>
      <c r="U122" s="985">
        <v>-1394493.79</v>
      </c>
      <c r="V122" s="985">
        <v>-1394493.79</v>
      </c>
      <c r="W122" s="985">
        <v>-1394493.79</v>
      </c>
      <c r="X122" s="985">
        <v>-1394493.79</v>
      </c>
    </row>
    <row r="123" spans="1:24" ht="15.6" x14ac:dyDescent="0.3">
      <c r="A123" s="981" t="s">
        <v>740</v>
      </c>
      <c r="B123" s="981">
        <v>2574334.56</v>
      </c>
      <c r="C123" s="981">
        <v>2574334.56</v>
      </c>
      <c r="D123" s="981">
        <v>2574334.56</v>
      </c>
      <c r="E123" s="981">
        <v>2574334.56</v>
      </c>
      <c r="F123" s="981">
        <v>1756259.56</v>
      </c>
      <c r="G123" s="981">
        <v>1756259.56</v>
      </c>
      <c r="H123" s="981">
        <v>1756259.56</v>
      </c>
      <c r="I123" s="981">
        <v>1756259.56</v>
      </c>
      <c r="J123" s="981">
        <v>1756259.56</v>
      </c>
      <c r="K123" s="981">
        <v>1756259.56</v>
      </c>
      <c r="L123" s="981">
        <v>1681995.23</v>
      </c>
      <c r="M123" s="981">
        <v>1681995.23</v>
      </c>
      <c r="N123" s="1224">
        <v>3109833.67</v>
      </c>
      <c r="O123" s="1224">
        <v>3109833.67</v>
      </c>
      <c r="P123" s="1228">
        <v>3109833.67</v>
      </c>
      <c r="Q123" s="1228">
        <v>3109833.67</v>
      </c>
      <c r="R123" s="1228">
        <v>2609833.67</v>
      </c>
      <c r="S123" s="1228">
        <v>2609833.67</v>
      </c>
      <c r="T123" s="1228">
        <v>2609833.67</v>
      </c>
      <c r="U123" s="1228">
        <v>2609833.67</v>
      </c>
      <c r="V123" s="1228">
        <v>2609833.67</v>
      </c>
      <c r="W123" s="1228">
        <v>2609833.67</v>
      </c>
      <c r="X123" s="1228">
        <v>2609833.67</v>
      </c>
    </row>
    <row r="124" spans="1:24" ht="16.8" x14ac:dyDescent="0.3">
      <c r="A124" s="979" t="s">
        <v>726</v>
      </c>
      <c r="B124" s="979">
        <v>2574334.56</v>
      </c>
      <c r="C124" s="979">
        <v>2634768.92</v>
      </c>
      <c r="D124" s="979">
        <v>2851370.7</v>
      </c>
      <c r="E124" s="979">
        <v>2897700.22</v>
      </c>
      <c r="F124" s="979">
        <v>1814082.4</v>
      </c>
      <c r="G124" s="979">
        <v>1685689.67</v>
      </c>
      <c r="H124" s="979">
        <v>1964928.33</v>
      </c>
      <c r="I124" s="979">
        <v>1945075.35</v>
      </c>
      <c r="J124" s="979">
        <v>2449753.34</v>
      </c>
      <c r="K124" s="979">
        <v>2681478.41</v>
      </c>
      <c r="L124" s="979">
        <v>2743290.9</v>
      </c>
      <c r="M124" s="979">
        <v>2888334.67</v>
      </c>
      <c r="N124" s="1226">
        <v>3109833.67</v>
      </c>
      <c r="O124" s="1226">
        <v>2837762.1</v>
      </c>
      <c r="P124" s="1229">
        <v>2912452.76</v>
      </c>
      <c r="Q124" s="1229">
        <v>3259564.27</v>
      </c>
      <c r="R124" s="1229">
        <v>2965630.16</v>
      </c>
      <c r="S124" s="1229">
        <v>3401843.76</v>
      </c>
      <c r="T124" s="1229">
        <v>3588544.17</v>
      </c>
      <c r="U124" s="1229">
        <v>3696639.21</v>
      </c>
      <c r="V124" s="1229">
        <v>3827181.82</v>
      </c>
      <c r="W124" s="1229">
        <v>3920805.41</v>
      </c>
      <c r="X124" s="1419">
        <v>4077802.02</v>
      </c>
    </row>
    <row r="125" spans="1:24" x14ac:dyDescent="0.3">
      <c r="N125" s="1047"/>
      <c r="P125" s="10"/>
      <c r="Q125" s="10"/>
      <c r="R125" s="10"/>
      <c r="S125" s="10"/>
      <c r="T125" s="10"/>
      <c r="U125" s="10"/>
      <c r="V125" s="10"/>
      <c r="W125" s="10"/>
      <c r="X125" s="10"/>
    </row>
    <row r="126" spans="1:24" ht="17.399999999999999" thickBot="1" x14ac:dyDescent="0.35">
      <c r="A126" s="978" t="s">
        <v>727</v>
      </c>
      <c r="B126" s="978">
        <v>10038511.189999999</v>
      </c>
      <c r="C126" s="978">
        <v>9547685.4800000004</v>
      </c>
      <c r="D126" s="978">
        <v>10698575.939999999</v>
      </c>
      <c r="E126" s="978">
        <v>10920219.01</v>
      </c>
      <c r="F126" s="978">
        <v>9734769.6899999995</v>
      </c>
      <c r="G126" s="978">
        <v>10120258.189999999</v>
      </c>
      <c r="H126" s="978">
        <v>9343061.5199999996</v>
      </c>
      <c r="I126" s="978">
        <v>6643271.120000001</v>
      </c>
      <c r="J126" s="978">
        <v>7836066.2300000004</v>
      </c>
      <c r="K126" s="978">
        <v>7656335.4000000004</v>
      </c>
      <c r="L126" s="978">
        <v>8282339.3200000003</v>
      </c>
      <c r="M126" s="978">
        <v>8665501.1400000006</v>
      </c>
      <c r="N126" s="1223">
        <v>10609989.550000001</v>
      </c>
      <c r="O126" s="1223">
        <v>9391375.0099999998</v>
      </c>
      <c r="P126" s="1227">
        <v>10169561.140000001</v>
      </c>
      <c r="Q126" s="1227">
        <v>11545748.18</v>
      </c>
      <c r="R126" s="1227">
        <v>11154653.060000001</v>
      </c>
      <c r="S126" s="1227">
        <v>10977645.23</v>
      </c>
      <c r="T126" s="1227">
        <v>10324191.189999999</v>
      </c>
      <c r="U126" s="1227">
        <v>10257957.970000001</v>
      </c>
      <c r="V126" s="1227">
        <v>10321851.17</v>
      </c>
      <c r="W126" s="1227">
        <v>10520713.880000001</v>
      </c>
      <c r="X126" s="1227">
        <v>10898495.9</v>
      </c>
    </row>
    <row r="127" spans="1:24" ht="15" thickTop="1" x14ac:dyDescent="0.3"/>
    <row r="128" spans="1:24" x14ac:dyDescent="0.3">
      <c r="M128">
        <f>M126-M75</f>
        <v>-7.0000000298023224E-2</v>
      </c>
      <c r="N128">
        <f>N126-N75</f>
        <v>-6.9999998435378075E-2</v>
      </c>
      <c r="O128"/>
    </row>
    <row r="129" spans="14:22" x14ac:dyDescent="0.3">
      <c r="N129" s="314">
        <f>N121-M121</f>
        <v>1068680.1099999999</v>
      </c>
      <c r="O129"/>
      <c r="U129" s="314">
        <f>U121-T121+(U112-T112)</f>
        <v>108095.03999999969</v>
      </c>
      <c r="V129" s="314">
        <f>V121-U121+(V112-U112)</f>
        <v>130542.60999999987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6BFB7-0759-48A7-83AF-DE0DCB4B9449}">
  <sheetPr codeName="Sheet5">
    <tabColor theme="9" tint="0.79998168889431442"/>
  </sheetPr>
  <dimension ref="A1:BJ215"/>
  <sheetViews>
    <sheetView zoomScaleNormal="100" workbookViewId="0">
      <pane xSplit="9" ySplit="1" topLeftCell="AS2" activePane="bottomRight" state="frozenSplit"/>
      <selection activeCell="AS17" sqref="AS17"/>
      <selection pane="topRight" activeCell="AS17" sqref="AS17"/>
      <selection pane="bottomLeft" activeCell="AS17" sqref="AS17"/>
      <selection pane="bottomRight" activeCell="AZ12" sqref="AZ12:BD12"/>
    </sheetView>
  </sheetViews>
  <sheetFormatPr defaultRowHeight="14.4" outlineLevelRow="1" x14ac:dyDescent="0.3"/>
  <cols>
    <col min="1" max="1" width="5.5546875" customWidth="1"/>
    <col min="2" max="2" width="3.44140625" customWidth="1"/>
    <col min="3" max="8" width="3" style="1294" customWidth="1"/>
    <col min="9" max="9" width="31.33203125" style="1294" customWidth="1"/>
    <col min="10" max="20" width="8.6640625" bestFit="1" customWidth="1"/>
    <col min="21" max="21" width="10" bestFit="1" customWidth="1"/>
    <col min="22" max="28" width="8.6640625" bestFit="1" customWidth="1"/>
    <col min="29" max="29" width="10" bestFit="1" customWidth="1"/>
    <col min="30" max="31" width="8.6640625" bestFit="1" customWidth="1"/>
    <col min="32" max="33" width="10" bestFit="1" customWidth="1"/>
    <col min="34" max="40" width="8.6640625" bestFit="1" customWidth="1"/>
    <col min="41" max="41" width="10" bestFit="1" customWidth="1"/>
    <col min="42" max="44" width="8.6640625" bestFit="1" customWidth="1"/>
    <col min="45" max="45" width="9.33203125" bestFit="1" customWidth="1"/>
    <col min="46" max="50" width="8.6640625" bestFit="1" customWidth="1"/>
    <col min="51" max="51" width="8.6640625" customWidth="1"/>
    <col min="52" max="52" width="10" bestFit="1" customWidth="1"/>
    <col min="53" max="53" width="9.88671875" customWidth="1"/>
    <col min="54" max="55" width="10" bestFit="1" customWidth="1"/>
    <col min="56" max="56" width="9.88671875" bestFit="1" customWidth="1"/>
    <col min="57" max="61" width="8.6640625" bestFit="1" customWidth="1"/>
  </cols>
  <sheetData>
    <row r="1" spans="1:61" s="3" customFormat="1" ht="15" thickBot="1" x14ac:dyDescent="0.35">
      <c r="C1" s="1286"/>
      <c r="D1" s="1286"/>
      <c r="E1" s="1286"/>
      <c r="F1" s="1286"/>
      <c r="G1" s="1286"/>
      <c r="H1" s="1286"/>
      <c r="I1" s="1286"/>
      <c r="J1" s="1287" t="s">
        <v>935</v>
      </c>
      <c r="K1" s="1287" t="s">
        <v>936</v>
      </c>
      <c r="L1" s="1287" t="s">
        <v>937</v>
      </c>
      <c r="M1" s="1287" t="s">
        <v>938</v>
      </c>
      <c r="N1" s="1287" t="s">
        <v>939</v>
      </c>
      <c r="O1" s="1287" t="s">
        <v>940</v>
      </c>
      <c r="P1" s="1287" t="s">
        <v>941</v>
      </c>
      <c r="Q1" s="1287" t="s">
        <v>942</v>
      </c>
      <c r="R1" s="1287" t="s">
        <v>943</v>
      </c>
      <c r="S1" s="1287" t="s">
        <v>944</v>
      </c>
      <c r="T1" s="1287" t="s">
        <v>945</v>
      </c>
      <c r="U1" s="1287" t="s">
        <v>946</v>
      </c>
      <c r="V1" s="1287" t="s">
        <v>947</v>
      </c>
      <c r="W1" s="1287" t="s">
        <v>948</v>
      </c>
      <c r="X1" s="1287" t="s">
        <v>949</v>
      </c>
      <c r="Y1" s="1287" t="s">
        <v>950</v>
      </c>
      <c r="Z1" s="1287" t="s">
        <v>951</v>
      </c>
      <c r="AA1" s="1287" t="s">
        <v>952</v>
      </c>
      <c r="AB1" s="1287" t="s">
        <v>953</v>
      </c>
      <c r="AC1" s="1287" t="s">
        <v>954</v>
      </c>
      <c r="AD1" s="1287" t="s">
        <v>955</v>
      </c>
      <c r="AE1" s="1287" t="s">
        <v>956</v>
      </c>
      <c r="AF1" s="1287" t="s">
        <v>957</v>
      </c>
      <c r="AG1" s="1287" t="s">
        <v>958</v>
      </c>
      <c r="AH1" s="1287" t="s">
        <v>959</v>
      </c>
      <c r="AI1" s="1287" t="s">
        <v>960</v>
      </c>
      <c r="AJ1" s="1287" t="s">
        <v>961</v>
      </c>
      <c r="AK1" s="1287" t="s">
        <v>962</v>
      </c>
      <c r="AL1" s="1287" t="s">
        <v>963</v>
      </c>
      <c r="AM1" s="1287" t="s">
        <v>964</v>
      </c>
      <c r="AN1" s="1287" t="s">
        <v>965</v>
      </c>
      <c r="AO1" s="1287" t="s">
        <v>966</v>
      </c>
      <c r="AP1" s="1287" t="s">
        <v>967</v>
      </c>
      <c r="AQ1" s="1287" t="s">
        <v>968</v>
      </c>
      <c r="AR1" s="1287" t="s">
        <v>969</v>
      </c>
      <c r="AS1" s="1287" t="s">
        <v>970</v>
      </c>
      <c r="AT1" s="1287" t="s">
        <v>971</v>
      </c>
      <c r="AU1" s="1287" t="s">
        <v>972</v>
      </c>
      <c r="AV1" s="1287" t="s">
        <v>973</v>
      </c>
      <c r="AW1" s="1309">
        <v>45039</v>
      </c>
      <c r="AX1" s="1309">
        <v>45069</v>
      </c>
      <c r="AY1" s="1309"/>
      <c r="AZ1" s="1309">
        <v>45100</v>
      </c>
      <c r="BA1" s="1309">
        <v>45130</v>
      </c>
      <c r="BB1" s="1309">
        <v>45161</v>
      </c>
      <c r="BC1" s="1309">
        <v>45192</v>
      </c>
      <c r="BD1" s="1309">
        <v>45222</v>
      </c>
      <c r="BE1" s="1309">
        <v>45253</v>
      </c>
      <c r="BF1" s="1309">
        <v>45283</v>
      </c>
      <c r="BG1" s="1309">
        <v>44950</v>
      </c>
      <c r="BH1" s="1309">
        <v>44981</v>
      </c>
      <c r="BI1" s="1309">
        <v>45009</v>
      </c>
    </row>
    <row r="2" spans="1:61" ht="15" thickTop="1" x14ac:dyDescent="0.3">
      <c r="A2" t="s">
        <v>443</v>
      </c>
      <c r="C2" s="1288"/>
      <c r="D2" s="1288" t="s">
        <v>974</v>
      </c>
      <c r="E2" s="1288"/>
      <c r="F2" s="1288"/>
      <c r="G2" s="1288"/>
      <c r="H2" s="1288"/>
      <c r="I2" s="1288"/>
      <c r="J2" s="1289"/>
      <c r="K2" s="1289"/>
      <c r="L2" s="1289"/>
      <c r="M2" s="1289"/>
      <c r="N2" s="1289"/>
      <c r="O2" s="1289"/>
      <c r="P2" s="1289"/>
      <c r="Q2" s="1289"/>
      <c r="R2" s="1289"/>
      <c r="S2" s="1289"/>
      <c r="T2" s="1289"/>
      <c r="U2" s="1289"/>
      <c r="V2" s="1289"/>
      <c r="W2" s="1289"/>
      <c r="X2" s="1289"/>
      <c r="Y2" s="1289"/>
      <c r="Z2" s="1289"/>
      <c r="AA2" s="1289"/>
      <c r="AB2" s="1289"/>
      <c r="AC2" s="1289"/>
      <c r="AD2" s="1289"/>
      <c r="AE2" s="1289"/>
      <c r="AF2" s="1289"/>
      <c r="AG2" s="1289"/>
      <c r="AH2" s="1289"/>
      <c r="AI2" s="1289"/>
      <c r="AJ2" s="1289"/>
      <c r="AK2" s="1289"/>
      <c r="AL2" s="1289"/>
      <c r="AM2" s="1289"/>
      <c r="AN2" s="1289"/>
      <c r="AO2" s="1289"/>
      <c r="AP2" s="1289"/>
      <c r="AQ2" s="1289"/>
      <c r="AR2" s="1289"/>
      <c r="AS2" s="1289"/>
      <c r="AT2" s="1289"/>
      <c r="AU2" s="1289"/>
      <c r="AV2" s="1289"/>
      <c r="AW2" s="1289"/>
      <c r="AX2" s="1289"/>
      <c r="AY2" s="1289"/>
      <c r="AZ2" s="1289"/>
      <c r="BA2" s="1289"/>
      <c r="BB2" s="1289"/>
      <c r="BC2" s="1289"/>
      <c r="BD2" s="1580"/>
      <c r="BE2" s="1289"/>
      <c r="BF2" s="1289"/>
      <c r="BG2" s="1289"/>
      <c r="BH2" s="1289"/>
      <c r="BI2" s="1289"/>
    </row>
    <row r="3" spans="1:61" x14ac:dyDescent="0.3">
      <c r="A3" s="1308">
        <f>'Sources and Uses'!C15</f>
        <v>0.1</v>
      </c>
      <c r="C3" s="1288"/>
      <c r="D3" s="1288"/>
      <c r="E3" s="1288"/>
      <c r="F3" s="1288" t="s">
        <v>849</v>
      </c>
      <c r="G3" s="1288"/>
      <c r="H3" s="1288"/>
      <c r="I3" s="1288"/>
      <c r="J3" s="1289"/>
      <c r="K3" s="1289"/>
      <c r="L3" s="1289"/>
      <c r="M3" s="1289"/>
      <c r="N3" s="1289"/>
      <c r="O3" s="1289"/>
      <c r="P3" s="1289"/>
      <c r="Q3" s="1289"/>
      <c r="R3" s="1289"/>
      <c r="S3" s="1289"/>
      <c r="T3" s="1289"/>
      <c r="U3" s="1289"/>
      <c r="V3" s="1289"/>
      <c r="W3" s="1289"/>
      <c r="X3" s="1289"/>
      <c r="Y3" s="1289"/>
      <c r="Z3" s="1289"/>
      <c r="AA3" s="1289"/>
      <c r="AB3" s="1289"/>
      <c r="AC3" s="1289"/>
      <c r="AD3" s="1289"/>
      <c r="AE3" s="1289"/>
      <c r="AF3" s="1289"/>
      <c r="AG3" s="1289"/>
      <c r="AH3" s="1289"/>
      <c r="AI3" s="1289"/>
      <c r="AJ3" s="1289"/>
      <c r="AK3" s="1289"/>
      <c r="AL3" s="1289"/>
      <c r="AM3" s="1289"/>
      <c r="AN3" s="1289"/>
      <c r="AO3" s="1289"/>
      <c r="AP3" s="1289"/>
      <c r="AQ3" s="1289"/>
      <c r="AR3" s="1289"/>
      <c r="AS3" s="1289"/>
      <c r="AT3" s="1289"/>
      <c r="AU3" s="1289"/>
      <c r="AV3" s="1289"/>
      <c r="AW3" s="1289"/>
      <c r="AX3" s="1289"/>
      <c r="AY3" s="1289"/>
      <c r="AZ3" s="1289"/>
      <c r="BA3" s="1289"/>
      <c r="BB3" s="1289"/>
      <c r="BC3" s="1289"/>
      <c r="BD3" s="1580"/>
      <c r="BE3" s="1289"/>
      <c r="BF3" s="1289"/>
      <c r="BG3" s="1289"/>
      <c r="BH3" s="1289"/>
      <c r="BI3" s="1289"/>
    </row>
    <row r="4" spans="1:61" x14ac:dyDescent="0.3">
      <c r="C4" s="1288"/>
      <c r="D4" s="1288"/>
      <c r="E4" s="1288"/>
      <c r="F4" s="1288"/>
      <c r="G4" s="1288" t="s">
        <v>975</v>
      </c>
      <c r="H4" s="1288"/>
      <c r="I4" s="1288"/>
      <c r="J4" s="1289">
        <v>557272.97</v>
      </c>
      <c r="K4" s="1289">
        <v>589690.53</v>
      </c>
      <c r="L4" s="1289">
        <v>372711.2</v>
      </c>
      <c r="M4" s="1289">
        <v>425387.07</v>
      </c>
      <c r="N4" s="1289">
        <v>468263.84</v>
      </c>
      <c r="O4" s="1289">
        <v>401278.27</v>
      </c>
      <c r="P4" s="1289">
        <v>525892.91</v>
      </c>
      <c r="Q4" s="1289">
        <v>422240.51</v>
      </c>
      <c r="R4" s="1289">
        <v>420951.64</v>
      </c>
      <c r="S4" s="1289">
        <v>536322.22</v>
      </c>
      <c r="T4" s="1289">
        <v>439433.64</v>
      </c>
      <c r="U4" s="1289">
        <v>1018779.05</v>
      </c>
      <c r="V4" s="1289">
        <v>356958.98</v>
      </c>
      <c r="W4" s="1289">
        <v>365709.21</v>
      </c>
      <c r="X4" s="1289">
        <v>747743.89</v>
      </c>
      <c r="Y4" s="1289">
        <v>524376.78</v>
      </c>
      <c r="Z4" s="1289">
        <v>731364.56</v>
      </c>
      <c r="AA4" s="1289">
        <v>982886.5</v>
      </c>
      <c r="AB4" s="1289">
        <v>596220.36</v>
      </c>
      <c r="AC4" s="1289">
        <v>1054180.6000000001</v>
      </c>
      <c r="AD4" s="1289">
        <v>771964.59</v>
      </c>
      <c r="AE4" s="1289">
        <v>511863.93</v>
      </c>
      <c r="AF4" s="1289">
        <v>1122620.95</v>
      </c>
      <c r="AG4" s="1289">
        <v>1462368.37</v>
      </c>
      <c r="AH4" s="1289">
        <v>578555.25</v>
      </c>
      <c r="AI4" s="1289">
        <v>713949.28</v>
      </c>
      <c r="AJ4" s="1289">
        <v>945034.4</v>
      </c>
      <c r="AK4" s="1289">
        <v>764616.85</v>
      </c>
      <c r="AL4" s="1289">
        <v>658011.81000000006</v>
      </c>
      <c r="AM4" s="1289">
        <v>438142.91</v>
      </c>
      <c r="AN4" s="1289">
        <v>661484.09</v>
      </c>
      <c r="AO4" s="1289">
        <v>1389792.22</v>
      </c>
      <c r="AP4" s="1289">
        <v>774278.08</v>
      </c>
      <c r="AQ4" s="1289">
        <v>568257.88</v>
      </c>
      <c r="AR4" s="1289">
        <v>913389.05</v>
      </c>
      <c r="AS4" s="1289">
        <v>899049.24</v>
      </c>
      <c r="AT4" s="1289">
        <v>805954.61</v>
      </c>
      <c r="AU4" s="1289">
        <v>889445.62</v>
      </c>
      <c r="AV4" s="1289">
        <v>971823.07</v>
      </c>
      <c r="AW4" s="1295">
        <v>685382.68</v>
      </c>
      <c r="AX4" s="1295">
        <v>470402.72</v>
      </c>
      <c r="AY4" s="1295"/>
      <c r="AZ4" s="1295">
        <v>475130.17</v>
      </c>
      <c r="BA4" s="1295">
        <v>440728.63</v>
      </c>
      <c r="BB4" s="1295">
        <v>727604.2</v>
      </c>
      <c r="BC4" s="1289">
        <v>883997.15</v>
      </c>
      <c r="BD4" s="1289">
        <v>826259.69</v>
      </c>
      <c r="BE4" s="1295">
        <f t="shared" ref="BE4:BI4" si="0">BD4*(1+$A$3/12)</f>
        <v>833145.18741666654</v>
      </c>
      <c r="BF4" s="1295">
        <f t="shared" si="0"/>
        <v>840088.06397847203</v>
      </c>
      <c r="BG4" s="1295">
        <f t="shared" si="0"/>
        <v>847088.79784495931</v>
      </c>
      <c r="BH4" s="1295">
        <f t="shared" si="0"/>
        <v>854147.87116033398</v>
      </c>
      <c r="BI4" s="1295">
        <f t="shared" si="0"/>
        <v>861265.77008667006</v>
      </c>
    </row>
    <row r="5" spans="1:61" x14ac:dyDescent="0.3">
      <c r="C5" s="1288"/>
      <c r="D5" s="1288"/>
      <c r="E5" s="1288"/>
      <c r="F5" s="1288"/>
      <c r="G5" s="1288" t="s">
        <v>976</v>
      </c>
      <c r="H5" s="1288"/>
      <c r="I5" s="1288"/>
      <c r="J5" s="1289">
        <v>-4800</v>
      </c>
      <c r="K5" s="1289">
        <v>-14297.26</v>
      </c>
      <c r="L5" s="1289">
        <v>-3401.6</v>
      </c>
      <c r="M5" s="1289">
        <v>0</v>
      </c>
      <c r="N5" s="1289">
        <v>-12664.2</v>
      </c>
      <c r="O5" s="1289">
        <v>-9957.86</v>
      </c>
      <c r="P5" s="1289">
        <v>-12496.5</v>
      </c>
      <c r="Q5" s="1289">
        <v>-3705.69</v>
      </c>
      <c r="R5" s="1289">
        <v>-6766.5</v>
      </c>
      <c r="S5" s="1289">
        <v>-50</v>
      </c>
      <c r="T5" s="1289">
        <v>-13000</v>
      </c>
      <c r="U5" s="1289">
        <v>-25648.35</v>
      </c>
      <c r="V5" s="1289">
        <v>-4394.18</v>
      </c>
      <c r="W5" s="1289">
        <v>-5500</v>
      </c>
      <c r="X5" s="1289">
        <v>-6885.3</v>
      </c>
      <c r="Y5" s="1289">
        <v>-7816.65</v>
      </c>
      <c r="Z5" s="1289">
        <v>-6821.12</v>
      </c>
      <c r="AA5" s="1289">
        <v>-4758.62</v>
      </c>
      <c r="AB5" s="1289">
        <v>-7163.09</v>
      </c>
      <c r="AC5" s="1289">
        <v>-10550</v>
      </c>
      <c r="AD5" s="1289">
        <v>-27569.200000000001</v>
      </c>
      <c r="AE5" s="1289">
        <v>-8177.15</v>
      </c>
      <c r="AF5" s="1289">
        <v>-2046</v>
      </c>
      <c r="AG5" s="1289">
        <v>0</v>
      </c>
      <c r="AH5" s="1289">
        <v>-19600</v>
      </c>
      <c r="AI5" s="1289">
        <v>-13244</v>
      </c>
      <c r="AJ5" s="1289">
        <v>-185</v>
      </c>
      <c r="AK5" s="1289">
        <v>0</v>
      </c>
      <c r="AL5" s="1289">
        <v>-7350.36</v>
      </c>
      <c r="AM5" s="1289">
        <v>-230</v>
      </c>
      <c r="AN5" s="1289">
        <v>0</v>
      </c>
      <c r="AO5" s="1289">
        <v>0</v>
      </c>
      <c r="AP5" s="1289">
        <v>-2414.71</v>
      </c>
      <c r="AQ5" s="1289">
        <v>-2690</v>
      </c>
      <c r="AR5" s="1289">
        <v>-3320</v>
      </c>
      <c r="AS5" s="1289">
        <v>0</v>
      </c>
      <c r="AT5" s="1289">
        <v>-3030.17</v>
      </c>
      <c r="AU5" s="1289">
        <v>0</v>
      </c>
      <c r="AV5" s="1289">
        <v>-1100</v>
      </c>
      <c r="AW5" s="1295">
        <v>-8125.32</v>
      </c>
      <c r="AX5" s="1295">
        <v>-2095</v>
      </c>
      <c r="AY5" s="1295"/>
      <c r="AZ5" s="1295">
        <v>-2866.5</v>
      </c>
      <c r="BA5" s="1295">
        <v>-4476</v>
      </c>
      <c r="BB5" s="1295">
        <v>-874.2</v>
      </c>
      <c r="BC5" s="1289">
        <v>-9620.2999999999993</v>
      </c>
      <c r="BD5" s="1289">
        <v>-2171.04</v>
      </c>
      <c r="BE5" s="1295"/>
      <c r="BF5" s="1295"/>
      <c r="BG5" s="1295"/>
      <c r="BH5" s="1295"/>
      <c r="BI5" s="1295"/>
    </row>
    <row r="6" spans="1:61" ht="15" thickBot="1" x14ac:dyDescent="0.35">
      <c r="C6" s="1288"/>
      <c r="D6" s="1288"/>
      <c r="E6" s="1288"/>
      <c r="F6" s="1288"/>
      <c r="G6" s="1288" t="s">
        <v>977</v>
      </c>
      <c r="H6" s="1288"/>
      <c r="I6" s="1288"/>
      <c r="J6" s="1290">
        <v>3560</v>
      </c>
      <c r="K6" s="1290">
        <v>0</v>
      </c>
      <c r="L6" s="1290">
        <v>0</v>
      </c>
      <c r="M6" s="1290">
        <v>0</v>
      </c>
      <c r="N6" s="1290">
        <v>0</v>
      </c>
      <c r="O6" s="1290">
        <v>0</v>
      </c>
      <c r="P6" s="1290">
        <v>0</v>
      </c>
      <c r="Q6" s="1290">
        <v>0</v>
      </c>
      <c r="R6" s="1290">
        <v>0</v>
      </c>
      <c r="S6" s="1290">
        <v>0</v>
      </c>
      <c r="T6" s="1290">
        <v>0</v>
      </c>
      <c r="U6" s="1290">
        <v>0</v>
      </c>
      <c r="V6" s="1290">
        <v>0</v>
      </c>
      <c r="W6" s="1290">
        <v>0</v>
      </c>
      <c r="X6" s="1290">
        <v>0</v>
      </c>
      <c r="Y6" s="1290">
        <v>0</v>
      </c>
      <c r="Z6" s="1290">
        <v>0</v>
      </c>
      <c r="AA6" s="1290">
        <v>2577.7399999999998</v>
      </c>
      <c r="AB6" s="1290">
        <v>0</v>
      </c>
      <c r="AC6" s="1290">
        <v>0</v>
      </c>
      <c r="AD6" s="1290">
        <v>0</v>
      </c>
      <c r="AE6" s="1290">
        <v>0</v>
      </c>
      <c r="AF6" s="1290">
        <v>0</v>
      </c>
      <c r="AG6" s="1290">
        <v>0</v>
      </c>
      <c r="AH6" s="1290">
        <v>0</v>
      </c>
      <c r="AI6" s="1290">
        <v>0</v>
      </c>
      <c r="AJ6" s="1290">
        <v>0</v>
      </c>
      <c r="AK6" s="1290">
        <v>0</v>
      </c>
      <c r="AL6" s="1290">
        <v>0</v>
      </c>
      <c r="AM6" s="1290">
        <v>0</v>
      </c>
      <c r="AN6" s="1290">
        <v>0</v>
      </c>
      <c r="AO6" s="1290">
        <v>0</v>
      </c>
      <c r="AP6" s="1290">
        <v>0</v>
      </c>
      <c r="AQ6" s="1290">
        <v>0</v>
      </c>
      <c r="AR6" s="1290">
        <v>0</v>
      </c>
      <c r="AS6" s="1290">
        <v>0</v>
      </c>
      <c r="AT6" s="1290">
        <v>0</v>
      </c>
      <c r="AU6" s="1290">
        <v>0</v>
      </c>
      <c r="AV6" s="1290">
        <v>0</v>
      </c>
      <c r="AW6" s="1296">
        <v>0</v>
      </c>
      <c r="AX6" s="1296">
        <v>0</v>
      </c>
      <c r="AY6" s="1296"/>
      <c r="AZ6" s="1296"/>
      <c r="BA6" s="1296"/>
      <c r="BB6" s="1296"/>
      <c r="BC6" s="1290"/>
      <c r="BD6" s="1290"/>
      <c r="BE6" s="1296"/>
      <c r="BF6" s="1296"/>
      <c r="BG6" s="1296"/>
      <c r="BH6" s="1296"/>
      <c r="BI6" s="1296"/>
    </row>
    <row r="7" spans="1:61" x14ac:dyDescent="0.3">
      <c r="C7" s="1288"/>
      <c r="D7" s="1288"/>
      <c r="E7" s="1288"/>
      <c r="F7" s="1288" t="s">
        <v>858</v>
      </c>
      <c r="G7" s="1288"/>
      <c r="H7" s="1288"/>
      <c r="I7" s="1288"/>
      <c r="J7" s="1289">
        <f t="shared" ref="J7:AV7" si="1">ROUND(SUM(J3:J6),5)</f>
        <v>556032.97</v>
      </c>
      <c r="K7" s="1289">
        <f t="shared" si="1"/>
        <v>575393.27</v>
      </c>
      <c r="L7" s="1289">
        <f t="shared" si="1"/>
        <v>369309.6</v>
      </c>
      <c r="M7" s="1289">
        <f t="shared" si="1"/>
        <v>425387.07</v>
      </c>
      <c r="N7" s="1289">
        <f t="shared" si="1"/>
        <v>455599.64</v>
      </c>
      <c r="O7" s="1289">
        <f t="shared" si="1"/>
        <v>391320.41</v>
      </c>
      <c r="P7" s="1289">
        <f t="shared" si="1"/>
        <v>513396.41</v>
      </c>
      <c r="Q7" s="1289">
        <f t="shared" si="1"/>
        <v>418534.82</v>
      </c>
      <c r="R7" s="1289">
        <f t="shared" si="1"/>
        <v>414185.14</v>
      </c>
      <c r="S7" s="1289">
        <f t="shared" si="1"/>
        <v>536272.22</v>
      </c>
      <c r="T7" s="1289">
        <f t="shared" si="1"/>
        <v>426433.64</v>
      </c>
      <c r="U7" s="1289">
        <f t="shared" si="1"/>
        <v>993130.7</v>
      </c>
      <c r="V7" s="1289">
        <f t="shared" si="1"/>
        <v>352564.8</v>
      </c>
      <c r="W7" s="1289">
        <f t="shared" si="1"/>
        <v>360209.21</v>
      </c>
      <c r="X7" s="1289">
        <f t="shared" si="1"/>
        <v>740858.59</v>
      </c>
      <c r="Y7" s="1289">
        <f t="shared" si="1"/>
        <v>516560.13</v>
      </c>
      <c r="Z7" s="1289">
        <f t="shared" si="1"/>
        <v>724543.44</v>
      </c>
      <c r="AA7" s="1289">
        <f t="shared" si="1"/>
        <v>980705.62</v>
      </c>
      <c r="AB7" s="1289">
        <f t="shared" si="1"/>
        <v>589057.27</v>
      </c>
      <c r="AC7" s="1289">
        <f t="shared" si="1"/>
        <v>1043630.6</v>
      </c>
      <c r="AD7" s="1289">
        <f t="shared" si="1"/>
        <v>744395.39</v>
      </c>
      <c r="AE7" s="1289">
        <f t="shared" si="1"/>
        <v>503686.78</v>
      </c>
      <c r="AF7" s="1289">
        <f t="shared" si="1"/>
        <v>1120574.95</v>
      </c>
      <c r="AG7" s="1289">
        <f t="shared" si="1"/>
        <v>1462368.37</v>
      </c>
      <c r="AH7" s="1289">
        <f t="shared" si="1"/>
        <v>558955.25</v>
      </c>
      <c r="AI7" s="1289">
        <f t="shared" si="1"/>
        <v>700705.28000000003</v>
      </c>
      <c r="AJ7" s="1289">
        <f t="shared" si="1"/>
        <v>944849.4</v>
      </c>
      <c r="AK7" s="1289">
        <f t="shared" si="1"/>
        <v>764616.85</v>
      </c>
      <c r="AL7" s="1289">
        <f t="shared" si="1"/>
        <v>650661.44999999995</v>
      </c>
      <c r="AM7" s="1289">
        <f t="shared" si="1"/>
        <v>437912.91</v>
      </c>
      <c r="AN7" s="1289">
        <f t="shared" si="1"/>
        <v>661484.09</v>
      </c>
      <c r="AO7" s="1289">
        <f t="shared" si="1"/>
        <v>1389792.22</v>
      </c>
      <c r="AP7" s="1289">
        <f t="shared" si="1"/>
        <v>771863.37</v>
      </c>
      <c r="AQ7" s="1289">
        <f t="shared" si="1"/>
        <v>565567.88</v>
      </c>
      <c r="AR7" s="1289">
        <f t="shared" si="1"/>
        <v>910069.05</v>
      </c>
      <c r="AS7" s="1289">
        <f t="shared" si="1"/>
        <v>899049.24</v>
      </c>
      <c r="AT7" s="1289">
        <f t="shared" si="1"/>
        <v>802924.44</v>
      </c>
      <c r="AU7" s="1289">
        <f t="shared" si="1"/>
        <v>889445.62</v>
      </c>
      <c r="AV7" s="1289">
        <f t="shared" si="1"/>
        <v>970723.07</v>
      </c>
      <c r="AW7" s="1295">
        <f>ROUND(SUM(AW3:AW6),5)</f>
        <v>677257.36</v>
      </c>
      <c r="AX7" s="1295">
        <f>ROUND(SUM(AX3:AX6),5)</f>
        <v>468307.72</v>
      </c>
      <c r="AY7" s="1295"/>
      <c r="AZ7" s="1295">
        <f>ROUND(SUM(AZ3:AZ5),5)</f>
        <v>472263.67</v>
      </c>
      <c r="BA7" s="1295">
        <f>ROUND(SUM(BA3:BA5),5)</f>
        <v>436252.63</v>
      </c>
      <c r="BB7" s="1295">
        <f>ROUND(SUM(BB3:BB5),5)</f>
        <v>726730</v>
      </c>
      <c r="BC7" s="1289">
        <f>ROUND(SUM(BC3:BC5),5)</f>
        <v>874376.85</v>
      </c>
      <c r="BD7" s="1289">
        <f t="shared" ref="BD7:BI7" si="2">ROUND(SUM(BD3:BD6),5)</f>
        <v>824088.65</v>
      </c>
      <c r="BE7" s="1295">
        <f t="shared" si="2"/>
        <v>833145.18741999997</v>
      </c>
      <c r="BF7" s="1295">
        <f t="shared" si="2"/>
        <v>840088.06397999998</v>
      </c>
      <c r="BG7" s="1295">
        <f t="shared" si="2"/>
        <v>847088.79784000001</v>
      </c>
      <c r="BH7" s="1295">
        <f t="shared" si="2"/>
        <v>854147.87115999998</v>
      </c>
      <c r="BI7" s="1295">
        <f t="shared" si="2"/>
        <v>861265.77009000001</v>
      </c>
    </row>
    <row r="8" spans="1:61" outlineLevel="1" x14ac:dyDescent="0.3">
      <c r="C8" s="1288"/>
      <c r="D8" s="1288"/>
      <c r="E8" s="1288"/>
      <c r="F8" s="1288" t="s">
        <v>26</v>
      </c>
      <c r="G8" s="1288"/>
      <c r="H8" s="1288"/>
      <c r="I8" s="1288"/>
      <c r="J8" s="1289"/>
      <c r="K8" s="1289"/>
      <c r="L8" s="1289"/>
      <c r="M8" s="1289"/>
      <c r="N8" s="1289"/>
      <c r="O8" s="1289"/>
      <c r="P8" s="1289"/>
      <c r="Q8" s="1289"/>
      <c r="R8" s="1289"/>
      <c r="S8" s="1289"/>
      <c r="T8" s="1289"/>
      <c r="U8" s="1295">
        <f>SUM(S7:U7)</f>
        <v>1955836.56</v>
      </c>
      <c r="V8" s="1295"/>
      <c r="W8" s="1295"/>
      <c r="X8" s="1295">
        <f>SUM(V7:X7)</f>
        <v>1453632.6</v>
      </c>
      <c r="Y8" s="1295"/>
      <c r="Z8" s="1295"/>
      <c r="AA8" s="1295">
        <f>SUM(Y7:AA7)</f>
        <v>2221809.19</v>
      </c>
      <c r="AB8" s="1295"/>
      <c r="AC8" s="1295"/>
      <c r="AD8" s="1295">
        <f>SUM(AB7:AD7)</f>
        <v>2377083.2600000002</v>
      </c>
      <c r="AE8" s="1295"/>
      <c r="AF8" s="1295"/>
      <c r="AG8" s="1295">
        <f>SUM(AE7:AG7)</f>
        <v>3086630.1</v>
      </c>
      <c r="AH8" s="1295"/>
      <c r="AI8" s="1295"/>
      <c r="AJ8" s="1295">
        <f>SUM(AH7:AJ7)</f>
        <v>2204509.9300000002</v>
      </c>
      <c r="AK8" s="1295"/>
      <c r="AL8" s="1295"/>
      <c r="AM8" s="1295">
        <f>SUM(AK7:AM7)</f>
        <v>1853191.2099999997</v>
      </c>
      <c r="AN8" s="1295"/>
      <c r="AO8" s="1295"/>
      <c r="AP8" s="1295">
        <f>SUM(AN7:AP7)</f>
        <v>2823139.68</v>
      </c>
      <c r="AQ8" s="1295"/>
      <c r="AR8" s="1295"/>
      <c r="AS8" s="1295">
        <f>SUM(AQ7:AS7)</f>
        <v>2374686.17</v>
      </c>
      <c r="AT8" s="1295"/>
      <c r="AU8" s="1295"/>
      <c r="AV8" s="1295">
        <f>SUM(AT7:AV7)</f>
        <v>2663093.13</v>
      </c>
      <c r="AW8" s="1295"/>
      <c r="AX8" s="1295"/>
      <c r="AY8" s="1295"/>
      <c r="AZ8" s="1289">
        <f>SUM(AW7:AZ7)</f>
        <v>1617828.75</v>
      </c>
      <c r="BA8" s="1295"/>
      <c r="BB8" s="1295"/>
      <c r="BC8" s="1289">
        <f>SUM(BA7:BC7)</f>
        <v>2037359.48</v>
      </c>
      <c r="BD8" s="1289"/>
      <c r="BE8" s="1295"/>
      <c r="BF8" s="1295"/>
      <c r="BG8" s="1295"/>
      <c r="BH8" s="1295"/>
      <c r="BI8" s="1295"/>
    </row>
    <row r="9" spans="1:61" outlineLevel="1" x14ac:dyDescent="0.3">
      <c r="C9" s="1288"/>
      <c r="D9" s="1288"/>
      <c r="E9" s="1288"/>
      <c r="F9" s="1288"/>
      <c r="G9" s="1288" t="s">
        <v>978</v>
      </c>
      <c r="H9" s="1288"/>
      <c r="I9" s="1288"/>
      <c r="J9" s="1289">
        <v>0</v>
      </c>
      <c r="K9" s="1289">
        <v>0</v>
      </c>
      <c r="L9" s="1289">
        <v>0</v>
      </c>
      <c r="M9" s="1289">
        <v>0</v>
      </c>
      <c r="N9" s="1289">
        <v>0</v>
      </c>
      <c r="O9" s="1289">
        <v>335.68</v>
      </c>
      <c r="P9" s="1289">
        <v>0</v>
      </c>
      <c r="Q9" s="1289">
        <v>0</v>
      </c>
      <c r="R9" s="1289">
        <v>0</v>
      </c>
      <c r="S9" s="1289">
        <v>0</v>
      </c>
      <c r="T9" s="1289">
        <v>0</v>
      </c>
      <c r="U9" s="1289">
        <v>0</v>
      </c>
      <c r="V9" s="1289">
        <v>0</v>
      </c>
      <c r="W9" s="1289">
        <v>0</v>
      </c>
      <c r="X9" s="1289">
        <v>0</v>
      </c>
      <c r="Y9" s="1289">
        <v>0</v>
      </c>
      <c r="Z9" s="1289">
        <v>0</v>
      </c>
      <c r="AA9" s="1289">
        <v>0</v>
      </c>
      <c r="AB9" s="1289">
        <v>0</v>
      </c>
      <c r="AC9" s="1289">
        <v>0</v>
      </c>
      <c r="AD9" s="1289">
        <v>0</v>
      </c>
      <c r="AE9" s="1289">
        <v>0</v>
      </c>
      <c r="AF9" s="1289">
        <v>0</v>
      </c>
      <c r="AG9" s="1289">
        <v>0</v>
      </c>
      <c r="AH9" s="1289">
        <v>7382.34</v>
      </c>
      <c r="AI9" s="1289">
        <v>0</v>
      </c>
      <c r="AJ9" s="1289">
        <v>0</v>
      </c>
      <c r="AK9" s="1289">
        <v>0</v>
      </c>
      <c r="AL9" s="1289">
        <v>0</v>
      </c>
      <c r="AM9" s="1289">
        <v>0</v>
      </c>
      <c r="AN9" s="1289">
        <v>0</v>
      </c>
      <c r="AO9" s="1289">
        <v>0</v>
      </c>
      <c r="AP9" s="1289">
        <v>0</v>
      </c>
      <c r="AQ9" s="1289">
        <v>4034.7</v>
      </c>
      <c r="AR9" s="1289">
        <v>0</v>
      </c>
      <c r="AS9" s="1289">
        <v>0</v>
      </c>
      <c r="AT9" s="1289">
        <v>0</v>
      </c>
      <c r="AU9" s="1289">
        <v>0</v>
      </c>
      <c r="AV9" s="1289">
        <v>0</v>
      </c>
      <c r="AW9" s="1295">
        <v>0</v>
      </c>
      <c r="AX9" s="1295">
        <v>0</v>
      </c>
      <c r="AY9" s="1295"/>
      <c r="AZ9" s="1295">
        <v>242738.7</v>
      </c>
      <c r="BA9" s="1295"/>
      <c r="BB9" s="1295">
        <v>382459.89</v>
      </c>
      <c r="BC9" s="1289"/>
      <c r="BD9" s="1289"/>
      <c r="BE9" s="1295"/>
      <c r="BF9" s="1295"/>
      <c r="BG9" s="1295"/>
      <c r="BH9" s="1295"/>
      <c r="BI9" s="1295"/>
    </row>
    <row r="10" spans="1:61" outlineLevel="1" x14ac:dyDescent="0.3">
      <c r="C10" s="1288"/>
      <c r="D10" s="1288"/>
      <c r="E10" s="1288"/>
      <c r="F10" s="1288"/>
      <c r="G10" s="1288" t="s">
        <v>979</v>
      </c>
      <c r="H10" s="1288"/>
      <c r="I10" s="1288"/>
      <c r="J10" s="1289">
        <v>0</v>
      </c>
      <c r="K10" s="1289">
        <v>0</v>
      </c>
      <c r="L10" s="1289">
        <v>0</v>
      </c>
      <c r="M10" s="1289">
        <v>0</v>
      </c>
      <c r="N10" s="1289">
        <v>0</v>
      </c>
      <c r="O10" s="1289">
        <v>0</v>
      </c>
      <c r="P10" s="1289">
        <v>0</v>
      </c>
      <c r="Q10" s="1289">
        <v>0</v>
      </c>
      <c r="R10" s="1289">
        <v>0</v>
      </c>
      <c r="S10" s="1289">
        <v>0</v>
      </c>
      <c r="T10" s="1289">
        <v>0</v>
      </c>
      <c r="U10" s="1289">
        <v>0</v>
      </c>
      <c r="V10" s="1289">
        <v>0</v>
      </c>
      <c r="W10" s="1289">
        <v>0</v>
      </c>
      <c r="X10" s="1289">
        <v>0</v>
      </c>
      <c r="Y10" s="1289">
        <v>0</v>
      </c>
      <c r="Z10" s="1289">
        <v>0</v>
      </c>
      <c r="AA10" s="1289">
        <v>15050</v>
      </c>
      <c r="AB10" s="1289">
        <v>0</v>
      </c>
      <c r="AC10" s="1289">
        <v>31500</v>
      </c>
      <c r="AD10" s="1289">
        <v>0</v>
      </c>
      <c r="AE10" s="1289">
        <v>13767.6</v>
      </c>
      <c r="AF10" s="1289">
        <v>6883.8</v>
      </c>
      <c r="AG10" s="1289">
        <v>0</v>
      </c>
      <c r="AH10" s="1289">
        <v>0</v>
      </c>
      <c r="AI10" s="1289">
        <v>0</v>
      </c>
      <c r="AJ10" s="1289">
        <v>0</v>
      </c>
      <c r="AK10" s="1289">
        <v>0</v>
      </c>
      <c r="AL10" s="1289">
        <v>0</v>
      </c>
      <c r="AM10" s="1289">
        <v>0</v>
      </c>
      <c r="AN10" s="1289">
        <v>0</v>
      </c>
      <c r="AO10" s="1289">
        <v>0</v>
      </c>
      <c r="AP10" s="1289">
        <v>0</v>
      </c>
      <c r="AQ10" s="1289">
        <v>0</v>
      </c>
      <c r="AR10" s="1289">
        <v>0</v>
      </c>
      <c r="AS10" s="1289">
        <v>0</v>
      </c>
      <c r="AT10" s="1289">
        <v>0</v>
      </c>
      <c r="AU10" s="1289">
        <v>0</v>
      </c>
      <c r="AV10" s="1289">
        <v>0</v>
      </c>
      <c r="AW10" s="1295">
        <v>383846.5</v>
      </c>
      <c r="AX10" s="1295">
        <v>170141.06</v>
      </c>
      <c r="AY10" s="1295"/>
      <c r="AZ10" s="1295"/>
      <c r="BA10" s="1295"/>
      <c r="BB10" s="1295"/>
      <c r="BC10" s="1289">
        <v>457992.78</v>
      </c>
      <c r="BD10" s="1289">
        <v>459623.32</v>
      </c>
      <c r="BE10" s="1295"/>
      <c r="BF10" s="1295"/>
      <c r="BG10" s="1295"/>
      <c r="BH10" s="1295"/>
      <c r="BI10" s="1295"/>
    </row>
    <row r="11" spans="1:61" ht="15" outlineLevel="1" thickBot="1" x14ac:dyDescent="0.35">
      <c r="C11" s="1288"/>
      <c r="D11" s="1288"/>
      <c r="E11" s="1288"/>
      <c r="F11" s="1288"/>
      <c r="G11" s="1288" t="s">
        <v>980</v>
      </c>
      <c r="H11" s="1288"/>
      <c r="I11" s="1288"/>
      <c r="J11" s="1289">
        <v>322192.59000000003</v>
      </c>
      <c r="K11" s="1289">
        <v>344189.67</v>
      </c>
      <c r="L11" s="1289">
        <v>210665.49</v>
      </c>
      <c r="M11" s="1289">
        <v>278197.84000000003</v>
      </c>
      <c r="N11" s="1289">
        <v>266450.55</v>
      </c>
      <c r="O11" s="1289">
        <v>189262.06</v>
      </c>
      <c r="P11" s="1289">
        <v>301358.65000000002</v>
      </c>
      <c r="Q11" s="1289">
        <v>249333.18</v>
      </c>
      <c r="R11" s="1289">
        <v>215758.32</v>
      </c>
      <c r="S11" s="1289">
        <v>309875.90999999997</v>
      </c>
      <c r="T11" s="1289">
        <v>200119.11</v>
      </c>
      <c r="U11" s="1289">
        <v>733805.3</v>
      </c>
      <c r="V11" s="1289">
        <v>196949.27</v>
      </c>
      <c r="W11" s="1289">
        <v>164408.45000000001</v>
      </c>
      <c r="X11" s="1289">
        <v>418903.39</v>
      </c>
      <c r="Y11" s="1289">
        <v>298120.55</v>
      </c>
      <c r="Z11" s="1289">
        <v>442603.45</v>
      </c>
      <c r="AA11" s="1289">
        <v>708293.55</v>
      </c>
      <c r="AB11" s="1289">
        <v>386610.05</v>
      </c>
      <c r="AC11" s="1289">
        <v>646284.07999999996</v>
      </c>
      <c r="AD11" s="1289">
        <v>632045.88</v>
      </c>
      <c r="AE11" s="1289">
        <v>261510.58</v>
      </c>
      <c r="AF11" s="1289">
        <v>771921.12</v>
      </c>
      <c r="AG11" s="1289">
        <v>1109804.68</v>
      </c>
      <c r="AH11" s="1289">
        <v>327391.31</v>
      </c>
      <c r="AI11" s="1289">
        <v>492775.1</v>
      </c>
      <c r="AJ11" s="1289">
        <v>554281.41</v>
      </c>
      <c r="AK11" s="1289">
        <v>406899.84</v>
      </c>
      <c r="AL11" s="1289">
        <v>405004.35</v>
      </c>
      <c r="AM11" s="1289">
        <v>239701.65</v>
      </c>
      <c r="AN11" s="1289">
        <v>345887.59</v>
      </c>
      <c r="AO11" s="1289">
        <v>883043.5</v>
      </c>
      <c r="AP11" s="1289">
        <v>338187.46</v>
      </c>
      <c r="AQ11" s="1289">
        <v>328870.46999999997</v>
      </c>
      <c r="AR11" s="1289">
        <v>555251.46</v>
      </c>
      <c r="AS11" s="1289">
        <v>697113.73</v>
      </c>
      <c r="AT11" s="1289">
        <v>439945.07</v>
      </c>
      <c r="AU11" s="1289">
        <v>511323.43</v>
      </c>
      <c r="AV11" s="1289">
        <v>543358.86</v>
      </c>
      <c r="AW11" s="1295"/>
      <c r="AX11" s="1295"/>
      <c r="AY11" s="1295"/>
      <c r="AZ11" s="1295"/>
      <c r="BA11" s="1295">
        <v>196045.46</v>
      </c>
      <c r="BB11" s="1295"/>
      <c r="BC11" s="1289"/>
      <c r="BD11" s="1289"/>
      <c r="BE11" s="1295"/>
      <c r="BF11" s="1295"/>
      <c r="BG11" s="1295"/>
      <c r="BH11" s="1295"/>
      <c r="BI11" s="1295"/>
    </row>
    <row r="12" spans="1:61" ht="15" outlineLevel="1" thickBot="1" x14ac:dyDescent="0.35">
      <c r="C12" s="1288"/>
      <c r="D12" s="1288"/>
      <c r="E12" s="1288"/>
      <c r="F12" s="1288" t="s">
        <v>551</v>
      </c>
      <c r="G12" s="1288"/>
      <c r="H12" s="1288"/>
      <c r="I12" s="1288"/>
      <c r="J12" s="1291">
        <f t="shared" ref="J12:AY12" si="3">ROUND(SUM(J9:J10),5)</f>
        <v>0</v>
      </c>
      <c r="K12" s="1291">
        <f t="shared" si="3"/>
        <v>0</v>
      </c>
      <c r="L12" s="1291">
        <f t="shared" si="3"/>
        <v>0</v>
      </c>
      <c r="M12" s="1291">
        <f t="shared" si="3"/>
        <v>0</v>
      </c>
      <c r="N12" s="1291">
        <f t="shared" si="3"/>
        <v>0</v>
      </c>
      <c r="O12" s="1291">
        <f t="shared" si="3"/>
        <v>335.68</v>
      </c>
      <c r="P12" s="1291">
        <f t="shared" si="3"/>
        <v>0</v>
      </c>
      <c r="Q12" s="1291">
        <f t="shared" si="3"/>
        <v>0</v>
      </c>
      <c r="R12" s="1291">
        <f t="shared" si="3"/>
        <v>0</v>
      </c>
      <c r="S12" s="1291">
        <f t="shared" si="3"/>
        <v>0</v>
      </c>
      <c r="T12" s="1291">
        <f t="shared" si="3"/>
        <v>0</v>
      </c>
      <c r="U12" s="1291">
        <f t="shared" si="3"/>
        <v>0</v>
      </c>
      <c r="V12" s="1291">
        <f t="shared" si="3"/>
        <v>0</v>
      </c>
      <c r="W12" s="1291">
        <f t="shared" si="3"/>
        <v>0</v>
      </c>
      <c r="X12" s="1291">
        <f t="shared" si="3"/>
        <v>0</v>
      </c>
      <c r="Y12" s="1291">
        <f t="shared" si="3"/>
        <v>0</v>
      </c>
      <c r="Z12" s="1291">
        <f t="shared" si="3"/>
        <v>0</v>
      </c>
      <c r="AA12" s="1291">
        <f t="shared" si="3"/>
        <v>15050</v>
      </c>
      <c r="AB12" s="1291">
        <f t="shared" si="3"/>
        <v>0</v>
      </c>
      <c r="AC12" s="1291">
        <f t="shared" si="3"/>
        <v>31500</v>
      </c>
      <c r="AD12" s="1291">
        <f t="shared" si="3"/>
        <v>0</v>
      </c>
      <c r="AE12" s="1291">
        <f t="shared" si="3"/>
        <v>13767.6</v>
      </c>
      <c r="AF12" s="1291">
        <f t="shared" si="3"/>
        <v>6883.8</v>
      </c>
      <c r="AG12" s="1291">
        <f t="shared" si="3"/>
        <v>0</v>
      </c>
      <c r="AH12" s="1291">
        <f t="shared" si="3"/>
        <v>7382.34</v>
      </c>
      <c r="AI12" s="1291">
        <f t="shared" si="3"/>
        <v>0</v>
      </c>
      <c r="AJ12" s="1291">
        <f t="shared" si="3"/>
        <v>0</v>
      </c>
      <c r="AK12" s="1291">
        <f t="shared" si="3"/>
        <v>0</v>
      </c>
      <c r="AL12" s="1291">
        <f t="shared" si="3"/>
        <v>0</v>
      </c>
      <c r="AM12" s="1291">
        <f t="shared" si="3"/>
        <v>0</v>
      </c>
      <c r="AN12" s="1291">
        <f t="shared" si="3"/>
        <v>0</v>
      </c>
      <c r="AO12" s="1291">
        <f t="shared" si="3"/>
        <v>0</v>
      </c>
      <c r="AP12" s="1291">
        <f t="shared" si="3"/>
        <v>0</v>
      </c>
      <c r="AQ12" s="1291">
        <f t="shared" si="3"/>
        <v>4034.7</v>
      </c>
      <c r="AR12" s="1291">
        <f t="shared" si="3"/>
        <v>0</v>
      </c>
      <c r="AS12" s="1291">
        <f t="shared" si="3"/>
        <v>0</v>
      </c>
      <c r="AT12" s="1291">
        <f t="shared" si="3"/>
        <v>0</v>
      </c>
      <c r="AU12" s="1291">
        <f t="shared" si="3"/>
        <v>0</v>
      </c>
      <c r="AV12" s="1291">
        <f t="shared" si="3"/>
        <v>0</v>
      </c>
      <c r="AW12" s="1291">
        <f t="shared" si="3"/>
        <v>383846.5</v>
      </c>
      <c r="AX12" s="1291">
        <f t="shared" si="3"/>
        <v>170141.06</v>
      </c>
      <c r="AY12" s="1291">
        <f t="shared" si="3"/>
        <v>0</v>
      </c>
      <c r="AZ12" s="1291">
        <f t="shared" ref="AZ12:BA12" si="4">ROUND(SUM(AZ9:AZ11),5)</f>
        <v>242738.7</v>
      </c>
      <c r="BA12" s="1291">
        <f t="shared" si="4"/>
        <v>196045.46</v>
      </c>
      <c r="BB12" s="1291">
        <f>ROUND(SUM(BB9:BB11),5)</f>
        <v>382459.89</v>
      </c>
      <c r="BC12" s="1291">
        <f t="shared" ref="BC12:BD12" si="5">ROUND(SUM(BC9:BC11),5)</f>
        <v>457992.78</v>
      </c>
      <c r="BD12" s="1291">
        <f t="shared" si="5"/>
        <v>459623.32</v>
      </c>
      <c r="BE12" s="1299"/>
      <c r="BF12" s="1299"/>
      <c r="BG12" s="1299"/>
      <c r="BH12" s="1299"/>
      <c r="BI12" s="1299"/>
    </row>
    <row r="13" spans="1:61" x14ac:dyDescent="0.3">
      <c r="C13" s="1288"/>
      <c r="D13" s="1288"/>
      <c r="E13" s="1288" t="s">
        <v>460</v>
      </c>
      <c r="F13" s="1288"/>
      <c r="G13" s="1288"/>
      <c r="H13" s="1288"/>
      <c r="I13" s="1288"/>
      <c r="J13" s="1289">
        <f t="shared" ref="J13:AV13" si="6">ROUND(J7-J12,5)</f>
        <v>556032.97</v>
      </c>
      <c r="K13" s="1289">
        <f t="shared" si="6"/>
        <v>575393.27</v>
      </c>
      <c r="L13" s="1289">
        <f t="shared" si="6"/>
        <v>369309.6</v>
      </c>
      <c r="M13" s="1289">
        <f t="shared" si="6"/>
        <v>425387.07</v>
      </c>
      <c r="N13" s="1289">
        <f t="shared" si="6"/>
        <v>455599.64</v>
      </c>
      <c r="O13" s="1289">
        <f t="shared" si="6"/>
        <v>390984.73</v>
      </c>
      <c r="P13" s="1289">
        <f t="shared" si="6"/>
        <v>513396.41</v>
      </c>
      <c r="Q13" s="1289">
        <f t="shared" si="6"/>
        <v>418534.82</v>
      </c>
      <c r="R13" s="1289">
        <f t="shared" si="6"/>
        <v>414185.14</v>
      </c>
      <c r="S13" s="1289">
        <f t="shared" si="6"/>
        <v>536272.22</v>
      </c>
      <c r="T13" s="1289">
        <f t="shared" si="6"/>
        <v>426433.64</v>
      </c>
      <c r="U13" s="1289">
        <f t="shared" si="6"/>
        <v>993130.7</v>
      </c>
      <c r="V13" s="1289">
        <f t="shared" si="6"/>
        <v>352564.8</v>
      </c>
      <c r="W13" s="1289">
        <f t="shared" si="6"/>
        <v>360209.21</v>
      </c>
      <c r="X13" s="1289">
        <f t="shared" si="6"/>
        <v>740858.59</v>
      </c>
      <c r="Y13" s="1289">
        <f t="shared" si="6"/>
        <v>516560.13</v>
      </c>
      <c r="Z13" s="1289">
        <f t="shared" si="6"/>
        <v>724543.44</v>
      </c>
      <c r="AA13" s="1289">
        <f t="shared" si="6"/>
        <v>965655.62</v>
      </c>
      <c r="AB13" s="1289">
        <f t="shared" si="6"/>
        <v>589057.27</v>
      </c>
      <c r="AC13" s="1289">
        <f t="shared" si="6"/>
        <v>1012130.6</v>
      </c>
      <c r="AD13" s="1289">
        <f t="shared" si="6"/>
        <v>744395.39</v>
      </c>
      <c r="AE13" s="1289">
        <f t="shared" si="6"/>
        <v>489919.18</v>
      </c>
      <c r="AF13" s="1289">
        <f t="shared" si="6"/>
        <v>1113691.1499999999</v>
      </c>
      <c r="AG13" s="1289">
        <f t="shared" si="6"/>
        <v>1462368.37</v>
      </c>
      <c r="AH13" s="1289">
        <f t="shared" si="6"/>
        <v>551572.91</v>
      </c>
      <c r="AI13" s="1289">
        <f t="shared" si="6"/>
        <v>700705.28000000003</v>
      </c>
      <c r="AJ13" s="1289">
        <f t="shared" si="6"/>
        <v>944849.4</v>
      </c>
      <c r="AK13" s="1289">
        <f t="shared" si="6"/>
        <v>764616.85</v>
      </c>
      <c r="AL13" s="1289">
        <f t="shared" si="6"/>
        <v>650661.44999999995</v>
      </c>
      <c r="AM13" s="1289">
        <f t="shared" si="6"/>
        <v>437912.91</v>
      </c>
      <c r="AN13" s="1289">
        <f t="shared" si="6"/>
        <v>661484.09</v>
      </c>
      <c r="AO13" s="1289">
        <f t="shared" si="6"/>
        <v>1389792.22</v>
      </c>
      <c r="AP13" s="1289">
        <f t="shared" si="6"/>
        <v>771863.37</v>
      </c>
      <c r="AQ13" s="1289">
        <f t="shared" si="6"/>
        <v>561533.18000000005</v>
      </c>
      <c r="AR13" s="1289">
        <f t="shared" si="6"/>
        <v>910069.05</v>
      </c>
      <c r="AS13" s="1289">
        <f t="shared" si="6"/>
        <v>899049.24</v>
      </c>
      <c r="AT13" s="1289">
        <f t="shared" si="6"/>
        <v>802924.44</v>
      </c>
      <c r="AU13" s="1289">
        <f t="shared" si="6"/>
        <v>889445.62</v>
      </c>
      <c r="AV13" s="1289">
        <f t="shared" si="6"/>
        <v>970723.07</v>
      </c>
      <c r="AW13" s="1295">
        <f>ROUND(AW7-AW12,5)</f>
        <v>293410.86</v>
      </c>
      <c r="AX13" s="1295">
        <f>ROUND(AX7-AX12,5)</f>
        <v>298166.65999999997</v>
      </c>
      <c r="AY13" s="1295"/>
      <c r="AZ13" s="1295">
        <f>ROUND(AZ7-AZ12,5)</f>
        <v>229524.97</v>
      </c>
      <c r="BA13" s="1295">
        <f>ROUND(BA7-BA12,5)</f>
        <v>240207.17</v>
      </c>
      <c r="BB13" s="1295">
        <f>ROUND(BB7-BB12,5)</f>
        <v>344270.11</v>
      </c>
      <c r="BC13" s="1289">
        <f>ROUND(BC7-BC12,5)</f>
        <v>416384.07</v>
      </c>
      <c r="BD13" s="1289">
        <f>ROUND(BD7-BD12,5)</f>
        <v>364465.33</v>
      </c>
      <c r="BE13" s="1295">
        <f>SUM(AX13:BD13)/SUM(AX$7:BD$7)*BE$7</f>
        <v>414821.40909009374</v>
      </c>
      <c r="BF13" s="1295">
        <f>SUM(AZ13:BE13)/SUM(AZ$7:BE$7)*BF$7</f>
        <v>405174.05673889234</v>
      </c>
      <c r="BG13" s="1295">
        <f>SUM(BA13:BF13)/SUM(BA$7:BF$7)*BG$7</f>
        <v>408223.1481568598</v>
      </c>
      <c r="BH13" s="1295">
        <f>SUM(BB13:BG13)/SUM(BB$7:BG$7)*BH$7</f>
        <v>406448.61305387126</v>
      </c>
      <c r="BI13" s="1295">
        <f>SUM(BC13:BH13)/SUM(BC$7:BH$7)*BI$7</f>
        <v>410098.22036893235</v>
      </c>
    </row>
    <row r="14" spans="1:61" x14ac:dyDescent="0.3">
      <c r="C14" s="1288"/>
      <c r="D14" s="1288"/>
      <c r="E14" s="1288"/>
      <c r="F14" s="1288" t="s">
        <v>981</v>
      </c>
      <c r="G14" s="1288"/>
      <c r="H14" s="1288"/>
      <c r="I14" s="1288"/>
      <c r="J14" s="1289"/>
      <c r="K14" s="1289"/>
      <c r="L14" s="1289"/>
      <c r="M14" s="1289"/>
      <c r="N14" s="1289"/>
      <c r="O14" s="1289"/>
      <c r="P14" s="1289"/>
      <c r="Q14" s="1289"/>
      <c r="R14" s="1289"/>
      <c r="S14" s="1289"/>
      <c r="T14" s="1289"/>
      <c r="U14" s="1289"/>
      <c r="V14" s="1289"/>
      <c r="W14" s="1289"/>
      <c r="X14" s="1289"/>
      <c r="Y14" s="1289"/>
      <c r="Z14" s="1289"/>
      <c r="AA14" s="1289"/>
      <c r="AB14" s="1289"/>
      <c r="AC14" s="1289"/>
      <c r="AD14" s="1289"/>
      <c r="AE14" s="1289"/>
      <c r="AF14" s="1289"/>
      <c r="AG14" s="1289"/>
      <c r="AH14" s="1289"/>
      <c r="AI14" s="1289"/>
      <c r="AJ14" s="1289"/>
      <c r="AK14" s="1289"/>
      <c r="AL14" s="1289"/>
      <c r="AM14" s="1289"/>
      <c r="AN14" s="1289"/>
      <c r="AO14" s="1289"/>
      <c r="AP14" s="1289"/>
      <c r="AQ14" s="1289"/>
      <c r="AR14" s="1289"/>
      <c r="AS14" s="1289"/>
      <c r="AT14" s="1289"/>
      <c r="AU14" s="1289"/>
      <c r="AV14" s="1289"/>
      <c r="AW14" s="1295"/>
      <c r="AX14" s="1295"/>
      <c r="AY14" s="1295"/>
      <c r="AZ14" s="1295"/>
      <c r="BA14" s="1295"/>
      <c r="BB14" s="1295"/>
      <c r="BC14" s="1289"/>
      <c r="BD14" s="1289"/>
      <c r="BE14" s="1295"/>
      <c r="BF14" s="1295"/>
      <c r="BG14" s="1295"/>
      <c r="BH14" s="1295"/>
      <c r="BI14" s="1295"/>
    </row>
    <row r="15" spans="1:61" outlineLevel="1" x14ac:dyDescent="0.3">
      <c r="C15" s="1288"/>
      <c r="D15" s="1288"/>
      <c r="E15" s="1288"/>
      <c r="F15" s="1288"/>
      <c r="G15" s="1288" t="s">
        <v>982</v>
      </c>
      <c r="H15" s="1288"/>
      <c r="I15" s="1288"/>
      <c r="J15" s="1289"/>
      <c r="K15" s="1289"/>
      <c r="L15" s="1289"/>
      <c r="M15" s="1289"/>
      <c r="N15" s="1289"/>
      <c r="O15" s="1289"/>
      <c r="P15" s="1289"/>
      <c r="Q15" s="1289"/>
      <c r="R15" s="1289"/>
      <c r="S15" s="1289"/>
      <c r="T15" s="1289"/>
      <c r="U15" s="1289"/>
      <c r="V15" s="1289"/>
      <c r="W15" s="1289"/>
      <c r="X15" s="1289"/>
      <c r="Y15" s="1289"/>
      <c r="Z15" s="1289"/>
      <c r="AA15" s="1289"/>
      <c r="AB15" s="1289"/>
      <c r="AC15" s="1289"/>
      <c r="AD15" s="1289"/>
      <c r="AE15" s="1289"/>
      <c r="AF15" s="1289"/>
      <c r="AG15" s="1289"/>
      <c r="AH15" s="1289"/>
      <c r="AI15" s="1289"/>
      <c r="AJ15" s="1289"/>
      <c r="AK15" s="1289"/>
      <c r="AL15" s="1289"/>
      <c r="AM15" s="1289"/>
      <c r="AN15" s="1289"/>
      <c r="AO15" s="1289"/>
      <c r="AP15" s="1289"/>
      <c r="AQ15" s="1289"/>
      <c r="AR15" s="1289"/>
      <c r="AS15" s="1289"/>
      <c r="AT15" s="1289"/>
      <c r="AU15" s="1289"/>
      <c r="AV15" s="1289"/>
      <c r="AW15" s="1295"/>
      <c r="AX15" s="1295"/>
      <c r="AY15" s="1295"/>
      <c r="AZ15" s="1295"/>
      <c r="BA15" s="1295"/>
      <c r="BB15" s="1295"/>
      <c r="BC15" s="1289"/>
      <c r="BD15" s="1289"/>
      <c r="BE15" s="1295"/>
      <c r="BF15" s="1295"/>
      <c r="BG15" s="1295"/>
      <c r="BH15" s="1295"/>
      <c r="BI15" s="1295"/>
    </row>
    <row r="16" spans="1:61" outlineLevel="1" x14ac:dyDescent="0.3">
      <c r="C16" s="1288"/>
      <c r="D16" s="1288"/>
      <c r="E16" s="1288"/>
      <c r="F16" s="1288"/>
      <c r="G16" s="1288"/>
      <c r="H16" s="1288" t="s">
        <v>983</v>
      </c>
      <c r="I16" s="1288"/>
      <c r="J16" s="1289"/>
      <c r="K16" s="1289"/>
      <c r="L16" s="1289"/>
      <c r="M16" s="1289"/>
      <c r="N16" s="1289"/>
      <c r="O16" s="1289"/>
      <c r="P16" s="1289"/>
      <c r="Q16" s="1289"/>
      <c r="R16" s="1289"/>
      <c r="S16" s="1289"/>
      <c r="T16" s="1289"/>
      <c r="U16" s="1289"/>
      <c r="V16" s="1289"/>
      <c r="W16" s="1289"/>
      <c r="X16" s="1289"/>
      <c r="Y16" s="1289"/>
      <c r="Z16" s="1289"/>
      <c r="AA16" s="1289"/>
      <c r="AB16" s="1289"/>
      <c r="AC16" s="1289"/>
      <c r="AD16" s="1289"/>
      <c r="AE16" s="1289"/>
      <c r="AF16" s="1289"/>
      <c r="AG16" s="1289"/>
      <c r="AH16" s="1289"/>
      <c r="AI16" s="1289"/>
      <c r="AJ16" s="1289"/>
      <c r="AK16" s="1289"/>
      <c r="AL16" s="1289"/>
      <c r="AM16" s="1289"/>
      <c r="AN16" s="1289"/>
      <c r="AO16" s="1289"/>
      <c r="AP16" s="1289"/>
      <c r="AQ16" s="1289"/>
      <c r="AR16" s="1289"/>
      <c r="AS16" s="1289"/>
      <c r="AT16" s="1289"/>
      <c r="AU16" s="1289"/>
      <c r="AV16" s="1289"/>
      <c r="AW16" s="1295"/>
      <c r="AX16" s="1295"/>
      <c r="AY16" s="1295"/>
      <c r="AZ16" s="1295"/>
      <c r="BA16" s="1295"/>
      <c r="BB16" s="1295"/>
      <c r="BC16" s="1289"/>
      <c r="BD16" s="1289"/>
      <c r="BE16" s="1295"/>
      <c r="BF16" s="1295"/>
      <c r="BG16" s="1295"/>
      <c r="BH16" s="1295"/>
      <c r="BI16" s="1295"/>
    </row>
    <row r="17" spans="3:61" outlineLevel="1" x14ac:dyDescent="0.3">
      <c r="C17" s="1288"/>
      <c r="D17" s="1288"/>
      <c r="E17" s="1288"/>
      <c r="F17" s="1288"/>
      <c r="G17" s="1288"/>
      <c r="H17" s="1288"/>
      <c r="I17" s="1288" t="s">
        <v>984</v>
      </c>
      <c r="J17" s="1289">
        <v>5293.1</v>
      </c>
      <c r="K17" s="1289">
        <v>5293.1</v>
      </c>
      <c r="L17" s="1289">
        <v>5293.1</v>
      </c>
      <c r="M17" s="1289">
        <v>5293.1</v>
      </c>
      <c r="N17" s="1289">
        <v>5293.1</v>
      </c>
      <c r="O17" s="1289">
        <v>5293.1</v>
      </c>
      <c r="P17" s="1289">
        <v>5993.1</v>
      </c>
      <c r="Q17" s="1289">
        <v>5993.1</v>
      </c>
      <c r="R17" s="1289">
        <v>5992.7</v>
      </c>
      <c r="S17" s="1289">
        <v>5000</v>
      </c>
      <c r="T17" s="1289">
        <v>3283.52</v>
      </c>
      <c r="U17" s="1289">
        <v>4145.76</v>
      </c>
      <c r="V17" s="1289">
        <v>3277.76</v>
      </c>
      <c r="W17" s="1289">
        <v>4145.76</v>
      </c>
      <c r="X17" s="1289">
        <v>4145.76</v>
      </c>
      <c r="Y17" s="1289">
        <v>4145.76</v>
      </c>
      <c r="Z17" s="1289">
        <v>4145.76</v>
      </c>
      <c r="AA17" s="1289">
        <v>4145.76</v>
      </c>
      <c r="AB17" s="1289">
        <v>4145.76</v>
      </c>
      <c r="AC17" s="1289">
        <v>4160.1400000000003</v>
      </c>
      <c r="AD17" s="1289">
        <v>4149.26</v>
      </c>
      <c r="AE17" s="1289">
        <v>4614.5</v>
      </c>
      <c r="AF17" s="1289">
        <v>4344.5</v>
      </c>
      <c r="AG17" s="1289">
        <v>6666.5</v>
      </c>
      <c r="AH17" s="1289">
        <v>4434.5</v>
      </c>
      <c r="AI17" s="1289">
        <v>4434.5</v>
      </c>
      <c r="AJ17" s="1289">
        <v>5312</v>
      </c>
      <c r="AK17" s="1289">
        <v>4434.5</v>
      </c>
      <c r="AL17" s="1289">
        <v>4434.5</v>
      </c>
      <c r="AM17" s="1289">
        <v>4738.25</v>
      </c>
      <c r="AN17" s="1289">
        <v>4535.75</v>
      </c>
      <c r="AO17" s="1289">
        <v>4535.75</v>
      </c>
      <c r="AP17" s="1289">
        <v>4535.75</v>
      </c>
      <c r="AQ17" s="1289">
        <v>4529.5</v>
      </c>
      <c r="AR17" s="1289">
        <v>4529.5</v>
      </c>
      <c r="AS17" s="1289">
        <v>4529.5</v>
      </c>
      <c r="AT17" s="1289">
        <v>4529.5</v>
      </c>
      <c r="AU17" s="1289">
        <v>4529.5</v>
      </c>
      <c r="AV17" s="1289">
        <v>4248.91</v>
      </c>
      <c r="AW17" s="1295">
        <v>4529.5</v>
      </c>
      <c r="AX17" s="1295">
        <v>4529.5</v>
      </c>
      <c r="AY17" s="1295"/>
      <c r="AZ17" s="1295">
        <v>5389.5</v>
      </c>
      <c r="BA17" s="1295">
        <v>5393.5</v>
      </c>
      <c r="BB17" s="1295">
        <v>4999.3599999999997</v>
      </c>
      <c r="BC17" s="1289">
        <v>4786.6400000000003</v>
      </c>
      <c r="BD17" s="1289">
        <v>5393.5</v>
      </c>
      <c r="BE17" s="1295">
        <f t="shared" ref="BE17:BI17" si="7">65000/12</f>
        <v>5416.666666666667</v>
      </c>
      <c r="BF17" s="1295">
        <f t="shared" si="7"/>
        <v>5416.666666666667</v>
      </c>
      <c r="BG17" s="1295">
        <f t="shared" si="7"/>
        <v>5416.666666666667</v>
      </c>
      <c r="BH17" s="1295">
        <f t="shared" si="7"/>
        <v>5416.666666666667</v>
      </c>
      <c r="BI17" s="1295">
        <f t="shared" si="7"/>
        <v>5416.666666666667</v>
      </c>
    </row>
    <row r="18" spans="3:61" outlineLevel="1" x14ac:dyDescent="0.3">
      <c r="C18" s="1288"/>
      <c r="D18" s="1288"/>
      <c r="E18" s="1288"/>
      <c r="F18" s="1288"/>
      <c r="G18" s="1288"/>
      <c r="H18" s="1288"/>
      <c r="I18" s="1288" t="s">
        <v>985</v>
      </c>
      <c r="J18" s="1289">
        <v>11697.15</v>
      </c>
      <c r="K18" s="1289">
        <v>11443.54</v>
      </c>
      <c r="L18" s="1289">
        <v>14056.46</v>
      </c>
      <c r="M18" s="1289">
        <v>13787.04</v>
      </c>
      <c r="N18" s="1289">
        <v>13975.57</v>
      </c>
      <c r="O18" s="1289">
        <v>14063.36</v>
      </c>
      <c r="P18" s="1289">
        <v>12613.36</v>
      </c>
      <c r="Q18" s="1289">
        <v>12155.68</v>
      </c>
      <c r="R18" s="1289">
        <v>14240.24</v>
      </c>
      <c r="S18" s="1289">
        <v>17945.95</v>
      </c>
      <c r="T18" s="1289">
        <v>7151.2</v>
      </c>
      <c r="U18" s="1289">
        <v>7358.53</v>
      </c>
      <c r="V18" s="1289">
        <v>8188.27</v>
      </c>
      <c r="W18" s="1289">
        <v>9676.74</v>
      </c>
      <c r="X18" s="1289">
        <v>9879.56</v>
      </c>
      <c r="Y18" s="1289">
        <v>9763.2900000000009</v>
      </c>
      <c r="Z18" s="1289">
        <v>9249.43</v>
      </c>
      <c r="AA18" s="1289">
        <v>8808.31</v>
      </c>
      <c r="AB18" s="1289">
        <v>7401.14</v>
      </c>
      <c r="AC18" s="1289">
        <v>8171.53</v>
      </c>
      <c r="AD18" s="1289">
        <v>9299.86</v>
      </c>
      <c r="AE18" s="1289">
        <v>7253.14</v>
      </c>
      <c r="AF18" s="1289">
        <v>8414.15</v>
      </c>
      <c r="AG18" s="1289">
        <v>9603.99</v>
      </c>
      <c r="AH18" s="1289">
        <v>9122.77</v>
      </c>
      <c r="AI18" s="1289">
        <v>12981.57</v>
      </c>
      <c r="AJ18" s="1289">
        <v>-15522.78</v>
      </c>
      <c r="AK18" s="1289">
        <v>9896.0300000000007</v>
      </c>
      <c r="AL18" s="1289">
        <v>8235.89</v>
      </c>
      <c r="AM18" s="1289">
        <v>9392.49</v>
      </c>
      <c r="AN18" s="1289">
        <v>8392.49</v>
      </c>
      <c r="AO18" s="1289">
        <v>10017.870000000001</v>
      </c>
      <c r="AP18" s="1289">
        <v>9157.01</v>
      </c>
      <c r="AQ18" s="1289">
        <v>9076.35</v>
      </c>
      <c r="AR18" s="1289">
        <v>9941.19</v>
      </c>
      <c r="AS18" s="1289">
        <v>17679.32</v>
      </c>
      <c r="AT18" s="1289">
        <v>15346.66</v>
      </c>
      <c r="AU18" s="1289">
        <v>18495.189999999999</v>
      </c>
      <c r="AV18" s="1289">
        <v>11936.81</v>
      </c>
      <c r="AW18" s="1295">
        <v>18349.03</v>
      </c>
      <c r="AX18" s="1295">
        <v>-288</v>
      </c>
      <c r="AY18" s="1295"/>
      <c r="AZ18" s="1295">
        <v>4399.25</v>
      </c>
      <c r="BA18" s="1295">
        <v>4423.37</v>
      </c>
      <c r="BB18" s="1295">
        <v>4416.72</v>
      </c>
      <c r="BC18" s="1289">
        <v>4471.5200000000004</v>
      </c>
      <c r="BD18" s="1289">
        <v>5812.77</v>
      </c>
      <c r="BE18" s="1295">
        <f t="shared" ref="BE18:BI18" si="8">AVERAGE(BB18:BD18)</f>
        <v>4900.336666666667</v>
      </c>
      <c r="BF18" s="1295">
        <f t="shared" si="8"/>
        <v>5061.5422222222223</v>
      </c>
      <c r="BG18" s="1295">
        <f t="shared" si="8"/>
        <v>5258.2162962962966</v>
      </c>
      <c r="BH18" s="1295">
        <f t="shared" si="8"/>
        <v>5073.3650617283956</v>
      </c>
      <c r="BI18" s="1295">
        <f t="shared" si="8"/>
        <v>5131.0411934156391</v>
      </c>
    </row>
    <row r="19" spans="3:61" outlineLevel="1" x14ac:dyDescent="0.3">
      <c r="C19" s="1288"/>
      <c r="D19" s="1288"/>
      <c r="E19" s="1288"/>
      <c r="F19" s="1288"/>
      <c r="G19" s="1288"/>
      <c r="H19" s="1288"/>
      <c r="I19" s="1288" t="s">
        <v>986</v>
      </c>
      <c r="J19" s="1289">
        <v>1928.64</v>
      </c>
      <c r="K19" s="1289">
        <v>0</v>
      </c>
      <c r="L19" s="1289">
        <v>0</v>
      </c>
      <c r="M19" s="1289">
        <v>0</v>
      </c>
      <c r="N19" s="1289">
        <v>0</v>
      </c>
      <c r="O19" s="1289">
        <v>0</v>
      </c>
      <c r="P19" s="1289">
        <v>0</v>
      </c>
      <c r="Q19" s="1289">
        <v>0</v>
      </c>
      <c r="R19" s="1289">
        <v>0</v>
      </c>
      <c r="S19" s="1289">
        <v>2283.9</v>
      </c>
      <c r="T19" s="1289">
        <v>0</v>
      </c>
      <c r="U19" s="1289">
        <v>0</v>
      </c>
      <c r="V19" s="1289">
        <v>0</v>
      </c>
      <c r="W19" s="1289">
        <v>0</v>
      </c>
      <c r="X19" s="1289">
        <v>0</v>
      </c>
      <c r="Y19" s="1289">
        <v>0</v>
      </c>
      <c r="Z19" s="1289">
        <v>0</v>
      </c>
      <c r="AA19" s="1289">
        <v>0</v>
      </c>
      <c r="AB19" s="1289">
        <v>0</v>
      </c>
      <c r="AC19" s="1289">
        <v>0</v>
      </c>
      <c r="AD19" s="1289">
        <v>0</v>
      </c>
      <c r="AE19" s="1289">
        <v>0</v>
      </c>
      <c r="AF19" s="1289">
        <v>598.38</v>
      </c>
      <c r="AG19" s="1289">
        <v>0</v>
      </c>
      <c r="AH19" s="1289">
        <v>598.38</v>
      </c>
      <c r="AI19" s="1289">
        <v>0</v>
      </c>
      <c r="AJ19" s="1289">
        <v>0</v>
      </c>
      <c r="AK19" s="1289">
        <v>598.38</v>
      </c>
      <c r="AL19" s="1289">
        <v>0</v>
      </c>
      <c r="AM19" s="1289">
        <v>0</v>
      </c>
      <c r="AN19" s="1289">
        <v>598.38</v>
      </c>
      <c r="AO19" s="1289">
        <v>0</v>
      </c>
      <c r="AP19" s="1289">
        <v>0</v>
      </c>
      <c r="AQ19" s="1289">
        <v>598.38</v>
      </c>
      <c r="AR19" s="1289">
        <v>0</v>
      </c>
      <c r="AS19" s="1289">
        <v>0</v>
      </c>
      <c r="AT19" s="1289">
        <v>598.38</v>
      </c>
      <c r="AU19" s="1289">
        <v>0</v>
      </c>
      <c r="AV19" s="1289">
        <v>0</v>
      </c>
      <c r="AW19" s="1295">
        <v>0</v>
      </c>
      <c r="AX19" s="1295">
        <v>0</v>
      </c>
      <c r="AY19" s="1295"/>
      <c r="AZ19" s="1295"/>
      <c r="BA19" s="1295">
        <v>0</v>
      </c>
      <c r="BB19" s="1295">
        <v>0</v>
      </c>
      <c r="BC19" s="1289"/>
      <c r="BD19" s="1289"/>
      <c r="BE19" s="1295"/>
      <c r="BF19" s="1295"/>
      <c r="BG19" s="1295"/>
      <c r="BH19" s="1295"/>
      <c r="BI19" s="1295"/>
    </row>
    <row r="20" spans="3:61" ht="15" outlineLevel="1" thickBot="1" x14ac:dyDescent="0.35">
      <c r="C20" s="1288"/>
      <c r="D20" s="1288"/>
      <c r="E20" s="1288"/>
      <c r="F20" s="1288"/>
      <c r="G20" s="1288"/>
      <c r="H20" s="1288"/>
      <c r="I20" s="1288" t="s">
        <v>987</v>
      </c>
      <c r="J20" s="1290">
        <v>0</v>
      </c>
      <c r="K20" s="1290">
        <v>2767.49</v>
      </c>
      <c r="L20" s="1290">
        <v>0</v>
      </c>
      <c r="M20" s="1290">
        <v>-9306.4500000000007</v>
      </c>
      <c r="N20" s="1290">
        <v>0</v>
      </c>
      <c r="O20" s="1290">
        <v>3104.09</v>
      </c>
      <c r="P20" s="1290">
        <v>0</v>
      </c>
      <c r="Q20" s="1290">
        <v>2876.33</v>
      </c>
      <c r="R20" s="1290">
        <v>-1108</v>
      </c>
      <c r="S20" s="1290">
        <v>-16348.15</v>
      </c>
      <c r="T20" s="1290">
        <v>0</v>
      </c>
      <c r="U20" s="1290">
        <v>-62139.73</v>
      </c>
      <c r="V20" s="1290">
        <v>0</v>
      </c>
      <c r="W20" s="1290">
        <v>3104.09</v>
      </c>
      <c r="X20" s="1290">
        <v>0</v>
      </c>
      <c r="Y20" s="1290">
        <v>3134.55</v>
      </c>
      <c r="Z20" s="1290">
        <v>0</v>
      </c>
      <c r="AA20" s="1290">
        <v>3402.81</v>
      </c>
      <c r="AB20" s="1290">
        <v>595</v>
      </c>
      <c r="AC20" s="1290">
        <v>2093.81</v>
      </c>
      <c r="AD20" s="1290">
        <v>0</v>
      </c>
      <c r="AE20" s="1290">
        <v>3402.81</v>
      </c>
      <c r="AF20" s="1290">
        <v>0</v>
      </c>
      <c r="AG20" s="1290">
        <v>3402.81</v>
      </c>
      <c r="AH20" s="1290">
        <v>-180</v>
      </c>
      <c r="AI20" s="1290">
        <v>3402.81</v>
      </c>
      <c r="AJ20" s="1290">
        <v>0</v>
      </c>
      <c r="AK20" s="1290">
        <v>3410.95</v>
      </c>
      <c r="AL20" s="1290">
        <v>0</v>
      </c>
      <c r="AM20" s="1290">
        <v>2658.94</v>
      </c>
      <c r="AN20" s="1290">
        <v>3124</v>
      </c>
      <c r="AO20" s="1290">
        <v>2658.94</v>
      </c>
      <c r="AP20" s="1290">
        <v>0</v>
      </c>
      <c r="AQ20" s="1290">
        <v>2658.94</v>
      </c>
      <c r="AR20" s="1290">
        <v>0</v>
      </c>
      <c r="AS20" s="1290">
        <v>2420.94</v>
      </c>
      <c r="AT20" s="1290">
        <v>0</v>
      </c>
      <c r="AU20" s="1290">
        <v>2658.94</v>
      </c>
      <c r="AV20" s="1290">
        <v>0</v>
      </c>
      <c r="AW20" s="1296">
        <v>2665.3</v>
      </c>
      <c r="AX20" s="1296">
        <v>0</v>
      </c>
      <c r="AY20" s="1296"/>
      <c r="AZ20" s="1296"/>
      <c r="BA20" s="1296">
        <v>0</v>
      </c>
      <c r="BB20" s="1296">
        <v>896.36</v>
      </c>
      <c r="BC20" s="1290">
        <v>-896.36</v>
      </c>
      <c r="BD20" s="1290"/>
      <c r="BE20" s="1296"/>
      <c r="BF20" s="1296"/>
      <c r="BG20" s="1296"/>
      <c r="BH20" s="1296"/>
      <c r="BI20" s="1296"/>
    </row>
    <row r="21" spans="3:61" outlineLevel="1" x14ac:dyDescent="0.3">
      <c r="C21" s="1288"/>
      <c r="D21" s="1288"/>
      <c r="E21" s="1288"/>
      <c r="F21" s="1288"/>
      <c r="G21" s="1288"/>
      <c r="H21" s="1288" t="s">
        <v>988</v>
      </c>
      <c r="I21" s="1288"/>
      <c r="J21" s="1289">
        <f t="shared" ref="J21:AV21" si="9">ROUND(SUM(J16:J20),5)</f>
        <v>18918.89</v>
      </c>
      <c r="K21" s="1289">
        <f t="shared" si="9"/>
        <v>19504.13</v>
      </c>
      <c r="L21" s="1289">
        <f t="shared" si="9"/>
        <v>19349.560000000001</v>
      </c>
      <c r="M21" s="1289">
        <f t="shared" si="9"/>
        <v>9773.69</v>
      </c>
      <c r="N21" s="1289">
        <f t="shared" si="9"/>
        <v>19268.669999999998</v>
      </c>
      <c r="O21" s="1289">
        <f t="shared" si="9"/>
        <v>22460.55</v>
      </c>
      <c r="P21" s="1289">
        <f t="shared" si="9"/>
        <v>18606.46</v>
      </c>
      <c r="Q21" s="1289">
        <f t="shared" si="9"/>
        <v>21025.11</v>
      </c>
      <c r="R21" s="1289">
        <f t="shared" si="9"/>
        <v>19124.939999999999</v>
      </c>
      <c r="S21" s="1289">
        <f t="shared" si="9"/>
        <v>8881.7000000000007</v>
      </c>
      <c r="T21" s="1289">
        <f t="shared" si="9"/>
        <v>10434.719999999999</v>
      </c>
      <c r="U21" s="1289">
        <f t="shared" si="9"/>
        <v>-50635.44</v>
      </c>
      <c r="V21" s="1289">
        <f t="shared" si="9"/>
        <v>11466.03</v>
      </c>
      <c r="W21" s="1289">
        <f t="shared" si="9"/>
        <v>16926.59</v>
      </c>
      <c r="X21" s="1289">
        <f t="shared" si="9"/>
        <v>14025.32</v>
      </c>
      <c r="Y21" s="1289">
        <f t="shared" si="9"/>
        <v>17043.599999999999</v>
      </c>
      <c r="Z21" s="1289">
        <f t="shared" si="9"/>
        <v>13395.19</v>
      </c>
      <c r="AA21" s="1289">
        <f t="shared" si="9"/>
        <v>16356.88</v>
      </c>
      <c r="AB21" s="1289">
        <f t="shared" si="9"/>
        <v>12141.9</v>
      </c>
      <c r="AC21" s="1289">
        <f t="shared" si="9"/>
        <v>14425.48</v>
      </c>
      <c r="AD21" s="1289">
        <f t="shared" si="9"/>
        <v>13449.12</v>
      </c>
      <c r="AE21" s="1289">
        <f t="shared" si="9"/>
        <v>15270.45</v>
      </c>
      <c r="AF21" s="1289">
        <f t="shared" si="9"/>
        <v>13357.03</v>
      </c>
      <c r="AG21" s="1289">
        <f t="shared" si="9"/>
        <v>19673.3</v>
      </c>
      <c r="AH21" s="1289">
        <f t="shared" si="9"/>
        <v>13975.65</v>
      </c>
      <c r="AI21" s="1289">
        <f t="shared" si="9"/>
        <v>20818.88</v>
      </c>
      <c r="AJ21" s="1289">
        <f t="shared" si="9"/>
        <v>-10210.780000000001</v>
      </c>
      <c r="AK21" s="1289">
        <f t="shared" si="9"/>
        <v>18339.86</v>
      </c>
      <c r="AL21" s="1289">
        <f t="shared" si="9"/>
        <v>12670.39</v>
      </c>
      <c r="AM21" s="1289">
        <f t="shared" si="9"/>
        <v>16789.68</v>
      </c>
      <c r="AN21" s="1289">
        <f t="shared" si="9"/>
        <v>16650.62</v>
      </c>
      <c r="AO21" s="1289">
        <f t="shared" si="9"/>
        <v>17212.560000000001</v>
      </c>
      <c r="AP21" s="1289">
        <f t="shared" si="9"/>
        <v>13692.76</v>
      </c>
      <c r="AQ21" s="1289">
        <f t="shared" si="9"/>
        <v>16863.169999999998</v>
      </c>
      <c r="AR21" s="1289">
        <f t="shared" si="9"/>
        <v>14470.69</v>
      </c>
      <c r="AS21" s="1289">
        <f t="shared" si="9"/>
        <v>24629.759999999998</v>
      </c>
      <c r="AT21" s="1289">
        <f t="shared" si="9"/>
        <v>20474.54</v>
      </c>
      <c r="AU21" s="1289">
        <f t="shared" si="9"/>
        <v>25683.63</v>
      </c>
      <c r="AV21" s="1289">
        <f t="shared" si="9"/>
        <v>16185.72</v>
      </c>
      <c r="AW21" s="1289">
        <f>ROUND(SUM(AW16:AW20),5)</f>
        <v>25543.83</v>
      </c>
      <c r="AX21" s="1289">
        <f>ROUND(SUM(AX16:AX20),5)</f>
        <v>4241.5</v>
      </c>
      <c r="AY21" s="1289"/>
      <c r="AZ21" s="1289">
        <f>ROUND(SUM(AZ16:AZ18),5)</f>
        <v>9788.75</v>
      </c>
      <c r="BA21" s="1289">
        <f>ROUND(SUM(BA16:BA20),5)</f>
        <v>9816.8700000000008</v>
      </c>
      <c r="BB21" s="1289">
        <f>ROUND(SUM(BB16:BB20),5)</f>
        <v>10312.44</v>
      </c>
      <c r="BC21" s="1289">
        <f>ROUND(SUM(BC16:BC20),5)</f>
        <v>8361.7999999999993</v>
      </c>
      <c r="BD21" s="1289">
        <f t="shared" ref="BD21:BI21" si="10">ROUND(SUM(BD16:BD20),5)</f>
        <v>11206.27</v>
      </c>
      <c r="BE21" s="1289">
        <f t="shared" si="10"/>
        <v>10317.00333</v>
      </c>
      <c r="BF21" s="1289">
        <f t="shared" si="10"/>
        <v>10478.20889</v>
      </c>
      <c r="BG21" s="1289">
        <f t="shared" si="10"/>
        <v>10674.882960000001</v>
      </c>
      <c r="BH21" s="1289">
        <f t="shared" si="10"/>
        <v>10490.031730000001</v>
      </c>
      <c r="BI21" s="1289">
        <f t="shared" si="10"/>
        <v>10547.70786</v>
      </c>
    </row>
    <row r="22" spans="3:61" outlineLevel="1" x14ac:dyDescent="0.3">
      <c r="C22" s="1288"/>
      <c r="D22" s="1288"/>
      <c r="E22" s="1288"/>
      <c r="F22" s="1288"/>
      <c r="G22" s="1288"/>
      <c r="H22" s="1288" t="s">
        <v>989</v>
      </c>
      <c r="I22" s="1288"/>
      <c r="J22" s="1289"/>
      <c r="K22" s="1289"/>
      <c r="L22" s="1289"/>
      <c r="M22" s="1289"/>
      <c r="N22" s="1289"/>
      <c r="O22" s="1289"/>
      <c r="P22" s="1289"/>
      <c r="Q22" s="1289"/>
      <c r="R22" s="1289"/>
      <c r="S22" s="1289"/>
      <c r="T22" s="1289"/>
      <c r="U22" s="1289"/>
      <c r="V22" s="1289"/>
      <c r="W22" s="1289"/>
      <c r="X22" s="1289"/>
      <c r="Y22" s="1289"/>
      <c r="Z22" s="1289"/>
      <c r="AA22" s="1289"/>
      <c r="AB22" s="1289"/>
      <c r="AC22" s="1289"/>
      <c r="AD22" s="1289"/>
      <c r="AE22" s="1289"/>
      <c r="AF22" s="1289"/>
      <c r="AG22" s="1289"/>
      <c r="AH22" s="1289"/>
      <c r="AI22" s="1289"/>
      <c r="AJ22" s="1289"/>
      <c r="AK22" s="1289"/>
      <c r="AL22" s="1289"/>
      <c r="AM22" s="1289"/>
      <c r="AN22" s="1289"/>
      <c r="AO22" s="1289"/>
      <c r="AP22" s="1289"/>
      <c r="AQ22" s="1289"/>
      <c r="AR22" s="1289"/>
      <c r="AS22" s="1289"/>
      <c r="AT22" s="1289"/>
      <c r="AU22" s="1289"/>
      <c r="AV22" s="1289"/>
      <c r="AW22" s="1295"/>
      <c r="AX22" s="1295"/>
      <c r="AY22" s="1295"/>
      <c r="AZ22" s="1295"/>
      <c r="BA22" s="1295"/>
      <c r="BB22" s="1295"/>
      <c r="BC22" s="1289"/>
      <c r="BD22" s="1289"/>
      <c r="BE22" s="1295"/>
      <c r="BF22" s="1295"/>
      <c r="BG22" s="1295"/>
      <c r="BH22" s="1295"/>
      <c r="BI22" s="1295"/>
    </row>
    <row r="23" spans="3:61" outlineLevel="1" x14ac:dyDescent="0.3">
      <c r="C23" s="1288"/>
      <c r="D23" s="1288"/>
      <c r="E23" s="1288"/>
      <c r="F23" s="1288"/>
      <c r="G23" s="1288"/>
      <c r="H23" s="1288"/>
      <c r="I23" s="1288" t="s">
        <v>990</v>
      </c>
      <c r="J23" s="1289">
        <v>105224.7</v>
      </c>
      <c r="K23" s="1289">
        <v>94922.85</v>
      </c>
      <c r="L23" s="1289">
        <v>108190.07</v>
      </c>
      <c r="M23" s="1289">
        <v>110432.63</v>
      </c>
      <c r="N23" s="1289">
        <v>110080.19</v>
      </c>
      <c r="O23" s="1289">
        <v>112870.36</v>
      </c>
      <c r="P23" s="1289">
        <v>110857.46</v>
      </c>
      <c r="Q23" s="1289">
        <v>103537.05</v>
      </c>
      <c r="R23" s="1289">
        <v>111190.68</v>
      </c>
      <c r="S23" s="1289">
        <v>114348.08</v>
      </c>
      <c r="T23" s="1289">
        <v>110188.96</v>
      </c>
      <c r="U23" s="1289">
        <v>117899.33</v>
      </c>
      <c r="V23" s="1289">
        <v>108187.9</v>
      </c>
      <c r="W23" s="1289">
        <v>103619.33</v>
      </c>
      <c r="X23" s="1289">
        <v>123251.82</v>
      </c>
      <c r="Y23" s="1289">
        <v>110238.52</v>
      </c>
      <c r="Z23" s="1289">
        <v>102281.2</v>
      </c>
      <c r="AA23" s="1289">
        <v>104646.49</v>
      </c>
      <c r="AB23" s="1289">
        <v>115734.77</v>
      </c>
      <c r="AC23" s="1289">
        <v>105865.02</v>
      </c>
      <c r="AD23" s="1289">
        <v>112342.95</v>
      </c>
      <c r="AE23" s="1289">
        <v>109956.18</v>
      </c>
      <c r="AF23" s="1289">
        <v>116956.63</v>
      </c>
      <c r="AG23" s="1289">
        <v>127455.25</v>
      </c>
      <c r="AH23" s="1289">
        <v>110825.51</v>
      </c>
      <c r="AI23" s="1289">
        <v>106578.27</v>
      </c>
      <c r="AJ23" s="1289">
        <v>123061.16</v>
      </c>
      <c r="AK23" s="1289">
        <v>115824.25</v>
      </c>
      <c r="AL23" s="1289">
        <v>118913.69</v>
      </c>
      <c r="AM23" s="1289">
        <v>117026.94</v>
      </c>
      <c r="AN23" s="1289">
        <v>113122.13</v>
      </c>
      <c r="AO23" s="1289">
        <v>130700.16</v>
      </c>
      <c r="AP23" s="1289">
        <v>127565.85</v>
      </c>
      <c r="AQ23" s="1289">
        <v>116858.17</v>
      </c>
      <c r="AR23" s="1289">
        <v>130235.24</v>
      </c>
      <c r="AS23" s="1289">
        <v>127645.66</v>
      </c>
      <c r="AT23" s="1289">
        <v>124940.43</v>
      </c>
      <c r="AU23" s="1289">
        <v>114269.7</v>
      </c>
      <c r="AV23" s="1289">
        <v>143647.07999999999</v>
      </c>
      <c r="AW23" s="1295">
        <v>120375.21</v>
      </c>
      <c r="AX23" s="1295">
        <v>145515.04999999999</v>
      </c>
      <c r="AY23" s="1295"/>
      <c r="AZ23" s="1295">
        <v>130485.83</v>
      </c>
      <c r="BA23" s="1295">
        <v>119927.25</v>
      </c>
      <c r="BB23" s="1295">
        <v>136714.79999999999</v>
      </c>
      <c r="BC23" s="1289">
        <v>128688.6</v>
      </c>
      <c r="BD23" s="1289">
        <v>134803.96</v>
      </c>
      <c r="BE23" s="1295"/>
      <c r="BF23" s="1295"/>
      <c r="BG23" s="1295"/>
      <c r="BH23" s="1295"/>
      <c r="BI23" s="1295"/>
    </row>
    <row r="24" spans="3:61" outlineLevel="1" x14ac:dyDescent="0.3">
      <c r="C24" s="1288"/>
      <c r="D24" s="1288"/>
      <c r="E24" s="1288"/>
      <c r="F24" s="1288"/>
      <c r="G24" s="1288"/>
      <c r="H24" s="1288"/>
      <c r="I24" s="1288" t="s">
        <v>991</v>
      </c>
      <c r="J24" s="1289">
        <v>0</v>
      </c>
      <c r="K24" s="1289">
        <v>0</v>
      </c>
      <c r="L24" s="1289">
        <v>0</v>
      </c>
      <c r="M24" s="1289">
        <v>0</v>
      </c>
      <c r="N24" s="1289">
        <v>32701.05</v>
      </c>
      <c r="O24" s="1289">
        <v>0</v>
      </c>
      <c r="P24" s="1289">
        <v>0</v>
      </c>
      <c r="Q24" s="1289">
        <v>0</v>
      </c>
      <c r="R24" s="1289">
        <v>0</v>
      </c>
      <c r="S24" s="1289">
        <v>0</v>
      </c>
      <c r="T24" s="1289">
        <v>-1500</v>
      </c>
      <c r="U24" s="1289">
        <v>72542.34</v>
      </c>
      <c r="V24" s="1289">
        <v>0</v>
      </c>
      <c r="W24" s="1289">
        <v>0</v>
      </c>
      <c r="X24" s="1289">
        <v>0</v>
      </c>
      <c r="Y24" s="1289">
        <v>0</v>
      </c>
      <c r="Z24" s="1289">
        <v>0</v>
      </c>
      <c r="AA24" s="1289">
        <v>0</v>
      </c>
      <c r="AB24" s="1289">
        <v>10500</v>
      </c>
      <c r="AC24" s="1289">
        <v>0</v>
      </c>
      <c r="AD24" s="1289">
        <v>0</v>
      </c>
      <c r="AE24" s="1289">
        <v>0</v>
      </c>
      <c r="AF24" s="1289">
        <v>0</v>
      </c>
      <c r="AG24" s="1289">
        <v>140686.88</v>
      </c>
      <c r="AH24" s="1289">
        <v>0</v>
      </c>
      <c r="AI24" s="1289">
        <v>0</v>
      </c>
      <c r="AJ24" s="1289">
        <v>0</v>
      </c>
      <c r="AK24" s="1289">
        <v>0</v>
      </c>
      <c r="AL24" s="1289">
        <v>0</v>
      </c>
      <c r="AM24" s="1289">
        <v>10000</v>
      </c>
      <c r="AN24" s="1289">
        <v>0</v>
      </c>
      <c r="AO24" s="1289">
        <v>74240</v>
      </c>
      <c r="AP24" s="1289">
        <v>0</v>
      </c>
      <c r="AQ24" s="1289">
        <v>0</v>
      </c>
      <c r="AR24" s="1289">
        <v>35000</v>
      </c>
      <c r="AS24" s="1289">
        <v>69451.05</v>
      </c>
      <c r="AT24" s="1289">
        <v>0</v>
      </c>
      <c r="AU24" s="1289">
        <v>2500</v>
      </c>
      <c r="AV24" s="1289">
        <v>0</v>
      </c>
      <c r="AW24" s="1295">
        <v>0</v>
      </c>
      <c r="AX24" s="1295">
        <v>81000</v>
      </c>
      <c r="AY24" s="1295"/>
      <c r="AZ24" s="1295"/>
      <c r="BA24" s="1295">
        <v>0</v>
      </c>
      <c r="BB24" s="1295">
        <v>0</v>
      </c>
      <c r="BC24" s="1289">
        <v>15000</v>
      </c>
      <c r="BD24" s="1289">
        <v>30000</v>
      </c>
      <c r="BE24" s="1295"/>
      <c r="BF24" s="1295"/>
      <c r="BG24" s="1295"/>
      <c r="BH24" s="1295"/>
      <c r="BI24" s="1295"/>
    </row>
    <row r="25" spans="3:61" outlineLevel="1" x14ac:dyDescent="0.3">
      <c r="C25" s="1288"/>
      <c r="D25" s="1288"/>
      <c r="E25" s="1288"/>
      <c r="F25" s="1288"/>
      <c r="G25" s="1288"/>
      <c r="H25" s="1288"/>
      <c r="I25" s="1288" t="s">
        <v>992</v>
      </c>
      <c r="J25" s="1289">
        <v>502.49</v>
      </c>
      <c r="K25" s="1289">
        <v>352.58</v>
      </c>
      <c r="L25" s="1289">
        <v>94.25</v>
      </c>
      <c r="M25" s="1289">
        <v>19.25</v>
      </c>
      <c r="N25" s="1289">
        <v>79.849999999999994</v>
      </c>
      <c r="O25" s="1289">
        <v>1.55</v>
      </c>
      <c r="P25" s="1289">
        <v>0</v>
      </c>
      <c r="Q25" s="1289">
        <v>-29.68</v>
      </c>
      <c r="R25" s="1289">
        <v>33.68</v>
      </c>
      <c r="S25" s="1289">
        <v>38.020000000000003</v>
      </c>
      <c r="T25" s="1289">
        <v>0</v>
      </c>
      <c r="U25" s="1289">
        <v>0</v>
      </c>
      <c r="V25" s="1289">
        <v>574.20000000000005</v>
      </c>
      <c r="W25" s="1289">
        <v>392.43</v>
      </c>
      <c r="X25" s="1289">
        <v>122.93</v>
      </c>
      <c r="Y25" s="1289">
        <v>29.39</v>
      </c>
      <c r="Z25" s="1289">
        <v>8.43</v>
      </c>
      <c r="AA25" s="1289">
        <v>17.54</v>
      </c>
      <c r="AB25" s="1289">
        <v>31.18</v>
      </c>
      <c r="AC25" s="1289">
        <v>37.72</v>
      </c>
      <c r="AD25" s="1289">
        <v>25.88</v>
      </c>
      <c r="AE25" s="1289">
        <v>34.79</v>
      </c>
      <c r="AF25" s="1289">
        <v>32.22</v>
      </c>
      <c r="AG25" s="1289">
        <v>48.52</v>
      </c>
      <c r="AH25" s="1289">
        <v>614.42999999999995</v>
      </c>
      <c r="AI25" s="1289">
        <v>371.88</v>
      </c>
      <c r="AJ25" s="1289">
        <v>62.17</v>
      </c>
      <c r="AK25" s="1289">
        <v>16.989999999999998</v>
      </c>
      <c r="AL25" s="1289">
        <v>16.989999999999998</v>
      </c>
      <c r="AM25" s="1289">
        <v>0</v>
      </c>
      <c r="AN25" s="1289">
        <v>0</v>
      </c>
      <c r="AO25" s="1289">
        <v>41.07</v>
      </c>
      <c r="AP25" s="1289">
        <v>69.45</v>
      </c>
      <c r="AQ25" s="1289">
        <v>15.46</v>
      </c>
      <c r="AR25" s="1289">
        <v>7.92</v>
      </c>
      <c r="AS25" s="1289">
        <v>17.690000000000001</v>
      </c>
      <c r="AT25" s="1289">
        <v>644.87</v>
      </c>
      <c r="AU25" s="1289">
        <v>407.65</v>
      </c>
      <c r="AV25" s="1289">
        <v>53.13</v>
      </c>
      <c r="AW25" s="1295">
        <v>17.420000000000002</v>
      </c>
      <c r="AX25" s="1295">
        <v>54.24</v>
      </c>
      <c r="AY25" s="1295"/>
      <c r="AZ25" s="1295">
        <v>544.76</v>
      </c>
      <c r="BA25" s="1295">
        <v>596.75</v>
      </c>
      <c r="BB25" s="1295">
        <v>77.599999999999994</v>
      </c>
      <c r="BC25" s="1289">
        <v>11.19</v>
      </c>
      <c r="BD25" s="1289">
        <v>18.97</v>
      </c>
      <c r="BE25" s="1295"/>
      <c r="BF25" s="1295"/>
      <c r="BG25" s="1295"/>
      <c r="BH25" s="1295"/>
      <c r="BI25" s="1295"/>
    </row>
    <row r="26" spans="3:61" outlineLevel="1" x14ac:dyDescent="0.3">
      <c r="C26" s="1288"/>
      <c r="D26" s="1288"/>
      <c r="E26" s="1288"/>
      <c r="F26" s="1288"/>
      <c r="G26" s="1288"/>
      <c r="H26" s="1288"/>
      <c r="I26" s="1288" t="s">
        <v>993</v>
      </c>
      <c r="J26" s="1289">
        <v>1252.32</v>
      </c>
      <c r="K26" s="1289">
        <v>1298.27</v>
      </c>
      <c r="L26" s="1289">
        <v>1345.33</v>
      </c>
      <c r="M26" s="1289">
        <v>1291.97</v>
      </c>
      <c r="N26" s="1289">
        <v>2875.37</v>
      </c>
      <c r="O26" s="1289">
        <v>1420.34</v>
      </c>
      <c r="P26" s="1289">
        <v>1323.88</v>
      </c>
      <c r="Q26" s="1289">
        <v>1321.93</v>
      </c>
      <c r="R26" s="1289">
        <v>1393.63</v>
      </c>
      <c r="S26" s="1289">
        <v>2148.4499999999998</v>
      </c>
      <c r="T26" s="1289">
        <v>1608.69</v>
      </c>
      <c r="U26" s="1289">
        <v>1691.12</v>
      </c>
      <c r="V26" s="1289">
        <v>1425.7</v>
      </c>
      <c r="W26" s="1289">
        <v>1434.15</v>
      </c>
      <c r="X26" s="1289">
        <v>2325.44</v>
      </c>
      <c r="Y26" s="1289">
        <v>2155.4</v>
      </c>
      <c r="Z26" s="1289">
        <v>1369.35</v>
      </c>
      <c r="AA26" s="1289">
        <v>1343.08</v>
      </c>
      <c r="AB26" s="1289">
        <v>1577.05</v>
      </c>
      <c r="AC26" s="1289">
        <v>1393.09</v>
      </c>
      <c r="AD26" s="1289">
        <v>1393.33</v>
      </c>
      <c r="AE26" s="1289">
        <v>2164.9299999999998</v>
      </c>
      <c r="AF26" s="1289">
        <v>1486.89</v>
      </c>
      <c r="AG26" s="1289">
        <v>1766.63</v>
      </c>
      <c r="AH26" s="1289">
        <v>1522.9</v>
      </c>
      <c r="AI26" s="1289">
        <v>2017.16</v>
      </c>
      <c r="AJ26" s="1289">
        <v>3303.35</v>
      </c>
      <c r="AK26" s="1289">
        <v>1575.76</v>
      </c>
      <c r="AL26" s="1289">
        <v>1527.39</v>
      </c>
      <c r="AM26" s="1289">
        <v>1500.58</v>
      </c>
      <c r="AN26" s="1289">
        <v>1716.29</v>
      </c>
      <c r="AO26" s="1289">
        <v>1569.21</v>
      </c>
      <c r="AP26" s="1289">
        <v>2409.81</v>
      </c>
      <c r="AQ26" s="1289">
        <v>1580.59</v>
      </c>
      <c r="AR26" s="1289">
        <v>1656.99</v>
      </c>
      <c r="AS26" s="1289">
        <v>1986.35</v>
      </c>
      <c r="AT26" s="1289">
        <v>1596.46</v>
      </c>
      <c r="AU26" s="1289">
        <v>2669.77</v>
      </c>
      <c r="AV26" s="1289">
        <v>3721.44</v>
      </c>
      <c r="AW26" s="1295">
        <v>1709.86</v>
      </c>
      <c r="AX26" s="1295">
        <v>1972.27</v>
      </c>
      <c r="AY26" s="1295"/>
      <c r="AZ26" s="1295">
        <v>2109.96</v>
      </c>
      <c r="BA26" s="1295">
        <v>1642.46</v>
      </c>
      <c r="BB26" s="1295">
        <v>1683.17</v>
      </c>
      <c r="BC26" s="1289">
        <v>1701.96</v>
      </c>
      <c r="BD26" s="1289">
        <v>1736.48</v>
      </c>
      <c r="BE26" s="1295"/>
      <c r="BF26" s="1295"/>
      <c r="BG26" s="1295"/>
      <c r="BH26" s="1295"/>
      <c r="BI26" s="1295"/>
    </row>
    <row r="27" spans="3:61" outlineLevel="1" x14ac:dyDescent="0.3">
      <c r="C27" s="1288"/>
      <c r="D27" s="1288"/>
      <c r="E27" s="1288"/>
      <c r="F27" s="1288"/>
      <c r="G27" s="1288"/>
      <c r="H27" s="1288"/>
      <c r="I27" s="1288" t="s">
        <v>994</v>
      </c>
      <c r="J27" s="1289">
        <v>0</v>
      </c>
      <c r="K27" s="1289">
        <v>0</v>
      </c>
      <c r="L27" s="1289">
        <v>0</v>
      </c>
      <c r="M27" s="1289">
        <v>0</v>
      </c>
      <c r="N27" s="1289">
        <v>0</v>
      </c>
      <c r="O27" s="1289">
        <v>0</v>
      </c>
      <c r="P27" s="1289">
        <v>0</v>
      </c>
      <c r="Q27" s="1289">
        <v>0</v>
      </c>
      <c r="R27" s="1289">
        <v>0</v>
      </c>
      <c r="S27" s="1289">
        <v>0</v>
      </c>
      <c r="T27" s="1289">
        <v>0</v>
      </c>
      <c r="U27" s="1289">
        <v>0</v>
      </c>
      <c r="V27" s="1289">
        <v>-3080.28</v>
      </c>
      <c r="W27" s="1289">
        <v>-551.88</v>
      </c>
      <c r="X27" s="1289">
        <v>0</v>
      </c>
      <c r="Y27" s="1289">
        <v>-324.64</v>
      </c>
      <c r="Z27" s="1289">
        <v>0</v>
      </c>
      <c r="AA27" s="1289">
        <v>-19.84</v>
      </c>
      <c r="AB27" s="1289">
        <v>0</v>
      </c>
      <c r="AC27" s="1289">
        <v>0</v>
      </c>
      <c r="AD27" s="1289">
        <v>0</v>
      </c>
      <c r="AE27" s="1289">
        <v>0</v>
      </c>
      <c r="AF27" s="1289">
        <v>0</v>
      </c>
      <c r="AG27" s="1289">
        <v>0</v>
      </c>
      <c r="AH27" s="1289">
        <v>0</v>
      </c>
      <c r="AI27" s="1289">
        <v>0</v>
      </c>
      <c r="AJ27" s="1289">
        <v>0</v>
      </c>
      <c r="AK27" s="1289">
        <v>0</v>
      </c>
      <c r="AL27" s="1289">
        <v>0</v>
      </c>
      <c r="AM27" s="1289">
        <v>0</v>
      </c>
      <c r="AN27" s="1289">
        <v>0</v>
      </c>
      <c r="AO27" s="1289">
        <v>0</v>
      </c>
      <c r="AP27" s="1289">
        <v>0</v>
      </c>
      <c r="AQ27" s="1289">
        <v>0</v>
      </c>
      <c r="AR27" s="1289">
        <v>0</v>
      </c>
      <c r="AS27" s="1289">
        <v>0</v>
      </c>
      <c r="AT27" s="1289">
        <v>0</v>
      </c>
      <c r="AU27" s="1289">
        <v>0</v>
      </c>
      <c r="AV27" s="1289">
        <v>0</v>
      </c>
      <c r="AW27" s="1295"/>
      <c r="AX27" s="1295"/>
      <c r="AY27" s="1295"/>
      <c r="AZ27" s="1295"/>
      <c r="BA27" s="1295"/>
      <c r="BB27" s="1295"/>
      <c r="BC27" s="1289"/>
      <c r="BD27" s="1289"/>
      <c r="BE27" s="1295"/>
      <c r="BF27" s="1295"/>
      <c r="BG27" s="1295"/>
      <c r="BH27" s="1295"/>
      <c r="BI27" s="1295"/>
    </row>
    <row r="28" spans="3:61" outlineLevel="1" x14ac:dyDescent="0.3">
      <c r="C28" s="1288"/>
      <c r="D28" s="1288"/>
      <c r="E28" s="1288"/>
      <c r="F28" s="1288"/>
      <c r="G28" s="1288"/>
      <c r="H28" s="1288"/>
      <c r="I28" s="1288" t="s">
        <v>995</v>
      </c>
      <c r="J28" s="1289">
        <v>5354.83</v>
      </c>
      <c r="K28" s="1289">
        <v>5551.25</v>
      </c>
      <c r="L28" s="1289">
        <v>5752.39</v>
      </c>
      <c r="M28" s="1289">
        <v>5524.37</v>
      </c>
      <c r="N28" s="1289">
        <v>12294.47</v>
      </c>
      <c r="O28" s="1289">
        <v>6073.08</v>
      </c>
      <c r="P28" s="1289">
        <v>5660.76</v>
      </c>
      <c r="Q28" s="1289">
        <v>5652.33</v>
      </c>
      <c r="R28" s="1289">
        <v>5958.9</v>
      </c>
      <c r="S28" s="1289">
        <v>9186.3700000000008</v>
      </c>
      <c r="T28" s="1289">
        <v>6878.39</v>
      </c>
      <c r="U28" s="1289">
        <v>7230.91</v>
      </c>
      <c r="V28" s="1289">
        <v>5907.77</v>
      </c>
      <c r="W28" s="1289">
        <v>6098.42</v>
      </c>
      <c r="X28" s="1289">
        <v>9943.35</v>
      </c>
      <c r="Y28" s="1289">
        <v>9216.16</v>
      </c>
      <c r="Z28" s="1289">
        <v>5855.13</v>
      </c>
      <c r="AA28" s="1289">
        <v>5742.81</v>
      </c>
      <c r="AB28" s="1289">
        <v>6743.21</v>
      </c>
      <c r="AC28" s="1289">
        <v>5956.65</v>
      </c>
      <c r="AD28" s="1289">
        <v>5957.69</v>
      </c>
      <c r="AE28" s="1289">
        <v>9256.98</v>
      </c>
      <c r="AF28" s="1289">
        <v>6357.73</v>
      </c>
      <c r="AG28" s="1289">
        <v>7553.9</v>
      </c>
      <c r="AH28" s="1289">
        <v>6511.61</v>
      </c>
      <c r="AI28" s="1289">
        <v>8625.0499999999993</v>
      </c>
      <c r="AJ28" s="1289">
        <v>14124.63</v>
      </c>
      <c r="AK28" s="1289">
        <v>6737.59</v>
      </c>
      <c r="AL28" s="1289">
        <v>6530.87</v>
      </c>
      <c r="AM28" s="1289">
        <v>6416.28</v>
      </c>
      <c r="AN28" s="1289">
        <v>7338.6</v>
      </c>
      <c r="AO28" s="1289">
        <v>6709.73</v>
      </c>
      <c r="AP28" s="1289">
        <v>10303.959999999999</v>
      </c>
      <c r="AQ28" s="1289">
        <v>6758.33</v>
      </c>
      <c r="AR28" s="1289">
        <v>7084.97</v>
      </c>
      <c r="AS28" s="1289">
        <v>8493.27</v>
      </c>
      <c r="AT28" s="1289">
        <v>6826.23</v>
      </c>
      <c r="AU28" s="1289">
        <v>11415.57</v>
      </c>
      <c r="AV28" s="1289">
        <v>15912.29</v>
      </c>
      <c r="AW28" s="1295">
        <v>7310.94</v>
      </c>
      <c r="AX28" s="1295">
        <v>8433.1299999999992</v>
      </c>
      <c r="AY28" s="1295"/>
      <c r="AZ28" s="1295">
        <v>9021.89</v>
      </c>
      <c r="BA28" s="1295">
        <v>7022.96</v>
      </c>
      <c r="BB28" s="1295">
        <v>7196.97</v>
      </c>
      <c r="BC28" s="1289">
        <v>7277.34</v>
      </c>
      <c r="BD28" s="1289">
        <v>7424.98</v>
      </c>
      <c r="BE28" s="1295"/>
      <c r="BF28" s="1295"/>
      <c r="BG28" s="1295"/>
      <c r="BH28" s="1295"/>
      <c r="BI28" s="1295"/>
    </row>
    <row r="29" spans="3:61" ht="15" outlineLevel="1" thickBot="1" x14ac:dyDescent="0.35">
      <c r="C29" s="1288"/>
      <c r="D29" s="1288"/>
      <c r="E29" s="1288"/>
      <c r="F29" s="1288"/>
      <c r="G29" s="1288"/>
      <c r="H29" s="1288"/>
      <c r="I29" s="1288" t="s">
        <v>996</v>
      </c>
      <c r="J29" s="1290">
        <v>778.2</v>
      </c>
      <c r="K29" s="1290">
        <v>654.20000000000005</v>
      </c>
      <c r="L29" s="1290">
        <v>345.66</v>
      </c>
      <c r="M29" s="1290">
        <v>2.72</v>
      </c>
      <c r="N29" s="1290">
        <v>160.61000000000001</v>
      </c>
      <c r="O29" s="1290">
        <v>29.02</v>
      </c>
      <c r="P29" s="1290">
        <v>2.62</v>
      </c>
      <c r="Q29" s="1290">
        <v>21.28</v>
      </c>
      <c r="R29" s="1290">
        <v>54.33</v>
      </c>
      <c r="S29" s="1290">
        <v>68.06</v>
      </c>
      <c r="T29" s="1290">
        <v>25.94</v>
      </c>
      <c r="U29" s="1290">
        <v>0</v>
      </c>
      <c r="V29" s="1290">
        <v>941.36</v>
      </c>
      <c r="W29" s="1290">
        <v>774.13</v>
      </c>
      <c r="X29" s="1290">
        <v>496.25</v>
      </c>
      <c r="Y29" s="1290">
        <v>138.16</v>
      </c>
      <c r="Z29" s="1290">
        <v>21.33</v>
      </c>
      <c r="AA29" s="1290">
        <v>29.24</v>
      </c>
      <c r="AB29" s="1290">
        <v>56.96</v>
      </c>
      <c r="AC29" s="1290">
        <v>72.86</v>
      </c>
      <c r="AD29" s="1290">
        <v>64.86</v>
      </c>
      <c r="AE29" s="1290">
        <v>71.83</v>
      </c>
      <c r="AF29" s="1290">
        <v>63.11</v>
      </c>
      <c r="AG29" s="1290">
        <v>80.87</v>
      </c>
      <c r="AH29" s="1290">
        <v>1012.4</v>
      </c>
      <c r="AI29" s="1290">
        <v>795.84</v>
      </c>
      <c r="AJ29" s="1290">
        <v>399.52</v>
      </c>
      <c r="AK29" s="1290">
        <v>57.57</v>
      </c>
      <c r="AL29" s="1290">
        <v>43.64</v>
      </c>
      <c r="AM29" s="1290">
        <v>20.54</v>
      </c>
      <c r="AN29" s="1290">
        <v>0</v>
      </c>
      <c r="AO29" s="1290">
        <v>68.459999999999994</v>
      </c>
      <c r="AP29" s="1290">
        <v>117.92</v>
      </c>
      <c r="AQ29" s="1290">
        <v>59.92</v>
      </c>
      <c r="AR29" s="1290">
        <v>19.059999999999999</v>
      </c>
      <c r="AS29" s="1290">
        <v>29.49</v>
      </c>
      <c r="AT29" s="1290">
        <v>1381.5</v>
      </c>
      <c r="AU29" s="1290">
        <v>1221.82</v>
      </c>
      <c r="AV29" s="1290">
        <v>469.29</v>
      </c>
      <c r="AW29" s="1296">
        <v>51</v>
      </c>
      <c r="AX29" s="1296">
        <v>136.99</v>
      </c>
      <c r="AY29" s="1296"/>
      <c r="AZ29" s="1296">
        <v>734.81</v>
      </c>
      <c r="BA29" s="1296">
        <v>639.14</v>
      </c>
      <c r="BB29" s="1296">
        <v>338.23</v>
      </c>
      <c r="BC29" s="1290">
        <v>35.020000000000003</v>
      </c>
      <c r="BD29" s="1290">
        <v>86.64</v>
      </c>
      <c r="BE29" s="1296"/>
      <c r="BF29" s="1296"/>
      <c r="BG29" s="1296"/>
      <c r="BH29" s="1296"/>
      <c r="BI29" s="1296"/>
    </row>
    <row r="30" spans="3:61" outlineLevel="1" x14ac:dyDescent="0.3">
      <c r="C30" s="1288"/>
      <c r="D30" s="1288"/>
      <c r="E30" s="1288"/>
      <c r="F30" s="1288"/>
      <c r="G30" s="1288"/>
      <c r="H30" s="1288" t="s">
        <v>997</v>
      </c>
      <c r="I30" s="1288"/>
      <c r="J30" s="1289">
        <f t="shared" ref="J30:AV30" si="11">ROUND(SUM(J22:J29),5)</f>
        <v>113112.54</v>
      </c>
      <c r="K30" s="1289">
        <f t="shared" si="11"/>
        <v>102779.15</v>
      </c>
      <c r="L30" s="1289">
        <f t="shared" si="11"/>
        <v>115727.7</v>
      </c>
      <c r="M30" s="1289">
        <f t="shared" si="11"/>
        <v>117270.94</v>
      </c>
      <c r="N30" s="1289">
        <f t="shared" si="11"/>
        <v>158191.54</v>
      </c>
      <c r="O30" s="1289">
        <f t="shared" si="11"/>
        <v>120394.35</v>
      </c>
      <c r="P30" s="1289">
        <f t="shared" si="11"/>
        <v>117844.72</v>
      </c>
      <c r="Q30" s="1289">
        <f t="shared" si="11"/>
        <v>110502.91</v>
      </c>
      <c r="R30" s="1289">
        <f t="shared" si="11"/>
        <v>118631.22</v>
      </c>
      <c r="S30" s="1289">
        <f t="shared" si="11"/>
        <v>125788.98</v>
      </c>
      <c r="T30" s="1289">
        <f t="shared" si="11"/>
        <v>117201.98</v>
      </c>
      <c r="U30" s="1289">
        <f t="shared" si="11"/>
        <v>199363.7</v>
      </c>
      <c r="V30" s="1289">
        <f t="shared" si="11"/>
        <v>113956.65</v>
      </c>
      <c r="W30" s="1289">
        <f t="shared" si="11"/>
        <v>111766.58</v>
      </c>
      <c r="X30" s="1289">
        <f t="shared" si="11"/>
        <v>136139.79</v>
      </c>
      <c r="Y30" s="1289">
        <f t="shared" si="11"/>
        <v>121452.99</v>
      </c>
      <c r="Z30" s="1289">
        <f t="shared" si="11"/>
        <v>109535.44</v>
      </c>
      <c r="AA30" s="1289">
        <f t="shared" si="11"/>
        <v>111759.32</v>
      </c>
      <c r="AB30" s="1289">
        <f t="shared" si="11"/>
        <v>134643.17000000001</v>
      </c>
      <c r="AC30" s="1289">
        <f t="shared" si="11"/>
        <v>113325.34</v>
      </c>
      <c r="AD30" s="1289">
        <f t="shared" si="11"/>
        <v>119784.71</v>
      </c>
      <c r="AE30" s="1289">
        <f t="shared" si="11"/>
        <v>121484.71</v>
      </c>
      <c r="AF30" s="1289">
        <f t="shared" si="11"/>
        <v>124896.58</v>
      </c>
      <c r="AG30" s="1289">
        <f t="shared" si="11"/>
        <v>277592.05</v>
      </c>
      <c r="AH30" s="1289">
        <f t="shared" si="11"/>
        <v>120486.85</v>
      </c>
      <c r="AI30" s="1289">
        <f t="shared" si="11"/>
        <v>118388.2</v>
      </c>
      <c r="AJ30" s="1289">
        <f t="shared" si="11"/>
        <v>140950.82999999999</v>
      </c>
      <c r="AK30" s="1289">
        <f t="shared" si="11"/>
        <v>124212.16</v>
      </c>
      <c r="AL30" s="1289">
        <f t="shared" si="11"/>
        <v>127032.58</v>
      </c>
      <c r="AM30" s="1289">
        <f t="shared" si="11"/>
        <v>134964.34</v>
      </c>
      <c r="AN30" s="1289">
        <f t="shared" si="11"/>
        <v>122177.02</v>
      </c>
      <c r="AO30" s="1289">
        <f t="shared" si="11"/>
        <v>213328.63</v>
      </c>
      <c r="AP30" s="1289">
        <f t="shared" si="11"/>
        <v>140466.99</v>
      </c>
      <c r="AQ30" s="1289">
        <f t="shared" si="11"/>
        <v>125272.47</v>
      </c>
      <c r="AR30" s="1289">
        <f t="shared" si="11"/>
        <v>174004.18</v>
      </c>
      <c r="AS30" s="1289">
        <f t="shared" si="11"/>
        <v>207623.51</v>
      </c>
      <c r="AT30" s="1289">
        <f t="shared" si="11"/>
        <v>135389.49</v>
      </c>
      <c r="AU30" s="1289">
        <f t="shared" si="11"/>
        <v>132484.51</v>
      </c>
      <c r="AV30" s="1289">
        <f t="shared" si="11"/>
        <v>163803.23000000001</v>
      </c>
      <c r="AW30" s="1295">
        <f>ROUND(SUM(AW22:AW29),5)</f>
        <v>129464.43</v>
      </c>
      <c r="AX30" s="1295">
        <f>ROUND(SUM(AX22:AX29),5)</f>
        <v>237111.67999999999</v>
      </c>
      <c r="AY30" s="1295"/>
      <c r="AZ30" s="1295">
        <f>ROUND(SUM(AZ22:AZ29),5)</f>
        <v>142897.25</v>
      </c>
      <c r="BA30" s="1295">
        <f>ROUND(SUM(BA22:BA29),5)</f>
        <v>129828.56</v>
      </c>
      <c r="BB30" s="1295">
        <f>ROUND(SUM(BB22:BB29),5)</f>
        <v>146010.76999999999</v>
      </c>
      <c r="BC30" s="1289">
        <f>ROUND(SUM(BC22:BC29),5)</f>
        <v>152714.10999999999</v>
      </c>
      <c r="BD30" s="1289">
        <f>ROUND(SUM(BD22:BD29),5)</f>
        <v>174071.03</v>
      </c>
      <c r="BE30" s="1295">
        <f t="shared" ref="BE30:BI30" si="12">AVERAGE(BC30:BD30)</f>
        <v>163392.57</v>
      </c>
      <c r="BF30" s="1295">
        <f t="shared" si="12"/>
        <v>168731.8</v>
      </c>
      <c r="BG30" s="1295">
        <f t="shared" si="12"/>
        <v>166062.185</v>
      </c>
      <c r="BH30" s="1295">
        <f t="shared" si="12"/>
        <v>167396.99249999999</v>
      </c>
      <c r="BI30" s="1295">
        <f t="shared" si="12"/>
        <v>166729.58875</v>
      </c>
    </row>
    <row r="31" spans="3:61" outlineLevel="1" x14ac:dyDescent="0.3">
      <c r="C31" s="1288"/>
      <c r="D31" s="1288"/>
      <c r="E31" s="1288"/>
      <c r="F31" s="1288"/>
      <c r="G31" s="1288"/>
      <c r="H31" s="1288" t="s">
        <v>998</v>
      </c>
      <c r="I31" s="1288"/>
      <c r="J31" s="1289">
        <v>1300</v>
      </c>
      <c r="K31" s="1289">
        <v>1300</v>
      </c>
      <c r="L31" s="1289">
        <v>1300</v>
      </c>
      <c r="M31" s="1289">
        <v>1300</v>
      </c>
      <c r="N31" s="1289">
        <v>1000</v>
      </c>
      <c r="O31" s="1289">
        <v>1000</v>
      </c>
      <c r="P31" s="1289">
        <v>1000</v>
      </c>
      <c r="Q31" s="1289">
        <v>1200</v>
      </c>
      <c r="R31" s="1289">
        <v>1000</v>
      </c>
      <c r="S31" s="1289">
        <v>1000</v>
      </c>
      <c r="T31" s="1289">
        <v>700</v>
      </c>
      <c r="U31" s="1289">
        <v>1509.97</v>
      </c>
      <c r="V31" s="1289">
        <v>800</v>
      </c>
      <c r="W31" s="1289">
        <v>800</v>
      </c>
      <c r="X31" s="1289">
        <v>800</v>
      </c>
      <c r="Y31" s="1289">
        <v>800</v>
      </c>
      <c r="Z31" s="1289">
        <v>800</v>
      </c>
      <c r="AA31" s="1289">
        <v>800</v>
      </c>
      <c r="AB31" s="1289">
        <v>800</v>
      </c>
      <c r="AC31" s="1289">
        <v>800</v>
      </c>
      <c r="AD31" s="1289">
        <v>800</v>
      </c>
      <c r="AE31" s="1289">
        <v>800</v>
      </c>
      <c r="AF31" s="1289">
        <v>800</v>
      </c>
      <c r="AG31" s="1289">
        <v>2000</v>
      </c>
      <c r="AH31" s="1289">
        <v>800</v>
      </c>
      <c r="AI31" s="1289">
        <v>800</v>
      </c>
      <c r="AJ31" s="1289">
        <v>6145</v>
      </c>
      <c r="AK31" s="1289">
        <v>800</v>
      </c>
      <c r="AL31" s="1289">
        <v>800</v>
      </c>
      <c r="AM31" s="1289">
        <v>800</v>
      </c>
      <c r="AN31" s="1289">
        <v>800</v>
      </c>
      <c r="AO31" s="1289">
        <v>800</v>
      </c>
      <c r="AP31" s="1289">
        <v>800</v>
      </c>
      <c r="AQ31" s="1289">
        <v>800</v>
      </c>
      <c r="AR31" s="1289">
        <v>800</v>
      </c>
      <c r="AS31" s="1289">
        <v>1600</v>
      </c>
      <c r="AT31" s="1289">
        <v>800</v>
      </c>
      <c r="AU31" s="1289">
        <v>800</v>
      </c>
      <c r="AV31" s="1289">
        <v>3060</v>
      </c>
      <c r="AW31" s="1295">
        <v>800</v>
      </c>
      <c r="AX31" s="1295">
        <v>-110</v>
      </c>
      <c r="AY31" s="1295"/>
      <c r="AZ31" s="1295"/>
      <c r="BA31" s="1295">
        <v>0</v>
      </c>
      <c r="BB31" s="1295">
        <v>0</v>
      </c>
      <c r="BC31" s="1289"/>
      <c r="BD31" s="1289">
        <v>0</v>
      </c>
      <c r="BE31" s="1295"/>
      <c r="BF31" s="1295"/>
      <c r="BG31" s="1295"/>
      <c r="BH31" s="1295"/>
      <c r="BI31" s="1295"/>
    </row>
    <row r="32" spans="3:61" outlineLevel="1" x14ac:dyDescent="0.3">
      <c r="C32" s="1288"/>
      <c r="D32" s="1288"/>
      <c r="E32" s="1288"/>
      <c r="F32" s="1288"/>
      <c r="G32" s="1288"/>
      <c r="H32" s="1288" t="s">
        <v>999</v>
      </c>
      <c r="I32" s="1288"/>
      <c r="J32" s="1289">
        <v>7075</v>
      </c>
      <c r="K32" s="1289">
        <v>8203.9500000000007</v>
      </c>
      <c r="L32" s="1289">
        <v>7065</v>
      </c>
      <c r="M32" s="1289">
        <v>7105.34</v>
      </c>
      <c r="N32" s="1289">
        <v>6335</v>
      </c>
      <c r="O32" s="1289">
        <v>7065</v>
      </c>
      <c r="P32" s="1289">
        <v>7135</v>
      </c>
      <c r="Q32" s="1289">
        <v>7612.39</v>
      </c>
      <c r="R32" s="1289">
        <v>7713.51</v>
      </c>
      <c r="S32" s="1289">
        <v>7065</v>
      </c>
      <c r="T32" s="1289">
        <v>8963</v>
      </c>
      <c r="U32" s="1289">
        <v>7344.83</v>
      </c>
      <c r="V32" s="1289">
        <v>13876.5</v>
      </c>
      <c r="W32" s="1289">
        <v>10190.75</v>
      </c>
      <c r="X32" s="1289">
        <v>10190.75</v>
      </c>
      <c r="Y32" s="1289">
        <v>10225.75</v>
      </c>
      <c r="Z32" s="1289">
        <v>10190.75</v>
      </c>
      <c r="AA32" s="1289">
        <v>10225.75</v>
      </c>
      <c r="AB32" s="1289">
        <v>11543.92</v>
      </c>
      <c r="AC32" s="1289">
        <v>13194.64</v>
      </c>
      <c r="AD32" s="1289">
        <v>11395.85</v>
      </c>
      <c r="AE32" s="1289">
        <v>12474.5</v>
      </c>
      <c r="AF32" s="1289">
        <v>14312</v>
      </c>
      <c r="AG32" s="1289">
        <v>14145.43</v>
      </c>
      <c r="AH32" s="1289">
        <v>7100</v>
      </c>
      <c r="AI32" s="1289">
        <v>7384.93</v>
      </c>
      <c r="AJ32" s="1289">
        <v>8186.2</v>
      </c>
      <c r="AK32" s="1289">
        <v>7105</v>
      </c>
      <c r="AL32" s="1289">
        <v>7404.93</v>
      </c>
      <c r="AM32" s="1289">
        <v>7404.93</v>
      </c>
      <c r="AN32" s="1289">
        <v>7085</v>
      </c>
      <c r="AO32" s="1289">
        <v>7297.22</v>
      </c>
      <c r="AP32" s="1289">
        <v>7382.33</v>
      </c>
      <c r="AQ32" s="1289">
        <v>9356.06</v>
      </c>
      <c r="AR32" s="1289">
        <v>7085</v>
      </c>
      <c r="AS32" s="1289">
        <v>8724.59</v>
      </c>
      <c r="AT32" s="1289">
        <v>7085</v>
      </c>
      <c r="AU32" s="1289">
        <v>7601.5</v>
      </c>
      <c r="AV32" s="1289">
        <v>8435</v>
      </c>
      <c r="AW32" s="1295">
        <v>8435</v>
      </c>
      <c r="AX32" s="1295">
        <v>8435</v>
      </c>
      <c r="AY32" s="1295"/>
      <c r="AZ32" s="1295">
        <v>7085</v>
      </c>
      <c r="BA32" s="1295">
        <v>8871.2000000000007</v>
      </c>
      <c r="BB32" s="1295">
        <v>13791.14</v>
      </c>
      <c r="BC32" s="1289">
        <v>35429.730000000003</v>
      </c>
      <c r="BD32" s="1289">
        <v>12530.15</v>
      </c>
      <c r="BE32" s="1295"/>
      <c r="BF32" s="1295"/>
      <c r="BG32" s="1295"/>
      <c r="BH32" s="1295"/>
      <c r="BI32" s="1295"/>
    </row>
    <row r="33" spans="3:61" outlineLevel="1" x14ac:dyDescent="0.3">
      <c r="C33" s="1288"/>
      <c r="D33" s="1288"/>
      <c r="E33" s="1288"/>
      <c r="F33" s="1288"/>
      <c r="G33" s="1288"/>
      <c r="H33" s="1288" t="s">
        <v>1000</v>
      </c>
      <c r="I33" s="1288"/>
      <c r="J33" s="1289">
        <v>537.78</v>
      </c>
      <c r="K33" s="1289">
        <v>609.5</v>
      </c>
      <c r="L33" s="1289">
        <v>316.18</v>
      </c>
      <c r="M33" s="1289">
        <v>511.33</v>
      </c>
      <c r="N33" s="1289">
        <v>453.44</v>
      </c>
      <c r="O33" s="1289">
        <v>630</v>
      </c>
      <c r="P33" s="1289">
        <v>434.02</v>
      </c>
      <c r="Q33" s="1289">
        <v>627.74</v>
      </c>
      <c r="R33" s="1289">
        <v>588.72</v>
      </c>
      <c r="S33" s="1289">
        <v>681.15</v>
      </c>
      <c r="T33" s="1289">
        <v>632.59</v>
      </c>
      <c r="U33" s="1289">
        <v>536.73</v>
      </c>
      <c r="V33" s="1289">
        <v>542.32000000000005</v>
      </c>
      <c r="W33" s="1289">
        <v>481.65</v>
      </c>
      <c r="X33" s="1289">
        <v>354.18</v>
      </c>
      <c r="Y33" s="1289">
        <v>710.23</v>
      </c>
      <c r="Z33" s="1289">
        <v>538.23</v>
      </c>
      <c r="AA33" s="1289">
        <v>383.07</v>
      </c>
      <c r="AB33" s="1289">
        <v>501.41</v>
      </c>
      <c r="AC33" s="1289">
        <v>236.04</v>
      </c>
      <c r="AD33" s="1289">
        <v>195.91</v>
      </c>
      <c r="AE33" s="1289">
        <v>256.06</v>
      </c>
      <c r="AF33" s="1289">
        <v>265.32</v>
      </c>
      <c r="AG33" s="1289">
        <v>595.4</v>
      </c>
      <c r="AH33" s="1289">
        <v>543.91999999999996</v>
      </c>
      <c r="AI33" s="1289">
        <v>464.11</v>
      </c>
      <c r="AJ33" s="1289">
        <v>355.33</v>
      </c>
      <c r="AK33" s="1289">
        <v>736.86</v>
      </c>
      <c r="AL33" s="1289">
        <v>443.67</v>
      </c>
      <c r="AM33" s="1289">
        <v>464.82</v>
      </c>
      <c r="AN33" s="1289">
        <v>354.37</v>
      </c>
      <c r="AO33" s="1289">
        <v>146.13</v>
      </c>
      <c r="AP33" s="1289">
        <v>462.88</v>
      </c>
      <c r="AQ33" s="1289">
        <v>365.21</v>
      </c>
      <c r="AR33" s="1289">
        <v>283.01</v>
      </c>
      <c r="AS33" s="1289">
        <v>316.04000000000002</v>
      </c>
      <c r="AT33" s="1289">
        <v>287.38</v>
      </c>
      <c r="AU33" s="1289">
        <v>298.47000000000003</v>
      </c>
      <c r="AV33" s="1289">
        <v>191.21</v>
      </c>
      <c r="AW33" s="1295">
        <v>290.52</v>
      </c>
      <c r="AX33" s="1295">
        <v>323.89999999999998</v>
      </c>
      <c r="AY33" s="1295"/>
      <c r="AZ33" s="1295">
        <v>0</v>
      </c>
      <c r="BA33" s="1295">
        <v>-0.05</v>
      </c>
      <c r="BB33" s="1295">
        <v>147.32</v>
      </c>
      <c r="BC33" s="1289">
        <v>52</v>
      </c>
      <c r="BD33" s="1289">
        <v>202.16</v>
      </c>
      <c r="BE33" s="1295"/>
      <c r="BF33" s="1295"/>
      <c r="BG33" s="1295"/>
      <c r="BH33" s="1295"/>
      <c r="BI33" s="1295"/>
    </row>
    <row r="34" spans="3:61" outlineLevel="1" x14ac:dyDescent="0.3">
      <c r="C34" s="1288"/>
      <c r="D34" s="1288"/>
      <c r="E34" s="1288"/>
      <c r="F34" s="1288"/>
      <c r="G34" s="1288"/>
      <c r="H34" s="1288" t="s">
        <v>1001</v>
      </c>
      <c r="I34" s="1288"/>
      <c r="J34" s="1289">
        <v>19.95</v>
      </c>
      <c r="K34" s="1289">
        <v>19.95</v>
      </c>
      <c r="L34" s="1289">
        <v>19.95</v>
      </c>
      <c r="M34" s="1289">
        <v>19.95</v>
      </c>
      <c r="N34" s="1289">
        <v>19.95</v>
      </c>
      <c r="O34" s="1289">
        <v>19.95</v>
      </c>
      <c r="P34" s="1289">
        <v>19.95</v>
      </c>
      <c r="Q34" s="1289">
        <v>19.95</v>
      </c>
      <c r="R34" s="1289">
        <v>19.95</v>
      </c>
      <c r="S34" s="1289">
        <v>19.95</v>
      </c>
      <c r="T34" s="1289">
        <v>19.95</v>
      </c>
      <c r="U34" s="1289">
        <v>19.95</v>
      </c>
      <c r="V34" s="1289">
        <v>19.95</v>
      </c>
      <c r="W34" s="1289">
        <v>19.95</v>
      </c>
      <c r="X34" s="1289">
        <v>19.95</v>
      </c>
      <c r="Y34" s="1289">
        <v>19.95</v>
      </c>
      <c r="Z34" s="1289">
        <v>19.95</v>
      </c>
      <c r="AA34" s="1289">
        <v>19.95</v>
      </c>
      <c r="AB34" s="1289">
        <v>19.95</v>
      </c>
      <c r="AC34" s="1289">
        <v>19.95</v>
      </c>
      <c r="AD34" s="1289">
        <v>19.95</v>
      </c>
      <c r="AE34" s="1289">
        <v>19.95</v>
      </c>
      <c r="AF34" s="1289">
        <v>19.95</v>
      </c>
      <c r="AG34" s="1289">
        <v>19.95</v>
      </c>
      <c r="AH34" s="1289">
        <v>19.95</v>
      </c>
      <c r="AI34" s="1289">
        <v>19.95</v>
      </c>
      <c r="AJ34" s="1289">
        <v>19.95</v>
      </c>
      <c r="AK34" s="1289">
        <v>19.95</v>
      </c>
      <c r="AL34" s="1289">
        <v>19.95</v>
      </c>
      <c r="AM34" s="1289">
        <v>19.95</v>
      </c>
      <c r="AN34" s="1289">
        <v>19.95</v>
      </c>
      <c r="AO34" s="1289">
        <v>19.95</v>
      </c>
      <c r="AP34" s="1289">
        <v>19.95</v>
      </c>
      <c r="AQ34" s="1289">
        <v>19.95</v>
      </c>
      <c r="AR34" s="1289">
        <v>19.95</v>
      </c>
      <c r="AS34" s="1289">
        <v>19.95</v>
      </c>
      <c r="AT34" s="1289">
        <v>19.95</v>
      </c>
      <c r="AU34" s="1289">
        <v>19.95</v>
      </c>
      <c r="AV34" s="1289">
        <v>19.95</v>
      </c>
      <c r="AW34" s="1295">
        <v>19.95</v>
      </c>
      <c r="AX34" s="1295">
        <v>19.95</v>
      </c>
      <c r="AY34" s="1295"/>
      <c r="AZ34" s="1295"/>
      <c r="BA34" s="1295">
        <v>0</v>
      </c>
      <c r="BB34" s="1295">
        <v>0</v>
      </c>
      <c r="BC34" s="1289">
        <v>419.67</v>
      </c>
      <c r="BD34" s="1289">
        <v>0</v>
      </c>
      <c r="BE34" s="1295"/>
      <c r="BF34" s="1295"/>
      <c r="BG34" s="1295"/>
      <c r="BH34" s="1295"/>
      <c r="BI34" s="1295"/>
    </row>
    <row r="35" spans="3:61" outlineLevel="1" x14ac:dyDescent="0.3">
      <c r="C35" s="1288"/>
      <c r="D35" s="1288"/>
      <c r="E35" s="1288"/>
      <c r="F35" s="1288"/>
      <c r="G35" s="1288"/>
      <c r="H35" s="1288" t="s">
        <v>1002</v>
      </c>
      <c r="I35" s="1288"/>
      <c r="J35" s="1289">
        <v>2357.5</v>
      </c>
      <c r="K35" s="1289">
        <v>1496</v>
      </c>
      <c r="L35" s="1289">
        <v>968</v>
      </c>
      <c r="M35" s="1289">
        <v>0</v>
      </c>
      <c r="N35" s="1289">
        <v>0</v>
      </c>
      <c r="O35" s="1289">
        <v>220</v>
      </c>
      <c r="P35" s="1289">
        <v>0</v>
      </c>
      <c r="Q35" s="1289">
        <v>252.5</v>
      </c>
      <c r="R35" s="1289">
        <v>1584</v>
      </c>
      <c r="S35" s="1289">
        <v>1698</v>
      </c>
      <c r="T35" s="1289">
        <v>1740</v>
      </c>
      <c r="U35" s="1289">
        <v>1566</v>
      </c>
      <c r="V35" s="1289">
        <v>1071</v>
      </c>
      <c r="W35" s="1289">
        <v>1674</v>
      </c>
      <c r="X35" s="1289">
        <v>1749</v>
      </c>
      <c r="Y35" s="1289">
        <v>1824</v>
      </c>
      <c r="Z35" s="1289">
        <v>882</v>
      </c>
      <c r="AA35" s="1289">
        <v>0</v>
      </c>
      <c r="AB35" s="1289">
        <v>0</v>
      </c>
      <c r="AC35" s="1289">
        <v>0</v>
      </c>
      <c r="AD35" s="1289">
        <v>0</v>
      </c>
      <c r="AE35" s="1289">
        <v>0</v>
      </c>
      <c r="AF35" s="1289">
        <v>0</v>
      </c>
      <c r="AG35" s="1289">
        <v>0</v>
      </c>
      <c r="AH35" s="1289">
        <v>0</v>
      </c>
      <c r="AI35" s="1289">
        <v>0</v>
      </c>
      <c r="AJ35" s="1289">
        <v>0</v>
      </c>
      <c r="AK35" s="1289">
        <v>0</v>
      </c>
      <c r="AL35" s="1289">
        <v>0</v>
      </c>
      <c r="AM35" s="1289">
        <v>201</v>
      </c>
      <c r="AN35" s="1289">
        <v>0</v>
      </c>
      <c r="AO35" s="1289">
        <v>0</v>
      </c>
      <c r="AP35" s="1289">
        <v>0</v>
      </c>
      <c r="AQ35" s="1289">
        <v>2370</v>
      </c>
      <c r="AR35" s="1289">
        <v>2544</v>
      </c>
      <c r="AS35" s="1289">
        <v>1570</v>
      </c>
      <c r="AT35" s="1289">
        <v>960</v>
      </c>
      <c r="AU35" s="1289">
        <v>1570</v>
      </c>
      <c r="AV35" s="1289">
        <v>1250</v>
      </c>
      <c r="AW35" s="1295">
        <v>2320</v>
      </c>
      <c r="AX35" s="1295">
        <v>440</v>
      </c>
      <c r="AY35" s="1295"/>
      <c r="AZ35" s="1295"/>
      <c r="BA35" s="1295">
        <v>0</v>
      </c>
      <c r="BB35" s="1295">
        <v>0</v>
      </c>
      <c r="BC35" s="1289"/>
      <c r="BD35" s="1289">
        <v>0</v>
      </c>
      <c r="BE35" s="1295"/>
      <c r="BF35" s="1295"/>
      <c r="BG35" s="1295"/>
      <c r="BH35" s="1295"/>
      <c r="BI35" s="1295"/>
    </row>
    <row r="36" spans="3:61" outlineLevel="1" x14ac:dyDescent="0.3">
      <c r="C36" s="1288"/>
      <c r="D36" s="1288"/>
      <c r="E36" s="1288"/>
      <c r="F36" s="1288"/>
      <c r="G36" s="1288"/>
      <c r="H36" s="1288" t="s">
        <v>1003</v>
      </c>
      <c r="I36" s="1288"/>
      <c r="J36" s="1289">
        <v>500</v>
      </c>
      <c r="K36" s="1289">
        <v>0</v>
      </c>
      <c r="L36" s="1289">
        <v>0</v>
      </c>
      <c r="M36" s="1289">
        <v>0</v>
      </c>
      <c r="N36" s="1289">
        <v>0</v>
      </c>
      <c r="O36" s="1289">
        <v>0</v>
      </c>
      <c r="P36" s="1289">
        <v>0</v>
      </c>
      <c r="Q36" s="1289">
        <v>200</v>
      </c>
      <c r="R36" s="1289">
        <v>0</v>
      </c>
      <c r="S36" s="1289">
        <v>0</v>
      </c>
      <c r="T36" s="1289">
        <v>0</v>
      </c>
      <c r="U36" s="1289">
        <v>0</v>
      </c>
      <c r="V36" s="1289">
        <v>0</v>
      </c>
      <c r="W36" s="1289">
        <v>0</v>
      </c>
      <c r="X36" s="1289">
        <v>0</v>
      </c>
      <c r="Y36" s="1289">
        <v>0</v>
      </c>
      <c r="Z36" s="1289">
        <v>0</v>
      </c>
      <c r="AA36" s="1289">
        <v>0</v>
      </c>
      <c r="AB36" s="1289">
        <v>100</v>
      </c>
      <c r="AC36" s="1289">
        <v>0</v>
      </c>
      <c r="AD36" s="1289">
        <v>300</v>
      </c>
      <c r="AE36" s="1289">
        <v>0</v>
      </c>
      <c r="AF36" s="1289">
        <v>0</v>
      </c>
      <c r="AG36" s="1289">
        <v>0</v>
      </c>
      <c r="AH36" s="1289">
        <v>0</v>
      </c>
      <c r="AI36" s="1289">
        <v>0</v>
      </c>
      <c r="AJ36" s="1289">
        <v>-100</v>
      </c>
      <c r="AK36" s="1289">
        <v>0</v>
      </c>
      <c r="AL36" s="1289">
        <v>0</v>
      </c>
      <c r="AM36" s="1289">
        <v>0</v>
      </c>
      <c r="AN36" s="1289">
        <v>1500</v>
      </c>
      <c r="AO36" s="1289">
        <v>0</v>
      </c>
      <c r="AP36" s="1289">
        <v>200</v>
      </c>
      <c r="AQ36" s="1289">
        <v>0</v>
      </c>
      <c r="AR36" s="1289">
        <v>0</v>
      </c>
      <c r="AS36" s="1289">
        <v>0</v>
      </c>
      <c r="AT36" s="1289">
        <v>0</v>
      </c>
      <c r="AU36" s="1289">
        <v>0</v>
      </c>
      <c r="AV36" s="1289">
        <v>0</v>
      </c>
      <c r="AW36" s="1295">
        <v>0</v>
      </c>
      <c r="AX36" s="1295">
        <v>1400</v>
      </c>
      <c r="AY36" s="1295"/>
      <c r="AZ36" s="1295"/>
      <c r="BA36" s="1295">
        <v>100</v>
      </c>
      <c r="BB36" s="1295">
        <v>0</v>
      </c>
      <c r="BC36" s="1289">
        <v>0</v>
      </c>
      <c r="BD36" s="1289">
        <v>0</v>
      </c>
      <c r="BE36" s="1295"/>
      <c r="BF36" s="1295"/>
      <c r="BG36" s="1295"/>
      <c r="BH36" s="1295"/>
      <c r="BI36" s="1295"/>
    </row>
    <row r="37" spans="3:61" outlineLevel="1" x14ac:dyDescent="0.3">
      <c r="C37" s="1288"/>
      <c r="D37" s="1288"/>
      <c r="E37" s="1288"/>
      <c r="F37" s="1288"/>
      <c r="G37" s="1288"/>
      <c r="H37" s="1288" t="s">
        <v>1004</v>
      </c>
      <c r="I37" s="1288"/>
      <c r="J37" s="1289">
        <v>0</v>
      </c>
      <c r="K37" s="1289">
        <v>0</v>
      </c>
      <c r="L37" s="1289">
        <v>0</v>
      </c>
      <c r="M37" s="1289">
        <v>0</v>
      </c>
      <c r="N37" s="1289">
        <v>0</v>
      </c>
      <c r="O37" s="1289">
        <v>0</v>
      </c>
      <c r="P37" s="1289">
        <v>0</v>
      </c>
      <c r="Q37" s="1289">
        <v>0</v>
      </c>
      <c r="R37" s="1289">
        <v>0</v>
      </c>
      <c r="S37" s="1289">
        <v>0</v>
      </c>
      <c r="T37" s="1289">
        <v>0</v>
      </c>
      <c r="U37" s="1289">
        <v>0</v>
      </c>
      <c r="V37" s="1289">
        <v>0</v>
      </c>
      <c r="W37" s="1289">
        <v>0</v>
      </c>
      <c r="X37" s="1289">
        <v>0</v>
      </c>
      <c r="Y37" s="1289">
        <v>0</v>
      </c>
      <c r="Z37" s="1289">
        <v>0</v>
      </c>
      <c r="AA37" s="1289">
        <v>0</v>
      </c>
      <c r="AB37" s="1289">
        <v>0</v>
      </c>
      <c r="AC37" s="1289">
        <v>0</v>
      </c>
      <c r="AD37" s="1289">
        <v>0</v>
      </c>
      <c r="AE37" s="1289">
        <v>0</v>
      </c>
      <c r="AF37" s="1289">
        <v>0</v>
      </c>
      <c r="AG37" s="1289">
        <v>0</v>
      </c>
      <c r="AH37" s="1289">
        <v>0</v>
      </c>
      <c r="AI37" s="1289">
        <v>0</v>
      </c>
      <c r="AJ37" s="1289">
        <v>0</v>
      </c>
      <c r="AK37" s="1289">
        <v>0</v>
      </c>
      <c r="AL37" s="1289">
        <v>0</v>
      </c>
      <c r="AM37" s="1289">
        <v>0</v>
      </c>
      <c r="AN37" s="1289">
        <v>0</v>
      </c>
      <c r="AO37" s="1289">
        <v>0</v>
      </c>
      <c r="AP37" s="1289">
        <v>0</v>
      </c>
      <c r="AQ37" s="1289">
        <v>0</v>
      </c>
      <c r="AR37" s="1289">
        <v>0</v>
      </c>
      <c r="AS37" s="1289">
        <v>2017.81</v>
      </c>
      <c r="AT37" s="1289">
        <v>0</v>
      </c>
      <c r="AU37" s="1289">
        <v>0</v>
      </c>
      <c r="AV37" s="1289">
        <v>0</v>
      </c>
      <c r="AW37" s="1295">
        <v>0</v>
      </c>
      <c r="AX37" s="1295">
        <v>0</v>
      </c>
      <c r="AY37" s="1295"/>
      <c r="AZ37" s="1295"/>
      <c r="BA37" s="1295"/>
      <c r="BB37" s="1295"/>
      <c r="BC37" s="1289"/>
      <c r="BD37" s="1289"/>
      <c r="BE37" s="1295"/>
      <c r="BF37" s="1295"/>
      <c r="BG37" s="1295"/>
      <c r="BH37" s="1295"/>
      <c r="BI37" s="1295"/>
    </row>
    <row r="38" spans="3:61" outlineLevel="1" x14ac:dyDescent="0.3">
      <c r="C38" s="1288"/>
      <c r="D38" s="1288"/>
      <c r="E38" s="1288"/>
      <c r="F38" s="1288"/>
      <c r="G38" s="1288"/>
      <c r="H38" s="1288" t="s">
        <v>1005</v>
      </c>
      <c r="I38" s="1288"/>
      <c r="J38" s="1289">
        <v>2008.76</v>
      </c>
      <c r="K38" s="1289">
        <v>1971.31</v>
      </c>
      <c r="L38" s="1289">
        <v>1588.2</v>
      </c>
      <c r="M38" s="1289">
        <v>7262.7</v>
      </c>
      <c r="N38" s="1289">
        <v>1693.8</v>
      </c>
      <c r="O38" s="1289">
        <v>2082.08</v>
      </c>
      <c r="P38" s="1289">
        <v>2497.14</v>
      </c>
      <c r="Q38" s="1289">
        <v>1549.04</v>
      </c>
      <c r="R38" s="1289">
        <v>1476.86</v>
      </c>
      <c r="S38" s="1289">
        <v>2551.38</v>
      </c>
      <c r="T38" s="1289">
        <v>2179.9699999999998</v>
      </c>
      <c r="U38" s="1289">
        <v>1501.71</v>
      </c>
      <c r="V38" s="1289">
        <v>2670.4</v>
      </c>
      <c r="W38" s="1289">
        <v>1785.2</v>
      </c>
      <c r="X38" s="1289">
        <v>1439.1</v>
      </c>
      <c r="Y38" s="1289">
        <v>7755.16</v>
      </c>
      <c r="Z38" s="1289">
        <v>1169.99</v>
      </c>
      <c r="AA38" s="1289">
        <v>1459.14</v>
      </c>
      <c r="AB38" s="1289">
        <v>2297.63</v>
      </c>
      <c r="AC38" s="1289">
        <v>1796.33</v>
      </c>
      <c r="AD38" s="1289">
        <v>1391.98</v>
      </c>
      <c r="AE38" s="1289">
        <v>2206.58</v>
      </c>
      <c r="AF38" s="1289">
        <v>1140.94</v>
      </c>
      <c r="AG38" s="1289">
        <v>2284.3200000000002</v>
      </c>
      <c r="AH38" s="1289">
        <v>2025.16</v>
      </c>
      <c r="AI38" s="1289">
        <v>2010.1</v>
      </c>
      <c r="AJ38" s="1289">
        <v>1474.65</v>
      </c>
      <c r="AK38" s="1289">
        <v>8487.16</v>
      </c>
      <c r="AL38" s="1289">
        <v>1511.98</v>
      </c>
      <c r="AM38" s="1289">
        <v>1860.79</v>
      </c>
      <c r="AN38" s="1289">
        <v>2126.81</v>
      </c>
      <c r="AO38" s="1289">
        <v>1683.36</v>
      </c>
      <c r="AP38" s="1289">
        <v>1873.68</v>
      </c>
      <c r="AQ38" s="1289">
        <v>2355.84</v>
      </c>
      <c r="AR38" s="1289">
        <v>1614.64</v>
      </c>
      <c r="AS38" s="1289">
        <v>2199.2199999999998</v>
      </c>
      <c r="AT38" s="1289">
        <v>2093.5500000000002</v>
      </c>
      <c r="AU38" s="1289">
        <v>2294.25</v>
      </c>
      <c r="AV38" s="1289">
        <v>903.7</v>
      </c>
      <c r="AW38" s="1295">
        <v>2020.06</v>
      </c>
      <c r="AX38" s="1295">
        <v>2004.68</v>
      </c>
      <c r="AY38" s="1295"/>
      <c r="AZ38" s="1295">
        <v>1293.57</v>
      </c>
      <c r="BA38" s="1295">
        <v>1094.3900000000001</v>
      </c>
      <c r="BB38" s="1295">
        <v>944.68</v>
      </c>
      <c r="BC38" s="1289">
        <v>2143.48</v>
      </c>
      <c r="BD38" s="1289">
        <v>397.67</v>
      </c>
      <c r="BE38" s="1295"/>
      <c r="BF38" s="1295"/>
      <c r="BG38" s="1295"/>
      <c r="BH38" s="1295"/>
      <c r="BI38" s="1295"/>
    </row>
    <row r="39" spans="3:61" outlineLevel="1" x14ac:dyDescent="0.3">
      <c r="C39" s="1288"/>
      <c r="D39" s="1288"/>
      <c r="E39" s="1288"/>
      <c r="F39" s="1288"/>
      <c r="G39" s="1288"/>
      <c r="H39" s="1288" t="s">
        <v>1006</v>
      </c>
      <c r="I39" s="1288"/>
      <c r="J39" s="1289">
        <v>0</v>
      </c>
      <c r="K39" s="1289">
        <v>174.43</v>
      </c>
      <c r="L39" s="1289">
        <v>0</v>
      </c>
      <c r="M39" s="1289">
        <v>7.29</v>
      </c>
      <c r="N39" s="1289">
        <v>339</v>
      </c>
      <c r="O39" s="1289">
        <v>620.66999999999996</v>
      </c>
      <c r="P39" s="1289">
        <v>1129.3</v>
      </c>
      <c r="Q39" s="1289">
        <v>598.42999999999995</v>
      </c>
      <c r="R39" s="1289">
        <v>0</v>
      </c>
      <c r="S39" s="1289">
        <v>967.75</v>
      </c>
      <c r="T39" s="1289">
        <v>498.43</v>
      </c>
      <c r="U39" s="1289">
        <v>1532.53</v>
      </c>
      <c r="V39" s="1289">
        <v>589</v>
      </c>
      <c r="W39" s="1289">
        <v>0</v>
      </c>
      <c r="X39" s="1289">
        <v>0</v>
      </c>
      <c r="Y39" s="1289">
        <v>0</v>
      </c>
      <c r="Z39" s="1289">
        <v>0</v>
      </c>
      <c r="AA39" s="1289">
        <v>406.91</v>
      </c>
      <c r="AB39" s="1289">
        <v>2456.0100000000002</v>
      </c>
      <c r="AC39" s="1289">
        <v>0</v>
      </c>
      <c r="AD39" s="1289">
        <v>112.16</v>
      </c>
      <c r="AE39" s="1289">
        <v>0</v>
      </c>
      <c r="AF39" s="1289">
        <v>0</v>
      </c>
      <c r="AG39" s="1289">
        <v>2322.34</v>
      </c>
      <c r="AH39" s="1289">
        <v>383.64</v>
      </c>
      <c r="AI39" s="1289">
        <v>2222.1799999999998</v>
      </c>
      <c r="AJ39" s="1289">
        <v>155.76</v>
      </c>
      <c r="AK39" s="1289">
        <v>856.32</v>
      </c>
      <c r="AL39" s="1289">
        <v>0</v>
      </c>
      <c r="AM39" s="1289">
        <v>499.51</v>
      </c>
      <c r="AN39" s="1289">
        <v>0</v>
      </c>
      <c r="AO39" s="1289">
        <v>205.98</v>
      </c>
      <c r="AP39" s="1289">
        <v>760.04</v>
      </c>
      <c r="AQ39" s="1289">
        <v>-1163</v>
      </c>
      <c r="AR39" s="1289">
        <v>100.23</v>
      </c>
      <c r="AS39" s="1289">
        <v>0</v>
      </c>
      <c r="AT39" s="1289">
        <v>607.30999999999995</v>
      </c>
      <c r="AU39" s="1289">
        <v>0</v>
      </c>
      <c r="AV39" s="1289">
        <v>0</v>
      </c>
      <c r="AW39" s="1295">
        <v>703.92</v>
      </c>
      <c r="AX39" s="1295">
        <v>72</v>
      </c>
      <c r="AY39" s="1295"/>
      <c r="AZ39" s="1295"/>
      <c r="BA39" s="1295">
        <v>586.76</v>
      </c>
      <c r="BB39" s="1295">
        <v>75</v>
      </c>
      <c r="BC39" s="1289">
        <v>0</v>
      </c>
      <c r="BD39" s="1289">
        <v>0</v>
      </c>
      <c r="BE39" s="1295"/>
      <c r="BF39" s="1295"/>
      <c r="BG39" s="1295"/>
      <c r="BH39" s="1295"/>
      <c r="BI39" s="1295"/>
    </row>
    <row r="40" spans="3:61" outlineLevel="1" x14ac:dyDescent="0.3">
      <c r="C40" s="1288"/>
      <c r="D40" s="1288"/>
      <c r="E40" s="1288"/>
      <c r="F40" s="1288"/>
      <c r="G40" s="1288"/>
      <c r="H40" s="1288" t="s">
        <v>1007</v>
      </c>
      <c r="I40" s="1288"/>
      <c r="J40" s="1289">
        <v>0</v>
      </c>
      <c r="K40" s="1289">
        <v>0</v>
      </c>
      <c r="L40" s="1289">
        <v>0</v>
      </c>
      <c r="M40" s="1289">
        <v>0</v>
      </c>
      <c r="N40" s="1289">
        <v>0</v>
      </c>
      <c r="O40" s="1289">
        <v>0</v>
      </c>
      <c r="P40" s="1289">
        <v>164</v>
      </c>
      <c r="Q40" s="1289">
        <v>139</v>
      </c>
      <c r="R40" s="1289">
        <v>0</v>
      </c>
      <c r="S40" s="1289">
        <v>495</v>
      </c>
      <c r="T40" s="1289">
        <v>0</v>
      </c>
      <c r="U40" s="1289">
        <v>235.38</v>
      </c>
      <c r="V40" s="1289">
        <v>0</v>
      </c>
      <c r="W40" s="1289">
        <v>0</v>
      </c>
      <c r="X40" s="1289">
        <v>0</v>
      </c>
      <c r="Y40" s="1289">
        <v>0</v>
      </c>
      <c r="Z40" s="1289">
        <v>0</v>
      </c>
      <c r="AA40" s="1289">
        <v>164</v>
      </c>
      <c r="AB40" s="1289">
        <v>0</v>
      </c>
      <c r="AC40" s="1289">
        <v>0</v>
      </c>
      <c r="AD40" s="1289">
        <v>120</v>
      </c>
      <c r="AE40" s="1289">
        <v>0</v>
      </c>
      <c r="AF40" s="1289">
        <v>0</v>
      </c>
      <c r="AG40" s="1289">
        <v>0</v>
      </c>
      <c r="AH40" s="1289">
        <v>0</v>
      </c>
      <c r="AI40" s="1289">
        <v>495</v>
      </c>
      <c r="AJ40" s="1289">
        <v>279</v>
      </c>
      <c r="AK40" s="1289">
        <v>495</v>
      </c>
      <c r="AL40" s="1289">
        <v>0</v>
      </c>
      <c r="AM40" s="1289">
        <v>0</v>
      </c>
      <c r="AN40" s="1289">
        <v>0</v>
      </c>
      <c r="AO40" s="1289">
        <v>0</v>
      </c>
      <c r="AP40" s="1289">
        <v>0</v>
      </c>
      <c r="AQ40" s="1289">
        <v>0</v>
      </c>
      <c r="AR40" s="1289">
        <v>120</v>
      </c>
      <c r="AS40" s="1289">
        <v>299</v>
      </c>
      <c r="AT40" s="1289">
        <v>495</v>
      </c>
      <c r="AU40" s="1289">
        <v>-495</v>
      </c>
      <c r="AV40" s="1289">
        <v>0</v>
      </c>
      <c r="AW40" s="1295">
        <v>0</v>
      </c>
      <c r="AX40" s="1295">
        <v>0</v>
      </c>
      <c r="AY40" s="1295"/>
      <c r="AZ40" s="1295">
        <v>-20</v>
      </c>
      <c r="BA40" s="1295">
        <v>0</v>
      </c>
      <c r="BB40" s="1295">
        <v>0</v>
      </c>
      <c r="BC40" s="1289">
        <v>0</v>
      </c>
      <c r="BD40" s="1289">
        <v>120</v>
      </c>
      <c r="BE40" s="1295"/>
      <c r="BF40" s="1295"/>
      <c r="BG40" s="1295"/>
      <c r="BH40" s="1295"/>
      <c r="BI40" s="1295"/>
    </row>
    <row r="41" spans="3:61" outlineLevel="1" x14ac:dyDescent="0.3">
      <c r="C41" s="1288"/>
      <c r="D41" s="1288"/>
      <c r="E41" s="1288"/>
      <c r="F41" s="1288"/>
      <c r="G41" s="1288"/>
      <c r="H41" s="1288" t="s">
        <v>1008</v>
      </c>
      <c r="I41" s="1288"/>
      <c r="J41" s="1289">
        <v>377.2</v>
      </c>
      <c r="K41" s="1289">
        <v>0</v>
      </c>
      <c r="L41" s="1289">
        <v>159.91999999999999</v>
      </c>
      <c r="M41" s="1289">
        <v>0</v>
      </c>
      <c r="N41" s="1289">
        <v>0</v>
      </c>
      <c r="O41" s="1289">
        <v>0</v>
      </c>
      <c r="P41" s="1289">
        <v>0</v>
      </c>
      <c r="Q41" s="1289">
        <v>0</v>
      </c>
      <c r="R41" s="1289">
        <v>55.74</v>
      </c>
      <c r="S41" s="1289">
        <v>0</v>
      </c>
      <c r="T41" s="1289">
        <v>610</v>
      </c>
      <c r="U41" s="1289">
        <v>391.41</v>
      </c>
      <c r="V41" s="1289">
        <v>0</v>
      </c>
      <c r="W41" s="1289">
        <v>0</v>
      </c>
      <c r="X41" s="1289">
        <v>0</v>
      </c>
      <c r="Y41" s="1289">
        <v>0</v>
      </c>
      <c r="Z41" s="1289">
        <v>19.75</v>
      </c>
      <c r="AA41" s="1289">
        <v>0</v>
      </c>
      <c r="AB41" s="1289">
        <v>0</v>
      </c>
      <c r="AC41" s="1289">
        <v>0</v>
      </c>
      <c r="AD41" s="1289">
        <v>0</v>
      </c>
      <c r="AE41" s="1289">
        <v>716.41</v>
      </c>
      <c r="AF41" s="1289">
        <v>0</v>
      </c>
      <c r="AG41" s="1289">
        <v>518.58000000000004</v>
      </c>
      <c r="AH41" s="1289">
        <v>100</v>
      </c>
      <c r="AI41" s="1289">
        <v>0</v>
      </c>
      <c r="AJ41" s="1289">
        <v>35.979999999999997</v>
      </c>
      <c r="AK41" s="1289">
        <v>0</v>
      </c>
      <c r="AL41" s="1289">
        <v>0</v>
      </c>
      <c r="AM41" s="1289">
        <v>0</v>
      </c>
      <c r="AN41" s="1289">
        <v>0</v>
      </c>
      <c r="AO41" s="1289">
        <v>0</v>
      </c>
      <c r="AP41" s="1289">
        <v>0</v>
      </c>
      <c r="AQ41" s="1289">
        <v>209.65</v>
      </c>
      <c r="AR41" s="1289">
        <v>460</v>
      </c>
      <c r="AS41" s="1289">
        <v>0</v>
      </c>
      <c r="AT41" s="1289">
        <v>0</v>
      </c>
      <c r="AU41" s="1289">
        <v>0</v>
      </c>
      <c r="AV41" s="1289">
        <v>0</v>
      </c>
      <c r="AW41" s="1295">
        <v>0</v>
      </c>
      <c r="AX41" s="1295">
        <v>0</v>
      </c>
      <c r="AY41" s="1295"/>
      <c r="AZ41" s="1295"/>
      <c r="BA41" s="1295"/>
      <c r="BB41" s="1295"/>
      <c r="BC41" s="1289"/>
      <c r="BD41" s="1289">
        <v>535</v>
      </c>
      <c r="BE41" s="1295"/>
      <c r="BF41" s="1295"/>
      <c r="BG41" s="1295"/>
      <c r="BH41" s="1295"/>
      <c r="BI41" s="1295"/>
    </row>
    <row r="42" spans="3:61" outlineLevel="1" x14ac:dyDescent="0.3">
      <c r="C42" s="1288"/>
      <c r="D42" s="1288"/>
      <c r="E42" s="1288"/>
      <c r="F42" s="1288"/>
      <c r="G42" s="1288"/>
      <c r="H42" s="1288" t="s">
        <v>1009</v>
      </c>
      <c r="I42" s="1288"/>
      <c r="J42" s="1289">
        <v>214.21</v>
      </c>
      <c r="K42" s="1289">
        <v>1048.74</v>
      </c>
      <c r="L42" s="1289">
        <v>410.68</v>
      </c>
      <c r="M42" s="1289">
        <v>12.44</v>
      </c>
      <c r="N42" s="1289">
        <v>71.790000000000006</v>
      </c>
      <c r="O42" s="1289">
        <v>272.43</v>
      </c>
      <c r="P42" s="1289">
        <v>472.99</v>
      </c>
      <c r="Q42" s="1289">
        <v>244.84</v>
      </c>
      <c r="R42" s="1289">
        <v>223.42</v>
      </c>
      <c r="S42" s="1289">
        <v>225.02</v>
      </c>
      <c r="T42" s="1289">
        <v>0</v>
      </c>
      <c r="U42" s="1289">
        <v>608.58000000000004</v>
      </c>
      <c r="V42" s="1289">
        <v>21.59</v>
      </c>
      <c r="W42" s="1289">
        <v>104.85</v>
      </c>
      <c r="X42" s="1289">
        <v>198.5</v>
      </c>
      <c r="Y42" s="1289">
        <v>183.94</v>
      </c>
      <c r="Z42" s="1289">
        <v>549.91</v>
      </c>
      <c r="AA42" s="1289">
        <v>530.05999999999995</v>
      </c>
      <c r="AB42" s="1289">
        <v>341.16</v>
      </c>
      <c r="AC42" s="1289">
        <v>101.45</v>
      </c>
      <c r="AD42" s="1289">
        <v>890.88</v>
      </c>
      <c r="AE42" s="1289">
        <v>2431.5</v>
      </c>
      <c r="AF42" s="1289">
        <v>773.58</v>
      </c>
      <c r="AG42" s="1289">
        <v>220.46</v>
      </c>
      <c r="AH42" s="1289">
        <v>375.83</v>
      </c>
      <c r="AI42" s="1289">
        <v>205.46</v>
      </c>
      <c r="AJ42" s="1289">
        <v>491.96</v>
      </c>
      <c r="AK42" s="1289">
        <v>436.28</v>
      </c>
      <c r="AL42" s="1289">
        <v>185.48</v>
      </c>
      <c r="AM42" s="1289">
        <v>462.78</v>
      </c>
      <c r="AN42" s="1289">
        <v>422.7</v>
      </c>
      <c r="AO42" s="1289">
        <v>565.08000000000004</v>
      </c>
      <c r="AP42" s="1289">
        <v>44.99</v>
      </c>
      <c r="AQ42" s="1289">
        <v>1125.94</v>
      </c>
      <c r="AR42" s="1289">
        <v>617.48</v>
      </c>
      <c r="AS42" s="1289">
        <v>392.71</v>
      </c>
      <c r="AT42" s="1289">
        <v>95.22</v>
      </c>
      <c r="AU42" s="1289">
        <v>628.9</v>
      </c>
      <c r="AV42" s="1289">
        <v>888.13</v>
      </c>
      <c r="AW42" s="1295">
        <v>1846.46</v>
      </c>
      <c r="AX42" s="1295">
        <v>477.75</v>
      </c>
      <c r="AY42" s="1295"/>
      <c r="AZ42" s="1295">
        <v>376.56</v>
      </c>
      <c r="BA42" s="1295">
        <v>449.27</v>
      </c>
      <c r="BB42" s="1295">
        <v>86.28</v>
      </c>
      <c r="BC42" s="1289">
        <v>2873.76</v>
      </c>
      <c r="BD42" s="1289">
        <v>241.65</v>
      </c>
      <c r="BE42" s="1295"/>
      <c r="BF42" s="1295"/>
      <c r="BG42" s="1295"/>
      <c r="BH42" s="1295"/>
      <c r="BI42" s="1295"/>
    </row>
    <row r="43" spans="3:61" outlineLevel="1" x14ac:dyDescent="0.3">
      <c r="C43" s="1288"/>
      <c r="D43" s="1288"/>
      <c r="E43" s="1288"/>
      <c r="F43" s="1288"/>
      <c r="G43" s="1288"/>
      <c r="H43" s="1288" t="s">
        <v>1010</v>
      </c>
      <c r="I43" s="1288"/>
      <c r="J43" s="1289">
        <v>7467.41</v>
      </c>
      <c r="K43" s="1289">
        <v>-6283.34</v>
      </c>
      <c r="L43" s="1289">
        <v>11077.34</v>
      </c>
      <c r="M43" s="1289">
        <v>-6530.61</v>
      </c>
      <c r="N43" s="1289">
        <v>-2465.4899999999998</v>
      </c>
      <c r="O43" s="1289">
        <v>-9593.2900000000009</v>
      </c>
      <c r="P43" s="1289">
        <v>-3109.81</v>
      </c>
      <c r="Q43" s="1289">
        <v>2713.29</v>
      </c>
      <c r="R43" s="1289">
        <v>-50.49</v>
      </c>
      <c r="S43" s="1289">
        <v>2105.59</v>
      </c>
      <c r="T43" s="1289">
        <v>2027.69</v>
      </c>
      <c r="U43" s="1289">
        <v>2641.71</v>
      </c>
      <c r="V43" s="1289">
        <v>-8097.2</v>
      </c>
      <c r="W43" s="1289">
        <v>2222.29</v>
      </c>
      <c r="X43" s="1289">
        <v>235.58</v>
      </c>
      <c r="Y43" s="1289">
        <v>4240.1099999999997</v>
      </c>
      <c r="Z43" s="1289">
        <v>-9577.74</v>
      </c>
      <c r="AA43" s="1289">
        <v>-2077.37</v>
      </c>
      <c r="AB43" s="1289">
        <v>-6215.53</v>
      </c>
      <c r="AC43" s="1289">
        <v>7885.1</v>
      </c>
      <c r="AD43" s="1289">
        <v>-20842.48</v>
      </c>
      <c r="AE43" s="1289">
        <v>3172.97</v>
      </c>
      <c r="AF43" s="1289">
        <v>25825.57</v>
      </c>
      <c r="AG43" s="1289">
        <v>3228.7</v>
      </c>
      <c r="AH43" s="1289">
        <v>-10823.57</v>
      </c>
      <c r="AI43" s="1289">
        <v>1512.82</v>
      </c>
      <c r="AJ43" s="1289">
        <v>4457.2</v>
      </c>
      <c r="AK43" s="1289">
        <v>-385.51</v>
      </c>
      <c r="AL43" s="1289">
        <v>-13337.79</v>
      </c>
      <c r="AM43" s="1289">
        <v>2396.42</v>
      </c>
      <c r="AN43" s="1289">
        <v>458.58</v>
      </c>
      <c r="AO43" s="1289">
        <v>1277.8900000000001</v>
      </c>
      <c r="AP43" s="1289">
        <v>7659.54</v>
      </c>
      <c r="AQ43" s="1289">
        <v>-7519.63</v>
      </c>
      <c r="AR43" s="1289">
        <v>-10367.27</v>
      </c>
      <c r="AS43" s="1289">
        <v>-25180.54</v>
      </c>
      <c r="AT43" s="1289">
        <v>-4057.4</v>
      </c>
      <c r="AU43" s="1289">
        <v>-7670.13</v>
      </c>
      <c r="AV43" s="1289">
        <v>14673.17</v>
      </c>
      <c r="AW43" s="1295">
        <v>-18891.55</v>
      </c>
      <c r="AX43" s="1295">
        <v>3459.26</v>
      </c>
      <c r="AY43" s="1295"/>
      <c r="AZ43" s="1295">
        <v>-10412.36</v>
      </c>
      <c r="BA43" s="1295">
        <v>-7409.22</v>
      </c>
      <c r="BB43" s="1295">
        <v>-5551.24</v>
      </c>
      <c r="BC43" s="1289">
        <v>6175.45</v>
      </c>
      <c r="BD43" s="1289">
        <v>-8732.11</v>
      </c>
      <c r="BE43" s="1295"/>
      <c r="BF43" s="1295"/>
      <c r="BG43" s="1295"/>
      <c r="BH43" s="1295"/>
      <c r="BI43" s="1295"/>
    </row>
    <row r="44" spans="3:61" outlineLevel="1" x14ac:dyDescent="0.3">
      <c r="C44" s="1288"/>
      <c r="D44" s="1288"/>
      <c r="E44" s="1288"/>
      <c r="F44" s="1288"/>
      <c r="G44" s="1288"/>
      <c r="H44" s="1288" t="s">
        <v>1011</v>
      </c>
      <c r="I44" s="1288"/>
      <c r="J44" s="1289">
        <v>1101.92</v>
      </c>
      <c r="K44" s="1289">
        <v>3057.25</v>
      </c>
      <c r="L44" s="1289">
        <v>2079.13</v>
      </c>
      <c r="M44" s="1289">
        <v>6304.24</v>
      </c>
      <c r="N44" s="1289">
        <v>1038.3399999999999</v>
      </c>
      <c r="O44" s="1289">
        <v>2606.77</v>
      </c>
      <c r="P44" s="1289">
        <v>2397.37</v>
      </c>
      <c r="Q44" s="1289">
        <v>1846.81</v>
      </c>
      <c r="R44" s="1289">
        <v>2551.63</v>
      </c>
      <c r="S44" s="1289">
        <v>1543.25</v>
      </c>
      <c r="T44" s="1289">
        <v>1989.49</v>
      </c>
      <c r="U44" s="1289">
        <v>-26516.2</v>
      </c>
      <c r="V44" s="1289">
        <v>1179.73</v>
      </c>
      <c r="W44" s="1289">
        <v>2225</v>
      </c>
      <c r="X44" s="1289">
        <v>2625.67</v>
      </c>
      <c r="Y44" s="1289">
        <v>2945.74</v>
      </c>
      <c r="Z44" s="1289">
        <v>2406.59</v>
      </c>
      <c r="AA44" s="1289">
        <v>9647.4599999999991</v>
      </c>
      <c r="AB44" s="1289">
        <v>1355.7</v>
      </c>
      <c r="AC44" s="1289">
        <v>1761.44</v>
      </c>
      <c r="AD44" s="1289">
        <v>1632.73</v>
      </c>
      <c r="AE44" s="1289">
        <v>1051.05</v>
      </c>
      <c r="AF44" s="1289">
        <v>2931.93</v>
      </c>
      <c r="AG44" s="1289">
        <v>-29763.040000000001</v>
      </c>
      <c r="AH44" s="1289">
        <v>910.16</v>
      </c>
      <c r="AI44" s="1289">
        <v>1273.43</v>
      </c>
      <c r="AJ44" s="1289">
        <v>2832.3</v>
      </c>
      <c r="AK44" s="1289">
        <v>1097.2</v>
      </c>
      <c r="AL44" s="1289">
        <v>1653.82</v>
      </c>
      <c r="AM44" s="1289">
        <v>6006.16</v>
      </c>
      <c r="AN44" s="1289">
        <v>11017.01</v>
      </c>
      <c r="AO44" s="1289">
        <v>950.07</v>
      </c>
      <c r="AP44" s="1289">
        <v>2409.4299999999998</v>
      </c>
      <c r="AQ44" s="1289">
        <v>1549.68</v>
      </c>
      <c r="AR44" s="1289">
        <v>10129.26</v>
      </c>
      <c r="AS44" s="1289">
        <v>20050.77</v>
      </c>
      <c r="AT44" s="1289">
        <v>1099.55</v>
      </c>
      <c r="AU44" s="1289">
        <v>9412.33</v>
      </c>
      <c r="AV44" s="1289">
        <v>4873.09</v>
      </c>
      <c r="AW44" s="1295">
        <v>3774.5</v>
      </c>
      <c r="AX44" s="1295">
        <v>2660.65</v>
      </c>
      <c r="AY44" s="1295"/>
      <c r="AZ44" s="1295">
        <v>4418.41</v>
      </c>
      <c r="BA44" s="1295">
        <v>1162.02</v>
      </c>
      <c r="BB44" s="1295">
        <v>8960.33</v>
      </c>
      <c r="BC44" s="1289">
        <v>1452.67</v>
      </c>
      <c r="BD44" s="1289">
        <v>18232.75</v>
      </c>
      <c r="BE44" s="1295"/>
      <c r="BF44" s="1295"/>
      <c r="BG44" s="1295"/>
      <c r="BH44" s="1295"/>
      <c r="BI44" s="1295"/>
    </row>
    <row r="45" spans="3:61" outlineLevel="1" x14ac:dyDescent="0.3">
      <c r="C45" s="1288"/>
      <c r="D45" s="1288"/>
      <c r="E45" s="1288"/>
      <c r="F45" s="1288"/>
      <c r="G45" s="1288"/>
      <c r="H45" s="1288" t="s">
        <v>1012</v>
      </c>
      <c r="I45" s="1288"/>
      <c r="J45" s="1289">
        <v>2623.51</v>
      </c>
      <c r="K45" s="1289">
        <v>2412.98</v>
      </c>
      <c r="L45" s="1289">
        <v>986.35</v>
      </c>
      <c r="M45" s="1289">
        <v>1056.5899999999999</v>
      </c>
      <c r="N45" s="1289">
        <v>904.27</v>
      </c>
      <c r="O45" s="1289">
        <v>915.47</v>
      </c>
      <c r="P45" s="1289">
        <v>826.9</v>
      </c>
      <c r="Q45" s="1289">
        <v>1672.35</v>
      </c>
      <c r="R45" s="1289">
        <v>1193.72</v>
      </c>
      <c r="S45" s="1289">
        <v>1480.65</v>
      </c>
      <c r="T45" s="1289">
        <v>500</v>
      </c>
      <c r="U45" s="1289">
        <v>1922.37</v>
      </c>
      <c r="V45" s="1289">
        <v>1298.43</v>
      </c>
      <c r="W45" s="1289">
        <v>2025.28</v>
      </c>
      <c r="X45" s="1289">
        <v>1283.1400000000001</v>
      </c>
      <c r="Y45" s="1289">
        <v>1144.19</v>
      </c>
      <c r="Z45" s="1289">
        <v>843.68</v>
      </c>
      <c r="AA45" s="1289">
        <v>844.72</v>
      </c>
      <c r="AB45" s="1289">
        <v>2065.71</v>
      </c>
      <c r="AC45" s="1289">
        <v>1024.99</v>
      </c>
      <c r="AD45" s="1289">
        <v>1327.36</v>
      </c>
      <c r="AE45" s="1289">
        <v>1474.69</v>
      </c>
      <c r="AF45" s="1289">
        <v>1996.16</v>
      </c>
      <c r="AG45" s="1289">
        <v>2481.67</v>
      </c>
      <c r="AH45" s="1289">
        <v>2706.26</v>
      </c>
      <c r="AI45" s="1289">
        <v>990.25</v>
      </c>
      <c r="AJ45" s="1289">
        <v>3582.54</v>
      </c>
      <c r="AK45" s="1289">
        <v>1706.17</v>
      </c>
      <c r="AL45" s="1289">
        <v>1243.04</v>
      </c>
      <c r="AM45" s="1289">
        <v>2548.04</v>
      </c>
      <c r="AN45" s="1289">
        <v>1651.82</v>
      </c>
      <c r="AO45" s="1289">
        <v>2584.7600000000002</v>
      </c>
      <c r="AP45" s="1289">
        <v>2221.15</v>
      </c>
      <c r="AQ45" s="1289">
        <v>2486.15</v>
      </c>
      <c r="AR45" s="1289">
        <v>2175.66</v>
      </c>
      <c r="AS45" s="1289">
        <v>1399.8</v>
      </c>
      <c r="AT45" s="1289">
        <v>1281.54</v>
      </c>
      <c r="AU45" s="1289">
        <v>3062.39</v>
      </c>
      <c r="AV45" s="1289">
        <v>2722.83</v>
      </c>
      <c r="AW45" s="1295">
        <v>1512.8</v>
      </c>
      <c r="AX45" s="1295">
        <v>1886.24</v>
      </c>
      <c r="AY45" s="1295"/>
      <c r="AZ45" s="1295">
        <v>974.61</v>
      </c>
      <c r="BA45" s="1295">
        <v>1730.75</v>
      </c>
      <c r="BB45" s="1295">
        <v>519.29999999999995</v>
      </c>
      <c r="BC45" s="1289">
        <v>628.83000000000004</v>
      </c>
      <c r="BD45" s="1289">
        <v>986.9</v>
      </c>
      <c r="BE45" s="1295"/>
      <c r="BF45" s="1295"/>
      <c r="BG45" s="1295"/>
      <c r="BH45" s="1295"/>
      <c r="BI45" s="1295"/>
    </row>
    <row r="46" spans="3:61" outlineLevel="1" x14ac:dyDescent="0.3">
      <c r="C46" s="1288"/>
      <c r="D46" s="1288"/>
      <c r="E46" s="1288"/>
      <c r="F46" s="1288"/>
      <c r="G46" s="1288"/>
      <c r="H46" s="1288" t="s">
        <v>1013</v>
      </c>
      <c r="I46" s="1288"/>
      <c r="J46" s="1289">
        <v>704.43</v>
      </c>
      <c r="K46" s="1289">
        <v>0</v>
      </c>
      <c r="L46" s="1289">
        <v>2555</v>
      </c>
      <c r="M46" s="1289">
        <v>19.54</v>
      </c>
      <c r="N46" s="1289">
        <v>0</v>
      </c>
      <c r="O46" s="1289">
        <v>0</v>
      </c>
      <c r="P46" s="1289">
        <v>0</v>
      </c>
      <c r="Q46" s="1289">
        <v>0</v>
      </c>
      <c r="R46" s="1289">
        <v>0</v>
      </c>
      <c r="S46" s="1289">
        <v>340</v>
      </c>
      <c r="T46" s="1289">
        <v>1190</v>
      </c>
      <c r="U46" s="1289">
        <v>274.5</v>
      </c>
      <c r="V46" s="1289">
        <v>85</v>
      </c>
      <c r="W46" s="1289">
        <v>1835</v>
      </c>
      <c r="X46" s="1289">
        <v>1310</v>
      </c>
      <c r="Y46" s="1289">
        <v>1012.5</v>
      </c>
      <c r="Z46" s="1289">
        <v>5227.5</v>
      </c>
      <c r="AA46" s="1289">
        <v>0</v>
      </c>
      <c r="AB46" s="1289">
        <v>90</v>
      </c>
      <c r="AC46" s="1289">
        <v>600</v>
      </c>
      <c r="AD46" s="1289">
        <v>1400</v>
      </c>
      <c r="AE46" s="1289">
        <v>700</v>
      </c>
      <c r="AF46" s="1289">
        <v>0</v>
      </c>
      <c r="AG46" s="1289">
        <v>350</v>
      </c>
      <c r="AH46" s="1289">
        <v>525</v>
      </c>
      <c r="AI46" s="1289">
        <v>875</v>
      </c>
      <c r="AJ46" s="1289">
        <v>962.5</v>
      </c>
      <c r="AK46" s="1289">
        <v>262.5</v>
      </c>
      <c r="AL46" s="1289">
        <v>700</v>
      </c>
      <c r="AM46" s="1289">
        <v>0</v>
      </c>
      <c r="AN46" s="1289">
        <v>600</v>
      </c>
      <c r="AO46" s="1289">
        <v>350</v>
      </c>
      <c r="AP46" s="1289">
        <v>0</v>
      </c>
      <c r="AQ46" s="1289">
        <v>1400</v>
      </c>
      <c r="AR46" s="1289">
        <v>700</v>
      </c>
      <c r="AS46" s="1289">
        <v>787.5</v>
      </c>
      <c r="AT46" s="1289">
        <v>0</v>
      </c>
      <c r="AU46" s="1289">
        <v>2000</v>
      </c>
      <c r="AV46" s="1289">
        <v>3850</v>
      </c>
      <c r="AW46" s="1295">
        <v>437.5</v>
      </c>
      <c r="AX46" s="1295">
        <v>7700</v>
      </c>
      <c r="AY46" s="1295"/>
      <c r="AZ46" s="1295"/>
      <c r="BA46" s="1295">
        <v>0</v>
      </c>
      <c r="BB46" s="1295">
        <v>0</v>
      </c>
      <c r="BC46" s="1289"/>
      <c r="BD46" s="1289">
        <v>0</v>
      </c>
      <c r="BE46" s="1295"/>
      <c r="BF46" s="1295"/>
      <c r="BG46" s="1295"/>
      <c r="BH46" s="1295"/>
      <c r="BI46" s="1295"/>
    </row>
    <row r="47" spans="3:61" outlineLevel="1" x14ac:dyDescent="0.3">
      <c r="C47" s="1288"/>
      <c r="D47" s="1288"/>
      <c r="E47" s="1288"/>
      <c r="F47" s="1288"/>
      <c r="G47" s="1288"/>
      <c r="H47" s="1288" t="s">
        <v>1014</v>
      </c>
      <c r="I47" s="1288"/>
      <c r="J47" s="1289">
        <v>35.25</v>
      </c>
      <c r="K47" s="1289">
        <v>0</v>
      </c>
      <c r="L47" s="1289">
        <v>0</v>
      </c>
      <c r="M47" s="1289">
        <v>0</v>
      </c>
      <c r="N47" s="1289">
        <v>0</v>
      </c>
      <c r="O47" s="1289">
        <v>189.84</v>
      </c>
      <c r="P47" s="1289">
        <v>0</v>
      </c>
      <c r="Q47" s="1289">
        <v>317.62</v>
      </c>
      <c r="R47" s="1289">
        <v>0</v>
      </c>
      <c r="S47" s="1289">
        <v>0</v>
      </c>
      <c r="T47" s="1289">
        <v>0</v>
      </c>
      <c r="U47" s="1289">
        <v>0</v>
      </c>
      <c r="V47" s="1289">
        <v>0</v>
      </c>
      <c r="W47" s="1289">
        <v>0</v>
      </c>
      <c r="X47" s="1289">
        <v>122</v>
      </c>
      <c r="Y47" s="1289">
        <v>0</v>
      </c>
      <c r="Z47" s="1289">
        <v>56.42</v>
      </c>
      <c r="AA47" s="1289">
        <v>71.42</v>
      </c>
      <c r="AB47" s="1289">
        <v>0</v>
      </c>
      <c r="AC47" s="1289">
        <v>0</v>
      </c>
      <c r="AD47" s="1289">
        <v>302</v>
      </c>
      <c r="AE47" s="1289">
        <v>0</v>
      </c>
      <c r="AF47" s="1289">
        <v>0</v>
      </c>
      <c r="AG47" s="1289">
        <v>0</v>
      </c>
      <c r="AH47" s="1289">
        <v>0</v>
      </c>
      <c r="AI47" s="1289">
        <v>0</v>
      </c>
      <c r="AJ47" s="1289">
        <v>122</v>
      </c>
      <c r="AK47" s="1289">
        <v>0</v>
      </c>
      <c r="AL47" s="1289">
        <v>127</v>
      </c>
      <c r="AM47" s="1289">
        <v>0</v>
      </c>
      <c r="AN47" s="1289">
        <v>0</v>
      </c>
      <c r="AO47" s="1289">
        <v>302</v>
      </c>
      <c r="AP47" s="1289">
        <v>0</v>
      </c>
      <c r="AQ47" s="1289">
        <v>199</v>
      </c>
      <c r="AR47" s="1289">
        <v>341.25</v>
      </c>
      <c r="AS47" s="1289">
        <v>0</v>
      </c>
      <c r="AT47" s="1289">
        <v>0</v>
      </c>
      <c r="AU47" s="1289">
        <v>122</v>
      </c>
      <c r="AV47" s="1289">
        <v>0</v>
      </c>
      <c r="AW47" s="1295">
        <v>0</v>
      </c>
      <c r="AX47" s="1295">
        <v>203.5</v>
      </c>
      <c r="AY47" s="1295"/>
      <c r="AZ47" s="1295">
        <v>56</v>
      </c>
      <c r="BA47" s="1295">
        <v>0</v>
      </c>
      <c r="BB47" s="1295">
        <v>302</v>
      </c>
      <c r="BC47" s="1289">
        <v>0</v>
      </c>
      <c r="BD47" s="1289">
        <v>199.99</v>
      </c>
      <c r="BE47" s="1295"/>
      <c r="BF47" s="1295"/>
      <c r="BG47" s="1295"/>
      <c r="BH47" s="1295"/>
      <c r="BI47" s="1295"/>
    </row>
    <row r="48" spans="3:61" outlineLevel="1" x14ac:dyDescent="0.3">
      <c r="C48" s="1288"/>
      <c r="D48" s="1288"/>
      <c r="E48" s="1288"/>
      <c r="F48" s="1288"/>
      <c r="G48" s="1288"/>
      <c r="H48" s="1288" t="s">
        <v>1015</v>
      </c>
      <c r="I48" s="1288"/>
      <c r="J48" s="1289">
        <v>0</v>
      </c>
      <c r="K48" s="1289">
        <v>0</v>
      </c>
      <c r="L48" s="1289">
        <v>0</v>
      </c>
      <c r="M48" s="1289">
        <v>0</v>
      </c>
      <c r="N48" s="1289">
        <v>0</v>
      </c>
      <c r="O48" s="1289">
        <v>94.95</v>
      </c>
      <c r="P48" s="1289">
        <v>99</v>
      </c>
      <c r="Q48" s="1289">
        <v>55</v>
      </c>
      <c r="R48" s="1289">
        <v>92.5</v>
      </c>
      <c r="S48" s="1289">
        <v>55</v>
      </c>
      <c r="T48" s="1289">
        <v>55</v>
      </c>
      <c r="U48" s="1289">
        <v>110</v>
      </c>
      <c r="V48" s="1289">
        <v>0</v>
      </c>
      <c r="W48" s="1289">
        <v>110</v>
      </c>
      <c r="X48" s="1289">
        <v>0</v>
      </c>
      <c r="Y48" s="1289">
        <v>121.15</v>
      </c>
      <c r="Z48" s="1289">
        <v>55</v>
      </c>
      <c r="AA48" s="1289">
        <v>0</v>
      </c>
      <c r="AB48" s="1289">
        <v>110</v>
      </c>
      <c r="AC48" s="1289">
        <v>55</v>
      </c>
      <c r="AD48" s="1289">
        <v>116</v>
      </c>
      <c r="AE48" s="1289">
        <v>0</v>
      </c>
      <c r="AF48" s="1289">
        <v>116</v>
      </c>
      <c r="AG48" s="1289">
        <v>58</v>
      </c>
      <c r="AH48" s="1289">
        <v>0</v>
      </c>
      <c r="AI48" s="1289">
        <v>58</v>
      </c>
      <c r="AJ48" s="1289">
        <v>58</v>
      </c>
      <c r="AK48" s="1289">
        <v>58</v>
      </c>
      <c r="AL48" s="1289">
        <v>58</v>
      </c>
      <c r="AM48" s="1289">
        <v>58</v>
      </c>
      <c r="AN48" s="1289">
        <v>0</v>
      </c>
      <c r="AO48" s="1289">
        <v>58</v>
      </c>
      <c r="AP48" s="1289">
        <v>60</v>
      </c>
      <c r="AQ48" s="1289">
        <v>60</v>
      </c>
      <c r="AR48" s="1289">
        <v>120</v>
      </c>
      <c r="AS48" s="1289">
        <v>0</v>
      </c>
      <c r="AT48" s="1289">
        <v>60</v>
      </c>
      <c r="AU48" s="1289">
        <v>60</v>
      </c>
      <c r="AV48" s="1289">
        <v>126</v>
      </c>
      <c r="AW48" s="1295">
        <v>63</v>
      </c>
      <c r="AX48" s="1295">
        <v>63</v>
      </c>
      <c r="AY48" s="1295"/>
      <c r="AZ48" s="1295"/>
      <c r="BA48" s="1295">
        <v>63</v>
      </c>
      <c r="BB48" s="1295">
        <v>0</v>
      </c>
      <c r="BC48" s="1289">
        <v>132</v>
      </c>
      <c r="BD48" s="1289">
        <v>66</v>
      </c>
      <c r="BE48" s="1295"/>
      <c r="BF48" s="1295"/>
      <c r="BG48" s="1295"/>
      <c r="BH48" s="1295"/>
      <c r="BI48" s="1295"/>
    </row>
    <row r="49" spans="3:61" outlineLevel="1" x14ac:dyDescent="0.3">
      <c r="C49" s="1288"/>
      <c r="D49" s="1288"/>
      <c r="E49" s="1288"/>
      <c r="F49" s="1288"/>
      <c r="G49" s="1288"/>
      <c r="H49" s="1288" t="s">
        <v>1016</v>
      </c>
      <c r="I49" s="1288"/>
      <c r="J49" s="1289">
        <v>1327.01</v>
      </c>
      <c r="K49" s="1289">
        <v>1376.7</v>
      </c>
      <c r="L49" s="1289">
        <v>1371.16</v>
      </c>
      <c r="M49" s="1289">
        <v>1311.43</v>
      </c>
      <c r="N49" s="1289">
        <v>1946.32</v>
      </c>
      <c r="O49" s="1289">
        <v>1308.6600000000001</v>
      </c>
      <c r="P49" s="1289">
        <v>1511.62</v>
      </c>
      <c r="Q49" s="1289">
        <v>1319.34</v>
      </c>
      <c r="R49" s="1289">
        <v>1340.11</v>
      </c>
      <c r="S49" s="1289">
        <v>2002.44</v>
      </c>
      <c r="T49" s="1289">
        <v>1365.35</v>
      </c>
      <c r="U49" s="1289">
        <v>1348.13</v>
      </c>
      <c r="V49" s="1289">
        <v>1338.2</v>
      </c>
      <c r="W49" s="1289">
        <v>1353.49</v>
      </c>
      <c r="X49" s="1289">
        <v>1358.3</v>
      </c>
      <c r="Y49" s="1289">
        <v>1808.32</v>
      </c>
      <c r="Z49" s="1289">
        <v>1249.6099999999999</v>
      </c>
      <c r="AA49" s="1289">
        <v>1213.68</v>
      </c>
      <c r="AB49" s="1289">
        <v>1303.6300000000001</v>
      </c>
      <c r="AC49" s="1289">
        <v>1301.6099999999999</v>
      </c>
      <c r="AD49" s="1289">
        <v>1301.28</v>
      </c>
      <c r="AE49" s="1289">
        <v>1950.78</v>
      </c>
      <c r="AF49" s="1289">
        <v>1304.58</v>
      </c>
      <c r="AG49" s="1289">
        <v>1304.44</v>
      </c>
      <c r="AH49" s="1289">
        <v>1285.27</v>
      </c>
      <c r="AI49" s="1289">
        <v>1663.61</v>
      </c>
      <c r="AJ49" s="1289">
        <v>1925.23</v>
      </c>
      <c r="AK49" s="1289">
        <v>1397.85</v>
      </c>
      <c r="AL49" s="1289">
        <v>1382.08</v>
      </c>
      <c r="AM49" s="1289">
        <v>1377.33</v>
      </c>
      <c r="AN49" s="1289">
        <v>1371.79</v>
      </c>
      <c r="AO49" s="1289">
        <v>1342.88</v>
      </c>
      <c r="AP49" s="1289">
        <v>2031.85</v>
      </c>
      <c r="AQ49" s="1289">
        <v>1419.62</v>
      </c>
      <c r="AR49" s="1289">
        <v>1433.69</v>
      </c>
      <c r="AS49" s="1289">
        <v>1380.16</v>
      </c>
      <c r="AT49" s="1289">
        <v>1356.52</v>
      </c>
      <c r="AU49" s="1289">
        <v>1361.7</v>
      </c>
      <c r="AV49" s="1289">
        <v>2096.8200000000002</v>
      </c>
      <c r="AW49" s="1295">
        <v>1385.07</v>
      </c>
      <c r="AX49" s="1295">
        <v>1404.36</v>
      </c>
      <c r="AY49" s="1295"/>
      <c r="AZ49" s="1295">
        <v>1914.79</v>
      </c>
      <c r="BA49" s="1295">
        <v>1645.27</v>
      </c>
      <c r="BB49" s="1295">
        <v>1669.39</v>
      </c>
      <c r="BC49" s="1289">
        <v>1705.49</v>
      </c>
      <c r="BD49" s="1289">
        <v>1684.53</v>
      </c>
      <c r="BE49" s="1295"/>
      <c r="BF49" s="1295"/>
      <c r="BG49" s="1295"/>
      <c r="BH49" s="1295"/>
      <c r="BI49" s="1295"/>
    </row>
    <row r="50" spans="3:61" outlineLevel="1" x14ac:dyDescent="0.3">
      <c r="C50" s="1288"/>
      <c r="D50" s="1288"/>
      <c r="E50" s="1288"/>
      <c r="F50" s="1288"/>
      <c r="G50" s="1288"/>
      <c r="H50" s="1288" t="s">
        <v>1017</v>
      </c>
      <c r="I50" s="1288"/>
      <c r="J50" s="1289">
        <v>692.06</v>
      </c>
      <c r="K50" s="1289">
        <v>1317.74</v>
      </c>
      <c r="L50" s="1289">
        <v>931.31</v>
      </c>
      <c r="M50" s="1289">
        <v>3091.57</v>
      </c>
      <c r="N50" s="1289">
        <v>549.41999999999996</v>
      </c>
      <c r="O50" s="1289">
        <v>1193</v>
      </c>
      <c r="P50" s="1289">
        <v>3108.4</v>
      </c>
      <c r="Q50" s="1289">
        <v>6192.14</v>
      </c>
      <c r="R50" s="1289">
        <v>3870.93</v>
      </c>
      <c r="S50" s="1289">
        <v>11454.67</v>
      </c>
      <c r="T50" s="1289">
        <v>65.02</v>
      </c>
      <c r="U50" s="1289">
        <v>-3882.59</v>
      </c>
      <c r="V50" s="1289">
        <v>2721.92</v>
      </c>
      <c r="W50" s="1289">
        <v>587.5</v>
      </c>
      <c r="X50" s="1289">
        <v>302.27999999999997</v>
      </c>
      <c r="Y50" s="1289">
        <v>1536</v>
      </c>
      <c r="Z50" s="1289">
        <v>0</v>
      </c>
      <c r="AA50" s="1289">
        <v>5017.16</v>
      </c>
      <c r="AB50" s="1289">
        <v>2047.2</v>
      </c>
      <c r="AC50" s="1289">
        <v>1038.95</v>
      </c>
      <c r="AD50" s="1289">
        <v>2231.29</v>
      </c>
      <c r="AE50" s="1289">
        <v>156.68</v>
      </c>
      <c r="AF50" s="1289">
        <v>2219.94</v>
      </c>
      <c r="AG50" s="1289">
        <v>590.32000000000005</v>
      </c>
      <c r="AH50" s="1289">
        <v>838.99</v>
      </c>
      <c r="AI50" s="1289">
        <v>0</v>
      </c>
      <c r="AJ50" s="1289">
        <v>582.44000000000005</v>
      </c>
      <c r="AK50" s="1289">
        <v>892.29</v>
      </c>
      <c r="AL50" s="1289">
        <v>507.1</v>
      </c>
      <c r="AM50" s="1289">
        <v>1667.36</v>
      </c>
      <c r="AN50" s="1289">
        <v>162.62</v>
      </c>
      <c r="AO50" s="1289">
        <v>1664.21</v>
      </c>
      <c r="AP50" s="1289">
        <v>725.62</v>
      </c>
      <c r="AQ50" s="1289">
        <v>1380.53</v>
      </c>
      <c r="AR50" s="1289">
        <v>377.06</v>
      </c>
      <c r="AS50" s="1289">
        <v>3465.19</v>
      </c>
      <c r="AT50" s="1289">
        <v>473.89</v>
      </c>
      <c r="AU50" s="1289">
        <v>1718.74</v>
      </c>
      <c r="AV50" s="1289">
        <v>871.72</v>
      </c>
      <c r="AW50" s="1295">
        <v>3078.64</v>
      </c>
      <c r="AX50" s="1295">
        <v>4652.53</v>
      </c>
      <c r="AY50" s="1295"/>
      <c r="AZ50" s="1295">
        <v>386.51</v>
      </c>
      <c r="BA50" s="1295">
        <v>113.61</v>
      </c>
      <c r="BB50" s="1295">
        <v>0</v>
      </c>
      <c r="BC50" s="1289">
        <v>6529.41</v>
      </c>
      <c r="BD50" s="1289">
        <v>1450.37</v>
      </c>
      <c r="BE50" s="1295"/>
      <c r="BF50" s="1295"/>
      <c r="BG50" s="1295"/>
      <c r="BH50" s="1295"/>
      <c r="BI50" s="1295"/>
    </row>
    <row r="51" spans="3:61" outlineLevel="1" x14ac:dyDescent="0.3">
      <c r="C51" s="1288"/>
      <c r="D51" s="1288"/>
      <c r="E51" s="1288"/>
      <c r="F51" s="1288"/>
      <c r="G51" s="1288"/>
      <c r="H51" s="1288" t="s">
        <v>1018</v>
      </c>
      <c r="I51" s="1288"/>
      <c r="J51" s="1289">
        <v>560.41</v>
      </c>
      <c r="K51" s="1289">
        <v>838.87</v>
      </c>
      <c r="L51" s="1289">
        <v>410.84</v>
      </c>
      <c r="M51" s="1289">
        <v>801.97</v>
      </c>
      <c r="N51" s="1289">
        <v>851.59</v>
      </c>
      <c r="O51" s="1289">
        <v>1236.1099999999999</v>
      </c>
      <c r="P51" s="1289">
        <v>758.93</v>
      </c>
      <c r="Q51" s="1289">
        <v>1034.93</v>
      </c>
      <c r="R51" s="1289">
        <v>914.59</v>
      </c>
      <c r="S51" s="1289">
        <v>715.34</v>
      </c>
      <c r="T51" s="1289">
        <v>683.33</v>
      </c>
      <c r="U51" s="1289">
        <v>1112.1500000000001</v>
      </c>
      <c r="V51" s="1289">
        <v>590.76</v>
      </c>
      <c r="W51" s="1289">
        <v>594.38</v>
      </c>
      <c r="X51" s="1289">
        <v>2453.42</v>
      </c>
      <c r="Y51" s="1289">
        <v>3057.62</v>
      </c>
      <c r="Z51" s="1289">
        <v>938.15</v>
      </c>
      <c r="AA51" s="1289">
        <v>701.76</v>
      </c>
      <c r="AB51" s="1289">
        <v>1072.6300000000001</v>
      </c>
      <c r="AC51" s="1289">
        <v>400.88</v>
      </c>
      <c r="AD51" s="1289">
        <v>664.1</v>
      </c>
      <c r="AE51" s="1289">
        <v>2319.19</v>
      </c>
      <c r="AF51" s="1289">
        <v>768.84</v>
      </c>
      <c r="AG51" s="1289">
        <v>1509.76</v>
      </c>
      <c r="AH51" s="1289">
        <v>670.02</v>
      </c>
      <c r="AI51" s="1289">
        <v>677.39</v>
      </c>
      <c r="AJ51" s="1289">
        <v>814.93</v>
      </c>
      <c r="AK51" s="1289">
        <v>752.69</v>
      </c>
      <c r="AL51" s="1289">
        <v>1430.3</v>
      </c>
      <c r="AM51" s="1289">
        <v>1669.7</v>
      </c>
      <c r="AN51" s="1289">
        <v>1045.5999999999999</v>
      </c>
      <c r="AO51" s="1289">
        <v>1298.8699999999999</v>
      </c>
      <c r="AP51" s="1289">
        <v>2062.81</v>
      </c>
      <c r="AQ51" s="1289">
        <v>1152.22</v>
      </c>
      <c r="AR51" s="1289">
        <v>836.46</v>
      </c>
      <c r="AS51" s="1289">
        <v>738.87</v>
      </c>
      <c r="AT51" s="1289">
        <v>681.21</v>
      </c>
      <c r="AU51" s="1289">
        <v>969.68</v>
      </c>
      <c r="AV51" s="1289">
        <v>1356.66</v>
      </c>
      <c r="AW51" s="1295">
        <v>865.4</v>
      </c>
      <c r="AX51" s="1295">
        <v>1584.2</v>
      </c>
      <c r="AY51" s="1295"/>
      <c r="AZ51" s="1295">
        <v>2288.56</v>
      </c>
      <c r="BA51" s="1295">
        <v>1221.7</v>
      </c>
      <c r="BB51" s="1295">
        <v>1536.27</v>
      </c>
      <c r="BC51" s="1289">
        <v>700.37</v>
      </c>
      <c r="BD51" s="1289">
        <v>1390.94</v>
      </c>
      <c r="BE51" s="1295"/>
      <c r="BF51" s="1295"/>
      <c r="BG51" s="1295"/>
      <c r="BH51" s="1295"/>
      <c r="BI51" s="1295"/>
    </row>
    <row r="52" spans="3:61" outlineLevel="1" x14ac:dyDescent="0.3">
      <c r="C52" s="1288"/>
      <c r="D52" s="1288"/>
      <c r="E52" s="1288"/>
      <c r="F52" s="1288"/>
      <c r="G52" s="1288"/>
      <c r="H52" s="1288" t="s">
        <v>1019</v>
      </c>
      <c r="I52" s="1288"/>
      <c r="J52" s="1289">
        <v>553.16</v>
      </c>
      <c r="K52" s="1289">
        <v>0</v>
      </c>
      <c r="L52" s="1289">
        <v>0</v>
      </c>
      <c r="M52" s="1289">
        <v>0</v>
      </c>
      <c r="N52" s="1289">
        <v>0</v>
      </c>
      <c r="O52" s="1289">
        <v>0</v>
      </c>
      <c r="P52" s="1289">
        <v>58.59</v>
      </c>
      <c r="Q52" s="1289">
        <v>104.05</v>
      </c>
      <c r="R52" s="1289">
        <v>0</v>
      </c>
      <c r="S52" s="1289">
        <v>321.11</v>
      </c>
      <c r="T52" s="1289">
        <v>845.7</v>
      </c>
      <c r="U52" s="1289">
        <v>86.99</v>
      </c>
      <c r="V52" s="1289">
        <v>349.15</v>
      </c>
      <c r="W52" s="1289">
        <v>5541.07</v>
      </c>
      <c r="X52" s="1289">
        <v>2496.4499999999998</v>
      </c>
      <c r="Y52" s="1289">
        <v>406.35</v>
      </c>
      <c r="Z52" s="1289">
        <v>145.13</v>
      </c>
      <c r="AA52" s="1289">
        <v>0</v>
      </c>
      <c r="AB52" s="1289">
        <v>0</v>
      </c>
      <c r="AC52" s="1289">
        <v>0</v>
      </c>
      <c r="AD52" s="1289">
        <v>0</v>
      </c>
      <c r="AE52" s="1289">
        <v>0</v>
      </c>
      <c r="AF52" s="1289">
        <v>0</v>
      </c>
      <c r="AG52" s="1289">
        <v>2133</v>
      </c>
      <c r="AH52" s="1289">
        <v>0</v>
      </c>
      <c r="AI52" s="1289">
        <v>0</v>
      </c>
      <c r="AJ52" s="1289">
        <v>1453.85</v>
      </c>
      <c r="AK52" s="1289">
        <v>513.75</v>
      </c>
      <c r="AL52" s="1289">
        <v>0</v>
      </c>
      <c r="AM52" s="1289">
        <v>-343.45</v>
      </c>
      <c r="AN52" s="1289">
        <v>0</v>
      </c>
      <c r="AO52" s="1289">
        <v>2191.3200000000002</v>
      </c>
      <c r="AP52" s="1289">
        <v>2095.77</v>
      </c>
      <c r="AQ52" s="1289">
        <v>2149.85</v>
      </c>
      <c r="AR52" s="1289">
        <v>1173.74</v>
      </c>
      <c r="AS52" s="1289">
        <v>0</v>
      </c>
      <c r="AT52" s="1289">
        <v>0</v>
      </c>
      <c r="AU52" s="1289">
        <v>841.73</v>
      </c>
      <c r="AV52" s="1289">
        <v>21.39</v>
      </c>
      <c r="AW52" s="1295">
        <v>61.28</v>
      </c>
      <c r="AX52" s="1295">
        <v>16.55</v>
      </c>
      <c r="AY52" s="1295"/>
      <c r="AZ52" s="1295">
        <v>95.7</v>
      </c>
      <c r="BA52" s="1295">
        <v>875.97</v>
      </c>
      <c r="BB52" s="1295">
        <v>3200</v>
      </c>
      <c r="BC52" s="1289">
        <v>0</v>
      </c>
      <c r="BD52" s="1289">
        <v>0</v>
      </c>
      <c r="BE52" s="1295"/>
      <c r="BF52" s="1295"/>
      <c r="BG52" s="1295"/>
      <c r="BH52" s="1295"/>
      <c r="BI52" s="1295"/>
    </row>
    <row r="53" spans="3:61" outlineLevel="1" x14ac:dyDescent="0.3">
      <c r="C53" s="1288"/>
      <c r="D53" s="1288"/>
      <c r="E53" s="1288"/>
      <c r="F53" s="1288"/>
      <c r="G53" s="1288"/>
      <c r="H53" s="1288" t="s">
        <v>1020</v>
      </c>
      <c r="I53" s="1288"/>
      <c r="J53" s="1289">
        <v>349.58</v>
      </c>
      <c r="K53" s="1289">
        <v>349.58</v>
      </c>
      <c r="L53" s="1289">
        <v>648.89</v>
      </c>
      <c r="M53" s="1289">
        <v>354.49</v>
      </c>
      <c r="N53" s="1289">
        <v>1376.74</v>
      </c>
      <c r="O53" s="1289">
        <v>354.49</v>
      </c>
      <c r="P53" s="1289">
        <v>1815.42</v>
      </c>
      <c r="Q53" s="1289">
        <v>1534.3</v>
      </c>
      <c r="R53" s="1289">
        <v>343.52</v>
      </c>
      <c r="S53" s="1289">
        <v>1092.3399999999999</v>
      </c>
      <c r="T53" s="1289">
        <v>878.41</v>
      </c>
      <c r="U53" s="1289">
        <v>463.6</v>
      </c>
      <c r="V53" s="1289">
        <v>531.54999999999995</v>
      </c>
      <c r="W53" s="1289">
        <v>344.28</v>
      </c>
      <c r="X53" s="1289">
        <v>4637.28</v>
      </c>
      <c r="Y53" s="1289">
        <v>1516.37</v>
      </c>
      <c r="Z53" s="1289">
        <v>772.38</v>
      </c>
      <c r="AA53" s="1289">
        <v>4700.3</v>
      </c>
      <c r="AB53" s="1289">
        <v>1280.18</v>
      </c>
      <c r="AC53" s="1289">
        <v>344.25</v>
      </c>
      <c r="AD53" s="1289">
        <v>515.30999999999995</v>
      </c>
      <c r="AE53" s="1289">
        <v>664.81</v>
      </c>
      <c r="AF53" s="1289">
        <v>2295.96</v>
      </c>
      <c r="AG53" s="1289">
        <v>503.69</v>
      </c>
      <c r="AH53" s="1289">
        <v>342.96</v>
      </c>
      <c r="AI53" s="1289">
        <v>957.08</v>
      </c>
      <c r="AJ53" s="1289">
        <v>342.96</v>
      </c>
      <c r="AK53" s="1289">
        <v>342.61</v>
      </c>
      <c r="AL53" s="1289">
        <v>2405.14</v>
      </c>
      <c r="AM53" s="1289">
        <v>342.61</v>
      </c>
      <c r="AN53" s="1289">
        <v>592.39</v>
      </c>
      <c r="AO53" s="1289">
        <v>861.86</v>
      </c>
      <c r="AP53" s="1289">
        <v>836.17</v>
      </c>
      <c r="AQ53" s="1289">
        <v>1011.17</v>
      </c>
      <c r="AR53" s="1289">
        <v>476.75</v>
      </c>
      <c r="AS53" s="1289">
        <v>343.35</v>
      </c>
      <c r="AT53" s="1289">
        <v>343.61</v>
      </c>
      <c r="AU53" s="1289">
        <v>343.61</v>
      </c>
      <c r="AV53" s="1289">
        <v>345.95</v>
      </c>
      <c r="AW53" s="1295">
        <v>7145.29</v>
      </c>
      <c r="AX53" s="1295">
        <v>4852.18</v>
      </c>
      <c r="AY53" s="1295"/>
      <c r="AZ53" s="1295">
        <v>345.45</v>
      </c>
      <c r="BA53" s="1295">
        <v>2309.6</v>
      </c>
      <c r="BB53" s="1295">
        <v>2055.06</v>
      </c>
      <c r="BC53" s="1289">
        <v>339.53</v>
      </c>
      <c r="BD53" s="1289">
        <v>849.25</v>
      </c>
      <c r="BE53" s="1295"/>
      <c r="BF53" s="1295"/>
      <c r="BG53" s="1295"/>
      <c r="BH53" s="1295"/>
      <c r="BI53" s="1295"/>
    </row>
    <row r="54" spans="3:61" outlineLevel="1" x14ac:dyDescent="0.3">
      <c r="C54" s="1288"/>
      <c r="D54" s="1288"/>
      <c r="E54" s="1288"/>
      <c r="F54" s="1288"/>
      <c r="G54" s="1288"/>
      <c r="H54" s="1288" t="s">
        <v>1021</v>
      </c>
      <c r="I54" s="1288"/>
      <c r="J54" s="1289">
        <v>2659.46</v>
      </c>
      <c r="K54" s="1289">
        <v>1592.7</v>
      </c>
      <c r="L54" s="1289">
        <v>302.41000000000003</v>
      </c>
      <c r="M54" s="1289">
        <v>1176.8699999999999</v>
      </c>
      <c r="N54" s="1289">
        <v>119.15</v>
      </c>
      <c r="O54" s="1289">
        <v>1490.41</v>
      </c>
      <c r="P54" s="1289">
        <v>259.2</v>
      </c>
      <c r="Q54" s="1289">
        <v>1428.61</v>
      </c>
      <c r="R54" s="1289">
        <v>129.33000000000001</v>
      </c>
      <c r="S54" s="1289">
        <v>803.28</v>
      </c>
      <c r="T54" s="1289">
        <v>0</v>
      </c>
      <c r="U54" s="1289">
        <v>1088.8900000000001</v>
      </c>
      <c r="V54" s="1289">
        <v>2604.29</v>
      </c>
      <c r="W54" s="1289">
        <v>1505.7</v>
      </c>
      <c r="X54" s="1289">
        <v>355.17</v>
      </c>
      <c r="Y54" s="1289">
        <v>620.58000000000004</v>
      </c>
      <c r="Z54" s="1289">
        <v>1541.46</v>
      </c>
      <c r="AA54" s="1289">
        <v>1245.06</v>
      </c>
      <c r="AB54" s="1289">
        <v>1127.43</v>
      </c>
      <c r="AC54" s="1289">
        <v>1441.46</v>
      </c>
      <c r="AD54" s="1289">
        <v>263.25</v>
      </c>
      <c r="AE54" s="1289">
        <v>422.09</v>
      </c>
      <c r="AF54" s="1289">
        <v>1691.7</v>
      </c>
      <c r="AG54" s="1289">
        <v>360.13</v>
      </c>
      <c r="AH54" s="1289">
        <v>1033.24</v>
      </c>
      <c r="AI54" s="1289">
        <v>495.89</v>
      </c>
      <c r="AJ54" s="1289">
        <v>985.17</v>
      </c>
      <c r="AK54" s="1289">
        <v>751.71</v>
      </c>
      <c r="AL54" s="1289">
        <v>550.89</v>
      </c>
      <c r="AM54" s="1289">
        <v>1804.35</v>
      </c>
      <c r="AN54" s="1289">
        <v>746.87</v>
      </c>
      <c r="AO54" s="1289">
        <v>525.86</v>
      </c>
      <c r="AP54" s="1289">
        <v>753.37</v>
      </c>
      <c r="AQ54" s="1289">
        <v>1149.82</v>
      </c>
      <c r="AR54" s="1289">
        <v>74.8</v>
      </c>
      <c r="AS54" s="1289">
        <v>888.19</v>
      </c>
      <c r="AT54" s="1289">
        <v>1232.26</v>
      </c>
      <c r="AU54" s="1289">
        <v>409.03</v>
      </c>
      <c r="AV54" s="1289">
        <v>977.74</v>
      </c>
      <c r="AW54" s="1295">
        <v>2073.33</v>
      </c>
      <c r="AX54" s="1295">
        <v>1037.75</v>
      </c>
      <c r="AY54" s="1295"/>
      <c r="AZ54" s="1295">
        <v>1508.91</v>
      </c>
      <c r="BA54" s="1295">
        <v>1290.4000000000001</v>
      </c>
      <c r="BB54" s="1295">
        <v>2022.06</v>
      </c>
      <c r="BC54" s="1289">
        <v>253.17</v>
      </c>
      <c r="BD54" s="1289">
        <v>912.57</v>
      </c>
      <c r="BE54" s="1295"/>
      <c r="BF54" s="1295"/>
      <c r="BG54" s="1295"/>
      <c r="BH54" s="1295"/>
      <c r="BI54" s="1295"/>
    </row>
    <row r="55" spans="3:61" outlineLevel="1" x14ac:dyDescent="0.3">
      <c r="C55" s="1288"/>
      <c r="D55" s="1288"/>
      <c r="E55" s="1288"/>
      <c r="F55" s="1288"/>
      <c r="G55" s="1288"/>
      <c r="H55" s="1288" t="s">
        <v>1022</v>
      </c>
      <c r="I55" s="1288"/>
      <c r="J55" s="1289">
        <v>50.1</v>
      </c>
      <c r="K55" s="1289">
        <v>583.74</v>
      </c>
      <c r="L55" s="1289">
        <v>539.36</v>
      </c>
      <c r="M55" s="1289">
        <v>712.08</v>
      </c>
      <c r="N55" s="1289">
        <v>287.60000000000002</v>
      </c>
      <c r="O55" s="1289">
        <v>98.76</v>
      </c>
      <c r="P55" s="1289">
        <v>492</v>
      </c>
      <c r="Q55" s="1289">
        <v>101</v>
      </c>
      <c r="R55" s="1289">
        <v>562.78</v>
      </c>
      <c r="S55" s="1289">
        <v>1499.9</v>
      </c>
      <c r="T55" s="1289">
        <v>0</v>
      </c>
      <c r="U55" s="1289">
        <v>1391.05</v>
      </c>
      <c r="V55" s="1289">
        <v>109.13</v>
      </c>
      <c r="W55" s="1289">
        <v>325.14</v>
      </c>
      <c r="X55" s="1289">
        <v>1584.34</v>
      </c>
      <c r="Y55" s="1289">
        <v>171.6</v>
      </c>
      <c r="Z55" s="1289">
        <v>297.12</v>
      </c>
      <c r="AA55" s="1289">
        <v>475.33</v>
      </c>
      <c r="AB55" s="1289">
        <v>214.3</v>
      </c>
      <c r="AC55" s="1289">
        <v>0</v>
      </c>
      <c r="AD55" s="1289">
        <v>0</v>
      </c>
      <c r="AE55" s="1289">
        <v>760.36</v>
      </c>
      <c r="AF55" s="1289">
        <v>312.42</v>
      </c>
      <c r="AG55" s="1289">
        <v>0</v>
      </c>
      <c r="AH55" s="1289">
        <v>1236.8699999999999</v>
      </c>
      <c r="AI55" s="1289">
        <v>0</v>
      </c>
      <c r="AJ55" s="1289">
        <v>123.08</v>
      </c>
      <c r="AK55" s="1289">
        <v>248.18</v>
      </c>
      <c r="AL55" s="1289">
        <v>0</v>
      </c>
      <c r="AM55" s="1289">
        <v>129.84</v>
      </c>
      <c r="AN55" s="1289">
        <v>236</v>
      </c>
      <c r="AO55" s="1289">
        <v>134.28</v>
      </c>
      <c r="AP55" s="1289">
        <v>48.05</v>
      </c>
      <c r="AQ55" s="1289">
        <v>464.46</v>
      </c>
      <c r="AR55" s="1289">
        <v>729.42</v>
      </c>
      <c r="AS55" s="1289">
        <v>347.94</v>
      </c>
      <c r="AT55" s="1289">
        <v>134.28</v>
      </c>
      <c r="AU55" s="1289">
        <v>0</v>
      </c>
      <c r="AV55" s="1289">
        <v>0</v>
      </c>
      <c r="AW55" s="1295">
        <v>696.3</v>
      </c>
      <c r="AX55" s="1295">
        <v>206</v>
      </c>
      <c r="AY55" s="1295"/>
      <c r="AZ55" s="1295">
        <v>453.32</v>
      </c>
      <c r="BA55" s="1295">
        <v>639.58000000000004</v>
      </c>
      <c r="BB55" s="1295">
        <v>0</v>
      </c>
      <c r="BC55" s="1289">
        <v>263.02</v>
      </c>
      <c r="BD55" s="1289">
        <v>193.11</v>
      </c>
      <c r="BE55" s="1295"/>
      <c r="BF55" s="1295"/>
      <c r="BG55" s="1295"/>
      <c r="BH55" s="1295"/>
      <c r="BI55" s="1295"/>
    </row>
    <row r="56" spans="3:61" outlineLevel="1" x14ac:dyDescent="0.3">
      <c r="C56" s="1288"/>
      <c r="D56" s="1288"/>
      <c r="E56" s="1288"/>
      <c r="F56" s="1288"/>
      <c r="G56" s="1288"/>
      <c r="H56" s="1288" t="s">
        <v>1023</v>
      </c>
      <c r="I56" s="1288"/>
      <c r="J56" s="1289">
        <v>293.52</v>
      </c>
      <c r="K56" s="1289">
        <v>191.21</v>
      </c>
      <c r="L56" s="1289">
        <v>198.11</v>
      </c>
      <c r="M56" s="1289">
        <v>1183.47</v>
      </c>
      <c r="N56" s="1289">
        <v>366.56</v>
      </c>
      <c r="O56" s="1289">
        <v>324</v>
      </c>
      <c r="P56" s="1289">
        <v>1356.92</v>
      </c>
      <c r="Q56" s="1289">
        <v>517.28</v>
      </c>
      <c r="R56" s="1289">
        <v>2042.76</v>
      </c>
      <c r="S56" s="1289">
        <v>170.48</v>
      </c>
      <c r="T56" s="1289">
        <v>0</v>
      </c>
      <c r="U56" s="1289">
        <v>2492.14</v>
      </c>
      <c r="V56" s="1289">
        <v>658.87</v>
      </c>
      <c r="W56" s="1289">
        <v>2327.2800000000002</v>
      </c>
      <c r="X56" s="1289">
        <v>204.99</v>
      </c>
      <c r="Y56" s="1289">
        <v>929.34</v>
      </c>
      <c r="Z56" s="1289">
        <v>996</v>
      </c>
      <c r="AA56" s="1289">
        <v>538.79999999999995</v>
      </c>
      <c r="AB56" s="1289">
        <v>1325.91</v>
      </c>
      <c r="AC56" s="1289">
        <v>594.4</v>
      </c>
      <c r="AD56" s="1289">
        <v>431.39</v>
      </c>
      <c r="AE56" s="1289">
        <v>1811.9</v>
      </c>
      <c r="AF56" s="1289">
        <v>3941.77</v>
      </c>
      <c r="AG56" s="1289">
        <v>619.20000000000005</v>
      </c>
      <c r="AH56" s="1289">
        <v>117.23</v>
      </c>
      <c r="AI56" s="1289">
        <v>468.86</v>
      </c>
      <c r="AJ56" s="1289">
        <v>1754.87</v>
      </c>
      <c r="AK56" s="1289">
        <v>1279.52</v>
      </c>
      <c r="AL56" s="1289">
        <v>0</v>
      </c>
      <c r="AM56" s="1289">
        <v>1777.29</v>
      </c>
      <c r="AN56" s="1289">
        <v>197.4</v>
      </c>
      <c r="AO56" s="1289">
        <v>1820.83</v>
      </c>
      <c r="AP56" s="1289">
        <v>1967.13</v>
      </c>
      <c r="AQ56" s="1289">
        <v>1810.2</v>
      </c>
      <c r="AR56" s="1289">
        <v>945.14</v>
      </c>
      <c r="AS56" s="1289">
        <v>3931.9</v>
      </c>
      <c r="AT56" s="1289">
        <v>740.5</v>
      </c>
      <c r="AU56" s="1289">
        <v>450.25</v>
      </c>
      <c r="AV56" s="1289">
        <v>1620.57</v>
      </c>
      <c r="AW56" s="1295">
        <v>2559.14</v>
      </c>
      <c r="AX56" s="1295">
        <v>723.36</v>
      </c>
      <c r="AY56" s="1295"/>
      <c r="AZ56" s="1295">
        <v>52.8</v>
      </c>
      <c r="BA56" s="1295">
        <v>1953.37</v>
      </c>
      <c r="BB56" s="1295">
        <v>975.79</v>
      </c>
      <c r="BC56" s="1289">
        <v>1630.14</v>
      </c>
      <c r="BD56" s="1289">
        <v>733.56</v>
      </c>
      <c r="BE56" s="1295"/>
      <c r="BF56" s="1295"/>
      <c r="BG56" s="1295"/>
      <c r="BH56" s="1295"/>
      <c r="BI56" s="1295"/>
    </row>
    <row r="57" spans="3:61" outlineLevel="1" x14ac:dyDescent="0.3">
      <c r="C57" s="1288"/>
      <c r="D57" s="1288"/>
      <c r="E57" s="1288"/>
      <c r="F57" s="1288"/>
      <c r="G57" s="1288"/>
      <c r="H57" s="1288" t="s">
        <v>1024</v>
      </c>
      <c r="I57" s="1288"/>
      <c r="J57" s="1289">
        <v>7086.75</v>
      </c>
      <c r="K57" s="1289">
        <v>14747.25</v>
      </c>
      <c r="L57" s="1289">
        <v>17233.330000000002</v>
      </c>
      <c r="M57" s="1289">
        <v>12572.44</v>
      </c>
      <c r="N57" s="1289">
        <v>5424.76</v>
      </c>
      <c r="O57" s="1289">
        <v>19864.14</v>
      </c>
      <c r="P57" s="1289">
        <v>12410.67</v>
      </c>
      <c r="Q57" s="1289">
        <v>18683</v>
      </c>
      <c r="R57" s="1289">
        <v>16490.099999999999</v>
      </c>
      <c r="S57" s="1289">
        <v>10425.76</v>
      </c>
      <c r="T57" s="1289">
        <v>10859.82</v>
      </c>
      <c r="U57" s="1289">
        <v>-121551.17</v>
      </c>
      <c r="V57" s="1289">
        <v>11045.8</v>
      </c>
      <c r="W57" s="1289">
        <v>18776.64</v>
      </c>
      <c r="X57" s="1289">
        <v>22259.8</v>
      </c>
      <c r="Y57" s="1289">
        <v>11620.27</v>
      </c>
      <c r="Z57" s="1289">
        <v>20650.830000000002</v>
      </c>
      <c r="AA57" s="1289">
        <v>18942.87</v>
      </c>
      <c r="AB57" s="1289">
        <v>18030.419999999998</v>
      </c>
      <c r="AC57" s="1289">
        <v>24422.41</v>
      </c>
      <c r="AD57" s="1289">
        <v>21439.67</v>
      </c>
      <c r="AE57" s="1289">
        <v>29575.32</v>
      </c>
      <c r="AF57" s="1289">
        <v>50308.34</v>
      </c>
      <c r="AG57" s="1289">
        <v>-207180.1</v>
      </c>
      <c r="AH57" s="1289">
        <v>14755.63</v>
      </c>
      <c r="AI57" s="1289">
        <v>13442.17</v>
      </c>
      <c r="AJ57" s="1289">
        <v>18085.240000000002</v>
      </c>
      <c r="AK57" s="1289">
        <v>15498.68</v>
      </c>
      <c r="AL57" s="1289">
        <v>13248.98</v>
      </c>
      <c r="AM57" s="1289">
        <v>16256.8</v>
      </c>
      <c r="AN57" s="1289">
        <v>17057.97</v>
      </c>
      <c r="AO57" s="1289">
        <v>17308.21</v>
      </c>
      <c r="AP57" s="1289">
        <v>26938.9</v>
      </c>
      <c r="AQ57" s="1289">
        <v>12875.87</v>
      </c>
      <c r="AR57" s="1289">
        <v>16403.37</v>
      </c>
      <c r="AS57" s="1289">
        <v>-152081.48000000001</v>
      </c>
      <c r="AT57" s="1289">
        <v>26211.11</v>
      </c>
      <c r="AU57" s="1289">
        <v>20568.189999999999</v>
      </c>
      <c r="AV57" s="1289">
        <v>23770.17</v>
      </c>
      <c r="AW57" s="1295">
        <v>14925.2</v>
      </c>
      <c r="AX57" s="1295">
        <v>8325.5</v>
      </c>
      <c r="AY57" s="1295"/>
      <c r="AZ57" s="1295">
        <v>20215.5</v>
      </c>
      <c r="BA57" s="1295">
        <v>24825.37</v>
      </c>
      <c r="BB57" s="1295">
        <v>10772.18</v>
      </c>
      <c r="BC57" s="1289">
        <v>16868.509999999998</v>
      </c>
      <c r="BD57" s="1289">
        <v>17540.64</v>
      </c>
      <c r="BE57" s="1295"/>
      <c r="BF57" s="1295"/>
      <c r="BG57" s="1295"/>
      <c r="BH57" s="1295"/>
      <c r="BI57" s="1295"/>
    </row>
    <row r="58" spans="3:61" outlineLevel="1" x14ac:dyDescent="0.3">
      <c r="C58" s="1288"/>
      <c r="D58" s="1288"/>
      <c r="E58" s="1288"/>
      <c r="F58" s="1288"/>
      <c r="G58" s="1288"/>
      <c r="H58" s="1288" t="s">
        <v>1025</v>
      </c>
      <c r="I58" s="1288"/>
      <c r="J58" s="1289">
        <v>331.7</v>
      </c>
      <c r="K58" s="1289">
        <v>331.7</v>
      </c>
      <c r="L58" s="1289">
        <v>1432.75</v>
      </c>
      <c r="M58" s="1289">
        <v>331.7</v>
      </c>
      <c r="N58" s="1289">
        <v>331.7</v>
      </c>
      <c r="O58" s="1289">
        <v>331.7</v>
      </c>
      <c r="P58" s="1289">
        <v>1285.8</v>
      </c>
      <c r="Q58" s="1289">
        <v>331.7</v>
      </c>
      <c r="R58" s="1289">
        <v>331.7</v>
      </c>
      <c r="S58" s="1289">
        <v>331.7</v>
      </c>
      <c r="T58" s="1289">
        <v>1465.3</v>
      </c>
      <c r="U58" s="1289">
        <v>331.7</v>
      </c>
      <c r="V58" s="1289">
        <v>331.7</v>
      </c>
      <c r="W58" s="1289">
        <v>1158.51</v>
      </c>
      <c r="X58" s="1289">
        <v>331.7</v>
      </c>
      <c r="Y58" s="1289">
        <v>1024.8499999999999</v>
      </c>
      <c r="Z58" s="1289">
        <v>331.7</v>
      </c>
      <c r="AA58" s="1289">
        <v>1113.24</v>
      </c>
      <c r="AB58" s="1289">
        <v>331.7</v>
      </c>
      <c r="AC58" s="1289">
        <v>331.7</v>
      </c>
      <c r="AD58" s="1289">
        <v>1344.78</v>
      </c>
      <c r="AE58" s="1289">
        <v>331.7</v>
      </c>
      <c r="AF58" s="1289">
        <v>0</v>
      </c>
      <c r="AG58" s="1289">
        <v>663.4</v>
      </c>
      <c r="AH58" s="1289">
        <v>0</v>
      </c>
      <c r="AI58" s="1289">
        <v>0</v>
      </c>
      <c r="AJ58" s="1289">
        <v>0</v>
      </c>
      <c r="AK58" s="1289">
        <v>0</v>
      </c>
      <c r="AL58" s="1289">
        <v>0</v>
      </c>
      <c r="AM58" s="1289">
        <v>0</v>
      </c>
      <c r="AN58" s="1289">
        <v>0</v>
      </c>
      <c r="AO58" s="1289">
        <v>0</v>
      </c>
      <c r="AP58" s="1289">
        <v>0</v>
      </c>
      <c r="AQ58" s="1289">
        <v>0</v>
      </c>
      <c r="AR58" s="1289">
        <v>0</v>
      </c>
      <c r="AS58" s="1289">
        <v>0</v>
      </c>
      <c r="AT58" s="1289">
        <v>0</v>
      </c>
      <c r="AU58" s="1289">
        <v>0</v>
      </c>
      <c r="AV58" s="1289">
        <v>0</v>
      </c>
      <c r="AW58" s="1295"/>
      <c r="AX58" s="1295"/>
      <c r="AY58" s="1295"/>
      <c r="AZ58" s="1295"/>
      <c r="BA58" s="1295"/>
      <c r="BB58" s="1295"/>
      <c r="BC58" s="1289"/>
      <c r="BD58" s="1289"/>
      <c r="BE58" s="1295"/>
      <c r="BF58" s="1295"/>
      <c r="BG58" s="1295"/>
      <c r="BH58" s="1295"/>
      <c r="BI58" s="1295"/>
    </row>
    <row r="59" spans="3:61" outlineLevel="1" x14ac:dyDescent="0.3">
      <c r="C59" s="1288"/>
      <c r="D59" s="1288"/>
      <c r="E59" s="1288"/>
      <c r="F59" s="1288"/>
      <c r="G59" s="1288"/>
      <c r="H59" s="1288" t="s">
        <v>1026</v>
      </c>
      <c r="I59" s="1288"/>
      <c r="J59" s="1289"/>
      <c r="K59" s="1289"/>
      <c r="L59" s="1289"/>
      <c r="M59" s="1289"/>
      <c r="N59" s="1289"/>
      <c r="O59" s="1289"/>
      <c r="P59" s="1289"/>
      <c r="Q59" s="1289"/>
      <c r="R59" s="1289"/>
      <c r="S59" s="1289"/>
      <c r="T59" s="1289"/>
      <c r="U59" s="1289"/>
      <c r="V59" s="1289"/>
      <c r="W59" s="1289"/>
      <c r="X59" s="1289"/>
      <c r="Y59" s="1289"/>
      <c r="Z59" s="1289"/>
      <c r="AA59" s="1289"/>
      <c r="AB59" s="1289"/>
      <c r="AC59" s="1289"/>
      <c r="AD59" s="1289"/>
      <c r="AE59" s="1289"/>
      <c r="AF59" s="1289"/>
      <c r="AG59" s="1289"/>
      <c r="AH59" s="1289"/>
      <c r="AI59" s="1289"/>
      <c r="AJ59" s="1289"/>
      <c r="AK59" s="1289"/>
      <c r="AL59" s="1289"/>
      <c r="AM59" s="1289"/>
      <c r="AN59" s="1289"/>
      <c r="AO59" s="1289"/>
      <c r="AP59" s="1289"/>
      <c r="AQ59" s="1289"/>
      <c r="AR59" s="1289"/>
      <c r="AS59" s="1289"/>
      <c r="AT59" s="1289"/>
      <c r="AU59" s="1289"/>
      <c r="AV59" s="1289"/>
      <c r="AW59" s="1295"/>
      <c r="AX59" s="1295"/>
      <c r="AY59" s="1295"/>
      <c r="AZ59" s="1295"/>
      <c r="BA59" s="1295"/>
      <c r="BB59" s="1295"/>
      <c r="BC59" s="1289"/>
      <c r="BD59" s="1289"/>
      <c r="BE59" s="1295"/>
      <c r="BF59" s="1295"/>
      <c r="BG59" s="1295"/>
      <c r="BH59" s="1295"/>
      <c r="BI59" s="1295"/>
    </row>
    <row r="60" spans="3:61" outlineLevel="1" x14ac:dyDescent="0.3">
      <c r="C60" s="1288"/>
      <c r="D60" s="1288"/>
      <c r="E60" s="1288"/>
      <c r="F60" s="1288"/>
      <c r="G60" s="1288"/>
      <c r="H60" s="1288"/>
      <c r="I60" s="1288" t="s">
        <v>1027</v>
      </c>
      <c r="J60" s="1289">
        <v>2340.48</v>
      </c>
      <c r="K60" s="1289">
        <v>2340.48</v>
      </c>
      <c r="L60" s="1289">
        <v>2340.48</v>
      </c>
      <c r="M60" s="1289">
        <v>2340.48</v>
      </c>
      <c r="N60" s="1289">
        <v>2340.48</v>
      </c>
      <c r="O60" s="1289">
        <v>2340.48</v>
      </c>
      <c r="P60" s="1289">
        <v>2340.48</v>
      </c>
      <c r="Q60" s="1289">
        <v>2340.48</v>
      </c>
      <c r="R60" s="1289">
        <v>2340.48</v>
      </c>
      <c r="S60" s="1289">
        <v>2340.48</v>
      </c>
      <c r="T60" s="1289">
        <v>2340.48</v>
      </c>
      <c r="U60" s="1289">
        <v>-812.9</v>
      </c>
      <c r="V60" s="1289">
        <v>2077.6999999999998</v>
      </c>
      <c r="W60" s="1289">
        <v>2077.6999999999998</v>
      </c>
      <c r="X60" s="1289">
        <v>2077.6999999999998</v>
      </c>
      <c r="Y60" s="1289">
        <v>2077.6999999999998</v>
      </c>
      <c r="Z60" s="1289">
        <v>2077.6999999999998</v>
      </c>
      <c r="AA60" s="1289">
        <v>2077.6999999999998</v>
      </c>
      <c r="AB60" s="1289">
        <v>2077.6999999999998</v>
      </c>
      <c r="AC60" s="1289">
        <v>2077.6999999999998</v>
      </c>
      <c r="AD60" s="1289">
        <v>2077.6999999999998</v>
      </c>
      <c r="AE60" s="1289">
        <v>2077.6999999999998</v>
      </c>
      <c r="AF60" s="1289">
        <v>2077.6999999999998</v>
      </c>
      <c r="AG60" s="1289">
        <v>2077.6999999999998</v>
      </c>
      <c r="AH60" s="1289">
        <v>2160.54</v>
      </c>
      <c r="AI60" s="1289">
        <v>2160.54</v>
      </c>
      <c r="AJ60" s="1289">
        <v>2160.54</v>
      </c>
      <c r="AK60" s="1289">
        <v>2160.54</v>
      </c>
      <c r="AL60" s="1289">
        <v>2160.54</v>
      </c>
      <c r="AM60" s="1289">
        <v>2160.54</v>
      </c>
      <c r="AN60" s="1289">
        <v>2160.54</v>
      </c>
      <c r="AO60" s="1289">
        <v>2160.54</v>
      </c>
      <c r="AP60" s="1289">
        <v>2160.54</v>
      </c>
      <c r="AQ60" s="1289">
        <v>2160.54</v>
      </c>
      <c r="AR60" s="1289">
        <v>2160.54</v>
      </c>
      <c r="AS60" s="1289">
        <v>1564.2</v>
      </c>
      <c r="AT60" s="1289">
        <v>2160.54</v>
      </c>
      <c r="AU60" s="1289">
        <v>2160.54</v>
      </c>
      <c r="AV60" s="1289">
        <v>2160.54</v>
      </c>
      <c r="AW60" s="1295">
        <v>2160.54</v>
      </c>
      <c r="AX60" s="1295">
        <v>2160.54</v>
      </c>
      <c r="AY60" s="1295"/>
      <c r="AZ60" s="1295">
        <v>1937.13</v>
      </c>
      <c r="BA60" s="1295">
        <v>1937.13</v>
      </c>
      <c r="BB60" s="1295">
        <v>1937.13</v>
      </c>
      <c r="BC60" s="1289">
        <v>1937.13</v>
      </c>
      <c r="BD60" s="1289">
        <v>1937.13</v>
      </c>
      <c r="BE60" s="1295"/>
      <c r="BF60" s="1295"/>
      <c r="BG60" s="1295"/>
      <c r="BH60" s="1295"/>
      <c r="BI60" s="1295"/>
    </row>
    <row r="61" spans="3:61" ht="15" outlineLevel="1" thickBot="1" x14ac:dyDescent="0.35">
      <c r="C61" s="1288"/>
      <c r="D61" s="1288"/>
      <c r="E61" s="1288"/>
      <c r="F61" s="1288"/>
      <c r="G61" s="1288"/>
      <c r="H61" s="1288"/>
      <c r="I61" s="1288" t="s">
        <v>1028</v>
      </c>
      <c r="J61" s="1290">
        <v>0</v>
      </c>
      <c r="K61" s="1290">
        <v>954</v>
      </c>
      <c r="L61" s="1290">
        <v>0</v>
      </c>
      <c r="M61" s="1290">
        <v>0</v>
      </c>
      <c r="N61" s="1290">
        <v>800</v>
      </c>
      <c r="O61" s="1290">
        <v>0</v>
      </c>
      <c r="P61" s="1290">
        <v>0</v>
      </c>
      <c r="Q61" s="1290">
        <v>0</v>
      </c>
      <c r="R61" s="1290">
        <v>0</v>
      </c>
      <c r="S61" s="1290">
        <v>0</v>
      </c>
      <c r="T61" s="1290">
        <v>0</v>
      </c>
      <c r="U61" s="1290">
        <v>0</v>
      </c>
      <c r="V61" s="1290">
        <v>0</v>
      </c>
      <c r="W61" s="1290">
        <v>1713</v>
      </c>
      <c r="X61" s="1290">
        <v>0</v>
      </c>
      <c r="Y61" s="1290">
        <v>800</v>
      </c>
      <c r="Z61" s="1290">
        <v>0</v>
      </c>
      <c r="AA61" s="1290">
        <v>0</v>
      </c>
      <c r="AB61" s="1290">
        <v>0</v>
      </c>
      <c r="AC61" s="1290">
        <v>0</v>
      </c>
      <c r="AD61" s="1290">
        <v>0</v>
      </c>
      <c r="AE61" s="1290">
        <v>0</v>
      </c>
      <c r="AF61" s="1290">
        <v>1732</v>
      </c>
      <c r="AG61" s="1290">
        <v>0</v>
      </c>
      <c r="AH61" s="1290">
        <v>0</v>
      </c>
      <c r="AI61" s="1290">
        <v>1279</v>
      </c>
      <c r="AJ61" s="1290">
        <v>0</v>
      </c>
      <c r="AK61" s="1290">
        <v>0</v>
      </c>
      <c r="AL61" s="1290">
        <v>2100</v>
      </c>
      <c r="AM61" s="1290">
        <v>0</v>
      </c>
      <c r="AN61" s="1290">
        <v>0</v>
      </c>
      <c r="AO61" s="1290">
        <v>0</v>
      </c>
      <c r="AP61" s="1290">
        <v>0</v>
      </c>
      <c r="AQ61" s="1290">
        <v>0</v>
      </c>
      <c r="AR61" s="1290">
        <v>2200.35</v>
      </c>
      <c r="AS61" s="1290">
        <v>0</v>
      </c>
      <c r="AT61" s="1290">
        <v>0</v>
      </c>
      <c r="AU61" s="1290">
        <v>1099</v>
      </c>
      <c r="AV61" s="1290">
        <v>0</v>
      </c>
      <c r="AW61" s="1296">
        <v>0</v>
      </c>
      <c r="AX61" s="1296">
        <v>2100</v>
      </c>
      <c r="AY61" s="1296"/>
      <c r="AZ61" s="1296"/>
      <c r="BA61" s="1296">
        <v>0</v>
      </c>
      <c r="BB61" s="1296">
        <v>0</v>
      </c>
      <c r="BC61" s="1290"/>
      <c r="BD61" s="1290">
        <v>0</v>
      </c>
      <c r="BE61" s="1296"/>
      <c r="BF61" s="1296"/>
      <c r="BG61" s="1296"/>
      <c r="BH61" s="1296"/>
      <c r="BI61" s="1296"/>
    </row>
    <row r="62" spans="3:61" outlineLevel="1" x14ac:dyDescent="0.3">
      <c r="C62" s="1288"/>
      <c r="D62" s="1288"/>
      <c r="E62" s="1288"/>
      <c r="F62" s="1288"/>
      <c r="G62" s="1288"/>
      <c r="H62" s="1288" t="s">
        <v>1029</v>
      </c>
      <c r="I62" s="1288"/>
      <c r="J62" s="1289">
        <f t="shared" ref="J62:AV62" si="13">ROUND(SUM(J59:J61),5)</f>
        <v>2340.48</v>
      </c>
      <c r="K62" s="1289">
        <f t="shared" si="13"/>
        <v>3294.48</v>
      </c>
      <c r="L62" s="1289">
        <f t="shared" si="13"/>
        <v>2340.48</v>
      </c>
      <c r="M62" s="1289">
        <f t="shared" si="13"/>
        <v>2340.48</v>
      </c>
      <c r="N62" s="1289">
        <f t="shared" si="13"/>
        <v>3140.48</v>
      </c>
      <c r="O62" s="1289">
        <f t="shared" si="13"/>
        <v>2340.48</v>
      </c>
      <c r="P62" s="1289">
        <f t="shared" si="13"/>
        <v>2340.48</v>
      </c>
      <c r="Q62" s="1289">
        <f t="shared" si="13"/>
        <v>2340.48</v>
      </c>
      <c r="R62" s="1289">
        <f t="shared" si="13"/>
        <v>2340.48</v>
      </c>
      <c r="S62" s="1289">
        <f t="shared" si="13"/>
        <v>2340.48</v>
      </c>
      <c r="T62" s="1289">
        <f t="shared" si="13"/>
        <v>2340.48</v>
      </c>
      <c r="U62" s="1289">
        <f t="shared" si="13"/>
        <v>-812.9</v>
      </c>
      <c r="V62" s="1289">
        <f t="shared" si="13"/>
        <v>2077.6999999999998</v>
      </c>
      <c r="W62" s="1289">
        <f t="shared" si="13"/>
        <v>3790.7</v>
      </c>
      <c r="X62" s="1289">
        <f t="shared" si="13"/>
        <v>2077.6999999999998</v>
      </c>
      <c r="Y62" s="1289">
        <f t="shared" si="13"/>
        <v>2877.7</v>
      </c>
      <c r="Z62" s="1289">
        <f t="shared" si="13"/>
        <v>2077.6999999999998</v>
      </c>
      <c r="AA62" s="1289">
        <f t="shared" si="13"/>
        <v>2077.6999999999998</v>
      </c>
      <c r="AB62" s="1289">
        <f t="shared" si="13"/>
        <v>2077.6999999999998</v>
      </c>
      <c r="AC62" s="1289">
        <f t="shared" si="13"/>
        <v>2077.6999999999998</v>
      </c>
      <c r="AD62" s="1289">
        <f t="shared" si="13"/>
        <v>2077.6999999999998</v>
      </c>
      <c r="AE62" s="1289">
        <f t="shared" si="13"/>
        <v>2077.6999999999998</v>
      </c>
      <c r="AF62" s="1289">
        <f t="shared" si="13"/>
        <v>3809.7</v>
      </c>
      <c r="AG62" s="1289">
        <f t="shared" si="13"/>
        <v>2077.6999999999998</v>
      </c>
      <c r="AH62" s="1289">
        <f t="shared" si="13"/>
        <v>2160.54</v>
      </c>
      <c r="AI62" s="1289">
        <f t="shared" si="13"/>
        <v>3439.54</v>
      </c>
      <c r="AJ62" s="1289">
        <f t="shared" si="13"/>
        <v>2160.54</v>
      </c>
      <c r="AK62" s="1289">
        <f t="shared" si="13"/>
        <v>2160.54</v>
      </c>
      <c r="AL62" s="1289">
        <f t="shared" si="13"/>
        <v>4260.54</v>
      </c>
      <c r="AM62" s="1289">
        <f t="shared" si="13"/>
        <v>2160.54</v>
      </c>
      <c r="AN62" s="1289">
        <f t="shared" si="13"/>
        <v>2160.54</v>
      </c>
      <c r="AO62" s="1289">
        <f t="shared" si="13"/>
        <v>2160.54</v>
      </c>
      <c r="AP62" s="1289">
        <f t="shared" si="13"/>
        <v>2160.54</v>
      </c>
      <c r="AQ62" s="1289">
        <f t="shared" si="13"/>
        <v>2160.54</v>
      </c>
      <c r="AR62" s="1289">
        <f t="shared" si="13"/>
        <v>4360.8900000000003</v>
      </c>
      <c r="AS62" s="1289">
        <f t="shared" si="13"/>
        <v>1564.2</v>
      </c>
      <c r="AT62" s="1289">
        <f t="shared" si="13"/>
        <v>2160.54</v>
      </c>
      <c r="AU62" s="1289">
        <f t="shared" si="13"/>
        <v>3259.54</v>
      </c>
      <c r="AV62" s="1289">
        <f t="shared" si="13"/>
        <v>2160.54</v>
      </c>
      <c r="AW62" s="1295">
        <f>ROUND(SUM(AW59:AW61),5)</f>
        <v>2160.54</v>
      </c>
      <c r="AX62" s="1295">
        <f>ROUND(SUM(AX59:AX61),5)</f>
        <v>4260.54</v>
      </c>
      <c r="AY62" s="1295"/>
      <c r="AZ62" s="1295">
        <f>ROUND(SUM(AZ59:AZ60),5)</f>
        <v>1937.13</v>
      </c>
      <c r="BA62" s="1295">
        <f>ROUND(SUM(BA59:BA61),5)</f>
        <v>1937.13</v>
      </c>
      <c r="BB62" s="1295">
        <f>ROUND(SUM(BB59:BB61),5)</f>
        <v>1937.13</v>
      </c>
      <c r="BC62" s="1289">
        <f>ROUND(SUM(BC59:BC60),5)</f>
        <v>1937.13</v>
      </c>
      <c r="BD62" s="1289">
        <f>ROUND(SUM(BD59:BD60),5)</f>
        <v>1937.13</v>
      </c>
      <c r="BE62" s="1295"/>
      <c r="BF62" s="1295"/>
      <c r="BG62" s="1295"/>
      <c r="BH62" s="1295"/>
      <c r="BI62" s="1295"/>
    </row>
    <row r="63" spans="3:61" outlineLevel="1" x14ac:dyDescent="0.3">
      <c r="C63" s="1288"/>
      <c r="D63" s="1288"/>
      <c r="E63" s="1288"/>
      <c r="F63" s="1288"/>
      <c r="G63" s="1288"/>
      <c r="H63" s="1288" t="s">
        <v>1030</v>
      </c>
      <c r="I63" s="1288"/>
      <c r="J63" s="1289">
        <v>1750.5</v>
      </c>
      <c r="K63" s="1289">
        <v>1711.72</v>
      </c>
      <c r="L63" s="1289">
        <v>954.91</v>
      </c>
      <c r="M63" s="1289">
        <v>888.5</v>
      </c>
      <c r="N63" s="1289">
        <v>1451.55</v>
      </c>
      <c r="O63" s="1289">
        <v>2025.78</v>
      </c>
      <c r="P63" s="1289">
        <v>1495.32</v>
      </c>
      <c r="Q63" s="1289">
        <v>1491.44</v>
      </c>
      <c r="R63" s="1289">
        <v>1501.36</v>
      </c>
      <c r="S63" s="1289">
        <v>1454.41</v>
      </c>
      <c r="T63" s="1289">
        <v>402.44</v>
      </c>
      <c r="U63" s="1289">
        <v>1403.66</v>
      </c>
      <c r="V63" s="1289">
        <v>1313.74</v>
      </c>
      <c r="W63" s="1289">
        <v>2093.48</v>
      </c>
      <c r="X63" s="1289">
        <v>1458.58</v>
      </c>
      <c r="Y63" s="1289">
        <v>1771.99</v>
      </c>
      <c r="Z63" s="1289">
        <v>1301.5</v>
      </c>
      <c r="AA63" s="1289">
        <v>1298.22</v>
      </c>
      <c r="AB63" s="1289">
        <v>1291.6400000000001</v>
      </c>
      <c r="AC63" s="1289">
        <v>1306.3399999999999</v>
      </c>
      <c r="AD63" s="1289">
        <v>1494.43</v>
      </c>
      <c r="AE63" s="1289">
        <v>1611.1</v>
      </c>
      <c r="AF63" s="1289">
        <v>2492.84</v>
      </c>
      <c r="AG63" s="1289">
        <v>1358.3</v>
      </c>
      <c r="AH63" s="1289">
        <v>1583.24</v>
      </c>
      <c r="AI63" s="1289">
        <v>1218.49</v>
      </c>
      <c r="AJ63" s="1289">
        <v>1456.12</v>
      </c>
      <c r="AK63" s="1289">
        <v>1407.95</v>
      </c>
      <c r="AL63" s="1289">
        <v>1429.5</v>
      </c>
      <c r="AM63" s="1289">
        <v>1056.08</v>
      </c>
      <c r="AN63" s="1289">
        <v>1026.92</v>
      </c>
      <c r="AO63" s="1289">
        <v>1035.8599999999999</v>
      </c>
      <c r="AP63" s="1289">
        <v>1044.33</v>
      </c>
      <c r="AQ63" s="1289">
        <v>1036.94</v>
      </c>
      <c r="AR63" s="1289">
        <v>1029.8499999999999</v>
      </c>
      <c r="AS63" s="1289">
        <v>1016.19</v>
      </c>
      <c r="AT63" s="1289">
        <v>1295.3900000000001</v>
      </c>
      <c r="AU63" s="1289">
        <v>1035.5999999999999</v>
      </c>
      <c r="AV63" s="1289">
        <v>908.38</v>
      </c>
      <c r="AW63" s="1295">
        <v>1194.31</v>
      </c>
      <c r="AX63" s="1295">
        <v>1465.12</v>
      </c>
      <c r="AY63" s="1295"/>
      <c r="AZ63" s="1295">
        <v>829.59</v>
      </c>
      <c r="BA63" s="1295">
        <v>866.12</v>
      </c>
      <c r="BB63" s="1295">
        <v>1064.0899999999999</v>
      </c>
      <c r="BC63" s="1289">
        <v>965.79</v>
      </c>
      <c r="BD63" s="1289">
        <v>1156.1099999999999</v>
      </c>
      <c r="BE63" s="1295"/>
      <c r="BF63" s="1295"/>
      <c r="BG63" s="1295"/>
      <c r="BH63" s="1295"/>
      <c r="BI63" s="1295"/>
    </row>
    <row r="64" spans="3:61" outlineLevel="1" x14ac:dyDescent="0.3">
      <c r="C64" s="1288"/>
      <c r="D64" s="1288"/>
      <c r="E64" s="1288"/>
      <c r="F64" s="1288"/>
      <c r="G64" s="1288"/>
      <c r="H64" s="1288" t="s">
        <v>1031</v>
      </c>
      <c r="I64" s="1288"/>
      <c r="J64" s="1289">
        <v>1270.0999999999999</v>
      </c>
      <c r="K64" s="1289">
        <v>4518.03</v>
      </c>
      <c r="L64" s="1289">
        <v>956.14</v>
      </c>
      <c r="M64" s="1289">
        <v>-163.11000000000001</v>
      </c>
      <c r="N64" s="1289">
        <v>0</v>
      </c>
      <c r="O64" s="1289">
        <v>2362.54</v>
      </c>
      <c r="P64" s="1289">
        <v>567.36</v>
      </c>
      <c r="Q64" s="1289">
        <v>0</v>
      </c>
      <c r="R64" s="1289">
        <v>1308.8599999999999</v>
      </c>
      <c r="S64" s="1289">
        <v>93.9</v>
      </c>
      <c r="T64" s="1289">
        <v>0</v>
      </c>
      <c r="U64" s="1289">
        <v>642.76</v>
      </c>
      <c r="V64" s="1289">
        <v>0</v>
      </c>
      <c r="W64" s="1289">
        <v>0</v>
      </c>
      <c r="X64" s="1289">
        <v>0</v>
      </c>
      <c r="Y64" s="1289">
        <v>469.86</v>
      </c>
      <c r="Z64" s="1289">
        <v>0</v>
      </c>
      <c r="AA64" s="1289">
        <v>1469.88</v>
      </c>
      <c r="AB64" s="1289">
        <v>0</v>
      </c>
      <c r="AC64" s="1289">
        <v>3108.98</v>
      </c>
      <c r="AD64" s="1289">
        <v>1872.66</v>
      </c>
      <c r="AE64" s="1289">
        <v>6613.81</v>
      </c>
      <c r="AF64" s="1289">
        <v>670.74</v>
      </c>
      <c r="AG64" s="1289">
        <v>0</v>
      </c>
      <c r="AH64" s="1289">
        <v>0</v>
      </c>
      <c r="AI64" s="1289">
        <v>0</v>
      </c>
      <c r="AJ64" s="1289">
        <v>1097.42</v>
      </c>
      <c r="AK64" s="1289">
        <v>1200.95</v>
      </c>
      <c r="AL64" s="1289">
        <v>121.43</v>
      </c>
      <c r="AM64" s="1289">
        <v>220.13</v>
      </c>
      <c r="AN64" s="1289">
        <v>0</v>
      </c>
      <c r="AO64" s="1289">
        <v>0</v>
      </c>
      <c r="AP64" s="1289">
        <v>0</v>
      </c>
      <c r="AQ64" s="1289">
        <v>2313.19</v>
      </c>
      <c r="AR64" s="1289">
        <v>3514.72</v>
      </c>
      <c r="AS64" s="1289">
        <v>623.08000000000004</v>
      </c>
      <c r="AT64" s="1289">
        <v>-53.15</v>
      </c>
      <c r="AU64" s="1289">
        <v>629.91999999999996</v>
      </c>
      <c r="AV64" s="1289">
        <v>1263.1300000000001</v>
      </c>
      <c r="AW64" s="1295">
        <v>3162.84</v>
      </c>
      <c r="AX64" s="1295">
        <v>3041.94</v>
      </c>
      <c r="AY64" s="1295"/>
      <c r="AZ64" s="1295"/>
      <c r="BA64" s="1295">
        <v>1690.36</v>
      </c>
      <c r="BB64" s="1295">
        <v>732.96</v>
      </c>
      <c r="BC64" s="1289">
        <v>14288.04</v>
      </c>
      <c r="BD64" s="1289">
        <v>-550</v>
      </c>
      <c r="BE64" s="1295"/>
      <c r="BF64" s="1295"/>
      <c r="BG64" s="1295"/>
      <c r="BH64" s="1295"/>
      <c r="BI64" s="1295"/>
    </row>
    <row r="65" spans="3:61" outlineLevel="1" x14ac:dyDescent="0.3">
      <c r="C65" s="1288"/>
      <c r="D65" s="1288"/>
      <c r="E65" s="1288"/>
      <c r="F65" s="1288"/>
      <c r="G65" s="1288"/>
      <c r="H65" s="1288" t="s">
        <v>1032</v>
      </c>
      <c r="I65" s="1288"/>
      <c r="J65" s="1289">
        <v>2437.89</v>
      </c>
      <c r="K65" s="1289">
        <v>2021.52</v>
      </c>
      <c r="L65" s="1289">
        <v>2318.86</v>
      </c>
      <c r="M65" s="1289">
        <v>2069.0700000000002</v>
      </c>
      <c r="N65" s="1289">
        <v>2069.0700000000002</v>
      </c>
      <c r="O65" s="1289">
        <v>2512.86</v>
      </c>
      <c r="P65" s="1289">
        <v>2119.11</v>
      </c>
      <c r="Q65" s="1289">
        <v>2494.46</v>
      </c>
      <c r="R65" s="1289">
        <v>2643.47</v>
      </c>
      <c r="S65" s="1289">
        <v>2200.52</v>
      </c>
      <c r="T65" s="1289">
        <v>2392.91</v>
      </c>
      <c r="U65" s="1289">
        <v>3116.42</v>
      </c>
      <c r="V65" s="1289">
        <v>1924.75</v>
      </c>
      <c r="W65" s="1289">
        <v>2080.6999999999998</v>
      </c>
      <c r="X65" s="1289">
        <v>2070.64</v>
      </c>
      <c r="Y65" s="1289">
        <v>2338.16</v>
      </c>
      <c r="Z65" s="1289">
        <v>1986.61</v>
      </c>
      <c r="AA65" s="1289">
        <v>2411.0300000000002</v>
      </c>
      <c r="AB65" s="1289">
        <v>3186.91</v>
      </c>
      <c r="AC65" s="1289">
        <v>2464.87</v>
      </c>
      <c r="AD65" s="1289">
        <v>1916.09</v>
      </c>
      <c r="AE65" s="1289">
        <v>1766.75</v>
      </c>
      <c r="AF65" s="1289">
        <v>2241.86</v>
      </c>
      <c r="AG65" s="1289">
        <v>1972.74</v>
      </c>
      <c r="AH65" s="1289">
        <v>2092.91</v>
      </c>
      <c r="AI65" s="1289">
        <v>2276.86</v>
      </c>
      <c r="AJ65" s="1289">
        <v>2496.15</v>
      </c>
      <c r="AK65" s="1289">
        <v>2835.7</v>
      </c>
      <c r="AL65" s="1289">
        <v>2030.6</v>
      </c>
      <c r="AM65" s="1289">
        <v>2751.78</v>
      </c>
      <c r="AN65" s="1289">
        <v>2200.9699999999998</v>
      </c>
      <c r="AO65" s="1289">
        <v>2785.4</v>
      </c>
      <c r="AP65" s="1289">
        <v>2651.19</v>
      </c>
      <c r="AQ65" s="1289">
        <v>2270.69</v>
      </c>
      <c r="AR65" s="1289">
        <v>2796.85</v>
      </c>
      <c r="AS65" s="1289">
        <v>2532.2600000000002</v>
      </c>
      <c r="AT65" s="1289">
        <v>2779.01</v>
      </c>
      <c r="AU65" s="1289">
        <v>2549.66</v>
      </c>
      <c r="AV65" s="1289">
        <v>2357.54</v>
      </c>
      <c r="AW65" s="1295">
        <v>2336.54</v>
      </c>
      <c r="AX65" s="1295">
        <v>1815.69</v>
      </c>
      <c r="AY65" s="1295"/>
      <c r="AZ65" s="1295">
        <v>2874.28</v>
      </c>
      <c r="BA65" s="1295">
        <v>2550.92</v>
      </c>
      <c r="BB65" s="1295">
        <v>3104.94</v>
      </c>
      <c r="BC65" s="1289">
        <v>2465.6</v>
      </c>
      <c r="BD65" s="1289">
        <v>3108.23</v>
      </c>
      <c r="BE65" s="1295"/>
      <c r="BF65" s="1295"/>
      <c r="BG65" s="1295"/>
      <c r="BH65" s="1295"/>
      <c r="BI65" s="1295"/>
    </row>
    <row r="66" spans="3:61" outlineLevel="1" x14ac:dyDescent="0.3">
      <c r="C66" s="1288"/>
      <c r="D66" s="1288"/>
      <c r="E66" s="1288"/>
      <c r="F66" s="1288"/>
      <c r="G66" s="1288"/>
      <c r="H66" s="1288" t="s">
        <v>1232</v>
      </c>
      <c r="I66" s="1288"/>
      <c r="J66" s="1289"/>
      <c r="K66" s="1289"/>
      <c r="L66" s="1289"/>
      <c r="M66" s="1289"/>
      <c r="N66" s="1289"/>
      <c r="O66" s="1289"/>
      <c r="P66" s="1289"/>
      <c r="Q66" s="1289"/>
      <c r="R66" s="1289"/>
      <c r="S66" s="1289"/>
      <c r="T66" s="1289"/>
      <c r="U66" s="1289"/>
      <c r="V66" s="1289"/>
      <c r="W66" s="1289"/>
      <c r="X66" s="1289"/>
      <c r="Y66" s="1289"/>
      <c r="Z66" s="1289"/>
      <c r="AA66" s="1289"/>
      <c r="AB66" s="1289"/>
      <c r="AC66" s="1289"/>
      <c r="AD66" s="1289"/>
      <c r="AE66" s="1289"/>
      <c r="AF66" s="1289"/>
      <c r="AG66" s="1289"/>
      <c r="AH66" s="1289"/>
      <c r="AI66" s="1289"/>
      <c r="AJ66" s="1289"/>
      <c r="AK66" s="1289"/>
      <c r="AL66" s="1289"/>
      <c r="AM66" s="1289"/>
      <c r="AN66" s="1289"/>
      <c r="AO66" s="1289"/>
      <c r="AP66" s="1289"/>
      <c r="AQ66" s="1289"/>
      <c r="AR66" s="1289"/>
      <c r="AS66" s="1289"/>
      <c r="AT66" s="1289"/>
      <c r="AU66" s="1289"/>
      <c r="AV66" s="1289"/>
      <c r="AW66" s="1295"/>
      <c r="AX66" s="1295"/>
      <c r="AY66" s="1295"/>
      <c r="AZ66" s="1295">
        <v>21000</v>
      </c>
      <c r="BA66" s="1295">
        <v>21000</v>
      </c>
      <c r="BB66" s="1295">
        <v>21000</v>
      </c>
      <c r="BC66" s="1289">
        <v>21000</v>
      </c>
      <c r="BD66" s="1289">
        <v>21000</v>
      </c>
      <c r="BE66" s="1295"/>
      <c r="BF66" s="1295"/>
      <c r="BG66" s="1295"/>
      <c r="BH66" s="1295"/>
      <c r="BI66" s="1295"/>
    </row>
    <row r="67" spans="3:61" outlineLevel="1" x14ac:dyDescent="0.3">
      <c r="C67" s="1288"/>
      <c r="D67" s="1288"/>
      <c r="E67" s="1288"/>
      <c r="F67" s="1288"/>
      <c r="G67" s="1288"/>
      <c r="H67" s="1288" t="s">
        <v>1033</v>
      </c>
      <c r="I67" s="1288"/>
      <c r="J67" s="1289">
        <v>5587.28</v>
      </c>
      <c r="K67" s="1289">
        <v>3379.11</v>
      </c>
      <c r="L67" s="1289">
        <v>5409.48</v>
      </c>
      <c r="M67" s="1289">
        <v>3623.62</v>
      </c>
      <c r="N67" s="1289">
        <v>6.87</v>
      </c>
      <c r="O67" s="1289">
        <v>1707.1</v>
      </c>
      <c r="P67" s="1289">
        <v>1990.98</v>
      </c>
      <c r="Q67" s="1289">
        <v>2364.98</v>
      </c>
      <c r="R67" s="1289">
        <v>2322.14</v>
      </c>
      <c r="S67" s="1289">
        <v>3145.37</v>
      </c>
      <c r="T67" s="1289">
        <v>1750.98</v>
      </c>
      <c r="U67" s="1289">
        <v>5288.09</v>
      </c>
      <c r="V67" s="1289">
        <v>6861.15</v>
      </c>
      <c r="W67" s="1289">
        <v>5773.81</v>
      </c>
      <c r="X67" s="1289">
        <v>4768.38</v>
      </c>
      <c r="Y67" s="1289">
        <v>2321.4299999999998</v>
      </c>
      <c r="Z67" s="1289">
        <v>1897.89</v>
      </c>
      <c r="AA67" s="1289">
        <v>2023.5</v>
      </c>
      <c r="AB67" s="1289">
        <v>2262.5</v>
      </c>
      <c r="AC67" s="1289">
        <v>2320.7800000000002</v>
      </c>
      <c r="AD67" s="1289">
        <v>2518.38</v>
      </c>
      <c r="AE67" s="1289">
        <v>2001.5</v>
      </c>
      <c r="AF67" s="1289">
        <v>4915.1000000000004</v>
      </c>
      <c r="AG67" s="1289">
        <v>5016.4399999999996</v>
      </c>
      <c r="AH67" s="1289">
        <v>7690.91</v>
      </c>
      <c r="AI67" s="1289">
        <v>7348.1</v>
      </c>
      <c r="AJ67" s="1289">
        <v>4058.78</v>
      </c>
      <c r="AK67" s="1289">
        <v>4608.76</v>
      </c>
      <c r="AL67" s="1289">
        <v>421.02</v>
      </c>
      <c r="AM67" s="1289">
        <v>2116.7399999999998</v>
      </c>
      <c r="AN67" s="1289">
        <v>2578.2600000000002</v>
      </c>
      <c r="AO67" s="1289">
        <v>2424.1799999999998</v>
      </c>
      <c r="AP67" s="1289">
        <v>2385.2600000000002</v>
      </c>
      <c r="AQ67" s="1289">
        <v>2374.08</v>
      </c>
      <c r="AR67" s="1289">
        <v>4319.93</v>
      </c>
      <c r="AS67" s="1289">
        <v>7181.89</v>
      </c>
      <c r="AT67" s="1289">
        <v>7977.48</v>
      </c>
      <c r="AU67" s="1289">
        <v>6942.67</v>
      </c>
      <c r="AV67" s="1289">
        <v>2252.38</v>
      </c>
      <c r="AW67" s="1295">
        <v>4057.56</v>
      </c>
      <c r="AX67" s="1295">
        <v>-445.27</v>
      </c>
      <c r="AY67" s="1295"/>
      <c r="AZ67" s="1295">
        <v>2147.02</v>
      </c>
      <c r="BA67" s="1295">
        <v>2341.38</v>
      </c>
      <c r="BB67" s="1295">
        <v>2535.6799999999998</v>
      </c>
      <c r="BC67" s="1289">
        <v>2187.86</v>
      </c>
      <c r="BD67" s="1289">
        <v>1902.98</v>
      </c>
      <c r="BE67" s="1295"/>
      <c r="BF67" s="1295"/>
      <c r="BG67" s="1295"/>
      <c r="BH67" s="1295"/>
      <c r="BI67" s="1295"/>
    </row>
    <row r="68" spans="3:61" outlineLevel="1" x14ac:dyDescent="0.3">
      <c r="C68" s="1288"/>
      <c r="D68" s="1288"/>
      <c r="E68" s="1288"/>
      <c r="F68" s="1288"/>
      <c r="G68" s="1288"/>
      <c r="H68" s="1288" t="s">
        <v>1034</v>
      </c>
      <c r="I68" s="1288"/>
      <c r="J68" s="1289">
        <v>1151.6099999999999</v>
      </c>
      <c r="K68" s="1289">
        <v>359.72</v>
      </c>
      <c r="L68" s="1289">
        <v>1347.66</v>
      </c>
      <c r="M68" s="1289">
        <v>4394</v>
      </c>
      <c r="N68" s="1289">
        <v>-5280.32</v>
      </c>
      <c r="O68" s="1289">
        <v>272.62</v>
      </c>
      <c r="P68" s="1289">
        <v>1508.48</v>
      </c>
      <c r="Q68" s="1289">
        <v>352.9</v>
      </c>
      <c r="R68" s="1289">
        <v>65.92</v>
      </c>
      <c r="S68" s="1289">
        <v>228.42</v>
      </c>
      <c r="T68" s="1289">
        <v>188.56</v>
      </c>
      <c r="U68" s="1289">
        <v>-3212.79</v>
      </c>
      <c r="V68" s="1289">
        <v>2161.6799999999998</v>
      </c>
      <c r="W68" s="1289">
        <v>-30.81</v>
      </c>
      <c r="X68" s="1289">
        <v>1445.23</v>
      </c>
      <c r="Y68" s="1289">
        <v>253.57</v>
      </c>
      <c r="Z68" s="1289">
        <v>635.19000000000005</v>
      </c>
      <c r="AA68" s="1289">
        <v>749.53</v>
      </c>
      <c r="AB68" s="1289">
        <v>527.66999999999996</v>
      </c>
      <c r="AC68" s="1289">
        <v>99.48</v>
      </c>
      <c r="AD68" s="1289">
        <v>437.77</v>
      </c>
      <c r="AE68" s="1289">
        <v>2426.63</v>
      </c>
      <c r="AF68" s="1289">
        <v>371.74</v>
      </c>
      <c r="AG68" s="1289">
        <v>3769.07</v>
      </c>
      <c r="AH68" s="1289">
        <v>1596.89</v>
      </c>
      <c r="AI68" s="1289">
        <v>928.48</v>
      </c>
      <c r="AJ68" s="1289">
        <v>1326.18</v>
      </c>
      <c r="AK68" s="1289">
        <v>-54.84</v>
      </c>
      <c r="AL68" s="1289">
        <v>681.84</v>
      </c>
      <c r="AM68" s="1289">
        <v>1062.72</v>
      </c>
      <c r="AN68" s="1289">
        <v>294</v>
      </c>
      <c r="AO68" s="1289">
        <v>1392.89</v>
      </c>
      <c r="AP68" s="1289">
        <v>53.94</v>
      </c>
      <c r="AQ68" s="1289">
        <v>150.30000000000001</v>
      </c>
      <c r="AR68" s="1289">
        <v>450.71</v>
      </c>
      <c r="AS68" s="1289">
        <v>1389.8</v>
      </c>
      <c r="AT68" s="1289">
        <v>314.17</v>
      </c>
      <c r="AU68" s="1289">
        <v>93.16</v>
      </c>
      <c r="AV68" s="1289">
        <v>590.36</v>
      </c>
      <c r="AW68" s="1295">
        <v>-133.02000000000001</v>
      </c>
      <c r="AX68" s="1295">
        <v>1771.87</v>
      </c>
      <c r="AY68" s="1295"/>
      <c r="AZ68" s="1295">
        <v>285.27</v>
      </c>
      <c r="BA68" s="1295">
        <v>29.02</v>
      </c>
      <c r="BB68" s="1295">
        <v>598.05999999999995</v>
      </c>
      <c r="BC68" s="1289">
        <v>617.29</v>
      </c>
      <c r="BD68" s="1289">
        <v>106.62</v>
      </c>
      <c r="BE68" s="1295"/>
      <c r="BF68" s="1295"/>
      <c r="BG68" s="1295"/>
      <c r="BH68" s="1295"/>
      <c r="BI68" s="1295"/>
    </row>
    <row r="69" spans="3:61" outlineLevel="1" x14ac:dyDescent="0.3">
      <c r="C69" s="1288"/>
      <c r="D69" s="1288"/>
      <c r="E69" s="1288"/>
      <c r="F69" s="1288"/>
      <c r="G69" s="1288"/>
      <c r="H69" s="1288" t="s">
        <v>1035</v>
      </c>
      <c r="I69" s="1288"/>
      <c r="J69" s="1289">
        <v>0</v>
      </c>
      <c r="K69" s="1289">
        <v>0</v>
      </c>
      <c r="L69" s="1289">
        <v>0</v>
      </c>
      <c r="M69" s="1289">
        <v>0</v>
      </c>
      <c r="N69" s="1289">
        <v>0</v>
      </c>
      <c r="O69" s="1289">
        <v>0</v>
      </c>
      <c r="P69" s="1289">
        <v>0</v>
      </c>
      <c r="Q69" s="1289">
        <v>0</v>
      </c>
      <c r="R69" s="1289">
        <v>0</v>
      </c>
      <c r="S69" s="1289">
        <v>0</v>
      </c>
      <c r="T69" s="1289">
        <v>0</v>
      </c>
      <c r="U69" s="1289">
        <v>46368.13</v>
      </c>
      <c r="V69" s="1289">
        <v>0</v>
      </c>
      <c r="W69" s="1289">
        <v>0</v>
      </c>
      <c r="X69" s="1289">
        <v>0</v>
      </c>
      <c r="Y69" s="1289">
        <v>0</v>
      </c>
      <c r="Z69" s="1289">
        <v>0</v>
      </c>
      <c r="AA69" s="1289">
        <v>0</v>
      </c>
      <c r="AB69" s="1289">
        <v>0</v>
      </c>
      <c r="AC69" s="1289">
        <v>0</v>
      </c>
      <c r="AD69" s="1289">
        <v>0</v>
      </c>
      <c r="AE69" s="1289">
        <v>3972</v>
      </c>
      <c r="AF69" s="1289">
        <v>3972</v>
      </c>
      <c r="AG69" s="1289">
        <v>11993.36</v>
      </c>
      <c r="AH69" s="1289">
        <v>0</v>
      </c>
      <c r="AI69" s="1289">
        <v>0</v>
      </c>
      <c r="AJ69" s="1289">
        <v>0</v>
      </c>
      <c r="AK69" s="1289">
        <v>0</v>
      </c>
      <c r="AL69" s="1289">
        <v>0</v>
      </c>
      <c r="AM69" s="1289">
        <v>0</v>
      </c>
      <c r="AN69" s="1289">
        <v>0</v>
      </c>
      <c r="AO69" s="1289">
        <v>0</v>
      </c>
      <c r="AP69" s="1289">
        <v>0</v>
      </c>
      <c r="AQ69" s="1289">
        <v>0</v>
      </c>
      <c r="AR69" s="1289">
        <v>0</v>
      </c>
      <c r="AS69" s="1289">
        <v>33301.910000000003</v>
      </c>
      <c r="AT69" s="1289">
        <v>0</v>
      </c>
      <c r="AU69" s="1289">
        <v>0</v>
      </c>
      <c r="AV69" s="1289">
        <v>0</v>
      </c>
      <c r="AW69" s="1295">
        <v>0</v>
      </c>
      <c r="AX69" s="1295">
        <v>0</v>
      </c>
      <c r="AY69" s="1295"/>
      <c r="AZ69" s="1295"/>
      <c r="BA69" s="1295"/>
      <c r="BB69" s="1295"/>
      <c r="BC69" s="1289"/>
      <c r="BD69" s="1289"/>
      <c r="BE69" s="1295">
        <f>'All Statements'!$AJ$183/5/12</f>
        <v>0</v>
      </c>
      <c r="BF69" s="1295">
        <f>'All Statements'!$AJ$183/5/12</f>
        <v>0</v>
      </c>
      <c r="BG69" s="1295">
        <f>'All Statements'!$AJ$183/5/12</f>
        <v>0</v>
      </c>
      <c r="BH69" s="1295">
        <f>'All Statements'!$AJ$183/5/12</f>
        <v>0</v>
      </c>
      <c r="BI69" s="1295">
        <f>'All Statements'!$AJ$183/5/12</f>
        <v>0</v>
      </c>
    </row>
    <row r="70" spans="3:61" outlineLevel="1" x14ac:dyDescent="0.3">
      <c r="C70" s="1288"/>
      <c r="D70" s="1288"/>
      <c r="E70" s="1288"/>
      <c r="F70" s="1288"/>
      <c r="G70" s="1288"/>
      <c r="H70" s="1288" t="s">
        <v>1036</v>
      </c>
      <c r="I70" s="1288"/>
      <c r="J70" s="1289">
        <v>56</v>
      </c>
      <c r="K70" s="1289">
        <v>56</v>
      </c>
      <c r="L70" s="1289">
        <v>56</v>
      </c>
      <c r="M70" s="1289">
        <v>56</v>
      </c>
      <c r="N70" s="1289">
        <v>56</v>
      </c>
      <c r="O70" s="1289">
        <v>56</v>
      </c>
      <c r="P70" s="1289">
        <v>56</v>
      </c>
      <c r="Q70" s="1289">
        <v>56</v>
      </c>
      <c r="R70" s="1289">
        <v>56</v>
      </c>
      <c r="S70" s="1289">
        <v>56</v>
      </c>
      <c r="T70" s="1289">
        <v>56</v>
      </c>
      <c r="U70" s="1289">
        <v>10</v>
      </c>
      <c r="V70" s="1289">
        <v>56</v>
      </c>
      <c r="W70" s="1289">
        <v>56</v>
      </c>
      <c r="X70" s="1289">
        <v>56</v>
      </c>
      <c r="Y70" s="1289">
        <v>56</v>
      </c>
      <c r="Z70" s="1289">
        <v>56</v>
      </c>
      <c r="AA70" s="1289">
        <v>56</v>
      </c>
      <c r="AB70" s="1289">
        <v>56</v>
      </c>
      <c r="AC70" s="1289">
        <v>56</v>
      </c>
      <c r="AD70" s="1289">
        <v>56</v>
      </c>
      <c r="AE70" s="1289">
        <v>56</v>
      </c>
      <c r="AF70" s="1289">
        <v>56</v>
      </c>
      <c r="AG70" s="1289">
        <v>56</v>
      </c>
      <c r="AH70" s="1289">
        <v>56</v>
      </c>
      <c r="AI70" s="1289">
        <v>56</v>
      </c>
      <c r="AJ70" s="1289">
        <v>56</v>
      </c>
      <c r="AK70" s="1289">
        <v>56</v>
      </c>
      <c r="AL70" s="1289">
        <v>56</v>
      </c>
      <c r="AM70" s="1289">
        <v>56</v>
      </c>
      <c r="AN70" s="1289">
        <v>56</v>
      </c>
      <c r="AO70" s="1289">
        <v>56</v>
      </c>
      <c r="AP70" s="1289">
        <v>56</v>
      </c>
      <c r="AQ70" s="1289">
        <v>56</v>
      </c>
      <c r="AR70" s="1289">
        <v>56</v>
      </c>
      <c r="AS70" s="1289">
        <v>9.9</v>
      </c>
      <c r="AT70" s="1289">
        <v>56</v>
      </c>
      <c r="AU70" s="1289">
        <v>56</v>
      </c>
      <c r="AV70" s="1289">
        <v>56</v>
      </c>
      <c r="AW70" s="1295">
        <v>56</v>
      </c>
      <c r="AX70" s="1295">
        <v>56</v>
      </c>
      <c r="AY70" s="1295"/>
      <c r="AZ70" s="1295"/>
      <c r="BA70" s="1295">
        <v>0</v>
      </c>
      <c r="BB70" s="1295">
        <v>0</v>
      </c>
      <c r="BC70" s="1289"/>
      <c r="BD70" s="1289">
        <v>0</v>
      </c>
      <c r="BE70" s="1295"/>
      <c r="BF70" s="1295"/>
      <c r="BG70" s="1295"/>
      <c r="BH70" s="1295"/>
      <c r="BI70" s="1295"/>
    </row>
    <row r="71" spans="3:61" ht="15" outlineLevel="1" thickBot="1" x14ac:dyDescent="0.35">
      <c r="C71" s="1288"/>
      <c r="D71" s="1288"/>
      <c r="E71" s="1288"/>
      <c r="F71" s="1288"/>
      <c r="G71" s="1288"/>
      <c r="H71" s="1288" t="s">
        <v>1037</v>
      </c>
      <c r="I71" s="1288"/>
      <c r="J71" s="1290">
        <v>0</v>
      </c>
      <c r="K71" s="1290">
        <v>0</v>
      </c>
      <c r="L71" s="1290">
        <v>0</v>
      </c>
      <c r="M71" s="1290">
        <v>0</v>
      </c>
      <c r="N71" s="1290">
        <v>0</v>
      </c>
      <c r="O71" s="1290">
        <v>0</v>
      </c>
      <c r="P71" s="1290">
        <v>0</v>
      </c>
      <c r="Q71" s="1290">
        <v>0</v>
      </c>
      <c r="R71" s="1290">
        <v>0</v>
      </c>
      <c r="S71" s="1290">
        <v>0</v>
      </c>
      <c r="T71" s="1290">
        <v>0</v>
      </c>
      <c r="U71" s="1290">
        <v>0</v>
      </c>
      <c r="V71" s="1290">
        <v>0</v>
      </c>
      <c r="W71" s="1290">
        <v>0</v>
      </c>
      <c r="X71" s="1290">
        <v>0</v>
      </c>
      <c r="Y71" s="1290">
        <v>0</v>
      </c>
      <c r="Z71" s="1290">
        <v>0</v>
      </c>
      <c r="AA71" s="1290">
        <v>0</v>
      </c>
      <c r="AB71" s="1290">
        <v>0</v>
      </c>
      <c r="AC71" s="1290">
        <v>3320</v>
      </c>
      <c r="AD71" s="1290">
        <v>0</v>
      </c>
      <c r="AE71" s="1290">
        <v>0</v>
      </c>
      <c r="AF71" s="1290">
        <v>0</v>
      </c>
      <c r="AG71" s="1290">
        <v>-3320</v>
      </c>
      <c r="AH71" s="1290">
        <v>0</v>
      </c>
      <c r="AI71" s="1290">
        <v>0</v>
      </c>
      <c r="AJ71" s="1290">
        <v>0</v>
      </c>
      <c r="AK71" s="1290">
        <v>0</v>
      </c>
      <c r="AL71" s="1290">
        <v>0</v>
      </c>
      <c r="AM71" s="1290">
        <v>0</v>
      </c>
      <c r="AN71" s="1290">
        <v>0</v>
      </c>
      <c r="AO71" s="1290">
        <v>0</v>
      </c>
      <c r="AP71" s="1290">
        <v>0</v>
      </c>
      <c r="AQ71" s="1290">
        <v>0</v>
      </c>
      <c r="AR71" s="1290">
        <v>0</v>
      </c>
      <c r="AS71" s="1290">
        <v>0</v>
      </c>
      <c r="AT71" s="1290">
        <v>0</v>
      </c>
      <c r="AU71" s="1290">
        <v>0</v>
      </c>
      <c r="AV71" s="1290">
        <v>0</v>
      </c>
      <c r="AW71" s="1296">
        <v>50</v>
      </c>
      <c r="AX71" s="1296">
        <v>0</v>
      </c>
      <c r="AY71" s="1296"/>
      <c r="AZ71" s="1296"/>
      <c r="BA71" s="1296">
        <v>0</v>
      </c>
      <c r="BB71" s="1296">
        <v>0</v>
      </c>
      <c r="BC71" s="1290"/>
      <c r="BD71" s="1290">
        <v>0</v>
      </c>
      <c r="BE71" s="1296"/>
      <c r="BF71" s="1296"/>
      <c r="BG71" s="1296"/>
      <c r="BH71" s="1296"/>
      <c r="BI71" s="1296"/>
    </row>
    <row r="72" spans="3:61" x14ac:dyDescent="0.3">
      <c r="C72" s="1288"/>
      <c r="D72" s="1288"/>
      <c r="E72" s="1288"/>
      <c r="F72" s="1288"/>
      <c r="G72" s="1288" t="s">
        <v>1038</v>
      </c>
      <c r="H72" s="1288"/>
      <c r="I72" s="1288"/>
      <c r="J72" s="1289">
        <f t="shared" ref="J72:AV72" si="14">ROUND(J15+J21+SUM(J30:J58)+SUM(J62:J71),5)</f>
        <v>186851.96</v>
      </c>
      <c r="K72" s="1289">
        <f t="shared" si="14"/>
        <v>172964.12</v>
      </c>
      <c r="L72" s="1289">
        <f t="shared" si="14"/>
        <v>200054.7</v>
      </c>
      <c r="M72" s="1289">
        <f t="shared" si="14"/>
        <v>178858.02</v>
      </c>
      <c r="N72" s="1289">
        <f t="shared" si="14"/>
        <v>199547.8</v>
      </c>
      <c r="O72" s="1289">
        <f t="shared" si="14"/>
        <v>186457.42</v>
      </c>
      <c r="P72" s="1289">
        <f t="shared" si="14"/>
        <v>182652.32</v>
      </c>
      <c r="Q72" s="1289">
        <f t="shared" si="14"/>
        <v>190923.59</v>
      </c>
      <c r="R72" s="1289">
        <f t="shared" si="14"/>
        <v>190469.77</v>
      </c>
      <c r="S72" s="1289">
        <f t="shared" si="14"/>
        <v>193234.54</v>
      </c>
      <c r="T72" s="1289">
        <f t="shared" si="14"/>
        <v>172037.12</v>
      </c>
      <c r="U72" s="1289">
        <f t="shared" si="14"/>
        <v>78091.990000000005</v>
      </c>
      <c r="V72" s="1289">
        <f t="shared" si="14"/>
        <v>174155.79</v>
      </c>
      <c r="W72" s="1289">
        <f t="shared" si="14"/>
        <v>198445.01</v>
      </c>
      <c r="X72" s="1289">
        <f t="shared" si="14"/>
        <v>218353.24</v>
      </c>
      <c r="Y72" s="1289">
        <f t="shared" si="14"/>
        <v>202259.32</v>
      </c>
      <c r="Z72" s="1289">
        <f t="shared" si="14"/>
        <v>170989.93</v>
      </c>
      <c r="AA72" s="1289">
        <f t="shared" si="14"/>
        <v>194625.37</v>
      </c>
      <c r="AB72" s="1289">
        <f t="shared" si="14"/>
        <v>198386.85</v>
      </c>
      <c r="AC72" s="1289">
        <f t="shared" si="14"/>
        <v>199855.57</v>
      </c>
      <c r="AD72" s="1289">
        <f t="shared" si="14"/>
        <v>170960.27</v>
      </c>
      <c r="AE72" s="1289">
        <f t="shared" si="14"/>
        <v>220577.19</v>
      </c>
      <c r="AF72" s="1289">
        <f t="shared" si="14"/>
        <v>267808.59000000003</v>
      </c>
      <c r="AG72" s="1289">
        <f t="shared" si="14"/>
        <v>119154.61</v>
      </c>
      <c r="AH72" s="1289">
        <f t="shared" si="14"/>
        <v>174589.55</v>
      </c>
      <c r="AI72" s="1289">
        <f t="shared" si="14"/>
        <v>190490.78</v>
      </c>
      <c r="AJ72" s="1289">
        <f t="shared" si="14"/>
        <v>198517.38</v>
      </c>
      <c r="AK72" s="1289">
        <f t="shared" si="14"/>
        <v>198119.29</v>
      </c>
      <c r="AL72" s="1289">
        <f t="shared" si="14"/>
        <v>169038.47</v>
      </c>
      <c r="AM72" s="1289">
        <f t="shared" si="14"/>
        <v>208582.24</v>
      </c>
      <c r="AN72" s="1289">
        <f t="shared" si="14"/>
        <v>194591.21</v>
      </c>
      <c r="AO72" s="1289">
        <f t="shared" si="14"/>
        <v>283784.82</v>
      </c>
      <c r="AP72" s="1289">
        <f t="shared" si="14"/>
        <v>223864.67</v>
      </c>
      <c r="AQ72" s="1289">
        <f t="shared" si="14"/>
        <v>189525.97</v>
      </c>
      <c r="AR72" s="1289">
        <f t="shared" si="14"/>
        <v>244197.46</v>
      </c>
      <c r="AS72" s="1289">
        <f t="shared" si="14"/>
        <v>153083.47</v>
      </c>
      <c r="AT72" s="1289">
        <f t="shared" si="14"/>
        <v>212393.95</v>
      </c>
      <c r="AU72" s="1289">
        <f t="shared" si="14"/>
        <v>219102.28</v>
      </c>
      <c r="AV72" s="1289">
        <f t="shared" si="14"/>
        <v>261631.38</v>
      </c>
      <c r="AW72" s="1295">
        <f>ROUND(AW15+AW21+SUM(AW30:AW57)+SUM(AW62:AW71),5)</f>
        <v>204014.84</v>
      </c>
      <c r="AX72" s="1295">
        <f>ROUND(AX15+AX21+SUM(AX30:AX57)+SUM(AX62:AX71),5)</f>
        <v>305157.43</v>
      </c>
      <c r="AY72" s="1295"/>
      <c r="AZ72" s="1295">
        <f>ROUND(AZ15+AZ21+SUM(AZ30:AZ57)+SUM(AZ62:AZ68),5)</f>
        <v>212792.62</v>
      </c>
      <c r="BA72" s="1295">
        <f>ROUND(BA15+BA21+SUM(BA30:BA57)+SUM(BA62:BA71),5)</f>
        <v>211583.35</v>
      </c>
      <c r="BB72" s="1295">
        <f>ROUND(BB15+BB21+SUM(BB30:BB57)+SUM(BB62:BB71),5)</f>
        <v>228801.63</v>
      </c>
      <c r="BC72" s="1289">
        <f>ROUND(BC15+BC21+SUM(BC30:BC57)+SUM(BC62:BC68),5)</f>
        <v>282134.84999999998</v>
      </c>
      <c r="BD72" s="1289">
        <f>ROUND(BD15+BD21+SUM(BD30:BD57)+SUM(BD62:BD68),5)</f>
        <v>263473.5</v>
      </c>
      <c r="BE72" s="1295">
        <f t="shared" ref="BE72:BI72" si="15">AVERAGE(BB72:BD72)</f>
        <v>258136.66</v>
      </c>
      <c r="BF72" s="1295">
        <f t="shared" si="15"/>
        <v>267915.00333333336</v>
      </c>
      <c r="BG72" s="1295">
        <f t="shared" si="15"/>
        <v>263175.05444444442</v>
      </c>
      <c r="BH72" s="1295">
        <f t="shared" si="15"/>
        <v>263075.57259259257</v>
      </c>
      <c r="BI72" s="1295">
        <f t="shared" si="15"/>
        <v>264721.87679012347</v>
      </c>
    </row>
    <row r="73" spans="3:61" outlineLevel="1" x14ac:dyDescent="0.3">
      <c r="C73" s="1288"/>
      <c r="D73" s="1288"/>
      <c r="E73" s="1288"/>
      <c r="F73" s="1288"/>
      <c r="G73" s="1288" t="s">
        <v>1039</v>
      </c>
      <c r="H73" s="1288"/>
      <c r="I73" s="1288"/>
      <c r="J73" s="1289">
        <v>0</v>
      </c>
      <c r="K73" s="1289">
        <v>0</v>
      </c>
      <c r="L73" s="1289">
        <v>0</v>
      </c>
      <c r="M73" s="1289">
        <v>0</v>
      </c>
      <c r="N73" s="1289">
        <v>0</v>
      </c>
      <c r="O73" s="1289">
        <v>0</v>
      </c>
      <c r="P73" s="1289">
        <v>0</v>
      </c>
      <c r="Q73" s="1289">
        <v>0</v>
      </c>
      <c r="R73" s="1289">
        <v>0</v>
      </c>
      <c r="S73" s="1289">
        <v>0</v>
      </c>
      <c r="T73" s="1289">
        <v>0</v>
      </c>
      <c r="U73" s="1289">
        <v>0</v>
      </c>
      <c r="V73" s="1289">
        <v>0</v>
      </c>
      <c r="W73" s="1289">
        <v>0</v>
      </c>
      <c r="X73" s="1289">
        <v>453.03</v>
      </c>
      <c r="Y73" s="1289">
        <v>353.03</v>
      </c>
      <c r="Z73" s="1289">
        <v>353.03</v>
      </c>
      <c r="AA73" s="1289">
        <v>353.03</v>
      </c>
      <c r="AB73" s="1289">
        <v>353.03</v>
      </c>
      <c r="AC73" s="1289">
        <v>353.03</v>
      </c>
      <c r="AD73" s="1289">
        <v>353.03</v>
      </c>
      <c r="AE73" s="1289">
        <v>353.03</v>
      </c>
      <c r="AF73" s="1289">
        <v>353.03</v>
      </c>
      <c r="AG73" s="1289">
        <v>353.03</v>
      </c>
      <c r="AH73" s="1289">
        <v>353.03</v>
      </c>
      <c r="AI73" s="1289">
        <v>353.03</v>
      </c>
      <c r="AJ73" s="1289">
        <v>353.03</v>
      </c>
      <c r="AK73" s="1289">
        <v>353.03</v>
      </c>
      <c r="AL73" s="1289">
        <v>353.03</v>
      </c>
      <c r="AM73" s="1289">
        <v>353.03</v>
      </c>
      <c r="AN73" s="1289">
        <v>353.03</v>
      </c>
      <c r="AO73" s="1289">
        <v>353.03</v>
      </c>
      <c r="AP73" s="1289">
        <v>353.03</v>
      </c>
      <c r="AQ73" s="1289">
        <v>353.03</v>
      </c>
      <c r="AR73" s="1289">
        <v>353.03</v>
      </c>
      <c r="AS73" s="1289">
        <v>353.03</v>
      </c>
      <c r="AT73" s="1289">
        <v>353.03</v>
      </c>
      <c r="AU73" s="1289">
        <v>353.03</v>
      </c>
      <c r="AV73" s="1289">
        <v>353.03</v>
      </c>
      <c r="AW73" s="1295">
        <v>353.03</v>
      </c>
      <c r="AX73" s="1295">
        <v>353.03</v>
      </c>
      <c r="AY73" s="1295"/>
      <c r="AZ73" s="1295">
        <v>353.03</v>
      </c>
      <c r="BA73" s="1295">
        <v>353.03</v>
      </c>
      <c r="BB73" s="1295">
        <v>353.03</v>
      </c>
      <c r="BC73" s="1289">
        <v>353.03</v>
      </c>
      <c r="BD73" s="1289">
        <v>353.03</v>
      </c>
      <c r="BE73" s="1295"/>
      <c r="BF73" s="1295"/>
      <c r="BG73" s="1295"/>
      <c r="BH73" s="1295"/>
      <c r="BI73" s="1295"/>
    </row>
    <row r="74" spans="3:61" ht="15" outlineLevel="1" thickBot="1" x14ac:dyDescent="0.35">
      <c r="C74" s="1288"/>
      <c r="D74" s="1288"/>
      <c r="E74" s="1288"/>
      <c r="F74" s="1288"/>
      <c r="G74" s="1288" t="s">
        <v>1040</v>
      </c>
      <c r="H74" s="1288"/>
      <c r="I74" s="1288"/>
      <c r="J74" s="1289">
        <v>0</v>
      </c>
      <c r="K74" s="1289">
        <v>0</v>
      </c>
      <c r="L74" s="1289">
        <v>0</v>
      </c>
      <c r="M74" s="1289">
        <v>0</v>
      </c>
      <c r="N74" s="1289">
        <v>0</v>
      </c>
      <c r="O74" s="1289">
        <v>14270.1</v>
      </c>
      <c r="P74" s="1289">
        <v>3586.1</v>
      </c>
      <c r="Q74" s="1289">
        <v>2933.9</v>
      </c>
      <c r="R74" s="1289">
        <v>2910.1</v>
      </c>
      <c r="S74" s="1289">
        <v>2933.39</v>
      </c>
      <c r="T74" s="1289">
        <v>3819.67</v>
      </c>
      <c r="U74" s="1289">
        <v>2420.1799999999998</v>
      </c>
      <c r="V74" s="1289">
        <v>3503</v>
      </c>
      <c r="W74" s="1289">
        <v>4292.08</v>
      </c>
      <c r="X74" s="1289">
        <v>2842.52</v>
      </c>
      <c r="Y74" s="1289">
        <v>2226.4299999999998</v>
      </c>
      <c r="Z74" s="1289">
        <v>2355.31</v>
      </c>
      <c r="AA74" s="1289">
        <v>2156.31</v>
      </c>
      <c r="AB74" s="1289">
        <v>2156.2399999999998</v>
      </c>
      <c r="AC74" s="1289">
        <v>2161.56</v>
      </c>
      <c r="AD74" s="1289">
        <v>2156.2399999999998</v>
      </c>
      <c r="AE74" s="1289">
        <v>-245.01</v>
      </c>
      <c r="AF74" s="1289">
        <v>2191.12</v>
      </c>
      <c r="AG74" s="1289">
        <v>1854.01</v>
      </c>
      <c r="AH74" s="1289">
        <v>1915.96</v>
      </c>
      <c r="AI74" s="1289">
        <v>1913.61</v>
      </c>
      <c r="AJ74" s="1289">
        <v>1909</v>
      </c>
      <c r="AK74" s="1289">
        <v>1909</v>
      </c>
      <c r="AL74" s="1289">
        <v>1909</v>
      </c>
      <c r="AM74" s="1289">
        <v>1909</v>
      </c>
      <c r="AN74" s="1289">
        <v>1909</v>
      </c>
      <c r="AO74" s="1289">
        <v>1909</v>
      </c>
      <c r="AP74" s="1289">
        <v>1915.63</v>
      </c>
      <c r="AQ74" s="1289">
        <v>2017.81</v>
      </c>
      <c r="AR74" s="1289">
        <v>2017.81</v>
      </c>
      <c r="AS74" s="1289">
        <v>0</v>
      </c>
      <c r="AT74" s="1289">
        <v>2017.81</v>
      </c>
      <c r="AU74" s="1289">
        <v>2020.26</v>
      </c>
      <c r="AV74" s="1289">
        <v>2017.81</v>
      </c>
      <c r="AW74" s="1295">
        <v>2019.7</v>
      </c>
      <c r="AX74" s="1295">
        <v>2017.81</v>
      </c>
      <c r="AY74" s="1295"/>
      <c r="AZ74" s="1295">
        <v>2017.81</v>
      </c>
      <c r="BA74" s="1295">
        <v>2017.81</v>
      </c>
      <c r="BB74" s="1295">
        <v>2019.84</v>
      </c>
      <c r="BC74" s="1289">
        <v>2017.81</v>
      </c>
      <c r="BD74" s="1289">
        <v>2057.9</v>
      </c>
      <c r="BE74" s="1295"/>
      <c r="BF74" s="1295"/>
      <c r="BG74" s="1295"/>
      <c r="BH74" s="1295"/>
      <c r="BI74" s="1295"/>
    </row>
    <row r="75" spans="3:61" ht="15" outlineLevel="1" thickBot="1" x14ac:dyDescent="0.35">
      <c r="C75" s="1288"/>
      <c r="D75" s="1288"/>
      <c r="E75" s="1288"/>
      <c r="F75" s="1288" t="s">
        <v>1041</v>
      </c>
      <c r="G75" s="1288"/>
      <c r="H75" s="1288"/>
      <c r="I75" s="1288"/>
      <c r="J75" s="1291">
        <f t="shared" ref="J75:AV75" si="16">ROUND(J14+SUM(J72:J74),5)</f>
        <v>186851.96</v>
      </c>
      <c r="K75" s="1291">
        <f t="shared" si="16"/>
        <v>172964.12</v>
      </c>
      <c r="L75" s="1291">
        <f t="shared" si="16"/>
        <v>200054.7</v>
      </c>
      <c r="M75" s="1291">
        <f t="shared" si="16"/>
        <v>178858.02</v>
      </c>
      <c r="N75" s="1291">
        <f t="shared" si="16"/>
        <v>199547.8</v>
      </c>
      <c r="O75" s="1291">
        <f t="shared" si="16"/>
        <v>200727.52</v>
      </c>
      <c r="P75" s="1291">
        <f t="shared" si="16"/>
        <v>186238.42</v>
      </c>
      <c r="Q75" s="1291">
        <f t="shared" si="16"/>
        <v>193857.49</v>
      </c>
      <c r="R75" s="1291">
        <f t="shared" si="16"/>
        <v>193379.87</v>
      </c>
      <c r="S75" s="1291">
        <f t="shared" si="16"/>
        <v>196167.93</v>
      </c>
      <c r="T75" s="1291">
        <f t="shared" si="16"/>
        <v>175856.79</v>
      </c>
      <c r="U75" s="1291">
        <f t="shared" si="16"/>
        <v>80512.17</v>
      </c>
      <c r="V75" s="1291">
        <f t="shared" si="16"/>
        <v>177658.79</v>
      </c>
      <c r="W75" s="1291">
        <f t="shared" si="16"/>
        <v>202737.09</v>
      </c>
      <c r="X75" s="1291">
        <f t="shared" si="16"/>
        <v>221648.79</v>
      </c>
      <c r="Y75" s="1291">
        <f t="shared" si="16"/>
        <v>204838.78</v>
      </c>
      <c r="Z75" s="1291">
        <f t="shared" si="16"/>
        <v>173698.27</v>
      </c>
      <c r="AA75" s="1291">
        <f t="shared" si="16"/>
        <v>197134.71</v>
      </c>
      <c r="AB75" s="1291">
        <f t="shared" si="16"/>
        <v>200896.12</v>
      </c>
      <c r="AC75" s="1291">
        <f t="shared" si="16"/>
        <v>202370.16</v>
      </c>
      <c r="AD75" s="1291">
        <f t="shared" si="16"/>
        <v>173469.54</v>
      </c>
      <c r="AE75" s="1291">
        <f t="shared" si="16"/>
        <v>220685.21</v>
      </c>
      <c r="AF75" s="1291">
        <f t="shared" si="16"/>
        <v>270352.74</v>
      </c>
      <c r="AG75" s="1291">
        <f t="shared" si="16"/>
        <v>121361.65</v>
      </c>
      <c r="AH75" s="1291">
        <f t="shared" si="16"/>
        <v>176858.54</v>
      </c>
      <c r="AI75" s="1291">
        <f t="shared" si="16"/>
        <v>192757.42</v>
      </c>
      <c r="AJ75" s="1291">
        <f t="shared" si="16"/>
        <v>200779.41</v>
      </c>
      <c r="AK75" s="1291">
        <f t="shared" si="16"/>
        <v>200381.32</v>
      </c>
      <c r="AL75" s="1291">
        <f t="shared" si="16"/>
        <v>171300.5</v>
      </c>
      <c r="AM75" s="1291">
        <f t="shared" si="16"/>
        <v>210844.27</v>
      </c>
      <c r="AN75" s="1291">
        <f t="shared" si="16"/>
        <v>196853.24</v>
      </c>
      <c r="AO75" s="1291">
        <f t="shared" si="16"/>
        <v>286046.84999999998</v>
      </c>
      <c r="AP75" s="1291">
        <f t="shared" si="16"/>
        <v>226133.33</v>
      </c>
      <c r="AQ75" s="1291">
        <f t="shared" si="16"/>
        <v>191896.81</v>
      </c>
      <c r="AR75" s="1291">
        <f t="shared" si="16"/>
        <v>246568.3</v>
      </c>
      <c r="AS75" s="1291">
        <f t="shared" si="16"/>
        <v>153436.5</v>
      </c>
      <c r="AT75" s="1291">
        <f t="shared" si="16"/>
        <v>214764.79</v>
      </c>
      <c r="AU75" s="1291">
        <f t="shared" si="16"/>
        <v>221475.57</v>
      </c>
      <c r="AV75" s="1299">
        <f t="shared" si="16"/>
        <v>264002.21999999997</v>
      </c>
      <c r="AW75" s="1299">
        <f>ROUND(AW14+SUM(AW72:AW74),5)</f>
        <v>206387.57</v>
      </c>
      <c r="AX75" s="1299">
        <f>ROUND(AX14+SUM(AX72:AX74),5)</f>
        <v>307528.27</v>
      </c>
      <c r="AY75" s="1299"/>
      <c r="AZ75" s="1299">
        <f>ROUND(AZ14+SUM(AZ72:AZ74),5)</f>
        <v>215163.46</v>
      </c>
      <c r="BA75" s="1299">
        <f>ROUND(BA14+SUM(BA72:BA74),5)</f>
        <v>213954.19</v>
      </c>
      <c r="BB75" s="1299">
        <f>ROUND(BB14+SUM(BB72:BB74),5)</f>
        <v>231174.5</v>
      </c>
      <c r="BC75" s="1291">
        <f>ROUND(BC14+SUM(BC72:BC74),5)</f>
        <v>284505.69</v>
      </c>
      <c r="BD75" s="1291">
        <f t="shared" ref="BD75:BI75" si="17">ROUND(BD14+SUM(BD72:BD74),5)</f>
        <v>265884.43</v>
      </c>
      <c r="BE75" s="1299">
        <f t="shared" si="17"/>
        <v>258136.66</v>
      </c>
      <c r="BF75" s="1299">
        <f t="shared" si="17"/>
        <v>267915.00332999998</v>
      </c>
      <c r="BG75" s="1299">
        <f t="shared" si="17"/>
        <v>263175.05443999998</v>
      </c>
      <c r="BH75" s="1299">
        <f t="shared" si="17"/>
        <v>263075.57259</v>
      </c>
      <c r="BI75" s="1299">
        <f t="shared" si="17"/>
        <v>264721.87679000001</v>
      </c>
    </row>
    <row r="76" spans="3:61" outlineLevel="1" x14ac:dyDescent="0.3">
      <c r="C76" s="1288"/>
      <c r="D76" s="1288" t="s">
        <v>1042</v>
      </c>
      <c r="E76" s="1288"/>
      <c r="F76" s="1288"/>
      <c r="G76" s="1288"/>
      <c r="H76" s="1288"/>
      <c r="I76" s="1288"/>
      <c r="J76" s="1289">
        <f t="shared" ref="J76:AV76" si="18">ROUND(J2+J13-J75,5)</f>
        <v>369181.01</v>
      </c>
      <c r="K76" s="1289">
        <f t="shared" si="18"/>
        <v>402429.15</v>
      </c>
      <c r="L76" s="1289">
        <f t="shared" si="18"/>
        <v>169254.9</v>
      </c>
      <c r="M76" s="1289">
        <f t="shared" si="18"/>
        <v>246529.05</v>
      </c>
      <c r="N76" s="1289">
        <f t="shared" si="18"/>
        <v>256051.84</v>
      </c>
      <c r="O76" s="1289">
        <f t="shared" si="18"/>
        <v>190257.21</v>
      </c>
      <c r="P76" s="1289">
        <f t="shared" si="18"/>
        <v>327157.99</v>
      </c>
      <c r="Q76" s="1289">
        <f t="shared" si="18"/>
        <v>224677.33</v>
      </c>
      <c r="R76" s="1289">
        <f t="shared" si="18"/>
        <v>220805.27</v>
      </c>
      <c r="S76" s="1289">
        <f t="shared" si="18"/>
        <v>340104.29</v>
      </c>
      <c r="T76" s="1289">
        <f t="shared" si="18"/>
        <v>250576.85</v>
      </c>
      <c r="U76" s="1289">
        <f t="shared" si="18"/>
        <v>912618.53</v>
      </c>
      <c r="V76" s="1289">
        <f t="shared" si="18"/>
        <v>174906.01</v>
      </c>
      <c r="W76" s="1289">
        <f t="shared" si="18"/>
        <v>157472.12</v>
      </c>
      <c r="X76" s="1289">
        <f t="shared" si="18"/>
        <v>519209.8</v>
      </c>
      <c r="Y76" s="1289">
        <f t="shared" si="18"/>
        <v>311721.34999999998</v>
      </c>
      <c r="Z76" s="1289">
        <f t="shared" si="18"/>
        <v>550845.17000000004</v>
      </c>
      <c r="AA76" s="1289">
        <f t="shared" si="18"/>
        <v>768520.91</v>
      </c>
      <c r="AB76" s="1289">
        <f t="shared" si="18"/>
        <v>388161.15</v>
      </c>
      <c r="AC76" s="1289">
        <f t="shared" si="18"/>
        <v>809760.44</v>
      </c>
      <c r="AD76" s="1289">
        <f t="shared" si="18"/>
        <v>570925.85</v>
      </c>
      <c r="AE76" s="1289">
        <f t="shared" si="18"/>
        <v>269233.96999999997</v>
      </c>
      <c r="AF76" s="1289">
        <f t="shared" si="18"/>
        <v>843338.41</v>
      </c>
      <c r="AG76" s="1289">
        <f t="shared" si="18"/>
        <v>1341006.72</v>
      </c>
      <c r="AH76" s="1289">
        <f t="shared" si="18"/>
        <v>374714.37</v>
      </c>
      <c r="AI76" s="1289">
        <f t="shared" si="18"/>
        <v>507947.86</v>
      </c>
      <c r="AJ76" s="1289">
        <f t="shared" si="18"/>
        <v>744069.99</v>
      </c>
      <c r="AK76" s="1289">
        <f t="shared" si="18"/>
        <v>564235.53</v>
      </c>
      <c r="AL76" s="1289">
        <f t="shared" si="18"/>
        <v>479360.95</v>
      </c>
      <c r="AM76" s="1289">
        <f t="shared" si="18"/>
        <v>227068.64</v>
      </c>
      <c r="AN76" s="1289">
        <f t="shared" si="18"/>
        <v>464630.85</v>
      </c>
      <c r="AO76" s="1289">
        <f t="shared" si="18"/>
        <v>1103745.3700000001</v>
      </c>
      <c r="AP76" s="1289">
        <f t="shared" si="18"/>
        <v>545730.04</v>
      </c>
      <c r="AQ76" s="1289">
        <f t="shared" si="18"/>
        <v>369636.37</v>
      </c>
      <c r="AR76" s="1289">
        <f t="shared" si="18"/>
        <v>663500.75</v>
      </c>
      <c r="AS76" s="1289">
        <f t="shared" si="18"/>
        <v>745612.74</v>
      </c>
      <c r="AT76" s="1289">
        <f t="shared" si="18"/>
        <v>588159.65</v>
      </c>
      <c r="AU76" s="1289">
        <f t="shared" si="18"/>
        <v>667970.05000000005</v>
      </c>
      <c r="AV76" s="1295">
        <f t="shared" si="18"/>
        <v>706720.85</v>
      </c>
      <c r="AW76" s="1295">
        <f>ROUND(AW2+AW13-AW75,5)</f>
        <v>87023.29</v>
      </c>
      <c r="AX76" s="1295">
        <f>ROUND(AX2+AX13-AX75,5)</f>
        <v>-9361.61</v>
      </c>
      <c r="AY76" s="1295"/>
      <c r="AZ76" s="1295">
        <f>ROUND(AZ2+AZ13-AZ75,5)</f>
        <v>14361.51</v>
      </c>
      <c r="BA76" s="1295">
        <f>ROUND(BA2+BA13-BA75,5)</f>
        <v>26252.98</v>
      </c>
      <c r="BB76" s="1295">
        <f>ROUND(BB2+BB13-BB75,5)</f>
        <v>113095.61</v>
      </c>
      <c r="BC76" s="1289">
        <f>ROUND(BC2+BC13-BC75,5)</f>
        <v>131878.38</v>
      </c>
      <c r="BD76" s="1289">
        <f t="shared" ref="BD76:BI76" si="19">ROUND(BD2+BD13-BD75,5)</f>
        <v>98580.9</v>
      </c>
      <c r="BE76" s="1295">
        <f t="shared" si="19"/>
        <v>156684.74909</v>
      </c>
      <c r="BF76" s="1295">
        <f t="shared" si="19"/>
        <v>137259.05340999999</v>
      </c>
      <c r="BG76" s="1295">
        <f t="shared" si="19"/>
        <v>145048.09372</v>
      </c>
      <c r="BH76" s="1295">
        <f t="shared" si="19"/>
        <v>143373.04045999999</v>
      </c>
      <c r="BI76" s="1295">
        <f t="shared" si="19"/>
        <v>145376.34357999999</v>
      </c>
    </row>
    <row r="77" spans="3:61" outlineLevel="1" x14ac:dyDescent="0.3">
      <c r="C77" s="1288"/>
      <c r="D77" s="1288" t="s">
        <v>1043</v>
      </c>
      <c r="E77" s="1288"/>
      <c r="F77" s="1288"/>
      <c r="G77" s="1288"/>
      <c r="H77" s="1288"/>
      <c r="I77" s="1288"/>
      <c r="J77" s="1289"/>
      <c r="K77" s="1289"/>
      <c r="L77" s="1289"/>
      <c r="M77" s="1289"/>
      <c r="N77" s="1289"/>
      <c r="O77" s="1289"/>
      <c r="P77" s="1289"/>
      <c r="Q77" s="1289"/>
      <c r="R77" s="1289"/>
      <c r="S77" s="1289"/>
      <c r="T77" s="1289"/>
      <c r="U77" s="1289"/>
      <c r="V77" s="1289"/>
      <c r="W77" s="1289"/>
      <c r="X77" s="1289"/>
      <c r="Y77" s="1289"/>
      <c r="Z77" s="1289"/>
      <c r="AA77" s="1289"/>
      <c r="AB77" s="1289"/>
      <c r="AC77" s="1289"/>
      <c r="AD77" s="1289"/>
      <c r="AE77" s="1289"/>
      <c r="AF77" s="1289"/>
      <c r="AG77" s="1289"/>
      <c r="AH77" s="1455">
        <f t="shared" ref="AH77:AX77" si="20">AH76/AH7</f>
        <v>0.6703834877657916</v>
      </c>
      <c r="AI77" s="1455">
        <f t="shared" si="20"/>
        <v>0.72490942268909397</v>
      </c>
      <c r="AJ77" s="1455">
        <f t="shared" si="20"/>
        <v>0.78750115097707629</v>
      </c>
      <c r="AK77" s="1455">
        <f t="shared" si="20"/>
        <v>0.73793237750384399</v>
      </c>
      <c r="AL77" s="1455">
        <f t="shared" si="20"/>
        <v>0.73672867817818322</v>
      </c>
      <c r="AM77" s="1455">
        <f t="shared" si="20"/>
        <v>0.51852465368056866</v>
      </c>
      <c r="AN77" s="1455">
        <f t="shared" si="20"/>
        <v>0.70240668978145793</v>
      </c>
      <c r="AO77" s="1455">
        <f t="shared" si="20"/>
        <v>0.79418013291224221</v>
      </c>
      <c r="AP77" s="1455">
        <f t="shared" si="20"/>
        <v>0.70702932826051845</v>
      </c>
      <c r="AQ77" s="1455">
        <f t="shared" si="20"/>
        <v>0.65356676549594717</v>
      </c>
      <c r="AR77" s="1455">
        <f t="shared" si="20"/>
        <v>0.72906638238054566</v>
      </c>
      <c r="AS77" s="1455">
        <f t="shared" si="20"/>
        <v>0.82933470918678487</v>
      </c>
      <c r="AT77" s="1455">
        <f t="shared" si="20"/>
        <v>0.73252179246156723</v>
      </c>
      <c r="AU77" s="1455">
        <f t="shared" si="20"/>
        <v>0.75099594059499675</v>
      </c>
      <c r="AV77" s="1455">
        <f t="shared" si="20"/>
        <v>0.72803549420124525</v>
      </c>
      <c r="AW77" s="1455">
        <f t="shared" si="20"/>
        <v>0.12849367927134819</v>
      </c>
      <c r="AX77" s="1455">
        <f t="shared" si="20"/>
        <v>-1.9990296124095502E-2</v>
      </c>
      <c r="AY77" s="1295"/>
      <c r="AZ77" s="1455">
        <f>AZ76/AZ7</f>
        <v>3.0409940277641937E-2</v>
      </c>
      <c r="BA77" s="1455">
        <f>BA76/BA7</f>
        <v>6.0178387921695733E-2</v>
      </c>
      <c r="BB77" s="1455">
        <f>BB76/BB7</f>
        <v>0.15562259711309565</v>
      </c>
      <c r="BC77" s="1289"/>
      <c r="BD77" s="1289">
        <f>BD76/BD7</f>
        <v>0.1196241448052949</v>
      </c>
      <c r="BE77" s="1455">
        <f t="shared" ref="BE77:BH77" si="21">BE76/BE7</f>
        <v>0.18806415911157759</v>
      </c>
      <c r="BF77" s="1455">
        <f t="shared" si="21"/>
        <v>0.16338650588573025</v>
      </c>
      <c r="BG77" s="1455">
        <f t="shared" si="21"/>
        <v>0.17123127361601234</v>
      </c>
      <c r="BH77" s="1455">
        <f t="shared" si="21"/>
        <v>0.1678550580068626</v>
      </c>
      <c r="BI77" s="1295"/>
    </row>
    <row r="78" spans="3:61" outlineLevel="1" x14ac:dyDescent="0.3">
      <c r="C78" s="1288"/>
      <c r="D78" s="1288"/>
      <c r="E78" s="1288" t="s">
        <v>181</v>
      </c>
      <c r="F78" s="1288"/>
      <c r="G78" s="1288"/>
      <c r="H78" s="1288"/>
      <c r="I78" s="1288"/>
      <c r="J78" s="1289"/>
      <c r="K78" s="1289"/>
      <c r="L78" s="1289"/>
      <c r="M78" s="1289"/>
      <c r="N78" s="1289"/>
      <c r="O78" s="1289"/>
      <c r="P78" s="1289"/>
      <c r="Q78" s="1289"/>
      <c r="R78" s="1289"/>
      <c r="S78" s="1289"/>
      <c r="T78" s="1289"/>
      <c r="U78" s="1289"/>
      <c r="V78" s="1289"/>
      <c r="W78" s="1289"/>
      <c r="X78" s="1289"/>
      <c r="Y78" s="1289"/>
      <c r="Z78" s="1289"/>
      <c r="AA78" s="1289"/>
      <c r="AB78" s="1289"/>
      <c r="AC78" s="1289"/>
      <c r="AD78" s="1289"/>
      <c r="AE78" s="1289"/>
      <c r="AF78" s="1289"/>
      <c r="AG78" s="1289"/>
      <c r="AH78" s="1289"/>
      <c r="AI78" s="1289"/>
      <c r="AJ78" s="1289"/>
      <c r="AK78" s="1289"/>
      <c r="AL78" s="1289"/>
      <c r="AM78" s="1289"/>
      <c r="AN78" s="1289"/>
      <c r="AO78" s="1289"/>
      <c r="AP78" s="1289"/>
      <c r="AQ78" s="1289"/>
      <c r="AR78" s="1289"/>
      <c r="AS78" s="1289"/>
      <c r="AT78" s="1289"/>
      <c r="AU78" s="1289"/>
      <c r="AV78" s="1289"/>
      <c r="AW78" s="1295"/>
      <c r="AX78" s="1295"/>
      <c r="AY78" s="1295"/>
      <c r="AZ78" s="1455"/>
      <c r="BA78" s="1455"/>
      <c r="BB78" s="1455"/>
      <c r="BC78" s="1289"/>
      <c r="BD78" s="1289"/>
      <c r="BE78" s="1295"/>
      <c r="BF78" s="1295"/>
      <c r="BG78" s="1295"/>
      <c r="BH78" s="1295"/>
      <c r="BI78" s="1295"/>
    </row>
    <row r="79" spans="3:61" outlineLevel="1" x14ac:dyDescent="0.3">
      <c r="C79" s="1288"/>
      <c r="D79" s="1288"/>
      <c r="E79" s="1288"/>
      <c r="F79" s="1288"/>
      <c r="G79" s="1288"/>
      <c r="H79" s="1288"/>
      <c r="I79" s="1288"/>
      <c r="J79" s="1289"/>
      <c r="K79" s="1289"/>
      <c r="L79" s="1289"/>
      <c r="M79" s="1289"/>
      <c r="N79" s="1289"/>
      <c r="O79" s="1289"/>
      <c r="P79" s="1289"/>
      <c r="Q79" s="1289"/>
      <c r="R79" s="1289"/>
      <c r="S79" s="1289"/>
      <c r="T79" s="1289"/>
      <c r="U79" s="1289"/>
      <c r="V79" s="1289"/>
      <c r="W79" s="1289"/>
      <c r="X79" s="1289"/>
      <c r="Y79" s="1289"/>
      <c r="Z79" s="1289"/>
      <c r="AA79" s="1289"/>
      <c r="AB79" s="1289"/>
      <c r="AC79" s="1289"/>
      <c r="AD79" s="1289"/>
      <c r="AE79" s="1289"/>
      <c r="AF79" s="1289"/>
      <c r="AG79" s="1289"/>
      <c r="AH79" s="1289"/>
      <c r="AI79" s="1289"/>
      <c r="AJ79" s="1289"/>
      <c r="AK79" s="1289"/>
      <c r="AL79" s="1289"/>
      <c r="AM79" s="1289"/>
      <c r="AN79" s="1289"/>
      <c r="AO79" s="1289"/>
      <c r="AP79" s="1289"/>
      <c r="AQ79" s="1289"/>
      <c r="AR79" s="1289"/>
      <c r="AS79" s="1289"/>
      <c r="AT79" s="1289"/>
      <c r="AU79" s="1289"/>
      <c r="AV79" s="1289"/>
      <c r="AW79" s="1295"/>
      <c r="AX79" s="1295"/>
      <c r="AY79" s="1295"/>
      <c r="AZ79" s="1295"/>
      <c r="BA79" s="1295"/>
      <c r="BB79" s="1295"/>
      <c r="BC79" s="1289"/>
      <c r="BD79" s="1289"/>
      <c r="BE79" s="1295"/>
      <c r="BF79" s="1295"/>
      <c r="BG79" s="1295"/>
      <c r="BH79" s="1295"/>
      <c r="BI79" s="1295"/>
    </row>
    <row r="80" spans="3:61" outlineLevel="1" x14ac:dyDescent="0.3">
      <c r="C80" s="1288"/>
      <c r="D80" s="1288"/>
      <c r="E80" s="1288"/>
      <c r="F80" s="1288" t="s">
        <v>1044</v>
      </c>
      <c r="G80" s="1288"/>
      <c r="H80" s="1288"/>
      <c r="I80" s="1288"/>
      <c r="J80" s="1289">
        <v>678</v>
      </c>
      <c r="K80" s="1289">
        <v>326.7</v>
      </c>
      <c r="L80" s="1289">
        <v>0</v>
      </c>
      <c r="M80" s="1289">
        <v>0</v>
      </c>
      <c r="N80" s="1289">
        <v>0</v>
      </c>
      <c r="O80" s="1289">
        <v>0</v>
      </c>
      <c r="P80" s="1289">
        <v>801.43</v>
      </c>
      <c r="Q80" s="1289">
        <v>5280</v>
      </c>
      <c r="R80" s="1289">
        <v>1266.43</v>
      </c>
      <c r="S80" s="1289">
        <v>0</v>
      </c>
      <c r="T80" s="1289">
        <v>590.35</v>
      </c>
      <c r="U80" s="1289">
        <v>6264</v>
      </c>
      <c r="V80" s="1289">
        <v>0</v>
      </c>
      <c r="W80" s="1289">
        <v>0</v>
      </c>
      <c r="X80" s="1289">
        <v>3432.42</v>
      </c>
      <c r="Y80" s="1289">
        <v>0</v>
      </c>
      <c r="Z80" s="1289">
        <v>964.99</v>
      </c>
      <c r="AA80" s="1289">
        <v>0</v>
      </c>
      <c r="AB80" s="1289">
        <v>12447.2</v>
      </c>
      <c r="AC80" s="1289">
        <v>0</v>
      </c>
      <c r="AD80" s="1289">
        <v>0</v>
      </c>
      <c r="AE80" s="1289">
        <v>0</v>
      </c>
      <c r="AF80" s="1289">
        <v>0</v>
      </c>
      <c r="AG80" s="1289">
        <v>690</v>
      </c>
      <c r="AH80" s="1289">
        <v>0</v>
      </c>
      <c r="AI80" s="1289">
        <v>0</v>
      </c>
      <c r="AJ80" s="1289">
        <v>0</v>
      </c>
      <c r="AK80" s="1289">
        <v>0</v>
      </c>
      <c r="AL80" s="1289">
        <v>0</v>
      </c>
      <c r="AM80" s="1289">
        <v>0</v>
      </c>
      <c r="AN80" s="1289">
        <v>9504</v>
      </c>
      <c r="AO80" s="1289">
        <v>837.86</v>
      </c>
      <c r="AP80" s="1289">
        <v>0</v>
      </c>
      <c r="AQ80" s="1289">
        <v>1362</v>
      </c>
      <c r="AR80" s="1289">
        <v>0</v>
      </c>
      <c r="AS80" s="1289">
        <v>0</v>
      </c>
      <c r="AT80" s="1289">
        <v>0</v>
      </c>
      <c r="AU80" s="1289">
        <v>0</v>
      </c>
      <c r="AV80" s="1289">
        <v>0</v>
      </c>
      <c r="AW80" s="1295">
        <v>0</v>
      </c>
      <c r="AX80" s="1295">
        <v>40000</v>
      </c>
      <c r="AY80" s="1295"/>
      <c r="AZ80" s="1295"/>
      <c r="BA80" s="1295">
        <v>0</v>
      </c>
      <c r="BB80" s="1295">
        <v>7131.78</v>
      </c>
      <c r="BC80" s="1289">
        <v>0</v>
      </c>
      <c r="BD80" s="1289">
        <v>8363</v>
      </c>
      <c r="BE80" s="1295"/>
      <c r="BF80" s="1295"/>
      <c r="BG80" s="1295"/>
      <c r="BH80" s="1295"/>
      <c r="BI80" s="1295"/>
    </row>
    <row r="81" spans="1:62" outlineLevel="1" x14ac:dyDescent="0.3">
      <c r="C81" s="1288"/>
      <c r="D81" s="1288"/>
      <c r="E81" s="1288"/>
      <c r="F81" s="1288" t="s">
        <v>1045</v>
      </c>
      <c r="G81" s="1288"/>
      <c r="H81" s="1288"/>
      <c r="I81" s="1288"/>
      <c r="J81" s="1289">
        <v>4000</v>
      </c>
      <c r="K81" s="1289">
        <v>4000</v>
      </c>
      <c r="L81" s="1289">
        <v>4000</v>
      </c>
      <c r="M81" s="1289">
        <v>0</v>
      </c>
      <c r="N81" s="1289">
        <v>0</v>
      </c>
      <c r="O81" s="1289">
        <v>4000</v>
      </c>
      <c r="P81" s="1289">
        <v>0</v>
      </c>
      <c r="Q81" s="1289">
        <v>0</v>
      </c>
      <c r="R81" s="1289">
        <v>0</v>
      </c>
      <c r="S81" s="1289">
        <v>0</v>
      </c>
      <c r="T81" s="1289">
        <v>0</v>
      </c>
      <c r="U81" s="1289">
        <v>-11000</v>
      </c>
      <c r="V81" s="1289">
        <v>0</v>
      </c>
      <c r="W81" s="1289">
        <v>0</v>
      </c>
      <c r="X81" s="1289">
        <v>0</v>
      </c>
      <c r="Y81" s="1289">
        <v>0</v>
      </c>
      <c r="Z81" s="1289">
        <v>0</v>
      </c>
      <c r="AA81" s="1289">
        <v>0</v>
      </c>
      <c r="AB81" s="1289">
        <v>0</v>
      </c>
      <c r="AC81" s="1289">
        <v>0</v>
      </c>
      <c r="AD81" s="1289">
        <v>0</v>
      </c>
      <c r="AE81" s="1289">
        <v>0</v>
      </c>
      <c r="AF81" s="1289">
        <v>0</v>
      </c>
      <c r="AG81" s="1289">
        <v>0</v>
      </c>
      <c r="AH81" s="1289">
        <v>0</v>
      </c>
      <c r="AI81" s="1289">
        <v>0</v>
      </c>
      <c r="AJ81" s="1289">
        <v>0</v>
      </c>
      <c r="AK81" s="1289">
        <v>0</v>
      </c>
      <c r="AL81" s="1289">
        <v>0</v>
      </c>
      <c r="AM81" s="1289">
        <v>0</v>
      </c>
      <c r="AN81" s="1289">
        <v>0</v>
      </c>
      <c r="AO81" s="1289">
        <v>0</v>
      </c>
      <c r="AP81" s="1289">
        <v>0</v>
      </c>
      <c r="AQ81" s="1289">
        <v>0</v>
      </c>
      <c r="AR81" s="1289">
        <v>0</v>
      </c>
      <c r="AS81" s="1289">
        <v>0</v>
      </c>
      <c r="AT81" s="1289">
        <v>0</v>
      </c>
      <c r="AU81" s="1289">
        <v>0</v>
      </c>
      <c r="AV81" s="1289">
        <v>0</v>
      </c>
      <c r="AW81" s="1295">
        <v>14374.95</v>
      </c>
      <c r="AX81" s="1295">
        <v>0</v>
      </c>
      <c r="AY81" s="1295"/>
      <c r="AZ81" s="1295"/>
      <c r="BA81" s="1295">
        <v>0</v>
      </c>
      <c r="BB81" s="1295"/>
      <c r="BC81" s="1289"/>
      <c r="BD81" s="1289"/>
      <c r="BE81" s="1295"/>
      <c r="BF81" s="1295"/>
      <c r="BG81" s="1295"/>
      <c r="BH81" s="1295"/>
      <c r="BI81" s="1295"/>
    </row>
    <row r="82" spans="1:62" ht="15" outlineLevel="1" thickBot="1" x14ac:dyDescent="0.35">
      <c r="C82" s="1288"/>
      <c r="D82" s="1288"/>
      <c r="E82" s="1288"/>
      <c r="F82" s="1288" t="s">
        <v>1046</v>
      </c>
      <c r="G82" s="1288"/>
      <c r="H82" s="1288"/>
      <c r="I82" s="1288"/>
      <c r="J82" s="1290">
        <v>0</v>
      </c>
      <c r="K82" s="1290">
        <v>0</v>
      </c>
      <c r="L82" s="1290">
        <v>0</v>
      </c>
      <c r="M82" s="1290">
        <v>0</v>
      </c>
      <c r="N82" s="1290">
        <v>0</v>
      </c>
      <c r="O82" s="1290">
        <v>0</v>
      </c>
      <c r="P82" s="1290">
        <v>0</v>
      </c>
      <c r="Q82" s="1290">
        <v>0</v>
      </c>
      <c r="R82" s="1290">
        <v>0</v>
      </c>
      <c r="S82" s="1290">
        <v>0</v>
      </c>
      <c r="T82" s="1290">
        <v>0</v>
      </c>
      <c r="U82" s="1290">
        <v>0</v>
      </c>
      <c r="V82" s="1290">
        <v>0</v>
      </c>
      <c r="W82" s="1290">
        <v>0</v>
      </c>
      <c r="X82" s="1290">
        <v>0</v>
      </c>
      <c r="Y82" s="1290">
        <v>0</v>
      </c>
      <c r="Z82" s="1290">
        <v>0</v>
      </c>
      <c r="AA82" s="1290">
        <v>625099</v>
      </c>
      <c r="AB82" s="1290">
        <v>0</v>
      </c>
      <c r="AC82" s="1290">
        <v>0</v>
      </c>
      <c r="AD82" s="1290">
        <v>0</v>
      </c>
      <c r="AE82" s="1290">
        <v>0</v>
      </c>
      <c r="AF82" s="1290">
        <v>0</v>
      </c>
      <c r="AG82" s="1290">
        <v>0</v>
      </c>
      <c r="AH82" s="1290">
        <v>0</v>
      </c>
      <c r="AI82" s="1290">
        <v>0</v>
      </c>
      <c r="AJ82" s="1290">
        <v>0</v>
      </c>
      <c r="AK82" s="1290">
        <v>0</v>
      </c>
      <c r="AL82" s="1290">
        <v>0</v>
      </c>
      <c r="AM82" s="1290">
        <v>0</v>
      </c>
      <c r="AN82" s="1290">
        <v>0</v>
      </c>
      <c r="AO82" s="1290">
        <v>0</v>
      </c>
      <c r="AP82" s="1290">
        <v>0</v>
      </c>
      <c r="AQ82" s="1290">
        <v>0</v>
      </c>
      <c r="AR82" s="1290">
        <v>0</v>
      </c>
      <c r="AS82" s="1290">
        <v>0</v>
      </c>
      <c r="AT82" s="1290">
        <v>0</v>
      </c>
      <c r="AU82" s="1290">
        <v>0</v>
      </c>
      <c r="AV82" s="1290">
        <v>0</v>
      </c>
      <c r="AW82" s="1296"/>
      <c r="AX82" s="1296"/>
      <c r="AY82" s="1296"/>
      <c r="AZ82" s="1296"/>
      <c r="BA82" s="1296"/>
      <c r="BB82" s="1296"/>
      <c r="BC82" s="1290"/>
      <c r="BD82" s="1290"/>
      <c r="BE82" s="1296"/>
      <c r="BF82" s="1296"/>
      <c r="BG82" s="1296"/>
      <c r="BH82" s="1296"/>
      <c r="BI82" s="1296"/>
    </row>
    <row r="83" spans="1:62" outlineLevel="1" x14ac:dyDescent="0.3">
      <c r="C83" s="1288"/>
      <c r="D83" s="1288"/>
      <c r="E83" s="1288" t="s">
        <v>857</v>
      </c>
      <c r="F83" s="1288"/>
      <c r="G83" s="1288"/>
      <c r="H83" s="1288"/>
      <c r="I83" s="1288"/>
      <c r="J83" s="1289">
        <f t="shared" ref="J83:AV83" si="22">ROUND(SUM(J78:J82),5)</f>
        <v>4678</v>
      </c>
      <c r="K83" s="1289">
        <f t="shared" si="22"/>
        <v>4326.7</v>
      </c>
      <c r="L83" s="1289">
        <f t="shared" si="22"/>
        <v>4000</v>
      </c>
      <c r="M83" s="1289">
        <f t="shared" si="22"/>
        <v>0</v>
      </c>
      <c r="N83" s="1289">
        <f t="shared" si="22"/>
        <v>0</v>
      </c>
      <c r="O83" s="1289">
        <f t="shared" si="22"/>
        <v>4000</v>
      </c>
      <c r="P83" s="1289">
        <f t="shared" si="22"/>
        <v>801.43</v>
      </c>
      <c r="Q83" s="1289">
        <f t="shared" si="22"/>
        <v>5280</v>
      </c>
      <c r="R83" s="1289">
        <f t="shared" si="22"/>
        <v>1266.43</v>
      </c>
      <c r="S83" s="1289">
        <f t="shared" si="22"/>
        <v>0</v>
      </c>
      <c r="T83" s="1289">
        <f t="shared" si="22"/>
        <v>590.35</v>
      </c>
      <c r="U83" s="1289">
        <f t="shared" si="22"/>
        <v>-4736</v>
      </c>
      <c r="V83" s="1289">
        <f t="shared" si="22"/>
        <v>0</v>
      </c>
      <c r="W83" s="1289">
        <f t="shared" si="22"/>
        <v>0</v>
      </c>
      <c r="X83" s="1289">
        <f t="shared" si="22"/>
        <v>3432.42</v>
      </c>
      <c r="Y83" s="1289">
        <f t="shared" si="22"/>
        <v>0</v>
      </c>
      <c r="Z83" s="1289">
        <f t="shared" si="22"/>
        <v>964.99</v>
      </c>
      <c r="AA83" s="1289">
        <f t="shared" si="22"/>
        <v>625099</v>
      </c>
      <c r="AB83" s="1289">
        <f t="shared" si="22"/>
        <v>12447.2</v>
      </c>
      <c r="AC83" s="1289">
        <f t="shared" si="22"/>
        <v>0</v>
      </c>
      <c r="AD83" s="1289">
        <f t="shared" si="22"/>
        <v>0</v>
      </c>
      <c r="AE83" s="1289">
        <f t="shared" si="22"/>
        <v>0</v>
      </c>
      <c r="AF83" s="1289">
        <f t="shared" si="22"/>
        <v>0</v>
      </c>
      <c r="AG83" s="1289">
        <f t="shared" si="22"/>
        <v>690</v>
      </c>
      <c r="AH83" s="1289">
        <f t="shared" si="22"/>
        <v>0</v>
      </c>
      <c r="AI83" s="1289">
        <f t="shared" si="22"/>
        <v>0</v>
      </c>
      <c r="AJ83" s="1289">
        <f t="shared" si="22"/>
        <v>0</v>
      </c>
      <c r="AK83" s="1289">
        <f t="shared" si="22"/>
        <v>0</v>
      </c>
      <c r="AL83" s="1289">
        <f t="shared" si="22"/>
        <v>0</v>
      </c>
      <c r="AM83" s="1289">
        <f t="shared" si="22"/>
        <v>0</v>
      </c>
      <c r="AN83" s="1289">
        <f t="shared" si="22"/>
        <v>9504</v>
      </c>
      <c r="AO83" s="1289">
        <f t="shared" si="22"/>
        <v>837.86</v>
      </c>
      <c r="AP83" s="1289">
        <f t="shared" si="22"/>
        <v>0</v>
      </c>
      <c r="AQ83" s="1289">
        <f t="shared" si="22"/>
        <v>1362</v>
      </c>
      <c r="AR83" s="1289">
        <f t="shared" si="22"/>
        <v>0</v>
      </c>
      <c r="AS83" s="1289">
        <f t="shared" si="22"/>
        <v>0</v>
      </c>
      <c r="AT83" s="1289">
        <f t="shared" si="22"/>
        <v>0</v>
      </c>
      <c r="AU83" s="1289">
        <f t="shared" si="22"/>
        <v>0</v>
      </c>
      <c r="AV83" s="1289">
        <f t="shared" si="22"/>
        <v>0</v>
      </c>
      <c r="AW83" s="1295">
        <f>ROUND(SUM(AW78:AW81),5)</f>
        <v>14374.95</v>
      </c>
      <c r="AX83" s="1295">
        <f>ROUND(SUM(AX78:AX81),5)</f>
        <v>40000</v>
      </c>
      <c r="AY83" s="1295"/>
      <c r="AZ83" s="1295"/>
      <c r="BA83" s="1295">
        <f>ROUND(SUM(BA78:BA81),5)</f>
        <v>0</v>
      </c>
      <c r="BB83" s="1295">
        <f>ROUND(SUM(BB78:BB80),5)</f>
        <v>7131.78</v>
      </c>
      <c r="BC83" s="1289">
        <f>ROUND(SUM(BC78:BC80),5)</f>
        <v>0</v>
      </c>
      <c r="BD83" s="1289">
        <f>ROUND(SUM(BD78:BD80),5)</f>
        <v>8363</v>
      </c>
      <c r="BE83" s="1295"/>
      <c r="BF83" s="1295"/>
      <c r="BG83" s="1295"/>
      <c r="BH83" s="1295"/>
      <c r="BI83" s="1295"/>
    </row>
    <row r="84" spans="1:62" outlineLevel="1" x14ac:dyDescent="0.3">
      <c r="C84" s="1288"/>
      <c r="D84" s="1288"/>
      <c r="E84" s="1288" t="s">
        <v>1047</v>
      </c>
      <c r="F84" s="1288"/>
      <c r="G84" s="1288"/>
      <c r="H84" s="1288"/>
      <c r="I84" s="1288"/>
      <c r="J84" s="1289"/>
      <c r="K84" s="1289"/>
      <c r="L84" s="1289"/>
      <c r="M84" s="1289"/>
      <c r="N84" s="1289"/>
      <c r="O84" s="1289"/>
      <c r="P84" s="1289"/>
      <c r="Q84" s="1289"/>
      <c r="R84" s="1289"/>
      <c r="S84" s="1289"/>
      <c r="T84" s="1289"/>
      <c r="U84" s="1289"/>
      <c r="V84" s="1289"/>
      <c r="W84" s="1289"/>
      <c r="X84" s="1289"/>
      <c r="Y84" s="1289"/>
      <c r="Z84" s="1289"/>
      <c r="AA84" s="1289"/>
      <c r="AB84" s="1289"/>
      <c r="AC84" s="1289"/>
      <c r="AD84" s="1289"/>
      <c r="AE84" s="1289"/>
      <c r="AF84" s="1289"/>
      <c r="AG84" s="1289"/>
      <c r="AH84" s="1289"/>
      <c r="AI84" s="1289"/>
      <c r="AJ84" s="1289"/>
      <c r="AK84" s="1289"/>
      <c r="AL84" s="1289"/>
      <c r="AM84" s="1289"/>
      <c r="AN84" s="1289"/>
      <c r="AO84" s="1289"/>
      <c r="AP84" s="1289"/>
      <c r="AQ84" s="1289"/>
      <c r="AR84" s="1289"/>
      <c r="AS84" s="1289"/>
      <c r="AT84" s="1289"/>
      <c r="AU84" s="1289"/>
      <c r="AV84" s="1289"/>
      <c r="AW84" s="1295"/>
      <c r="AX84" s="1295"/>
      <c r="AY84" s="1295"/>
      <c r="AZ84" s="1295"/>
      <c r="BA84" s="1295"/>
      <c r="BB84" s="1295"/>
      <c r="BC84" s="1289"/>
      <c r="BD84" s="1289"/>
      <c r="BE84" s="1295"/>
      <c r="BF84" s="1295"/>
      <c r="BG84" s="1295"/>
      <c r="BH84" s="1295"/>
      <c r="BI84" s="1295"/>
    </row>
    <row r="85" spans="1:62" outlineLevel="1" x14ac:dyDescent="0.3">
      <c r="C85" s="1288"/>
      <c r="D85" s="1288"/>
      <c r="E85" s="1288"/>
      <c r="F85" s="1288" t="s">
        <v>1048</v>
      </c>
      <c r="G85" s="1288"/>
      <c r="H85" s="1288"/>
      <c r="I85" s="1288"/>
      <c r="J85" s="1289">
        <v>0</v>
      </c>
      <c r="K85" s="1289">
        <v>0</v>
      </c>
      <c r="L85" s="1289">
        <v>0</v>
      </c>
      <c r="M85" s="1289">
        <v>0</v>
      </c>
      <c r="N85" s="1289">
        <v>0</v>
      </c>
      <c r="O85" s="1289">
        <v>0</v>
      </c>
      <c r="P85" s="1289">
        <v>0</v>
      </c>
      <c r="Q85" s="1289">
        <v>423.78</v>
      </c>
      <c r="R85" s="1289">
        <v>0</v>
      </c>
      <c r="S85" s="1289">
        <v>0</v>
      </c>
      <c r="T85" s="1289">
        <v>0</v>
      </c>
      <c r="U85" s="1289">
        <v>2244.52</v>
      </c>
      <c r="V85" s="1289">
        <v>0</v>
      </c>
      <c r="W85" s="1289">
        <v>0</v>
      </c>
      <c r="X85" s="1289">
        <v>0</v>
      </c>
      <c r="Y85" s="1289">
        <v>0</v>
      </c>
      <c r="Z85" s="1289">
        <v>0</v>
      </c>
      <c r="AA85" s="1289">
        <v>8083.73</v>
      </c>
      <c r="AB85" s="1289">
        <v>0</v>
      </c>
      <c r="AC85" s="1289">
        <v>0</v>
      </c>
      <c r="AD85" s="1289">
        <v>0</v>
      </c>
      <c r="AE85" s="1289">
        <v>40.590000000000003</v>
      </c>
      <c r="AF85" s="1289">
        <v>0</v>
      </c>
      <c r="AG85" s="1289">
        <v>3855.61</v>
      </c>
      <c r="AH85" s="1289">
        <v>0</v>
      </c>
      <c r="AI85" s="1289">
        <v>0</v>
      </c>
      <c r="AJ85" s="1289">
        <v>0</v>
      </c>
      <c r="AK85" s="1289">
        <v>0</v>
      </c>
      <c r="AL85" s="1289">
        <v>0</v>
      </c>
      <c r="AM85" s="1289">
        <v>1164.5</v>
      </c>
      <c r="AN85" s="1289">
        <v>0</v>
      </c>
      <c r="AO85" s="1289">
        <v>0</v>
      </c>
      <c r="AP85" s="1289">
        <v>0</v>
      </c>
      <c r="AQ85" s="1289">
        <v>0</v>
      </c>
      <c r="AR85" s="1289">
        <v>0</v>
      </c>
      <c r="AS85" s="1289">
        <v>1564.03</v>
      </c>
      <c r="AT85" s="1289">
        <v>0</v>
      </c>
      <c r="AU85" s="1289">
        <v>0</v>
      </c>
      <c r="AV85" s="1289">
        <v>0</v>
      </c>
      <c r="AW85" s="1295">
        <v>0</v>
      </c>
      <c r="AX85" s="1295">
        <v>2574.9699999999998</v>
      </c>
      <c r="AY85" s="1295"/>
      <c r="AZ85" s="1295"/>
      <c r="BA85" s="1295">
        <v>0</v>
      </c>
      <c r="BB85" s="1295">
        <v>247.75</v>
      </c>
      <c r="BC85" s="1289">
        <v>0</v>
      </c>
      <c r="BD85" s="1289"/>
      <c r="BE85" s="1295"/>
      <c r="BF85" s="1295"/>
      <c r="BG85" s="1295"/>
      <c r="BH85" s="1295"/>
      <c r="BI85" s="1295"/>
    </row>
    <row r="86" spans="1:62" outlineLevel="1" x14ac:dyDescent="0.3">
      <c r="C86" s="1288"/>
      <c r="D86" s="1288"/>
      <c r="E86" s="1288"/>
      <c r="F86" s="1288" t="s">
        <v>1049</v>
      </c>
      <c r="G86" s="1288"/>
      <c r="H86" s="1288"/>
      <c r="I86" s="1288"/>
      <c r="J86" s="1289">
        <v>10153.31</v>
      </c>
      <c r="K86" s="1289">
        <v>10124.42</v>
      </c>
      <c r="L86" s="1289">
        <v>7988.84</v>
      </c>
      <c r="M86" s="1289">
        <v>4111.75</v>
      </c>
      <c r="N86" s="1289">
        <v>5495.59</v>
      </c>
      <c r="O86" s="1289">
        <v>6006.08</v>
      </c>
      <c r="P86" s="1289">
        <v>6411.58</v>
      </c>
      <c r="Q86" s="1289">
        <v>5723.5</v>
      </c>
      <c r="R86" s="1289">
        <v>6744.36</v>
      </c>
      <c r="S86" s="1289">
        <v>5020.51</v>
      </c>
      <c r="T86" s="1289">
        <v>4832.37</v>
      </c>
      <c r="U86" s="1289">
        <v>5023.99</v>
      </c>
      <c r="V86" s="1289">
        <v>5061.6899999999996</v>
      </c>
      <c r="W86" s="1289">
        <v>1939.68</v>
      </c>
      <c r="X86" s="1289">
        <v>2337.7800000000002</v>
      </c>
      <c r="Y86" s="1289">
        <v>3046.42</v>
      </c>
      <c r="Z86" s="1289">
        <v>2664.08</v>
      </c>
      <c r="AA86" s="1289">
        <v>2422.16</v>
      </c>
      <c r="AB86" s="1289">
        <v>2557.17</v>
      </c>
      <c r="AC86" s="1289">
        <v>2523.48</v>
      </c>
      <c r="AD86" s="1289">
        <v>2521.3000000000002</v>
      </c>
      <c r="AE86" s="1289">
        <v>2452.4899999999998</v>
      </c>
      <c r="AF86" s="1289">
        <v>1939.93</v>
      </c>
      <c r="AG86" s="1289">
        <v>2484.2199999999998</v>
      </c>
      <c r="AH86" s="1289">
        <v>4696.8999999999996</v>
      </c>
      <c r="AI86" s="1289">
        <v>4998.28</v>
      </c>
      <c r="AJ86" s="1289">
        <v>3257.03</v>
      </c>
      <c r="AK86" s="1289">
        <v>1872.15</v>
      </c>
      <c r="AL86" s="1289">
        <v>3827.5</v>
      </c>
      <c r="AM86" s="1289">
        <v>1637</v>
      </c>
      <c r="AN86" s="1289">
        <v>2086.4</v>
      </c>
      <c r="AO86" s="1289">
        <v>2093.16</v>
      </c>
      <c r="AP86" s="1289">
        <v>2128.7199999999998</v>
      </c>
      <c r="AQ86" s="1289">
        <v>2484.7600000000002</v>
      </c>
      <c r="AR86" s="1289">
        <v>2230.25</v>
      </c>
      <c r="AS86" s="1289">
        <v>2461.15</v>
      </c>
      <c r="AT86" s="1289">
        <v>2359.94</v>
      </c>
      <c r="AU86" s="1289">
        <v>1992.45</v>
      </c>
      <c r="AV86" s="1289">
        <v>1960.66</v>
      </c>
      <c r="AW86" s="1295">
        <v>5620.17</v>
      </c>
      <c r="AX86" s="1295">
        <v>1972.65</v>
      </c>
      <c r="AY86" s="1295"/>
      <c r="AZ86" s="1295">
        <v>13099.53</v>
      </c>
      <c r="BA86" s="1295">
        <v>13407.44</v>
      </c>
      <c r="BB86" s="1295">
        <v>12628.39</v>
      </c>
      <c r="BC86" s="1289">
        <v>10954.85</v>
      </c>
      <c r="BD86" s="1289">
        <v>11934.22</v>
      </c>
      <c r="BE86" s="1295"/>
      <c r="BF86" s="1295"/>
      <c r="BG86" s="1295"/>
      <c r="BH86" s="1295"/>
      <c r="BI86" s="1295"/>
    </row>
    <row r="87" spans="1:62" outlineLevel="1" x14ac:dyDescent="0.3">
      <c r="C87" s="1288"/>
      <c r="D87" s="1288"/>
      <c r="E87" s="1288"/>
      <c r="F87" s="1288" t="s">
        <v>1233</v>
      </c>
      <c r="G87" s="1288"/>
      <c r="H87" s="1288"/>
      <c r="I87" s="1288"/>
      <c r="J87" s="1289"/>
      <c r="K87" s="1289"/>
      <c r="L87" s="1289"/>
      <c r="M87" s="1289"/>
      <c r="N87" s="1289"/>
      <c r="O87" s="1289"/>
      <c r="P87" s="1289"/>
      <c r="Q87" s="1289"/>
      <c r="R87" s="1289"/>
      <c r="S87" s="1289"/>
      <c r="T87" s="1289"/>
      <c r="U87" s="1289"/>
      <c r="V87" s="1289"/>
      <c r="W87" s="1289"/>
      <c r="X87" s="1289"/>
      <c r="Y87" s="1289"/>
      <c r="Z87" s="1289"/>
      <c r="AA87" s="1289"/>
      <c r="AB87" s="1289"/>
      <c r="AC87" s="1289"/>
      <c r="AD87" s="1289"/>
      <c r="AE87" s="1289"/>
      <c r="AF87" s="1289"/>
      <c r="AG87" s="1289"/>
      <c r="AH87" s="1289"/>
      <c r="AI87" s="1289"/>
      <c r="AJ87" s="1289"/>
      <c r="AK87" s="1289"/>
      <c r="AL87" s="1289"/>
      <c r="AM87" s="1289"/>
      <c r="AN87" s="1289"/>
      <c r="AO87" s="1289"/>
      <c r="AP87" s="1289"/>
      <c r="AQ87" s="1289"/>
      <c r="AR87" s="1289"/>
      <c r="AS87" s="1289"/>
      <c r="AT87" s="1289"/>
      <c r="AU87" s="1289"/>
      <c r="AV87" s="1289"/>
      <c r="AW87" s="1295"/>
      <c r="AX87" s="1295"/>
      <c r="AY87" s="1295"/>
      <c r="AZ87" s="1295">
        <v>349651.5</v>
      </c>
      <c r="BA87" s="1295">
        <v>0</v>
      </c>
      <c r="BB87" s="1295">
        <v>0</v>
      </c>
      <c r="BC87" s="1289">
        <v>0</v>
      </c>
      <c r="BD87" s="1289"/>
      <c r="BE87" s="1295"/>
      <c r="BF87" s="1295"/>
      <c r="BG87" s="1295"/>
      <c r="BH87" s="1295"/>
      <c r="BI87" s="1295"/>
    </row>
    <row r="88" spans="1:62" ht="15" outlineLevel="1" thickBot="1" x14ac:dyDescent="0.35">
      <c r="C88" s="1288"/>
      <c r="D88" s="1288"/>
      <c r="E88" s="1288"/>
      <c r="F88" s="1288" t="s">
        <v>1050</v>
      </c>
      <c r="G88" s="1288"/>
      <c r="H88" s="1288"/>
      <c r="I88" s="1288"/>
      <c r="J88" s="1289">
        <v>0</v>
      </c>
      <c r="K88" s="1289">
        <v>0</v>
      </c>
      <c r="L88" s="1289">
        <v>0</v>
      </c>
      <c r="M88" s="1289">
        <v>0</v>
      </c>
      <c r="N88" s="1289">
        <v>0</v>
      </c>
      <c r="O88" s="1289">
        <v>0</v>
      </c>
      <c r="P88" s="1289">
        <v>0</v>
      </c>
      <c r="Q88" s="1289">
        <v>0</v>
      </c>
      <c r="R88" s="1289">
        <v>0</v>
      </c>
      <c r="S88" s="1289">
        <v>0</v>
      </c>
      <c r="T88" s="1289">
        <v>0</v>
      </c>
      <c r="U88" s="1289">
        <v>0</v>
      </c>
      <c r="V88" s="1289">
        <v>0</v>
      </c>
      <c r="W88" s="1289">
        <v>0</v>
      </c>
      <c r="X88" s="1289">
        <v>0</v>
      </c>
      <c r="Y88" s="1289">
        <v>0</v>
      </c>
      <c r="Z88" s="1289">
        <v>0</v>
      </c>
      <c r="AA88" s="1289">
        <v>0</v>
      </c>
      <c r="AB88" s="1289">
        <v>0</v>
      </c>
      <c r="AC88" s="1289">
        <v>0</v>
      </c>
      <c r="AD88" s="1289">
        <v>0</v>
      </c>
      <c r="AE88" s="1289">
        <v>0</v>
      </c>
      <c r="AF88" s="1289">
        <v>0</v>
      </c>
      <c r="AG88" s="1289">
        <v>0</v>
      </c>
      <c r="AH88" s="1289">
        <v>0</v>
      </c>
      <c r="AI88" s="1289">
        <v>0</v>
      </c>
      <c r="AJ88" s="1289">
        <v>0</v>
      </c>
      <c r="AK88" s="1289">
        <v>0</v>
      </c>
      <c r="AL88" s="1289">
        <v>0</v>
      </c>
      <c r="AM88" s="1289">
        <v>0</v>
      </c>
      <c r="AN88" s="1289">
        <v>0</v>
      </c>
      <c r="AO88" s="1289">
        <v>0</v>
      </c>
      <c r="AP88" s="1289">
        <v>0</v>
      </c>
      <c r="AQ88" s="1289">
        <v>0</v>
      </c>
      <c r="AR88" s="1289">
        <v>0</v>
      </c>
      <c r="AS88" s="1289">
        <v>65000</v>
      </c>
      <c r="AT88" s="1289">
        <v>0</v>
      </c>
      <c r="AU88" s="1289">
        <v>0</v>
      </c>
      <c r="AV88" s="1289">
        <v>-851</v>
      </c>
      <c r="AW88" s="1295">
        <v>0</v>
      </c>
      <c r="AX88" s="1295">
        <v>0</v>
      </c>
      <c r="AY88" s="1295"/>
      <c r="AZ88" s="1295"/>
      <c r="BA88" s="1295">
        <v>0</v>
      </c>
      <c r="BB88" s="1295">
        <v>0</v>
      </c>
      <c r="BC88" s="1289"/>
      <c r="BD88" s="1289"/>
      <c r="BE88" s="1295"/>
      <c r="BF88" s="1295"/>
      <c r="BG88" s="1295"/>
      <c r="BH88" s="1295"/>
      <c r="BI88" s="1295"/>
    </row>
    <row r="89" spans="1:62" ht="15" outlineLevel="1" thickBot="1" x14ac:dyDescent="0.35">
      <c r="C89" s="1288"/>
      <c r="D89" s="1288"/>
      <c r="E89" s="1288" t="s">
        <v>1051</v>
      </c>
      <c r="F89" s="1288"/>
      <c r="G89" s="1288"/>
      <c r="H89" s="1288"/>
      <c r="I89" s="1288"/>
      <c r="J89" s="1292">
        <f t="shared" ref="J89:AX89" si="23">ROUND(SUM(J84:J88),5)</f>
        <v>10153.31</v>
      </c>
      <c r="K89" s="1292">
        <f t="shared" si="23"/>
        <v>10124.42</v>
      </c>
      <c r="L89" s="1292">
        <f t="shared" si="23"/>
        <v>7988.84</v>
      </c>
      <c r="M89" s="1292">
        <f t="shared" si="23"/>
        <v>4111.75</v>
      </c>
      <c r="N89" s="1292">
        <f t="shared" si="23"/>
        <v>5495.59</v>
      </c>
      <c r="O89" s="1292">
        <f t="shared" si="23"/>
        <v>6006.08</v>
      </c>
      <c r="P89" s="1292">
        <f t="shared" si="23"/>
        <v>6411.58</v>
      </c>
      <c r="Q89" s="1292">
        <f t="shared" si="23"/>
        <v>6147.28</v>
      </c>
      <c r="R89" s="1292">
        <f t="shared" si="23"/>
        <v>6744.36</v>
      </c>
      <c r="S89" s="1292">
        <f t="shared" si="23"/>
        <v>5020.51</v>
      </c>
      <c r="T89" s="1292">
        <f t="shared" si="23"/>
        <v>4832.37</v>
      </c>
      <c r="U89" s="1292">
        <f t="shared" si="23"/>
        <v>7268.51</v>
      </c>
      <c r="V89" s="1292">
        <f t="shared" si="23"/>
        <v>5061.6899999999996</v>
      </c>
      <c r="W89" s="1292">
        <f t="shared" si="23"/>
        <v>1939.68</v>
      </c>
      <c r="X89" s="1292">
        <f t="shared" si="23"/>
        <v>2337.7800000000002</v>
      </c>
      <c r="Y89" s="1292">
        <f t="shared" si="23"/>
        <v>3046.42</v>
      </c>
      <c r="Z89" s="1292">
        <f t="shared" si="23"/>
        <v>2664.08</v>
      </c>
      <c r="AA89" s="1292">
        <f t="shared" si="23"/>
        <v>10505.89</v>
      </c>
      <c r="AB89" s="1292">
        <f t="shared" si="23"/>
        <v>2557.17</v>
      </c>
      <c r="AC89" s="1292">
        <f t="shared" si="23"/>
        <v>2523.48</v>
      </c>
      <c r="AD89" s="1292">
        <f t="shared" si="23"/>
        <v>2521.3000000000002</v>
      </c>
      <c r="AE89" s="1292">
        <f t="shared" si="23"/>
        <v>2493.08</v>
      </c>
      <c r="AF89" s="1292">
        <f t="shared" si="23"/>
        <v>1939.93</v>
      </c>
      <c r="AG89" s="1292">
        <f t="shared" si="23"/>
        <v>6339.83</v>
      </c>
      <c r="AH89" s="1292">
        <f t="shared" si="23"/>
        <v>4696.8999999999996</v>
      </c>
      <c r="AI89" s="1292">
        <f t="shared" si="23"/>
        <v>4998.28</v>
      </c>
      <c r="AJ89" s="1292">
        <f t="shared" si="23"/>
        <v>3257.03</v>
      </c>
      <c r="AK89" s="1292">
        <f t="shared" si="23"/>
        <v>1872.15</v>
      </c>
      <c r="AL89" s="1292">
        <f t="shared" si="23"/>
        <v>3827.5</v>
      </c>
      <c r="AM89" s="1292">
        <f t="shared" si="23"/>
        <v>2801.5</v>
      </c>
      <c r="AN89" s="1292">
        <f t="shared" si="23"/>
        <v>2086.4</v>
      </c>
      <c r="AO89" s="1292">
        <f t="shared" si="23"/>
        <v>2093.16</v>
      </c>
      <c r="AP89" s="1292">
        <f t="shared" si="23"/>
        <v>2128.7199999999998</v>
      </c>
      <c r="AQ89" s="1292">
        <f t="shared" si="23"/>
        <v>2484.7600000000002</v>
      </c>
      <c r="AR89" s="1292">
        <f t="shared" si="23"/>
        <v>2230.25</v>
      </c>
      <c r="AS89" s="1292">
        <f t="shared" si="23"/>
        <v>69025.179999999993</v>
      </c>
      <c r="AT89" s="1292">
        <f t="shared" si="23"/>
        <v>2359.94</v>
      </c>
      <c r="AU89" s="1292">
        <f t="shared" si="23"/>
        <v>1992.45</v>
      </c>
      <c r="AV89" s="1292">
        <f t="shared" si="23"/>
        <v>1109.6600000000001</v>
      </c>
      <c r="AW89" s="1300">
        <f t="shared" si="23"/>
        <v>5620.17</v>
      </c>
      <c r="AX89" s="1300">
        <f t="shared" si="23"/>
        <v>4547.62</v>
      </c>
      <c r="AY89" s="1300"/>
      <c r="AZ89" s="1300">
        <f>ROUND(SUM(AZ78:AZ87),5)</f>
        <v>362751.03</v>
      </c>
      <c r="BA89" s="1300">
        <f>ROUND(SUM(BA84:BA88),5)</f>
        <v>13407.44</v>
      </c>
      <c r="BB89" s="1300">
        <f>ROUND(SUM(BB84:BB88),5)</f>
        <v>12876.14</v>
      </c>
      <c r="BC89" s="1292">
        <f>ROUND(SUM(BC84:BC87),5)</f>
        <v>10954.85</v>
      </c>
      <c r="BD89" s="1292">
        <f>ROUND(SUM(BD84:BD87),5)</f>
        <v>11934.22</v>
      </c>
      <c r="BE89" s="1300"/>
      <c r="BF89" s="1300"/>
      <c r="BG89" s="1300"/>
      <c r="BH89" s="1300"/>
      <c r="BI89" s="1300"/>
    </row>
    <row r="90" spans="1:62" s="1294" customFormat="1" ht="15" thickBot="1" x14ac:dyDescent="0.35">
      <c r="A90"/>
      <c r="B90"/>
      <c r="C90" s="1288"/>
      <c r="D90" s="1288" t="s">
        <v>1052</v>
      </c>
      <c r="E90" s="1288"/>
      <c r="F90" s="1288"/>
      <c r="G90" s="1288"/>
      <c r="H90" s="1288"/>
      <c r="I90" s="1288"/>
      <c r="J90" s="1292">
        <f t="shared" ref="J90:AX90" si="24">ROUND(J77+J83-J89,5)</f>
        <v>-5475.31</v>
      </c>
      <c r="K90" s="1292">
        <f t="shared" si="24"/>
        <v>-5797.72</v>
      </c>
      <c r="L90" s="1292">
        <f t="shared" si="24"/>
        <v>-3988.84</v>
      </c>
      <c r="M90" s="1292">
        <f t="shared" si="24"/>
        <v>-4111.75</v>
      </c>
      <c r="N90" s="1292">
        <f t="shared" si="24"/>
        <v>-5495.59</v>
      </c>
      <c r="O90" s="1292">
        <f t="shared" si="24"/>
        <v>-2006.08</v>
      </c>
      <c r="P90" s="1292">
        <f t="shared" si="24"/>
        <v>-5610.15</v>
      </c>
      <c r="Q90" s="1292">
        <f t="shared" si="24"/>
        <v>-867.28</v>
      </c>
      <c r="R90" s="1292">
        <f t="shared" si="24"/>
        <v>-5477.93</v>
      </c>
      <c r="S90" s="1292">
        <f t="shared" si="24"/>
        <v>-5020.51</v>
      </c>
      <c r="T90" s="1292">
        <f t="shared" si="24"/>
        <v>-4242.0200000000004</v>
      </c>
      <c r="U90" s="1292">
        <f t="shared" si="24"/>
        <v>-12004.51</v>
      </c>
      <c r="V90" s="1292">
        <f t="shared" si="24"/>
        <v>-5061.6899999999996</v>
      </c>
      <c r="W90" s="1292">
        <f t="shared" si="24"/>
        <v>-1939.68</v>
      </c>
      <c r="X90" s="1292">
        <f t="shared" si="24"/>
        <v>1094.6400000000001</v>
      </c>
      <c r="Y90" s="1292">
        <f t="shared" si="24"/>
        <v>-3046.42</v>
      </c>
      <c r="Z90" s="1292">
        <f t="shared" si="24"/>
        <v>-1699.09</v>
      </c>
      <c r="AA90" s="1292">
        <f t="shared" si="24"/>
        <v>614593.11</v>
      </c>
      <c r="AB90" s="1292">
        <f t="shared" si="24"/>
        <v>9890.0300000000007</v>
      </c>
      <c r="AC90" s="1292">
        <f t="shared" si="24"/>
        <v>-2523.48</v>
      </c>
      <c r="AD90" s="1292">
        <f t="shared" si="24"/>
        <v>-2521.3000000000002</v>
      </c>
      <c r="AE90" s="1292">
        <f t="shared" si="24"/>
        <v>-2493.08</v>
      </c>
      <c r="AF90" s="1292">
        <f t="shared" si="24"/>
        <v>-1939.93</v>
      </c>
      <c r="AG90" s="1292">
        <f t="shared" si="24"/>
        <v>-5649.83</v>
      </c>
      <c r="AH90" s="1292">
        <f t="shared" si="24"/>
        <v>-4696.2296200000001</v>
      </c>
      <c r="AI90" s="1292">
        <f t="shared" si="24"/>
        <v>-4997.5550899999998</v>
      </c>
      <c r="AJ90" s="1292">
        <f t="shared" si="24"/>
        <v>-3256.2424999999998</v>
      </c>
      <c r="AK90" s="1292">
        <f t="shared" si="24"/>
        <v>-1871.4120700000001</v>
      </c>
      <c r="AL90" s="1292">
        <f t="shared" si="24"/>
        <v>-3826.7632699999999</v>
      </c>
      <c r="AM90" s="1292">
        <f t="shared" si="24"/>
        <v>-2800.9814799999999</v>
      </c>
      <c r="AN90" s="1292">
        <f t="shared" si="24"/>
        <v>7418.3024100000002</v>
      </c>
      <c r="AO90" s="1292">
        <f t="shared" si="24"/>
        <v>-1254.5058200000001</v>
      </c>
      <c r="AP90" s="1292">
        <f t="shared" si="24"/>
        <v>-2128.0129700000002</v>
      </c>
      <c r="AQ90" s="1292">
        <f t="shared" si="24"/>
        <v>-1122.10643</v>
      </c>
      <c r="AR90" s="1292">
        <f t="shared" si="24"/>
        <v>-2229.5209300000001</v>
      </c>
      <c r="AS90" s="1292">
        <f t="shared" si="24"/>
        <v>-69024.35067</v>
      </c>
      <c r="AT90" s="1292">
        <f t="shared" si="24"/>
        <v>-2359.20748</v>
      </c>
      <c r="AU90" s="1292">
        <f t="shared" si="24"/>
        <v>-1991.6990000000001</v>
      </c>
      <c r="AV90" s="1300">
        <f t="shared" si="24"/>
        <v>-1108.9319599999999</v>
      </c>
      <c r="AW90" s="1300">
        <f t="shared" si="24"/>
        <v>8754.9084899999998</v>
      </c>
      <c r="AX90" s="1300">
        <f t="shared" si="24"/>
        <v>35452.360009999997</v>
      </c>
      <c r="AY90" s="1300"/>
      <c r="AZ90" s="1300">
        <f>ROUND(AZ77-AZ89,5)</f>
        <v>-362750.99959000002</v>
      </c>
      <c r="BA90" s="1300">
        <f t="shared" ref="BA90:BI90" si="25">ROUND(BA77+BA83-BA89,5)</f>
        <v>-13407.37982</v>
      </c>
      <c r="BB90" s="1300">
        <f t="shared" si="25"/>
        <v>-5744.2043800000001</v>
      </c>
      <c r="BC90" s="1292">
        <f>ROUND(BC77+BC83-BC89,5)</f>
        <v>-10954.85</v>
      </c>
      <c r="BD90" s="1292">
        <f>ROUND(BD77+BD83-BD89,5)</f>
        <v>-3571.1003799999999</v>
      </c>
      <c r="BE90" s="1300">
        <f t="shared" si="25"/>
        <v>0.18806</v>
      </c>
      <c r="BF90" s="1300">
        <f t="shared" si="25"/>
        <v>0.16339000000000001</v>
      </c>
      <c r="BG90" s="1300">
        <f t="shared" si="25"/>
        <v>0.17122999999999999</v>
      </c>
      <c r="BH90" s="1300">
        <f t="shared" si="25"/>
        <v>0.16786000000000001</v>
      </c>
      <c r="BI90" s="1300">
        <f t="shared" si="25"/>
        <v>0</v>
      </c>
      <c r="BJ90"/>
    </row>
    <row r="91" spans="1:62" ht="15" thickBot="1" x14ac:dyDescent="0.35">
      <c r="A91" s="1294"/>
      <c r="B91" s="1294"/>
      <c r="C91" s="1288" t="s">
        <v>202</v>
      </c>
      <c r="D91" s="1288"/>
      <c r="E91" s="1288"/>
      <c r="F91" s="1288"/>
      <c r="G91" s="1288"/>
      <c r="H91" s="1288"/>
      <c r="I91" s="1288"/>
      <c r="J91" s="1293">
        <f t="shared" ref="J91:AX91" si="26">ROUND(J76+J90,5)</f>
        <v>363705.7</v>
      </c>
      <c r="K91" s="1293">
        <f t="shared" si="26"/>
        <v>396631.43</v>
      </c>
      <c r="L91" s="1293">
        <f t="shared" si="26"/>
        <v>165266.06</v>
      </c>
      <c r="M91" s="1293">
        <f t="shared" si="26"/>
        <v>242417.3</v>
      </c>
      <c r="N91" s="1293">
        <f t="shared" si="26"/>
        <v>250556.25</v>
      </c>
      <c r="O91" s="1293">
        <f t="shared" si="26"/>
        <v>188251.13</v>
      </c>
      <c r="P91" s="1293">
        <f t="shared" si="26"/>
        <v>321547.84000000003</v>
      </c>
      <c r="Q91" s="1293">
        <f t="shared" si="26"/>
        <v>223810.05</v>
      </c>
      <c r="R91" s="1293">
        <f t="shared" si="26"/>
        <v>215327.34</v>
      </c>
      <c r="S91" s="1293">
        <f t="shared" si="26"/>
        <v>335083.78000000003</v>
      </c>
      <c r="T91" s="1293">
        <f t="shared" si="26"/>
        <v>246334.83</v>
      </c>
      <c r="U91" s="1293">
        <f t="shared" si="26"/>
        <v>900614.02</v>
      </c>
      <c r="V91" s="1293">
        <f t="shared" si="26"/>
        <v>169844.32</v>
      </c>
      <c r="W91" s="1293">
        <f t="shared" si="26"/>
        <v>155532.44</v>
      </c>
      <c r="X91" s="1293">
        <f t="shared" si="26"/>
        <v>520304.44</v>
      </c>
      <c r="Y91" s="1293">
        <f t="shared" si="26"/>
        <v>308674.93</v>
      </c>
      <c r="Z91" s="1293">
        <f t="shared" si="26"/>
        <v>549146.07999999996</v>
      </c>
      <c r="AA91" s="1293">
        <f t="shared" si="26"/>
        <v>1383114.02</v>
      </c>
      <c r="AB91" s="1293">
        <f t="shared" si="26"/>
        <v>398051.18</v>
      </c>
      <c r="AC91" s="1293">
        <f t="shared" si="26"/>
        <v>807236.96</v>
      </c>
      <c r="AD91" s="1293">
        <f t="shared" si="26"/>
        <v>568404.55000000005</v>
      </c>
      <c r="AE91" s="1293">
        <f t="shared" si="26"/>
        <v>266740.89</v>
      </c>
      <c r="AF91" s="1293">
        <f t="shared" si="26"/>
        <v>841398.48</v>
      </c>
      <c r="AG91" s="1293">
        <f t="shared" si="26"/>
        <v>1335356.8899999999</v>
      </c>
      <c r="AH91" s="1293">
        <f t="shared" si="26"/>
        <v>370018.14038</v>
      </c>
      <c r="AI91" s="1293">
        <f t="shared" si="26"/>
        <v>502950.30491000001</v>
      </c>
      <c r="AJ91" s="1293">
        <f t="shared" si="26"/>
        <v>740813.74750000006</v>
      </c>
      <c r="AK91" s="1293">
        <f t="shared" si="26"/>
        <v>562364.11792999995</v>
      </c>
      <c r="AL91" s="1293">
        <f t="shared" si="26"/>
        <v>475534.18673000002</v>
      </c>
      <c r="AM91" s="1293">
        <f t="shared" si="26"/>
        <v>224267.65852</v>
      </c>
      <c r="AN91" s="1293">
        <f t="shared" si="26"/>
        <v>472049.15240999998</v>
      </c>
      <c r="AO91" s="1293">
        <f t="shared" si="26"/>
        <v>1102490.86418</v>
      </c>
      <c r="AP91" s="1293">
        <f t="shared" si="26"/>
        <v>543602.02703</v>
      </c>
      <c r="AQ91" s="1293">
        <f t="shared" si="26"/>
        <v>368514.26357000001</v>
      </c>
      <c r="AR91" s="1293">
        <f t="shared" si="26"/>
        <v>661271.22907</v>
      </c>
      <c r="AS91" s="1293">
        <f t="shared" si="26"/>
        <v>676588.38933000003</v>
      </c>
      <c r="AT91" s="1293">
        <f t="shared" si="26"/>
        <v>585800.44252000004</v>
      </c>
      <c r="AU91" s="1293">
        <f t="shared" si="26"/>
        <v>665978.35100000002</v>
      </c>
      <c r="AV91" s="1301">
        <f t="shared" si="26"/>
        <v>705611.91804000002</v>
      </c>
      <c r="AW91" s="1301">
        <f t="shared" si="26"/>
        <v>95778.198489999995</v>
      </c>
      <c r="AX91" s="1301">
        <f t="shared" si="26"/>
        <v>26090.75001</v>
      </c>
      <c r="AY91" s="1301"/>
      <c r="AZ91" s="1301">
        <f t="shared" ref="AZ91:BI91" si="27">ROUND(AZ76+AZ90,5)</f>
        <v>-348389.48959000001</v>
      </c>
      <c r="BA91" s="1301">
        <f t="shared" si="27"/>
        <v>12845.600179999999</v>
      </c>
      <c r="BB91" s="1301">
        <f t="shared" si="27"/>
        <v>107351.40562000001</v>
      </c>
      <c r="BC91" s="1293">
        <f>ROUND(BC76+BC90,5)</f>
        <v>120923.53</v>
      </c>
      <c r="BD91" s="1293">
        <f>ROUND(BD76+BD90,5)</f>
        <v>95009.799620000005</v>
      </c>
      <c r="BE91" s="1301">
        <f t="shared" si="27"/>
        <v>156684.93715000001</v>
      </c>
      <c r="BF91" s="1301">
        <f t="shared" si="27"/>
        <v>137259.21679999999</v>
      </c>
      <c r="BG91" s="1301">
        <f t="shared" si="27"/>
        <v>145048.26495000001</v>
      </c>
      <c r="BH91" s="1301">
        <f t="shared" si="27"/>
        <v>143373.20832000001</v>
      </c>
      <c r="BI91" s="1301">
        <f t="shared" si="27"/>
        <v>145376.34357999999</v>
      </c>
      <c r="BJ91" s="1294"/>
    </row>
    <row r="92" spans="1:62" ht="15" thickTop="1" x14ac:dyDescent="0.3">
      <c r="AW92" s="1310"/>
      <c r="AX92" s="1310"/>
      <c r="AY92" s="1310"/>
      <c r="AZ92" s="1310"/>
      <c r="BA92" s="1310"/>
      <c r="BB92" s="1310"/>
      <c r="BC92" s="1310"/>
      <c r="BD92" s="1310"/>
      <c r="BE92" s="1310"/>
      <c r="BF92" s="1310"/>
      <c r="BG92" s="1310"/>
      <c r="BH92" s="1310"/>
      <c r="BI92" s="1310"/>
    </row>
    <row r="93" spans="1:62" x14ac:dyDescent="0.3">
      <c r="C93" s="1294" t="s">
        <v>379</v>
      </c>
      <c r="AQ93" s="1310">
        <f t="shared" ref="AQ93:AW93" si="28">AQ86</f>
        <v>2484.7600000000002</v>
      </c>
      <c r="AR93" s="1310">
        <f t="shared" si="28"/>
        <v>2230.25</v>
      </c>
      <c r="AS93" s="1310">
        <f t="shared" si="28"/>
        <v>2461.15</v>
      </c>
      <c r="AT93" s="1310">
        <f t="shared" si="28"/>
        <v>2359.94</v>
      </c>
      <c r="AU93" s="1310">
        <f t="shared" si="28"/>
        <v>1992.45</v>
      </c>
      <c r="AV93" s="1310">
        <f t="shared" si="28"/>
        <v>1960.66</v>
      </c>
      <c r="AW93" s="1310">
        <f t="shared" si="28"/>
        <v>5620.17</v>
      </c>
      <c r="AX93" s="1310">
        <f>AX86</f>
        <v>1972.65</v>
      </c>
      <c r="AY93" s="1310"/>
      <c r="AZ93" s="1310">
        <f t="shared" ref="AZ93:BB93" si="29">AZ86</f>
        <v>13099.53</v>
      </c>
      <c r="BA93" s="1310">
        <f t="shared" si="29"/>
        <v>13407.44</v>
      </c>
      <c r="BB93" s="1310">
        <f t="shared" si="29"/>
        <v>12628.39</v>
      </c>
      <c r="BC93" s="1310">
        <f>BC86</f>
        <v>10954.85</v>
      </c>
      <c r="BD93" s="1310">
        <f>BD86</f>
        <v>11934.22</v>
      </c>
      <c r="BE93" s="1310"/>
      <c r="BF93" s="1310"/>
      <c r="BG93" s="1310"/>
      <c r="BH93" s="1310"/>
      <c r="BI93" s="1310"/>
    </row>
    <row r="94" spans="1:62" x14ac:dyDescent="0.3">
      <c r="C94" s="1294" t="s">
        <v>1260</v>
      </c>
      <c r="AQ94" s="1310">
        <f t="shared" ref="AQ94:AW94" si="30">AQ88</f>
        <v>0</v>
      </c>
      <c r="AR94" s="1310">
        <f t="shared" si="30"/>
        <v>0</v>
      </c>
      <c r="AS94" s="1310">
        <f t="shared" si="30"/>
        <v>65000</v>
      </c>
      <c r="AT94" s="1310">
        <f t="shared" si="30"/>
        <v>0</v>
      </c>
      <c r="AU94" s="1310">
        <f t="shared" si="30"/>
        <v>0</v>
      </c>
      <c r="AV94" s="1310">
        <f t="shared" si="30"/>
        <v>-851</v>
      </c>
      <c r="AW94" s="1310">
        <f t="shared" si="30"/>
        <v>0</v>
      </c>
      <c r="AX94" s="1310">
        <f>AX88</f>
        <v>0</v>
      </c>
      <c r="AY94" s="1310"/>
      <c r="AZ94" s="1310">
        <f t="shared" ref="AZ94:BB94" si="31">AZ88</f>
        <v>0</v>
      </c>
      <c r="BA94" s="1310">
        <f t="shared" si="31"/>
        <v>0</v>
      </c>
      <c r="BB94" s="1310">
        <f t="shared" si="31"/>
        <v>0</v>
      </c>
      <c r="BC94" s="1310">
        <f>BC88</f>
        <v>0</v>
      </c>
      <c r="BD94" s="1310">
        <f>BD88</f>
        <v>0</v>
      </c>
      <c r="BE94" s="1310"/>
      <c r="BF94" s="1310"/>
      <c r="BG94" s="1310"/>
      <c r="BH94" s="1310"/>
      <c r="BI94" s="1310"/>
    </row>
    <row r="95" spans="1:62" x14ac:dyDescent="0.3">
      <c r="C95" s="1294" t="s">
        <v>216</v>
      </c>
      <c r="AQ95" s="1310">
        <v>0</v>
      </c>
      <c r="AR95" s="1310">
        <v>0</v>
      </c>
      <c r="AS95" s="1310">
        <v>0</v>
      </c>
      <c r="AT95" s="1310">
        <v>0</v>
      </c>
      <c r="AU95" s="1310">
        <v>0</v>
      </c>
      <c r="AV95" s="1310">
        <v>0</v>
      </c>
      <c r="AW95" s="1310">
        <v>0</v>
      </c>
      <c r="AX95" s="1310">
        <v>0</v>
      </c>
      <c r="AY95" s="1310"/>
      <c r="AZ95" s="1310">
        <v>0</v>
      </c>
      <c r="BA95" s="1310">
        <v>0</v>
      </c>
      <c r="BB95" s="1310">
        <v>0</v>
      </c>
      <c r="BC95" s="1310">
        <v>0</v>
      </c>
      <c r="BD95" s="1310">
        <v>0</v>
      </c>
      <c r="BE95" s="1310"/>
      <c r="BF95" s="1310"/>
      <c r="BG95" s="1310"/>
      <c r="BH95" s="1310"/>
      <c r="BI95" s="1310"/>
    </row>
    <row r="96" spans="1:62" x14ac:dyDescent="0.3">
      <c r="C96" s="1294" t="s">
        <v>217</v>
      </c>
      <c r="AQ96" s="1310">
        <f t="shared" ref="AQ96:AW96" si="32">AR70</f>
        <v>56</v>
      </c>
      <c r="AR96" s="1310">
        <f t="shared" si="32"/>
        <v>9.9</v>
      </c>
      <c r="AS96" s="1310">
        <f t="shared" si="32"/>
        <v>56</v>
      </c>
      <c r="AT96" s="1310">
        <f t="shared" si="32"/>
        <v>56</v>
      </c>
      <c r="AU96" s="1310">
        <f t="shared" si="32"/>
        <v>56</v>
      </c>
      <c r="AV96" s="1310">
        <f t="shared" si="32"/>
        <v>56</v>
      </c>
      <c r="AW96" s="1310">
        <f t="shared" si="32"/>
        <v>56</v>
      </c>
      <c r="AX96" s="1310">
        <f>AY70</f>
        <v>0</v>
      </c>
      <c r="AY96" s="1310"/>
      <c r="AZ96" s="1310">
        <f t="shared" ref="AZ96:BB96" si="33">BA70</f>
        <v>0</v>
      </c>
      <c r="BA96" s="1310">
        <f t="shared" si="33"/>
        <v>0</v>
      </c>
      <c r="BB96" s="1310">
        <f t="shared" si="33"/>
        <v>0</v>
      </c>
      <c r="BC96" s="1310">
        <f>BD70</f>
        <v>0</v>
      </c>
      <c r="BD96" s="1310">
        <f>BE70</f>
        <v>0</v>
      </c>
      <c r="BE96" s="1310"/>
      <c r="BF96" s="1310"/>
      <c r="BG96" s="1310"/>
      <c r="BH96" s="1310"/>
      <c r="BI96" s="1310"/>
    </row>
    <row r="97" spans="3:61" x14ac:dyDescent="0.3">
      <c r="C97" s="1294" t="s">
        <v>220</v>
      </c>
      <c r="AQ97" s="1310">
        <f t="shared" ref="AQ97:AW97" si="34">AQ91+AQ87+SUM(AQ93:AQ96)</f>
        <v>371055.02357000002</v>
      </c>
      <c r="AR97" s="1310">
        <f t="shared" si="34"/>
        <v>663511.37907000002</v>
      </c>
      <c r="AS97" s="1310">
        <f t="shared" si="34"/>
        <v>744105.53933000006</v>
      </c>
      <c r="AT97" s="1310">
        <f t="shared" si="34"/>
        <v>588216.38251999998</v>
      </c>
      <c r="AU97" s="1310">
        <f t="shared" si="34"/>
        <v>668026.80099999998</v>
      </c>
      <c r="AV97" s="1310">
        <f t="shared" si="34"/>
        <v>706777.57804000005</v>
      </c>
      <c r="AW97" s="1310">
        <f t="shared" si="34"/>
        <v>101454.36848999999</v>
      </c>
      <c r="AX97" s="1310">
        <f>AX91+AX87+SUM(AX93:AX96)</f>
        <v>28063.400010000001</v>
      </c>
      <c r="AY97" s="1310"/>
      <c r="AZ97" s="1310">
        <f>AZ91+SUM(AZ93:AZ96)</f>
        <v>-335289.95958999998</v>
      </c>
      <c r="BA97" s="1310">
        <f t="shared" ref="BA97:BC97" si="35">BA91+SUM(BA93:BA96)</f>
        <v>26253.04018</v>
      </c>
      <c r="BB97" s="1310">
        <f t="shared" si="35"/>
        <v>119979.79562</v>
      </c>
      <c r="BC97" s="1310">
        <f t="shared" si="35"/>
        <v>131878.38</v>
      </c>
      <c r="BD97" s="1310">
        <f t="shared" ref="BD97" si="36">BD91+SUM(BD93:BD96)</f>
        <v>106944.01962000001</v>
      </c>
      <c r="BE97" s="1310"/>
      <c r="BF97" s="1310"/>
      <c r="BG97" s="1310"/>
      <c r="BH97" s="1310"/>
      <c r="BI97" s="1310"/>
    </row>
    <row r="98" spans="3:61" ht="15" thickBot="1" x14ac:dyDescent="0.35">
      <c r="C98" s="1286"/>
      <c r="D98" s="1286"/>
      <c r="E98" s="1286"/>
      <c r="F98" s="1286"/>
      <c r="G98" s="1286"/>
      <c r="H98" s="1286"/>
      <c r="I98" s="1286"/>
      <c r="J98" s="1287" t="s">
        <v>1053</v>
      </c>
      <c r="K98" s="1287" t="s">
        <v>1054</v>
      </c>
      <c r="L98" s="1287" t="s">
        <v>1055</v>
      </c>
      <c r="M98" s="1287" t="s">
        <v>1056</v>
      </c>
      <c r="N98" s="1287" t="s">
        <v>1057</v>
      </c>
      <c r="O98" s="1287" t="s">
        <v>1058</v>
      </c>
      <c r="P98" s="1287" t="s">
        <v>1059</v>
      </c>
      <c r="Q98" s="1287" t="s">
        <v>1060</v>
      </c>
      <c r="R98" s="1287" t="s">
        <v>1061</v>
      </c>
      <c r="S98" s="1287" t="s">
        <v>1062</v>
      </c>
      <c r="T98" s="1287" t="s">
        <v>1063</v>
      </c>
      <c r="U98" s="1287" t="s">
        <v>1064</v>
      </c>
      <c r="V98" s="1287" t="s">
        <v>1065</v>
      </c>
      <c r="W98" s="1287" t="s">
        <v>1066</v>
      </c>
      <c r="X98" s="1287" t="s">
        <v>1067</v>
      </c>
      <c r="Y98" s="1287" t="s">
        <v>1068</v>
      </c>
      <c r="Z98" s="1287" t="s">
        <v>1069</v>
      </c>
      <c r="AA98" s="1287" t="s">
        <v>1070</v>
      </c>
      <c r="AB98" s="1287" t="s">
        <v>1071</v>
      </c>
      <c r="AC98" s="1287" t="s">
        <v>1072</v>
      </c>
      <c r="AD98" s="1287" t="s">
        <v>1073</v>
      </c>
      <c r="AE98" s="1287" t="s">
        <v>1074</v>
      </c>
      <c r="AF98" s="1287" t="s">
        <v>1075</v>
      </c>
      <c r="AG98" s="1287" t="s">
        <v>1076</v>
      </c>
      <c r="AH98" s="1287" t="s">
        <v>1077</v>
      </c>
      <c r="AI98" s="1287" t="s">
        <v>1078</v>
      </c>
      <c r="AJ98" s="1287" t="s">
        <v>1079</v>
      </c>
      <c r="AK98" s="1287" t="s">
        <v>1080</v>
      </c>
      <c r="AL98" s="1287" t="s">
        <v>1081</v>
      </c>
      <c r="AM98" s="1287" t="s">
        <v>1082</v>
      </c>
      <c r="AN98" s="1287" t="s">
        <v>1083</v>
      </c>
      <c r="AO98" s="1287" t="s">
        <v>1084</v>
      </c>
      <c r="AP98" s="1287" t="s">
        <v>1085</v>
      </c>
      <c r="AQ98" s="1287" t="s">
        <v>1086</v>
      </c>
      <c r="AR98" s="1287" t="s">
        <v>1087</v>
      </c>
      <c r="AS98" s="1287" t="s">
        <v>1088</v>
      </c>
      <c r="AT98" s="1287" t="s">
        <v>1089</v>
      </c>
      <c r="AU98" s="1287" t="s">
        <v>1090</v>
      </c>
      <c r="AV98" s="1287" t="s">
        <v>1091</v>
      </c>
      <c r="AW98" s="1311"/>
      <c r="AX98" s="1311"/>
      <c r="AY98" s="1311"/>
      <c r="AZ98" s="1311"/>
      <c r="BA98" s="1311"/>
      <c r="BB98" s="1311"/>
      <c r="BC98" s="1287"/>
      <c r="BD98" s="1287"/>
      <c r="BE98" s="1311"/>
      <c r="BF98" s="1311"/>
      <c r="BG98" s="1311"/>
      <c r="BH98" s="1311"/>
      <c r="BI98" s="1311"/>
    </row>
    <row r="99" spans="3:61" ht="15" thickTop="1" x14ac:dyDescent="0.3">
      <c r="C99" s="1288" t="s">
        <v>640</v>
      </c>
      <c r="D99" s="1288"/>
      <c r="E99" s="1288"/>
      <c r="F99" s="1288"/>
      <c r="G99" s="1288"/>
      <c r="H99" s="1288"/>
      <c r="I99" s="1288"/>
      <c r="J99" s="1289"/>
      <c r="K99" s="1289"/>
      <c r="L99" s="1289"/>
      <c r="M99" s="1289"/>
      <c r="N99" s="1289"/>
      <c r="O99" s="1289"/>
      <c r="P99" s="1289"/>
      <c r="Q99" s="1289"/>
      <c r="R99" s="1289"/>
      <c r="S99" s="1289"/>
      <c r="T99" s="1289"/>
      <c r="U99" s="1289"/>
      <c r="V99" s="1289"/>
      <c r="W99" s="1289"/>
      <c r="X99" s="1289"/>
      <c r="Y99" s="1289"/>
      <c r="Z99" s="1289"/>
      <c r="AA99" s="1289"/>
      <c r="AB99" s="1289"/>
      <c r="AC99" s="1289"/>
      <c r="AD99" s="1289"/>
      <c r="AE99" s="1289"/>
      <c r="AF99" s="1289"/>
      <c r="AG99" s="1289"/>
      <c r="AH99" s="1289"/>
      <c r="AI99" s="1289"/>
      <c r="AJ99" s="1289"/>
      <c r="AK99" s="1289"/>
      <c r="AL99" s="1289"/>
      <c r="AM99" s="1289"/>
      <c r="AN99" s="1289"/>
      <c r="AO99" s="1289"/>
      <c r="AP99" s="1289"/>
      <c r="AQ99" s="1289"/>
      <c r="AR99" s="1289"/>
      <c r="AS99" s="1289"/>
      <c r="AT99" s="1289"/>
      <c r="AU99" s="1289"/>
      <c r="AV99" s="1289"/>
      <c r="AW99" s="1295"/>
      <c r="AX99" s="1295"/>
      <c r="AY99" s="1295"/>
      <c r="AZ99" s="1289"/>
      <c r="BA99" s="1289"/>
      <c r="BB99" s="1289"/>
      <c r="BC99" s="1289"/>
      <c r="BD99" s="1289"/>
      <c r="BE99" s="1295"/>
      <c r="BF99" s="1295"/>
      <c r="BG99" s="1295"/>
      <c r="BH99" s="1295"/>
      <c r="BI99" s="1295"/>
    </row>
    <row r="100" spans="3:61" x14ac:dyDescent="0.3">
      <c r="C100" s="1288"/>
      <c r="D100" s="1288" t="s">
        <v>232</v>
      </c>
      <c r="E100" s="1288"/>
      <c r="F100" s="1288"/>
      <c r="G100" s="1288"/>
      <c r="H100" s="1288"/>
      <c r="I100" s="1288"/>
      <c r="J100" s="1289"/>
      <c r="K100" s="1289"/>
      <c r="L100" s="1289"/>
      <c r="M100" s="1289"/>
      <c r="N100" s="1289"/>
      <c r="O100" s="1289"/>
      <c r="P100" s="1289"/>
      <c r="Q100" s="1289"/>
      <c r="R100" s="1289"/>
      <c r="S100" s="1289"/>
      <c r="T100" s="1289"/>
      <c r="U100" s="1289"/>
      <c r="V100" s="1289"/>
      <c r="W100" s="1289"/>
      <c r="X100" s="1289"/>
      <c r="Y100" s="1289"/>
      <c r="Z100" s="1289"/>
      <c r="AA100" s="1289"/>
      <c r="AB100" s="1289"/>
      <c r="AC100" s="1289"/>
      <c r="AD100" s="1289"/>
      <c r="AE100" s="1289"/>
      <c r="AF100" s="1289"/>
      <c r="AG100" s="1289"/>
      <c r="AH100" s="1289"/>
      <c r="AI100" s="1289"/>
      <c r="AJ100" s="1289"/>
      <c r="AK100" s="1289"/>
      <c r="AL100" s="1289"/>
      <c r="AM100" s="1289"/>
      <c r="AN100" s="1289"/>
      <c r="AO100" s="1289"/>
      <c r="AP100" s="1289"/>
      <c r="AQ100" s="1289"/>
      <c r="AR100" s="1289"/>
      <c r="AS100" s="1289"/>
      <c r="AT100" s="1289"/>
      <c r="AU100" s="1289"/>
      <c r="AV100" s="1289"/>
      <c r="AW100" s="1295"/>
      <c r="AX100" s="1295"/>
      <c r="AY100" s="1295"/>
      <c r="AZ100" s="1289"/>
      <c r="BA100" s="1289"/>
      <c r="BB100" s="1289"/>
      <c r="BC100" s="1289"/>
      <c r="BD100" s="1289"/>
      <c r="BE100" s="1295"/>
      <c r="BF100" s="1295"/>
      <c r="BG100" s="1295"/>
      <c r="BH100" s="1295"/>
      <c r="BI100" s="1295"/>
    </row>
    <row r="101" spans="3:61" x14ac:dyDescent="0.3">
      <c r="C101" s="1288"/>
      <c r="D101" s="1288"/>
      <c r="E101" s="1288" t="s">
        <v>1092</v>
      </c>
      <c r="F101" s="1288"/>
      <c r="G101" s="1288"/>
      <c r="H101" s="1288"/>
      <c r="I101" s="1288"/>
      <c r="J101" s="1289"/>
      <c r="K101" s="1289"/>
      <c r="L101" s="1289"/>
      <c r="M101" s="1289"/>
      <c r="N101" s="1289"/>
      <c r="O101" s="1289"/>
      <c r="P101" s="1289"/>
      <c r="Q101" s="1289"/>
      <c r="R101" s="1289"/>
      <c r="S101" s="1289"/>
      <c r="T101" s="1289"/>
      <c r="U101" s="1289"/>
      <c r="V101" s="1289"/>
      <c r="W101" s="1289"/>
      <c r="X101" s="1289"/>
      <c r="Y101" s="1289"/>
      <c r="Z101" s="1289"/>
      <c r="AA101" s="1289"/>
      <c r="AB101" s="1289"/>
      <c r="AC101" s="1289"/>
      <c r="AD101" s="1289"/>
      <c r="AE101" s="1289"/>
      <c r="AF101" s="1289"/>
      <c r="AG101" s="1289"/>
      <c r="AH101" s="1289"/>
      <c r="AI101" s="1289"/>
      <c r="AJ101" s="1289"/>
      <c r="AK101" s="1289"/>
      <c r="AL101" s="1289"/>
      <c r="AM101" s="1289"/>
      <c r="AN101" s="1289"/>
      <c r="AO101" s="1289"/>
      <c r="AP101" s="1289"/>
      <c r="AQ101" s="1289"/>
      <c r="AR101" s="1289"/>
      <c r="AS101" s="1289"/>
      <c r="AT101" s="1289"/>
      <c r="AU101" s="1289"/>
      <c r="AV101" s="1289"/>
      <c r="AW101" s="1295"/>
      <c r="AX101" s="1295"/>
      <c r="AY101" s="1295"/>
      <c r="AZ101" s="1289"/>
      <c r="BA101" s="1289"/>
      <c r="BB101" s="1289"/>
      <c r="BC101" s="1289"/>
      <c r="BD101" s="1289"/>
      <c r="BE101" s="1295"/>
      <c r="BF101" s="1295"/>
      <c r="BG101" s="1295"/>
      <c r="BH101" s="1295"/>
      <c r="BI101" s="1295"/>
    </row>
    <row r="102" spans="3:61" x14ac:dyDescent="0.3">
      <c r="C102" s="1288"/>
      <c r="D102" s="1288"/>
      <c r="E102" s="1288"/>
      <c r="F102" s="1288" t="s">
        <v>1093</v>
      </c>
      <c r="G102" s="1288"/>
      <c r="H102" s="1288"/>
      <c r="I102" s="1288"/>
      <c r="J102" s="1295">
        <v>33.44</v>
      </c>
      <c r="K102" s="1295">
        <v>17.440000000000001</v>
      </c>
      <c r="L102" s="1295">
        <v>84.89</v>
      </c>
      <c r="M102" s="1295">
        <v>160.91999999999999</v>
      </c>
      <c r="N102" s="1295">
        <v>27.96</v>
      </c>
      <c r="O102" s="1295">
        <v>97.96</v>
      </c>
      <c r="P102" s="1295">
        <v>1.05</v>
      </c>
      <c r="Q102" s="1295">
        <v>160.03</v>
      </c>
      <c r="R102" s="1295">
        <v>61.29</v>
      </c>
      <c r="S102" s="1295">
        <v>-13.06</v>
      </c>
      <c r="T102" s="1295">
        <v>1351.29</v>
      </c>
      <c r="U102" s="1295">
        <v>3.7</v>
      </c>
      <c r="V102" s="1295">
        <v>40.700000000000003</v>
      </c>
      <c r="W102" s="1295">
        <v>97.2</v>
      </c>
      <c r="X102" s="1295">
        <v>95.5</v>
      </c>
      <c r="Y102" s="1295">
        <v>96.64</v>
      </c>
      <c r="Z102" s="1295">
        <v>114.85</v>
      </c>
      <c r="AA102" s="1295">
        <v>34.369999999999997</v>
      </c>
      <c r="AB102" s="1295">
        <v>345.37</v>
      </c>
      <c r="AC102" s="1295">
        <v>31.77</v>
      </c>
      <c r="AD102" s="1295">
        <v>68.5</v>
      </c>
      <c r="AE102" s="1295">
        <v>52.08</v>
      </c>
      <c r="AF102" s="1295">
        <v>42.71</v>
      </c>
      <c r="AG102" s="1295">
        <v>51.56</v>
      </c>
      <c r="AH102" s="1295">
        <v>44.61</v>
      </c>
      <c r="AI102" s="1295">
        <v>56.81</v>
      </c>
      <c r="AJ102" s="1295">
        <v>98.49</v>
      </c>
      <c r="AK102" s="1295">
        <v>98.49</v>
      </c>
      <c r="AL102" s="1295">
        <v>942.24</v>
      </c>
      <c r="AM102" s="1295">
        <v>15.74</v>
      </c>
      <c r="AN102" s="1295">
        <v>55.74</v>
      </c>
      <c r="AO102" s="1295">
        <v>55.74</v>
      </c>
      <c r="AP102" s="1295">
        <v>55.74</v>
      </c>
      <c r="AQ102" s="1295">
        <v>55.74</v>
      </c>
      <c r="AR102" s="1295">
        <v>55.74</v>
      </c>
      <c r="AS102" s="1295">
        <v>55.74</v>
      </c>
      <c r="AT102" s="1295">
        <v>55.74</v>
      </c>
      <c r="AU102" s="1295">
        <v>1215.74</v>
      </c>
      <c r="AV102" s="1295">
        <v>1215.74</v>
      </c>
      <c r="AW102" s="1295">
        <v>0</v>
      </c>
      <c r="AX102" s="1295">
        <v>15.74</v>
      </c>
      <c r="AY102" s="1295"/>
      <c r="AZ102" s="1289"/>
      <c r="BA102" s="1289"/>
      <c r="BB102" s="1289"/>
      <c r="BC102" s="1289"/>
      <c r="BD102" s="1289"/>
      <c r="BE102" s="1295"/>
      <c r="BF102" s="1295"/>
      <c r="BG102" s="1295"/>
      <c r="BH102" s="1295"/>
      <c r="BI102" s="1295"/>
    </row>
    <row r="103" spans="3:61" x14ac:dyDescent="0.3">
      <c r="C103" s="1288"/>
      <c r="D103" s="1288"/>
      <c r="E103" s="1288"/>
      <c r="F103" s="1288" t="s">
        <v>1094</v>
      </c>
      <c r="G103" s="1288"/>
      <c r="H103" s="1288"/>
      <c r="I103" s="1288"/>
      <c r="J103" s="1295">
        <v>100</v>
      </c>
      <c r="K103" s="1295">
        <v>100</v>
      </c>
      <c r="L103" s="1295">
        <v>100</v>
      </c>
      <c r="M103" s="1295">
        <v>100</v>
      </c>
      <c r="N103" s="1295">
        <v>100</v>
      </c>
      <c r="O103" s="1295">
        <v>100</v>
      </c>
      <c r="P103" s="1295">
        <v>100</v>
      </c>
      <c r="Q103" s="1295">
        <v>100</v>
      </c>
      <c r="R103" s="1295">
        <v>100</v>
      </c>
      <c r="S103" s="1295">
        <v>100</v>
      </c>
      <c r="T103" s="1295">
        <v>100</v>
      </c>
      <c r="U103" s="1295">
        <v>100</v>
      </c>
      <c r="V103" s="1295">
        <v>100</v>
      </c>
      <c r="W103" s="1295">
        <v>100</v>
      </c>
      <c r="X103" s="1295">
        <v>100</v>
      </c>
      <c r="Y103" s="1295">
        <v>100</v>
      </c>
      <c r="Z103" s="1295">
        <v>100</v>
      </c>
      <c r="AA103" s="1295">
        <v>100</v>
      </c>
      <c r="AB103" s="1295">
        <v>100</v>
      </c>
      <c r="AC103" s="1295">
        <v>100</v>
      </c>
      <c r="AD103" s="1295">
        <v>100</v>
      </c>
      <c r="AE103" s="1295">
        <v>100</v>
      </c>
      <c r="AF103" s="1295">
        <v>100</v>
      </c>
      <c r="AG103" s="1295">
        <v>100</v>
      </c>
      <c r="AH103" s="1295">
        <v>100</v>
      </c>
      <c r="AI103" s="1295">
        <v>100</v>
      </c>
      <c r="AJ103" s="1295">
        <v>100</v>
      </c>
      <c r="AK103" s="1295">
        <v>100</v>
      </c>
      <c r="AL103" s="1295">
        <v>100</v>
      </c>
      <c r="AM103" s="1295">
        <v>100</v>
      </c>
      <c r="AN103" s="1295">
        <v>100</v>
      </c>
      <c r="AO103" s="1295">
        <v>100</v>
      </c>
      <c r="AP103" s="1295">
        <v>100</v>
      </c>
      <c r="AQ103" s="1295">
        <v>100</v>
      </c>
      <c r="AR103" s="1295">
        <v>100</v>
      </c>
      <c r="AS103" s="1295">
        <v>100</v>
      </c>
      <c r="AT103" s="1295">
        <v>100</v>
      </c>
      <c r="AU103" s="1295">
        <v>100</v>
      </c>
      <c r="AV103" s="1295">
        <v>100</v>
      </c>
      <c r="AW103" s="1295">
        <f>AV103</f>
        <v>100</v>
      </c>
      <c r="AX103" s="1295">
        <v>100</v>
      </c>
      <c r="AY103" s="1295"/>
      <c r="AZ103" s="1289"/>
      <c r="BA103" s="1289"/>
      <c r="BB103" s="1289"/>
      <c r="BC103" s="1289"/>
      <c r="BD103" s="1289"/>
      <c r="BE103" s="1295"/>
      <c r="BF103" s="1295"/>
      <c r="BG103" s="1295"/>
      <c r="BH103" s="1295"/>
      <c r="BI103" s="1295"/>
    </row>
    <row r="104" spans="3:61" x14ac:dyDescent="0.3">
      <c r="C104" s="1288"/>
      <c r="D104" s="1288"/>
      <c r="E104" s="1288"/>
      <c r="F104" s="1288" t="s">
        <v>1095</v>
      </c>
      <c r="G104" s="1288"/>
      <c r="H104" s="1288"/>
      <c r="I104" s="1288"/>
      <c r="J104" s="1295">
        <v>-53358.77</v>
      </c>
      <c r="K104" s="1295">
        <v>-93840.43</v>
      </c>
      <c r="L104" s="1295">
        <v>-4932.22</v>
      </c>
      <c r="M104" s="1295">
        <v>-32523.45</v>
      </c>
      <c r="N104" s="1295">
        <v>-32044.16</v>
      </c>
      <c r="O104" s="1295">
        <v>-28500.34</v>
      </c>
      <c r="P104" s="1295">
        <v>-43883.32</v>
      </c>
      <c r="Q104" s="1295">
        <v>-8997.31</v>
      </c>
      <c r="R104" s="1295">
        <v>-77558.09</v>
      </c>
      <c r="S104" s="1295">
        <v>-51962.25</v>
      </c>
      <c r="T104" s="1295">
        <v>-3620.77</v>
      </c>
      <c r="U104" s="1295">
        <v>-61711.48</v>
      </c>
      <c r="V104" s="1295">
        <v>231643.46</v>
      </c>
      <c r="W104" s="1295">
        <v>297668.32</v>
      </c>
      <c r="X104" s="1295">
        <v>346926.81</v>
      </c>
      <c r="Y104" s="1295">
        <v>69046.8</v>
      </c>
      <c r="Z104" s="1295">
        <v>296702.44</v>
      </c>
      <c r="AA104" s="1295">
        <v>485409.21</v>
      </c>
      <c r="AB104" s="1295">
        <v>486721.86</v>
      </c>
      <c r="AC104" s="1295">
        <v>327057.25</v>
      </c>
      <c r="AD104" s="1295">
        <v>475006.58</v>
      </c>
      <c r="AE104" s="1295">
        <v>803032.24</v>
      </c>
      <c r="AF104" s="1295">
        <v>279542.67</v>
      </c>
      <c r="AG104" s="1295">
        <v>-159690.23000000001</v>
      </c>
      <c r="AH104" s="1295">
        <v>-71038.09</v>
      </c>
      <c r="AI104" s="1295">
        <v>-31929.599999999999</v>
      </c>
      <c r="AJ104" s="1295">
        <v>71841.3</v>
      </c>
      <c r="AK104" s="1295">
        <v>-30475.25</v>
      </c>
      <c r="AL104" s="1295">
        <v>5717.95</v>
      </c>
      <c r="AM104" s="1295">
        <v>544888.18000000005</v>
      </c>
      <c r="AN104" s="1295">
        <v>1076997.81</v>
      </c>
      <c r="AO104" s="1295">
        <v>532465.31000000006</v>
      </c>
      <c r="AP104" s="1295">
        <v>578143.63</v>
      </c>
      <c r="AQ104" s="1295">
        <v>762577.2</v>
      </c>
      <c r="AR104" s="1295">
        <v>651314.89</v>
      </c>
      <c r="AS104" s="1295">
        <v>728258.93</v>
      </c>
      <c r="AT104" s="1295">
        <v>517281.96</v>
      </c>
      <c r="AU104" s="1295">
        <v>592380.41</v>
      </c>
      <c r="AV104" s="1295">
        <v>197104.3</v>
      </c>
      <c r="AW104" s="1295">
        <v>-21611.657529999968</v>
      </c>
      <c r="AX104" s="1295">
        <v>553144.81000000006</v>
      </c>
      <c r="AY104" s="1295"/>
      <c r="AZ104" s="1289"/>
      <c r="BA104" s="1289"/>
      <c r="BB104" s="1289"/>
      <c r="BC104" s="1289"/>
      <c r="BD104" s="1289"/>
      <c r="BE104" s="1295"/>
      <c r="BF104" s="1295"/>
      <c r="BG104" s="1295"/>
      <c r="BH104" s="1295"/>
      <c r="BI104" s="1295"/>
    </row>
    <row r="105" spans="3:61" ht="15" thickBot="1" x14ac:dyDescent="0.35">
      <c r="C105" s="1288"/>
      <c r="D105" s="1288"/>
      <c r="E105" s="1288"/>
      <c r="F105" s="1288" t="s">
        <v>1297</v>
      </c>
      <c r="G105" s="1288"/>
      <c r="H105" s="1288"/>
      <c r="I105" s="1288"/>
      <c r="J105" s="1296"/>
      <c r="K105" s="1296"/>
      <c r="L105" s="1296"/>
      <c r="M105" s="1296"/>
      <c r="N105" s="1296"/>
      <c r="O105" s="1296"/>
      <c r="P105" s="1296"/>
      <c r="Q105" s="1296"/>
      <c r="R105" s="1296"/>
      <c r="S105" s="1296"/>
      <c r="T105" s="1296"/>
      <c r="U105" s="1296"/>
      <c r="V105" s="1296"/>
      <c r="W105" s="1296"/>
      <c r="X105" s="1296"/>
      <c r="Y105" s="1296"/>
      <c r="Z105" s="1296"/>
      <c r="AA105" s="1296"/>
      <c r="AB105" s="1296"/>
      <c r="AC105" s="1296"/>
      <c r="AD105" s="1296"/>
      <c r="AE105" s="1296"/>
      <c r="AF105" s="1296"/>
      <c r="AG105" s="1296"/>
      <c r="AH105" s="1296"/>
      <c r="AI105" s="1296"/>
      <c r="AJ105" s="1296"/>
      <c r="AK105" s="1296"/>
      <c r="AL105" s="1296"/>
      <c r="AM105" s="1296"/>
      <c r="AN105" s="1296"/>
      <c r="AO105" s="1296"/>
      <c r="AP105" s="1296"/>
      <c r="AQ105" s="1296"/>
      <c r="AR105" s="1296"/>
      <c r="AS105" s="1296"/>
      <c r="AT105" s="1296"/>
      <c r="AU105" s="1296"/>
      <c r="AV105" s="1296"/>
      <c r="AW105" s="1296"/>
      <c r="AX105" s="1296"/>
      <c r="AY105" s="1296"/>
      <c r="AZ105" s="1426">
        <v>14716.25</v>
      </c>
      <c r="BA105" s="1426">
        <v>161731.72</v>
      </c>
      <c r="BB105" s="1426">
        <v>73992.19</v>
      </c>
      <c r="BC105" s="1290">
        <v>-11758.11</v>
      </c>
      <c r="BD105" s="1290">
        <v>432729.43</v>
      </c>
      <c r="BE105" s="1296"/>
      <c r="BF105" s="1296"/>
      <c r="BG105" s="1296"/>
      <c r="BH105" s="1296"/>
      <c r="BI105" s="1296"/>
    </row>
    <row r="106" spans="3:61" x14ac:dyDescent="0.3">
      <c r="C106" s="1288"/>
      <c r="D106" s="1288"/>
      <c r="E106" s="1288" t="s">
        <v>1096</v>
      </c>
      <c r="F106" s="1288"/>
      <c r="G106" s="1288"/>
      <c r="H106" s="1288"/>
      <c r="I106" s="1288"/>
      <c r="J106" s="1295">
        <v>-53225.33</v>
      </c>
      <c r="K106" s="1295">
        <v>-93722.99</v>
      </c>
      <c r="L106" s="1295">
        <v>-4747.33</v>
      </c>
      <c r="M106" s="1295">
        <v>-32262.53</v>
      </c>
      <c r="N106" s="1295">
        <v>-31916.2</v>
      </c>
      <c r="O106" s="1295">
        <v>-28302.38</v>
      </c>
      <c r="P106" s="1295">
        <v>-43782.27</v>
      </c>
      <c r="Q106" s="1295">
        <v>-8737.2800000000007</v>
      </c>
      <c r="R106" s="1295">
        <v>-77396.800000000003</v>
      </c>
      <c r="S106" s="1295">
        <v>-51875.31</v>
      </c>
      <c r="T106" s="1295">
        <v>-2169.48</v>
      </c>
      <c r="U106" s="1295">
        <v>-61607.78</v>
      </c>
      <c r="V106" s="1295">
        <v>231784.16</v>
      </c>
      <c r="W106" s="1295">
        <v>297865.52</v>
      </c>
      <c r="X106" s="1295">
        <v>347122.31</v>
      </c>
      <c r="Y106" s="1295">
        <v>69243.44</v>
      </c>
      <c r="Z106" s="1295">
        <v>296917.28999999998</v>
      </c>
      <c r="AA106" s="1295">
        <v>485543.58</v>
      </c>
      <c r="AB106" s="1295">
        <v>487167.23</v>
      </c>
      <c r="AC106" s="1295">
        <v>327189.02</v>
      </c>
      <c r="AD106" s="1295">
        <v>475175.08</v>
      </c>
      <c r="AE106" s="1295">
        <v>803184.32</v>
      </c>
      <c r="AF106" s="1295">
        <v>279685.38</v>
      </c>
      <c r="AG106" s="1295">
        <v>-159538.67000000001</v>
      </c>
      <c r="AH106" s="1295">
        <v>-70893.48</v>
      </c>
      <c r="AI106" s="1295">
        <v>-31772.79</v>
      </c>
      <c r="AJ106" s="1295">
        <v>72039.789999999994</v>
      </c>
      <c r="AK106" s="1295">
        <v>-30276.76</v>
      </c>
      <c r="AL106" s="1295">
        <v>6760.19</v>
      </c>
      <c r="AM106" s="1295">
        <v>545003.92000000004</v>
      </c>
      <c r="AN106" s="1295">
        <v>1077153.55</v>
      </c>
      <c r="AO106" s="1295">
        <v>532621.05000000005</v>
      </c>
      <c r="AP106" s="1295">
        <v>578299.37</v>
      </c>
      <c r="AQ106" s="1295">
        <v>762732.94</v>
      </c>
      <c r="AR106" s="1295">
        <v>651470.63</v>
      </c>
      <c r="AS106" s="1295">
        <v>728414.67</v>
      </c>
      <c r="AT106" s="1295">
        <f>ROUND(SUM(AT101:AT104),5)</f>
        <v>517437.7</v>
      </c>
      <c r="AU106" s="1295">
        <f>ROUND(SUM(AU101:AU104),5)</f>
        <v>593696.15</v>
      </c>
      <c r="AV106" s="1295">
        <f>ROUND(SUM(AV101:AV104),5)</f>
        <v>198420.04</v>
      </c>
      <c r="AW106" s="1295">
        <f>ROUND(SUM(AW101:AW104),5)</f>
        <v>-21511.65753</v>
      </c>
      <c r="AX106" s="1295">
        <f>ROUND(SUM(AX101:AX104),5)</f>
        <v>553260.55000000005</v>
      </c>
      <c r="AY106" s="1295"/>
      <c r="AZ106" s="1427">
        <v>14716.25</v>
      </c>
      <c r="BA106" s="1427">
        <v>161731.72</v>
      </c>
      <c r="BB106" s="1427">
        <v>73992.19</v>
      </c>
      <c r="BC106" s="1289">
        <f>ROUND(SUM(BC101:BC105),5)</f>
        <v>-11758.11</v>
      </c>
      <c r="BD106" s="1289">
        <f>ROUND(SUM(BD101:BD105),5)</f>
        <v>432729.43</v>
      </c>
      <c r="BE106" s="1295"/>
      <c r="BF106" s="1295"/>
      <c r="BG106" s="1295"/>
      <c r="BH106" s="1295"/>
      <c r="BI106" s="1295"/>
    </row>
    <row r="107" spans="3:61" x14ac:dyDescent="0.3">
      <c r="C107" s="1288"/>
      <c r="D107" s="1288"/>
      <c r="E107" s="1288" t="s">
        <v>1097</v>
      </c>
      <c r="F107" s="1288"/>
      <c r="G107" s="1288"/>
      <c r="H107" s="1288"/>
      <c r="I107" s="1288"/>
      <c r="J107" s="1295"/>
      <c r="K107" s="1295"/>
      <c r="L107" s="1295"/>
      <c r="M107" s="1295"/>
      <c r="N107" s="1295"/>
      <c r="O107" s="1295"/>
      <c r="P107" s="1295"/>
      <c r="Q107" s="1295"/>
      <c r="R107" s="1295"/>
      <c r="S107" s="1295"/>
      <c r="T107" s="1295"/>
      <c r="U107" s="1295"/>
      <c r="V107" s="1295"/>
      <c r="W107" s="1295"/>
      <c r="X107" s="1295"/>
      <c r="Y107" s="1295"/>
      <c r="Z107" s="1295"/>
      <c r="AA107" s="1295"/>
      <c r="AB107" s="1295"/>
      <c r="AC107" s="1295"/>
      <c r="AD107" s="1295"/>
      <c r="AE107" s="1295"/>
      <c r="AF107" s="1295"/>
      <c r="AG107" s="1295"/>
      <c r="AH107" s="1295"/>
      <c r="AI107" s="1295"/>
      <c r="AJ107" s="1295"/>
      <c r="AK107" s="1295"/>
      <c r="AL107" s="1295"/>
      <c r="AM107" s="1295"/>
      <c r="AN107" s="1295"/>
      <c r="AO107" s="1295"/>
      <c r="AP107" s="1295"/>
      <c r="AQ107" s="1295"/>
      <c r="AR107" s="1295"/>
      <c r="AS107" s="1295"/>
      <c r="AT107" s="1295"/>
      <c r="AU107" s="1295"/>
      <c r="AV107" s="1295"/>
      <c r="AW107" s="1295"/>
      <c r="AX107" s="1295"/>
      <c r="AY107" s="1295"/>
      <c r="AZ107" s="1427"/>
      <c r="BA107" s="1427"/>
      <c r="BB107" s="1427"/>
      <c r="BC107" s="1289"/>
      <c r="BD107" s="1289"/>
      <c r="BE107" s="1295"/>
      <c r="BF107" s="1295"/>
      <c r="BG107" s="1295"/>
      <c r="BH107" s="1295"/>
      <c r="BI107" s="1295"/>
    </row>
    <row r="108" spans="3:61" ht="15" thickBot="1" x14ac:dyDescent="0.35">
      <c r="C108" s="1288"/>
      <c r="D108" s="1288"/>
      <c r="E108" s="1288"/>
      <c r="F108" s="1288" t="s">
        <v>1098</v>
      </c>
      <c r="G108" s="1288"/>
      <c r="H108" s="1288"/>
      <c r="I108" s="1288"/>
      <c r="J108" s="1297">
        <v>521955.06</v>
      </c>
      <c r="K108" s="1297">
        <v>397318.18</v>
      </c>
      <c r="L108" s="1297">
        <v>184181.8</v>
      </c>
      <c r="M108" s="1297">
        <v>251899.05</v>
      </c>
      <c r="N108" s="1297">
        <v>203045.86</v>
      </c>
      <c r="O108" s="1297">
        <v>286692.14</v>
      </c>
      <c r="P108" s="1297">
        <v>374455.85</v>
      </c>
      <c r="Q108" s="1297">
        <v>393217.38</v>
      </c>
      <c r="R108" s="1297">
        <v>418174.21</v>
      </c>
      <c r="S108" s="1297">
        <v>329234.86</v>
      </c>
      <c r="T108" s="1297">
        <v>243162.6</v>
      </c>
      <c r="U108" s="1297">
        <v>556736.66</v>
      </c>
      <c r="V108" s="1297">
        <v>389650.47</v>
      </c>
      <c r="W108" s="1297">
        <v>339122.97</v>
      </c>
      <c r="X108" s="1297">
        <v>382631.84</v>
      </c>
      <c r="Y108" s="1297">
        <v>454210.97</v>
      </c>
      <c r="Z108" s="1297">
        <v>366538.83</v>
      </c>
      <c r="AA108" s="1297">
        <v>728467.82</v>
      </c>
      <c r="AB108" s="1297">
        <v>709943.24</v>
      </c>
      <c r="AC108" s="1297">
        <v>876950.49</v>
      </c>
      <c r="AD108" s="1297">
        <v>1022078.69</v>
      </c>
      <c r="AE108" s="1297">
        <v>663513.81000000006</v>
      </c>
      <c r="AF108" s="1297">
        <v>875252.34</v>
      </c>
      <c r="AG108" s="1297">
        <v>1319966.6200000001</v>
      </c>
      <c r="AH108" s="1297">
        <v>1154910.3</v>
      </c>
      <c r="AI108" s="1297">
        <v>1025841.35</v>
      </c>
      <c r="AJ108" s="1297">
        <v>1083390.8799999999</v>
      </c>
      <c r="AK108" s="1297">
        <v>1036006.7</v>
      </c>
      <c r="AL108" s="1297">
        <v>476487.75</v>
      </c>
      <c r="AM108" s="1297">
        <v>380616.42</v>
      </c>
      <c r="AN108" s="1297">
        <v>465720.01</v>
      </c>
      <c r="AO108" s="1297">
        <v>927908.16</v>
      </c>
      <c r="AP108" s="1297">
        <v>1057837.97</v>
      </c>
      <c r="AQ108" s="1297">
        <v>871914.55</v>
      </c>
      <c r="AR108" s="1297">
        <v>1005002.81</v>
      </c>
      <c r="AS108" s="1297">
        <v>702982.25</v>
      </c>
      <c r="AT108" s="1297">
        <v>709449.73</v>
      </c>
      <c r="AU108" s="1297">
        <v>578346.89</v>
      </c>
      <c r="AV108" s="1297">
        <v>654661.24</v>
      </c>
      <c r="AW108" s="1297">
        <f>AVERAGE(AV108,AX108)</f>
        <v>461466.57499999995</v>
      </c>
      <c r="AX108" s="1297">
        <v>268271.90999999997</v>
      </c>
      <c r="AY108" s="1297">
        <f>AX108</f>
        <v>268271.90999999997</v>
      </c>
      <c r="AZ108" s="1428">
        <v>496255.65</v>
      </c>
      <c r="BA108" s="1428">
        <v>455093.49</v>
      </c>
      <c r="BB108" s="1428">
        <v>605929.97</v>
      </c>
      <c r="BC108" s="1290">
        <v>590711.06999999995</v>
      </c>
      <c r="BD108" s="1290">
        <v>698848.88</v>
      </c>
      <c r="BE108" s="1297"/>
      <c r="BF108" s="1297"/>
      <c r="BG108" s="1297"/>
      <c r="BH108" s="1297"/>
      <c r="BI108" s="1297"/>
    </row>
    <row r="109" spans="3:61" x14ac:dyDescent="0.3">
      <c r="C109" s="1288"/>
      <c r="D109" s="1288"/>
      <c r="E109" s="1288" t="s">
        <v>1099</v>
      </c>
      <c r="F109" s="1288"/>
      <c r="G109" s="1288"/>
      <c r="H109" s="1288"/>
      <c r="I109" s="1288"/>
      <c r="J109" s="1295">
        <v>521955.06</v>
      </c>
      <c r="K109" s="1295">
        <v>397318.18</v>
      </c>
      <c r="L109" s="1295">
        <v>184181.8</v>
      </c>
      <c r="M109" s="1295">
        <v>251899.05</v>
      </c>
      <c r="N109" s="1295">
        <v>203045.86</v>
      </c>
      <c r="O109" s="1295">
        <v>286692.14</v>
      </c>
      <c r="P109" s="1295">
        <v>374455.85</v>
      </c>
      <c r="Q109" s="1295">
        <v>393217.38</v>
      </c>
      <c r="R109" s="1295">
        <v>418174.21</v>
      </c>
      <c r="S109" s="1295">
        <v>329234.86</v>
      </c>
      <c r="T109" s="1295">
        <v>243162.6</v>
      </c>
      <c r="U109" s="1295">
        <v>556736.66</v>
      </c>
      <c r="V109" s="1295">
        <v>389650.47</v>
      </c>
      <c r="W109" s="1295">
        <v>339122.97</v>
      </c>
      <c r="X109" s="1295">
        <v>382631.84</v>
      </c>
      <c r="Y109" s="1295">
        <v>454210.97</v>
      </c>
      <c r="Z109" s="1295">
        <v>366538.83</v>
      </c>
      <c r="AA109" s="1295">
        <v>728467.82</v>
      </c>
      <c r="AB109" s="1295">
        <v>709943.24</v>
      </c>
      <c r="AC109" s="1295">
        <v>876950.49</v>
      </c>
      <c r="AD109" s="1295">
        <v>1022078.69</v>
      </c>
      <c r="AE109" s="1295">
        <v>663513.81000000006</v>
      </c>
      <c r="AF109" s="1295">
        <v>875252.34</v>
      </c>
      <c r="AG109" s="1295">
        <v>1319966.6200000001</v>
      </c>
      <c r="AH109" s="1295">
        <v>1154910.3</v>
      </c>
      <c r="AI109" s="1295">
        <v>1025841.35</v>
      </c>
      <c r="AJ109" s="1295">
        <v>1083390.8799999999</v>
      </c>
      <c r="AK109" s="1295">
        <v>1036006.7</v>
      </c>
      <c r="AL109" s="1295">
        <v>476487.75</v>
      </c>
      <c r="AM109" s="1295">
        <v>380616.42</v>
      </c>
      <c r="AN109" s="1295">
        <v>465720.01</v>
      </c>
      <c r="AO109" s="1295">
        <v>927908.16</v>
      </c>
      <c r="AP109" s="1295">
        <v>1057837.97</v>
      </c>
      <c r="AQ109" s="1295">
        <v>871914.55</v>
      </c>
      <c r="AR109" s="1295">
        <v>1005002.81</v>
      </c>
      <c r="AS109" s="1295">
        <v>702982.25</v>
      </c>
      <c r="AT109" s="1295">
        <f>ROUND(SUM(AT107:AT108),5)</f>
        <v>709449.73</v>
      </c>
      <c r="AU109" s="1295">
        <f>ROUND(SUM(AU107:AU108),5)</f>
        <v>578346.89</v>
      </c>
      <c r="AV109" s="1295">
        <f>ROUND(SUM(AV107:AV108),5)</f>
        <v>654661.24</v>
      </c>
      <c r="AW109" s="1295">
        <f>ROUND(SUM(AW107:AW108),5)</f>
        <v>461466.57500000001</v>
      </c>
      <c r="AX109" s="1295">
        <f>ROUND(SUM(AX107:AX108),5)</f>
        <v>268271.90999999997</v>
      </c>
      <c r="AY109" s="1295">
        <f>AX109</f>
        <v>268271.90999999997</v>
      </c>
      <c r="AZ109" s="1427">
        <v>496255.65</v>
      </c>
      <c r="BA109" s="1427">
        <v>455093.49</v>
      </c>
      <c r="BB109" s="1427">
        <v>605929.97</v>
      </c>
      <c r="BC109" s="1289">
        <f>ROUND(SUM(BC107:BC108),5)</f>
        <v>590711.06999999995</v>
      </c>
      <c r="BD109" s="1289">
        <f>ROUND(SUM(BD107:BD108),5)</f>
        <v>698848.88</v>
      </c>
      <c r="BE109" s="1295"/>
      <c r="BF109" s="1295"/>
      <c r="BG109" s="1295"/>
      <c r="BH109" s="1295"/>
      <c r="BI109" s="1295"/>
    </row>
    <row r="110" spans="3:61" x14ac:dyDescent="0.3">
      <c r="C110" s="1288"/>
      <c r="D110" s="1288"/>
      <c r="E110" s="1288" t="s">
        <v>1100</v>
      </c>
      <c r="F110" s="1288"/>
      <c r="G110" s="1288"/>
      <c r="H110" s="1288"/>
      <c r="I110" s="1288"/>
      <c r="J110" s="1295"/>
      <c r="K110" s="1295"/>
      <c r="L110" s="1295"/>
      <c r="M110" s="1295"/>
      <c r="N110" s="1295"/>
      <c r="O110" s="1295"/>
      <c r="P110" s="1295"/>
      <c r="Q110" s="1295"/>
      <c r="R110" s="1295"/>
      <c r="S110" s="1295"/>
      <c r="T110" s="1295"/>
      <c r="U110" s="1295"/>
      <c r="V110" s="1295"/>
      <c r="W110" s="1295"/>
      <c r="X110" s="1295"/>
      <c r="Y110" s="1295"/>
      <c r="Z110" s="1295"/>
      <c r="AA110" s="1295"/>
      <c r="AB110" s="1295"/>
      <c r="AC110" s="1295"/>
      <c r="AD110" s="1295"/>
      <c r="AE110" s="1295"/>
      <c r="AF110" s="1295"/>
      <c r="AG110" s="1295"/>
      <c r="AH110" s="1295"/>
      <c r="AI110" s="1295"/>
      <c r="AJ110" s="1295"/>
      <c r="AK110" s="1295"/>
      <c r="AL110" s="1295"/>
      <c r="AM110" s="1295"/>
      <c r="AN110" s="1295"/>
      <c r="AO110" s="1295"/>
      <c r="AP110" s="1295"/>
      <c r="AQ110" s="1295"/>
      <c r="AR110" s="1295"/>
      <c r="AS110" s="1295"/>
      <c r="AT110" s="1295"/>
      <c r="AU110" s="1295"/>
      <c r="AV110" s="1295"/>
      <c r="AW110" s="1295"/>
      <c r="AX110" s="1295"/>
      <c r="AY110" s="1295"/>
      <c r="AZ110" s="1289"/>
      <c r="BA110" s="1289"/>
      <c r="BB110" s="1289"/>
      <c r="BC110" s="1289"/>
      <c r="BD110" s="1289"/>
      <c r="BE110" s="1295"/>
      <c r="BF110" s="1295"/>
      <c r="BG110" s="1295"/>
      <c r="BH110" s="1295"/>
      <c r="BI110" s="1295"/>
    </row>
    <row r="111" spans="3:61" x14ac:dyDescent="0.3">
      <c r="C111" s="1288"/>
      <c r="D111" s="1288"/>
      <c r="E111" s="1288"/>
      <c r="F111" s="1288" t="s">
        <v>1101</v>
      </c>
      <c r="G111" s="1288"/>
      <c r="H111" s="1288"/>
      <c r="I111" s="1288"/>
      <c r="J111" s="1295"/>
      <c r="K111" s="1295"/>
      <c r="L111" s="1295"/>
      <c r="M111" s="1295"/>
      <c r="N111" s="1295"/>
      <c r="O111" s="1295"/>
      <c r="P111" s="1295"/>
      <c r="Q111" s="1295"/>
      <c r="R111" s="1295"/>
      <c r="S111" s="1295"/>
      <c r="T111" s="1295"/>
      <c r="U111" s="1295"/>
      <c r="V111" s="1295"/>
      <c r="W111" s="1295"/>
      <c r="X111" s="1295"/>
      <c r="Y111" s="1295"/>
      <c r="Z111" s="1295"/>
      <c r="AA111" s="1295"/>
      <c r="AB111" s="1295"/>
      <c r="AC111" s="1295"/>
      <c r="AD111" s="1295"/>
      <c r="AE111" s="1295"/>
      <c r="AF111" s="1295"/>
      <c r="AG111" s="1295"/>
      <c r="AH111" s="1295"/>
      <c r="AI111" s="1295"/>
      <c r="AJ111" s="1295"/>
      <c r="AK111" s="1295"/>
      <c r="AL111" s="1295"/>
      <c r="AM111" s="1295"/>
      <c r="AN111" s="1295"/>
      <c r="AO111" s="1295"/>
      <c r="AP111" s="1295"/>
      <c r="AQ111" s="1295"/>
      <c r="AR111" s="1295"/>
      <c r="AS111" s="1295"/>
      <c r="AT111" s="1295"/>
      <c r="AU111" s="1295"/>
      <c r="AV111" s="1295"/>
      <c r="AW111" s="1295"/>
      <c r="AX111" s="1295"/>
      <c r="AY111" s="1295"/>
      <c r="AZ111" s="1289"/>
      <c r="BA111" s="1289"/>
      <c r="BB111" s="1289"/>
      <c r="BC111" s="1289"/>
      <c r="BD111" s="1289"/>
      <c r="BE111" s="1295"/>
      <c r="BF111" s="1295"/>
      <c r="BG111" s="1295"/>
      <c r="BH111" s="1295"/>
      <c r="BI111" s="1295"/>
    </row>
    <row r="112" spans="3:61" x14ac:dyDescent="0.3">
      <c r="C112" s="1288"/>
      <c r="D112" s="1288"/>
      <c r="E112" s="1288"/>
      <c r="F112" s="1288"/>
      <c r="G112" s="1288" t="s">
        <v>1102</v>
      </c>
      <c r="H112" s="1288"/>
      <c r="I112" s="1288"/>
      <c r="J112" s="1295">
        <v>126255.4</v>
      </c>
      <c r="K112" s="1295">
        <v>68256.17</v>
      </c>
      <c r="L112" s="1295">
        <v>139418.68</v>
      </c>
      <c r="M112" s="1295">
        <v>122678.31</v>
      </c>
      <c r="N112" s="1295">
        <v>99149.77</v>
      </c>
      <c r="O112" s="1295">
        <v>55452.38</v>
      </c>
      <c r="P112" s="1295">
        <v>59848.45</v>
      </c>
      <c r="Q112" s="1295">
        <v>117159.54</v>
      </c>
      <c r="R112" s="1295">
        <v>150783.57999999999</v>
      </c>
      <c r="S112" s="1295">
        <v>83243.62</v>
      </c>
      <c r="T112" s="1295">
        <v>218746.39</v>
      </c>
      <c r="U112" s="1295">
        <v>15162.11</v>
      </c>
      <c r="V112" s="1295">
        <v>251378.97</v>
      </c>
      <c r="W112" s="1295">
        <v>239351.67</v>
      </c>
      <c r="X112" s="1295">
        <v>278905.45</v>
      </c>
      <c r="Y112" s="1295">
        <v>476033.41</v>
      </c>
      <c r="Z112" s="1295">
        <v>314194.15000000002</v>
      </c>
      <c r="AA112" s="1295">
        <v>119258.89</v>
      </c>
      <c r="AB112" s="1295">
        <v>159698.71</v>
      </c>
      <c r="AC112" s="1295">
        <v>202990.15</v>
      </c>
      <c r="AD112" s="1295">
        <v>111437.75</v>
      </c>
      <c r="AE112" s="1295">
        <v>138565.99</v>
      </c>
      <c r="AF112" s="1295">
        <v>484661.6</v>
      </c>
      <c r="AG112" s="1295">
        <v>211054.85</v>
      </c>
      <c r="AH112" s="1295">
        <v>480644.29</v>
      </c>
      <c r="AI112" s="1295">
        <v>280110.84999999998</v>
      </c>
      <c r="AJ112" s="1295">
        <v>250817.23</v>
      </c>
      <c r="AK112" s="1295">
        <v>291192.12</v>
      </c>
      <c r="AL112" s="1295">
        <v>152397.23000000001</v>
      </c>
      <c r="AM112" s="1295">
        <v>299120.24</v>
      </c>
      <c r="AN112" s="1295">
        <v>275074.67</v>
      </c>
      <c r="AO112" s="1295">
        <v>275917.53999999998</v>
      </c>
      <c r="AP112" s="1295">
        <v>350071.55</v>
      </c>
      <c r="AQ112" s="1295">
        <v>492269.36</v>
      </c>
      <c r="AR112" s="1295">
        <v>275798.84000000003</v>
      </c>
      <c r="AS112" s="1295">
        <v>83032.69</v>
      </c>
      <c r="AT112" s="1295">
        <v>187148.96</v>
      </c>
      <c r="AU112" s="1295">
        <v>14190.89</v>
      </c>
      <c r="AV112" s="1295">
        <v>239050.73</v>
      </c>
      <c r="AW112" s="1295">
        <f t="shared" ref="AW112:AW120" si="37">AVERAGE(AV112,AX112)</f>
        <v>185621.72</v>
      </c>
      <c r="AX112" s="1295">
        <v>132192.71</v>
      </c>
      <c r="AY112" s="1295"/>
      <c r="AZ112" s="1289">
        <v>15748</v>
      </c>
      <c r="BA112" s="1289">
        <v>84811.05</v>
      </c>
      <c r="BB112" s="1289">
        <v>201382.32</v>
      </c>
      <c r="BC112" s="1289">
        <v>156443.38</v>
      </c>
      <c r="BD112" s="1289">
        <v>136451.84</v>
      </c>
      <c r="BE112" s="1295"/>
      <c r="BF112" s="1295"/>
      <c r="BG112" s="1295"/>
      <c r="BH112" s="1295"/>
      <c r="BI112" s="1295"/>
    </row>
    <row r="113" spans="3:61" x14ac:dyDescent="0.3">
      <c r="C113" s="1288"/>
      <c r="D113" s="1288"/>
      <c r="E113" s="1288"/>
      <c r="F113" s="1288"/>
      <c r="G113" s="1288" t="s">
        <v>1103</v>
      </c>
      <c r="H113" s="1288"/>
      <c r="I113" s="1288"/>
      <c r="J113" s="1295">
        <v>8986</v>
      </c>
      <c r="K113" s="1295">
        <v>8986</v>
      </c>
      <c r="L113" s="1295">
        <v>8986</v>
      </c>
      <c r="M113" s="1295">
        <v>8986</v>
      </c>
      <c r="N113" s="1295">
        <v>8986</v>
      </c>
      <c r="O113" s="1295">
        <v>8986</v>
      </c>
      <c r="P113" s="1295">
        <v>8986</v>
      </c>
      <c r="Q113" s="1295">
        <v>8986</v>
      </c>
      <c r="R113" s="1295">
        <v>8986</v>
      </c>
      <c r="S113" s="1295">
        <v>8986</v>
      </c>
      <c r="T113" s="1295">
        <v>8986</v>
      </c>
      <c r="U113" s="1295">
        <v>8986</v>
      </c>
      <c r="V113" s="1295">
        <v>8986</v>
      </c>
      <c r="W113" s="1295">
        <v>8986</v>
      </c>
      <c r="X113" s="1295">
        <v>8986</v>
      </c>
      <c r="Y113" s="1295">
        <v>8986</v>
      </c>
      <c r="Z113" s="1295">
        <v>8986</v>
      </c>
      <c r="AA113" s="1295">
        <v>8986</v>
      </c>
      <c r="AB113" s="1295">
        <v>35348.6</v>
      </c>
      <c r="AC113" s="1295">
        <v>31486</v>
      </c>
      <c r="AD113" s="1295">
        <v>31486</v>
      </c>
      <c r="AE113" s="1295">
        <v>31486</v>
      </c>
      <c r="AF113" s="1295">
        <v>31486</v>
      </c>
      <c r="AG113" s="1295">
        <v>8986</v>
      </c>
      <c r="AH113" s="1295">
        <v>8986</v>
      </c>
      <c r="AI113" s="1295">
        <v>8986</v>
      </c>
      <c r="AJ113" s="1295">
        <v>8986</v>
      </c>
      <c r="AK113" s="1295">
        <v>8986</v>
      </c>
      <c r="AL113" s="1295">
        <v>8986</v>
      </c>
      <c r="AM113" s="1295">
        <v>8986</v>
      </c>
      <c r="AN113" s="1295">
        <v>8986</v>
      </c>
      <c r="AO113" s="1295">
        <v>8986</v>
      </c>
      <c r="AP113" s="1295">
        <v>8986</v>
      </c>
      <c r="AQ113" s="1295">
        <v>8986</v>
      </c>
      <c r="AR113" s="1295">
        <v>8986</v>
      </c>
      <c r="AS113" s="1295">
        <v>8986</v>
      </c>
      <c r="AT113" s="1295">
        <v>126</v>
      </c>
      <c r="AU113" s="1295">
        <v>126</v>
      </c>
      <c r="AV113" s="1295">
        <v>0</v>
      </c>
      <c r="AW113" s="1295">
        <f t="shared" si="37"/>
        <v>0</v>
      </c>
      <c r="AX113" s="1295"/>
      <c r="AY113" s="1295"/>
      <c r="AZ113" s="1289"/>
      <c r="BA113" s="1289"/>
      <c r="BB113" s="1289"/>
      <c r="BC113" s="1289"/>
      <c r="BD113" s="1289"/>
      <c r="BE113" s="1295"/>
      <c r="BF113" s="1295"/>
      <c r="BG113" s="1295"/>
      <c r="BH113" s="1295"/>
      <c r="BI113" s="1295"/>
    </row>
    <row r="114" spans="3:61" x14ac:dyDescent="0.3">
      <c r="C114" s="1288"/>
      <c r="D114" s="1288"/>
      <c r="E114" s="1288"/>
      <c r="F114" s="1288"/>
      <c r="G114" s="1288" t="s">
        <v>1104</v>
      </c>
      <c r="H114" s="1288"/>
      <c r="I114" s="1288"/>
      <c r="J114" s="1295">
        <v>285487.64</v>
      </c>
      <c r="K114" s="1295">
        <v>217685.5</v>
      </c>
      <c r="L114" s="1295">
        <v>197898.23999999999</v>
      </c>
      <c r="M114" s="1295">
        <v>172529.24</v>
      </c>
      <c r="N114" s="1295">
        <v>217806.24</v>
      </c>
      <c r="O114" s="1295">
        <v>200857.26</v>
      </c>
      <c r="P114" s="1295">
        <v>235513.54</v>
      </c>
      <c r="Q114" s="1295">
        <v>225433.99</v>
      </c>
      <c r="R114" s="1295">
        <v>245743.99</v>
      </c>
      <c r="S114" s="1295">
        <v>289577.17</v>
      </c>
      <c r="T114" s="1295">
        <v>279228.75</v>
      </c>
      <c r="U114" s="1295">
        <v>163219.85</v>
      </c>
      <c r="V114" s="1295">
        <v>147896.64000000001</v>
      </c>
      <c r="W114" s="1295">
        <v>140987.64000000001</v>
      </c>
      <c r="X114" s="1295">
        <v>151222.63</v>
      </c>
      <c r="Y114" s="1295">
        <v>161781.62</v>
      </c>
      <c r="Z114" s="1295">
        <v>181355.65</v>
      </c>
      <c r="AA114" s="1295">
        <v>218419.39</v>
      </c>
      <c r="AB114" s="1295">
        <v>159965.04999999999</v>
      </c>
      <c r="AC114" s="1295">
        <v>241092.21</v>
      </c>
      <c r="AD114" s="1295">
        <v>301960.28000000003</v>
      </c>
      <c r="AE114" s="1295">
        <v>216515.5</v>
      </c>
      <c r="AF114" s="1295">
        <v>208891.16</v>
      </c>
      <c r="AG114" s="1295">
        <v>295324.96000000002</v>
      </c>
      <c r="AH114" s="1295">
        <v>294528.52</v>
      </c>
      <c r="AI114" s="1295">
        <v>321710.49</v>
      </c>
      <c r="AJ114" s="1295">
        <v>409957.49</v>
      </c>
      <c r="AK114" s="1295">
        <v>294562.12</v>
      </c>
      <c r="AL114" s="1295">
        <v>306984.59000000003</v>
      </c>
      <c r="AM114" s="1295">
        <v>309907.06</v>
      </c>
      <c r="AN114" s="1295">
        <v>182593.17</v>
      </c>
      <c r="AO114" s="1295">
        <v>333588.59000000003</v>
      </c>
      <c r="AP114" s="1295">
        <v>291931.93</v>
      </c>
      <c r="AQ114" s="1295">
        <v>276754.18</v>
      </c>
      <c r="AR114" s="1295">
        <v>407391.91</v>
      </c>
      <c r="AS114" s="1295">
        <v>437048.03</v>
      </c>
      <c r="AT114" s="1295">
        <v>359184.24</v>
      </c>
      <c r="AU114" s="1295">
        <v>474930.11</v>
      </c>
      <c r="AV114" s="1295">
        <v>452223.83</v>
      </c>
      <c r="AW114" s="1295">
        <f t="shared" si="37"/>
        <v>502660.32499999995</v>
      </c>
      <c r="AX114" s="1295">
        <v>553096.81999999995</v>
      </c>
      <c r="AY114" s="1295"/>
      <c r="AZ114" s="1289">
        <v>626551.68999999994</v>
      </c>
      <c r="BA114" s="1289">
        <v>601999.11</v>
      </c>
      <c r="BB114" s="1289">
        <v>565659.97</v>
      </c>
      <c r="BC114" s="1289">
        <v>638857.79</v>
      </c>
      <c r="BD114" s="1289">
        <v>486722.9</v>
      </c>
      <c r="BE114" s="1295"/>
      <c r="BF114" s="1295"/>
      <c r="BG114" s="1295"/>
      <c r="BH114" s="1295"/>
      <c r="BI114" s="1295"/>
    </row>
    <row r="115" spans="3:61" x14ac:dyDescent="0.3">
      <c r="C115" s="1288"/>
      <c r="D115" s="1288"/>
      <c r="E115" s="1288"/>
      <c r="F115" s="1288"/>
      <c r="G115" s="1288" t="s">
        <v>1105</v>
      </c>
      <c r="H115" s="1288"/>
      <c r="I115" s="1288"/>
      <c r="J115" s="1295">
        <v>25802</v>
      </c>
      <c r="K115" s="1295">
        <v>25802</v>
      </c>
      <c r="L115" s="1295">
        <v>25802</v>
      </c>
      <c r="M115" s="1295">
        <v>25802</v>
      </c>
      <c r="N115" s="1295">
        <v>25802</v>
      </c>
      <c r="O115" s="1295">
        <v>25802</v>
      </c>
      <c r="P115" s="1295">
        <v>25802</v>
      </c>
      <c r="Q115" s="1295">
        <v>25486</v>
      </c>
      <c r="R115" s="1295">
        <v>25486</v>
      </c>
      <c r="S115" s="1295">
        <v>25486</v>
      </c>
      <c r="T115" s="1295">
        <v>25486</v>
      </c>
      <c r="U115" s="1295">
        <v>25486</v>
      </c>
      <c r="V115" s="1295">
        <v>25486</v>
      </c>
      <c r="W115" s="1295">
        <v>25486</v>
      </c>
      <c r="X115" s="1295">
        <v>25486</v>
      </c>
      <c r="Y115" s="1295">
        <v>25486</v>
      </c>
      <c r="Z115" s="1295">
        <v>29278</v>
      </c>
      <c r="AA115" s="1295">
        <v>29278</v>
      </c>
      <c r="AB115" s="1295">
        <v>29278</v>
      </c>
      <c r="AC115" s="1295">
        <v>29278</v>
      </c>
      <c r="AD115" s="1295">
        <v>29278</v>
      </c>
      <c r="AE115" s="1295">
        <v>29278</v>
      </c>
      <c r="AF115" s="1295">
        <v>29278</v>
      </c>
      <c r="AG115" s="1295">
        <v>29278</v>
      </c>
      <c r="AH115" s="1295">
        <v>29278</v>
      </c>
      <c r="AI115" s="1295">
        <v>29278</v>
      </c>
      <c r="AJ115" s="1295">
        <v>29278</v>
      </c>
      <c r="AK115" s="1295">
        <v>29278</v>
      </c>
      <c r="AL115" s="1295">
        <v>29278</v>
      </c>
      <c r="AM115" s="1295">
        <v>29278</v>
      </c>
      <c r="AN115" s="1295">
        <v>29278</v>
      </c>
      <c r="AO115" s="1295">
        <v>29278</v>
      </c>
      <c r="AP115" s="1295">
        <v>29278</v>
      </c>
      <c r="AQ115" s="1295">
        <v>29278</v>
      </c>
      <c r="AR115" s="1295">
        <v>29278</v>
      </c>
      <c r="AS115" s="1295">
        <v>29278</v>
      </c>
      <c r="AT115" s="1295">
        <v>29168.400000000001</v>
      </c>
      <c r="AU115" s="1295">
        <v>29168.400000000001</v>
      </c>
      <c r="AV115" s="1295">
        <v>18582.400000000001</v>
      </c>
      <c r="AW115" s="1295">
        <f t="shared" si="37"/>
        <v>49372.399999999994</v>
      </c>
      <c r="AX115" s="1295">
        <v>80162.399999999994</v>
      </c>
      <c r="AY115" s="1295"/>
      <c r="AZ115" s="1289">
        <v>86995.4</v>
      </c>
      <c r="BA115" s="1289">
        <v>86995.4</v>
      </c>
      <c r="BB115" s="1289">
        <v>86995.4</v>
      </c>
      <c r="BC115" s="1289">
        <v>86995.4</v>
      </c>
      <c r="BD115" s="1289">
        <v>88575.4</v>
      </c>
      <c r="BE115" s="1295"/>
      <c r="BF115" s="1295"/>
      <c r="BG115" s="1295"/>
      <c r="BH115" s="1295"/>
      <c r="BI115" s="1295"/>
    </row>
    <row r="116" spans="3:61" x14ac:dyDescent="0.3">
      <c r="C116" s="1288"/>
      <c r="D116" s="1288"/>
      <c r="E116" s="1288"/>
      <c r="F116" s="1288"/>
      <c r="G116" s="1288" t="s">
        <v>1106</v>
      </c>
      <c r="H116" s="1288"/>
      <c r="I116" s="1288"/>
      <c r="J116" s="1295">
        <v>766408.68</v>
      </c>
      <c r="K116" s="1295">
        <v>735179.68</v>
      </c>
      <c r="L116" s="1295">
        <v>733469.68</v>
      </c>
      <c r="M116" s="1295">
        <v>718219.68</v>
      </c>
      <c r="N116" s="1295">
        <v>744069.68</v>
      </c>
      <c r="O116" s="1295">
        <v>746140.68</v>
      </c>
      <c r="P116" s="1295">
        <v>739640.68</v>
      </c>
      <c r="Q116" s="1295">
        <v>727690.68</v>
      </c>
      <c r="R116" s="1295">
        <v>716490.68</v>
      </c>
      <c r="S116" s="1295">
        <v>691390.68</v>
      </c>
      <c r="T116" s="1295">
        <v>714615.68</v>
      </c>
      <c r="U116" s="1295">
        <v>662270.97</v>
      </c>
      <c r="V116" s="1295">
        <v>657817.17000000004</v>
      </c>
      <c r="W116" s="1295">
        <v>662317.17000000004</v>
      </c>
      <c r="X116" s="1295">
        <v>700952.57</v>
      </c>
      <c r="Y116" s="1295">
        <v>683794.98</v>
      </c>
      <c r="Z116" s="1295">
        <v>683794.98</v>
      </c>
      <c r="AA116" s="1295">
        <v>654477.07999999996</v>
      </c>
      <c r="AB116" s="1295">
        <v>656777.07999999996</v>
      </c>
      <c r="AC116" s="1295">
        <v>680456.08</v>
      </c>
      <c r="AD116" s="1295">
        <v>697956.08</v>
      </c>
      <c r="AE116" s="1295">
        <v>655777.67000000004</v>
      </c>
      <c r="AF116" s="1295">
        <v>637912.07999999996</v>
      </c>
      <c r="AG116" s="1295">
        <v>625912.07999999996</v>
      </c>
      <c r="AH116" s="1295">
        <v>620612.71</v>
      </c>
      <c r="AI116" s="1295">
        <v>620749.71</v>
      </c>
      <c r="AJ116" s="1295">
        <v>638434.52</v>
      </c>
      <c r="AK116" s="1295">
        <v>671980.72</v>
      </c>
      <c r="AL116" s="1295">
        <v>645453.22</v>
      </c>
      <c r="AM116" s="1295">
        <v>645903.22</v>
      </c>
      <c r="AN116" s="1295">
        <v>629703.22</v>
      </c>
      <c r="AO116" s="1295">
        <v>655545.66</v>
      </c>
      <c r="AP116" s="1295">
        <v>602180.06999999995</v>
      </c>
      <c r="AQ116" s="1295">
        <v>591930.06999999995</v>
      </c>
      <c r="AR116" s="1295">
        <v>598430.06999999995</v>
      </c>
      <c r="AS116" s="1295">
        <v>587330.06999999995</v>
      </c>
      <c r="AT116" s="1295">
        <v>631878.06999999995</v>
      </c>
      <c r="AU116" s="1295">
        <v>792894.74</v>
      </c>
      <c r="AV116" s="1295">
        <v>753046.5</v>
      </c>
      <c r="AW116" s="1295">
        <f t="shared" si="37"/>
        <v>734299.83000000007</v>
      </c>
      <c r="AX116" s="1295">
        <v>715553.16</v>
      </c>
      <c r="AY116" s="1295"/>
      <c r="AZ116" s="1289">
        <v>680976.83</v>
      </c>
      <c r="BA116" s="1289">
        <v>650977.82999999996</v>
      </c>
      <c r="BB116" s="1289">
        <v>681977.83</v>
      </c>
      <c r="BC116" s="1289">
        <v>664577.82999999996</v>
      </c>
      <c r="BD116" s="1289">
        <v>663727.82999999996</v>
      </c>
      <c r="BE116" s="1295"/>
      <c r="BF116" s="1295"/>
      <c r="BG116" s="1295"/>
      <c r="BH116" s="1295"/>
      <c r="BI116" s="1295"/>
    </row>
    <row r="117" spans="3:61" x14ac:dyDescent="0.3">
      <c r="C117" s="1288"/>
      <c r="D117" s="1288"/>
      <c r="E117" s="1288"/>
      <c r="F117" s="1288"/>
      <c r="G117" s="1288" t="s">
        <v>1107</v>
      </c>
      <c r="H117" s="1288"/>
      <c r="I117" s="1288"/>
      <c r="J117" s="1295">
        <v>295088.26</v>
      </c>
      <c r="K117" s="1295">
        <v>304254.08000000002</v>
      </c>
      <c r="L117" s="1295">
        <v>304267.83</v>
      </c>
      <c r="M117" s="1295">
        <v>294058.08</v>
      </c>
      <c r="N117" s="1295">
        <v>293324.09999999998</v>
      </c>
      <c r="O117" s="1295">
        <v>305612.56</v>
      </c>
      <c r="P117" s="1295">
        <v>293520.24</v>
      </c>
      <c r="Q117" s="1295">
        <v>313066.42</v>
      </c>
      <c r="R117" s="1295">
        <v>319089.65000000002</v>
      </c>
      <c r="S117" s="1295">
        <v>328149.33</v>
      </c>
      <c r="T117" s="1295">
        <v>334442.77</v>
      </c>
      <c r="U117" s="1295">
        <v>315652.90999999997</v>
      </c>
      <c r="V117" s="1295">
        <v>345698.72</v>
      </c>
      <c r="W117" s="1295">
        <v>311758.71000000002</v>
      </c>
      <c r="X117" s="1295">
        <v>344046.66</v>
      </c>
      <c r="Y117" s="1295">
        <v>401853.31</v>
      </c>
      <c r="Z117" s="1295">
        <v>352551.22</v>
      </c>
      <c r="AA117" s="1295">
        <v>349967.39</v>
      </c>
      <c r="AB117" s="1295">
        <v>327613.48</v>
      </c>
      <c r="AC117" s="1295">
        <v>350115.58</v>
      </c>
      <c r="AD117" s="1295">
        <v>358048.66</v>
      </c>
      <c r="AE117" s="1295">
        <v>482984.21</v>
      </c>
      <c r="AF117" s="1295">
        <v>572087.14</v>
      </c>
      <c r="AG117" s="1295">
        <v>377106.42</v>
      </c>
      <c r="AH117" s="1295">
        <v>470374.67</v>
      </c>
      <c r="AI117" s="1295">
        <v>451492.44</v>
      </c>
      <c r="AJ117" s="1295">
        <v>396894.99</v>
      </c>
      <c r="AK117" s="1295">
        <v>404672.89</v>
      </c>
      <c r="AL117" s="1295">
        <v>430818.64</v>
      </c>
      <c r="AM117" s="1295">
        <v>436166.42</v>
      </c>
      <c r="AN117" s="1295">
        <v>405603.05</v>
      </c>
      <c r="AO117" s="1295">
        <v>446567.69</v>
      </c>
      <c r="AP117" s="1295">
        <v>353205.14</v>
      </c>
      <c r="AQ117" s="1295">
        <v>365128.48</v>
      </c>
      <c r="AR117" s="1295">
        <v>377065.26</v>
      </c>
      <c r="AS117" s="1295">
        <v>364267.51</v>
      </c>
      <c r="AT117" s="1295">
        <v>357702.82</v>
      </c>
      <c r="AU117" s="1295">
        <v>376071.47</v>
      </c>
      <c r="AV117" s="1295">
        <v>408346.42</v>
      </c>
      <c r="AW117" s="1295">
        <f t="shared" si="37"/>
        <v>410519.83499999996</v>
      </c>
      <c r="AX117" s="1295">
        <v>412693.25</v>
      </c>
      <c r="AY117" s="1295"/>
      <c r="AZ117" s="1289">
        <v>400124.78</v>
      </c>
      <c r="BA117" s="1289">
        <v>383993.47</v>
      </c>
      <c r="BB117" s="1289">
        <v>422428.87</v>
      </c>
      <c r="BC117" s="1289">
        <v>401830.8</v>
      </c>
      <c r="BD117" s="1289">
        <v>402132.11</v>
      </c>
      <c r="BE117" s="1295"/>
      <c r="BF117" s="1295"/>
      <c r="BG117" s="1295"/>
      <c r="BH117" s="1295"/>
      <c r="BI117" s="1295"/>
    </row>
    <row r="118" spans="3:61" x14ac:dyDescent="0.3">
      <c r="C118" s="1288"/>
      <c r="D118" s="1288"/>
      <c r="E118" s="1288"/>
      <c r="F118" s="1288"/>
      <c r="G118" s="1288" t="s">
        <v>1108</v>
      </c>
      <c r="H118" s="1288"/>
      <c r="I118" s="1288"/>
      <c r="J118" s="1295">
        <v>131512.67000000001</v>
      </c>
      <c r="K118" s="1295">
        <v>131122.74</v>
      </c>
      <c r="L118" s="1295">
        <v>136163.60999999999</v>
      </c>
      <c r="M118" s="1295">
        <v>132654.14000000001</v>
      </c>
      <c r="N118" s="1295">
        <v>132492.07</v>
      </c>
      <c r="O118" s="1295">
        <v>133296.44</v>
      </c>
      <c r="P118" s="1295">
        <v>132254.04999999999</v>
      </c>
      <c r="Q118" s="1295">
        <v>130567.94</v>
      </c>
      <c r="R118" s="1295">
        <v>130756.13</v>
      </c>
      <c r="S118" s="1295">
        <v>127784.92</v>
      </c>
      <c r="T118" s="1295">
        <v>133952.57999999999</v>
      </c>
      <c r="U118" s="1295">
        <v>132996.54</v>
      </c>
      <c r="V118" s="1295">
        <v>132194.21</v>
      </c>
      <c r="W118" s="1295">
        <v>136225.07</v>
      </c>
      <c r="X118" s="1295">
        <v>134439.98000000001</v>
      </c>
      <c r="Y118" s="1295">
        <v>132444.54999999999</v>
      </c>
      <c r="Z118" s="1295">
        <v>130136.34</v>
      </c>
      <c r="AA118" s="1295">
        <v>140965.18</v>
      </c>
      <c r="AB118" s="1295">
        <v>142575.56</v>
      </c>
      <c r="AC118" s="1295">
        <v>140607.44</v>
      </c>
      <c r="AD118" s="1295">
        <v>141409.99</v>
      </c>
      <c r="AE118" s="1295">
        <v>139835.51</v>
      </c>
      <c r="AF118" s="1295">
        <v>147947.22</v>
      </c>
      <c r="AG118" s="1295">
        <v>147289.46</v>
      </c>
      <c r="AH118" s="1295">
        <v>157427.97</v>
      </c>
      <c r="AI118" s="1295">
        <v>156669.18</v>
      </c>
      <c r="AJ118" s="1295">
        <v>155027.44</v>
      </c>
      <c r="AK118" s="1295">
        <v>153002.79999999999</v>
      </c>
      <c r="AL118" s="1295">
        <v>150412.44</v>
      </c>
      <c r="AM118" s="1295">
        <v>149905.1</v>
      </c>
      <c r="AN118" s="1295">
        <v>136036.69</v>
      </c>
      <c r="AO118" s="1295">
        <v>136781.01999999999</v>
      </c>
      <c r="AP118" s="1295">
        <v>129623.75</v>
      </c>
      <c r="AQ118" s="1295">
        <v>148273.76999999999</v>
      </c>
      <c r="AR118" s="1295">
        <v>139884.17000000001</v>
      </c>
      <c r="AS118" s="1295">
        <v>141206.35999999999</v>
      </c>
      <c r="AT118" s="1295">
        <v>136580.94</v>
      </c>
      <c r="AU118" s="1295">
        <v>137185.47</v>
      </c>
      <c r="AV118" s="1295">
        <v>123806.28</v>
      </c>
      <c r="AW118" s="1295">
        <f t="shared" si="37"/>
        <v>122046.505</v>
      </c>
      <c r="AX118" s="1295">
        <v>120286.73</v>
      </c>
      <c r="AY118" s="1295"/>
      <c r="AZ118" s="1289">
        <v>114727.78</v>
      </c>
      <c r="BA118" s="1289">
        <v>116377.78</v>
      </c>
      <c r="BB118" s="1289">
        <v>112371.32</v>
      </c>
      <c r="BC118" s="1289">
        <v>111214.83</v>
      </c>
      <c r="BD118" s="1289">
        <v>118734.54</v>
      </c>
      <c r="BE118" s="1295"/>
      <c r="BF118" s="1295"/>
      <c r="BG118" s="1295"/>
      <c r="BH118" s="1295"/>
      <c r="BI118" s="1295"/>
    </row>
    <row r="119" spans="3:61" x14ac:dyDescent="0.3">
      <c r="C119" s="1288"/>
      <c r="D119" s="1288"/>
      <c r="E119" s="1288"/>
      <c r="F119" s="1288"/>
      <c r="G119" s="1288" t="s">
        <v>1109</v>
      </c>
      <c r="H119" s="1288"/>
      <c r="I119" s="1288"/>
      <c r="J119" s="1295">
        <v>152038.31</v>
      </c>
      <c r="K119" s="1295">
        <v>152038.31</v>
      </c>
      <c r="L119" s="1295">
        <v>152038.31</v>
      </c>
      <c r="M119" s="1295">
        <v>152038.31</v>
      </c>
      <c r="N119" s="1295">
        <v>152038.31</v>
      </c>
      <c r="O119" s="1295">
        <v>152038.31</v>
      </c>
      <c r="P119" s="1295">
        <v>152038.31</v>
      </c>
      <c r="Q119" s="1295">
        <v>152038.31</v>
      </c>
      <c r="R119" s="1295">
        <v>152038.31</v>
      </c>
      <c r="S119" s="1295">
        <v>152038.31</v>
      </c>
      <c r="T119" s="1295">
        <v>152038.31</v>
      </c>
      <c r="U119" s="1295">
        <v>151063.31</v>
      </c>
      <c r="V119" s="1295">
        <v>151063.31</v>
      </c>
      <c r="W119" s="1295">
        <v>151063.31</v>
      </c>
      <c r="X119" s="1295">
        <v>151063.31</v>
      </c>
      <c r="Y119" s="1295">
        <v>151063.31</v>
      </c>
      <c r="Z119" s="1295">
        <v>151063.31</v>
      </c>
      <c r="AA119" s="1295">
        <v>151063.31</v>
      </c>
      <c r="AB119" s="1295">
        <v>151063.31</v>
      </c>
      <c r="AC119" s="1295">
        <v>151063.31</v>
      </c>
      <c r="AD119" s="1295">
        <v>151063.31</v>
      </c>
      <c r="AE119" s="1295">
        <v>151063.31</v>
      </c>
      <c r="AF119" s="1295">
        <v>151063.31</v>
      </c>
      <c r="AG119" s="1295">
        <v>151063.31</v>
      </c>
      <c r="AH119" s="1295">
        <v>151063.31</v>
      </c>
      <c r="AI119" s="1295">
        <v>151063.31</v>
      </c>
      <c r="AJ119" s="1295">
        <v>151063.31</v>
      </c>
      <c r="AK119" s="1295">
        <v>151063.31</v>
      </c>
      <c r="AL119" s="1295">
        <v>151063.31</v>
      </c>
      <c r="AM119" s="1295">
        <v>151063.31</v>
      </c>
      <c r="AN119" s="1295">
        <v>151063.31</v>
      </c>
      <c r="AO119" s="1295">
        <v>151063.31</v>
      </c>
      <c r="AP119" s="1295">
        <v>145177.31</v>
      </c>
      <c r="AQ119" s="1295">
        <v>145177.31</v>
      </c>
      <c r="AR119" s="1295">
        <v>145177.31</v>
      </c>
      <c r="AS119" s="1295">
        <v>145177.31</v>
      </c>
      <c r="AT119" s="1295">
        <v>145177.31</v>
      </c>
      <c r="AU119" s="1295">
        <v>145177.31</v>
      </c>
      <c r="AV119" s="1295">
        <v>138977.31</v>
      </c>
      <c r="AW119" s="1295">
        <f t="shared" si="37"/>
        <v>138977.31</v>
      </c>
      <c r="AX119" s="1295">
        <v>138977.31</v>
      </c>
      <c r="AY119" s="1295"/>
      <c r="AZ119" s="1289">
        <v>138977.31</v>
      </c>
      <c r="BA119" s="1289">
        <v>138977.31</v>
      </c>
      <c r="BB119" s="1289">
        <v>138977.31</v>
      </c>
      <c r="BC119" s="1289">
        <v>138977.31</v>
      </c>
      <c r="BD119" s="1289">
        <v>138977.31</v>
      </c>
      <c r="BE119" s="1295"/>
      <c r="BF119" s="1295"/>
      <c r="BG119" s="1295"/>
      <c r="BH119" s="1295"/>
      <c r="BI119" s="1295"/>
    </row>
    <row r="120" spans="3:61" x14ac:dyDescent="0.3">
      <c r="C120" s="1288"/>
      <c r="D120" s="1288"/>
      <c r="E120" s="1288"/>
      <c r="F120" s="1288"/>
      <c r="G120" s="1288" t="s">
        <v>1110</v>
      </c>
      <c r="H120" s="1288"/>
      <c r="I120" s="1288"/>
      <c r="J120" s="1295">
        <v>0</v>
      </c>
      <c r="K120" s="1295">
        <v>0</v>
      </c>
      <c r="L120" s="1295">
        <v>0</v>
      </c>
      <c r="M120" s="1295">
        <v>0</v>
      </c>
      <c r="N120" s="1295">
        <v>116.5</v>
      </c>
      <c r="O120" s="1295">
        <v>299.10000000000002</v>
      </c>
      <c r="P120" s="1295">
        <v>0</v>
      </c>
      <c r="Q120" s="1295">
        <v>0</v>
      </c>
      <c r="R120" s="1295">
        <v>39.6</v>
      </c>
      <c r="S120" s="1295">
        <v>0</v>
      </c>
      <c r="T120" s="1295">
        <v>182.6</v>
      </c>
      <c r="U120" s="1295">
        <v>0</v>
      </c>
      <c r="V120" s="1295">
        <v>191.8</v>
      </c>
      <c r="W120" s="1295">
        <v>399.68</v>
      </c>
      <c r="X120" s="1295">
        <v>0</v>
      </c>
      <c r="Y120" s="1295">
        <v>445.41</v>
      </c>
      <c r="Z120" s="1295">
        <v>445.41</v>
      </c>
      <c r="AA120" s="1295">
        <v>842.41</v>
      </c>
      <c r="AB120" s="1295">
        <v>842.41</v>
      </c>
      <c r="AC120" s="1295">
        <v>0</v>
      </c>
      <c r="AD120" s="1295">
        <v>0</v>
      </c>
      <c r="AE120" s="1295">
        <v>297.75</v>
      </c>
      <c r="AF120" s="1295">
        <v>595.5</v>
      </c>
      <c r="AG120" s="1295">
        <v>0</v>
      </c>
      <c r="AH120" s="1295">
        <v>0</v>
      </c>
      <c r="AI120" s="1295">
        <v>224.2</v>
      </c>
      <c r="AJ120" s="1295">
        <v>0</v>
      </c>
      <c r="AK120" s="1295">
        <v>418.4</v>
      </c>
      <c r="AL120" s="1295">
        <v>732.2</v>
      </c>
      <c r="AM120" s="1295">
        <v>0</v>
      </c>
      <c r="AN120" s="1295">
        <v>48.12</v>
      </c>
      <c r="AO120" s="1295">
        <v>438</v>
      </c>
      <c r="AP120" s="1295">
        <v>766.5</v>
      </c>
      <c r="AQ120" s="1295">
        <v>1158.47</v>
      </c>
      <c r="AR120" s="1295">
        <v>0</v>
      </c>
      <c r="AS120" s="1295">
        <v>0</v>
      </c>
      <c r="AT120" s="1295">
        <v>0</v>
      </c>
      <c r="AU120" s="1295">
        <v>-234.3</v>
      </c>
      <c r="AV120" s="1295">
        <v>0</v>
      </c>
      <c r="AW120" s="1295">
        <f t="shared" si="37"/>
        <v>178.59</v>
      </c>
      <c r="AX120" s="1295">
        <v>357.18</v>
      </c>
      <c r="AY120" s="1295"/>
      <c r="AZ120" s="1289"/>
      <c r="BA120" s="1289"/>
      <c r="BB120" s="1289">
        <v>16.399999999999999</v>
      </c>
      <c r="BC120" s="1289">
        <v>0</v>
      </c>
      <c r="BD120" s="1289"/>
      <c r="BE120" s="1295"/>
      <c r="BF120" s="1295"/>
      <c r="BG120" s="1295"/>
      <c r="BH120" s="1295"/>
      <c r="BI120" s="1295"/>
    </row>
    <row r="121" spans="3:61" ht="15" thickBot="1" x14ac:dyDescent="0.35">
      <c r="C121" s="1288"/>
      <c r="D121" s="1288"/>
      <c r="E121" s="1288"/>
      <c r="F121" s="1288"/>
      <c r="G121" s="1288" t="s">
        <v>1111</v>
      </c>
      <c r="H121" s="1288"/>
      <c r="I121" s="1288"/>
      <c r="J121" s="1296">
        <v>-1143</v>
      </c>
      <c r="K121" s="1296">
        <v>0</v>
      </c>
      <c r="L121" s="1296">
        <v>0</v>
      </c>
      <c r="M121" s="1296">
        <v>0</v>
      </c>
      <c r="N121" s="1296">
        <v>0</v>
      </c>
      <c r="O121" s="1296">
        <v>-674</v>
      </c>
      <c r="P121" s="1296">
        <v>0</v>
      </c>
      <c r="Q121" s="1296">
        <v>0</v>
      </c>
      <c r="R121" s="1296">
        <v>2146.25</v>
      </c>
      <c r="S121" s="1296">
        <v>0</v>
      </c>
      <c r="T121" s="1296">
        <v>405</v>
      </c>
      <c r="U121" s="1296">
        <v>0</v>
      </c>
      <c r="V121" s="1296">
        <v>-514.95000000000005</v>
      </c>
      <c r="W121" s="1296">
        <v>51.31</v>
      </c>
      <c r="X121" s="1296">
        <v>6378.24</v>
      </c>
      <c r="Y121" s="1296">
        <v>7775.7</v>
      </c>
      <c r="Z121" s="1296">
        <v>4513.8100000000004</v>
      </c>
      <c r="AA121" s="1296">
        <v>6040.49</v>
      </c>
      <c r="AB121" s="1296">
        <v>5494.84</v>
      </c>
      <c r="AC121" s="1296">
        <v>3233.91</v>
      </c>
      <c r="AD121" s="1296">
        <v>3137.09</v>
      </c>
      <c r="AE121" s="1296">
        <v>2109.9899999999998</v>
      </c>
      <c r="AF121" s="1296">
        <v>-774.61</v>
      </c>
      <c r="AG121" s="1296">
        <v>0</v>
      </c>
      <c r="AH121" s="1296">
        <v>0</v>
      </c>
      <c r="AI121" s="1296">
        <v>410.49</v>
      </c>
      <c r="AJ121" s="1296">
        <v>0</v>
      </c>
      <c r="AK121" s="1296">
        <v>4525.6400000000003</v>
      </c>
      <c r="AL121" s="1296">
        <v>4727.71</v>
      </c>
      <c r="AM121" s="1296">
        <v>0</v>
      </c>
      <c r="AN121" s="1296">
        <v>0</v>
      </c>
      <c r="AO121" s="1296">
        <v>0</v>
      </c>
      <c r="AP121" s="1296">
        <v>12545.17</v>
      </c>
      <c r="AQ121" s="1296">
        <v>15017.25</v>
      </c>
      <c r="AR121" s="1296">
        <v>0</v>
      </c>
      <c r="AS121" s="1296">
        <v>0</v>
      </c>
      <c r="AT121" s="1296"/>
      <c r="AU121" s="1296"/>
      <c r="AV121" s="1296"/>
      <c r="AW121" s="1296"/>
      <c r="AX121" s="1296"/>
      <c r="AY121" s="1296"/>
      <c r="AZ121" s="1290"/>
      <c r="BA121" s="1290"/>
      <c r="BB121" s="1290">
        <v>4271.34</v>
      </c>
      <c r="BC121" s="1290">
        <v>0</v>
      </c>
      <c r="BD121" s="1290">
        <v>109.25</v>
      </c>
      <c r="BE121" s="1296"/>
      <c r="BF121" s="1296"/>
      <c r="BG121" s="1296"/>
      <c r="BH121" s="1296"/>
      <c r="BI121" s="1296"/>
    </row>
    <row r="122" spans="3:61" x14ac:dyDescent="0.3">
      <c r="C122" s="1288"/>
      <c r="D122" s="1288"/>
      <c r="E122" s="1288"/>
      <c r="F122" s="1288" t="s">
        <v>427</v>
      </c>
      <c r="G122" s="1288"/>
      <c r="H122" s="1288"/>
      <c r="I122" s="1288"/>
      <c r="J122" s="1298">
        <v>1790435.96</v>
      </c>
      <c r="K122" s="1298">
        <v>1643324.48</v>
      </c>
      <c r="L122" s="1298">
        <v>1698044.35</v>
      </c>
      <c r="M122" s="1298">
        <v>1626965.76</v>
      </c>
      <c r="N122" s="1298">
        <v>1673784.67</v>
      </c>
      <c r="O122" s="1298">
        <v>1627810.73</v>
      </c>
      <c r="P122" s="1298">
        <v>1647603.27</v>
      </c>
      <c r="Q122" s="1298">
        <v>1700428.88</v>
      </c>
      <c r="R122" s="1298">
        <v>1751560.19</v>
      </c>
      <c r="S122" s="1298">
        <v>1706656.03</v>
      </c>
      <c r="T122" s="1298">
        <v>1868084.08</v>
      </c>
      <c r="U122" s="1298">
        <v>1474837.69</v>
      </c>
      <c r="V122" s="1298">
        <v>1720197.87</v>
      </c>
      <c r="W122" s="1298">
        <v>1676626.56</v>
      </c>
      <c r="X122" s="1298">
        <v>1801480.84</v>
      </c>
      <c r="Y122" s="1298">
        <v>2049664.29</v>
      </c>
      <c r="Z122" s="1298">
        <v>1856318.87</v>
      </c>
      <c r="AA122" s="1298">
        <v>1679298.14</v>
      </c>
      <c r="AB122" s="1298">
        <v>1668657.04</v>
      </c>
      <c r="AC122" s="1298">
        <v>1830322.68</v>
      </c>
      <c r="AD122" s="1298">
        <v>1825777.16</v>
      </c>
      <c r="AE122" s="1298">
        <v>1847913.93</v>
      </c>
      <c r="AF122" s="1298">
        <v>2263147.4</v>
      </c>
      <c r="AG122" s="1298">
        <v>1846015.08</v>
      </c>
      <c r="AH122" s="1298">
        <v>2212915.4700000002</v>
      </c>
      <c r="AI122" s="1298">
        <v>2020694.67</v>
      </c>
      <c r="AJ122" s="1298">
        <v>2040458.98</v>
      </c>
      <c r="AK122" s="1298">
        <v>2009682</v>
      </c>
      <c r="AL122" s="1298">
        <v>1880853.34</v>
      </c>
      <c r="AM122" s="1298">
        <v>2030329.35</v>
      </c>
      <c r="AN122" s="1298">
        <v>1818386.23</v>
      </c>
      <c r="AO122" s="1298">
        <v>2038165.81</v>
      </c>
      <c r="AP122" s="1298">
        <v>1923765.42</v>
      </c>
      <c r="AQ122" s="1298">
        <v>2073972.89</v>
      </c>
      <c r="AR122" s="1298">
        <v>1982011.56</v>
      </c>
      <c r="AS122" s="1298">
        <v>1796325.97</v>
      </c>
      <c r="AT122" s="1298">
        <f>ROUND(SUM(AT111:AT120),5)</f>
        <v>1846966.74</v>
      </c>
      <c r="AU122" s="1298">
        <f>ROUND(SUM(AU111:AU120),5)</f>
        <v>1969510.09</v>
      </c>
      <c r="AV122" s="1298">
        <f>ROUND(SUM(AV111:AV120),5)</f>
        <v>2134033.4700000002</v>
      </c>
      <c r="AW122" s="1298">
        <f>ROUND(SUM(AW111:AW120),5)</f>
        <v>2143676.5150000001</v>
      </c>
      <c r="AX122" s="1298">
        <f>ROUND(SUM(AX111:AX120),5)</f>
        <v>2153319.56</v>
      </c>
      <c r="AY122" s="1298">
        <f>AX122</f>
        <v>2153319.56</v>
      </c>
      <c r="AZ122" s="1289">
        <f>SUM(AZ112:AZ121)</f>
        <v>2064101.79</v>
      </c>
      <c r="BA122" s="1289">
        <f>SUM(BA112:BA121)</f>
        <v>2064131.9500000002</v>
      </c>
      <c r="BB122" s="1289">
        <f>SUM(BB112:BB121)</f>
        <v>2214080.7599999998</v>
      </c>
      <c r="BC122" s="1289">
        <f>ROUND(SUM(BC111:BC121),5)</f>
        <v>2198897.34</v>
      </c>
      <c r="BD122" s="1289">
        <f>ROUND(SUM(BD111:BD121),5)</f>
        <v>2035431.18</v>
      </c>
      <c r="BE122" s="1298"/>
      <c r="BF122" s="1298"/>
      <c r="BG122" s="1298"/>
      <c r="BH122" s="1298"/>
      <c r="BI122" s="1298"/>
    </row>
    <row r="123" spans="3:61" x14ac:dyDescent="0.3">
      <c r="C123" s="1288"/>
      <c r="D123" s="1288"/>
      <c r="E123" s="1288"/>
      <c r="F123" s="1288" t="s">
        <v>1112</v>
      </c>
      <c r="G123" s="1288"/>
      <c r="H123" s="1288"/>
      <c r="I123" s="1288"/>
      <c r="J123" s="1298">
        <v>901.21</v>
      </c>
      <c r="K123" s="1298">
        <v>901.21</v>
      </c>
      <c r="L123" s="1298">
        <v>901.21</v>
      </c>
      <c r="M123" s="1298">
        <v>1330.96</v>
      </c>
      <c r="N123" s="1298">
        <v>1330.96</v>
      </c>
      <c r="O123" s="1298">
        <v>1330.96</v>
      </c>
      <c r="P123" s="1298">
        <v>1330.96</v>
      </c>
      <c r="Q123" s="1298">
        <v>59.06</v>
      </c>
      <c r="R123" s="1298">
        <v>59.06</v>
      </c>
      <c r="S123" s="1298">
        <v>-487.55</v>
      </c>
      <c r="T123" s="1298">
        <v>-487.55</v>
      </c>
      <c r="U123" s="1298">
        <v>-228.57</v>
      </c>
      <c r="V123" s="1298">
        <v>-228.57</v>
      </c>
      <c r="W123" s="1298">
        <v>-228.57</v>
      </c>
      <c r="X123" s="1298">
        <v>0</v>
      </c>
      <c r="Y123" s="1298">
        <v>0</v>
      </c>
      <c r="Z123" s="1298">
        <v>0</v>
      </c>
      <c r="AA123" s="1298">
        <v>0</v>
      </c>
      <c r="AB123" s="1298">
        <v>0</v>
      </c>
      <c r="AC123" s="1298">
        <v>0</v>
      </c>
      <c r="AD123" s="1298">
        <v>0</v>
      </c>
      <c r="AE123" s="1298">
        <v>0</v>
      </c>
      <c r="AF123" s="1298">
        <v>0</v>
      </c>
      <c r="AG123" s="1298">
        <v>0</v>
      </c>
      <c r="AH123" s="1298">
        <v>0</v>
      </c>
      <c r="AI123" s="1298">
        <v>0</v>
      </c>
      <c r="AJ123" s="1298">
        <v>6000</v>
      </c>
      <c r="AK123" s="1298">
        <v>6000</v>
      </c>
      <c r="AL123" s="1298">
        <v>6000</v>
      </c>
      <c r="AM123" s="1298">
        <v>0</v>
      </c>
      <c r="AN123" s="1298">
        <v>0</v>
      </c>
      <c r="AO123" s="1298">
        <v>0</v>
      </c>
      <c r="AP123" s="1298">
        <v>0</v>
      </c>
      <c r="AQ123" s="1298">
        <v>0</v>
      </c>
      <c r="AR123" s="1298">
        <v>0</v>
      </c>
      <c r="AS123" s="1298">
        <v>0</v>
      </c>
      <c r="AT123" s="1298"/>
      <c r="AU123" s="1298"/>
      <c r="AV123" s="1298"/>
      <c r="AW123" s="1298"/>
      <c r="AX123" s="1298"/>
      <c r="AY123" s="1298"/>
      <c r="AZ123" s="1289"/>
      <c r="BA123" s="1289"/>
      <c r="BB123" s="1289"/>
      <c r="BC123" s="1289"/>
      <c r="BD123" s="1289"/>
      <c r="BE123" s="1298"/>
      <c r="BF123" s="1298"/>
      <c r="BG123" s="1298"/>
      <c r="BH123" s="1298"/>
      <c r="BI123" s="1298"/>
    </row>
    <row r="124" spans="3:61" x14ac:dyDescent="0.3">
      <c r="C124" s="1288"/>
      <c r="D124" s="1288"/>
      <c r="E124" s="1288"/>
      <c r="F124" s="1288" t="s">
        <v>1298</v>
      </c>
      <c r="G124" s="1288"/>
      <c r="H124" s="1288"/>
      <c r="I124" s="1288"/>
      <c r="J124" s="1298"/>
      <c r="K124" s="1298"/>
      <c r="L124" s="1298"/>
      <c r="M124" s="1298"/>
      <c r="N124" s="1298"/>
      <c r="O124" s="1298"/>
      <c r="P124" s="1298"/>
      <c r="Q124" s="1298"/>
      <c r="R124" s="1298"/>
      <c r="S124" s="1298"/>
      <c r="T124" s="1298"/>
      <c r="U124" s="1298"/>
      <c r="V124" s="1298"/>
      <c r="W124" s="1298"/>
      <c r="X124" s="1298"/>
      <c r="Y124" s="1298"/>
      <c r="Z124" s="1298"/>
      <c r="AA124" s="1298"/>
      <c r="AB124" s="1298"/>
      <c r="AC124" s="1298"/>
      <c r="AD124" s="1298"/>
      <c r="AE124" s="1298"/>
      <c r="AF124" s="1298"/>
      <c r="AG124" s="1298"/>
      <c r="AH124" s="1298"/>
      <c r="AI124" s="1298"/>
      <c r="AJ124" s="1298"/>
      <c r="AK124" s="1298"/>
      <c r="AL124" s="1298"/>
      <c r="AM124" s="1298"/>
      <c r="AN124" s="1298"/>
      <c r="AO124" s="1298"/>
      <c r="AP124" s="1298"/>
      <c r="AQ124" s="1298"/>
      <c r="AR124" s="1298"/>
      <c r="AS124" s="1298"/>
      <c r="AT124" s="1298"/>
      <c r="AU124" s="1298"/>
      <c r="AV124" s="1298"/>
      <c r="AW124" s="1298"/>
      <c r="AX124" s="1298"/>
      <c r="AY124" s="1298"/>
      <c r="AZ124" s="1289">
        <v>12589.22</v>
      </c>
      <c r="BA124" s="1289">
        <v>15431.25</v>
      </c>
      <c r="BB124" s="1289">
        <v>15431.25</v>
      </c>
      <c r="BC124" s="1289">
        <v>0</v>
      </c>
      <c r="BD124" s="1289"/>
      <c r="BE124" s="1298"/>
      <c r="BF124" s="1298"/>
      <c r="BG124" s="1298"/>
      <c r="BH124" s="1298"/>
      <c r="BI124" s="1298"/>
    </row>
    <row r="125" spans="3:61" x14ac:dyDescent="0.3">
      <c r="C125" s="1288"/>
      <c r="D125" s="1288"/>
      <c r="E125" s="1288"/>
      <c r="F125" s="1288" t="s">
        <v>1113</v>
      </c>
      <c r="G125" s="1288"/>
      <c r="H125" s="1288"/>
      <c r="I125" s="1288"/>
      <c r="J125" s="1295">
        <v>9226.4599999999991</v>
      </c>
      <c r="K125" s="1295">
        <v>9686.3799999999992</v>
      </c>
      <c r="L125" s="1295">
        <v>10146.299999999999</v>
      </c>
      <c r="M125" s="1295">
        <v>10606.22</v>
      </c>
      <c r="N125" s="1295">
        <v>11066.14</v>
      </c>
      <c r="O125" s="1295">
        <v>11526.06</v>
      </c>
      <c r="P125" s="1295">
        <v>11985.8</v>
      </c>
      <c r="Q125" s="1295">
        <v>5992.7</v>
      </c>
      <c r="R125" s="1295">
        <v>0</v>
      </c>
      <c r="S125" s="1295">
        <v>3283.52</v>
      </c>
      <c r="T125" s="1295">
        <v>0</v>
      </c>
      <c r="U125" s="1295">
        <v>0</v>
      </c>
      <c r="V125" s="1295">
        <v>4145.76</v>
      </c>
      <c r="W125" s="1295">
        <v>0</v>
      </c>
      <c r="X125" s="1295">
        <v>4145.76</v>
      </c>
      <c r="Y125" s="1295">
        <v>4145.76</v>
      </c>
      <c r="Z125" s="1295">
        <v>4145.76</v>
      </c>
      <c r="AA125" s="1295">
        <v>4156.5600000000004</v>
      </c>
      <c r="AB125" s="1295">
        <v>4160.1400000000003</v>
      </c>
      <c r="AC125" s="1295">
        <v>4149.26</v>
      </c>
      <c r="AD125" s="1295">
        <v>0</v>
      </c>
      <c r="AE125" s="1295">
        <v>0</v>
      </c>
      <c r="AF125" s="1295">
        <v>0</v>
      </c>
      <c r="AG125" s="1295">
        <v>0</v>
      </c>
      <c r="AH125" s="1295">
        <v>-90</v>
      </c>
      <c r="AI125" s="1295">
        <v>776.25</v>
      </c>
      <c r="AJ125" s="1295">
        <v>0</v>
      </c>
      <c r="AK125" s="1295">
        <v>101.25</v>
      </c>
      <c r="AL125" s="1295">
        <v>202.5</v>
      </c>
      <c r="AM125" s="1295">
        <v>0</v>
      </c>
      <c r="AN125" s="1295">
        <v>0</v>
      </c>
      <c r="AO125" s="1295">
        <v>0</v>
      </c>
      <c r="AP125" s="1295">
        <v>0</v>
      </c>
      <c r="AQ125" s="1295">
        <v>0</v>
      </c>
      <c r="AR125" s="1295">
        <v>0</v>
      </c>
      <c r="AS125" s="1295">
        <v>0</v>
      </c>
      <c r="AT125" s="1295"/>
      <c r="AU125" s="1295"/>
      <c r="AV125" s="1295"/>
      <c r="AW125" s="1295"/>
      <c r="AX125" s="1295"/>
      <c r="AY125" s="1295"/>
      <c r="AZ125" s="1289">
        <v>5389.5</v>
      </c>
      <c r="BA125" s="1289">
        <v>5389.5</v>
      </c>
      <c r="BB125" s="1289">
        <v>5389.5</v>
      </c>
      <c r="BC125" s="1289">
        <v>5389.5</v>
      </c>
      <c r="BD125" s="1289">
        <v>5389.5</v>
      </c>
      <c r="BE125" s="1295"/>
      <c r="BF125" s="1295"/>
      <c r="BG125" s="1295"/>
      <c r="BH125" s="1295"/>
      <c r="BI125" s="1295"/>
    </row>
    <row r="126" spans="3:61" x14ac:dyDescent="0.3">
      <c r="C126" s="1288"/>
      <c r="D126" s="1288"/>
      <c r="E126" s="1288"/>
      <c r="F126" s="1288" t="s">
        <v>1299</v>
      </c>
      <c r="G126" s="1288"/>
      <c r="H126" s="1288"/>
      <c r="I126" s="1288"/>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295"/>
      <c r="AL126" s="1295"/>
      <c r="AM126" s="1295"/>
      <c r="AN126" s="1295"/>
      <c r="AO126" s="1295"/>
      <c r="AP126" s="1295"/>
      <c r="AQ126" s="1295"/>
      <c r="AR126" s="1295"/>
      <c r="AS126" s="1295"/>
      <c r="AT126" s="1295"/>
      <c r="AU126" s="1295"/>
      <c r="AV126" s="1295"/>
      <c r="AW126" s="1295"/>
      <c r="AX126" s="1295"/>
      <c r="AY126" s="1295"/>
      <c r="AZ126" s="1289">
        <v>9066.83</v>
      </c>
      <c r="BA126" s="1289">
        <v>22627.81</v>
      </c>
      <c r="BB126" s="1289">
        <v>-232449.67</v>
      </c>
      <c r="BC126" s="1289">
        <v>13000.31</v>
      </c>
      <c r="BD126" s="1289">
        <v>-15712.96</v>
      </c>
      <c r="BE126" s="1295"/>
      <c r="BF126" s="1295"/>
      <c r="BG126" s="1295"/>
      <c r="BH126" s="1295"/>
      <c r="BI126" s="1295"/>
    </row>
    <row r="127" spans="3:61" x14ac:dyDescent="0.3">
      <c r="C127" s="1288"/>
      <c r="D127" s="1288"/>
      <c r="E127" s="1288"/>
      <c r="F127" s="1288" t="s">
        <v>1300</v>
      </c>
      <c r="G127" s="1288"/>
      <c r="H127" s="1288"/>
      <c r="I127" s="1288"/>
      <c r="J127" s="1295"/>
      <c r="K127" s="1295"/>
      <c r="L127" s="1295"/>
      <c r="M127" s="1295"/>
      <c r="N127" s="1295"/>
      <c r="O127" s="1295"/>
      <c r="P127" s="1295"/>
      <c r="Q127" s="1295"/>
      <c r="R127" s="1295"/>
      <c r="S127" s="1295"/>
      <c r="T127" s="1295"/>
      <c r="U127" s="1295"/>
      <c r="V127" s="1295"/>
      <c r="W127" s="1295"/>
      <c r="X127" s="1295"/>
      <c r="Y127" s="1295"/>
      <c r="Z127" s="1295"/>
      <c r="AA127" s="1295"/>
      <c r="AB127" s="1295"/>
      <c r="AC127" s="1295"/>
      <c r="AD127" s="1295"/>
      <c r="AE127" s="1295"/>
      <c r="AF127" s="1295"/>
      <c r="AG127" s="1295"/>
      <c r="AH127" s="1295"/>
      <c r="AI127" s="1295"/>
      <c r="AJ127" s="1295"/>
      <c r="AK127" s="1295"/>
      <c r="AL127" s="1295"/>
      <c r="AM127" s="1295"/>
      <c r="AN127" s="1295"/>
      <c r="AO127" s="1295"/>
      <c r="AP127" s="1295"/>
      <c r="AQ127" s="1295"/>
      <c r="AR127" s="1295"/>
      <c r="AS127" s="1295"/>
      <c r="AT127" s="1295"/>
      <c r="AU127" s="1295"/>
      <c r="AV127" s="1295"/>
      <c r="AW127" s="1295"/>
      <c r="AX127" s="1295"/>
      <c r="AY127" s="1295"/>
      <c r="AZ127" s="1289">
        <v>-102253.56</v>
      </c>
      <c r="BA127" s="1289">
        <v>-239637.35</v>
      </c>
      <c r="BB127" s="1289">
        <v>-7235.19</v>
      </c>
      <c r="BC127" s="1289">
        <v>-142667.95000000001</v>
      </c>
      <c r="BD127" s="1289">
        <v>-278587.31</v>
      </c>
      <c r="BE127" s="1295"/>
      <c r="BF127" s="1295"/>
      <c r="BG127" s="1295"/>
      <c r="BH127" s="1295"/>
      <c r="BI127" s="1295"/>
    </row>
    <row r="128" spans="3:61" x14ac:dyDescent="0.3">
      <c r="C128" s="1288"/>
      <c r="D128" s="1288"/>
      <c r="E128" s="1288"/>
      <c r="F128" s="1288" t="s">
        <v>1114</v>
      </c>
      <c r="G128" s="1288"/>
      <c r="H128" s="1288"/>
      <c r="I128" s="1288"/>
      <c r="J128" s="1295">
        <v>3856.44</v>
      </c>
      <c r="K128" s="1295">
        <v>3856.44</v>
      </c>
      <c r="L128" s="1295">
        <v>3856.44</v>
      </c>
      <c r="M128" s="1295">
        <v>3856.44</v>
      </c>
      <c r="N128" s="1295">
        <v>3856.44</v>
      </c>
      <c r="O128" s="1295">
        <v>3856.44</v>
      </c>
      <c r="P128" s="1295">
        <v>3856.44</v>
      </c>
      <c r="Q128" s="1295">
        <v>3856.44</v>
      </c>
      <c r="R128" s="1295">
        <v>3856.44</v>
      </c>
      <c r="S128" s="1295">
        <v>3856.44</v>
      </c>
      <c r="T128" s="1295">
        <v>0</v>
      </c>
      <c r="U128" s="1295">
        <v>0</v>
      </c>
      <c r="V128" s="1295">
        <v>0</v>
      </c>
      <c r="W128" s="1295">
        <v>0</v>
      </c>
      <c r="X128" s="1295">
        <v>0</v>
      </c>
      <c r="Y128" s="1295">
        <v>0</v>
      </c>
      <c r="Z128" s="1295">
        <v>0</v>
      </c>
      <c r="AA128" s="1295">
        <v>0</v>
      </c>
      <c r="AB128" s="1295">
        <v>0</v>
      </c>
      <c r="AC128" s="1295">
        <v>0</v>
      </c>
      <c r="AD128" s="1295">
        <v>0</v>
      </c>
      <c r="AE128" s="1295">
        <v>0</v>
      </c>
      <c r="AF128" s="1295">
        <v>0</v>
      </c>
      <c r="AG128" s="1295">
        <v>0</v>
      </c>
      <c r="AH128" s="1295">
        <v>0</v>
      </c>
      <c r="AI128" s="1295">
        <v>0</v>
      </c>
      <c r="AJ128" s="1295">
        <v>0</v>
      </c>
      <c r="AK128" s="1295">
        <v>0</v>
      </c>
      <c r="AL128" s="1295">
        <v>0</v>
      </c>
      <c r="AM128" s="1295">
        <v>0</v>
      </c>
      <c r="AN128" s="1295">
        <v>0</v>
      </c>
      <c r="AO128" s="1295">
        <v>0</v>
      </c>
      <c r="AP128" s="1295">
        <v>0</v>
      </c>
      <c r="AQ128" s="1295">
        <v>0</v>
      </c>
      <c r="AR128" s="1295">
        <v>0</v>
      </c>
      <c r="AS128" s="1295">
        <v>0</v>
      </c>
      <c r="AT128" s="1295"/>
      <c r="AU128" s="1295"/>
      <c r="AV128" s="1295"/>
      <c r="AW128" s="1295"/>
      <c r="AX128" s="1295"/>
      <c r="AY128" s="1295"/>
      <c r="AZ128" s="1289"/>
      <c r="BA128" s="1289"/>
      <c r="BB128" s="1289"/>
      <c r="BC128" s="1289"/>
      <c r="BD128" s="1289"/>
      <c r="BE128" s="1295"/>
      <c r="BF128" s="1295"/>
      <c r="BG128" s="1295"/>
      <c r="BH128" s="1295"/>
      <c r="BI128" s="1295"/>
    </row>
    <row r="129" spans="3:61" x14ac:dyDescent="0.3">
      <c r="C129" s="1288"/>
      <c r="D129" s="1288"/>
      <c r="E129" s="1288"/>
      <c r="F129" s="1288" t="s">
        <v>1115</v>
      </c>
      <c r="G129" s="1288"/>
      <c r="H129" s="1288"/>
      <c r="I129" s="1288"/>
      <c r="J129" s="1295">
        <v>187927.94</v>
      </c>
      <c r="K129" s="1295">
        <v>186600.6</v>
      </c>
      <c r="L129" s="1295">
        <v>-15627.37</v>
      </c>
      <c r="M129" s="1295">
        <v>-7159.26</v>
      </c>
      <c r="N129" s="1295">
        <v>-29898.91</v>
      </c>
      <c r="O129" s="1295">
        <v>-9673.32</v>
      </c>
      <c r="P129" s="1295">
        <v>-9673.32</v>
      </c>
      <c r="Q129" s="1295">
        <v>-8873.32</v>
      </c>
      <c r="R129" s="1295">
        <v>-7428.32</v>
      </c>
      <c r="S129" s="1295">
        <v>-9428.32</v>
      </c>
      <c r="T129" s="1295">
        <v>-9428.32</v>
      </c>
      <c r="U129" s="1295">
        <v>0</v>
      </c>
      <c r="V129" s="1295">
        <v>0</v>
      </c>
      <c r="W129" s="1295">
        <v>0</v>
      </c>
      <c r="X129" s="1295">
        <v>0</v>
      </c>
      <c r="Y129" s="1295">
        <v>0</v>
      </c>
      <c r="Z129" s="1295">
        <v>0</v>
      </c>
      <c r="AA129" s="1295">
        <v>0</v>
      </c>
      <c r="AB129" s="1295">
        <v>0</v>
      </c>
      <c r="AC129" s="1295">
        <v>0</v>
      </c>
      <c r="AD129" s="1295">
        <v>0</v>
      </c>
      <c r="AE129" s="1295">
        <v>0</v>
      </c>
      <c r="AF129" s="1295">
        <v>0</v>
      </c>
      <c r="AG129" s="1295">
        <v>0</v>
      </c>
      <c r="AH129" s="1295">
        <v>0</v>
      </c>
      <c r="AI129" s="1295">
        <v>0</v>
      </c>
      <c r="AJ129" s="1295">
        <v>0</v>
      </c>
      <c r="AK129" s="1295">
        <v>0</v>
      </c>
      <c r="AL129" s="1295">
        <v>0</v>
      </c>
      <c r="AM129" s="1295">
        <v>0</v>
      </c>
      <c r="AN129" s="1295">
        <v>0</v>
      </c>
      <c r="AO129" s="1295">
        <v>0</v>
      </c>
      <c r="AP129" s="1295">
        <v>0</v>
      </c>
      <c r="AQ129" s="1295">
        <v>0</v>
      </c>
      <c r="AR129" s="1295">
        <v>0</v>
      </c>
      <c r="AS129" s="1295">
        <v>0</v>
      </c>
      <c r="AT129" s="1295"/>
      <c r="AU129" s="1295"/>
      <c r="AV129" s="1295"/>
      <c r="AW129" s="1295"/>
      <c r="AX129" s="1295"/>
      <c r="AY129" s="1295"/>
      <c r="AZ129" s="1289"/>
      <c r="BA129" s="1289"/>
      <c r="BB129" s="1289"/>
      <c r="BC129" s="1289"/>
      <c r="BD129" s="1289"/>
      <c r="BE129" s="1295"/>
      <c r="BF129" s="1295"/>
      <c r="BG129" s="1295"/>
      <c r="BH129" s="1295"/>
      <c r="BI129" s="1295"/>
    </row>
    <row r="130" spans="3:61" x14ac:dyDescent="0.3">
      <c r="C130" s="1288"/>
      <c r="D130" s="1288"/>
      <c r="E130" s="1288"/>
      <c r="F130" s="1288" t="s">
        <v>1116</v>
      </c>
      <c r="G130" s="1288"/>
      <c r="H130" s="1288"/>
      <c r="I130" s="1288"/>
      <c r="J130" s="1295">
        <v>4281.6400000000003</v>
      </c>
      <c r="K130" s="1295">
        <v>3111.64</v>
      </c>
      <c r="L130" s="1295">
        <v>2051.64</v>
      </c>
      <c r="M130" s="1295">
        <v>10911.64</v>
      </c>
      <c r="N130" s="1295">
        <v>9351.2900000000009</v>
      </c>
      <c r="O130" s="1295">
        <v>7721.29</v>
      </c>
      <c r="P130" s="1295">
        <v>6004.68</v>
      </c>
      <c r="Q130" s="1295">
        <v>4707.6499999999996</v>
      </c>
      <c r="R130" s="1295">
        <v>4227.43</v>
      </c>
      <c r="S130" s="1295">
        <v>1844.43</v>
      </c>
      <c r="T130" s="1295">
        <v>4168.03</v>
      </c>
      <c r="U130" s="1295">
        <v>3559.03</v>
      </c>
      <c r="V130" s="1295">
        <v>4021.95</v>
      </c>
      <c r="W130" s="1295">
        <v>4679.41</v>
      </c>
      <c r="X130" s="1295">
        <v>4199.41</v>
      </c>
      <c r="Y130" s="1295">
        <v>4732.7</v>
      </c>
      <c r="Z130" s="1295">
        <v>3818.25</v>
      </c>
      <c r="AA130" s="1295">
        <v>5118.25</v>
      </c>
      <c r="AB130" s="1295">
        <v>5194.6400000000003</v>
      </c>
      <c r="AC130" s="1295">
        <v>7334.64</v>
      </c>
      <c r="AD130" s="1295">
        <v>6584.64</v>
      </c>
      <c r="AE130" s="1295">
        <v>4815.58</v>
      </c>
      <c r="AF130" s="1295">
        <v>5735.58</v>
      </c>
      <c r="AG130" s="1295">
        <v>4757.24</v>
      </c>
      <c r="AH130" s="1295">
        <v>5550.23</v>
      </c>
      <c r="AI130" s="1295">
        <v>3558.08</v>
      </c>
      <c r="AJ130" s="1295">
        <v>5558.08</v>
      </c>
      <c r="AK130" s="1295">
        <v>7079.22</v>
      </c>
      <c r="AL130" s="1295">
        <v>8770.33</v>
      </c>
      <c r="AM130" s="1295">
        <v>7916.82</v>
      </c>
      <c r="AN130" s="1295">
        <v>6328.93</v>
      </c>
      <c r="AO130" s="1295">
        <v>7299.3</v>
      </c>
      <c r="AP130" s="1295">
        <v>8102.4</v>
      </c>
      <c r="AQ130" s="1295">
        <v>7539.8</v>
      </c>
      <c r="AR130" s="1295">
        <v>8039.8</v>
      </c>
      <c r="AS130" s="1295">
        <v>7369.8</v>
      </c>
      <c r="AT130" s="1295">
        <v>10681.12</v>
      </c>
      <c r="AU130" s="1295">
        <v>11237.49</v>
      </c>
      <c r="AV130" s="1295">
        <v>9700.3700000000008</v>
      </c>
      <c r="AW130" s="1295">
        <f>AVERAGE(AV130,AX130)</f>
        <v>9825.1850000000013</v>
      </c>
      <c r="AX130" s="1295">
        <v>9950</v>
      </c>
      <c r="AY130" s="1295"/>
      <c r="AZ130" s="1289"/>
      <c r="BA130" s="1289"/>
      <c r="BB130" s="1289"/>
      <c r="BC130" s="1289"/>
      <c r="BD130" s="1289"/>
      <c r="BE130" s="1295"/>
      <c r="BF130" s="1295"/>
      <c r="BG130" s="1295"/>
      <c r="BH130" s="1295"/>
      <c r="BI130" s="1295"/>
    </row>
    <row r="131" spans="3:61" ht="15" thickBot="1" x14ac:dyDescent="0.35">
      <c r="C131" s="1288"/>
      <c r="D131" s="1288"/>
      <c r="E131" s="1288"/>
      <c r="F131" s="1288" t="s">
        <v>1117</v>
      </c>
      <c r="G131" s="1288"/>
      <c r="H131" s="1288"/>
      <c r="I131" s="1288"/>
      <c r="J131" s="1295">
        <v>175</v>
      </c>
      <c r="K131" s="1295">
        <v>0</v>
      </c>
      <c r="L131" s="1295">
        <v>0</v>
      </c>
      <c r="M131" s="1295">
        <v>0</v>
      </c>
      <c r="N131" s="1295">
        <v>0</v>
      </c>
      <c r="O131" s="1295">
        <v>0</v>
      </c>
      <c r="P131" s="1295">
        <v>27.38</v>
      </c>
      <c r="Q131" s="1295">
        <v>0</v>
      </c>
      <c r="R131" s="1295">
        <v>0</v>
      </c>
      <c r="S131" s="1295">
        <v>0</v>
      </c>
      <c r="T131" s="1295">
        <v>0</v>
      </c>
      <c r="U131" s="1295">
        <v>0</v>
      </c>
      <c r="V131" s="1295">
        <v>0</v>
      </c>
      <c r="W131" s="1295">
        <v>0</v>
      </c>
      <c r="X131" s="1295">
        <v>0</v>
      </c>
      <c r="Y131" s="1295">
        <v>0</v>
      </c>
      <c r="Z131" s="1295">
        <v>0</v>
      </c>
      <c r="AA131" s="1295">
        <v>0</v>
      </c>
      <c r="AB131" s="1295">
        <v>-900.46</v>
      </c>
      <c r="AC131" s="1295">
        <v>0</v>
      </c>
      <c r="AD131" s="1295">
        <v>0</v>
      </c>
      <c r="AE131" s="1295">
        <v>0</v>
      </c>
      <c r="AF131" s="1295">
        <v>0</v>
      </c>
      <c r="AG131" s="1295">
        <v>0</v>
      </c>
      <c r="AH131" s="1295">
        <v>0</v>
      </c>
      <c r="AI131" s="1295">
        <v>0</v>
      </c>
      <c r="AJ131" s="1295">
        <v>0</v>
      </c>
      <c r="AK131" s="1295">
        <v>0</v>
      </c>
      <c r="AL131" s="1295">
        <v>0</v>
      </c>
      <c r="AM131" s="1295">
        <v>0</v>
      </c>
      <c r="AN131" s="1295">
        <v>0</v>
      </c>
      <c r="AO131" s="1295">
        <v>0</v>
      </c>
      <c r="AP131" s="1295">
        <v>308.81</v>
      </c>
      <c r="AQ131" s="1295">
        <v>0</v>
      </c>
      <c r="AR131" s="1295">
        <v>0</v>
      </c>
      <c r="AS131" s="1295">
        <v>0</v>
      </c>
      <c r="AT131" s="1295">
        <v>0</v>
      </c>
      <c r="AU131" s="1295">
        <v>462.12</v>
      </c>
      <c r="AV131" s="1295">
        <v>0</v>
      </c>
      <c r="AW131" s="1295">
        <f>AVERAGE(AV131,AX131)</f>
        <v>560.95000000000005</v>
      </c>
      <c r="AX131" s="1295">
        <v>1121.9000000000001</v>
      </c>
      <c r="AY131" s="1295"/>
      <c r="AZ131" s="1289"/>
      <c r="BA131" s="1289"/>
      <c r="BB131" s="1289"/>
      <c r="BC131" s="1289">
        <v>1895</v>
      </c>
      <c r="BD131" s="1289"/>
      <c r="BE131" s="1295"/>
      <c r="BF131" s="1295"/>
      <c r="BG131" s="1295"/>
      <c r="BH131" s="1295"/>
      <c r="BI131" s="1295"/>
    </row>
    <row r="132" spans="3:61" ht="15" thickBot="1" x14ac:dyDescent="0.35">
      <c r="C132" s="1288"/>
      <c r="D132" s="1288"/>
      <c r="E132" s="1288" t="s">
        <v>1118</v>
      </c>
      <c r="F132" s="1288"/>
      <c r="G132" s="1288"/>
      <c r="H132" s="1288"/>
      <c r="I132" s="1288"/>
      <c r="J132" s="1299">
        <v>1996804.65</v>
      </c>
      <c r="K132" s="1299">
        <v>1847480.75</v>
      </c>
      <c r="L132" s="1299">
        <v>1699372.57</v>
      </c>
      <c r="M132" s="1299">
        <v>1646511.76</v>
      </c>
      <c r="N132" s="1299">
        <v>1669490.59</v>
      </c>
      <c r="O132" s="1299">
        <v>1642572.16</v>
      </c>
      <c r="P132" s="1299">
        <v>1661135.21</v>
      </c>
      <c r="Q132" s="1299">
        <v>1706171.41</v>
      </c>
      <c r="R132" s="1299">
        <v>1752274.8</v>
      </c>
      <c r="S132" s="1299">
        <v>1705724.55</v>
      </c>
      <c r="T132" s="1299">
        <v>1862336.24</v>
      </c>
      <c r="U132" s="1299">
        <v>1478168.15</v>
      </c>
      <c r="V132" s="1299">
        <v>1728137.01</v>
      </c>
      <c r="W132" s="1299">
        <v>1681077.4</v>
      </c>
      <c r="X132" s="1299">
        <v>1809826.01</v>
      </c>
      <c r="Y132" s="1299">
        <v>2058542.75</v>
      </c>
      <c r="Z132" s="1299">
        <v>1864282.88</v>
      </c>
      <c r="AA132" s="1299">
        <v>1688572.95</v>
      </c>
      <c r="AB132" s="1299">
        <v>1677111.36</v>
      </c>
      <c r="AC132" s="1299">
        <v>1841806.58</v>
      </c>
      <c r="AD132" s="1299">
        <v>1832361.8</v>
      </c>
      <c r="AE132" s="1299">
        <v>1852729.51</v>
      </c>
      <c r="AF132" s="1299">
        <v>2268882.98</v>
      </c>
      <c r="AG132" s="1299">
        <v>1850772.32</v>
      </c>
      <c r="AH132" s="1299">
        <v>2218375.7000000002</v>
      </c>
      <c r="AI132" s="1299">
        <v>2025029</v>
      </c>
      <c r="AJ132" s="1299">
        <v>2052017.06</v>
      </c>
      <c r="AK132" s="1299">
        <v>2022862.47</v>
      </c>
      <c r="AL132" s="1299">
        <v>1895826.17</v>
      </c>
      <c r="AM132" s="1299">
        <v>2038246.17</v>
      </c>
      <c r="AN132" s="1299">
        <v>1824715.16</v>
      </c>
      <c r="AO132" s="1299">
        <v>2045465.11</v>
      </c>
      <c r="AP132" s="1299">
        <v>1932176.63</v>
      </c>
      <c r="AQ132" s="1299">
        <v>2081512.69</v>
      </c>
      <c r="AR132" s="1299">
        <v>1990051.36</v>
      </c>
      <c r="AS132" s="1299">
        <v>1803695.77</v>
      </c>
      <c r="AT132" s="1299">
        <f t="shared" ref="AT132:AY132" si="38">ROUND(AT110+SUM(AT122:AT131),5)</f>
        <v>1857647.86</v>
      </c>
      <c r="AU132" s="1299">
        <f t="shared" si="38"/>
        <v>1981209.7</v>
      </c>
      <c r="AV132" s="1299">
        <f t="shared" si="38"/>
        <v>2143733.84</v>
      </c>
      <c r="AW132" s="1299">
        <f t="shared" si="38"/>
        <v>2154062.65</v>
      </c>
      <c r="AX132" s="1299">
        <f t="shared" si="38"/>
        <v>2164391.46</v>
      </c>
      <c r="AY132" s="1299">
        <f t="shared" si="38"/>
        <v>2153319.56</v>
      </c>
      <c r="AZ132" s="1291">
        <f>SUM(AZ122:AZ131)</f>
        <v>1988893.78</v>
      </c>
      <c r="BA132" s="1291">
        <f t="shared" ref="BA132:BB132" si="39">SUM(BA122:BA131)</f>
        <v>1867943.1600000001</v>
      </c>
      <c r="BB132" s="1291">
        <f t="shared" si="39"/>
        <v>1995216.65</v>
      </c>
      <c r="BC132" s="1291">
        <f>ROUND(BC110+SUM(BC122:BC131),5)</f>
        <v>2076514.2</v>
      </c>
      <c r="BD132" s="1291">
        <f>ROUND(BD110+SUM(BD122:BD131),5)</f>
        <v>1746520.41</v>
      </c>
      <c r="BE132" s="1299"/>
      <c r="BF132" s="1299"/>
      <c r="BG132" s="1299"/>
      <c r="BH132" s="1299"/>
      <c r="BI132" s="1299"/>
    </row>
    <row r="133" spans="3:61" x14ac:dyDescent="0.3">
      <c r="C133" s="1288"/>
      <c r="D133" s="1288" t="s">
        <v>247</v>
      </c>
      <c r="E133" s="1288"/>
      <c r="F133" s="1288"/>
      <c r="G133" s="1288"/>
      <c r="H133" s="1288"/>
      <c r="I133" s="1288"/>
      <c r="J133" s="1295">
        <v>2465534.38</v>
      </c>
      <c r="K133" s="1295">
        <v>2151075.94</v>
      </c>
      <c r="L133" s="1295">
        <v>1878807.04</v>
      </c>
      <c r="M133" s="1295">
        <v>1866148.28</v>
      </c>
      <c r="N133" s="1295">
        <v>1840620.25</v>
      </c>
      <c r="O133" s="1295">
        <v>1900961.92</v>
      </c>
      <c r="P133" s="1295">
        <v>1991808.79</v>
      </c>
      <c r="Q133" s="1295">
        <v>2090651.51</v>
      </c>
      <c r="R133" s="1295">
        <v>2093052.21</v>
      </c>
      <c r="S133" s="1295">
        <v>1983084.1</v>
      </c>
      <c r="T133" s="1295">
        <v>2103329.36</v>
      </c>
      <c r="U133" s="1295">
        <v>1973297.03</v>
      </c>
      <c r="V133" s="1295">
        <v>2349571.64</v>
      </c>
      <c r="W133" s="1295">
        <v>2318065.89</v>
      </c>
      <c r="X133" s="1295">
        <v>2539580.16</v>
      </c>
      <c r="Y133" s="1295">
        <v>2581997.16</v>
      </c>
      <c r="Z133" s="1295">
        <v>2527739</v>
      </c>
      <c r="AA133" s="1295">
        <v>2902584.35</v>
      </c>
      <c r="AB133" s="1295">
        <v>2874221.83</v>
      </c>
      <c r="AC133" s="1295">
        <v>3045946.09</v>
      </c>
      <c r="AD133" s="1295">
        <v>3329615.57</v>
      </c>
      <c r="AE133" s="1295">
        <v>3319427.64</v>
      </c>
      <c r="AF133" s="1295">
        <v>3423820.7</v>
      </c>
      <c r="AG133" s="1295">
        <v>3011200.27</v>
      </c>
      <c r="AH133" s="1295">
        <v>3302392.52</v>
      </c>
      <c r="AI133" s="1295">
        <v>3019097.56</v>
      </c>
      <c r="AJ133" s="1295">
        <v>3207447.73</v>
      </c>
      <c r="AK133" s="1295">
        <v>3028592.41</v>
      </c>
      <c r="AL133" s="1295">
        <v>2379074.11</v>
      </c>
      <c r="AM133" s="1295">
        <v>2963866.51</v>
      </c>
      <c r="AN133" s="1295">
        <v>3367588.72</v>
      </c>
      <c r="AO133" s="1295">
        <v>3505994.32</v>
      </c>
      <c r="AP133" s="1295">
        <v>3568313.97</v>
      </c>
      <c r="AQ133" s="1295">
        <v>3716160.18</v>
      </c>
      <c r="AR133" s="1295">
        <v>3646524.8</v>
      </c>
      <c r="AS133" s="1295">
        <v>3235092.69</v>
      </c>
      <c r="AT133" s="1295">
        <f>ROUND(AT100+AT106+AT109+AT132,5)</f>
        <v>3084535.29</v>
      </c>
      <c r="AU133" s="1295">
        <f>ROUND(AU100+AU106+AU109+AU132,5)</f>
        <v>3153252.74</v>
      </c>
      <c r="AV133" s="1295">
        <f>ROUND(AV100+AV106+AV109+AV132,5)</f>
        <v>2996815.12</v>
      </c>
      <c r="AW133" s="1295">
        <f>ROUND(AW100+AW106+AW109+AW132,5)</f>
        <v>2594017.5674700001</v>
      </c>
      <c r="AX133" s="1295">
        <f>ROUND(AX100+AX106+AX109+AX132,5)</f>
        <v>2985923.92</v>
      </c>
      <c r="AY133" s="1295">
        <f>ROUND(AY106+AY109+AY132,5)</f>
        <v>2421591.4700000002</v>
      </c>
      <c r="AZ133" s="1289">
        <f>AZ132+AZ109+AZ106</f>
        <v>2499865.6800000002</v>
      </c>
      <c r="BA133" s="1289">
        <f t="shared" ref="BA133:BB133" si="40">BA132+BA109+BA106</f>
        <v>2484768.3700000006</v>
      </c>
      <c r="BB133" s="1289">
        <f t="shared" si="40"/>
        <v>2675138.81</v>
      </c>
      <c r="BC133" s="1289">
        <f>ROUND(BC100+BC106+BC109+BC132,5)</f>
        <v>2655467.16</v>
      </c>
      <c r="BD133" s="1289">
        <f>ROUND(BD100+BD106+BD109+BD132,5)</f>
        <v>2878098.72</v>
      </c>
      <c r="BE133" s="1295"/>
      <c r="BF133" s="1295"/>
      <c r="BG133" s="1295"/>
      <c r="BH133" s="1295"/>
      <c r="BI133" s="1295"/>
    </row>
    <row r="134" spans="3:61" x14ac:dyDescent="0.3">
      <c r="C134" s="1288"/>
      <c r="D134" s="1288" t="s">
        <v>249</v>
      </c>
      <c r="E134" s="1288"/>
      <c r="F134" s="1288"/>
      <c r="G134" s="1288"/>
      <c r="H134" s="1288"/>
      <c r="I134" s="1288"/>
      <c r="J134" s="1295"/>
      <c r="K134" s="1295"/>
      <c r="L134" s="1295"/>
      <c r="M134" s="1295"/>
      <c r="N134" s="1295"/>
      <c r="O134" s="1295"/>
      <c r="P134" s="1295"/>
      <c r="Q134" s="1295"/>
      <c r="R134" s="1295"/>
      <c r="S134" s="1295"/>
      <c r="T134" s="1295"/>
      <c r="U134" s="1295"/>
      <c r="V134" s="1295"/>
      <c r="W134" s="1295"/>
      <c r="X134" s="1295"/>
      <c r="Y134" s="1295"/>
      <c r="Z134" s="1295"/>
      <c r="AA134" s="1295"/>
      <c r="AB134" s="1295"/>
      <c r="AC134" s="1295"/>
      <c r="AD134" s="1295"/>
      <c r="AE134" s="1295"/>
      <c r="AF134" s="1295"/>
      <c r="AG134" s="1295"/>
      <c r="AH134" s="1295"/>
      <c r="AI134" s="1295"/>
      <c r="AJ134" s="1295"/>
      <c r="AK134" s="1295"/>
      <c r="AL134" s="1295"/>
      <c r="AM134" s="1295"/>
      <c r="AN134" s="1295"/>
      <c r="AO134" s="1295"/>
      <c r="AP134" s="1295"/>
      <c r="AQ134" s="1295"/>
      <c r="AR134" s="1295"/>
      <c r="AS134" s="1295"/>
      <c r="AT134" s="1295"/>
      <c r="AU134" s="1295"/>
      <c r="AV134" s="1295"/>
      <c r="AW134" s="1295"/>
      <c r="AX134" s="1295"/>
      <c r="AY134" s="1295"/>
      <c r="AZ134" s="1289"/>
      <c r="BA134" s="1289"/>
      <c r="BB134" s="1289"/>
      <c r="BC134" s="1289"/>
      <c r="BD134" s="1289"/>
      <c r="BE134" s="1295"/>
      <c r="BF134" s="1295"/>
      <c r="BG134" s="1295"/>
      <c r="BH134" s="1295"/>
      <c r="BI134" s="1295"/>
    </row>
    <row r="135" spans="3:61" x14ac:dyDescent="0.3">
      <c r="C135" s="1288"/>
      <c r="D135" s="1288"/>
      <c r="E135" s="1288" t="s">
        <v>1119</v>
      </c>
      <c r="F135" s="1288"/>
      <c r="G135" s="1288"/>
      <c r="H135" s="1288"/>
      <c r="I135" s="1288"/>
      <c r="J135" s="1295">
        <v>843665.76</v>
      </c>
      <c r="K135" s="1295">
        <v>843665.76</v>
      </c>
      <c r="L135" s="1295">
        <v>843665.76</v>
      </c>
      <c r="M135" s="1295">
        <v>843665.76</v>
      </c>
      <c r="N135" s="1295">
        <v>843665.76</v>
      </c>
      <c r="O135" s="1295">
        <v>843665.76</v>
      </c>
      <c r="P135" s="1295">
        <v>843665.76</v>
      </c>
      <c r="Q135" s="1295">
        <v>843665.76</v>
      </c>
      <c r="R135" s="1295">
        <v>843665.76</v>
      </c>
      <c r="S135" s="1295">
        <v>843665.76</v>
      </c>
      <c r="T135" s="1295">
        <v>843665.76</v>
      </c>
      <c r="U135" s="1295">
        <v>843665.76</v>
      </c>
      <c r="V135" s="1295">
        <v>843665.76</v>
      </c>
      <c r="W135" s="1295">
        <v>843665.76</v>
      </c>
      <c r="X135" s="1295">
        <v>843665.76</v>
      </c>
      <c r="Y135" s="1295">
        <v>843665.76</v>
      </c>
      <c r="Z135" s="1295">
        <v>843665.76</v>
      </c>
      <c r="AA135" s="1295">
        <v>843665.76</v>
      </c>
      <c r="AB135" s="1295">
        <v>843665.76</v>
      </c>
      <c r="AC135" s="1295">
        <v>843665.76</v>
      </c>
      <c r="AD135" s="1295">
        <v>843665.76</v>
      </c>
      <c r="AE135" s="1295">
        <v>843665.76</v>
      </c>
      <c r="AF135" s="1295">
        <v>843665.76</v>
      </c>
      <c r="AG135" s="1295">
        <v>843665.76</v>
      </c>
      <c r="AH135" s="1295">
        <v>843665.76</v>
      </c>
      <c r="AI135" s="1295">
        <v>843665.76</v>
      </c>
      <c r="AJ135" s="1295">
        <v>843665.76</v>
      </c>
      <c r="AK135" s="1295">
        <v>843665.76</v>
      </c>
      <c r="AL135" s="1295">
        <v>843665.76</v>
      </c>
      <c r="AM135" s="1295">
        <v>843665.76</v>
      </c>
      <c r="AN135" s="1295">
        <v>843665.76</v>
      </c>
      <c r="AO135" s="1295">
        <v>843665.76</v>
      </c>
      <c r="AP135" s="1295">
        <v>843665.76</v>
      </c>
      <c r="AQ135" s="1295">
        <v>843665.76</v>
      </c>
      <c r="AR135" s="1295">
        <v>843665.76</v>
      </c>
      <c r="AS135" s="1295">
        <v>843665.76</v>
      </c>
      <c r="AT135" s="1295">
        <v>843665.76</v>
      </c>
      <c r="AU135" s="1295">
        <v>843665.76</v>
      </c>
      <c r="AV135" s="1295">
        <v>843665.76</v>
      </c>
      <c r="AW135" s="1295">
        <f>AVERAGE(AV135,AX135)</f>
        <v>843665.76</v>
      </c>
      <c r="AX135" s="1295">
        <v>843665.76</v>
      </c>
      <c r="AY135" s="1295"/>
      <c r="AZ135" s="1289"/>
      <c r="BA135" s="1289"/>
      <c r="BB135" s="1289"/>
      <c r="BC135" s="1289"/>
      <c r="BD135" s="1289"/>
      <c r="BE135" s="1295"/>
      <c r="BF135" s="1295"/>
      <c r="BG135" s="1295"/>
      <c r="BH135" s="1295"/>
      <c r="BI135" s="1295"/>
    </row>
    <row r="136" spans="3:61" x14ac:dyDescent="0.3">
      <c r="C136" s="1288"/>
      <c r="D136" s="1288"/>
      <c r="E136" s="1288" t="s">
        <v>1120</v>
      </c>
      <c r="F136" s="1288"/>
      <c r="G136" s="1288"/>
      <c r="H136" s="1288"/>
      <c r="I136" s="1288"/>
      <c r="J136" s="1295">
        <v>87671</v>
      </c>
      <c r="K136" s="1295">
        <v>87671</v>
      </c>
      <c r="L136" s="1295">
        <v>87671</v>
      </c>
      <c r="M136" s="1295">
        <v>87671</v>
      </c>
      <c r="N136" s="1295">
        <v>87671</v>
      </c>
      <c r="O136" s="1295">
        <v>87671</v>
      </c>
      <c r="P136" s="1295">
        <v>87671</v>
      </c>
      <c r="Q136" s="1295">
        <v>87671</v>
      </c>
      <c r="R136" s="1295">
        <v>87671</v>
      </c>
      <c r="S136" s="1295">
        <v>87671</v>
      </c>
      <c r="T136" s="1295">
        <v>87671</v>
      </c>
      <c r="U136" s="1295">
        <v>87671</v>
      </c>
      <c r="V136" s="1295">
        <v>87671</v>
      </c>
      <c r="W136" s="1295">
        <v>87671</v>
      </c>
      <c r="X136" s="1295">
        <v>87671</v>
      </c>
      <c r="Y136" s="1295">
        <v>87671</v>
      </c>
      <c r="Z136" s="1295">
        <v>87671</v>
      </c>
      <c r="AA136" s="1295">
        <v>87671</v>
      </c>
      <c r="AB136" s="1295">
        <v>87671</v>
      </c>
      <c r="AC136" s="1295">
        <v>87671</v>
      </c>
      <c r="AD136" s="1295">
        <v>87671</v>
      </c>
      <c r="AE136" s="1295">
        <v>87671</v>
      </c>
      <c r="AF136" s="1295">
        <v>87671</v>
      </c>
      <c r="AG136" s="1295">
        <v>87671</v>
      </c>
      <c r="AH136" s="1295">
        <v>87671</v>
      </c>
      <c r="AI136" s="1295">
        <v>87671</v>
      </c>
      <c r="AJ136" s="1295">
        <v>87671</v>
      </c>
      <c r="AK136" s="1295">
        <v>87671</v>
      </c>
      <c r="AL136" s="1295">
        <v>87671</v>
      </c>
      <c r="AM136" s="1295">
        <v>87671</v>
      </c>
      <c r="AN136" s="1295">
        <v>87671</v>
      </c>
      <c r="AO136" s="1295">
        <v>87671</v>
      </c>
      <c r="AP136" s="1295">
        <v>87671</v>
      </c>
      <c r="AQ136" s="1295">
        <v>87671</v>
      </c>
      <c r="AR136" s="1295">
        <v>87671</v>
      </c>
      <c r="AS136" s="1295">
        <v>87671</v>
      </c>
      <c r="AT136" s="1295">
        <v>87671</v>
      </c>
      <c r="AU136" s="1295">
        <v>87671</v>
      </c>
      <c r="AV136" s="1295">
        <v>87671</v>
      </c>
      <c r="AW136" s="1295">
        <f t="shared" ref="AW136:AW145" si="41">AVERAGE(AV136,AX136)</f>
        <v>87671</v>
      </c>
      <c r="AX136" s="1295">
        <v>87671</v>
      </c>
      <c r="AY136" s="1295"/>
      <c r="AZ136" s="1289"/>
      <c r="BA136" s="1289"/>
      <c r="BB136" s="1289"/>
      <c r="BC136" s="1289"/>
      <c r="BD136" s="1289"/>
      <c r="BE136" s="1295"/>
      <c r="BF136" s="1295"/>
      <c r="BG136" s="1295"/>
      <c r="BH136" s="1295"/>
      <c r="BI136" s="1295"/>
    </row>
    <row r="137" spans="3:61" x14ac:dyDescent="0.3">
      <c r="C137" s="1288"/>
      <c r="D137" s="1288"/>
      <c r="E137" s="1288" t="s">
        <v>1121</v>
      </c>
      <c r="F137" s="1288"/>
      <c r="G137" s="1288"/>
      <c r="H137" s="1288"/>
      <c r="I137" s="1288"/>
      <c r="J137" s="1295">
        <v>-813216.62</v>
      </c>
      <c r="K137" s="1295">
        <v>-813216.62</v>
      </c>
      <c r="L137" s="1295">
        <v>-813216.62</v>
      </c>
      <c r="M137" s="1295">
        <v>-813216.62</v>
      </c>
      <c r="N137" s="1295">
        <v>-813216.62</v>
      </c>
      <c r="O137" s="1295">
        <v>-813216.62</v>
      </c>
      <c r="P137" s="1295">
        <v>-813216.62</v>
      </c>
      <c r="Q137" s="1295">
        <v>-813216.62</v>
      </c>
      <c r="R137" s="1295">
        <v>-813216.62</v>
      </c>
      <c r="S137" s="1295">
        <v>-813216.62</v>
      </c>
      <c r="T137" s="1295">
        <v>-813216.62</v>
      </c>
      <c r="U137" s="1295">
        <v>-842352.62</v>
      </c>
      <c r="V137" s="1295">
        <v>-842352.62</v>
      </c>
      <c r="W137" s="1295">
        <v>-842352.62</v>
      </c>
      <c r="X137" s="1295">
        <v>-842352.62</v>
      </c>
      <c r="Y137" s="1295">
        <v>-842352.62</v>
      </c>
      <c r="Z137" s="1295">
        <v>-842352.62</v>
      </c>
      <c r="AA137" s="1295">
        <v>-842352.62</v>
      </c>
      <c r="AB137" s="1295">
        <v>-842352.62</v>
      </c>
      <c r="AC137" s="1295">
        <v>-842352.62</v>
      </c>
      <c r="AD137" s="1295">
        <v>-842352.62</v>
      </c>
      <c r="AE137" s="1295">
        <v>-845687.62</v>
      </c>
      <c r="AF137" s="1295">
        <v>-849022.62</v>
      </c>
      <c r="AG137" s="1295">
        <v>-852357.62</v>
      </c>
      <c r="AH137" s="1295">
        <v>-852357.62</v>
      </c>
      <c r="AI137" s="1295">
        <v>-852357.62</v>
      </c>
      <c r="AJ137" s="1295">
        <v>-852357.62</v>
      </c>
      <c r="AK137" s="1295">
        <v>-852357.62</v>
      </c>
      <c r="AL137" s="1295">
        <v>-852357.62</v>
      </c>
      <c r="AM137" s="1295">
        <v>-852357.62</v>
      </c>
      <c r="AN137" s="1295">
        <v>-852357.62</v>
      </c>
      <c r="AO137" s="1295">
        <v>-852357.62</v>
      </c>
      <c r="AP137" s="1295">
        <v>-852357.62</v>
      </c>
      <c r="AQ137" s="1295">
        <v>-852357.62</v>
      </c>
      <c r="AR137" s="1295">
        <v>-852357.62</v>
      </c>
      <c r="AS137" s="1295">
        <v>-852482.62</v>
      </c>
      <c r="AT137" s="1295">
        <v>-852482.62</v>
      </c>
      <c r="AU137" s="1295">
        <v>-852482.62</v>
      </c>
      <c r="AV137" s="1295">
        <v>-852482.62</v>
      </c>
      <c r="AW137" s="1295">
        <f t="shared" si="41"/>
        <v>-852482.62</v>
      </c>
      <c r="AX137" s="1295">
        <v>-852482.62</v>
      </c>
      <c r="AY137" s="1295"/>
      <c r="AZ137" s="1289"/>
      <c r="BA137" s="1289"/>
      <c r="BB137" s="1289"/>
      <c r="BC137" s="1289"/>
      <c r="BD137" s="1289"/>
      <c r="BE137" s="1295"/>
      <c r="BF137" s="1295"/>
      <c r="BG137" s="1295"/>
      <c r="BH137" s="1295"/>
      <c r="BI137" s="1295"/>
    </row>
    <row r="138" spans="3:61" x14ac:dyDescent="0.3">
      <c r="C138" s="1288"/>
      <c r="D138" s="1288"/>
      <c r="E138" s="1288" t="s">
        <v>1122</v>
      </c>
      <c r="F138" s="1288"/>
      <c r="G138" s="1288"/>
      <c r="H138" s="1288"/>
      <c r="I138" s="1288"/>
      <c r="J138" s="1295">
        <v>110325.02</v>
      </c>
      <c r="K138" s="1295">
        <v>110325.02</v>
      </c>
      <c r="L138" s="1295">
        <v>110325.02</v>
      </c>
      <c r="M138" s="1295">
        <v>110325.02</v>
      </c>
      <c r="N138" s="1295">
        <v>110325.02</v>
      </c>
      <c r="O138" s="1295">
        <v>110325.02</v>
      </c>
      <c r="P138" s="1295">
        <v>110325.02</v>
      </c>
      <c r="Q138" s="1295">
        <v>110325.02</v>
      </c>
      <c r="R138" s="1295">
        <v>110325.02</v>
      </c>
      <c r="S138" s="1295">
        <v>110325.02</v>
      </c>
      <c r="T138" s="1295">
        <v>110325.02</v>
      </c>
      <c r="U138" s="1295">
        <v>110325.02</v>
      </c>
      <c r="V138" s="1295">
        <v>110325.02</v>
      </c>
      <c r="W138" s="1295">
        <v>110325.02</v>
      </c>
      <c r="X138" s="1295">
        <v>110325.02</v>
      </c>
      <c r="Y138" s="1295">
        <v>110325.02</v>
      </c>
      <c r="Z138" s="1295">
        <v>110325.02</v>
      </c>
      <c r="AA138" s="1295">
        <v>110325.02</v>
      </c>
      <c r="AB138" s="1295">
        <v>110325.02</v>
      </c>
      <c r="AC138" s="1295">
        <v>110325.02</v>
      </c>
      <c r="AD138" s="1295">
        <v>110325.02</v>
      </c>
      <c r="AE138" s="1295">
        <v>110325.02</v>
      </c>
      <c r="AF138" s="1295">
        <v>110325.02</v>
      </c>
      <c r="AG138" s="1295">
        <v>110325.02</v>
      </c>
      <c r="AH138" s="1295">
        <v>110325.02</v>
      </c>
      <c r="AI138" s="1295">
        <v>110325.02</v>
      </c>
      <c r="AJ138" s="1295">
        <v>110325.02</v>
      </c>
      <c r="AK138" s="1295">
        <v>110325.02</v>
      </c>
      <c r="AL138" s="1295">
        <v>110325.02</v>
      </c>
      <c r="AM138" s="1295">
        <v>110325.02</v>
      </c>
      <c r="AN138" s="1295">
        <v>110325.02</v>
      </c>
      <c r="AO138" s="1295">
        <v>110325.02</v>
      </c>
      <c r="AP138" s="1295">
        <v>110325.02</v>
      </c>
      <c r="AQ138" s="1295">
        <v>110325.02</v>
      </c>
      <c r="AR138" s="1295">
        <v>110325.02</v>
      </c>
      <c r="AS138" s="1295">
        <v>110325.02</v>
      </c>
      <c r="AT138" s="1295">
        <v>110325.02</v>
      </c>
      <c r="AU138" s="1295">
        <v>110325.02</v>
      </c>
      <c r="AV138" s="1295">
        <v>110325.02</v>
      </c>
      <c r="AW138" s="1295">
        <f t="shared" si="41"/>
        <v>110325.02</v>
      </c>
      <c r="AX138" s="1295">
        <v>110325.02</v>
      </c>
      <c r="AY138" s="1295"/>
      <c r="AZ138" s="1289"/>
      <c r="BA138" s="1289"/>
      <c r="BB138" s="1289"/>
      <c r="BC138" s="1289"/>
      <c r="BD138" s="1289"/>
      <c r="BE138" s="1295"/>
      <c r="BF138" s="1295"/>
      <c r="BG138" s="1295"/>
      <c r="BH138" s="1295"/>
      <c r="BI138" s="1295"/>
    </row>
    <row r="139" spans="3:61" x14ac:dyDescent="0.3">
      <c r="C139" s="1288"/>
      <c r="D139" s="1288"/>
      <c r="E139" s="1288" t="s">
        <v>1123</v>
      </c>
      <c r="F139" s="1288"/>
      <c r="G139" s="1288"/>
      <c r="H139" s="1288"/>
      <c r="I139" s="1288"/>
      <c r="J139" s="1295">
        <v>106542.27</v>
      </c>
      <c r="K139" s="1295">
        <v>106542.27</v>
      </c>
      <c r="L139" s="1295">
        <v>106542.27</v>
      </c>
      <c r="M139" s="1295">
        <v>106542.27</v>
      </c>
      <c r="N139" s="1295">
        <v>106542.27</v>
      </c>
      <c r="O139" s="1295">
        <v>106542.27</v>
      </c>
      <c r="P139" s="1295">
        <v>106542.27</v>
      </c>
      <c r="Q139" s="1295">
        <v>106542.27</v>
      </c>
      <c r="R139" s="1295">
        <v>106542.27</v>
      </c>
      <c r="S139" s="1295">
        <v>106542.27</v>
      </c>
      <c r="T139" s="1295">
        <v>106542.27</v>
      </c>
      <c r="U139" s="1295">
        <v>106542.27</v>
      </c>
      <c r="V139" s="1295">
        <v>106542.27</v>
      </c>
      <c r="W139" s="1295">
        <v>106542.27</v>
      </c>
      <c r="X139" s="1295">
        <v>106542.27</v>
      </c>
      <c r="Y139" s="1295">
        <v>106542.27</v>
      </c>
      <c r="Z139" s="1295">
        <v>106542.27</v>
      </c>
      <c r="AA139" s="1295">
        <v>106542.27</v>
      </c>
      <c r="AB139" s="1295">
        <v>106542.27</v>
      </c>
      <c r="AC139" s="1295">
        <v>106542.27</v>
      </c>
      <c r="AD139" s="1295">
        <v>106542.27</v>
      </c>
      <c r="AE139" s="1295">
        <v>106542.27</v>
      </c>
      <c r="AF139" s="1295">
        <v>106542.27</v>
      </c>
      <c r="AG139" s="1295">
        <v>106542.27</v>
      </c>
      <c r="AH139" s="1295">
        <v>106542.27</v>
      </c>
      <c r="AI139" s="1295">
        <v>106542.27</v>
      </c>
      <c r="AJ139" s="1295">
        <v>106542.27</v>
      </c>
      <c r="AK139" s="1295">
        <v>106542.27</v>
      </c>
      <c r="AL139" s="1295">
        <v>106542.27</v>
      </c>
      <c r="AM139" s="1295">
        <v>106542.27</v>
      </c>
      <c r="AN139" s="1295">
        <v>106542.27</v>
      </c>
      <c r="AO139" s="1295">
        <v>106542.27</v>
      </c>
      <c r="AP139" s="1295">
        <v>106542.27</v>
      </c>
      <c r="AQ139" s="1295">
        <v>106542.27</v>
      </c>
      <c r="AR139" s="1295">
        <v>106542.27</v>
      </c>
      <c r="AS139" s="1295">
        <v>106542.27</v>
      </c>
      <c r="AT139" s="1295">
        <v>106542.27</v>
      </c>
      <c r="AU139" s="1295">
        <v>106542.27</v>
      </c>
      <c r="AV139" s="1295">
        <v>106542.27</v>
      </c>
      <c r="AW139" s="1295">
        <f t="shared" si="41"/>
        <v>106542.27</v>
      </c>
      <c r="AX139" s="1295">
        <v>106542.27</v>
      </c>
      <c r="AY139" s="1295"/>
      <c r="AZ139" s="1289"/>
      <c r="BA139" s="1289"/>
      <c r="BB139" s="1289"/>
      <c r="BC139" s="1289"/>
      <c r="BD139" s="1289"/>
      <c r="BE139" s="1295"/>
      <c r="BF139" s="1295"/>
      <c r="BG139" s="1295"/>
      <c r="BH139" s="1295"/>
      <c r="BI139" s="1295"/>
    </row>
    <row r="140" spans="3:61" x14ac:dyDescent="0.3">
      <c r="C140" s="1288"/>
      <c r="D140" s="1288"/>
      <c r="E140" s="1288" t="s">
        <v>1124</v>
      </c>
      <c r="F140" s="1288"/>
      <c r="G140" s="1288"/>
      <c r="H140" s="1288"/>
      <c r="I140" s="1288"/>
      <c r="J140" s="1295">
        <v>187412.25</v>
      </c>
      <c r="K140" s="1295">
        <v>187412.25</v>
      </c>
      <c r="L140" s="1295">
        <v>187412.25</v>
      </c>
      <c r="M140" s="1295">
        <v>187412.25</v>
      </c>
      <c r="N140" s="1295">
        <v>187412.25</v>
      </c>
      <c r="O140" s="1295">
        <v>187412.25</v>
      </c>
      <c r="P140" s="1295">
        <v>187412.25</v>
      </c>
      <c r="Q140" s="1295">
        <v>187412.25</v>
      </c>
      <c r="R140" s="1295">
        <v>187412.25</v>
      </c>
      <c r="S140" s="1295">
        <v>187412.25</v>
      </c>
      <c r="T140" s="1295">
        <v>187412.25</v>
      </c>
      <c r="U140" s="1295">
        <v>187412.25</v>
      </c>
      <c r="V140" s="1295">
        <v>187412.25</v>
      </c>
      <c r="W140" s="1295">
        <v>187412.25</v>
      </c>
      <c r="X140" s="1295">
        <v>187412.25</v>
      </c>
      <c r="Y140" s="1295">
        <v>187412.25</v>
      </c>
      <c r="Z140" s="1295">
        <v>187412.25</v>
      </c>
      <c r="AA140" s="1295">
        <v>187412.25</v>
      </c>
      <c r="AB140" s="1295">
        <v>187412.25</v>
      </c>
      <c r="AC140" s="1295">
        <v>187412.25</v>
      </c>
      <c r="AD140" s="1295">
        <v>187412.25</v>
      </c>
      <c r="AE140" s="1295">
        <v>187412.25</v>
      </c>
      <c r="AF140" s="1295">
        <v>187412.25</v>
      </c>
      <c r="AG140" s="1295">
        <v>187412.25</v>
      </c>
      <c r="AH140" s="1295">
        <v>187412.25</v>
      </c>
      <c r="AI140" s="1295">
        <v>187412.25</v>
      </c>
      <c r="AJ140" s="1295">
        <v>187412.25</v>
      </c>
      <c r="AK140" s="1295">
        <v>187412.25</v>
      </c>
      <c r="AL140" s="1295">
        <v>187412.25</v>
      </c>
      <c r="AM140" s="1295">
        <v>187412.25</v>
      </c>
      <c r="AN140" s="1295">
        <v>187412.25</v>
      </c>
      <c r="AO140" s="1295">
        <v>187412.25</v>
      </c>
      <c r="AP140" s="1295">
        <v>187412.25</v>
      </c>
      <c r="AQ140" s="1295">
        <v>187412.25</v>
      </c>
      <c r="AR140" s="1295">
        <v>187412.25</v>
      </c>
      <c r="AS140" s="1295">
        <v>187412.25</v>
      </c>
      <c r="AT140" s="1295">
        <v>187412.25</v>
      </c>
      <c r="AU140" s="1295">
        <v>187412.25</v>
      </c>
      <c r="AV140" s="1295">
        <v>187412.25</v>
      </c>
      <c r="AW140" s="1295">
        <f t="shared" si="41"/>
        <v>187412.25</v>
      </c>
      <c r="AX140" s="1295">
        <v>187412.25</v>
      </c>
      <c r="AY140" s="1295"/>
      <c r="AZ140" s="1289"/>
      <c r="BA140" s="1289"/>
      <c r="BB140" s="1289"/>
      <c r="BC140" s="1289"/>
      <c r="BD140" s="1289"/>
      <c r="BE140" s="1295"/>
      <c r="BF140" s="1295"/>
      <c r="BG140" s="1295"/>
      <c r="BH140" s="1295"/>
      <c r="BI140" s="1295"/>
    </row>
    <row r="141" spans="3:61" x14ac:dyDescent="0.3">
      <c r="C141" s="1288"/>
      <c r="D141" s="1288"/>
      <c r="E141" s="1288" t="s">
        <v>1125</v>
      </c>
      <c r="F141" s="1288"/>
      <c r="G141" s="1288"/>
      <c r="H141" s="1288"/>
      <c r="I141" s="1288"/>
      <c r="J141" s="1295">
        <v>141636.4</v>
      </c>
      <c r="K141" s="1295">
        <v>141636.4</v>
      </c>
      <c r="L141" s="1295">
        <v>141636.4</v>
      </c>
      <c r="M141" s="1295">
        <v>141636.4</v>
      </c>
      <c r="N141" s="1295">
        <v>141636.4</v>
      </c>
      <c r="O141" s="1295">
        <v>141636.4</v>
      </c>
      <c r="P141" s="1295">
        <v>141636.4</v>
      </c>
      <c r="Q141" s="1295">
        <v>141636.4</v>
      </c>
      <c r="R141" s="1295">
        <v>141636.4</v>
      </c>
      <c r="S141" s="1295">
        <v>141636.4</v>
      </c>
      <c r="T141" s="1295">
        <v>141636.4</v>
      </c>
      <c r="U141" s="1295">
        <v>141636.4</v>
      </c>
      <c r="V141" s="1295">
        <v>141636.4</v>
      </c>
      <c r="W141" s="1295">
        <v>141636.4</v>
      </c>
      <c r="X141" s="1295">
        <v>141636.4</v>
      </c>
      <c r="Y141" s="1295">
        <v>141636.4</v>
      </c>
      <c r="Z141" s="1295">
        <v>141636.4</v>
      </c>
      <c r="AA141" s="1295">
        <v>141636.4</v>
      </c>
      <c r="AB141" s="1295">
        <v>141636.4</v>
      </c>
      <c r="AC141" s="1295">
        <v>141636.4</v>
      </c>
      <c r="AD141" s="1295">
        <v>141636.4</v>
      </c>
      <c r="AE141" s="1295">
        <v>141636.4</v>
      </c>
      <c r="AF141" s="1295">
        <v>141636.4</v>
      </c>
      <c r="AG141" s="1295">
        <v>141636.4</v>
      </c>
      <c r="AH141" s="1295">
        <v>141636.4</v>
      </c>
      <c r="AI141" s="1295">
        <v>141636.4</v>
      </c>
      <c r="AJ141" s="1295">
        <v>141636.4</v>
      </c>
      <c r="AK141" s="1295">
        <v>141636.4</v>
      </c>
      <c r="AL141" s="1295">
        <v>141636.4</v>
      </c>
      <c r="AM141" s="1295">
        <v>141636.4</v>
      </c>
      <c r="AN141" s="1295">
        <v>141636.4</v>
      </c>
      <c r="AO141" s="1295">
        <v>141636.4</v>
      </c>
      <c r="AP141" s="1295">
        <v>141636.4</v>
      </c>
      <c r="AQ141" s="1295">
        <v>141636.4</v>
      </c>
      <c r="AR141" s="1295">
        <v>141636.4</v>
      </c>
      <c r="AS141" s="1295">
        <v>141636.4</v>
      </c>
      <c r="AT141" s="1295">
        <v>141636.4</v>
      </c>
      <c r="AU141" s="1295">
        <v>141636.4</v>
      </c>
      <c r="AV141" s="1295">
        <v>141636.4</v>
      </c>
      <c r="AW141" s="1295">
        <f t="shared" si="41"/>
        <v>141636.4</v>
      </c>
      <c r="AX141" s="1295">
        <v>141636.4</v>
      </c>
      <c r="AY141" s="1295"/>
      <c r="AZ141" s="1289"/>
      <c r="BA141" s="1289"/>
      <c r="BB141" s="1289"/>
      <c r="BC141" s="1289"/>
      <c r="BD141" s="1289"/>
      <c r="BE141" s="1295"/>
      <c r="BF141" s="1295"/>
      <c r="BG141" s="1295"/>
      <c r="BH141" s="1295"/>
      <c r="BI141" s="1295"/>
    </row>
    <row r="142" spans="3:61" x14ac:dyDescent="0.3">
      <c r="C142" s="1288"/>
      <c r="D142" s="1288"/>
      <c r="E142" s="1288" t="s">
        <v>1126</v>
      </c>
      <c r="F142" s="1288"/>
      <c r="G142" s="1288"/>
      <c r="H142" s="1288"/>
      <c r="I142" s="1288"/>
      <c r="J142" s="1295">
        <v>285565.23</v>
      </c>
      <c r="K142" s="1295">
        <v>287854.46000000002</v>
      </c>
      <c r="L142" s="1295">
        <v>287854.46000000002</v>
      </c>
      <c r="M142" s="1295">
        <v>287854.46000000002</v>
      </c>
      <c r="N142" s="1295">
        <v>287854.46000000002</v>
      </c>
      <c r="O142" s="1295">
        <v>290187.56</v>
      </c>
      <c r="P142" s="1295">
        <v>290187.56</v>
      </c>
      <c r="Q142" s="1295">
        <v>290187.56</v>
      </c>
      <c r="R142" s="1295">
        <v>298010.56</v>
      </c>
      <c r="S142" s="1295">
        <v>298010.56</v>
      </c>
      <c r="T142" s="1295">
        <v>298010.56</v>
      </c>
      <c r="U142" s="1295">
        <v>298010.56</v>
      </c>
      <c r="V142" s="1295">
        <v>298010.56</v>
      </c>
      <c r="W142" s="1295">
        <v>298010.56</v>
      </c>
      <c r="X142" s="1295">
        <v>300688.45</v>
      </c>
      <c r="Y142" s="1295">
        <v>300688.45</v>
      </c>
      <c r="Z142" s="1295">
        <v>300688.45</v>
      </c>
      <c r="AA142" s="1295">
        <v>306031.92</v>
      </c>
      <c r="AB142" s="1295">
        <v>306031.92</v>
      </c>
      <c r="AC142" s="1295">
        <v>306031.92</v>
      </c>
      <c r="AD142" s="1295">
        <v>306031.92</v>
      </c>
      <c r="AE142" s="1295">
        <v>306031.92</v>
      </c>
      <c r="AF142" s="1295">
        <v>306031.92</v>
      </c>
      <c r="AG142" s="1295">
        <v>306031.92</v>
      </c>
      <c r="AH142" s="1295">
        <v>306031.92</v>
      </c>
      <c r="AI142" s="1295">
        <v>306031.92</v>
      </c>
      <c r="AJ142" s="1295">
        <v>306031.92</v>
      </c>
      <c r="AK142" s="1295">
        <v>309381.92</v>
      </c>
      <c r="AL142" s="1295">
        <v>309381.92</v>
      </c>
      <c r="AM142" s="1295">
        <v>309381.92</v>
      </c>
      <c r="AN142" s="1295">
        <v>309381.92</v>
      </c>
      <c r="AO142" s="1295">
        <v>309381.92</v>
      </c>
      <c r="AP142" s="1295">
        <v>317741.83</v>
      </c>
      <c r="AQ142" s="1295">
        <v>317741.83</v>
      </c>
      <c r="AR142" s="1295">
        <v>317741.83</v>
      </c>
      <c r="AS142" s="1295">
        <v>317741.83</v>
      </c>
      <c r="AT142" s="1295">
        <v>317741.83</v>
      </c>
      <c r="AU142" s="1295">
        <v>317741.83</v>
      </c>
      <c r="AV142" s="1295">
        <v>317741.83</v>
      </c>
      <c r="AW142" s="1295">
        <f t="shared" si="41"/>
        <v>317741.83</v>
      </c>
      <c r="AX142" s="1295">
        <v>317741.83</v>
      </c>
      <c r="AY142" s="1295"/>
      <c r="AZ142" s="1289">
        <v>328000</v>
      </c>
      <c r="BA142" s="1289">
        <v>328000</v>
      </c>
      <c r="BB142" s="1289">
        <v>328000</v>
      </c>
      <c r="BC142" s="1289">
        <v>328000</v>
      </c>
      <c r="BD142" s="1289">
        <v>328000</v>
      </c>
      <c r="BE142" s="1295"/>
      <c r="BF142" s="1295"/>
      <c r="BG142" s="1295"/>
      <c r="BH142" s="1295"/>
      <c r="BI142" s="1295"/>
    </row>
    <row r="143" spans="3:61" x14ac:dyDescent="0.3">
      <c r="C143" s="1288"/>
      <c r="D143" s="1288"/>
      <c r="E143" s="1288" t="s">
        <v>1127</v>
      </c>
      <c r="F143" s="1288"/>
      <c r="G143" s="1288"/>
      <c r="H143" s="1288"/>
      <c r="I143" s="1288"/>
      <c r="J143" s="1295">
        <v>56401.25</v>
      </c>
      <c r="K143" s="1295">
        <v>56401.25</v>
      </c>
      <c r="L143" s="1295">
        <v>56401.25</v>
      </c>
      <c r="M143" s="1295">
        <v>56401.25</v>
      </c>
      <c r="N143" s="1295">
        <v>56401.25</v>
      </c>
      <c r="O143" s="1295">
        <v>56401.25</v>
      </c>
      <c r="P143" s="1295">
        <v>56401.25</v>
      </c>
      <c r="Q143" s="1295">
        <v>56401.25</v>
      </c>
      <c r="R143" s="1295">
        <v>56401.25</v>
      </c>
      <c r="S143" s="1295">
        <v>56401.25</v>
      </c>
      <c r="T143" s="1295">
        <v>56401.25</v>
      </c>
      <c r="U143" s="1295">
        <v>56401.25</v>
      </c>
      <c r="V143" s="1295">
        <v>56401.25</v>
      </c>
      <c r="W143" s="1295">
        <v>56401.25</v>
      </c>
      <c r="X143" s="1295">
        <v>56401.25</v>
      </c>
      <c r="Y143" s="1295">
        <v>56401.25</v>
      </c>
      <c r="Z143" s="1295">
        <v>56401.25</v>
      </c>
      <c r="AA143" s="1295">
        <v>56401.25</v>
      </c>
      <c r="AB143" s="1295">
        <v>56401.25</v>
      </c>
      <c r="AC143" s="1295">
        <v>56401.25</v>
      </c>
      <c r="AD143" s="1295">
        <v>56401.25</v>
      </c>
      <c r="AE143" s="1295">
        <v>56401.25</v>
      </c>
      <c r="AF143" s="1295">
        <v>56401.25</v>
      </c>
      <c r="AG143" s="1295">
        <v>56401.25</v>
      </c>
      <c r="AH143" s="1295">
        <v>56401.25</v>
      </c>
      <c r="AI143" s="1295">
        <v>56401.25</v>
      </c>
      <c r="AJ143" s="1295">
        <v>56401.25</v>
      </c>
      <c r="AK143" s="1295">
        <v>56401.25</v>
      </c>
      <c r="AL143" s="1295">
        <v>56401.25</v>
      </c>
      <c r="AM143" s="1295">
        <v>56401.25</v>
      </c>
      <c r="AN143" s="1295">
        <v>56401.25</v>
      </c>
      <c r="AO143" s="1295">
        <v>56401.25</v>
      </c>
      <c r="AP143" s="1295">
        <v>56401.25</v>
      </c>
      <c r="AQ143" s="1295">
        <v>56401.25</v>
      </c>
      <c r="AR143" s="1295">
        <v>56401.25</v>
      </c>
      <c r="AS143" s="1295">
        <v>56401.25</v>
      </c>
      <c r="AT143" s="1295">
        <v>56401.25</v>
      </c>
      <c r="AU143" s="1295">
        <v>56401.25</v>
      </c>
      <c r="AV143" s="1295">
        <v>56401.25</v>
      </c>
      <c r="AW143" s="1295">
        <f t="shared" si="41"/>
        <v>56401.25</v>
      </c>
      <c r="AX143" s="1295">
        <v>56401.25</v>
      </c>
      <c r="AY143" s="1295"/>
      <c r="AZ143" s="1289"/>
      <c r="BA143" s="1289"/>
      <c r="BB143" s="1289"/>
      <c r="BC143" s="1289"/>
      <c r="BD143" s="1289"/>
      <c r="BE143" s="1295"/>
      <c r="BF143" s="1295"/>
      <c r="BG143" s="1295"/>
      <c r="BH143" s="1295"/>
      <c r="BI143" s="1295"/>
    </row>
    <row r="144" spans="3:61" x14ac:dyDescent="0.3">
      <c r="C144" s="1288"/>
      <c r="D144" s="1288"/>
      <c r="E144" s="1288" t="s">
        <v>1128</v>
      </c>
      <c r="F144" s="1288"/>
      <c r="G144" s="1288"/>
      <c r="H144" s="1288"/>
      <c r="I144" s="1288"/>
      <c r="J144" s="1295">
        <v>19383.55</v>
      </c>
      <c r="K144" s="1295">
        <v>19383.55</v>
      </c>
      <c r="L144" s="1295">
        <v>19383.55</v>
      </c>
      <c r="M144" s="1295">
        <v>19383.55</v>
      </c>
      <c r="N144" s="1295">
        <v>19383.55</v>
      </c>
      <c r="O144" s="1295">
        <v>19383.55</v>
      </c>
      <c r="P144" s="1295">
        <v>19383.55</v>
      </c>
      <c r="Q144" s="1295">
        <v>19383.55</v>
      </c>
      <c r="R144" s="1295">
        <v>19383.55</v>
      </c>
      <c r="S144" s="1295">
        <v>19383.55</v>
      </c>
      <c r="T144" s="1295">
        <v>19383.55</v>
      </c>
      <c r="U144" s="1295">
        <v>19383.55</v>
      </c>
      <c r="V144" s="1295">
        <v>19383.55</v>
      </c>
      <c r="W144" s="1295">
        <v>19383.55</v>
      </c>
      <c r="X144" s="1295">
        <v>19383.55</v>
      </c>
      <c r="Y144" s="1295">
        <v>19383.55</v>
      </c>
      <c r="Z144" s="1295">
        <v>19383.55</v>
      </c>
      <c r="AA144" s="1295">
        <v>19383.55</v>
      </c>
      <c r="AB144" s="1295">
        <v>19383.55</v>
      </c>
      <c r="AC144" s="1295">
        <v>19383.55</v>
      </c>
      <c r="AD144" s="1295">
        <v>19383.55</v>
      </c>
      <c r="AE144" s="1295">
        <v>19383.55</v>
      </c>
      <c r="AF144" s="1295">
        <v>19383.55</v>
      </c>
      <c r="AG144" s="1295">
        <v>19383.55</v>
      </c>
      <c r="AH144" s="1295">
        <v>19383.55</v>
      </c>
      <c r="AI144" s="1295">
        <v>19383.55</v>
      </c>
      <c r="AJ144" s="1295">
        <v>19383.55</v>
      </c>
      <c r="AK144" s="1295">
        <v>19383.55</v>
      </c>
      <c r="AL144" s="1295">
        <v>19383.55</v>
      </c>
      <c r="AM144" s="1295">
        <v>19383.55</v>
      </c>
      <c r="AN144" s="1295">
        <v>19383.55</v>
      </c>
      <c r="AO144" s="1295">
        <v>19383.55</v>
      </c>
      <c r="AP144" s="1295">
        <v>19383.55</v>
      </c>
      <c r="AQ144" s="1295">
        <v>19383.55</v>
      </c>
      <c r="AR144" s="1295">
        <v>19383.55</v>
      </c>
      <c r="AS144" s="1295">
        <v>39383.550000000003</v>
      </c>
      <c r="AT144" s="1295">
        <v>39383.550000000003</v>
      </c>
      <c r="AU144" s="1295">
        <v>39383.550000000003</v>
      </c>
      <c r="AV144" s="1295">
        <v>39383.550000000003</v>
      </c>
      <c r="AW144" s="1295">
        <f t="shared" si="41"/>
        <v>39383.550000000003</v>
      </c>
      <c r="AX144" s="1295">
        <v>39383.550000000003</v>
      </c>
      <c r="AY144" s="1295"/>
      <c r="AZ144" s="1289"/>
      <c r="BA144" s="1289"/>
      <c r="BB144" s="1289"/>
      <c r="BC144" s="1289"/>
      <c r="BD144" s="1289"/>
      <c r="BE144" s="1295"/>
      <c r="BF144" s="1295"/>
      <c r="BG144" s="1295"/>
      <c r="BH144" s="1295"/>
      <c r="BI144" s="1295"/>
    </row>
    <row r="145" spans="3:61" ht="15" thickBot="1" x14ac:dyDescent="0.35">
      <c r="C145" s="1288"/>
      <c r="D145" s="1288"/>
      <c r="E145" s="1288" t="s">
        <v>1129</v>
      </c>
      <c r="F145" s="1288"/>
      <c r="G145" s="1288"/>
      <c r="H145" s="1288"/>
      <c r="I145" s="1288"/>
      <c r="J145" s="1296">
        <v>-848652.87</v>
      </c>
      <c r="K145" s="1296">
        <v>-848652.87</v>
      </c>
      <c r="L145" s="1296">
        <v>-848652.87</v>
      </c>
      <c r="M145" s="1296">
        <v>-848652.87</v>
      </c>
      <c r="N145" s="1296">
        <v>-848652.87</v>
      </c>
      <c r="O145" s="1296">
        <v>-848652.87</v>
      </c>
      <c r="P145" s="1296">
        <v>-848652.87</v>
      </c>
      <c r="Q145" s="1296">
        <v>-848652.87</v>
      </c>
      <c r="R145" s="1296">
        <v>-848652.87</v>
      </c>
      <c r="S145" s="1296">
        <v>-848652.87</v>
      </c>
      <c r="T145" s="1296">
        <v>-848652.87</v>
      </c>
      <c r="U145" s="1296">
        <v>-865885</v>
      </c>
      <c r="V145" s="1296">
        <v>-865885</v>
      </c>
      <c r="W145" s="1296">
        <v>-865885</v>
      </c>
      <c r="X145" s="1296">
        <v>-865885</v>
      </c>
      <c r="Y145" s="1296">
        <v>-865885</v>
      </c>
      <c r="Z145" s="1296">
        <v>-865885</v>
      </c>
      <c r="AA145" s="1296">
        <v>-865885</v>
      </c>
      <c r="AB145" s="1296">
        <v>-865885</v>
      </c>
      <c r="AC145" s="1296">
        <v>-865885</v>
      </c>
      <c r="AD145" s="1296">
        <v>-865885</v>
      </c>
      <c r="AE145" s="1296">
        <v>-866522</v>
      </c>
      <c r="AF145" s="1296">
        <v>-867159</v>
      </c>
      <c r="AG145" s="1296">
        <v>-875817.36</v>
      </c>
      <c r="AH145" s="1296">
        <v>-875817.36</v>
      </c>
      <c r="AI145" s="1296">
        <v>-875817.36</v>
      </c>
      <c r="AJ145" s="1296">
        <v>-875817.36</v>
      </c>
      <c r="AK145" s="1296">
        <v>-875817.36</v>
      </c>
      <c r="AL145" s="1296">
        <v>-875817.36</v>
      </c>
      <c r="AM145" s="1296">
        <v>-875817.36</v>
      </c>
      <c r="AN145" s="1296">
        <v>-875817.36</v>
      </c>
      <c r="AO145" s="1296">
        <v>-875817.36</v>
      </c>
      <c r="AP145" s="1296">
        <v>-875817.36</v>
      </c>
      <c r="AQ145" s="1296">
        <v>-875817.36</v>
      </c>
      <c r="AR145" s="1296">
        <v>-875817.36</v>
      </c>
      <c r="AS145" s="1296">
        <v>-908994.27</v>
      </c>
      <c r="AT145" s="1296">
        <v>-908994.27</v>
      </c>
      <c r="AU145" s="1296">
        <v>-908994.27</v>
      </c>
      <c r="AV145" s="1296">
        <v>-908994.27</v>
      </c>
      <c r="AW145" s="1296">
        <f t="shared" si="41"/>
        <v>-908994.27</v>
      </c>
      <c r="AX145" s="1296">
        <v>-908994.27</v>
      </c>
      <c r="AY145" s="1296"/>
      <c r="AZ145" s="1290"/>
      <c r="BA145" s="1290"/>
      <c r="BB145" s="1290"/>
      <c r="BC145" s="1290"/>
      <c r="BD145" s="1290"/>
      <c r="BE145" s="1296"/>
      <c r="BF145" s="1296"/>
      <c r="BG145" s="1296"/>
      <c r="BH145" s="1296"/>
      <c r="BI145" s="1296"/>
    </row>
    <row r="146" spans="3:61" x14ac:dyDescent="0.3">
      <c r="C146" s="1288"/>
      <c r="D146" s="1288" t="s">
        <v>1130</v>
      </c>
      <c r="E146" s="1288"/>
      <c r="F146" s="1288"/>
      <c r="G146" s="1288"/>
      <c r="H146" s="1288"/>
      <c r="I146" s="1288"/>
      <c r="J146" s="1295">
        <v>176733.24</v>
      </c>
      <c r="K146" s="1295">
        <v>179022.47</v>
      </c>
      <c r="L146" s="1295">
        <v>179022.47</v>
      </c>
      <c r="M146" s="1295">
        <v>179022.47</v>
      </c>
      <c r="N146" s="1295">
        <v>179022.47</v>
      </c>
      <c r="O146" s="1295">
        <v>181355.57</v>
      </c>
      <c r="P146" s="1295">
        <v>181355.57</v>
      </c>
      <c r="Q146" s="1295">
        <v>181355.57</v>
      </c>
      <c r="R146" s="1295">
        <v>189178.57</v>
      </c>
      <c r="S146" s="1295">
        <v>189178.57</v>
      </c>
      <c r="T146" s="1295">
        <v>189178.57</v>
      </c>
      <c r="U146" s="1295">
        <v>142810.44</v>
      </c>
      <c r="V146" s="1295">
        <v>142810.44</v>
      </c>
      <c r="W146" s="1295">
        <v>142810.44</v>
      </c>
      <c r="X146" s="1295">
        <v>145488.32999999999</v>
      </c>
      <c r="Y146" s="1295">
        <v>145488.32999999999</v>
      </c>
      <c r="Z146" s="1295">
        <v>145488.32999999999</v>
      </c>
      <c r="AA146" s="1295">
        <v>150831.79999999999</v>
      </c>
      <c r="AB146" s="1295">
        <v>150831.79999999999</v>
      </c>
      <c r="AC146" s="1295">
        <v>150831.79999999999</v>
      </c>
      <c r="AD146" s="1295">
        <v>150831.79999999999</v>
      </c>
      <c r="AE146" s="1295">
        <v>146859.79999999999</v>
      </c>
      <c r="AF146" s="1295">
        <v>142887.79999999999</v>
      </c>
      <c r="AG146" s="1295">
        <v>130894.44</v>
      </c>
      <c r="AH146" s="1295">
        <v>130894.44</v>
      </c>
      <c r="AI146" s="1295">
        <v>130894.44</v>
      </c>
      <c r="AJ146" s="1295">
        <v>130894.44</v>
      </c>
      <c r="AK146" s="1295">
        <v>134244.44</v>
      </c>
      <c r="AL146" s="1295">
        <v>134244.44</v>
      </c>
      <c r="AM146" s="1295">
        <v>134244.44</v>
      </c>
      <c r="AN146" s="1295">
        <v>134244.44</v>
      </c>
      <c r="AO146" s="1295">
        <v>134244.44</v>
      </c>
      <c r="AP146" s="1295">
        <v>142604.35</v>
      </c>
      <c r="AQ146" s="1295">
        <v>142604.35</v>
      </c>
      <c r="AR146" s="1295">
        <v>142604.35</v>
      </c>
      <c r="AS146" s="1295">
        <v>129302.44</v>
      </c>
      <c r="AT146" s="1295">
        <f>ROUND(SUM(AT134:AT145),5)</f>
        <v>129302.44</v>
      </c>
      <c r="AU146" s="1295">
        <f>ROUND(SUM(AU134:AU145),5)</f>
        <v>129302.44</v>
      </c>
      <c r="AV146" s="1295">
        <f>ROUND(SUM(AV134:AV145),5)</f>
        <v>129302.44</v>
      </c>
      <c r="AW146" s="1295">
        <f>ROUND(SUM(AW134:AW145),5)</f>
        <v>129302.44</v>
      </c>
      <c r="AX146" s="1295">
        <f>ROUND(SUM(AX134:AX145),5)</f>
        <v>129302.44</v>
      </c>
      <c r="AY146" s="1295">
        <v>328510</v>
      </c>
      <c r="AZ146" s="1289">
        <v>328000</v>
      </c>
      <c r="BA146" s="1289">
        <v>328000</v>
      </c>
      <c r="BB146" s="1289">
        <v>328000</v>
      </c>
      <c r="BC146" s="1289">
        <f>ROUND(SUM(BC134:BC142),5)</f>
        <v>328000</v>
      </c>
      <c r="BD146" s="1289">
        <f>ROUND(SUM(BD134:BD142),5)</f>
        <v>328000</v>
      </c>
      <c r="BE146" s="1295"/>
      <c r="BF146" s="1295"/>
      <c r="BG146" s="1295"/>
      <c r="BH146" s="1295"/>
      <c r="BI146" s="1295"/>
    </row>
    <row r="147" spans="3:61" x14ac:dyDescent="0.3">
      <c r="C147" s="1288"/>
      <c r="D147" s="1288"/>
      <c r="E147" s="1288" t="s">
        <v>1208</v>
      </c>
      <c r="F147" s="1288"/>
      <c r="G147" s="1288"/>
      <c r="H147" s="1288"/>
      <c r="I147" s="1288"/>
      <c r="J147" s="1295"/>
      <c r="K147" s="1295"/>
      <c r="L147" s="1295"/>
      <c r="M147" s="1295"/>
      <c r="N147" s="1295"/>
      <c r="O147" s="1295"/>
      <c r="P147" s="1295"/>
      <c r="Q147" s="1295"/>
      <c r="R147" s="1295"/>
      <c r="S147" s="1295"/>
      <c r="T147" s="1295"/>
      <c r="U147" s="1295"/>
      <c r="V147" s="1295"/>
      <c r="W147" s="1295"/>
      <c r="X147" s="1295"/>
      <c r="Y147" s="1295"/>
      <c r="Z147" s="1295"/>
      <c r="AA147" s="1295"/>
      <c r="AB147" s="1295"/>
      <c r="AC147" s="1295"/>
      <c r="AD147" s="1295"/>
      <c r="AE147" s="1295"/>
      <c r="AF147" s="1295"/>
      <c r="AG147" s="1295"/>
      <c r="AH147" s="1295"/>
      <c r="AI147" s="1295"/>
      <c r="AJ147" s="1295"/>
      <c r="AK147" s="1295"/>
      <c r="AL147" s="1295"/>
      <c r="AM147" s="1295"/>
      <c r="AN147" s="1295"/>
      <c r="AO147" s="1295"/>
      <c r="AP147" s="1295"/>
      <c r="AQ147" s="1295"/>
      <c r="AR147" s="1295"/>
      <c r="AS147" s="1295"/>
      <c r="AT147" s="1295"/>
      <c r="AU147" s="1295"/>
      <c r="AV147" s="1295"/>
      <c r="AW147" s="1295"/>
      <c r="AX147" s="1295"/>
      <c r="AY147" s="1295">
        <f>AY206-AY133-AY146</f>
        <v>825848.82999999961</v>
      </c>
      <c r="AZ147" s="1289"/>
      <c r="BA147" s="1289"/>
      <c r="BB147" s="1289"/>
      <c r="BC147" s="1289"/>
      <c r="BD147" s="1289"/>
      <c r="BE147" s="1295"/>
      <c r="BF147" s="1295"/>
      <c r="BG147" s="1295"/>
      <c r="BH147" s="1295"/>
      <c r="BI147" s="1295"/>
    </row>
    <row r="148" spans="3:61" x14ac:dyDescent="0.3">
      <c r="C148" s="1288"/>
      <c r="D148" s="1288" t="s">
        <v>1131</v>
      </c>
      <c r="E148" s="1288"/>
      <c r="F148" s="1288"/>
      <c r="G148" s="1288"/>
      <c r="H148" s="1288"/>
      <c r="I148" s="1288"/>
      <c r="J148" s="1295"/>
      <c r="K148" s="1295"/>
      <c r="L148" s="1295"/>
      <c r="M148" s="1295"/>
      <c r="N148" s="1295"/>
      <c r="O148" s="1295"/>
      <c r="P148" s="1295"/>
      <c r="Q148" s="1295"/>
      <c r="R148" s="1295"/>
      <c r="S148" s="1295"/>
      <c r="T148" s="1295"/>
      <c r="U148" s="1295"/>
      <c r="V148" s="1295"/>
      <c r="W148" s="1295"/>
      <c r="X148" s="1295"/>
      <c r="Y148" s="1295"/>
      <c r="Z148" s="1295"/>
      <c r="AA148" s="1295"/>
      <c r="AB148" s="1295"/>
      <c r="AC148" s="1295"/>
      <c r="AD148" s="1295"/>
      <c r="AE148" s="1295"/>
      <c r="AF148" s="1295"/>
      <c r="AG148" s="1295"/>
      <c r="AH148" s="1295"/>
      <c r="AI148" s="1295"/>
      <c r="AJ148" s="1295"/>
      <c r="AK148" s="1295"/>
      <c r="AL148" s="1295"/>
      <c r="AM148" s="1295"/>
      <c r="AN148" s="1295"/>
      <c r="AO148" s="1295"/>
      <c r="AP148" s="1295"/>
      <c r="AQ148" s="1295"/>
      <c r="AR148" s="1295"/>
      <c r="AS148" s="1295"/>
      <c r="AT148" s="1295"/>
      <c r="AU148" s="1295"/>
      <c r="AV148" s="1295"/>
      <c r="AW148" s="1295"/>
      <c r="AX148" s="1295"/>
      <c r="AY148" s="1295"/>
      <c r="AZ148" s="1289"/>
      <c r="BA148" s="1289"/>
      <c r="BB148" s="1289"/>
      <c r="BC148" s="1289"/>
      <c r="BD148" s="1289"/>
      <c r="BE148" s="1295"/>
      <c r="BF148" s="1295"/>
      <c r="BG148" s="1295"/>
      <c r="BH148" s="1295"/>
      <c r="BI148" s="1295"/>
    </row>
    <row r="149" spans="3:61" x14ac:dyDescent="0.3">
      <c r="C149" s="1288"/>
      <c r="D149" s="1288"/>
      <c r="E149" s="1288" t="s">
        <v>1132</v>
      </c>
      <c r="F149" s="1288"/>
      <c r="G149" s="1288"/>
      <c r="H149" s="1288"/>
      <c r="I149" s="1288"/>
      <c r="J149" s="1295">
        <v>6259.25</v>
      </c>
      <c r="K149" s="1295">
        <v>6259.25</v>
      </c>
      <c r="L149" s="1295">
        <v>6259.25</v>
      </c>
      <c r="M149" s="1295">
        <v>6259.25</v>
      </c>
      <c r="N149" s="1295">
        <v>6259.25</v>
      </c>
      <c r="O149" s="1295">
        <v>6259.25</v>
      </c>
      <c r="P149" s="1295">
        <v>6259.25</v>
      </c>
      <c r="Q149" s="1295">
        <v>6259.25</v>
      </c>
      <c r="R149" s="1295">
        <v>6259.25</v>
      </c>
      <c r="S149" s="1295">
        <v>6259.25</v>
      </c>
      <c r="T149" s="1295">
        <v>6259.25</v>
      </c>
      <c r="U149" s="1295">
        <v>6259.25</v>
      </c>
      <c r="V149" s="1295">
        <v>6259.25</v>
      </c>
      <c r="W149" s="1295">
        <v>6259.25</v>
      </c>
      <c r="X149" s="1295">
        <v>6259.25</v>
      </c>
      <c r="Y149" s="1295">
        <v>6259.25</v>
      </c>
      <c r="Z149" s="1295">
        <v>6259.25</v>
      </c>
      <c r="AA149" s="1295">
        <v>6259.25</v>
      </c>
      <c r="AB149" s="1295">
        <v>6259.25</v>
      </c>
      <c r="AC149" s="1295">
        <v>6259.25</v>
      </c>
      <c r="AD149" s="1295">
        <v>6259.25</v>
      </c>
      <c r="AE149" s="1295">
        <v>6259.25</v>
      </c>
      <c r="AF149" s="1295">
        <v>6259.25</v>
      </c>
      <c r="AG149" s="1295">
        <v>6259.25</v>
      </c>
      <c r="AH149" s="1295">
        <v>6259.25</v>
      </c>
      <c r="AI149" s="1295">
        <v>6259.25</v>
      </c>
      <c r="AJ149" s="1295">
        <v>6259.25</v>
      </c>
      <c r="AK149" s="1295">
        <v>6259.25</v>
      </c>
      <c r="AL149" s="1295">
        <v>6259.25</v>
      </c>
      <c r="AM149" s="1295">
        <v>6259.25</v>
      </c>
      <c r="AN149" s="1295">
        <v>6259.25</v>
      </c>
      <c r="AO149" s="1295">
        <v>6259.25</v>
      </c>
      <c r="AP149" s="1295">
        <v>6259.25</v>
      </c>
      <c r="AQ149" s="1295">
        <v>6259.25</v>
      </c>
      <c r="AR149" s="1295">
        <v>6259.25</v>
      </c>
      <c r="AS149" s="1295">
        <v>6259.25</v>
      </c>
      <c r="AT149" s="1295">
        <v>6259.25</v>
      </c>
      <c r="AU149" s="1295">
        <v>6259.25</v>
      </c>
      <c r="AV149" s="1295">
        <v>6259.25</v>
      </c>
      <c r="AW149" s="1295">
        <f>AVERAGE(AV149,AX149)</f>
        <v>6259.25</v>
      </c>
      <c r="AX149" s="1295">
        <v>6259.25</v>
      </c>
      <c r="AY149" s="1295"/>
      <c r="AZ149" s="1289"/>
      <c r="BA149" s="1289"/>
      <c r="BB149" s="1289"/>
      <c r="BC149" s="1289"/>
      <c r="BD149" s="1289"/>
      <c r="BE149" s="1295"/>
      <c r="BF149" s="1295"/>
      <c r="BG149" s="1295"/>
      <c r="BH149" s="1295"/>
      <c r="BI149" s="1295"/>
    </row>
    <row r="150" spans="3:61" x14ac:dyDescent="0.3">
      <c r="C150" s="1288"/>
      <c r="D150" s="1288"/>
      <c r="E150" s="1288" t="s">
        <v>1133</v>
      </c>
      <c r="F150" s="1288"/>
      <c r="G150" s="1288"/>
      <c r="H150" s="1288"/>
      <c r="I150" s="1288"/>
      <c r="J150" s="1295">
        <v>-2768.25</v>
      </c>
      <c r="K150" s="1295">
        <v>-2824.25</v>
      </c>
      <c r="L150" s="1295">
        <v>-2880.25</v>
      </c>
      <c r="M150" s="1295">
        <v>-2936.25</v>
      </c>
      <c r="N150" s="1295">
        <v>-2992.25</v>
      </c>
      <c r="O150" s="1295">
        <v>-3048.25</v>
      </c>
      <c r="P150" s="1295">
        <v>-3104.25</v>
      </c>
      <c r="Q150" s="1295">
        <v>-3160.25</v>
      </c>
      <c r="R150" s="1295">
        <v>-3216.25</v>
      </c>
      <c r="S150" s="1295">
        <v>-3272.25</v>
      </c>
      <c r="T150" s="1295">
        <v>-3328.25</v>
      </c>
      <c r="U150" s="1295">
        <v>-3338.25</v>
      </c>
      <c r="V150" s="1295">
        <v>-3394.25</v>
      </c>
      <c r="W150" s="1295">
        <v>-3450.25</v>
      </c>
      <c r="X150" s="1295">
        <v>-3506.25</v>
      </c>
      <c r="Y150" s="1295">
        <v>-3562.25</v>
      </c>
      <c r="Z150" s="1295">
        <v>-3618.25</v>
      </c>
      <c r="AA150" s="1295">
        <v>-3674.25</v>
      </c>
      <c r="AB150" s="1295">
        <v>-3730.25</v>
      </c>
      <c r="AC150" s="1295">
        <v>-3786.25</v>
      </c>
      <c r="AD150" s="1295">
        <v>-3842.25</v>
      </c>
      <c r="AE150" s="1295">
        <v>-3898.25</v>
      </c>
      <c r="AF150" s="1295">
        <v>-3954.25</v>
      </c>
      <c r="AG150" s="1295">
        <v>-4010.25</v>
      </c>
      <c r="AH150" s="1295">
        <v>-4066.25</v>
      </c>
      <c r="AI150" s="1295">
        <v>-4122.25</v>
      </c>
      <c r="AJ150" s="1295">
        <v>-4178.25</v>
      </c>
      <c r="AK150" s="1295">
        <v>-4234.25</v>
      </c>
      <c r="AL150" s="1295">
        <v>-4290.25</v>
      </c>
      <c r="AM150" s="1295">
        <v>-4346.25</v>
      </c>
      <c r="AN150" s="1295">
        <v>-4402.25</v>
      </c>
      <c r="AO150" s="1295">
        <v>-4458.25</v>
      </c>
      <c r="AP150" s="1295">
        <v>-4514.25</v>
      </c>
      <c r="AQ150" s="1295">
        <v>-4570.25</v>
      </c>
      <c r="AR150" s="1295">
        <v>-4626.25</v>
      </c>
      <c r="AS150" s="1295">
        <v>-4636.1499999999996</v>
      </c>
      <c r="AT150" s="1295">
        <v>-4692.1499999999996</v>
      </c>
      <c r="AU150" s="1295">
        <v>-4748.1499999999996</v>
      </c>
      <c r="AV150" s="1295">
        <v>-4804.1499999999996</v>
      </c>
      <c r="AW150" s="1295">
        <f>AVERAGE(AV150,AX150)</f>
        <v>-4860.1499999999996</v>
      </c>
      <c r="AX150" s="1295">
        <v>-4916.1499999999996</v>
      </c>
      <c r="AY150" s="1295"/>
      <c r="AZ150" s="1289"/>
      <c r="BA150" s="1289"/>
      <c r="BB150" s="1289"/>
      <c r="BC150" s="1289"/>
      <c r="BD150" s="1289"/>
      <c r="BE150" s="1295"/>
      <c r="BF150" s="1295"/>
      <c r="BG150" s="1295"/>
      <c r="BH150" s="1295"/>
      <c r="BI150" s="1295"/>
    </row>
    <row r="151" spans="3:61" x14ac:dyDescent="0.3">
      <c r="C151" s="1288"/>
      <c r="D151" s="1288"/>
      <c r="E151" s="1288" t="s">
        <v>1134</v>
      </c>
      <c r="F151" s="1288"/>
      <c r="G151" s="1288"/>
      <c r="H151" s="1288"/>
      <c r="I151" s="1288"/>
      <c r="J151" s="1295">
        <v>900</v>
      </c>
      <c r="K151" s="1295">
        <v>900</v>
      </c>
      <c r="L151" s="1295">
        <v>900</v>
      </c>
      <c r="M151" s="1295">
        <v>900</v>
      </c>
      <c r="N151" s="1295">
        <v>900</v>
      </c>
      <c r="O151" s="1295">
        <v>900</v>
      </c>
      <c r="P151" s="1295">
        <v>900</v>
      </c>
      <c r="Q151" s="1295">
        <v>900</v>
      </c>
      <c r="R151" s="1295">
        <v>900</v>
      </c>
      <c r="S151" s="1295">
        <v>900</v>
      </c>
      <c r="T151" s="1295">
        <v>900</v>
      </c>
      <c r="U151" s="1295">
        <v>900</v>
      </c>
      <c r="V151" s="1295">
        <v>900</v>
      </c>
      <c r="W151" s="1295">
        <v>900</v>
      </c>
      <c r="X151" s="1295">
        <v>4532.8100000000004</v>
      </c>
      <c r="Y151" s="1295">
        <v>6799.5</v>
      </c>
      <c r="Z151" s="1295">
        <v>9066.19</v>
      </c>
      <c r="AA151" s="1295">
        <v>11332.88</v>
      </c>
      <c r="AB151" s="1295">
        <v>13599.57</v>
      </c>
      <c r="AC151" s="1295">
        <v>15866.25</v>
      </c>
      <c r="AD151" s="1295">
        <v>15866.25</v>
      </c>
      <c r="AE151" s="1295">
        <v>10866.25</v>
      </c>
      <c r="AF151" s="1295">
        <v>5866.25</v>
      </c>
      <c r="AG151" s="1295">
        <v>900</v>
      </c>
      <c r="AH151" s="1295">
        <v>900</v>
      </c>
      <c r="AI151" s="1295">
        <v>900</v>
      </c>
      <c r="AJ151" s="1295">
        <v>900</v>
      </c>
      <c r="AK151" s="1295">
        <v>900</v>
      </c>
      <c r="AL151" s="1295">
        <v>900</v>
      </c>
      <c r="AM151" s="1295">
        <v>900</v>
      </c>
      <c r="AN151" s="1295">
        <v>4963.13</v>
      </c>
      <c r="AO151" s="1295">
        <v>4963.13</v>
      </c>
      <c r="AP151" s="1295">
        <v>4963.13</v>
      </c>
      <c r="AQ151" s="1295">
        <v>8463.1299999999992</v>
      </c>
      <c r="AR151" s="1295">
        <v>27089.79</v>
      </c>
      <c r="AS151" s="1295">
        <v>8463.1299999999992</v>
      </c>
      <c r="AT151" s="1295">
        <v>8463.1299999999992</v>
      </c>
      <c r="AU151" s="1295">
        <v>8463.1299999999992</v>
      </c>
      <c r="AV151" s="1295">
        <v>8463.1299999999992</v>
      </c>
      <c r="AW151" s="1295">
        <f>AVERAGE(AV151,AX151)</f>
        <v>9884.1450000000004</v>
      </c>
      <c r="AX151" s="1295">
        <v>11305.16</v>
      </c>
      <c r="AY151" s="1295"/>
      <c r="AZ151" s="1289"/>
      <c r="BA151" s="1289"/>
      <c r="BB151" s="1289"/>
      <c r="BC151" s="1289"/>
      <c r="BD151" s="1289"/>
      <c r="BE151" s="1295"/>
      <c r="BF151" s="1295"/>
      <c r="BG151" s="1295"/>
      <c r="BH151" s="1295"/>
      <c r="BI151" s="1295"/>
    </row>
    <row r="152" spans="3:61" x14ac:dyDescent="0.3">
      <c r="C152" s="1288"/>
      <c r="D152" s="1288"/>
      <c r="E152" s="1288" t="s">
        <v>1301</v>
      </c>
      <c r="F152" s="1288"/>
      <c r="G152" s="1288"/>
      <c r="H152" s="1288"/>
      <c r="I152" s="1288"/>
      <c r="J152" s="1295"/>
      <c r="K152" s="1295"/>
      <c r="L152" s="1295"/>
      <c r="M152" s="1295"/>
      <c r="N152" s="1295"/>
      <c r="O152" s="1295"/>
      <c r="P152" s="1295"/>
      <c r="Q152" s="1295"/>
      <c r="R152" s="1295"/>
      <c r="S152" s="1295"/>
      <c r="T152" s="1295"/>
      <c r="U152" s="1295"/>
      <c r="V152" s="1295"/>
      <c r="W152" s="1295"/>
      <c r="X152" s="1295"/>
      <c r="Y152" s="1295"/>
      <c r="Z152" s="1295"/>
      <c r="AA152" s="1295"/>
      <c r="AB152" s="1295"/>
      <c r="AC152" s="1295"/>
      <c r="AD152" s="1295"/>
      <c r="AE152" s="1295"/>
      <c r="AF152" s="1295"/>
      <c r="AG152" s="1295"/>
      <c r="AH152" s="1295"/>
      <c r="AI152" s="1295"/>
      <c r="AJ152" s="1295"/>
      <c r="AK152" s="1295"/>
      <c r="AL152" s="1295"/>
      <c r="AM152" s="1295"/>
      <c r="AN152" s="1295"/>
      <c r="AO152" s="1295"/>
      <c r="AP152" s="1295"/>
      <c r="AQ152" s="1295"/>
      <c r="AR152" s="1295"/>
      <c r="AS152" s="1295"/>
      <c r="AT152" s="1295"/>
      <c r="AU152" s="1295"/>
      <c r="AV152" s="1295"/>
      <c r="AW152" s="1295"/>
      <c r="AX152" s="1295"/>
      <c r="AY152" s="1295"/>
      <c r="AZ152" s="1289">
        <v>629900</v>
      </c>
      <c r="BA152" s="1289">
        <v>629900</v>
      </c>
      <c r="BB152" s="1289">
        <v>629900</v>
      </c>
      <c r="BC152" s="1289">
        <v>629900</v>
      </c>
      <c r="BD152" s="1289">
        <v>629900</v>
      </c>
      <c r="BE152" s="1295"/>
      <c r="BF152" s="1295"/>
      <c r="BG152" s="1295"/>
      <c r="BH152" s="1295"/>
      <c r="BI152" s="1295"/>
    </row>
    <row r="153" spans="3:61" ht="15" thickBot="1" x14ac:dyDescent="0.35">
      <c r="C153" s="1288"/>
      <c r="D153" s="1288"/>
      <c r="E153" s="1288" t="s">
        <v>1302</v>
      </c>
      <c r="F153" s="1288"/>
      <c r="G153" s="1288"/>
      <c r="H153" s="1288"/>
      <c r="I153" s="1288"/>
      <c r="J153" s="1295"/>
      <c r="K153" s="1295"/>
      <c r="L153" s="1295"/>
      <c r="M153" s="1295"/>
      <c r="N153" s="1295"/>
      <c r="O153" s="1295"/>
      <c r="P153" s="1295"/>
      <c r="Q153" s="1295"/>
      <c r="R153" s="1295"/>
      <c r="S153" s="1295"/>
      <c r="T153" s="1295"/>
      <c r="U153" s="1295"/>
      <c r="V153" s="1295"/>
      <c r="W153" s="1295"/>
      <c r="X153" s="1295"/>
      <c r="Y153" s="1295"/>
      <c r="Z153" s="1295"/>
      <c r="AA153" s="1295"/>
      <c r="AB153" s="1295"/>
      <c r="AC153" s="1295"/>
      <c r="AD153" s="1295"/>
      <c r="AE153" s="1295"/>
      <c r="AF153" s="1295"/>
      <c r="AG153" s="1295"/>
      <c r="AH153" s="1295"/>
      <c r="AI153" s="1295"/>
      <c r="AJ153" s="1295"/>
      <c r="AK153" s="1295"/>
      <c r="AL153" s="1295"/>
      <c r="AM153" s="1295"/>
      <c r="AN153" s="1295"/>
      <c r="AO153" s="1295"/>
      <c r="AP153" s="1295"/>
      <c r="AQ153" s="1295"/>
      <c r="AR153" s="1295"/>
      <c r="AS153" s="1295"/>
      <c r="AT153" s="1295"/>
      <c r="AU153" s="1295"/>
      <c r="AV153" s="1295"/>
      <c r="AW153" s="1295"/>
      <c r="AX153" s="1295"/>
      <c r="AY153" s="1295"/>
      <c r="AZ153" s="1289">
        <v>5000</v>
      </c>
      <c r="BA153" s="1289">
        <v>5000</v>
      </c>
      <c r="BB153" s="1289">
        <v>5000</v>
      </c>
      <c r="BC153" s="1289">
        <v>5000</v>
      </c>
      <c r="BD153" s="1289">
        <v>5000</v>
      </c>
      <c r="BE153" s="1295"/>
      <c r="BF153" s="1295"/>
      <c r="BG153" s="1295"/>
      <c r="BH153" s="1295"/>
      <c r="BI153" s="1295"/>
    </row>
    <row r="154" spans="3:61" ht="15" thickBot="1" x14ac:dyDescent="0.35">
      <c r="C154" s="1288"/>
      <c r="D154" s="1288" t="s">
        <v>1135</v>
      </c>
      <c r="E154" s="1288"/>
      <c r="F154" s="1288"/>
      <c r="G154" s="1288"/>
      <c r="H154" s="1288"/>
      <c r="I154" s="1288"/>
      <c r="J154" s="1300">
        <v>4391</v>
      </c>
      <c r="K154" s="1300">
        <v>4335</v>
      </c>
      <c r="L154" s="1300">
        <v>4279</v>
      </c>
      <c r="M154" s="1300">
        <v>4223</v>
      </c>
      <c r="N154" s="1300">
        <v>4167</v>
      </c>
      <c r="O154" s="1300">
        <v>4111</v>
      </c>
      <c r="P154" s="1300">
        <v>4055</v>
      </c>
      <c r="Q154" s="1300">
        <v>3999</v>
      </c>
      <c r="R154" s="1300">
        <v>3943</v>
      </c>
      <c r="S154" s="1300">
        <v>3887</v>
      </c>
      <c r="T154" s="1300">
        <v>3831</v>
      </c>
      <c r="U154" s="1300">
        <v>3821</v>
      </c>
      <c r="V154" s="1300">
        <v>3765</v>
      </c>
      <c r="W154" s="1300">
        <v>3709</v>
      </c>
      <c r="X154" s="1300">
        <v>7285.81</v>
      </c>
      <c r="Y154" s="1300">
        <v>9496.5</v>
      </c>
      <c r="Z154" s="1300">
        <v>11707.19</v>
      </c>
      <c r="AA154" s="1300">
        <v>13917.88</v>
      </c>
      <c r="AB154" s="1300">
        <v>16128.57</v>
      </c>
      <c r="AC154" s="1300">
        <v>18339.25</v>
      </c>
      <c r="AD154" s="1300">
        <v>18283.25</v>
      </c>
      <c r="AE154" s="1300">
        <v>13227.25</v>
      </c>
      <c r="AF154" s="1300">
        <v>8171.25</v>
      </c>
      <c r="AG154" s="1300">
        <v>3149</v>
      </c>
      <c r="AH154" s="1300">
        <v>3093</v>
      </c>
      <c r="AI154" s="1300">
        <v>3037</v>
      </c>
      <c r="AJ154" s="1300">
        <v>2981</v>
      </c>
      <c r="AK154" s="1300">
        <v>2925</v>
      </c>
      <c r="AL154" s="1300">
        <v>2869</v>
      </c>
      <c r="AM154" s="1300">
        <v>2813</v>
      </c>
      <c r="AN154" s="1300">
        <v>6820.13</v>
      </c>
      <c r="AO154" s="1300">
        <v>6764.13</v>
      </c>
      <c r="AP154" s="1300">
        <v>6708.13</v>
      </c>
      <c r="AQ154" s="1300">
        <v>10152.129999999999</v>
      </c>
      <c r="AR154" s="1300">
        <v>28722.79</v>
      </c>
      <c r="AS154" s="1300">
        <v>10086.23</v>
      </c>
      <c r="AT154" s="1300">
        <f>ROUND(SUM(AT148:AT151),5)</f>
        <v>10030.23</v>
      </c>
      <c r="AU154" s="1300">
        <f>ROUND(SUM(AU148:AU151),5)</f>
        <v>9974.23</v>
      </c>
      <c r="AV154" s="1300">
        <f>ROUND(SUM(AV148:AV151),5)</f>
        <v>9918.23</v>
      </c>
      <c r="AW154" s="1300">
        <f>ROUND(SUM(AW148:AW151),5)</f>
        <v>11283.245000000001</v>
      </c>
      <c r="AX154" s="1300">
        <f>ROUND(SUM(AX148:AX151),5)</f>
        <v>12648.26</v>
      </c>
      <c r="AY154" s="1300"/>
      <c r="AZ154" s="1292">
        <v>634900</v>
      </c>
      <c r="BA154" s="1292">
        <v>634900</v>
      </c>
      <c r="BB154" s="1292">
        <v>634900</v>
      </c>
      <c r="BC154" s="1292">
        <f>ROUND(SUM(BC148:BC153),5)</f>
        <v>634900</v>
      </c>
      <c r="BD154" s="1292">
        <f>ROUND(SUM(BD148:BD153),5)</f>
        <v>634900</v>
      </c>
      <c r="BE154" s="1300"/>
      <c r="BF154" s="1300"/>
      <c r="BG154" s="1300"/>
      <c r="BH154" s="1300"/>
      <c r="BI154" s="1300"/>
    </row>
    <row r="155" spans="3:61" ht="15" thickBot="1" x14ac:dyDescent="0.35">
      <c r="C155" s="1288" t="s">
        <v>1136</v>
      </c>
      <c r="D155" s="1288"/>
      <c r="E155" s="1288"/>
      <c r="F155" s="1288"/>
      <c r="G155" s="1288"/>
      <c r="H155" s="1288"/>
      <c r="I155" s="1288"/>
      <c r="J155" s="1301">
        <v>2646658.62</v>
      </c>
      <c r="K155" s="1301">
        <v>2334433.41</v>
      </c>
      <c r="L155" s="1301">
        <v>2062108.51</v>
      </c>
      <c r="M155" s="1301">
        <v>2049393.75</v>
      </c>
      <c r="N155" s="1301">
        <v>2023809.72</v>
      </c>
      <c r="O155" s="1301">
        <v>2086428.49</v>
      </c>
      <c r="P155" s="1301">
        <v>2177219.36</v>
      </c>
      <c r="Q155" s="1301">
        <v>2276006.08</v>
      </c>
      <c r="R155" s="1301">
        <v>2286173.7799999998</v>
      </c>
      <c r="S155" s="1301">
        <v>2176149.67</v>
      </c>
      <c r="T155" s="1301">
        <v>2296338.9300000002</v>
      </c>
      <c r="U155" s="1301">
        <v>2119928.4700000002</v>
      </c>
      <c r="V155" s="1301">
        <v>2496147.08</v>
      </c>
      <c r="W155" s="1301">
        <v>2464585.33</v>
      </c>
      <c r="X155" s="1301">
        <v>2692354.3</v>
      </c>
      <c r="Y155" s="1301">
        <v>2736981.99</v>
      </c>
      <c r="Z155" s="1301">
        <v>2684934.52</v>
      </c>
      <c r="AA155" s="1301">
        <v>3067334.03</v>
      </c>
      <c r="AB155" s="1301">
        <v>3041182.2</v>
      </c>
      <c r="AC155" s="1301">
        <v>3215117.14</v>
      </c>
      <c r="AD155" s="1301">
        <v>3498730.62</v>
      </c>
      <c r="AE155" s="1301">
        <v>3479514.69</v>
      </c>
      <c r="AF155" s="1301">
        <v>3574879.75</v>
      </c>
      <c r="AG155" s="1301">
        <v>3145243.71</v>
      </c>
      <c r="AH155" s="1301">
        <v>3436379.96</v>
      </c>
      <c r="AI155" s="1301">
        <v>3153029</v>
      </c>
      <c r="AJ155" s="1301">
        <v>3341323.17</v>
      </c>
      <c r="AK155" s="1301">
        <v>3165761.85</v>
      </c>
      <c r="AL155" s="1301">
        <v>2516187.5499999998</v>
      </c>
      <c r="AM155" s="1301">
        <v>3100923.95</v>
      </c>
      <c r="AN155" s="1301">
        <v>3508653.29</v>
      </c>
      <c r="AO155" s="1301">
        <v>3647002.89</v>
      </c>
      <c r="AP155" s="1301">
        <v>3717626.45</v>
      </c>
      <c r="AQ155" s="1301">
        <v>3868916.66</v>
      </c>
      <c r="AR155" s="1301">
        <v>3817851.94</v>
      </c>
      <c r="AS155" s="1301">
        <v>3374481.36</v>
      </c>
      <c r="AT155" s="1301">
        <f>ROUND(AT99+AT133+AT146+AT154,5)</f>
        <v>3223867.96</v>
      </c>
      <c r="AU155" s="1301">
        <f>ROUND(AU99+AU133+AU146+AU154,5)</f>
        <v>3292529.41</v>
      </c>
      <c r="AV155" s="1301">
        <f>ROUND(AV99+AV133+AV146+AV154,5)</f>
        <v>3136035.79</v>
      </c>
      <c r="AW155" s="1301">
        <f>ROUND(AW99+AW133+AW146+AW154,5)</f>
        <v>2734603.2524700002</v>
      </c>
      <c r="AX155" s="1301">
        <f>ROUND(AX99+AX133+AX146+AX154,5)</f>
        <v>3127874.62</v>
      </c>
      <c r="AY155" s="1301">
        <f>ROUND(AY133+AY146+AY154,5)+AY147</f>
        <v>3575950.3</v>
      </c>
      <c r="AZ155" s="1293">
        <v>3462765.68</v>
      </c>
      <c r="BA155" s="1293">
        <v>3447668.37</v>
      </c>
      <c r="BB155" s="1293">
        <v>3638038.81</v>
      </c>
      <c r="BC155" s="1293">
        <f>ROUND(BC99+BC133+BC146+BC154,5)</f>
        <v>3618367.16</v>
      </c>
      <c r="BD155" s="1293">
        <f>ROUND(BD99+BD133+BD146+BD154,5)</f>
        <v>3840998.72</v>
      </c>
      <c r="BE155" s="1301"/>
      <c r="BF155" s="1301"/>
      <c r="BG155" s="1301"/>
      <c r="BH155" s="1301"/>
      <c r="BI155" s="1301"/>
    </row>
    <row r="156" spans="3:61" ht="15" thickTop="1" x14ac:dyDescent="0.3">
      <c r="C156" s="1288" t="s">
        <v>1137</v>
      </c>
      <c r="D156" s="1288"/>
      <c r="E156" s="1288"/>
      <c r="F156" s="1288"/>
      <c r="G156" s="1288"/>
      <c r="H156" s="1288"/>
      <c r="I156" s="1288"/>
      <c r="J156" s="1295"/>
      <c r="K156" s="1295"/>
      <c r="L156" s="1295"/>
      <c r="M156" s="1295"/>
      <c r="N156" s="1295"/>
      <c r="O156" s="1295"/>
      <c r="P156" s="1295"/>
      <c r="Q156" s="1295"/>
      <c r="R156" s="1295"/>
      <c r="S156" s="1295"/>
      <c r="T156" s="1295"/>
      <c r="U156" s="1295"/>
      <c r="V156" s="1295"/>
      <c r="W156" s="1295"/>
      <c r="X156" s="1295"/>
      <c r="Y156" s="1295"/>
      <c r="Z156" s="1295"/>
      <c r="AA156" s="1295"/>
      <c r="AB156" s="1295"/>
      <c r="AC156" s="1295"/>
      <c r="AD156" s="1295"/>
      <c r="AE156" s="1295"/>
      <c r="AF156" s="1295"/>
      <c r="AG156" s="1295"/>
      <c r="AH156" s="1295"/>
      <c r="AI156" s="1295"/>
      <c r="AJ156" s="1295"/>
      <c r="AK156" s="1295"/>
      <c r="AL156" s="1295"/>
      <c r="AM156" s="1295"/>
      <c r="AN156" s="1295"/>
      <c r="AO156" s="1295"/>
      <c r="AP156" s="1295"/>
      <c r="AQ156" s="1295"/>
      <c r="AR156" s="1295"/>
      <c r="AS156" s="1295"/>
      <c r="AT156" s="1295"/>
      <c r="AU156" s="1295"/>
      <c r="AV156" s="1295"/>
      <c r="AW156" s="1295"/>
      <c r="AX156" s="1295"/>
      <c r="AY156" s="1295"/>
      <c r="AZ156" s="1289"/>
      <c r="BA156" s="1289"/>
      <c r="BB156" s="1289"/>
      <c r="BC156" s="1289"/>
      <c r="BD156" s="1289"/>
      <c r="BE156" s="1295"/>
      <c r="BF156" s="1295"/>
      <c r="BG156" s="1295"/>
      <c r="BH156" s="1295"/>
      <c r="BI156" s="1295"/>
    </row>
    <row r="157" spans="3:61" x14ac:dyDescent="0.3">
      <c r="C157" s="1288"/>
      <c r="D157" s="1288" t="s">
        <v>254</v>
      </c>
      <c r="E157" s="1288"/>
      <c r="F157" s="1288"/>
      <c r="G157" s="1288"/>
      <c r="H157" s="1288"/>
      <c r="I157" s="1288"/>
      <c r="J157" s="1295"/>
      <c r="K157" s="1295"/>
      <c r="L157" s="1295"/>
      <c r="M157" s="1295"/>
      <c r="N157" s="1295"/>
      <c r="O157" s="1295"/>
      <c r="P157" s="1295"/>
      <c r="Q157" s="1295"/>
      <c r="R157" s="1295"/>
      <c r="S157" s="1295"/>
      <c r="T157" s="1295"/>
      <c r="U157" s="1295"/>
      <c r="V157" s="1295"/>
      <c r="W157" s="1295"/>
      <c r="X157" s="1295"/>
      <c r="Y157" s="1295"/>
      <c r="Z157" s="1295"/>
      <c r="AA157" s="1295"/>
      <c r="AB157" s="1295"/>
      <c r="AC157" s="1295"/>
      <c r="AD157" s="1295"/>
      <c r="AE157" s="1295"/>
      <c r="AF157" s="1295"/>
      <c r="AG157" s="1295"/>
      <c r="AH157" s="1295"/>
      <c r="AI157" s="1295"/>
      <c r="AJ157" s="1295"/>
      <c r="AK157" s="1295"/>
      <c r="AL157" s="1295"/>
      <c r="AM157" s="1295"/>
      <c r="AN157" s="1295"/>
      <c r="AO157" s="1295"/>
      <c r="AP157" s="1295"/>
      <c r="AQ157" s="1295"/>
      <c r="AR157" s="1295"/>
      <c r="AS157" s="1295"/>
      <c r="AT157" s="1295"/>
      <c r="AU157" s="1295"/>
      <c r="AV157" s="1295"/>
      <c r="AW157" s="1295"/>
      <c r="AX157" s="1295"/>
      <c r="AY157" s="1295"/>
      <c r="AZ157" s="1289"/>
      <c r="BA157" s="1289"/>
      <c r="BB157" s="1289"/>
      <c r="BC157" s="1289"/>
      <c r="BD157" s="1289"/>
      <c r="BE157" s="1295"/>
      <c r="BF157" s="1295"/>
      <c r="BG157" s="1295"/>
      <c r="BH157" s="1295"/>
      <c r="BI157" s="1295"/>
    </row>
    <row r="158" spans="3:61" x14ac:dyDescent="0.3">
      <c r="C158" s="1288"/>
      <c r="D158" s="1288"/>
      <c r="E158" s="1288" t="s">
        <v>255</v>
      </c>
      <c r="F158" s="1288"/>
      <c r="G158" s="1288"/>
      <c r="H158" s="1288"/>
      <c r="I158" s="1288"/>
      <c r="J158" s="1295"/>
      <c r="K158" s="1295"/>
      <c r="L158" s="1295"/>
      <c r="M158" s="1295"/>
      <c r="N158" s="1295"/>
      <c r="O158" s="1295"/>
      <c r="P158" s="1295"/>
      <c r="Q158" s="1295"/>
      <c r="R158" s="1295"/>
      <c r="S158" s="1295"/>
      <c r="T158" s="1295"/>
      <c r="U158" s="1295"/>
      <c r="V158" s="1295"/>
      <c r="W158" s="1295"/>
      <c r="X158" s="1295"/>
      <c r="Y158" s="1295"/>
      <c r="Z158" s="1295"/>
      <c r="AA158" s="1295"/>
      <c r="AB158" s="1295"/>
      <c r="AC158" s="1295"/>
      <c r="AD158" s="1295"/>
      <c r="AE158" s="1295"/>
      <c r="AF158" s="1295"/>
      <c r="AG158" s="1295"/>
      <c r="AH158" s="1295"/>
      <c r="AI158" s="1295"/>
      <c r="AJ158" s="1295"/>
      <c r="AK158" s="1295"/>
      <c r="AL158" s="1295"/>
      <c r="AM158" s="1295"/>
      <c r="AN158" s="1295"/>
      <c r="AO158" s="1295"/>
      <c r="AP158" s="1295"/>
      <c r="AQ158" s="1295"/>
      <c r="AR158" s="1295"/>
      <c r="AS158" s="1295"/>
      <c r="AT158" s="1295"/>
      <c r="AU158" s="1295"/>
      <c r="AV158" s="1295"/>
      <c r="AW158" s="1295"/>
      <c r="AX158" s="1295"/>
      <c r="AY158" s="1295"/>
      <c r="AZ158" s="1289"/>
      <c r="BA158" s="1289"/>
      <c r="BB158" s="1289"/>
      <c r="BC158" s="1289"/>
      <c r="BD158" s="1289"/>
      <c r="BE158" s="1295"/>
      <c r="BF158" s="1295"/>
      <c r="BG158" s="1295"/>
      <c r="BH158" s="1295"/>
      <c r="BI158" s="1295"/>
    </row>
    <row r="159" spans="3:61" x14ac:dyDescent="0.3">
      <c r="C159" s="1288"/>
      <c r="D159" s="1288"/>
      <c r="E159" s="1288"/>
      <c r="F159" s="1288" t="s">
        <v>1138</v>
      </c>
      <c r="G159" s="1288"/>
      <c r="H159" s="1288"/>
      <c r="I159" s="1288"/>
      <c r="J159" s="1295"/>
      <c r="K159" s="1295"/>
      <c r="L159" s="1295"/>
      <c r="M159" s="1295"/>
      <c r="N159" s="1295"/>
      <c r="O159" s="1295"/>
      <c r="P159" s="1295"/>
      <c r="Q159" s="1295"/>
      <c r="R159" s="1295"/>
      <c r="S159" s="1295"/>
      <c r="T159" s="1295"/>
      <c r="U159" s="1295"/>
      <c r="V159" s="1295"/>
      <c r="W159" s="1295"/>
      <c r="X159" s="1295"/>
      <c r="Y159" s="1295"/>
      <c r="Z159" s="1295"/>
      <c r="AA159" s="1295"/>
      <c r="AB159" s="1295"/>
      <c r="AC159" s="1295"/>
      <c r="AD159" s="1295"/>
      <c r="AE159" s="1295"/>
      <c r="AF159" s="1295"/>
      <c r="AG159" s="1295"/>
      <c r="AH159" s="1295"/>
      <c r="AI159" s="1295"/>
      <c r="AJ159" s="1295"/>
      <c r="AK159" s="1295"/>
      <c r="AL159" s="1295"/>
      <c r="AM159" s="1295"/>
      <c r="AN159" s="1295"/>
      <c r="AO159" s="1295"/>
      <c r="AP159" s="1295"/>
      <c r="AQ159" s="1295"/>
      <c r="AR159" s="1295"/>
      <c r="AS159" s="1295"/>
      <c r="AT159" s="1295"/>
      <c r="AU159" s="1295"/>
      <c r="AV159" s="1295"/>
      <c r="AW159" s="1295"/>
      <c r="AX159" s="1295"/>
      <c r="AY159" s="1295"/>
      <c r="AZ159" s="1289"/>
      <c r="BA159" s="1289"/>
      <c r="BB159" s="1289"/>
      <c r="BC159" s="1289"/>
      <c r="BD159" s="1289"/>
      <c r="BE159" s="1295"/>
      <c r="BF159" s="1295"/>
      <c r="BG159" s="1295"/>
      <c r="BH159" s="1295"/>
      <c r="BI159" s="1295"/>
    </row>
    <row r="160" spans="3:61" ht="15" thickBot="1" x14ac:dyDescent="0.35">
      <c r="C160" s="1288"/>
      <c r="D160" s="1288"/>
      <c r="E160" s="1288"/>
      <c r="F160" s="1288"/>
      <c r="G160" s="1288" t="s">
        <v>1139</v>
      </c>
      <c r="H160" s="1288"/>
      <c r="I160" s="1288"/>
      <c r="J160" s="1296">
        <v>419836.24</v>
      </c>
      <c r="K160" s="1296">
        <v>424352.71</v>
      </c>
      <c r="L160" s="1296">
        <v>373589.48</v>
      </c>
      <c r="M160" s="1296">
        <v>230749.82</v>
      </c>
      <c r="N160" s="1296">
        <v>291946.65000000002</v>
      </c>
      <c r="O160" s="1296">
        <v>336916.39</v>
      </c>
      <c r="P160" s="1296">
        <v>338118.89</v>
      </c>
      <c r="Q160" s="1296">
        <v>405418.98</v>
      </c>
      <c r="R160" s="1296">
        <v>362992.34</v>
      </c>
      <c r="S160" s="1296">
        <v>319236.15000000002</v>
      </c>
      <c r="T160" s="1296">
        <v>393333.75</v>
      </c>
      <c r="U160" s="1296">
        <v>419845.02</v>
      </c>
      <c r="V160" s="1296">
        <v>259749.13</v>
      </c>
      <c r="W160" s="1296">
        <v>373336.56</v>
      </c>
      <c r="X160" s="1296">
        <v>381979.1</v>
      </c>
      <c r="Y160" s="1296">
        <v>517913.26</v>
      </c>
      <c r="Z160" s="1296">
        <v>421773.53</v>
      </c>
      <c r="AA160" s="1296">
        <v>500298.08</v>
      </c>
      <c r="AB160" s="1296">
        <v>412666.66</v>
      </c>
      <c r="AC160" s="1296">
        <v>635259.93000000005</v>
      </c>
      <c r="AD160" s="1296">
        <v>292490.17</v>
      </c>
      <c r="AE160" s="1296">
        <v>579960.53</v>
      </c>
      <c r="AF160" s="1296">
        <v>625331.29</v>
      </c>
      <c r="AG160" s="1296">
        <v>713008.9</v>
      </c>
      <c r="AH160" s="1296">
        <v>419774.78</v>
      </c>
      <c r="AI160" s="1296">
        <v>450790.14</v>
      </c>
      <c r="AJ160" s="1296">
        <v>429149.81</v>
      </c>
      <c r="AK160" s="1296">
        <v>481595.95</v>
      </c>
      <c r="AL160" s="1296">
        <v>479594.67</v>
      </c>
      <c r="AM160" s="1296">
        <v>379614.02</v>
      </c>
      <c r="AN160" s="1296">
        <v>357145.83</v>
      </c>
      <c r="AO160" s="1296">
        <v>425003.95</v>
      </c>
      <c r="AP160" s="1296">
        <v>440016.8</v>
      </c>
      <c r="AQ160" s="1296">
        <v>539194.56999999995</v>
      </c>
      <c r="AR160" s="1296">
        <v>487675.36</v>
      </c>
      <c r="AS160" s="1296">
        <v>558331.77</v>
      </c>
      <c r="AT160" s="1296">
        <v>453645.01</v>
      </c>
      <c r="AU160" s="1296">
        <v>589671.28</v>
      </c>
      <c r="AV160" s="1296">
        <v>455999.71</v>
      </c>
      <c r="AW160" s="1296">
        <f>AVERAGE(AV160,AX160)</f>
        <v>483332.72499999998</v>
      </c>
      <c r="AX160" s="1296">
        <v>510665.74</v>
      </c>
      <c r="AY160" s="1296"/>
      <c r="AZ160" s="1290">
        <v>369138.3</v>
      </c>
      <c r="BA160" s="1290">
        <v>381852.11</v>
      </c>
      <c r="BB160" s="1290">
        <v>332202.48</v>
      </c>
      <c r="BC160" s="1290">
        <v>404672.13</v>
      </c>
      <c r="BD160" s="1290">
        <v>361930.27</v>
      </c>
      <c r="BE160" s="1296"/>
      <c r="BF160" s="1296"/>
      <c r="BG160" s="1296"/>
      <c r="BH160" s="1296"/>
      <c r="BI160" s="1296"/>
    </row>
    <row r="161" spans="3:61" x14ac:dyDescent="0.3">
      <c r="C161" s="1288"/>
      <c r="D161" s="1288"/>
      <c r="E161" s="1288"/>
      <c r="F161" s="1288" t="s">
        <v>1140</v>
      </c>
      <c r="G161" s="1288"/>
      <c r="H161" s="1288"/>
      <c r="I161" s="1288"/>
      <c r="J161" s="1298">
        <v>419836.24</v>
      </c>
      <c r="K161" s="1298">
        <v>424352.71</v>
      </c>
      <c r="L161" s="1298">
        <v>373589.48</v>
      </c>
      <c r="M161" s="1298">
        <v>230749.82</v>
      </c>
      <c r="N161" s="1298">
        <v>291946.65000000002</v>
      </c>
      <c r="O161" s="1298">
        <v>336916.39</v>
      </c>
      <c r="P161" s="1298">
        <v>338118.89</v>
      </c>
      <c r="Q161" s="1298">
        <v>405418.98</v>
      </c>
      <c r="R161" s="1298">
        <v>362992.34</v>
      </c>
      <c r="S161" s="1298">
        <v>319236.15000000002</v>
      </c>
      <c r="T161" s="1298">
        <v>393333.75</v>
      </c>
      <c r="U161" s="1298">
        <v>419845.02</v>
      </c>
      <c r="V161" s="1298">
        <v>259749.13</v>
      </c>
      <c r="W161" s="1298">
        <v>373336.56</v>
      </c>
      <c r="X161" s="1298">
        <v>381979.1</v>
      </c>
      <c r="Y161" s="1298">
        <v>517913.26</v>
      </c>
      <c r="Z161" s="1298">
        <v>421773.53</v>
      </c>
      <c r="AA161" s="1298">
        <v>500298.08</v>
      </c>
      <c r="AB161" s="1298">
        <v>412666.66</v>
      </c>
      <c r="AC161" s="1298">
        <v>635259.93000000005</v>
      </c>
      <c r="AD161" s="1298">
        <v>292490.17</v>
      </c>
      <c r="AE161" s="1298">
        <v>579960.53</v>
      </c>
      <c r="AF161" s="1298">
        <v>625331.29</v>
      </c>
      <c r="AG161" s="1298">
        <v>713008.9</v>
      </c>
      <c r="AH161" s="1298">
        <v>419774.78</v>
      </c>
      <c r="AI161" s="1298">
        <v>450790.14</v>
      </c>
      <c r="AJ161" s="1298">
        <v>429149.81</v>
      </c>
      <c r="AK161" s="1298">
        <v>481595.95</v>
      </c>
      <c r="AL161" s="1298">
        <v>479594.67</v>
      </c>
      <c r="AM161" s="1298">
        <v>379614.02</v>
      </c>
      <c r="AN161" s="1298">
        <v>357145.83</v>
      </c>
      <c r="AO161" s="1298">
        <v>425003.95</v>
      </c>
      <c r="AP161" s="1298">
        <v>440016.8</v>
      </c>
      <c r="AQ161" s="1298">
        <v>539194.56999999995</v>
      </c>
      <c r="AR161" s="1298">
        <v>487675.36</v>
      </c>
      <c r="AS161" s="1298">
        <v>558331.77</v>
      </c>
      <c r="AT161" s="1298">
        <f>ROUND(SUM(AT159:AT160),5)</f>
        <v>453645.01</v>
      </c>
      <c r="AU161" s="1298">
        <f>ROUND(SUM(AU159:AU160),5)</f>
        <v>589671.28</v>
      </c>
      <c r="AV161" s="1298">
        <f>ROUND(SUM(AV159:AV160),5)</f>
        <v>455999.71</v>
      </c>
      <c r="AW161" s="1298">
        <f>ROUND(SUM(AW159:AW160),5)</f>
        <v>483332.72499999998</v>
      </c>
      <c r="AX161" s="1298">
        <f>ROUND(SUM(AX159:AX160),5)</f>
        <v>510665.74</v>
      </c>
      <c r="AY161" s="1298">
        <f>AX161</f>
        <v>510665.74</v>
      </c>
      <c r="AZ161" s="1289">
        <v>369138.3</v>
      </c>
      <c r="BA161" s="1289">
        <v>381852.11</v>
      </c>
      <c r="BB161" s="1289">
        <v>332202.48</v>
      </c>
      <c r="BC161" s="1289">
        <f>ROUND(SUM(BC159:BC160),5)</f>
        <v>404672.13</v>
      </c>
      <c r="BD161" s="1289">
        <f>ROUND(SUM(BD159:BD160),5)</f>
        <v>361930.27</v>
      </c>
      <c r="BE161" s="1298"/>
      <c r="BF161" s="1298"/>
      <c r="BG161" s="1298"/>
      <c r="BH161" s="1298"/>
      <c r="BI161" s="1298"/>
    </row>
    <row r="162" spans="3:61" x14ac:dyDescent="0.3">
      <c r="C162" s="1288"/>
      <c r="D162" s="1288"/>
      <c r="E162" s="1288"/>
      <c r="F162" s="1288" t="s">
        <v>1141</v>
      </c>
      <c r="G162" s="1288"/>
      <c r="H162" s="1288"/>
      <c r="I162" s="1288"/>
      <c r="J162" s="1295"/>
      <c r="K162" s="1295"/>
      <c r="L162" s="1295"/>
      <c r="M162" s="1295"/>
      <c r="N162" s="1295"/>
      <c r="O162" s="1295"/>
      <c r="P162" s="1295"/>
      <c r="Q162" s="1295"/>
      <c r="R162" s="1295"/>
      <c r="S162" s="1295"/>
      <c r="T162" s="1295"/>
      <c r="U162" s="1295"/>
      <c r="V162" s="1295"/>
      <c r="W162" s="1295"/>
      <c r="X162" s="1295"/>
      <c r="Y162" s="1295"/>
      <c r="Z162" s="1295"/>
      <c r="AA162" s="1295"/>
      <c r="AB162" s="1295"/>
      <c r="AC162" s="1295"/>
      <c r="AD162" s="1295"/>
      <c r="AE162" s="1295"/>
      <c r="AF162" s="1295"/>
      <c r="AG162" s="1295"/>
      <c r="AH162" s="1295"/>
      <c r="AI162" s="1295"/>
      <c r="AJ162" s="1295"/>
      <c r="AK162" s="1295"/>
      <c r="AL162" s="1295"/>
      <c r="AM162" s="1295"/>
      <c r="AN162" s="1295"/>
      <c r="AO162" s="1295"/>
      <c r="AP162" s="1295"/>
      <c r="AQ162" s="1295"/>
      <c r="AR162" s="1295"/>
      <c r="AS162" s="1295"/>
      <c r="AT162" s="1295"/>
      <c r="AU162" s="1295"/>
      <c r="AV162" s="1295"/>
      <c r="AW162" s="1295"/>
      <c r="AX162" s="1295"/>
      <c r="AY162" s="1295"/>
      <c r="AZ162" s="1289"/>
      <c r="BA162" s="1289"/>
      <c r="BB162" s="1289"/>
      <c r="BC162" s="1289"/>
      <c r="BD162" s="1289"/>
      <c r="BE162" s="1295"/>
      <c r="BF162" s="1295"/>
      <c r="BG162" s="1295"/>
      <c r="BH162" s="1295"/>
      <c r="BI162" s="1295"/>
    </row>
    <row r="163" spans="3:61" x14ac:dyDescent="0.3">
      <c r="C163" s="1288"/>
      <c r="D163" s="1288"/>
      <c r="E163" s="1288"/>
      <c r="F163" s="1288"/>
      <c r="G163" s="1288" t="s">
        <v>262</v>
      </c>
      <c r="H163" s="1288"/>
      <c r="I163" s="1288"/>
      <c r="J163" s="1295"/>
      <c r="K163" s="1295"/>
      <c r="L163" s="1295"/>
      <c r="M163" s="1295"/>
      <c r="N163" s="1295"/>
      <c r="O163" s="1295"/>
      <c r="P163" s="1295"/>
      <c r="Q163" s="1295"/>
      <c r="R163" s="1295"/>
      <c r="S163" s="1295"/>
      <c r="T163" s="1295"/>
      <c r="U163" s="1295"/>
      <c r="V163" s="1295"/>
      <c r="W163" s="1295"/>
      <c r="X163" s="1295"/>
      <c r="Y163" s="1295"/>
      <c r="Z163" s="1295"/>
      <c r="AA163" s="1295"/>
      <c r="AB163" s="1295"/>
      <c r="AC163" s="1295"/>
      <c r="AD163" s="1295"/>
      <c r="AE163" s="1295"/>
      <c r="AF163" s="1295"/>
      <c r="AG163" s="1295"/>
      <c r="AH163" s="1295"/>
      <c r="AI163" s="1295"/>
      <c r="AJ163" s="1295"/>
      <c r="AK163" s="1295"/>
      <c r="AL163" s="1295"/>
      <c r="AM163" s="1295"/>
      <c r="AN163" s="1295"/>
      <c r="AO163" s="1295"/>
      <c r="AP163" s="1295"/>
      <c r="AQ163" s="1295"/>
      <c r="AR163" s="1295"/>
      <c r="AS163" s="1295"/>
      <c r="AT163" s="1295"/>
      <c r="AU163" s="1295"/>
      <c r="AV163" s="1295"/>
      <c r="AW163" s="1295"/>
      <c r="AX163" s="1295"/>
      <c r="AY163" s="1295"/>
      <c r="AZ163" s="1289"/>
      <c r="BA163" s="1289"/>
      <c r="BB163" s="1289"/>
      <c r="BC163" s="1289"/>
      <c r="BD163" s="1289"/>
      <c r="BE163" s="1295"/>
      <c r="BF163" s="1295"/>
      <c r="BG163" s="1295"/>
      <c r="BH163" s="1295"/>
      <c r="BI163" s="1295"/>
    </row>
    <row r="164" spans="3:61" x14ac:dyDescent="0.3">
      <c r="C164" s="1288"/>
      <c r="D164" s="1288"/>
      <c r="E164" s="1288"/>
      <c r="F164" s="1288"/>
      <c r="G164" s="1288"/>
      <c r="H164" s="1288" t="s">
        <v>1142</v>
      </c>
      <c r="I164" s="1288"/>
      <c r="J164" s="1295">
        <v>4047.42</v>
      </c>
      <c r="K164" s="1295">
        <v>3415.74</v>
      </c>
      <c r="L164" s="1295">
        <v>2229.1799999999998</v>
      </c>
      <c r="M164" s="1295">
        <v>2047.79</v>
      </c>
      <c r="N164" s="1295">
        <v>2207.42</v>
      </c>
      <c r="O164" s="1295">
        <v>2094.29</v>
      </c>
      <c r="P164" s="1295">
        <v>2257.69</v>
      </c>
      <c r="Q164" s="1295">
        <v>2246.77</v>
      </c>
      <c r="R164" s="1295">
        <v>2063.8200000000002</v>
      </c>
      <c r="S164" s="1295">
        <v>2224.56</v>
      </c>
      <c r="T164" s="1295">
        <v>1976.56</v>
      </c>
      <c r="U164" s="1295">
        <v>2129.9299999999998</v>
      </c>
      <c r="V164" s="1295">
        <v>2129.9299999999998</v>
      </c>
      <c r="W164" s="1295">
        <v>740.83</v>
      </c>
      <c r="X164" s="1295">
        <v>740.83</v>
      </c>
      <c r="Y164" s="1295">
        <v>862.26</v>
      </c>
      <c r="Z164" s="1295">
        <v>919.6</v>
      </c>
      <c r="AA164" s="1295">
        <v>835.53</v>
      </c>
      <c r="AB164" s="1295">
        <v>890.53</v>
      </c>
      <c r="AC164" s="1295">
        <v>875.97</v>
      </c>
      <c r="AD164" s="1295">
        <v>795.08</v>
      </c>
      <c r="AE164" s="1295">
        <v>846.53</v>
      </c>
      <c r="AF164" s="1295">
        <v>767.8</v>
      </c>
      <c r="AG164" s="1295">
        <v>816.85</v>
      </c>
      <c r="AH164" s="1295">
        <v>2524.1999999999998</v>
      </c>
      <c r="AI164" s="1295">
        <v>2327.63</v>
      </c>
      <c r="AJ164" s="1295">
        <v>2375.2199999999998</v>
      </c>
      <c r="AK164" s="1295">
        <v>1026.49</v>
      </c>
      <c r="AL164" s="1295">
        <v>1102.53</v>
      </c>
      <c r="AM164" s="1295">
        <v>670.36</v>
      </c>
      <c r="AN164" s="1295">
        <v>710.86</v>
      </c>
      <c r="AO164" s="1295">
        <v>695.54</v>
      </c>
      <c r="AP164" s="1295">
        <v>815.67</v>
      </c>
      <c r="AQ164" s="1295">
        <v>861.27</v>
      </c>
      <c r="AR164" s="1295">
        <v>774.39</v>
      </c>
      <c r="AS164" s="1295">
        <v>816.32</v>
      </c>
      <c r="AT164" s="1295">
        <v>816.32</v>
      </c>
      <c r="AU164" s="1295">
        <v>771.02</v>
      </c>
      <c r="AV164" s="1295">
        <v>771.02</v>
      </c>
      <c r="AW164" s="1295">
        <f>AV164</f>
        <v>771.02</v>
      </c>
      <c r="AX164" s="1295">
        <v>771.02</v>
      </c>
      <c r="AY164" s="1295"/>
      <c r="AZ164" s="1289">
        <v>2083.33</v>
      </c>
      <c r="BA164" s="1289">
        <v>4166.66</v>
      </c>
      <c r="BB164" s="1289">
        <v>6249.99</v>
      </c>
      <c r="BC164" s="1289">
        <v>8399.69</v>
      </c>
      <c r="BD164" s="1289">
        <v>1855.22</v>
      </c>
      <c r="BE164" s="1295"/>
      <c r="BF164" s="1295"/>
      <c r="BG164" s="1295"/>
      <c r="BH164" s="1295"/>
      <c r="BI164" s="1295"/>
    </row>
    <row r="165" spans="3:61" x14ac:dyDescent="0.3">
      <c r="C165" s="1288"/>
      <c r="D165" s="1288"/>
      <c r="E165" s="1288"/>
      <c r="F165" s="1288"/>
      <c r="G165" s="1288"/>
      <c r="H165" s="1288" t="s">
        <v>1143</v>
      </c>
      <c r="I165" s="1288"/>
      <c r="J165" s="1295">
        <v>30000</v>
      </c>
      <c r="K165" s="1295">
        <v>30000</v>
      </c>
      <c r="L165" s="1295">
        <v>30000</v>
      </c>
      <c r="M165" s="1295">
        <v>30000</v>
      </c>
      <c r="N165" s="1295">
        <v>16500</v>
      </c>
      <c r="O165" s="1295">
        <v>16500</v>
      </c>
      <c r="P165" s="1295">
        <v>16500</v>
      </c>
      <c r="Q165" s="1295">
        <v>16500</v>
      </c>
      <c r="R165" s="1295">
        <v>16500</v>
      </c>
      <c r="S165" s="1295">
        <v>16500</v>
      </c>
      <c r="T165" s="1295">
        <v>5000</v>
      </c>
      <c r="U165" s="1295">
        <v>60000</v>
      </c>
      <c r="V165" s="1295">
        <v>60000</v>
      </c>
      <c r="W165" s="1295">
        <v>60000</v>
      </c>
      <c r="X165" s="1295">
        <v>0</v>
      </c>
      <c r="Y165" s="1295">
        <v>0</v>
      </c>
      <c r="Z165" s="1295">
        <v>0</v>
      </c>
      <c r="AA165" s="1295">
        <v>0</v>
      </c>
      <c r="AB165" s="1295">
        <v>0</v>
      </c>
      <c r="AC165" s="1295">
        <v>0</v>
      </c>
      <c r="AD165" s="1295">
        <v>0</v>
      </c>
      <c r="AE165" s="1295">
        <v>0</v>
      </c>
      <c r="AF165" s="1295">
        <v>0</v>
      </c>
      <c r="AG165" s="1295">
        <v>125000</v>
      </c>
      <c r="AH165" s="1295">
        <v>125000</v>
      </c>
      <c r="AI165" s="1295">
        <v>85000</v>
      </c>
      <c r="AJ165" s="1295">
        <v>5000</v>
      </c>
      <c r="AK165" s="1295">
        <v>5000</v>
      </c>
      <c r="AL165" s="1295">
        <v>5000</v>
      </c>
      <c r="AM165" s="1295">
        <v>15000</v>
      </c>
      <c r="AN165" s="1295">
        <v>760</v>
      </c>
      <c r="AO165" s="1295">
        <v>75000</v>
      </c>
      <c r="AP165" s="1295">
        <v>75000</v>
      </c>
      <c r="AQ165" s="1295">
        <v>75000</v>
      </c>
      <c r="AR165" s="1295">
        <v>110000</v>
      </c>
      <c r="AS165" s="1295">
        <v>155000</v>
      </c>
      <c r="AT165" s="1295">
        <v>155000</v>
      </c>
      <c r="AU165" s="1295">
        <v>80000</v>
      </c>
      <c r="AV165" s="1295">
        <v>0</v>
      </c>
      <c r="AW165" s="1295">
        <f>AV165</f>
        <v>0</v>
      </c>
      <c r="AX165" s="1295"/>
      <c r="AY165" s="1295"/>
      <c r="AZ165" s="1289">
        <v>65000</v>
      </c>
      <c r="BA165" s="1289">
        <v>65000</v>
      </c>
      <c r="BB165" s="1289">
        <v>65000</v>
      </c>
      <c r="BC165" s="1289">
        <v>80000</v>
      </c>
      <c r="BD165" s="1289">
        <v>110000</v>
      </c>
      <c r="BE165" s="1295"/>
      <c r="BF165" s="1295"/>
      <c r="BG165" s="1295"/>
      <c r="BH165" s="1295"/>
      <c r="BI165" s="1295"/>
    </row>
    <row r="166" spans="3:61" x14ac:dyDescent="0.3">
      <c r="C166" s="1288"/>
      <c r="D166" s="1288"/>
      <c r="E166" s="1288"/>
      <c r="F166" s="1288"/>
      <c r="G166" s="1288"/>
      <c r="H166" s="1288" t="s">
        <v>1144</v>
      </c>
      <c r="I166" s="1288"/>
      <c r="J166" s="1298">
        <v>44114.879999999997</v>
      </c>
      <c r="K166" s="1298">
        <v>44088.66</v>
      </c>
      <c r="L166" s="1298">
        <v>54165.86</v>
      </c>
      <c r="M166" s="1298">
        <v>70949.119999999995</v>
      </c>
      <c r="N166" s="1298">
        <v>24062.14</v>
      </c>
      <c r="O166" s="1298">
        <v>33759.300000000003</v>
      </c>
      <c r="P166" s="1298">
        <v>47593.51</v>
      </c>
      <c r="Q166" s="1298">
        <v>54441.16</v>
      </c>
      <c r="R166" s="1298">
        <v>64773.24</v>
      </c>
      <c r="S166" s="1298">
        <v>25322.07</v>
      </c>
      <c r="T166" s="1298">
        <v>29086.799999999999</v>
      </c>
      <c r="U166" s="1298">
        <v>42816.89</v>
      </c>
      <c r="V166" s="1298">
        <v>48744.25</v>
      </c>
      <c r="W166" s="1298">
        <v>49520.29</v>
      </c>
      <c r="X166" s="1298">
        <v>65658.31</v>
      </c>
      <c r="Y166" s="1298">
        <v>23364.19</v>
      </c>
      <c r="Z166" s="1298">
        <v>27608.01</v>
      </c>
      <c r="AA166" s="1298">
        <v>36231.660000000003</v>
      </c>
      <c r="AB166" s="1298">
        <v>49973.279999999999</v>
      </c>
      <c r="AC166" s="1298">
        <v>55831.3</v>
      </c>
      <c r="AD166" s="1298">
        <v>68150.600000000006</v>
      </c>
      <c r="AE166" s="1298">
        <v>24668.79</v>
      </c>
      <c r="AF166" s="1298">
        <v>35014</v>
      </c>
      <c r="AG166" s="1298">
        <v>52251.56</v>
      </c>
      <c r="AH166" s="1298">
        <v>53984.08</v>
      </c>
      <c r="AI166" s="1298">
        <v>55932.69</v>
      </c>
      <c r="AJ166" s="1298">
        <v>19683.599999999999</v>
      </c>
      <c r="AK166" s="1298">
        <v>24851.46</v>
      </c>
      <c r="AL166" s="1298">
        <v>34856.44</v>
      </c>
      <c r="AM166" s="1298">
        <v>44822.879999999997</v>
      </c>
      <c r="AN166" s="1298">
        <v>50248.44</v>
      </c>
      <c r="AO166" s="1298">
        <v>69019.600000000006</v>
      </c>
      <c r="AP166" s="1298">
        <v>26486.48</v>
      </c>
      <c r="AQ166" s="1298">
        <v>30768</v>
      </c>
      <c r="AR166" s="1298">
        <v>43022.49</v>
      </c>
      <c r="AS166" s="1298">
        <v>54423.78</v>
      </c>
      <c r="AT166" s="1298">
        <v>66080.66</v>
      </c>
      <c r="AU166" s="1298">
        <v>64477.72</v>
      </c>
      <c r="AV166" s="1298">
        <v>28024.5</v>
      </c>
      <c r="AW166" s="1298">
        <f>AV166</f>
        <v>28024.5</v>
      </c>
      <c r="AX166" s="1298"/>
      <c r="AY166" s="1298"/>
      <c r="AZ166" s="1289">
        <v>29874.98</v>
      </c>
      <c r="BA166" s="1289">
        <v>33026.160000000003</v>
      </c>
      <c r="BB166" s="1289">
        <v>50173</v>
      </c>
      <c r="BC166" s="1289">
        <v>58029</v>
      </c>
      <c r="BD166" s="1289">
        <v>69636</v>
      </c>
      <c r="BE166" s="1298"/>
      <c r="BF166" s="1298"/>
      <c r="BG166" s="1298"/>
      <c r="BH166" s="1298"/>
      <c r="BI166" s="1298"/>
    </row>
    <row r="167" spans="3:61" x14ac:dyDescent="0.3">
      <c r="C167" s="1288"/>
      <c r="D167" s="1288"/>
      <c r="E167" s="1288"/>
      <c r="F167" s="1288"/>
      <c r="G167" s="1288"/>
      <c r="H167" s="1288" t="s">
        <v>1145</v>
      </c>
      <c r="I167" s="1288"/>
      <c r="J167" s="1295">
        <v>16400</v>
      </c>
      <c r="K167" s="1295">
        <v>16400</v>
      </c>
      <c r="L167" s="1295">
        <v>16400</v>
      </c>
      <c r="M167" s="1295">
        <v>16400</v>
      </c>
      <c r="N167" s="1295">
        <v>16400</v>
      </c>
      <c r="O167" s="1295">
        <v>16400</v>
      </c>
      <c r="P167" s="1295">
        <v>16400</v>
      </c>
      <c r="Q167" s="1295">
        <v>16400</v>
      </c>
      <c r="R167" s="1295">
        <v>16400</v>
      </c>
      <c r="S167" s="1295">
        <v>16400</v>
      </c>
      <c r="T167" s="1295">
        <v>16400</v>
      </c>
      <c r="U167" s="1295">
        <v>0</v>
      </c>
      <c r="V167" s="1295">
        <v>0</v>
      </c>
      <c r="W167" s="1295">
        <v>0</v>
      </c>
      <c r="X167" s="1295">
        <v>0</v>
      </c>
      <c r="Y167" s="1295">
        <v>0</v>
      </c>
      <c r="Z167" s="1295">
        <v>0</v>
      </c>
      <c r="AA167" s="1295">
        <v>0</v>
      </c>
      <c r="AB167" s="1295">
        <v>0</v>
      </c>
      <c r="AC167" s="1295">
        <v>0</v>
      </c>
      <c r="AD167" s="1295">
        <v>0</v>
      </c>
      <c r="AE167" s="1295">
        <v>0</v>
      </c>
      <c r="AF167" s="1295">
        <v>0</v>
      </c>
      <c r="AG167" s="1295">
        <v>0</v>
      </c>
      <c r="AH167" s="1295">
        <v>0</v>
      </c>
      <c r="AI167" s="1295">
        <v>0</v>
      </c>
      <c r="AJ167" s="1295">
        <v>0</v>
      </c>
      <c r="AK167" s="1295">
        <v>0</v>
      </c>
      <c r="AL167" s="1295">
        <v>0</v>
      </c>
      <c r="AM167" s="1295">
        <v>0</v>
      </c>
      <c r="AN167" s="1295">
        <v>0</v>
      </c>
      <c r="AO167" s="1295">
        <v>0</v>
      </c>
      <c r="AP167" s="1295">
        <v>0</v>
      </c>
      <c r="AQ167" s="1295">
        <v>0</v>
      </c>
      <c r="AR167" s="1295">
        <v>0</v>
      </c>
      <c r="AS167" s="1295">
        <v>0</v>
      </c>
      <c r="AT167" s="1295"/>
      <c r="AU167" s="1295"/>
      <c r="AV167" s="1295"/>
      <c r="AW167" s="1295"/>
      <c r="AX167" s="1295"/>
      <c r="AY167" s="1295"/>
      <c r="AZ167" s="1289"/>
      <c r="BA167" s="1289"/>
      <c r="BB167" s="1289"/>
      <c r="BC167" s="1289"/>
      <c r="BD167" s="1289"/>
      <c r="BE167" s="1295"/>
      <c r="BF167" s="1295"/>
      <c r="BG167" s="1295"/>
      <c r="BH167" s="1295"/>
      <c r="BI167" s="1295"/>
    </row>
    <row r="168" spans="3:61" x14ac:dyDescent="0.3">
      <c r="C168" s="1288"/>
      <c r="D168" s="1288"/>
      <c r="E168" s="1288"/>
      <c r="F168" s="1288"/>
      <c r="G168" s="1288"/>
      <c r="H168" s="1288" t="s">
        <v>1146</v>
      </c>
      <c r="I168" s="1288"/>
      <c r="J168" s="1298">
        <v>-21907.71</v>
      </c>
      <c r="K168" s="1298">
        <v>-39086.71</v>
      </c>
      <c r="L168" s="1298">
        <v>0</v>
      </c>
      <c r="M168" s="1298">
        <v>18000</v>
      </c>
      <c r="N168" s="1298">
        <v>27000</v>
      </c>
      <c r="O168" s="1298">
        <v>23000</v>
      </c>
      <c r="P168" s="1298">
        <v>32000</v>
      </c>
      <c r="Q168" s="1298">
        <v>47000</v>
      </c>
      <c r="R168" s="1298">
        <v>36000</v>
      </c>
      <c r="S168" s="1298">
        <v>68000</v>
      </c>
      <c r="T168" s="1298">
        <v>38623.769999999997</v>
      </c>
      <c r="U168" s="1298">
        <v>0</v>
      </c>
      <c r="V168" s="1298">
        <v>77402.929999999993</v>
      </c>
      <c r="W168" s="1298">
        <v>0</v>
      </c>
      <c r="X168" s="1298">
        <v>85000</v>
      </c>
      <c r="Y168" s="1298">
        <v>37750.15</v>
      </c>
      <c r="Z168" s="1298">
        <v>73795.320000000007</v>
      </c>
      <c r="AA168" s="1298">
        <v>238500</v>
      </c>
      <c r="AB168" s="1298">
        <v>287481.40000000002</v>
      </c>
      <c r="AC168" s="1298">
        <v>297319.87</v>
      </c>
      <c r="AD168" s="1298">
        <v>410902.52</v>
      </c>
      <c r="AE168" s="1298">
        <v>164482.39000000001</v>
      </c>
      <c r="AF168" s="1298">
        <v>165672.28</v>
      </c>
      <c r="AG168" s="1298">
        <v>0</v>
      </c>
      <c r="AH168" s="1298">
        <v>104072.48</v>
      </c>
      <c r="AI168" s="1298">
        <v>136163.57999999999</v>
      </c>
      <c r="AJ168" s="1298">
        <v>85078.52</v>
      </c>
      <c r="AK168" s="1298">
        <v>62600.19</v>
      </c>
      <c r="AL168" s="1298">
        <v>28051.72</v>
      </c>
      <c r="AM168" s="1298">
        <v>65136</v>
      </c>
      <c r="AN168" s="1298">
        <v>44321</v>
      </c>
      <c r="AO168" s="1298">
        <v>234925.5</v>
      </c>
      <c r="AP168" s="1298">
        <v>141561.60999999999</v>
      </c>
      <c r="AQ168" s="1298">
        <v>140658.60999999999</v>
      </c>
      <c r="AR168" s="1298">
        <v>140093.60999999999</v>
      </c>
      <c r="AS168" s="1298">
        <v>54434.61</v>
      </c>
      <c r="AT168" s="1298">
        <v>41256.61</v>
      </c>
      <c r="AU168" s="1298">
        <v>45682.27</v>
      </c>
      <c r="AV168" s="1298">
        <v>13173</v>
      </c>
      <c r="AW168" s="1298">
        <f>AVERAGE(AV168,AX168)</f>
        <v>26721.465</v>
      </c>
      <c r="AX168" s="1298">
        <v>40269.93</v>
      </c>
      <c r="AY168" s="1298">
        <f>AX168</f>
        <v>40269.93</v>
      </c>
      <c r="AZ168" s="1289">
        <v>61833.93</v>
      </c>
      <c r="BA168" s="1289">
        <v>19979.29</v>
      </c>
      <c r="BB168" s="1289">
        <v>69225.5</v>
      </c>
      <c r="BC168" s="1289">
        <v>41680.5</v>
      </c>
      <c r="BD168" s="1289">
        <v>38613.32</v>
      </c>
      <c r="BE168" s="1298"/>
      <c r="BF168" s="1298"/>
      <c r="BG168" s="1298"/>
      <c r="BH168" s="1298"/>
      <c r="BI168" s="1298"/>
    </row>
    <row r="169" spans="3:61" x14ac:dyDescent="0.3">
      <c r="C169" s="1288"/>
      <c r="D169" s="1288"/>
      <c r="E169" s="1288"/>
      <c r="F169" s="1288"/>
      <c r="G169" s="1288"/>
      <c r="H169" s="1288" t="s">
        <v>1147</v>
      </c>
      <c r="I169" s="1288"/>
      <c r="J169" s="1295">
        <v>10930.03</v>
      </c>
      <c r="K169" s="1295">
        <v>12230.03</v>
      </c>
      <c r="L169" s="1295">
        <v>13530.03</v>
      </c>
      <c r="M169" s="1295">
        <v>14830.03</v>
      </c>
      <c r="N169" s="1295">
        <v>15830.03</v>
      </c>
      <c r="O169" s="1295">
        <v>16830.03</v>
      </c>
      <c r="P169" s="1295">
        <v>17830.03</v>
      </c>
      <c r="Q169" s="1295">
        <v>14700.03</v>
      </c>
      <c r="R169" s="1295">
        <v>15700.03</v>
      </c>
      <c r="S169" s="1295">
        <v>16700.03</v>
      </c>
      <c r="T169" s="1295">
        <v>17400.03</v>
      </c>
      <c r="U169" s="1295">
        <v>10000</v>
      </c>
      <c r="V169" s="1295">
        <v>10800</v>
      </c>
      <c r="W169" s="1295">
        <v>10360</v>
      </c>
      <c r="X169" s="1295">
        <v>-370</v>
      </c>
      <c r="Y169" s="1295">
        <v>430</v>
      </c>
      <c r="Z169" s="1295">
        <v>1230</v>
      </c>
      <c r="AA169" s="1295">
        <v>2030</v>
      </c>
      <c r="AB169" s="1295">
        <v>2830</v>
      </c>
      <c r="AC169" s="1295">
        <v>3630</v>
      </c>
      <c r="AD169" s="1295">
        <v>4430</v>
      </c>
      <c r="AE169" s="1295">
        <v>5230</v>
      </c>
      <c r="AF169" s="1295">
        <v>6030</v>
      </c>
      <c r="AG169" s="1295">
        <v>8030</v>
      </c>
      <c r="AH169" s="1295">
        <v>8830</v>
      </c>
      <c r="AI169" s="1295">
        <v>9630</v>
      </c>
      <c r="AJ169" s="1295">
        <v>1710</v>
      </c>
      <c r="AK169" s="1295">
        <v>2510</v>
      </c>
      <c r="AL169" s="1295">
        <v>3310</v>
      </c>
      <c r="AM169" s="1295">
        <v>4110</v>
      </c>
      <c r="AN169" s="1295">
        <v>4910</v>
      </c>
      <c r="AO169" s="1295">
        <v>5710</v>
      </c>
      <c r="AP169" s="1295">
        <v>6510</v>
      </c>
      <c r="AQ169" s="1295">
        <v>7310</v>
      </c>
      <c r="AR169" s="1295">
        <v>8110</v>
      </c>
      <c r="AS169" s="1295">
        <v>9710</v>
      </c>
      <c r="AT169" s="1295">
        <v>10510</v>
      </c>
      <c r="AU169" s="1295">
        <v>10345</v>
      </c>
      <c r="AV169" s="1295">
        <v>0</v>
      </c>
      <c r="AW169" s="1295"/>
      <c r="AX169" s="1295"/>
      <c r="AY169" s="1295"/>
      <c r="AZ169" s="1289">
        <v>12167.98</v>
      </c>
      <c r="BA169" s="1289">
        <v>1937.13</v>
      </c>
      <c r="BB169" s="1289">
        <v>3874.26</v>
      </c>
      <c r="BC169" s="1289"/>
      <c r="BD169" s="1289"/>
      <c r="BE169" s="1295"/>
      <c r="BF169" s="1295"/>
      <c r="BG169" s="1295"/>
      <c r="BH169" s="1295"/>
      <c r="BI169" s="1295"/>
    </row>
    <row r="170" spans="3:61" x14ac:dyDescent="0.3">
      <c r="C170" s="1288"/>
      <c r="D170" s="1288"/>
      <c r="E170" s="1288"/>
      <c r="F170" s="1288"/>
      <c r="G170" s="1288"/>
      <c r="H170" s="1288" t="s">
        <v>1148</v>
      </c>
      <c r="I170" s="1288"/>
      <c r="J170" s="1295">
        <v>29814.639999999999</v>
      </c>
      <c r="K170" s="1295">
        <v>18418.04</v>
      </c>
      <c r="L170" s="1295">
        <v>20758.52</v>
      </c>
      <c r="M170" s="1295">
        <v>23099</v>
      </c>
      <c r="N170" s="1295">
        <v>25439.48</v>
      </c>
      <c r="O170" s="1295">
        <v>14042.88</v>
      </c>
      <c r="P170" s="1295">
        <v>16383.36</v>
      </c>
      <c r="Q170" s="1295">
        <v>18723.84</v>
      </c>
      <c r="R170" s="1295">
        <v>21064.32</v>
      </c>
      <c r="S170" s="1295">
        <v>23404.799999999999</v>
      </c>
      <c r="T170" s="1295">
        <v>25745.279999999999</v>
      </c>
      <c r="U170" s="1295">
        <v>24932.38</v>
      </c>
      <c r="V170" s="1295">
        <v>14543.89</v>
      </c>
      <c r="W170" s="1295">
        <v>16621.59</v>
      </c>
      <c r="X170" s="1295">
        <v>18699.29</v>
      </c>
      <c r="Y170" s="1295">
        <v>20776.990000000002</v>
      </c>
      <c r="Z170" s="1295">
        <v>22854.69</v>
      </c>
      <c r="AA170" s="1295">
        <v>12466.2</v>
      </c>
      <c r="AB170" s="1295">
        <v>14543.9</v>
      </c>
      <c r="AC170" s="1295">
        <v>16621.599999999999</v>
      </c>
      <c r="AD170" s="1295">
        <v>18699.3</v>
      </c>
      <c r="AE170" s="1295">
        <v>20777</v>
      </c>
      <c r="AF170" s="1295">
        <v>22854.7</v>
      </c>
      <c r="AG170" s="1295">
        <v>24932.400000000001</v>
      </c>
      <c r="AH170" s="1295">
        <v>14129.65</v>
      </c>
      <c r="AI170" s="1295">
        <v>16290.19</v>
      </c>
      <c r="AJ170" s="1295">
        <v>18450.73</v>
      </c>
      <c r="AK170" s="1295">
        <v>20611.27</v>
      </c>
      <c r="AL170" s="1295">
        <v>22771.81</v>
      </c>
      <c r="AM170" s="1295">
        <v>24932.35</v>
      </c>
      <c r="AN170" s="1295">
        <v>14129.6</v>
      </c>
      <c r="AO170" s="1295">
        <v>16290.14</v>
      </c>
      <c r="AP170" s="1295">
        <v>18450.68</v>
      </c>
      <c r="AQ170" s="1295">
        <v>20611.22</v>
      </c>
      <c r="AR170" s="1295">
        <v>22771.759999999998</v>
      </c>
      <c r="AS170" s="1295">
        <v>24335.96</v>
      </c>
      <c r="AT170" s="1295">
        <v>14328.52</v>
      </c>
      <c r="AU170" s="1295">
        <v>16489.060000000001</v>
      </c>
      <c r="AV170" s="1295">
        <v>18649.599999999999</v>
      </c>
      <c r="AW170" s="1295">
        <f>AVERAGE(AV170,AX170)</f>
        <v>20810.14</v>
      </c>
      <c r="AX170" s="1295">
        <v>22970.68</v>
      </c>
      <c r="AY170" s="1295"/>
      <c r="AZ170" s="1289"/>
      <c r="BA170" s="1289"/>
      <c r="BB170" s="1289"/>
      <c r="BC170" s="1289">
        <v>5811.39</v>
      </c>
      <c r="BD170" s="1289">
        <v>7748.52</v>
      </c>
      <c r="BE170" s="1295"/>
      <c r="BF170" s="1295"/>
      <c r="BG170" s="1295"/>
      <c r="BH170" s="1295"/>
      <c r="BI170" s="1295"/>
    </row>
    <row r="171" spans="3:61" x14ac:dyDescent="0.3">
      <c r="C171" s="1288"/>
      <c r="D171" s="1288"/>
      <c r="E171" s="1288"/>
      <c r="F171" s="1288"/>
      <c r="G171" s="1288"/>
      <c r="H171" s="1288" t="s">
        <v>1149</v>
      </c>
      <c r="I171" s="1288"/>
      <c r="J171" s="1295">
        <v>0</v>
      </c>
      <c r="K171" s="1295">
        <v>0</v>
      </c>
      <c r="L171" s="1295">
        <v>0</v>
      </c>
      <c r="M171" s="1295">
        <v>0</v>
      </c>
      <c r="N171" s="1295">
        <v>0</v>
      </c>
      <c r="O171" s="1295">
        <v>0</v>
      </c>
      <c r="P171" s="1295">
        <v>0</v>
      </c>
      <c r="Q171" s="1295">
        <v>0</v>
      </c>
      <c r="R171" s="1295">
        <v>0</v>
      </c>
      <c r="S171" s="1295">
        <v>0</v>
      </c>
      <c r="T171" s="1295">
        <v>0</v>
      </c>
      <c r="U171" s="1295">
        <v>0</v>
      </c>
      <c r="V171" s="1295">
        <v>0</v>
      </c>
      <c r="W171" s="1295">
        <v>0</v>
      </c>
      <c r="X171" s="1295">
        <v>0</v>
      </c>
      <c r="Y171" s="1295">
        <v>0</v>
      </c>
      <c r="Z171" s="1295">
        <v>0</v>
      </c>
      <c r="AA171" s="1295">
        <v>0</v>
      </c>
      <c r="AB171" s="1295">
        <v>0</v>
      </c>
      <c r="AC171" s="1295">
        <v>0</v>
      </c>
      <c r="AD171" s="1295">
        <v>0</v>
      </c>
      <c r="AE171" s="1295">
        <v>0</v>
      </c>
      <c r="AF171" s="1295">
        <v>0</v>
      </c>
      <c r="AG171" s="1295">
        <v>0</v>
      </c>
      <c r="AH171" s="1295">
        <v>0</v>
      </c>
      <c r="AI171" s="1295">
        <v>0</v>
      </c>
      <c r="AJ171" s="1295">
        <v>0</v>
      </c>
      <c r="AK171" s="1295">
        <v>0</v>
      </c>
      <c r="AL171" s="1295">
        <v>0</v>
      </c>
      <c r="AM171" s="1295">
        <v>0</v>
      </c>
      <c r="AN171" s="1295">
        <v>0</v>
      </c>
      <c r="AO171" s="1295">
        <v>0</v>
      </c>
      <c r="AP171" s="1295">
        <v>0</v>
      </c>
      <c r="AQ171" s="1295">
        <v>0</v>
      </c>
      <c r="AR171" s="1295">
        <v>0</v>
      </c>
      <c r="AS171" s="1295">
        <v>65000</v>
      </c>
      <c r="AT171" s="1295">
        <v>65000</v>
      </c>
      <c r="AU171" s="1295">
        <v>65000</v>
      </c>
      <c r="AV171" s="1295">
        <v>0</v>
      </c>
      <c r="AW171" s="1295"/>
      <c r="AX171" s="1295"/>
      <c r="AY171" s="1295"/>
      <c r="AZ171" s="1289"/>
      <c r="BA171" s="1289"/>
      <c r="BB171" s="1289"/>
      <c r="BC171" s="1289"/>
      <c r="BD171" s="1289"/>
      <c r="BE171" s="1295"/>
      <c r="BF171" s="1295"/>
      <c r="BG171" s="1295"/>
      <c r="BH171" s="1295"/>
      <c r="BI171" s="1295"/>
    </row>
    <row r="172" spans="3:61" x14ac:dyDescent="0.3">
      <c r="C172" s="1288"/>
      <c r="D172" s="1288"/>
      <c r="E172" s="1288"/>
      <c r="F172" s="1288"/>
      <c r="G172" s="1288"/>
      <c r="H172" s="1288" t="s">
        <v>1303</v>
      </c>
      <c r="I172" s="1288"/>
      <c r="J172" s="1295"/>
      <c r="K172" s="1295"/>
      <c r="L172" s="1295"/>
      <c r="M172" s="1295"/>
      <c r="N172" s="1295"/>
      <c r="O172" s="1295"/>
      <c r="P172" s="1295"/>
      <c r="Q172" s="1295"/>
      <c r="R172" s="1295"/>
      <c r="S172" s="1295"/>
      <c r="T172" s="1295"/>
      <c r="U172" s="1295"/>
      <c r="V172" s="1295"/>
      <c r="W172" s="1295"/>
      <c r="X172" s="1295"/>
      <c r="Y172" s="1295"/>
      <c r="Z172" s="1295"/>
      <c r="AA172" s="1295"/>
      <c r="AB172" s="1295"/>
      <c r="AC172" s="1295"/>
      <c r="AD172" s="1295"/>
      <c r="AE172" s="1295"/>
      <c r="AF172" s="1295"/>
      <c r="AG172" s="1295"/>
      <c r="AH172" s="1295"/>
      <c r="AI172" s="1295"/>
      <c r="AJ172" s="1295"/>
      <c r="AK172" s="1295"/>
      <c r="AL172" s="1295"/>
      <c r="AM172" s="1295"/>
      <c r="AN172" s="1295"/>
      <c r="AO172" s="1295"/>
      <c r="AP172" s="1295"/>
      <c r="AQ172" s="1295"/>
      <c r="AR172" s="1295"/>
      <c r="AS172" s="1295"/>
      <c r="AT172" s="1295"/>
      <c r="AU172" s="1295"/>
      <c r="AV172" s="1295"/>
      <c r="AW172" s="1295"/>
      <c r="AX172" s="1295"/>
      <c r="AY172" s="1295"/>
      <c r="AZ172" s="1289">
        <v>314.73</v>
      </c>
      <c r="BA172" s="1289">
        <v>712.36</v>
      </c>
      <c r="BB172" s="1289">
        <v>1115.3699999999999</v>
      </c>
      <c r="BC172" s="1289">
        <v>1327.43</v>
      </c>
      <c r="BD172" s="1289">
        <v>1327.43</v>
      </c>
      <c r="BE172" s="1295"/>
      <c r="BF172" s="1295"/>
      <c r="BG172" s="1295"/>
      <c r="BH172" s="1295"/>
      <c r="BI172" s="1295"/>
    </row>
    <row r="173" spans="3:61" x14ac:dyDescent="0.3">
      <c r="C173" s="1288"/>
      <c r="D173" s="1288"/>
      <c r="E173" s="1288"/>
      <c r="F173" s="1288"/>
      <c r="G173" s="1288"/>
      <c r="H173" s="1288" t="s">
        <v>1150</v>
      </c>
      <c r="I173" s="1288"/>
      <c r="J173" s="1295">
        <v>0</v>
      </c>
      <c r="K173" s="1295">
        <v>0</v>
      </c>
      <c r="L173" s="1295">
        <v>0</v>
      </c>
      <c r="M173" s="1295">
        <v>0</v>
      </c>
      <c r="N173" s="1295">
        <v>0</v>
      </c>
      <c r="O173" s="1295">
        <v>0</v>
      </c>
      <c r="P173" s="1295">
        <v>0</v>
      </c>
      <c r="Q173" s="1295">
        <v>0</v>
      </c>
      <c r="R173" s="1295">
        <v>0</v>
      </c>
      <c r="S173" s="1295">
        <v>0</v>
      </c>
      <c r="T173" s="1295">
        <v>0</v>
      </c>
      <c r="U173" s="1295">
        <v>0</v>
      </c>
      <c r="V173" s="1295">
        <v>0</v>
      </c>
      <c r="W173" s="1295">
        <v>0</v>
      </c>
      <c r="X173" s="1295">
        <v>0</v>
      </c>
      <c r="Y173" s="1295">
        <v>0</v>
      </c>
      <c r="Z173" s="1295">
        <v>0</v>
      </c>
      <c r="AA173" s="1295">
        <v>0</v>
      </c>
      <c r="AB173" s="1295">
        <v>0</v>
      </c>
      <c r="AC173" s="1295">
        <v>0</v>
      </c>
      <c r="AD173" s="1295">
        <v>0</v>
      </c>
      <c r="AE173" s="1295">
        <v>0</v>
      </c>
      <c r="AF173" s="1295">
        <v>60.31</v>
      </c>
      <c r="AG173" s="1295">
        <v>125.01</v>
      </c>
      <c r="AH173" s="1295">
        <v>184.43</v>
      </c>
      <c r="AI173" s="1295">
        <v>209.43</v>
      </c>
      <c r="AJ173" s="1295">
        <v>242.83</v>
      </c>
      <c r="AK173" s="1295">
        <v>313.63</v>
      </c>
      <c r="AL173" s="1295">
        <v>391.39</v>
      </c>
      <c r="AM173" s="1295">
        <v>209.43</v>
      </c>
      <c r="AN173" s="1295">
        <v>209.43</v>
      </c>
      <c r="AO173" s="1295">
        <v>209.43</v>
      </c>
      <c r="AP173" s="1295">
        <v>209.43</v>
      </c>
      <c r="AQ173" s="1295">
        <v>209.43</v>
      </c>
      <c r="AR173" s="1295">
        <v>209.43</v>
      </c>
      <c r="AS173" s="1295">
        <v>0</v>
      </c>
      <c r="AT173" s="1295"/>
      <c r="AU173" s="1295"/>
      <c r="AV173" s="1295"/>
      <c r="AW173" s="1295"/>
      <c r="AX173" s="1295"/>
      <c r="AY173" s="1295"/>
      <c r="AZ173" s="1289"/>
      <c r="BA173" s="1289"/>
      <c r="BB173" s="1289"/>
      <c r="BC173" s="1289"/>
      <c r="BD173" s="1289"/>
      <c r="BE173" s="1295"/>
      <c r="BF173" s="1295"/>
      <c r="BG173" s="1295"/>
      <c r="BH173" s="1295"/>
      <c r="BI173" s="1295"/>
    </row>
    <row r="174" spans="3:61" ht="15" thickBot="1" x14ac:dyDescent="0.35">
      <c r="C174" s="1288"/>
      <c r="D174" s="1288"/>
      <c r="E174" s="1288"/>
      <c r="F174" s="1288"/>
      <c r="G174" s="1288"/>
      <c r="H174" s="1288" t="s">
        <v>1151</v>
      </c>
      <c r="I174" s="1288"/>
      <c r="J174" s="1296">
        <v>0</v>
      </c>
      <c r="K174" s="1296">
        <v>0</v>
      </c>
      <c r="L174" s="1296">
        <v>0</v>
      </c>
      <c r="M174" s="1296">
        <v>0</v>
      </c>
      <c r="N174" s="1296">
        <v>0</v>
      </c>
      <c r="O174" s="1296">
        <v>-11.07</v>
      </c>
      <c r="P174" s="1296">
        <v>0</v>
      </c>
      <c r="Q174" s="1296">
        <v>0</v>
      </c>
      <c r="R174" s="1296">
        <v>0</v>
      </c>
      <c r="S174" s="1296">
        <v>0</v>
      </c>
      <c r="T174" s="1296">
        <v>0</v>
      </c>
      <c r="U174" s="1296">
        <v>0</v>
      </c>
      <c r="V174" s="1296">
        <v>0</v>
      </c>
      <c r="W174" s="1296">
        <v>0</v>
      </c>
      <c r="X174" s="1296">
        <v>0</v>
      </c>
      <c r="Y174" s="1296">
        <v>0</v>
      </c>
      <c r="Z174" s="1296">
        <v>0</v>
      </c>
      <c r="AA174" s="1296">
        <v>0</v>
      </c>
      <c r="AB174" s="1296">
        <v>0</v>
      </c>
      <c r="AC174" s="1296">
        <v>0</v>
      </c>
      <c r="AD174" s="1296">
        <v>0</v>
      </c>
      <c r="AE174" s="1296">
        <v>0</v>
      </c>
      <c r="AF174" s="1296">
        <v>0</v>
      </c>
      <c r="AG174" s="1296">
        <v>0</v>
      </c>
      <c r="AH174" s="1296">
        <v>0</v>
      </c>
      <c r="AI174" s="1296">
        <v>0</v>
      </c>
      <c r="AJ174" s="1296">
        <v>0</v>
      </c>
      <c r="AK174" s="1296">
        <v>0</v>
      </c>
      <c r="AL174" s="1296">
        <v>0</v>
      </c>
      <c r="AM174" s="1296">
        <v>0</v>
      </c>
      <c r="AN174" s="1296">
        <v>0</v>
      </c>
      <c r="AO174" s="1296">
        <v>0</v>
      </c>
      <c r="AP174" s="1296">
        <v>0</v>
      </c>
      <c r="AQ174" s="1296">
        <v>0</v>
      </c>
      <c r="AR174" s="1296">
        <v>0</v>
      </c>
      <c r="AS174" s="1296">
        <v>0</v>
      </c>
      <c r="AT174" s="1296"/>
      <c r="AU174" s="1296"/>
      <c r="AV174" s="1296"/>
      <c r="AW174" s="1296"/>
      <c r="AX174" s="1296"/>
      <c r="AY174" s="1296"/>
      <c r="AZ174" s="1290"/>
      <c r="BA174" s="1290"/>
      <c r="BB174" s="1290"/>
      <c r="BC174" s="1290"/>
      <c r="BD174" s="1290"/>
      <c r="BE174" s="1296"/>
      <c r="BF174" s="1296"/>
      <c r="BG174" s="1296"/>
      <c r="BH174" s="1296"/>
      <c r="BI174" s="1296"/>
    </row>
    <row r="175" spans="3:61" x14ac:dyDescent="0.3">
      <c r="C175" s="1288"/>
      <c r="D175" s="1288"/>
      <c r="E175" s="1288"/>
      <c r="F175" s="1288"/>
      <c r="G175" s="1288" t="s">
        <v>1152</v>
      </c>
      <c r="H175" s="1288"/>
      <c r="I175" s="1288"/>
      <c r="J175" s="1295">
        <v>113399.26</v>
      </c>
      <c r="K175" s="1295">
        <v>85465.76</v>
      </c>
      <c r="L175" s="1295">
        <v>137083.59</v>
      </c>
      <c r="M175" s="1295">
        <v>175325.94</v>
      </c>
      <c r="N175" s="1295">
        <v>127439.07</v>
      </c>
      <c r="O175" s="1295">
        <v>122615.43</v>
      </c>
      <c r="P175" s="1295">
        <v>148964.59</v>
      </c>
      <c r="Q175" s="1295">
        <v>170011.8</v>
      </c>
      <c r="R175" s="1295">
        <v>172501.41</v>
      </c>
      <c r="S175" s="1295">
        <v>168551.46</v>
      </c>
      <c r="T175" s="1295">
        <v>134232.44</v>
      </c>
      <c r="U175" s="1295">
        <v>139879.20000000001</v>
      </c>
      <c r="V175" s="1295">
        <v>213621</v>
      </c>
      <c r="W175" s="1295">
        <v>137242.71</v>
      </c>
      <c r="X175" s="1295">
        <v>169728.43</v>
      </c>
      <c r="Y175" s="1295">
        <v>83183.59</v>
      </c>
      <c r="Z175" s="1295">
        <v>126407.62</v>
      </c>
      <c r="AA175" s="1295">
        <v>290063.39</v>
      </c>
      <c r="AB175" s="1295">
        <v>355719.11</v>
      </c>
      <c r="AC175" s="1295">
        <v>374278.74</v>
      </c>
      <c r="AD175" s="1295">
        <v>502977.5</v>
      </c>
      <c r="AE175" s="1295">
        <v>216004.71</v>
      </c>
      <c r="AF175" s="1295">
        <v>230399.09</v>
      </c>
      <c r="AG175" s="1295">
        <v>211155.82</v>
      </c>
      <c r="AH175" s="1295">
        <v>308724.84000000003</v>
      </c>
      <c r="AI175" s="1295">
        <v>305553.52</v>
      </c>
      <c r="AJ175" s="1295">
        <v>132540.9</v>
      </c>
      <c r="AK175" s="1295">
        <v>116913.04</v>
      </c>
      <c r="AL175" s="1295">
        <v>95483.89</v>
      </c>
      <c r="AM175" s="1295">
        <v>154881.01999999999</v>
      </c>
      <c r="AN175" s="1295">
        <v>115289.33</v>
      </c>
      <c r="AO175" s="1295">
        <v>401850.21</v>
      </c>
      <c r="AP175" s="1295">
        <v>269033.87</v>
      </c>
      <c r="AQ175" s="1295">
        <v>275418.53000000003</v>
      </c>
      <c r="AR175" s="1295">
        <v>324981.68</v>
      </c>
      <c r="AS175" s="1295">
        <v>363720.67</v>
      </c>
      <c r="AT175" s="1295">
        <f>ROUND(SUM(AT163:AT171),5)</f>
        <v>352992.11</v>
      </c>
      <c r="AU175" s="1295">
        <f>ROUND(SUM(AU163:AU171),5)</f>
        <v>282765.07</v>
      </c>
      <c r="AV175" s="1295">
        <f>ROUND(SUM(AV163:AV171),5)</f>
        <v>60618.12</v>
      </c>
      <c r="AW175" s="1295">
        <f>ROUND(SUM(AW163:AW171),5)</f>
        <v>76327.125</v>
      </c>
      <c r="AX175" s="1295">
        <f>ROUND(SUM(AX163:AX170),5)</f>
        <v>64011.63</v>
      </c>
      <c r="AY175" s="1295">
        <f>ROUND(SUM(AY163:AY170),5)</f>
        <v>40269.93</v>
      </c>
      <c r="AZ175" s="1289">
        <v>171274.95</v>
      </c>
      <c r="BA175" s="1289">
        <v>124821.6</v>
      </c>
      <c r="BB175" s="1289">
        <v>195638.12</v>
      </c>
      <c r="BC175" s="1289">
        <f>ROUND(SUM(BC163:BC172),5)</f>
        <v>195248.01</v>
      </c>
      <c r="BD175" s="1289">
        <f>ROUND(SUM(BD163:BD172),5)</f>
        <v>229180.49</v>
      </c>
      <c r="BE175" s="1295"/>
      <c r="BF175" s="1295"/>
      <c r="BG175" s="1295"/>
      <c r="BH175" s="1295"/>
      <c r="BI175" s="1295"/>
    </row>
    <row r="176" spans="3:61" x14ac:dyDescent="0.3">
      <c r="C176" s="1288"/>
      <c r="D176" s="1288"/>
      <c r="E176" s="1288"/>
      <c r="F176" s="1288"/>
      <c r="G176" s="1288" t="s">
        <v>1153</v>
      </c>
      <c r="H176" s="1288"/>
      <c r="I176" s="1288"/>
      <c r="J176" s="1295">
        <v>1290576.6000000001</v>
      </c>
      <c r="K176" s="1295">
        <v>1069147.6200000001</v>
      </c>
      <c r="L176" s="1295">
        <v>412274.82</v>
      </c>
      <c r="M176" s="1295">
        <v>326726.51</v>
      </c>
      <c r="N176" s="1295">
        <v>374413.13</v>
      </c>
      <c r="O176" s="1295">
        <v>331833.18</v>
      </c>
      <c r="P176" s="1295">
        <v>322548.15000000002</v>
      </c>
      <c r="Q176" s="1295">
        <v>307394.57</v>
      </c>
      <c r="R176" s="1295">
        <v>254591.27</v>
      </c>
      <c r="S176" s="1295">
        <v>265343.11</v>
      </c>
      <c r="T176" s="1295">
        <v>284169.06</v>
      </c>
      <c r="U176" s="1295">
        <v>0</v>
      </c>
      <c r="V176" s="1295">
        <v>0</v>
      </c>
      <c r="W176" s="1295">
        <v>0</v>
      </c>
      <c r="X176" s="1295">
        <v>0</v>
      </c>
      <c r="Y176" s="1295">
        <v>0</v>
      </c>
      <c r="Z176" s="1295">
        <v>0</v>
      </c>
      <c r="AA176" s="1295">
        <v>0</v>
      </c>
      <c r="AB176" s="1295">
        <v>0</v>
      </c>
      <c r="AC176" s="1295">
        <v>0</v>
      </c>
      <c r="AD176" s="1295">
        <v>0</v>
      </c>
      <c r="AE176" s="1295">
        <v>0</v>
      </c>
      <c r="AF176" s="1295">
        <v>0</v>
      </c>
      <c r="AG176" s="1295">
        <v>134249.70000000001</v>
      </c>
      <c r="AH176" s="1295">
        <v>574002.87</v>
      </c>
      <c r="AI176" s="1295">
        <v>417555.67</v>
      </c>
      <c r="AJ176" s="1295">
        <v>457109</v>
      </c>
      <c r="AK176" s="1295">
        <v>560574.36</v>
      </c>
      <c r="AL176" s="1295">
        <v>0</v>
      </c>
      <c r="AM176" s="1295">
        <v>0</v>
      </c>
      <c r="AN176" s="1295">
        <v>0</v>
      </c>
      <c r="AO176" s="1295">
        <v>0</v>
      </c>
      <c r="AP176" s="1295">
        <v>0</v>
      </c>
      <c r="AQ176" s="1295">
        <v>0</v>
      </c>
      <c r="AR176" s="1295">
        <v>0</v>
      </c>
      <c r="AS176" s="1295">
        <v>0</v>
      </c>
      <c r="AT176" s="1295"/>
      <c r="AU176" s="1295"/>
      <c r="AV176" s="1295"/>
      <c r="AW176" s="1295"/>
      <c r="AX176" s="1295"/>
      <c r="AY176" s="1295"/>
      <c r="AZ176" s="1289"/>
      <c r="BA176" s="1289"/>
      <c r="BB176" s="1289"/>
      <c r="BC176" s="1289"/>
      <c r="BD176" s="1289"/>
      <c r="BE176" s="1295"/>
      <c r="BF176" s="1295"/>
      <c r="BG176" s="1295"/>
      <c r="BH176" s="1295"/>
      <c r="BI176" s="1295"/>
    </row>
    <row r="177" spans="3:61" x14ac:dyDescent="0.3">
      <c r="C177" s="1288"/>
      <c r="D177" s="1288"/>
      <c r="E177" s="1288"/>
      <c r="F177" s="1288"/>
      <c r="G177" s="1288" t="s">
        <v>1154</v>
      </c>
      <c r="H177" s="1288"/>
      <c r="I177" s="1288"/>
      <c r="J177" s="1295">
        <v>34.909999999999997</v>
      </c>
      <c r="K177" s="1295">
        <v>1376.53</v>
      </c>
      <c r="L177" s="1295">
        <v>1371.86</v>
      </c>
      <c r="M177" s="1295">
        <v>1374.28</v>
      </c>
      <c r="N177" s="1295">
        <v>1397.85</v>
      </c>
      <c r="O177" s="1295">
        <v>83.49</v>
      </c>
      <c r="P177" s="1295">
        <v>0</v>
      </c>
      <c r="Q177" s="1295">
        <v>75.41</v>
      </c>
      <c r="R177" s="1295">
        <v>174.5</v>
      </c>
      <c r="S177" s="1295">
        <v>50.53</v>
      </c>
      <c r="T177" s="1295">
        <v>50.53</v>
      </c>
      <c r="U177" s="1295">
        <v>0</v>
      </c>
      <c r="V177" s="1295">
        <v>1718.33</v>
      </c>
      <c r="W177" s="1295">
        <v>14.79</v>
      </c>
      <c r="X177" s="1295">
        <v>551.80999999999995</v>
      </c>
      <c r="Y177" s="1295">
        <v>884.62</v>
      </c>
      <c r="Z177" s="1295">
        <v>181.79</v>
      </c>
      <c r="AA177" s="1295">
        <v>193.58</v>
      </c>
      <c r="AB177" s="1295">
        <v>187.67</v>
      </c>
      <c r="AC177" s="1295">
        <v>213.3</v>
      </c>
      <c r="AD177" s="1295">
        <v>182.03</v>
      </c>
      <c r="AE177" s="1295">
        <v>308.45999999999998</v>
      </c>
      <c r="AF177" s="1295">
        <v>1019.26</v>
      </c>
      <c r="AG177" s="1295">
        <v>0</v>
      </c>
      <c r="AH177" s="1295">
        <v>543.69000000000005</v>
      </c>
      <c r="AI177" s="1295">
        <v>36.6</v>
      </c>
      <c r="AJ177" s="1295">
        <v>0.27</v>
      </c>
      <c r="AK177" s="1295">
        <v>0.27</v>
      </c>
      <c r="AL177" s="1295">
        <v>0.27</v>
      </c>
      <c r="AM177" s="1295">
        <v>11.31</v>
      </c>
      <c r="AN177" s="1295">
        <v>11.31</v>
      </c>
      <c r="AO177" s="1295">
        <v>11.31</v>
      </c>
      <c r="AP177" s="1295">
        <v>26.54</v>
      </c>
      <c r="AQ177" s="1295">
        <v>30.64</v>
      </c>
      <c r="AR177" s="1295">
        <v>901.57</v>
      </c>
      <c r="AS177" s="1295">
        <v>55.83</v>
      </c>
      <c r="AT177" s="1295">
        <v>2.85</v>
      </c>
      <c r="AU177" s="1295">
        <v>0.02</v>
      </c>
      <c r="AV177" s="1295">
        <v>223.83</v>
      </c>
      <c r="AW177" s="1295">
        <f>AV177</f>
        <v>223.83</v>
      </c>
      <c r="AX177" s="1295">
        <v>209.14</v>
      </c>
      <c r="AY177" s="1295"/>
      <c r="AZ177" s="1289">
        <v>1215</v>
      </c>
      <c r="BA177" s="1289">
        <v>1522.41</v>
      </c>
      <c r="BB177" s="1289">
        <v>1295.45</v>
      </c>
      <c r="BC177" s="1289">
        <v>1295.45</v>
      </c>
      <c r="BD177" s="1289">
        <v>3894.16</v>
      </c>
      <c r="BE177" s="1295"/>
      <c r="BF177" s="1295"/>
      <c r="BG177" s="1295"/>
      <c r="BH177" s="1295"/>
      <c r="BI177" s="1295"/>
    </row>
    <row r="178" spans="3:61" x14ac:dyDescent="0.3">
      <c r="C178" s="1288"/>
      <c r="D178" s="1288"/>
      <c r="E178" s="1288"/>
      <c r="F178" s="1288"/>
      <c r="G178" s="1288" t="s">
        <v>1155</v>
      </c>
      <c r="H178" s="1288"/>
      <c r="I178" s="1288"/>
      <c r="J178" s="1298">
        <v>581996.61</v>
      </c>
      <c r="K178" s="1298">
        <v>481318.98</v>
      </c>
      <c r="L178" s="1298">
        <v>456733.6</v>
      </c>
      <c r="M178" s="1298">
        <v>373435.7</v>
      </c>
      <c r="N178" s="1298">
        <v>329218.64</v>
      </c>
      <c r="O178" s="1298">
        <v>410460.73</v>
      </c>
      <c r="P178" s="1298">
        <v>523867.34</v>
      </c>
      <c r="Q178" s="1298">
        <v>591332.18999999994</v>
      </c>
      <c r="R178" s="1298">
        <v>720865.03</v>
      </c>
      <c r="S178" s="1298">
        <v>644864.34</v>
      </c>
      <c r="T178" s="1298">
        <v>658206.39</v>
      </c>
      <c r="U178" s="1298">
        <v>581499.19999999995</v>
      </c>
      <c r="V178" s="1298">
        <v>1158537.43</v>
      </c>
      <c r="W178" s="1298">
        <v>1116869.52</v>
      </c>
      <c r="X178" s="1298">
        <v>1225323.5900000001</v>
      </c>
      <c r="Y178" s="1298">
        <v>1243498.79</v>
      </c>
      <c r="Z178" s="1298">
        <v>1155772.69</v>
      </c>
      <c r="AA178" s="1298">
        <v>1286612.74</v>
      </c>
      <c r="AB178" s="1298">
        <v>1289398.21</v>
      </c>
      <c r="AC178" s="1298">
        <v>1078515.9099999999</v>
      </c>
      <c r="AD178" s="1298">
        <v>1687793.51</v>
      </c>
      <c r="AE178" s="1298">
        <v>1684891.44</v>
      </c>
      <c r="AF178" s="1298">
        <v>1667003.91</v>
      </c>
      <c r="AG178" s="1298">
        <v>852736.81</v>
      </c>
      <c r="AH178" s="1298">
        <v>890963.31</v>
      </c>
      <c r="AI178" s="1298">
        <v>744507.93</v>
      </c>
      <c r="AJ178" s="1298">
        <v>924480.93</v>
      </c>
      <c r="AK178" s="1298">
        <v>686167.37</v>
      </c>
      <c r="AL178" s="1298">
        <v>569372.85</v>
      </c>
      <c r="AM178" s="1298">
        <v>1298397.47</v>
      </c>
      <c r="AN178" s="1298">
        <v>1610556.35</v>
      </c>
      <c r="AO178" s="1298">
        <v>1194204.29</v>
      </c>
      <c r="AP178" s="1298">
        <v>1270833.55</v>
      </c>
      <c r="AQ178" s="1298">
        <v>1296057.31</v>
      </c>
      <c r="AR178" s="1298">
        <v>1169644.3600000001</v>
      </c>
      <c r="AS178" s="1298">
        <v>738165.44</v>
      </c>
      <c r="AT178" s="1298">
        <v>609068.06999999995</v>
      </c>
      <c r="AU178" s="1298">
        <v>481351.69</v>
      </c>
      <c r="AV178" s="1298">
        <v>624899.28</v>
      </c>
      <c r="AW178" s="1298">
        <f>AVERAGE(AV178,AX178)</f>
        <v>587456.95500000007</v>
      </c>
      <c r="AX178" s="1298">
        <v>550014.63</v>
      </c>
      <c r="AY178" s="1298">
        <f>AX178</f>
        <v>550014.63</v>
      </c>
      <c r="AZ178" s="1289">
        <v>690498.18</v>
      </c>
      <c r="BA178" s="1289">
        <v>708473.9</v>
      </c>
      <c r="BB178" s="1289">
        <v>780623.1</v>
      </c>
      <c r="BC178" s="1289">
        <v>582423.38</v>
      </c>
      <c r="BD178" s="1289">
        <v>747573.05</v>
      </c>
      <c r="BE178" s="1298"/>
      <c r="BF178" s="1298"/>
      <c r="BG178" s="1298"/>
      <c r="BH178" s="1298"/>
      <c r="BI178" s="1298"/>
    </row>
    <row r="179" spans="3:61" x14ac:dyDescent="0.3">
      <c r="C179" s="1288"/>
      <c r="D179" s="1288"/>
      <c r="E179" s="1288"/>
      <c r="F179" s="1288"/>
      <c r="G179" s="1288" t="s">
        <v>1156</v>
      </c>
      <c r="H179" s="1288"/>
      <c r="I179" s="1288"/>
      <c r="J179" s="1298">
        <v>888.68</v>
      </c>
      <c r="K179" s="1298">
        <v>888.68</v>
      </c>
      <c r="L179" s="1298">
        <v>6289.21</v>
      </c>
      <c r="M179" s="1298">
        <v>6289.21</v>
      </c>
      <c r="N179" s="1298">
        <v>6349.5</v>
      </c>
      <c r="O179" s="1298">
        <v>533.12</v>
      </c>
      <c r="P179" s="1298">
        <v>533.12</v>
      </c>
      <c r="Q179" s="1298">
        <v>0</v>
      </c>
      <c r="R179" s="1298">
        <v>1378</v>
      </c>
      <c r="S179" s="1298">
        <v>2196.58</v>
      </c>
      <c r="T179" s="1298">
        <v>25632.16</v>
      </c>
      <c r="U179" s="1298">
        <v>0</v>
      </c>
      <c r="V179" s="1298">
        <v>23964.799999999999</v>
      </c>
      <c r="W179" s="1298">
        <v>23964.799999999999</v>
      </c>
      <c r="X179" s="1298">
        <v>23964.799999999999</v>
      </c>
      <c r="Y179" s="1298">
        <v>23964.799999999999</v>
      </c>
      <c r="Z179" s="1298">
        <v>23964.799999999999</v>
      </c>
      <c r="AA179" s="1298">
        <v>23964.799999999999</v>
      </c>
      <c r="AB179" s="1298">
        <v>23964.799999999999</v>
      </c>
      <c r="AC179" s="1298">
        <v>23964.799999999999</v>
      </c>
      <c r="AD179" s="1298">
        <v>23964.799999999999</v>
      </c>
      <c r="AE179" s="1298">
        <v>23964.799999999999</v>
      </c>
      <c r="AF179" s="1298">
        <v>25335.64</v>
      </c>
      <c r="AG179" s="1298">
        <v>0</v>
      </c>
      <c r="AH179" s="1298">
        <v>0</v>
      </c>
      <c r="AI179" s="1298">
        <v>0</v>
      </c>
      <c r="AJ179" s="1298">
        <v>74.59</v>
      </c>
      <c r="AK179" s="1298">
        <v>74.59</v>
      </c>
      <c r="AL179" s="1298">
        <v>74.59</v>
      </c>
      <c r="AM179" s="1298">
        <v>74.59</v>
      </c>
      <c r="AN179" s="1298">
        <v>50588.38</v>
      </c>
      <c r="AO179" s="1298">
        <v>51257.38</v>
      </c>
      <c r="AP179" s="1298">
        <v>51257.38</v>
      </c>
      <c r="AQ179" s="1298">
        <v>51939.81</v>
      </c>
      <c r="AR179" s="1298">
        <v>52039.81</v>
      </c>
      <c r="AS179" s="1298">
        <v>0</v>
      </c>
      <c r="AT179" s="1298">
        <v>51939.81</v>
      </c>
      <c r="AU179" s="1298">
        <v>53947.41</v>
      </c>
      <c r="AV179" s="1298">
        <v>2007.6</v>
      </c>
      <c r="AW179" s="1298">
        <f>AVERAGE(AV179,AX179)</f>
        <v>4879.3900000000003</v>
      </c>
      <c r="AX179" s="1298">
        <v>7751.18</v>
      </c>
      <c r="AY179" s="1298"/>
      <c r="AZ179" s="1289"/>
      <c r="BA179" s="1289"/>
      <c r="BB179" s="1289"/>
      <c r="BC179" s="1289"/>
      <c r="BD179" s="1289"/>
      <c r="BE179" s="1298"/>
      <c r="BF179" s="1298"/>
      <c r="BG179" s="1298"/>
      <c r="BH179" s="1298"/>
      <c r="BI179" s="1298"/>
    </row>
    <row r="180" spans="3:61" ht="15" thickBot="1" x14ac:dyDescent="0.35">
      <c r="C180" s="1288"/>
      <c r="D180" s="1288"/>
      <c r="E180" s="1288"/>
      <c r="F180" s="1288"/>
      <c r="G180" s="1288" t="s">
        <v>1157</v>
      </c>
      <c r="H180" s="1288"/>
      <c r="I180" s="1288"/>
      <c r="J180" s="1295">
        <v>0</v>
      </c>
      <c r="K180" s="1295">
        <v>0</v>
      </c>
      <c r="L180" s="1295">
        <v>2302</v>
      </c>
      <c r="M180" s="1295">
        <v>2302</v>
      </c>
      <c r="N180" s="1295">
        <v>2302</v>
      </c>
      <c r="O180" s="1295">
        <v>2302</v>
      </c>
      <c r="P180" s="1295">
        <v>-1974.71</v>
      </c>
      <c r="Q180" s="1295">
        <v>-1974.71</v>
      </c>
      <c r="R180" s="1295">
        <v>-1974.71</v>
      </c>
      <c r="S180" s="1295">
        <v>-2220.71</v>
      </c>
      <c r="T180" s="1295">
        <v>-2220.71</v>
      </c>
      <c r="U180" s="1295">
        <v>0</v>
      </c>
      <c r="V180" s="1295">
        <v>-2504.85</v>
      </c>
      <c r="W180" s="1295">
        <v>-2504.85</v>
      </c>
      <c r="X180" s="1295">
        <v>-2504.85</v>
      </c>
      <c r="Y180" s="1295">
        <v>-2504.85</v>
      </c>
      <c r="Z180" s="1295">
        <v>-2504.85</v>
      </c>
      <c r="AA180" s="1295">
        <v>-7322.99</v>
      </c>
      <c r="AB180" s="1295">
        <v>-7560.99</v>
      </c>
      <c r="AC180" s="1295">
        <v>-7560.99</v>
      </c>
      <c r="AD180" s="1295">
        <v>-7560.99</v>
      </c>
      <c r="AE180" s="1295">
        <v>-7560.99</v>
      </c>
      <c r="AF180" s="1295">
        <v>-7798.99</v>
      </c>
      <c r="AG180" s="1295">
        <v>0</v>
      </c>
      <c r="AH180" s="1295">
        <v>-12911.18</v>
      </c>
      <c r="AI180" s="1295">
        <v>-12911.18</v>
      </c>
      <c r="AJ180" s="1295">
        <v>-12911.18</v>
      </c>
      <c r="AK180" s="1295">
        <v>-13139.18</v>
      </c>
      <c r="AL180" s="1295">
        <v>-13139.18</v>
      </c>
      <c r="AM180" s="1295">
        <v>-18013.37</v>
      </c>
      <c r="AN180" s="1295">
        <v>-18251.37</v>
      </c>
      <c r="AO180" s="1295">
        <v>-18251.37</v>
      </c>
      <c r="AP180" s="1295">
        <v>-18251.37</v>
      </c>
      <c r="AQ180" s="1295">
        <v>-18251.37</v>
      </c>
      <c r="AR180" s="1295">
        <v>-18489.37</v>
      </c>
      <c r="AS180" s="1295">
        <v>0</v>
      </c>
      <c r="AT180" s="1295">
        <v>-23932.43</v>
      </c>
      <c r="AU180" s="1295">
        <v>-23932.43</v>
      </c>
      <c r="AV180" s="1295">
        <v>-31432.43</v>
      </c>
      <c r="AW180" s="1295">
        <f>AV180</f>
        <v>-31432.43</v>
      </c>
      <c r="AX180" s="1295">
        <v>-31432.43</v>
      </c>
      <c r="AY180" s="1295"/>
      <c r="AZ180" s="1289"/>
      <c r="BA180" s="1289"/>
      <c r="BB180" s="1289"/>
      <c r="BC180" s="1289"/>
      <c r="BD180" s="1289"/>
      <c r="BE180" s="1295"/>
      <c r="BF180" s="1295"/>
      <c r="BG180" s="1295"/>
      <c r="BH180" s="1295"/>
      <c r="BI180" s="1295"/>
    </row>
    <row r="181" spans="3:61" ht="15" thickBot="1" x14ac:dyDescent="0.35">
      <c r="C181" s="1288"/>
      <c r="D181" s="1288"/>
      <c r="E181" s="1288"/>
      <c r="F181" s="1288" t="s">
        <v>1158</v>
      </c>
      <c r="G181" s="1288"/>
      <c r="H181" s="1288"/>
      <c r="I181" s="1288"/>
      <c r="J181" s="1299">
        <v>1986896.06</v>
      </c>
      <c r="K181" s="1299">
        <v>1638197.57</v>
      </c>
      <c r="L181" s="1299">
        <v>1016055.08</v>
      </c>
      <c r="M181" s="1299">
        <v>885453.64</v>
      </c>
      <c r="N181" s="1299">
        <v>841120.19</v>
      </c>
      <c r="O181" s="1299">
        <v>867827.95</v>
      </c>
      <c r="P181" s="1299">
        <v>993938.49</v>
      </c>
      <c r="Q181" s="1299">
        <v>1066839.26</v>
      </c>
      <c r="R181" s="1299">
        <v>1147535.5</v>
      </c>
      <c r="S181" s="1299">
        <v>1078785.31</v>
      </c>
      <c r="T181" s="1299">
        <v>1100069.8700000001</v>
      </c>
      <c r="U181" s="1299">
        <v>721378.4</v>
      </c>
      <c r="V181" s="1299">
        <v>1395336.71</v>
      </c>
      <c r="W181" s="1299">
        <v>1275586.97</v>
      </c>
      <c r="X181" s="1299">
        <v>1417063.78</v>
      </c>
      <c r="Y181" s="1299">
        <v>1349026.95</v>
      </c>
      <c r="Z181" s="1299">
        <v>1303822.05</v>
      </c>
      <c r="AA181" s="1299">
        <v>1593511.52</v>
      </c>
      <c r="AB181" s="1299">
        <v>1661708.8</v>
      </c>
      <c r="AC181" s="1299">
        <v>1469411.76</v>
      </c>
      <c r="AD181" s="1299">
        <v>2207356.85</v>
      </c>
      <c r="AE181" s="1299">
        <v>1917608.42</v>
      </c>
      <c r="AF181" s="1299">
        <v>1915958.91</v>
      </c>
      <c r="AG181" s="1299">
        <v>1198142.33</v>
      </c>
      <c r="AH181" s="1299">
        <v>1761323.53</v>
      </c>
      <c r="AI181" s="1299">
        <v>1454742.54</v>
      </c>
      <c r="AJ181" s="1299">
        <v>1501294.51</v>
      </c>
      <c r="AK181" s="1299">
        <v>1350590.45</v>
      </c>
      <c r="AL181" s="1299">
        <v>651792.42000000004</v>
      </c>
      <c r="AM181" s="1299">
        <v>1435351.02</v>
      </c>
      <c r="AN181" s="1299">
        <v>1758194</v>
      </c>
      <c r="AO181" s="1299">
        <v>1629071.82</v>
      </c>
      <c r="AP181" s="1299">
        <v>1572899.97</v>
      </c>
      <c r="AQ181" s="1299">
        <v>1605194.92</v>
      </c>
      <c r="AR181" s="1299">
        <v>1529078.05</v>
      </c>
      <c r="AS181" s="1299">
        <v>1101941.94</v>
      </c>
      <c r="AT181" s="1299">
        <f t="shared" ref="AT181:BB181" si="42">ROUND(AT162+SUM(AT175:AT180),5)</f>
        <v>990070.41</v>
      </c>
      <c r="AU181" s="1299">
        <f t="shared" si="42"/>
        <v>794131.76</v>
      </c>
      <c r="AV181" s="1299">
        <f t="shared" si="42"/>
        <v>656316.4</v>
      </c>
      <c r="AW181" s="1299">
        <f t="shared" si="42"/>
        <v>637454.87</v>
      </c>
      <c r="AX181" s="1299">
        <f t="shared" si="42"/>
        <v>590554.15</v>
      </c>
      <c r="AY181" s="1299">
        <f t="shared" si="42"/>
        <v>590284.56000000006</v>
      </c>
      <c r="AZ181" s="1299">
        <f t="shared" si="42"/>
        <v>862988.13</v>
      </c>
      <c r="BA181" s="1299">
        <f t="shared" si="42"/>
        <v>834817.91</v>
      </c>
      <c r="BB181" s="1299">
        <f t="shared" si="42"/>
        <v>977556.67</v>
      </c>
      <c r="BC181" s="1291">
        <f>ROUND(BC162+SUM(BC175:BC178),5)</f>
        <v>778966.84</v>
      </c>
      <c r="BD181" s="1291">
        <f>ROUND(BD162+SUM(BD175:BD178),5)</f>
        <v>980647.7</v>
      </c>
      <c r="BE181" s="1299"/>
      <c r="BF181" s="1299"/>
      <c r="BG181" s="1299"/>
      <c r="BH181" s="1299"/>
      <c r="BI181" s="1299"/>
    </row>
    <row r="182" spans="3:61" x14ac:dyDescent="0.3">
      <c r="C182" s="1288"/>
      <c r="D182" s="1288"/>
      <c r="E182" s="1288" t="s">
        <v>706</v>
      </c>
      <c r="F182" s="1288"/>
      <c r="G182" s="1288"/>
      <c r="H182" s="1288"/>
      <c r="I182" s="1288"/>
      <c r="J182" s="1295">
        <v>2406732.2999999998</v>
      </c>
      <c r="K182" s="1295">
        <v>2062550.28</v>
      </c>
      <c r="L182" s="1295">
        <v>1389644.56</v>
      </c>
      <c r="M182" s="1295">
        <v>1116203.46</v>
      </c>
      <c r="N182" s="1295">
        <v>1133066.8400000001</v>
      </c>
      <c r="O182" s="1295">
        <v>1204744.3400000001</v>
      </c>
      <c r="P182" s="1295">
        <v>1332057.3799999999</v>
      </c>
      <c r="Q182" s="1295">
        <v>1472258.24</v>
      </c>
      <c r="R182" s="1295">
        <v>1510527.84</v>
      </c>
      <c r="S182" s="1295">
        <v>1398021.46</v>
      </c>
      <c r="T182" s="1295">
        <v>1493403.62</v>
      </c>
      <c r="U182" s="1295">
        <v>1141223.42</v>
      </c>
      <c r="V182" s="1295">
        <v>1655085.84</v>
      </c>
      <c r="W182" s="1295">
        <v>1648923.53</v>
      </c>
      <c r="X182" s="1295">
        <v>1799042.88</v>
      </c>
      <c r="Y182" s="1295">
        <v>1866940.21</v>
      </c>
      <c r="Z182" s="1295">
        <v>1725595.58</v>
      </c>
      <c r="AA182" s="1295">
        <v>2093809.6</v>
      </c>
      <c r="AB182" s="1295">
        <v>2074375.46</v>
      </c>
      <c r="AC182" s="1295">
        <v>2104671.69</v>
      </c>
      <c r="AD182" s="1295">
        <v>2499847.02</v>
      </c>
      <c r="AE182" s="1295">
        <v>2497568.9500000002</v>
      </c>
      <c r="AF182" s="1295">
        <v>2541290.2000000002</v>
      </c>
      <c r="AG182" s="1295">
        <v>1911151.23</v>
      </c>
      <c r="AH182" s="1295">
        <v>2181098.31</v>
      </c>
      <c r="AI182" s="1295">
        <v>1905532.68</v>
      </c>
      <c r="AJ182" s="1295">
        <v>1930444.32</v>
      </c>
      <c r="AK182" s="1295">
        <v>1832186.4</v>
      </c>
      <c r="AL182" s="1295">
        <v>1131387.0900000001</v>
      </c>
      <c r="AM182" s="1295">
        <v>1814965.04</v>
      </c>
      <c r="AN182" s="1295">
        <v>2115339.83</v>
      </c>
      <c r="AO182" s="1295">
        <v>2054075.77</v>
      </c>
      <c r="AP182" s="1295">
        <v>2012916.77</v>
      </c>
      <c r="AQ182" s="1295">
        <v>2144389.4900000002</v>
      </c>
      <c r="AR182" s="1295">
        <v>2016753.41</v>
      </c>
      <c r="AS182" s="1295">
        <v>1660273.71</v>
      </c>
      <c r="AT182" s="1295">
        <f t="shared" ref="AT182:AY182" si="43">ROUND(AT158+AT161+AT181,5)</f>
        <v>1443715.42</v>
      </c>
      <c r="AU182" s="1295">
        <f t="shared" si="43"/>
        <v>1383803.04</v>
      </c>
      <c r="AV182" s="1295">
        <f t="shared" si="43"/>
        <v>1112316.1100000001</v>
      </c>
      <c r="AW182" s="1295">
        <f t="shared" si="43"/>
        <v>1120787.595</v>
      </c>
      <c r="AX182" s="1295">
        <f t="shared" si="43"/>
        <v>1101219.8899999999</v>
      </c>
      <c r="AY182" s="1295">
        <f t="shared" si="43"/>
        <v>1100950.3</v>
      </c>
      <c r="AZ182" s="1289">
        <v>1232126.43</v>
      </c>
      <c r="BA182" s="1289">
        <v>1216670.02</v>
      </c>
      <c r="BB182" s="1289">
        <v>1309759.1499999999</v>
      </c>
      <c r="BC182" s="1289">
        <f>ROUND(BC158+BC161+BC181,5)</f>
        <v>1183638.97</v>
      </c>
      <c r="BD182" s="1289">
        <f>ROUND(BD158+BD161+BD181,5)</f>
        <v>1342577.97</v>
      </c>
      <c r="BE182" s="1295"/>
      <c r="BF182" s="1295"/>
      <c r="BG182" s="1295"/>
      <c r="BH182" s="1295"/>
      <c r="BI182" s="1295"/>
    </row>
    <row r="183" spans="3:61" x14ac:dyDescent="0.3">
      <c r="C183" s="1288"/>
      <c r="D183" s="1288"/>
      <c r="E183" s="1288" t="s">
        <v>266</v>
      </c>
      <c r="F183" s="1288"/>
      <c r="G183" s="1288"/>
      <c r="H183" s="1288"/>
      <c r="I183" s="1288"/>
      <c r="J183" s="1295"/>
      <c r="K183" s="1295"/>
      <c r="L183" s="1295"/>
      <c r="M183" s="1295"/>
      <c r="N183" s="1295"/>
      <c r="O183" s="1295"/>
      <c r="P183" s="1295"/>
      <c r="Q183" s="1295"/>
      <c r="R183" s="1295"/>
      <c r="S183" s="1295"/>
      <c r="T183" s="1295"/>
      <c r="U183" s="1295"/>
      <c r="V183" s="1295"/>
      <c r="W183" s="1295"/>
      <c r="X183" s="1295"/>
      <c r="Y183" s="1295"/>
      <c r="Z183" s="1295"/>
      <c r="AA183" s="1295"/>
      <c r="AB183" s="1295"/>
      <c r="AC183" s="1295"/>
      <c r="AD183" s="1295"/>
      <c r="AE183" s="1295"/>
      <c r="AF183" s="1295"/>
      <c r="AG183" s="1295"/>
      <c r="AH183" s="1295"/>
      <c r="AI183" s="1295"/>
      <c r="AJ183" s="1295"/>
      <c r="AK183" s="1295"/>
      <c r="AL183" s="1295"/>
      <c r="AM183" s="1295"/>
      <c r="AN183" s="1295"/>
      <c r="AO183" s="1295"/>
      <c r="AP183" s="1295"/>
      <c r="AQ183" s="1295"/>
      <c r="AR183" s="1295"/>
      <c r="AS183" s="1295"/>
      <c r="AT183" s="1295"/>
      <c r="AU183" s="1295"/>
      <c r="AV183" s="1295"/>
      <c r="AW183" s="1295"/>
      <c r="AX183" s="1295"/>
      <c r="AY183" s="1295"/>
      <c r="AZ183" s="1289"/>
      <c r="BA183" s="1289"/>
      <c r="BB183" s="1289"/>
      <c r="BC183" s="1289"/>
      <c r="BD183" s="1289"/>
      <c r="BE183" s="1295"/>
      <c r="BF183" s="1295"/>
      <c r="BG183" s="1295"/>
      <c r="BH183" s="1295"/>
      <c r="BI183" s="1295"/>
    </row>
    <row r="184" spans="3:61" x14ac:dyDescent="0.3">
      <c r="C184" s="1288"/>
      <c r="D184" s="1288"/>
      <c r="E184" s="1288"/>
      <c r="F184" s="1288" t="s">
        <v>1201</v>
      </c>
      <c r="G184" s="1288"/>
      <c r="H184" s="1288"/>
      <c r="I184" s="1288"/>
      <c r="J184" s="1295"/>
      <c r="K184" s="1295"/>
      <c r="L184" s="1295"/>
      <c r="M184" s="1295"/>
      <c r="N184" s="1295"/>
      <c r="O184" s="1295"/>
      <c r="P184" s="1295"/>
      <c r="Q184" s="1295"/>
      <c r="R184" s="1295"/>
      <c r="S184" s="1295"/>
      <c r="T184" s="1295"/>
      <c r="U184" s="1295"/>
      <c r="V184" s="1295"/>
      <c r="W184" s="1295"/>
      <c r="X184" s="1295"/>
      <c r="Y184" s="1295"/>
      <c r="Z184" s="1295"/>
      <c r="AA184" s="1295"/>
      <c r="AB184" s="1295"/>
      <c r="AC184" s="1295"/>
      <c r="AD184" s="1295"/>
      <c r="AE184" s="1295"/>
      <c r="AF184" s="1295"/>
      <c r="AG184" s="1295"/>
      <c r="AH184" s="1295"/>
      <c r="AI184" s="1295"/>
      <c r="AJ184" s="1295"/>
      <c r="AK184" s="1295"/>
      <c r="AL184" s="1295"/>
      <c r="AM184" s="1295"/>
      <c r="AN184" s="1295"/>
      <c r="AO184" s="1295"/>
      <c r="AP184" s="1295"/>
      <c r="AQ184" s="1295"/>
      <c r="AR184" s="1295"/>
      <c r="AS184" s="1295"/>
      <c r="AT184" s="1295"/>
      <c r="AU184" s="1295"/>
      <c r="AV184" s="1295"/>
      <c r="AW184" s="1295"/>
      <c r="AX184" s="1295"/>
      <c r="AZ184" s="1289"/>
      <c r="BA184" s="1289"/>
      <c r="BB184" s="1289"/>
      <c r="BC184" s="1289"/>
      <c r="BD184" s="1289"/>
      <c r="BE184" s="1295"/>
      <c r="BF184" s="1295"/>
      <c r="BG184" s="1295"/>
      <c r="BH184" s="1295"/>
      <c r="BI184" s="1295"/>
    </row>
    <row r="185" spans="3:61" x14ac:dyDescent="0.3">
      <c r="C185" s="1288"/>
      <c r="D185" s="1288"/>
      <c r="E185" s="1288"/>
      <c r="F185" s="1288" t="s">
        <v>1202</v>
      </c>
      <c r="G185" s="1288"/>
      <c r="H185" s="1288"/>
      <c r="I185" s="1288"/>
      <c r="J185" s="1295"/>
      <c r="K185" s="1295"/>
      <c r="L185" s="1295"/>
      <c r="M185" s="1295"/>
      <c r="N185" s="1295"/>
      <c r="O185" s="1295"/>
      <c r="P185" s="1295"/>
      <c r="Q185" s="1295"/>
      <c r="R185" s="1295"/>
      <c r="S185" s="1295"/>
      <c r="T185" s="1295"/>
      <c r="U185" s="1295"/>
      <c r="V185" s="1295"/>
      <c r="W185" s="1295"/>
      <c r="X185" s="1295"/>
      <c r="Y185" s="1295"/>
      <c r="Z185" s="1295"/>
      <c r="AA185" s="1295"/>
      <c r="AB185" s="1295"/>
      <c r="AC185" s="1295"/>
      <c r="AD185" s="1295"/>
      <c r="AE185" s="1295"/>
      <c r="AF185" s="1295"/>
      <c r="AG185" s="1295"/>
      <c r="AH185" s="1295"/>
      <c r="AI185" s="1295"/>
      <c r="AJ185" s="1295"/>
      <c r="AK185" s="1295"/>
      <c r="AL185" s="1295"/>
      <c r="AM185" s="1295"/>
      <c r="AN185" s="1295"/>
      <c r="AO185" s="1295"/>
      <c r="AP185" s="1295"/>
      <c r="AQ185" s="1295"/>
      <c r="AR185" s="1295"/>
      <c r="AS185" s="1295"/>
      <c r="AT185" s="1295"/>
      <c r="AU185" s="1295"/>
      <c r="AV185" s="1295"/>
      <c r="AW185" s="1295"/>
      <c r="AX185" s="1295"/>
      <c r="AZ185" s="1289"/>
      <c r="BA185" s="1289"/>
      <c r="BB185" s="1289"/>
      <c r="BC185" s="1289"/>
      <c r="BD185" s="1289"/>
      <c r="BE185" s="1295"/>
      <c r="BF185" s="1295"/>
      <c r="BG185" s="1295"/>
      <c r="BH185" s="1295"/>
      <c r="BI185" s="1295"/>
    </row>
    <row r="186" spans="3:61" x14ac:dyDescent="0.3">
      <c r="C186" s="1288"/>
      <c r="D186" s="1288"/>
      <c r="E186" s="1288"/>
      <c r="F186" s="1288" t="s">
        <v>1159</v>
      </c>
      <c r="G186" s="1288"/>
      <c r="H186" s="1288"/>
      <c r="I186" s="1288"/>
      <c r="J186" s="1295">
        <v>36965.14</v>
      </c>
      <c r="K186" s="1295">
        <v>31637.14</v>
      </c>
      <c r="L186" s="1295">
        <v>23702.6</v>
      </c>
      <c r="M186" s="1295">
        <v>22200.240000000002</v>
      </c>
      <c r="N186" s="1295">
        <v>13942.24</v>
      </c>
      <c r="O186" s="1295">
        <v>16646.830000000002</v>
      </c>
      <c r="P186" s="1295">
        <v>16646.830000000002</v>
      </c>
      <c r="Q186" s="1295">
        <v>16646.830000000002</v>
      </c>
      <c r="R186" s="1295">
        <v>16646.830000000002</v>
      </c>
      <c r="S186" s="1295">
        <v>16646.830000000002</v>
      </c>
      <c r="T186" s="1295">
        <v>17546.830000000002</v>
      </c>
      <c r="U186" s="1295">
        <v>34878.65</v>
      </c>
      <c r="V186" s="1295">
        <v>34878.65</v>
      </c>
      <c r="W186" s="1295">
        <v>34878.65</v>
      </c>
      <c r="X186" s="1295">
        <v>34878.65</v>
      </c>
      <c r="Y186" s="1295">
        <v>34878.65</v>
      </c>
      <c r="Z186" s="1295">
        <v>34878.65</v>
      </c>
      <c r="AA186" s="1295">
        <v>34878.65</v>
      </c>
      <c r="AB186" s="1295">
        <v>34878.65</v>
      </c>
      <c r="AC186" s="1295">
        <v>34878.65</v>
      </c>
      <c r="AD186" s="1295">
        <v>34878.65</v>
      </c>
      <c r="AE186" s="1295">
        <v>34878.65</v>
      </c>
      <c r="AF186" s="1295">
        <v>34878.65</v>
      </c>
      <c r="AG186" s="1295">
        <v>34878.65</v>
      </c>
      <c r="AH186" s="1295">
        <v>34878.65</v>
      </c>
      <c r="AI186" s="1295">
        <v>34878.65</v>
      </c>
      <c r="AJ186" s="1295">
        <v>34878.65</v>
      </c>
      <c r="AK186" s="1295">
        <v>34878.65</v>
      </c>
      <c r="AL186" s="1295">
        <v>34878.65</v>
      </c>
      <c r="AM186" s="1295">
        <v>34878.65</v>
      </c>
      <c r="AN186" s="1295">
        <v>34878.65</v>
      </c>
      <c r="AO186" s="1295">
        <v>34878.65</v>
      </c>
      <c r="AP186" s="1295">
        <v>34878.65</v>
      </c>
      <c r="AQ186" s="1295">
        <v>34878.65</v>
      </c>
      <c r="AR186" s="1295">
        <v>34878.65</v>
      </c>
      <c r="AS186" s="1295">
        <v>0</v>
      </c>
      <c r="AT186" s="1295"/>
      <c r="AU186" s="1295"/>
      <c r="AV186" s="1295"/>
      <c r="AW186" s="1295"/>
      <c r="AX186" s="1295"/>
      <c r="AY186" s="1295"/>
      <c r="AZ186" s="1289"/>
      <c r="BA186" s="1289"/>
      <c r="BB186" s="1289"/>
      <c r="BC186" s="1289"/>
      <c r="BD186" s="1289"/>
      <c r="BE186" s="1295"/>
      <c r="BF186" s="1295"/>
      <c r="BG186" s="1295"/>
      <c r="BH186" s="1295"/>
      <c r="BI186" s="1295"/>
    </row>
    <row r="187" spans="3:61" x14ac:dyDescent="0.3">
      <c r="C187" s="1288"/>
      <c r="D187" s="1288"/>
      <c r="E187" s="1288"/>
      <c r="F187" s="1288" t="s">
        <v>1160</v>
      </c>
      <c r="G187" s="1288"/>
      <c r="H187" s="1288"/>
      <c r="I187" s="1288"/>
      <c r="J187" s="1295">
        <v>0</v>
      </c>
      <c r="K187" s="1295">
        <v>0</v>
      </c>
      <c r="L187" s="1295">
        <v>0</v>
      </c>
      <c r="M187" s="1295">
        <v>0</v>
      </c>
      <c r="N187" s="1295">
        <v>0</v>
      </c>
      <c r="O187" s="1295">
        <v>0</v>
      </c>
      <c r="P187" s="1295">
        <v>0</v>
      </c>
      <c r="Q187" s="1295">
        <v>0</v>
      </c>
      <c r="R187" s="1295">
        <v>0</v>
      </c>
      <c r="S187" s="1295">
        <v>0</v>
      </c>
      <c r="T187" s="1295">
        <v>0</v>
      </c>
      <c r="U187" s="1295">
        <v>0</v>
      </c>
      <c r="V187" s="1295">
        <v>0</v>
      </c>
      <c r="W187" s="1295">
        <v>0</v>
      </c>
      <c r="X187" s="1295">
        <v>0</v>
      </c>
      <c r="Y187" s="1295">
        <v>0</v>
      </c>
      <c r="Z187" s="1295">
        <v>0</v>
      </c>
      <c r="AA187" s="1295">
        <v>0</v>
      </c>
      <c r="AB187" s="1295">
        <v>0</v>
      </c>
      <c r="AC187" s="1295">
        <v>0</v>
      </c>
      <c r="AD187" s="1295">
        <v>0</v>
      </c>
      <c r="AE187" s="1295">
        <v>-717</v>
      </c>
      <c r="AF187" s="1295">
        <v>-717</v>
      </c>
      <c r="AG187" s="1295">
        <v>0</v>
      </c>
      <c r="AH187" s="1295">
        <v>0</v>
      </c>
      <c r="AI187" s="1295">
        <v>0</v>
      </c>
      <c r="AJ187" s="1295">
        <v>0</v>
      </c>
      <c r="AK187" s="1295">
        <v>0</v>
      </c>
      <c r="AL187" s="1295">
        <v>0</v>
      </c>
      <c r="AM187" s="1295">
        <v>0</v>
      </c>
      <c r="AN187" s="1295">
        <v>0</v>
      </c>
      <c r="AO187" s="1295">
        <v>0</v>
      </c>
      <c r="AP187" s="1295">
        <v>0</v>
      </c>
      <c r="AQ187" s="1295">
        <v>0</v>
      </c>
      <c r="AR187" s="1295">
        <v>0</v>
      </c>
      <c r="AS187" s="1295">
        <v>0</v>
      </c>
      <c r="AT187" s="1295"/>
      <c r="AU187" s="1295"/>
      <c r="AV187" s="1295"/>
      <c r="AW187" s="1295"/>
      <c r="AX187" s="1295"/>
      <c r="AY187" s="1295"/>
      <c r="AZ187" s="1289"/>
      <c r="BA187" s="1289"/>
      <c r="BB187" s="1289"/>
      <c r="BC187" s="1289"/>
      <c r="BD187" s="1289"/>
      <c r="BE187" s="1295"/>
      <c r="BF187" s="1295"/>
      <c r="BG187" s="1295"/>
      <c r="BH187" s="1295"/>
      <c r="BI187" s="1295"/>
    </row>
    <row r="188" spans="3:61" x14ac:dyDescent="0.3">
      <c r="C188" s="1288"/>
      <c r="D188" s="1288"/>
      <c r="E188" s="1288"/>
      <c r="F188" s="1288" t="s">
        <v>1161</v>
      </c>
      <c r="G188" s="1288"/>
      <c r="H188" s="1288"/>
      <c r="I188" s="1288"/>
      <c r="J188" s="1295">
        <v>1025098.17</v>
      </c>
      <c r="K188" s="1295">
        <v>1019103.25</v>
      </c>
      <c r="L188" s="1295">
        <v>1012852.98</v>
      </c>
      <c r="M188" s="1295">
        <v>1006798.22</v>
      </c>
      <c r="N188" s="1295">
        <v>1000580.48</v>
      </c>
      <c r="O188" s="1295">
        <v>994472.12</v>
      </c>
      <c r="P188" s="1295">
        <v>988203.13</v>
      </c>
      <c r="Q188" s="1295">
        <v>982044.15</v>
      </c>
      <c r="R188" s="1295">
        <v>975858.26</v>
      </c>
      <c r="S188" s="1295">
        <v>969514.8</v>
      </c>
      <c r="T188" s="1295">
        <v>963275.96</v>
      </c>
      <c r="U188" s="1295">
        <v>956878.5</v>
      </c>
      <c r="V188" s="1295">
        <v>550587.98</v>
      </c>
      <c r="W188" s="1295">
        <v>543177.89</v>
      </c>
      <c r="X188" s="1295">
        <v>534913.46</v>
      </c>
      <c r="Y188" s="1295">
        <v>526836.24</v>
      </c>
      <c r="Z188" s="1295">
        <v>518654.11</v>
      </c>
      <c r="AA188" s="1295">
        <v>510508.13</v>
      </c>
      <c r="AB188" s="1295">
        <v>502258.09</v>
      </c>
      <c r="AC188" s="1295">
        <v>494043.92</v>
      </c>
      <c r="AD188" s="1295">
        <v>485793.9</v>
      </c>
      <c r="AE188" s="1295">
        <v>477442.73</v>
      </c>
      <c r="AF188" s="1295">
        <v>469122.52</v>
      </c>
      <c r="AG188" s="1295">
        <v>460703.14</v>
      </c>
      <c r="AH188" s="1295">
        <v>452312.15</v>
      </c>
      <c r="AI188" s="1295">
        <v>443885.68</v>
      </c>
      <c r="AJ188" s="1295">
        <v>435250</v>
      </c>
      <c r="AK188" s="1295">
        <v>426751.4</v>
      </c>
      <c r="AL188" s="1295">
        <v>418158.65</v>
      </c>
      <c r="AM188" s="1295">
        <v>409588.95</v>
      </c>
      <c r="AN188" s="1295">
        <v>400925.98</v>
      </c>
      <c r="AO188" s="1295">
        <v>392282.25</v>
      </c>
      <c r="AP188" s="1295">
        <v>383601.97</v>
      </c>
      <c r="AQ188" s="1295">
        <v>373889.66</v>
      </c>
      <c r="AR188" s="1295">
        <v>364191.98</v>
      </c>
      <c r="AS188" s="1295">
        <v>354376.49</v>
      </c>
      <c r="AT188" s="1295">
        <v>344571.62</v>
      </c>
      <c r="AU188" s="1295">
        <v>334712.90000000002</v>
      </c>
      <c r="AV188" s="1295">
        <v>324622.09000000003</v>
      </c>
      <c r="AW188" s="1295">
        <f>AVERAGE(AV188,AX188)</f>
        <v>319637.93000000005</v>
      </c>
      <c r="AX188" s="1295">
        <v>314653.77</v>
      </c>
      <c r="AY188" s="1295"/>
      <c r="AZ188" s="1289"/>
      <c r="BA188" s="1289"/>
      <c r="BB188" s="1289"/>
      <c r="BC188" s="1289"/>
      <c r="BD188" s="1289"/>
      <c r="BE188" s="1295"/>
      <c r="BF188" s="1295"/>
      <c r="BG188" s="1295"/>
      <c r="BH188" s="1295"/>
      <c r="BI188" s="1295"/>
    </row>
    <row r="189" spans="3:61" x14ac:dyDescent="0.3">
      <c r="C189" s="1288"/>
      <c r="D189" s="1288"/>
      <c r="E189" s="1288"/>
      <c r="F189" s="1288" t="s">
        <v>1162</v>
      </c>
      <c r="G189" s="1288"/>
      <c r="H189" s="1288"/>
      <c r="I189" s="1288"/>
      <c r="J189" s="1295">
        <v>0</v>
      </c>
      <c r="K189" s="1295">
        <v>0</v>
      </c>
      <c r="L189" s="1295">
        <v>0</v>
      </c>
      <c r="M189" s="1295">
        <v>0</v>
      </c>
      <c r="N189" s="1295">
        <v>0</v>
      </c>
      <c r="O189" s="1295">
        <v>0</v>
      </c>
      <c r="P189" s="1295">
        <v>0</v>
      </c>
      <c r="Q189" s="1295">
        <v>0</v>
      </c>
      <c r="R189" s="1295">
        <v>0</v>
      </c>
      <c r="S189" s="1295">
        <v>0</v>
      </c>
      <c r="T189" s="1295">
        <v>0</v>
      </c>
      <c r="U189" s="1295">
        <v>0</v>
      </c>
      <c r="V189" s="1295">
        <v>312550</v>
      </c>
      <c r="W189" s="1295">
        <v>312550</v>
      </c>
      <c r="X189" s="1295">
        <v>312550</v>
      </c>
      <c r="Y189" s="1295">
        <v>312550</v>
      </c>
      <c r="Z189" s="1295">
        <v>312550</v>
      </c>
      <c r="AA189" s="1295">
        <v>0</v>
      </c>
      <c r="AB189" s="1295">
        <v>0</v>
      </c>
      <c r="AC189" s="1295">
        <v>0</v>
      </c>
      <c r="AD189" s="1295">
        <v>0</v>
      </c>
      <c r="AE189" s="1295">
        <v>0</v>
      </c>
      <c r="AF189" s="1295">
        <v>0</v>
      </c>
      <c r="AG189" s="1295">
        <v>0</v>
      </c>
      <c r="AH189" s="1295">
        <v>0</v>
      </c>
      <c r="AI189" s="1295">
        <v>0</v>
      </c>
      <c r="AJ189" s="1295">
        <v>0</v>
      </c>
      <c r="AK189" s="1295">
        <v>0</v>
      </c>
      <c r="AL189" s="1295">
        <v>0</v>
      </c>
      <c r="AM189" s="1295">
        <v>0</v>
      </c>
      <c r="AN189" s="1295">
        <v>0</v>
      </c>
      <c r="AO189" s="1295">
        <v>0</v>
      </c>
      <c r="AP189" s="1295">
        <v>0</v>
      </c>
      <c r="AQ189" s="1295">
        <v>0</v>
      </c>
      <c r="AR189" s="1295">
        <v>0</v>
      </c>
      <c r="AS189" s="1295">
        <v>0</v>
      </c>
      <c r="AT189" s="1295"/>
      <c r="AU189" s="1295"/>
      <c r="AV189" s="1295"/>
      <c r="AW189" s="1295"/>
      <c r="AX189" s="1295"/>
      <c r="AY189" s="1295"/>
      <c r="AZ189" s="1289"/>
      <c r="BA189" s="1289"/>
      <c r="BB189" s="1289"/>
      <c r="BC189" s="1289"/>
      <c r="BD189" s="1289"/>
      <c r="BE189" s="1295"/>
      <c r="BF189" s="1295"/>
      <c r="BG189" s="1295"/>
      <c r="BH189" s="1295"/>
      <c r="BI189" s="1295"/>
    </row>
    <row r="190" spans="3:61" x14ac:dyDescent="0.3">
      <c r="C190" s="1288"/>
      <c r="D190" s="1288"/>
      <c r="E190" s="1288"/>
      <c r="F190" s="1288" t="s">
        <v>1163</v>
      </c>
      <c r="G190" s="1288"/>
      <c r="H190" s="1288"/>
      <c r="I190" s="1288"/>
      <c r="J190" s="1295">
        <v>0</v>
      </c>
      <c r="K190" s="1295">
        <v>0</v>
      </c>
      <c r="L190" s="1295">
        <v>0</v>
      </c>
      <c r="M190" s="1295">
        <v>312549</v>
      </c>
      <c r="N190" s="1295">
        <v>312549</v>
      </c>
      <c r="O190" s="1295">
        <v>312549</v>
      </c>
      <c r="P190" s="1295">
        <v>312549</v>
      </c>
      <c r="Q190" s="1295">
        <v>312549</v>
      </c>
      <c r="R190" s="1295">
        <v>312549</v>
      </c>
      <c r="S190" s="1295">
        <v>312549</v>
      </c>
      <c r="T190" s="1295">
        <v>312549</v>
      </c>
      <c r="U190" s="1295">
        <v>312549</v>
      </c>
      <c r="V190" s="1295">
        <v>312549</v>
      </c>
      <c r="W190" s="1295">
        <v>312549</v>
      </c>
      <c r="X190" s="1295">
        <v>312549</v>
      </c>
      <c r="Y190" s="1295">
        <v>312549</v>
      </c>
      <c r="Z190" s="1295">
        <v>312549</v>
      </c>
      <c r="AA190" s="1295">
        <v>0</v>
      </c>
      <c r="AB190" s="1295">
        <v>0</v>
      </c>
      <c r="AC190" s="1295">
        <v>0</v>
      </c>
      <c r="AD190" s="1295">
        <v>0</v>
      </c>
      <c r="AE190" s="1295">
        <v>0</v>
      </c>
      <c r="AF190" s="1295">
        <v>0</v>
      </c>
      <c r="AG190" s="1295">
        <v>0</v>
      </c>
      <c r="AH190" s="1295">
        <v>0</v>
      </c>
      <c r="AI190" s="1295">
        <v>0</v>
      </c>
      <c r="AJ190" s="1295">
        <v>0</v>
      </c>
      <c r="AK190" s="1295">
        <v>0</v>
      </c>
      <c r="AL190" s="1295">
        <v>0</v>
      </c>
      <c r="AM190" s="1295">
        <v>0</v>
      </c>
      <c r="AN190" s="1295">
        <v>0</v>
      </c>
      <c r="AO190" s="1295">
        <v>0</v>
      </c>
      <c r="AP190" s="1295">
        <v>0</v>
      </c>
      <c r="AQ190" s="1295">
        <v>0</v>
      </c>
      <c r="AR190" s="1295">
        <v>0</v>
      </c>
      <c r="AS190" s="1295">
        <v>0</v>
      </c>
      <c r="AT190" s="1295"/>
      <c r="AU190" s="1295"/>
      <c r="AV190" s="1295"/>
      <c r="AW190" s="1295"/>
      <c r="AX190" s="1295"/>
      <c r="AY190" s="1295"/>
      <c r="AZ190" s="1289"/>
      <c r="BA190" s="1289"/>
      <c r="BB190" s="1289"/>
      <c r="BC190" s="1289"/>
      <c r="BD190" s="1289"/>
      <c r="BE190" s="1295"/>
      <c r="BF190" s="1295"/>
      <c r="BG190" s="1295"/>
      <c r="BH190" s="1295"/>
      <c r="BI190" s="1295"/>
    </row>
    <row r="191" spans="3:61" x14ac:dyDescent="0.3">
      <c r="C191" s="1288"/>
      <c r="D191" s="1288"/>
      <c r="E191" s="1288"/>
      <c r="F191" s="1288" t="s">
        <v>1164</v>
      </c>
      <c r="G191" s="1288"/>
      <c r="H191" s="1288"/>
      <c r="I191" s="1288"/>
      <c r="J191" s="1295">
        <v>6252.32</v>
      </c>
      <c r="K191" s="1295">
        <v>5790.29</v>
      </c>
      <c r="L191" s="1295">
        <v>5310.29</v>
      </c>
      <c r="M191" s="1295">
        <v>4825.29</v>
      </c>
      <c r="N191" s="1295">
        <v>4351.26</v>
      </c>
      <c r="O191" s="1295">
        <v>3867.23</v>
      </c>
      <c r="P191" s="1295">
        <v>3388.2</v>
      </c>
      <c r="Q191" s="1295">
        <v>2906.17</v>
      </c>
      <c r="R191" s="1295">
        <v>2421.14</v>
      </c>
      <c r="S191" s="1295">
        <v>0</v>
      </c>
      <c r="T191" s="1295">
        <v>0</v>
      </c>
      <c r="U191" s="1295">
        <v>0</v>
      </c>
      <c r="V191" s="1295">
        <v>0</v>
      </c>
      <c r="W191" s="1295">
        <v>0</v>
      </c>
      <c r="X191" s="1295">
        <v>0</v>
      </c>
      <c r="Y191" s="1295">
        <v>0</v>
      </c>
      <c r="Z191" s="1295">
        <v>0</v>
      </c>
      <c r="AA191" s="1295">
        <v>0</v>
      </c>
      <c r="AB191" s="1295">
        <v>0</v>
      </c>
      <c r="AC191" s="1295">
        <v>0</v>
      </c>
      <c r="AD191" s="1295">
        <v>0</v>
      </c>
      <c r="AE191" s="1295">
        <v>0</v>
      </c>
      <c r="AF191" s="1295">
        <v>0</v>
      </c>
      <c r="AG191" s="1295">
        <v>0</v>
      </c>
      <c r="AH191" s="1295">
        <v>0</v>
      </c>
      <c r="AI191" s="1295">
        <v>0</v>
      </c>
      <c r="AJ191" s="1295">
        <v>0</v>
      </c>
      <c r="AK191" s="1295">
        <v>0</v>
      </c>
      <c r="AL191" s="1295">
        <v>0</v>
      </c>
      <c r="AM191" s="1295">
        <v>0</v>
      </c>
      <c r="AN191" s="1295">
        <v>0</v>
      </c>
      <c r="AO191" s="1295">
        <v>0</v>
      </c>
      <c r="AP191" s="1295">
        <v>0</v>
      </c>
      <c r="AQ191" s="1295">
        <v>0</v>
      </c>
      <c r="AR191" s="1295">
        <v>0</v>
      </c>
      <c r="AS191" s="1295">
        <v>0</v>
      </c>
      <c r="AT191" s="1295"/>
      <c r="AU191" s="1295"/>
      <c r="AV191" s="1295"/>
      <c r="AW191" s="1295"/>
      <c r="AX191" s="1295"/>
      <c r="AY191" s="1295"/>
      <c r="AZ191" s="1289"/>
      <c r="BA191" s="1289"/>
      <c r="BB191" s="1289"/>
      <c r="BC191" s="1289"/>
      <c r="BD191" s="1289"/>
      <c r="BE191" s="1295"/>
      <c r="BF191" s="1295"/>
      <c r="BG191" s="1295"/>
      <c r="BH191" s="1295"/>
      <c r="BI191" s="1295"/>
    </row>
    <row r="192" spans="3:61" x14ac:dyDescent="0.3">
      <c r="C192" s="1288"/>
      <c r="D192" s="1288"/>
      <c r="E192" s="1288"/>
      <c r="F192" s="1288" t="s">
        <v>1165</v>
      </c>
      <c r="G192" s="1288"/>
      <c r="H192" s="1288"/>
      <c r="I192" s="1288"/>
      <c r="J192" s="1295">
        <v>88389.88</v>
      </c>
      <c r="K192" s="1295">
        <v>87689.88</v>
      </c>
      <c r="L192" s="1295">
        <v>87089.88</v>
      </c>
      <c r="M192" s="1295">
        <v>87089.88</v>
      </c>
      <c r="N192" s="1295">
        <v>86376.54</v>
      </c>
      <c r="O192" s="1295">
        <v>85476.54</v>
      </c>
      <c r="P192" s="1295">
        <v>83513.2</v>
      </c>
      <c r="Q192" s="1295">
        <v>82263.199999999997</v>
      </c>
      <c r="R192" s="1295">
        <v>82263.199999999997</v>
      </c>
      <c r="S192" s="1295">
        <v>82263.199999999997</v>
      </c>
      <c r="T192" s="1295">
        <v>80749.86</v>
      </c>
      <c r="U192" s="1295">
        <v>79236.52</v>
      </c>
      <c r="V192" s="1295">
        <v>77223.179999999993</v>
      </c>
      <c r="W192" s="1295">
        <v>76109.84</v>
      </c>
      <c r="X192" s="1295">
        <v>74859.839999999997</v>
      </c>
      <c r="Y192" s="1295">
        <v>74009.84</v>
      </c>
      <c r="Z192" s="1295">
        <v>72946.5</v>
      </c>
      <c r="AA192" s="1295">
        <v>71746.5</v>
      </c>
      <c r="AB192" s="1295">
        <v>70646.5</v>
      </c>
      <c r="AC192" s="1295">
        <v>69546.5</v>
      </c>
      <c r="AD192" s="1295">
        <v>68546.5</v>
      </c>
      <c r="AE192" s="1295">
        <v>67446.5</v>
      </c>
      <c r="AF192" s="1295">
        <v>65933.16</v>
      </c>
      <c r="AG192" s="1295">
        <v>64935.5</v>
      </c>
      <c r="AH192" s="1295">
        <v>63735.5</v>
      </c>
      <c r="AI192" s="1295">
        <v>62702.16</v>
      </c>
      <c r="AJ192" s="1295">
        <v>61688.82</v>
      </c>
      <c r="AK192" s="1295">
        <v>60475.48</v>
      </c>
      <c r="AL192" s="1295">
        <v>59362.14</v>
      </c>
      <c r="AM192" s="1295">
        <v>58148.800000000003</v>
      </c>
      <c r="AN192" s="1295">
        <v>57005.46</v>
      </c>
      <c r="AO192" s="1295">
        <v>55905.46</v>
      </c>
      <c r="AP192" s="1295">
        <v>54742.12</v>
      </c>
      <c r="AQ192" s="1295">
        <v>53628.78</v>
      </c>
      <c r="AR192" s="1295">
        <v>52378.78</v>
      </c>
      <c r="AS192" s="1295">
        <v>51348.68</v>
      </c>
      <c r="AT192" s="1295">
        <v>50248.68</v>
      </c>
      <c r="AU192" s="1295">
        <v>48880.34</v>
      </c>
      <c r="AV192" s="1295">
        <v>47667</v>
      </c>
      <c r="AW192" s="1295"/>
      <c r="AX192" s="1295"/>
      <c r="AY192" s="1295"/>
      <c r="AZ192" s="1289"/>
      <c r="BA192" s="1289"/>
      <c r="BB192" s="1289"/>
      <c r="BC192" s="1289"/>
      <c r="BD192" s="1289"/>
      <c r="BE192" s="1295"/>
      <c r="BF192" s="1295"/>
      <c r="BG192" s="1295"/>
      <c r="BH192" s="1295"/>
      <c r="BI192" s="1295"/>
    </row>
    <row r="193" spans="3:61" x14ac:dyDescent="0.3">
      <c r="C193" s="1288"/>
      <c r="D193" s="1288"/>
      <c r="E193" s="1288"/>
      <c r="F193" s="1288" t="s">
        <v>1304</v>
      </c>
      <c r="G193" s="1288"/>
      <c r="H193" s="1288"/>
      <c r="I193" s="1288"/>
      <c r="J193" s="1295"/>
      <c r="K193" s="1295"/>
      <c r="L193" s="1295"/>
      <c r="M193" s="1295"/>
      <c r="N193" s="1295"/>
      <c r="O193" s="1295"/>
      <c r="P193" s="1295"/>
      <c r="Q193" s="1295"/>
      <c r="R193" s="1295"/>
      <c r="S193" s="1295"/>
      <c r="T193" s="1295"/>
      <c r="U193" s="1295"/>
      <c r="V193" s="1295"/>
      <c r="W193" s="1295"/>
      <c r="X193" s="1295"/>
      <c r="Y193" s="1295"/>
      <c r="Z193" s="1295"/>
      <c r="AA193" s="1295"/>
      <c r="AB193" s="1295"/>
      <c r="AC193" s="1295"/>
      <c r="AD193" s="1295"/>
      <c r="AE193" s="1295"/>
      <c r="AF193" s="1295"/>
      <c r="AG193" s="1295"/>
      <c r="AH193" s="1295"/>
      <c r="AI193" s="1295"/>
      <c r="AJ193" s="1295"/>
      <c r="AK193" s="1295"/>
      <c r="AL193" s="1295"/>
      <c r="AM193" s="1295"/>
      <c r="AN193" s="1295"/>
      <c r="AO193" s="1295"/>
      <c r="AP193" s="1295"/>
      <c r="AQ193" s="1295"/>
      <c r="AR193" s="1295"/>
      <c r="AS193" s="1295"/>
      <c r="AT193" s="1295"/>
      <c r="AU193" s="1295"/>
      <c r="AV193" s="1295"/>
      <c r="AW193" s="1295"/>
      <c r="AX193" s="1295"/>
      <c r="AY193" s="1295">
        <f>'Sources and Uses'!C3*1000</f>
        <v>1975000</v>
      </c>
      <c r="AZ193" s="1289">
        <v>1962526.56</v>
      </c>
      <c r="BA193" s="1289">
        <v>1950053.12</v>
      </c>
      <c r="BB193" s="1289">
        <v>1936928.16</v>
      </c>
      <c r="BC193" s="1289">
        <v>1925106.24</v>
      </c>
      <c r="BD193" s="1289">
        <v>1912632.8</v>
      </c>
      <c r="BE193" s="1295"/>
      <c r="BF193" s="1295"/>
      <c r="BG193" s="1295"/>
      <c r="BH193" s="1295"/>
      <c r="BI193" s="1295"/>
    </row>
    <row r="194" spans="3:61" ht="15" thickBot="1" x14ac:dyDescent="0.35">
      <c r="C194" s="1288"/>
      <c r="D194" s="1288"/>
      <c r="E194" s="1288"/>
      <c r="F194" s="1288" t="s">
        <v>1305</v>
      </c>
      <c r="G194" s="1288"/>
      <c r="H194" s="1288"/>
      <c r="I194" s="1288"/>
      <c r="J194" s="1295"/>
      <c r="K194" s="1295"/>
      <c r="L194" s="1295"/>
      <c r="M194" s="1295"/>
      <c r="N194" s="1295"/>
      <c r="O194" s="1295"/>
      <c r="P194" s="1295"/>
      <c r="Q194" s="1295"/>
      <c r="R194" s="1295"/>
      <c r="S194" s="1295"/>
      <c r="T194" s="1295"/>
      <c r="U194" s="1295"/>
      <c r="V194" s="1295"/>
      <c r="W194" s="1295"/>
      <c r="X194" s="1295"/>
      <c r="Y194" s="1295"/>
      <c r="Z194" s="1295"/>
      <c r="AA194" s="1295"/>
      <c r="AB194" s="1295"/>
      <c r="AC194" s="1295"/>
      <c r="AD194" s="1295"/>
      <c r="AE194" s="1295"/>
      <c r="AF194" s="1295"/>
      <c r="AG194" s="1295"/>
      <c r="AH194" s="1295"/>
      <c r="AI194" s="1295"/>
      <c r="AJ194" s="1295"/>
      <c r="AK194" s="1295"/>
      <c r="AL194" s="1295"/>
      <c r="AM194" s="1295"/>
      <c r="AN194" s="1295"/>
      <c r="AO194" s="1295"/>
      <c r="AP194" s="1295"/>
      <c r="AQ194" s="1295"/>
      <c r="AR194" s="1295"/>
      <c r="AS194" s="1295"/>
      <c r="AT194" s="1295"/>
      <c r="AU194" s="1295"/>
      <c r="AV194" s="1295"/>
      <c r="AW194" s="1295"/>
      <c r="AX194" s="1295"/>
      <c r="AY194" s="1295">
        <f>'Sources and Uses'!C4*1000</f>
        <v>500000</v>
      </c>
      <c r="AZ194" s="1289">
        <v>500000</v>
      </c>
      <c r="BA194" s="1289">
        <v>500000</v>
      </c>
      <c r="BB194" s="1289">
        <v>500000</v>
      </c>
      <c r="BC194" s="1289">
        <v>500000</v>
      </c>
      <c r="BD194" s="1289">
        <v>485038.73</v>
      </c>
      <c r="BE194" s="1295"/>
      <c r="BF194" s="1295"/>
      <c r="BG194" s="1295"/>
      <c r="BH194" s="1295"/>
      <c r="BI194" s="1295"/>
    </row>
    <row r="195" spans="3:61" ht="15" thickBot="1" x14ac:dyDescent="0.35">
      <c r="C195" s="1288"/>
      <c r="D195" s="1288"/>
      <c r="E195" s="1288" t="s">
        <v>271</v>
      </c>
      <c r="F195" s="1288"/>
      <c r="G195" s="1288"/>
      <c r="H195" s="1288"/>
      <c r="I195" s="1288"/>
      <c r="J195" s="1299">
        <f t="shared" ref="J195:AX195" si="44">ROUND(SUM(J183:J194),5)</f>
        <v>1156705.51</v>
      </c>
      <c r="K195" s="1299">
        <f t="shared" si="44"/>
        <v>1144220.56</v>
      </c>
      <c r="L195" s="1299">
        <f t="shared" si="44"/>
        <v>1128955.75</v>
      </c>
      <c r="M195" s="1299">
        <f t="shared" si="44"/>
        <v>1433462.63</v>
      </c>
      <c r="N195" s="1299">
        <f t="shared" si="44"/>
        <v>1417799.52</v>
      </c>
      <c r="O195" s="1299">
        <f t="shared" si="44"/>
        <v>1413011.72</v>
      </c>
      <c r="P195" s="1299">
        <f t="shared" si="44"/>
        <v>1404300.36</v>
      </c>
      <c r="Q195" s="1299">
        <f t="shared" si="44"/>
        <v>1396409.35</v>
      </c>
      <c r="R195" s="1299">
        <f t="shared" si="44"/>
        <v>1389738.43</v>
      </c>
      <c r="S195" s="1299">
        <f t="shared" si="44"/>
        <v>1380973.83</v>
      </c>
      <c r="T195" s="1299">
        <f t="shared" si="44"/>
        <v>1374121.65</v>
      </c>
      <c r="U195" s="1299">
        <f t="shared" si="44"/>
        <v>1383542.67</v>
      </c>
      <c r="V195" s="1299">
        <f t="shared" si="44"/>
        <v>1287788.81</v>
      </c>
      <c r="W195" s="1299">
        <f t="shared" si="44"/>
        <v>1279265.3799999999</v>
      </c>
      <c r="X195" s="1299">
        <f t="shared" si="44"/>
        <v>1269750.95</v>
      </c>
      <c r="Y195" s="1299">
        <f t="shared" si="44"/>
        <v>1260823.73</v>
      </c>
      <c r="Z195" s="1299">
        <f t="shared" si="44"/>
        <v>1251578.26</v>
      </c>
      <c r="AA195" s="1299">
        <f t="shared" si="44"/>
        <v>617133.28</v>
      </c>
      <c r="AB195" s="1299">
        <f t="shared" si="44"/>
        <v>607783.24</v>
      </c>
      <c r="AC195" s="1299">
        <f t="shared" si="44"/>
        <v>598469.06999999995</v>
      </c>
      <c r="AD195" s="1299">
        <f t="shared" si="44"/>
        <v>589219.05000000005</v>
      </c>
      <c r="AE195" s="1299">
        <f t="shared" si="44"/>
        <v>579050.88</v>
      </c>
      <c r="AF195" s="1299">
        <f t="shared" si="44"/>
        <v>569217.32999999996</v>
      </c>
      <c r="AG195" s="1299">
        <f t="shared" si="44"/>
        <v>560517.29</v>
      </c>
      <c r="AH195" s="1299">
        <f t="shared" si="44"/>
        <v>550926.30000000005</v>
      </c>
      <c r="AI195" s="1299">
        <f t="shared" si="44"/>
        <v>541466.49</v>
      </c>
      <c r="AJ195" s="1299">
        <f t="shared" si="44"/>
        <v>531817.47</v>
      </c>
      <c r="AK195" s="1299">
        <f t="shared" si="44"/>
        <v>522105.53</v>
      </c>
      <c r="AL195" s="1299">
        <f t="shared" si="44"/>
        <v>512399.44</v>
      </c>
      <c r="AM195" s="1299">
        <f t="shared" si="44"/>
        <v>502616.4</v>
      </c>
      <c r="AN195" s="1299">
        <f t="shared" si="44"/>
        <v>492810.09</v>
      </c>
      <c r="AO195" s="1299">
        <f t="shared" si="44"/>
        <v>483066.36</v>
      </c>
      <c r="AP195" s="1299">
        <f t="shared" si="44"/>
        <v>473222.74</v>
      </c>
      <c r="AQ195" s="1299">
        <f t="shared" si="44"/>
        <v>462397.09</v>
      </c>
      <c r="AR195" s="1299">
        <f t="shared" si="44"/>
        <v>451449.41</v>
      </c>
      <c r="AS195" s="1299">
        <f t="shared" si="44"/>
        <v>405725.17</v>
      </c>
      <c r="AT195" s="1299">
        <f t="shared" si="44"/>
        <v>394820.3</v>
      </c>
      <c r="AU195" s="1299">
        <f t="shared" si="44"/>
        <v>383593.24</v>
      </c>
      <c r="AV195" s="1299">
        <f t="shared" si="44"/>
        <v>372289.09</v>
      </c>
      <c r="AW195" s="1299">
        <f t="shared" si="44"/>
        <v>319637.93</v>
      </c>
      <c r="AX195" s="1299">
        <f t="shared" si="44"/>
        <v>314653.77</v>
      </c>
      <c r="AY195" s="1299">
        <f>ROUND(SUM(AY183:AY194),5)</f>
        <v>2475000</v>
      </c>
      <c r="AZ195" s="1291">
        <f t="shared" ref="AZ195:BB195" si="45">ROUND(SUM(AZ183:AZ194),5)</f>
        <v>2462526.56</v>
      </c>
      <c r="BA195" s="1291">
        <f t="shared" si="45"/>
        <v>2450053.1200000001</v>
      </c>
      <c r="BB195" s="1291">
        <f t="shared" si="45"/>
        <v>2436928.16</v>
      </c>
      <c r="BC195" s="1291">
        <f>ROUND(SUM(BC183:BC194),5)</f>
        <v>2425106.2400000002</v>
      </c>
      <c r="BD195" s="1291">
        <f>ROUND(SUM(BD183:BD194),5)</f>
        <v>2397671.5299999998</v>
      </c>
      <c r="BE195" s="1299"/>
      <c r="BF195" s="1299"/>
      <c r="BG195" s="1299"/>
      <c r="BH195" s="1299"/>
      <c r="BI195" s="1299"/>
    </row>
    <row r="196" spans="3:61" x14ac:dyDescent="0.3">
      <c r="C196" s="1288"/>
      <c r="D196" s="1288" t="s">
        <v>272</v>
      </c>
      <c r="E196" s="1288"/>
      <c r="F196" s="1288"/>
      <c r="G196" s="1288"/>
      <c r="H196" s="1288"/>
      <c r="I196" s="1288"/>
      <c r="J196" s="1295">
        <v>3563437.81</v>
      </c>
      <c r="K196" s="1295">
        <v>3206770.84</v>
      </c>
      <c r="L196" s="1295">
        <v>2518600.31</v>
      </c>
      <c r="M196" s="1295">
        <v>2549666.09</v>
      </c>
      <c r="N196" s="1295">
        <v>2550866.36</v>
      </c>
      <c r="O196" s="1295">
        <v>2617756.06</v>
      </c>
      <c r="P196" s="1295">
        <v>2736357.74</v>
      </c>
      <c r="Q196" s="1295">
        <v>2868667.59</v>
      </c>
      <c r="R196" s="1295">
        <v>2900266.27</v>
      </c>
      <c r="S196" s="1295">
        <v>2778995.29</v>
      </c>
      <c r="T196" s="1295">
        <v>2867525.27</v>
      </c>
      <c r="U196" s="1295">
        <v>2524766.09</v>
      </c>
      <c r="V196" s="1295">
        <v>2942874.65</v>
      </c>
      <c r="W196" s="1295">
        <v>2928188.91</v>
      </c>
      <c r="X196" s="1295">
        <v>3068793.83</v>
      </c>
      <c r="Y196" s="1295">
        <v>3127763.94</v>
      </c>
      <c r="Z196" s="1295">
        <v>2977173.84</v>
      </c>
      <c r="AA196" s="1295">
        <v>2710942.88</v>
      </c>
      <c r="AB196" s="1295">
        <v>2682158.7000000002</v>
      </c>
      <c r="AC196" s="1295">
        <v>2703140.76</v>
      </c>
      <c r="AD196" s="1295">
        <v>3089066.07</v>
      </c>
      <c r="AE196" s="1295">
        <v>3076619.83</v>
      </c>
      <c r="AF196" s="1295">
        <v>3110507.53</v>
      </c>
      <c r="AG196" s="1295">
        <v>2471668.52</v>
      </c>
      <c r="AH196" s="1295">
        <v>2732024.61</v>
      </c>
      <c r="AI196" s="1295">
        <v>2446999.17</v>
      </c>
      <c r="AJ196" s="1295">
        <v>2462261.79</v>
      </c>
      <c r="AK196" s="1295">
        <v>2354291.9300000002</v>
      </c>
      <c r="AL196" s="1295">
        <v>1643786.53</v>
      </c>
      <c r="AM196" s="1295">
        <v>2317581.44</v>
      </c>
      <c r="AN196" s="1295">
        <v>2608149.92</v>
      </c>
      <c r="AO196" s="1295">
        <v>2537142.13</v>
      </c>
      <c r="AP196" s="1295">
        <v>2486139.5099999998</v>
      </c>
      <c r="AQ196" s="1295">
        <v>2606786.58</v>
      </c>
      <c r="AR196" s="1295">
        <v>2468202.8199999998</v>
      </c>
      <c r="AS196" s="1295">
        <v>2065998.88</v>
      </c>
      <c r="AT196" s="1295">
        <f t="shared" ref="AT196:AY196" si="46">ROUND(AT157+AT182+AT195,5)</f>
        <v>1838535.72</v>
      </c>
      <c r="AU196" s="1295">
        <f t="shared" si="46"/>
        <v>1767396.28</v>
      </c>
      <c r="AV196" s="1295">
        <f t="shared" si="46"/>
        <v>1484605.2</v>
      </c>
      <c r="AW196" s="1295">
        <f t="shared" si="46"/>
        <v>1440425.5249999999</v>
      </c>
      <c r="AX196" s="1295">
        <f t="shared" si="46"/>
        <v>1415873.66</v>
      </c>
      <c r="AY196" s="1295">
        <f t="shared" si="46"/>
        <v>3575950.3</v>
      </c>
      <c r="AZ196" s="1289">
        <v>3694652.99</v>
      </c>
      <c r="BA196" s="1289">
        <v>3666723.14</v>
      </c>
      <c r="BB196" s="1289">
        <v>3746687.31</v>
      </c>
      <c r="BC196" s="1289">
        <f>ROUND(BC157+BC182+BC195,5)</f>
        <v>3608745.21</v>
      </c>
      <c r="BD196" s="1289">
        <f>ROUND(BD157+BD182+BD195,5)</f>
        <v>3740249.5</v>
      </c>
      <c r="BE196" s="1295"/>
      <c r="BF196" s="1295"/>
      <c r="BG196" s="1295"/>
      <c r="BH196" s="1295"/>
      <c r="BI196" s="1295"/>
    </row>
    <row r="197" spans="3:61" x14ac:dyDescent="0.3">
      <c r="C197" s="1288"/>
      <c r="D197" s="1288" t="s">
        <v>1166</v>
      </c>
      <c r="E197" s="1288"/>
      <c r="F197" s="1288"/>
      <c r="G197" s="1288"/>
      <c r="H197" s="1288"/>
      <c r="I197" s="1288"/>
      <c r="J197" s="1295"/>
      <c r="K197" s="1295"/>
      <c r="L197" s="1295"/>
      <c r="M197" s="1295"/>
      <c r="N197" s="1295"/>
      <c r="O197" s="1295"/>
      <c r="P197" s="1295"/>
      <c r="Q197" s="1295"/>
      <c r="R197" s="1295"/>
      <c r="S197" s="1295"/>
      <c r="T197" s="1295"/>
      <c r="U197" s="1295"/>
      <c r="V197" s="1295"/>
      <c r="W197" s="1295"/>
      <c r="X197" s="1295"/>
      <c r="Y197" s="1295"/>
      <c r="Z197" s="1295"/>
      <c r="AA197" s="1295"/>
      <c r="AB197" s="1295"/>
      <c r="AC197" s="1295"/>
      <c r="AD197" s="1295"/>
      <c r="AE197" s="1295"/>
      <c r="AF197" s="1295"/>
      <c r="AG197" s="1295"/>
      <c r="AH197" s="1295"/>
      <c r="AI197" s="1295"/>
      <c r="AJ197" s="1295"/>
      <c r="AK197" s="1295"/>
      <c r="AL197" s="1295"/>
      <c r="AM197" s="1295"/>
      <c r="AN197" s="1295"/>
      <c r="AO197" s="1295"/>
      <c r="AP197" s="1295"/>
      <c r="AQ197" s="1295"/>
      <c r="AR197" s="1295"/>
      <c r="AS197" s="1295"/>
      <c r="AT197" s="1295"/>
      <c r="AU197" s="1295"/>
      <c r="AV197" s="1295"/>
      <c r="AW197" s="1295"/>
      <c r="AX197" s="1295"/>
      <c r="AY197" s="1295"/>
      <c r="AZ197" s="1289"/>
      <c r="BA197" s="1289"/>
      <c r="BB197" s="1289"/>
      <c r="BC197" s="1289"/>
      <c r="BD197" s="1289"/>
      <c r="BE197" s="1295"/>
      <c r="BF197" s="1295"/>
      <c r="BG197" s="1295"/>
      <c r="BH197" s="1295"/>
      <c r="BI197" s="1295"/>
    </row>
    <row r="198" spans="3:61" x14ac:dyDescent="0.3">
      <c r="C198" s="1288"/>
      <c r="D198" s="1288"/>
      <c r="E198" s="1288" t="s">
        <v>1167</v>
      </c>
      <c r="F198" s="1288"/>
      <c r="G198" s="1288"/>
      <c r="H198" s="1288"/>
      <c r="I198" s="1288"/>
      <c r="J198" s="1295">
        <v>94800</v>
      </c>
      <c r="K198" s="1295">
        <v>94800</v>
      </c>
      <c r="L198" s="1295">
        <v>94800</v>
      </c>
      <c r="M198" s="1295">
        <v>94800</v>
      </c>
      <c r="N198" s="1295">
        <v>94800</v>
      </c>
      <c r="O198" s="1295">
        <v>94800</v>
      </c>
      <c r="P198" s="1295">
        <v>94800</v>
      </c>
      <c r="Q198" s="1295">
        <v>94800</v>
      </c>
      <c r="R198" s="1295">
        <v>94800</v>
      </c>
      <c r="S198" s="1295">
        <v>94800</v>
      </c>
      <c r="T198" s="1295">
        <v>94800</v>
      </c>
      <c r="U198" s="1295">
        <v>94800</v>
      </c>
      <c r="V198" s="1295">
        <v>94800</v>
      </c>
      <c r="W198" s="1295">
        <v>94800</v>
      </c>
      <c r="X198" s="1295">
        <v>94800</v>
      </c>
      <c r="Y198" s="1295">
        <v>94800</v>
      </c>
      <c r="Z198" s="1295">
        <v>94800</v>
      </c>
      <c r="AA198" s="1295">
        <v>94800</v>
      </c>
      <c r="AB198" s="1295">
        <v>94800</v>
      </c>
      <c r="AC198" s="1295">
        <v>94800</v>
      </c>
      <c r="AD198" s="1295">
        <v>94800</v>
      </c>
      <c r="AE198" s="1295">
        <v>94800</v>
      </c>
      <c r="AF198" s="1295">
        <v>94800</v>
      </c>
      <c r="AG198" s="1295">
        <v>94800</v>
      </c>
      <c r="AH198" s="1295">
        <v>94800</v>
      </c>
      <c r="AI198" s="1295">
        <v>94800</v>
      </c>
      <c r="AJ198" s="1295">
        <v>94800</v>
      </c>
      <c r="AK198" s="1295">
        <v>94800</v>
      </c>
      <c r="AL198" s="1295">
        <v>94800</v>
      </c>
      <c r="AM198" s="1295">
        <v>94800</v>
      </c>
      <c r="AN198" s="1295">
        <v>94800</v>
      </c>
      <c r="AO198" s="1295">
        <v>94800</v>
      </c>
      <c r="AP198" s="1295">
        <v>94800</v>
      </c>
      <c r="AQ198" s="1295">
        <v>94800</v>
      </c>
      <c r="AR198" s="1295">
        <v>94800</v>
      </c>
      <c r="AS198" s="1295">
        <v>94800</v>
      </c>
      <c r="AT198" s="1295">
        <v>94800</v>
      </c>
      <c r="AU198" s="1295">
        <v>94800</v>
      </c>
      <c r="AV198" s="1295">
        <v>94800</v>
      </c>
      <c r="AW198" s="1295">
        <f>AVERAGE(AV198,AX198)</f>
        <v>94800</v>
      </c>
      <c r="AX198" s="1295">
        <v>94800</v>
      </c>
      <c r="AY198" s="1295">
        <v>0</v>
      </c>
      <c r="AZ198" s="1289"/>
      <c r="BA198" s="1289"/>
      <c r="BB198" s="1289"/>
      <c r="BC198" s="1289"/>
      <c r="BD198" s="1289"/>
      <c r="BE198" s="1295"/>
      <c r="BF198" s="1295"/>
      <c r="BG198" s="1295"/>
      <c r="BH198" s="1295"/>
      <c r="BI198" s="1295"/>
    </row>
    <row r="199" spans="3:61" x14ac:dyDescent="0.3">
      <c r="C199" s="1288"/>
      <c r="D199" s="1288"/>
      <c r="E199" s="1288" t="s">
        <v>1168</v>
      </c>
      <c r="F199" s="1288"/>
      <c r="G199" s="1288"/>
      <c r="H199" s="1288"/>
      <c r="I199" s="1288"/>
      <c r="J199" s="1295">
        <v>571800</v>
      </c>
      <c r="K199" s="1295">
        <v>571800</v>
      </c>
      <c r="L199" s="1295">
        <v>1081188.06</v>
      </c>
      <c r="M199" s="1295">
        <v>1081188.06</v>
      </c>
      <c r="N199" s="1295">
        <v>1081188.06</v>
      </c>
      <c r="O199" s="1295">
        <v>1081188.06</v>
      </c>
      <c r="P199" s="1295">
        <v>1081188.06</v>
      </c>
      <c r="Q199" s="1295">
        <v>1081188.06</v>
      </c>
      <c r="R199" s="1295">
        <v>1081188.06</v>
      </c>
      <c r="S199" s="1295">
        <v>1081188.06</v>
      </c>
      <c r="T199" s="1295">
        <v>1081188.06</v>
      </c>
      <c r="U199" s="1295">
        <v>881377.62</v>
      </c>
      <c r="V199" s="1295">
        <v>881377.62</v>
      </c>
      <c r="W199" s="1295">
        <v>881377.62</v>
      </c>
      <c r="X199" s="1295">
        <v>881377.62</v>
      </c>
      <c r="Y199" s="1295">
        <v>881377.62</v>
      </c>
      <c r="Z199" s="1295">
        <v>881377.62</v>
      </c>
      <c r="AA199" s="1295">
        <v>881377.62</v>
      </c>
      <c r="AB199" s="1295">
        <v>881377.62</v>
      </c>
      <c r="AC199" s="1295">
        <v>881377.62</v>
      </c>
      <c r="AD199" s="1295">
        <v>881377.62</v>
      </c>
      <c r="AE199" s="1295">
        <v>881377.62</v>
      </c>
      <c r="AF199" s="1295">
        <v>881377.62</v>
      </c>
      <c r="AG199" s="1295">
        <v>881378</v>
      </c>
      <c r="AH199" s="1295">
        <v>881378</v>
      </c>
      <c r="AI199" s="1295">
        <v>881378</v>
      </c>
      <c r="AJ199" s="1295">
        <v>881378</v>
      </c>
      <c r="AK199" s="1295">
        <v>881378</v>
      </c>
      <c r="AL199" s="1295">
        <v>881378</v>
      </c>
      <c r="AM199" s="1295">
        <v>881378</v>
      </c>
      <c r="AN199" s="1295">
        <v>881378</v>
      </c>
      <c r="AO199" s="1295">
        <v>881378</v>
      </c>
      <c r="AP199" s="1295">
        <v>881378</v>
      </c>
      <c r="AQ199" s="1295">
        <v>881378</v>
      </c>
      <c r="AR199" s="1295">
        <v>881378</v>
      </c>
      <c r="AS199" s="1295">
        <v>881378</v>
      </c>
      <c r="AT199" s="1295">
        <v>881378</v>
      </c>
      <c r="AU199" s="1295">
        <v>881378</v>
      </c>
      <c r="AV199" s="1295">
        <v>881378</v>
      </c>
      <c r="AW199" s="1295">
        <f>AVERAGE(AV199,AX199)</f>
        <v>881378</v>
      </c>
      <c r="AX199" s="1295">
        <v>881378</v>
      </c>
      <c r="AY199" s="1295">
        <v>0</v>
      </c>
      <c r="AZ199" s="1289">
        <v>114450.4</v>
      </c>
      <c r="BA199" s="1289">
        <v>114450.4</v>
      </c>
      <c r="BB199" s="1289">
        <v>114450.4</v>
      </c>
      <c r="BC199" s="1289">
        <v>114450.4</v>
      </c>
      <c r="BD199" s="1289">
        <v>114450.4</v>
      </c>
      <c r="BE199" s="1295"/>
      <c r="BF199" s="1295"/>
      <c r="BG199" s="1295"/>
      <c r="BH199" s="1295"/>
      <c r="BI199" s="1295"/>
    </row>
    <row r="200" spans="3:61" x14ac:dyDescent="0.3">
      <c r="C200" s="1288"/>
      <c r="D200" s="1288"/>
      <c r="E200" s="1288" t="s">
        <v>1169</v>
      </c>
      <c r="F200" s="1288"/>
      <c r="G200" s="1288"/>
      <c r="H200" s="1288"/>
      <c r="I200" s="1288"/>
      <c r="J200" s="1295">
        <v>-1544000</v>
      </c>
      <c r="K200" s="1295">
        <v>-1544000</v>
      </c>
      <c r="L200" s="1295">
        <v>-1544000</v>
      </c>
      <c r="M200" s="1295">
        <v>-1544000</v>
      </c>
      <c r="N200" s="1295">
        <v>-1544000</v>
      </c>
      <c r="O200" s="1295">
        <v>-1544000</v>
      </c>
      <c r="P200" s="1295">
        <v>-1544000</v>
      </c>
      <c r="Q200" s="1295">
        <v>-1544000</v>
      </c>
      <c r="R200" s="1295">
        <v>-1544000</v>
      </c>
      <c r="S200" s="1295">
        <v>-1544000</v>
      </c>
      <c r="T200" s="1295">
        <v>-1544000</v>
      </c>
      <c r="U200" s="1295">
        <v>-1544000</v>
      </c>
      <c r="V200" s="1295">
        <v>-1544000</v>
      </c>
      <c r="W200" s="1295">
        <v>-1544000</v>
      </c>
      <c r="X200" s="1295">
        <v>-1544000</v>
      </c>
      <c r="Y200" s="1295">
        <v>-1544000</v>
      </c>
      <c r="Z200" s="1295">
        <v>-1544000</v>
      </c>
      <c r="AA200" s="1295">
        <v>-1544000</v>
      </c>
      <c r="AB200" s="1295">
        <v>-1544000</v>
      </c>
      <c r="AC200" s="1295">
        <v>-1544000</v>
      </c>
      <c r="AD200" s="1295">
        <v>-1544000</v>
      </c>
      <c r="AE200" s="1295">
        <v>-1544000</v>
      </c>
      <c r="AF200" s="1295">
        <v>-1544000</v>
      </c>
      <c r="AG200" s="1295">
        <v>-1544000</v>
      </c>
      <c r="AH200" s="1295">
        <v>-1544000</v>
      </c>
      <c r="AI200" s="1295">
        <v>-1544000</v>
      </c>
      <c r="AJ200" s="1295">
        <v>-1544000</v>
      </c>
      <c r="AK200" s="1295">
        <v>-1544000</v>
      </c>
      <c r="AL200" s="1295">
        <v>-1544000</v>
      </c>
      <c r="AM200" s="1295">
        <v>-1544000</v>
      </c>
      <c r="AN200" s="1295">
        <v>-1544000</v>
      </c>
      <c r="AO200" s="1295">
        <v>-1544000</v>
      </c>
      <c r="AP200" s="1295">
        <v>-1544000</v>
      </c>
      <c r="AQ200" s="1295">
        <v>-1544000</v>
      </c>
      <c r="AR200" s="1295">
        <v>-1544000</v>
      </c>
      <c r="AS200" s="1295">
        <v>-1544000</v>
      </c>
      <c r="AT200" s="1295">
        <v>-1544000</v>
      </c>
      <c r="AU200" s="1295">
        <v>-1544000</v>
      </c>
      <c r="AV200" s="1295">
        <v>-1544000</v>
      </c>
      <c r="AW200" s="1295">
        <f>AVERAGE(AV200,AX200)</f>
        <v>-1544000</v>
      </c>
      <c r="AX200" s="1295">
        <v>-1544000</v>
      </c>
      <c r="AY200" s="1295"/>
      <c r="AZ200" s="1289"/>
      <c r="BA200" s="1289"/>
      <c r="BB200" s="1289"/>
      <c r="BC200" s="1289"/>
      <c r="BD200" s="1289"/>
      <c r="BE200" s="1295"/>
      <c r="BF200" s="1295"/>
      <c r="BG200" s="1295"/>
      <c r="BH200" s="1295"/>
      <c r="BI200" s="1295"/>
    </row>
    <row r="201" spans="3:61" x14ac:dyDescent="0.3">
      <c r="C201" s="1288"/>
      <c r="D201" s="1288"/>
      <c r="E201" s="1288" t="s">
        <v>1170</v>
      </c>
      <c r="F201" s="1288"/>
      <c r="G201" s="1288"/>
      <c r="H201" s="1288"/>
      <c r="I201" s="1288"/>
      <c r="J201" s="1295">
        <v>-2970000</v>
      </c>
      <c r="K201" s="1295">
        <v>-2970000</v>
      </c>
      <c r="L201" s="1295">
        <v>-2970000</v>
      </c>
      <c r="M201" s="1295">
        <v>-2970000</v>
      </c>
      <c r="N201" s="1295">
        <v>-2970000</v>
      </c>
      <c r="O201" s="1295">
        <v>-2970000</v>
      </c>
      <c r="P201" s="1295">
        <v>-2970000</v>
      </c>
      <c r="Q201" s="1295">
        <v>-2970000</v>
      </c>
      <c r="R201" s="1295">
        <v>-2970000</v>
      </c>
      <c r="S201" s="1295">
        <v>-2970000</v>
      </c>
      <c r="T201" s="1295">
        <v>-2970000</v>
      </c>
      <c r="U201" s="1295">
        <v>-2970000</v>
      </c>
      <c r="V201" s="1295">
        <v>-2970000</v>
      </c>
      <c r="W201" s="1295">
        <v>-2970000</v>
      </c>
      <c r="X201" s="1295">
        <v>-2970000</v>
      </c>
      <c r="Y201" s="1295">
        <v>-2970000</v>
      </c>
      <c r="Z201" s="1295">
        <v>-2970000</v>
      </c>
      <c r="AA201" s="1295">
        <v>-2970000</v>
      </c>
      <c r="AB201" s="1295">
        <v>-2970000</v>
      </c>
      <c r="AC201" s="1295">
        <v>-2970000</v>
      </c>
      <c r="AD201" s="1295">
        <v>-2970000</v>
      </c>
      <c r="AE201" s="1295">
        <v>-2970000</v>
      </c>
      <c r="AF201" s="1295">
        <v>-2970000</v>
      </c>
      <c r="AG201" s="1295">
        <v>-2970000</v>
      </c>
      <c r="AH201" s="1295">
        <v>-2970000</v>
      </c>
      <c r="AI201" s="1295">
        <v>-2970000</v>
      </c>
      <c r="AJ201" s="1295">
        <v>-2970000</v>
      </c>
      <c r="AK201" s="1295">
        <v>-2970000</v>
      </c>
      <c r="AL201" s="1295">
        <v>-2970000</v>
      </c>
      <c r="AM201" s="1295">
        <v>-2970000</v>
      </c>
      <c r="AN201" s="1295">
        <v>-2970000</v>
      </c>
      <c r="AO201" s="1295">
        <v>-2970000</v>
      </c>
      <c r="AP201" s="1295">
        <v>-2970000</v>
      </c>
      <c r="AQ201" s="1295">
        <v>-2970000</v>
      </c>
      <c r="AR201" s="1295">
        <v>-2970000</v>
      </c>
      <c r="AS201" s="1295">
        <v>-2970000</v>
      </c>
      <c r="AT201" s="1295">
        <v>-2970000</v>
      </c>
      <c r="AU201" s="1295">
        <v>-2970000</v>
      </c>
      <c r="AV201" s="1295">
        <v>-2970000</v>
      </c>
      <c r="AW201" s="1295">
        <f>AVERAGE(AV201,AX201)</f>
        <v>-2970000</v>
      </c>
      <c r="AX201" s="1295">
        <v>-2970000</v>
      </c>
      <c r="AY201" s="1295"/>
      <c r="AZ201" s="1289"/>
      <c r="BA201" s="1289"/>
      <c r="BB201" s="1289"/>
      <c r="BC201" s="1289"/>
      <c r="BD201" s="1289"/>
      <c r="BE201" s="1295"/>
      <c r="BF201" s="1295"/>
      <c r="BG201" s="1295"/>
      <c r="BH201" s="1295"/>
      <c r="BI201" s="1295"/>
    </row>
    <row r="202" spans="3:61" x14ac:dyDescent="0.3">
      <c r="C202" s="1288"/>
      <c r="D202" s="1288"/>
      <c r="E202" s="1288" t="s">
        <v>1171</v>
      </c>
      <c r="F202" s="1288"/>
      <c r="G202" s="1288"/>
      <c r="H202" s="1288"/>
      <c r="I202" s="1288"/>
      <c r="J202" s="1295">
        <v>2897107.7</v>
      </c>
      <c r="K202" s="1295">
        <v>2897107.7</v>
      </c>
      <c r="L202" s="1295">
        <v>2897107.7</v>
      </c>
      <c r="M202" s="1295">
        <v>2897107.7</v>
      </c>
      <c r="N202" s="1295">
        <v>2897107.7</v>
      </c>
      <c r="O202" s="1295">
        <v>2897107.7</v>
      </c>
      <c r="P202" s="1295">
        <v>2897107.7</v>
      </c>
      <c r="Q202" s="1295">
        <v>2897107.7</v>
      </c>
      <c r="R202" s="1295">
        <v>2897107.7</v>
      </c>
      <c r="S202" s="1295">
        <v>2897107.7</v>
      </c>
      <c r="T202" s="1295">
        <v>2897107.7</v>
      </c>
      <c r="U202" s="1295">
        <v>2904647.7</v>
      </c>
      <c r="V202" s="1295">
        <v>3134551.76</v>
      </c>
      <c r="W202" s="1295">
        <v>3134551.76</v>
      </c>
      <c r="X202" s="1295">
        <v>3134551.76</v>
      </c>
      <c r="Y202" s="1295">
        <v>3134551.76</v>
      </c>
      <c r="Z202" s="1295">
        <v>3134551.76</v>
      </c>
      <c r="AA202" s="1295">
        <v>3134551.76</v>
      </c>
      <c r="AB202" s="1295">
        <v>3134551.76</v>
      </c>
      <c r="AC202" s="1295">
        <v>3134551.76</v>
      </c>
      <c r="AD202" s="1295">
        <v>3134551.76</v>
      </c>
      <c r="AE202" s="1295">
        <v>3134551.76</v>
      </c>
      <c r="AF202" s="1295">
        <v>3134551.76</v>
      </c>
      <c r="AG202" s="1295">
        <v>2945047.06</v>
      </c>
      <c r="AH202" s="1295">
        <v>4220151.1900000004</v>
      </c>
      <c r="AI202" s="1295">
        <v>4220151.1900000004</v>
      </c>
      <c r="AJ202" s="1295">
        <v>4220151.1900000004</v>
      </c>
      <c r="AK202" s="1295">
        <v>4220151.1900000004</v>
      </c>
      <c r="AL202" s="1295">
        <v>4220151.1900000004</v>
      </c>
      <c r="AM202" s="1295">
        <v>4220151.1900000004</v>
      </c>
      <c r="AN202" s="1295">
        <v>4220151.1900000004</v>
      </c>
      <c r="AO202" s="1295">
        <v>4220151.1900000004</v>
      </c>
      <c r="AP202" s="1295">
        <v>4220151.1900000004</v>
      </c>
      <c r="AQ202" s="1295">
        <v>4220151.1900000004</v>
      </c>
      <c r="AR202" s="1295">
        <v>4220151.1900000004</v>
      </c>
      <c r="AS202" s="1295">
        <v>4220151.1900000004</v>
      </c>
      <c r="AT202" s="1295">
        <v>4846299.5999999996</v>
      </c>
      <c r="AU202" s="1295">
        <v>4846299.5999999996</v>
      </c>
      <c r="AV202" s="1295">
        <v>4846299.5999999996</v>
      </c>
      <c r="AW202" s="1295">
        <f>AVERAGE(AV202,AX202)</f>
        <v>4846299.5999999996</v>
      </c>
      <c r="AX202" s="1295">
        <v>4846299.5999999996</v>
      </c>
      <c r="AY202" s="1295"/>
      <c r="AZ202" s="1289">
        <v>-270.94</v>
      </c>
      <c r="BA202" s="1289">
        <v>-270.94</v>
      </c>
      <c r="BB202" s="1289">
        <v>-270.94</v>
      </c>
      <c r="BC202" s="1289"/>
      <c r="BD202" s="1289"/>
      <c r="BE202" s="1295"/>
      <c r="BF202" s="1295"/>
      <c r="BG202" s="1295"/>
      <c r="BH202" s="1295"/>
      <c r="BI202" s="1295"/>
    </row>
    <row r="203" spans="3:61" x14ac:dyDescent="0.3">
      <c r="C203" s="1288"/>
      <c r="D203" s="1288"/>
      <c r="E203" s="1288" t="s">
        <v>1172</v>
      </c>
      <c r="F203" s="1288"/>
      <c r="G203" s="1288"/>
      <c r="H203" s="1288"/>
      <c r="I203" s="1288"/>
      <c r="J203" s="1295">
        <v>-8000</v>
      </c>
      <c r="K203" s="1295">
        <v>-16000</v>
      </c>
      <c r="L203" s="1295">
        <v>-64143</v>
      </c>
      <c r="M203" s="1295">
        <v>-72143</v>
      </c>
      <c r="N203" s="1295">
        <v>-83033</v>
      </c>
      <c r="O203" s="1295">
        <v>-86293</v>
      </c>
      <c r="P203" s="1295">
        <v>-134293</v>
      </c>
      <c r="Q203" s="1295">
        <v>-142293</v>
      </c>
      <c r="R203" s="1295">
        <v>-163293</v>
      </c>
      <c r="S203" s="1295">
        <v>-177254</v>
      </c>
      <c r="T203" s="1295">
        <v>-191810.44</v>
      </c>
      <c r="U203" s="1295">
        <v>0</v>
      </c>
      <c r="V203" s="1295">
        <v>-16352</v>
      </c>
      <c r="W203" s="1295">
        <v>-24352</v>
      </c>
      <c r="X203" s="1295">
        <v>-38589</v>
      </c>
      <c r="Y203" s="1295">
        <v>-63485.8</v>
      </c>
      <c r="Z203" s="1295">
        <v>-71485.8</v>
      </c>
      <c r="AA203" s="1295">
        <v>-97675.8</v>
      </c>
      <c r="AB203" s="1295">
        <v>-106484.58</v>
      </c>
      <c r="AC203" s="1295">
        <v>-114484.58</v>
      </c>
      <c r="AD203" s="1295">
        <v>-153155.07999999999</v>
      </c>
      <c r="AE203" s="1295">
        <v>-165155.07999999999</v>
      </c>
      <c r="AF203" s="1295">
        <v>-173155.08</v>
      </c>
      <c r="AG203" s="1295">
        <v>0</v>
      </c>
      <c r="AH203" s="1295">
        <v>-20600</v>
      </c>
      <c r="AI203" s="1295">
        <v>-29100</v>
      </c>
      <c r="AJ203" s="1295">
        <v>-42600</v>
      </c>
      <c r="AK203" s="1295">
        <v>-265655</v>
      </c>
      <c r="AL203" s="1295">
        <v>-275253</v>
      </c>
      <c r="AM203" s="1295">
        <v>-349147</v>
      </c>
      <c r="AN203" s="1295">
        <v>-358147</v>
      </c>
      <c r="AO203" s="1295">
        <v>-368236.18</v>
      </c>
      <c r="AP203" s="1295">
        <v>-452023.86</v>
      </c>
      <c r="AQ203" s="1295">
        <v>-461023.86</v>
      </c>
      <c r="AR203" s="1295">
        <v>-479523.86</v>
      </c>
      <c r="AS203" s="1295">
        <v>-499899.21</v>
      </c>
      <c r="AT203" s="1295">
        <v>-69000</v>
      </c>
      <c r="AU203" s="1295">
        <v>-82000</v>
      </c>
      <c r="AV203" s="1295">
        <v>-119375</v>
      </c>
      <c r="AW203" s="1295">
        <f>AV203</f>
        <v>-119375</v>
      </c>
      <c r="AX203" s="1295">
        <v>-210675</v>
      </c>
      <c r="AY203" s="1295"/>
      <c r="AZ203" s="1289"/>
      <c r="BA203" s="1289"/>
      <c r="BB203" s="1289"/>
      <c r="BC203" s="1289"/>
      <c r="BD203" s="1289"/>
      <c r="BE203" s="1295"/>
      <c r="BF203" s="1295"/>
      <c r="BG203" s="1295"/>
      <c r="BH203" s="1295"/>
      <c r="BI203" s="1295"/>
    </row>
    <row r="204" spans="3:61" ht="15" thickBot="1" x14ac:dyDescent="0.35">
      <c r="C204" s="1288"/>
      <c r="D204" s="1288"/>
      <c r="E204" s="1288" t="s">
        <v>202</v>
      </c>
      <c r="F204" s="1288"/>
      <c r="G204" s="1288"/>
      <c r="H204" s="1288"/>
      <c r="I204" s="1288"/>
      <c r="J204" s="1295">
        <v>41513.11</v>
      </c>
      <c r="K204" s="1295">
        <v>93954.87</v>
      </c>
      <c r="L204" s="1295">
        <v>48555.44</v>
      </c>
      <c r="M204" s="1295">
        <v>12774.9</v>
      </c>
      <c r="N204" s="1295">
        <v>-3119.4</v>
      </c>
      <c r="O204" s="1295">
        <v>-4130.33</v>
      </c>
      <c r="P204" s="1295">
        <v>16058.86</v>
      </c>
      <c r="Q204" s="1295">
        <v>-9464.27</v>
      </c>
      <c r="R204" s="1295">
        <v>-9895.25</v>
      </c>
      <c r="S204" s="1295">
        <v>15312.62</v>
      </c>
      <c r="T204" s="1295">
        <v>61528.34</v>
      </c>
      <c r="U204" s="1295">
        <v>228337.06</v>
      </c>
      <c r="V204" s="1295">
        <v>-27104.95</v>
      </c>
      <c r="W204" s="1295">
        <v>-35980.959999999999</v>
      </c>
      <c r="X204" s="1295">
        <v>65420.09</v>
      </c>
      <c r="Y204" s="1295">
        <v>75974.47</v>
      </c>
      <c r="Z204" s="1295">
        <v>182517.1</v>
      </c>
      <c r="AA204" s="1295">
        <v>857337.57</v>
      </c>
      <c r="AB204" s="1295">
        <v>868778.7</v>
      </c>
      <c r="AC204" s="1295">
        <v>1029731.58</v>
      </c>
      <c r="AD204" s="1295">
        <v>966090.25</v>
      </c>
      <c r="AE204" s="1295">
        <v>971320.56</v>
      </c>
      <c r="AF204" s="1295">
        <v>1040797.92</v>
      </c>
      <c r="AG204" s="1295">
        <v>1266350.1299999999</v>
      </c>
      <c r="AH204" s="1295">
        <v>42626.16</v>
      </c>
      <c r="AI204" s="1295">
        <v>52800.639999999999</v>
      </c>
      <c r="AJ204" s="1295">
        <v>239332.19</v>
      </c>
      <c r="AK204" s="1295">
        <v>394795.73</v>
      </c>
      <c r="AL204" s="1295">
        <v>465324.83</v>
      </c>
      <c r="AM204" s="1295">
        <v>450160.32</v>
      </c>
      <c r="AN204" s="1295">
        <v>576321.18000000005</v>
      </c>
      <c r="AO204" s="1295">
        <v>795767.75</v>
      </c>
      <c r="AP204" s="1295">
        <v>1001181.61</v>
      </c>
      <c r="AQ204" s="1295">
        <v>1040824.75</v>
      </c>
      <c r="AR204" s="1295">
        <v>1146843.79</v>
      </c>
      <c r="AS204" s="1295">
        <v>1126052.5</v>
      </c>
      <c r="AT204" s="1295">
        <v>145854.64000000001</v>
      </c>
      <c r="AU204" s="1295">
        <v>298655.53000000003</v>
      </c>
      <c r="AV204" s="1295">
        <v>462327.99</v>
      </c>
      <c r="AW204" s="1295">
        <f>AW91</f>
        <v>95778.198489999995</v>
      </c>
      <c r="AX204" s="1295">
        <v>614198.36</v>
      </c>
      <c r="AY204" s="1295">
        <v>0</v>
      </c>
      <c r="AZ204" s="1289">
        <v>-346066.77</v>
      </c>
      <c r="BA204" s="1289">
        <v>-333234.23</v>
      </c>
      <c r="BB204" s="1289">
        <v>-222827.96</v>
      </c>
      <c r="BC204" s="1289">
        <v>-104828.45</v>
      </c>
      <c r="BD204" s="1289">
        <v>-13701.18</v>
      </c>
      <c r="BE204" s="1295"/>
      <c r="BF204" s="1295"/>
      <c r="BG204" s="1295"/>
      <c r="BH204" s="1295"/>
      <c r="BI204" s="1295"/>
    </row>
    <row r="205" spans="3:61" ht="15" thickBot="1" x14ac:dyDescent="0.35">
      <c r="C205" s="1288"/>
      <c r="D205" s="1288" t="s">
        <v>1173</v>
      </c>
      <c r="E205" s="1288"/>
      <c r="F205" s="1288"/>
      <c r="G205" s="1288"/>
      <c r="H205" s="1288"/>
      <c r="I205" s="1288"/>
      <c r="J205" s="1300">
        <v>-916779.19</v>
      </c>
      <c r="K205" s="1300">
        <v>-872337.43</v>
      </c>
      <c r="L205" s="1300">
        <v>-456491.8</v>
      </c>
      <c r="M205" s="1300">
        <v>-500272.34</v>
      </c>
      <c r="N205" s="1300">
        <v>-527056.64000000001</v>
      </c>
      <c r="O205" s="1300">
        <v>-531327.56999999995</v>
      </c>
      <c r="P205" s="1300">
        <v>-559138.38</v>
      </c>
      <c r="Q205" s="1300">
        <v>-592661.51</v>
      </c>
      <c r="R205" s="1300">
        <v>-614092.49</v>
      </c>
      <c r="S205" s="1300">
        <v>-602845.62</v>
      </c>
      <c r="T205" s="1300">
        <v>-571186.34</v>
      </c>
      <c r="U205" s="1300">
        <v>-404837.62</v>
      </c>
      <c r="V205" s="1300">
        <v>-446727.57</v>
      </c>
      <c r="W205" s="1300">
        <v>-463603.58</v>
      </c>
      <c r="X205" s="1300">
        <v>-376439.53</v>
      </c>
      <c r="Y205" s="1300">
        <v>-390781.95</v>
      </c>
      <c r="Z205" s="1300">
        <v>-292239.32</v>
      </c>
      <c r="AA205" s="1300">
        <v>356391.15</v>
      </c>
      <c r="AB205" s="1300">
        <v>359023.5</v>
      </c>
      <c r="AC205" s="1300">
        <v>511976.38</v>
      </c>
      <c r="AD205" s="1300">
        <v>409664.55</v>
      </c>
      <c r="AE205" s="1300">
        <v>402894.86</v>
      </c>
      <c r="AF205" s="1300">
        <v>464372.22</v>
      </c>
      <c r="AG205" s="1300">
        <v>673575.19</v>
      </c>
      <c r="AH205" s="1300">
        <v>704355.35</v>
      </c>
      <c r="AI205" s="1300">
        <v>706029.83</v>
      </c>
      <c r="AJ205" s="1300">
        <v>879061.38</v>
      </c>
      <c r="AK205" s="1300">
        <v>811469.92</v>
      </c>
      <c r="AL205" s="1300">
        <v>872401.02</v>
      </c>
      <c r="AM205" s="1300">
        <v>783342.51</v>
      </c>
      <c r="AN205" s="1300">
        <v>900503.37</v>
      </c>
      <c r="AO205" s="1300">
        <v>1109860.76</v>
      </c>
      <c r="AP205" s="1300">
        <v>1231486.94</v>
      </c>
      <c r="AQ205" s="1300">
        <v>1262130.08</v>
      </c>
      <c r="AR205" s="1300">
        <v>1349649.12</v>
      </c>
      <c r="AS205" s="1300">
        <v>1308482.48</v>
      </c>
      <c r="AT205" s="1300">
        <f t="shared" ref="AT205:AY205" si="47">ROUND(SUM(AT197:AT204),5)</f>
        <v>1385332.24</v>
      </c>
      <c r="AU205" s="1300">
        <f t="shared" si="47"/>
        <v>1525133.13</v>
      </c>
      <c r="AV205" s="1300">
        <f t="shared" si="47"/>
        <v>1651430.59</v>
      </c>
      <c r="AW205" s="1300">
        <f t="shared" si="47"/>
        <v>1284880.79849</v>
      </c>
      <c r="AX205" s="1300">
        <f t="shared" si="47"/>
        <v>1712000.96</v>
      </c>
      <c r="AY205" s="1300">
        <f t="shared" si="47"/>
        <v>0</v>
      </c>
      <c r="AZ205" s="1292">
        <v>-231887.31</v>
      </c>
      <c r="BA205" s="1292">
        <v>-219054.77</v>
      </c>
      <c r="BB205" s="1292">
        <v>-108648.5</v>
      </c>
      <c r="BC205" s="1292">
        <f>ROUND(SUM(BC197:BC204),5)</f>
        <v>9621.9500000000007</v>
      </c>
      <c r="BD205" s="1292">
        <f>ROUND(SUM(BD197:BD204),5)</f>
        <v>100749.22</v>
      </c>
      <c r="BE205" s="1300"/>
      <c r="BF205" s="1300"/>
      <c r="BG205" s="1300"/>
      <c r="BH205" s="1300"/>
      <c r="BI205" s="1300"/>
    </row>
    <row r="206" spans="3:61" ht="15" thickBot="1" x14ac:dyDescent="0.35">
      <c r="C206" s="1288" t="s">
        <v>1174</v>
      </c>
      <c r="D206" s="1288"/>
      <c r="E206" s="1288"/>
      <c r="F206" s="1288"/>
      <c r="G206" s="1288"/>
      <c r="H206" s="1288"/>
      <c r="I206" s="1288"/>
      <c r="J206" s="1301">
        <v>2646658.62</v>
      </c>
      <c r="K206" s="1301">
        <v>2334433.41</v>
      </c>
      <c r="L206" s="1301">
        <v>2062108.51</v>
      </c>
      <c r="M206" s="1301">
        <v>2049393.75</v>
      </c>
      <c r="N206" s="1301">
        <v>2023809.72</v>
      </c>
      <c r="O206" s="1301">
        <v>2086428.49</v>
      </c>
      <c r="P206" s="1301">
        <v>2177219.36</v>
      </c>
      <c r="Q206" s="1301">
        <v>2276006.08</v>
      </c>
      <c r="R206" s="1301">
        <v>2286173.7799999998</v>
      </c>
      <c r="S206" s="1301">
        <v>2176149.67</v>
      </c>
      <c r="T206" s="1301">
        <v>2296338.9300000002</v>
      </c>
      <c r="U206" s="1301">
        <v>2119928.4700000002</v>
      </c>
      <c r="V206" s="1301">
        <v>2496147.08</v>
      </c>
      <c r="W206" s="1301">
        <v>2464585.33</v>
      </c>
      <c r="X206" s="1301">
        <v>2692354.3</v>
      </c>
      <c r="Y206" s="1301">
        <v>2736981.99</v>
      </c>
      <c r="Z206" s="1301">
        <v>2684934.52</v>
      </c>
      <c r="AA206" s="1301">
        <v>3067334.03</v>
      </c>
      <c r="AB206" s="1301">
        <v>3041182.2</v>
      </c>
      <c r="AC206" s="1301">
        <v>3215117.14</v>
      </c>
      <c r="AD206" s="1301">
        <v>3498730.62</v>
      </c>
      <c r="AE206" s="1301">
        <v>3479514.69</v>
      </c>
      <c r="AF206" s="1301">
        <v>3574879.75</v>
      </c>
      <c r="AG206" s="1301">
        <v>3145243.71</v>
      </c>
      <c r="AH206" s="1301">
        <v>3436379.96</v>
      </c>
      <c r="AI206" s="1301">
        <v>3153029</v>
      </c>
      <c r="AJ206" s="1301">
        <v>3341323.17</v>
      </c>
      <c r="AK206" s="1301">
        <v>3165761.85</v>
      </c>
      <c r="AL206" s="1301">
        <v>2516187.5499999998</v>
      </c>
      <c r="AM206" s="1301">
        <v>3100923.95</v>
      </c>
      <c r="AN206" s="1301">
        <v>3508653.29</v>
      </c>
      <c r="AO206" s="1301">
        <v>3647002.89</v>
      </c>
      <c r="AP206" s="1301">
        <v>3717626.45</v>
      </c>
      <c r="AQ206" s="1301">
        <v>3868916.66</v>
      </c>
      <c r="AR206" s="1301">
        <v>3817851.94</v>
      </c>
      <c r="AS206" s="1301">
        <v>3374481.36</v>
      </c>
      <c r="AT206" s="1301">
        <f t="shared" ref="AT206:AY206" si="48">ROUND(AT156+AT196+AT205,5)</f>
        <v>3223867.96</v>
      </c>
      <c r="AU206" s="1301">
        <f t="shared" si="48"/>
        <v>3292529.41</v>
      </c>
      <c r="AV206" s="1301">
        <f t="shared" si="48"/>
        <v>3136035.79</v>
      </c>
      <c r="AW206" s="1301">
        <f t="shared" si="48"/>
        <v>2725306.3234899999</v>
      </c>
      <c r="AX206" s="1301">
        <f t="shared" si="48"/>
        <v>3127874.62</v>
      </c>
      <c r="AY206" s="1301">
        <f t="shared" si="48"/>
        <v>3575950.3</v>
      </c>
      <c r="AZ206" s="1293">
        <v>3462765.68</v>
      </c>
      <c r="BA206" s="1293">
        <v>3447668.37</v>
      </c>
      <c r="BB206" s="1293">
        <v>3638038.81</v>
      </c>
      <c r="BC206" s="1293">
        <f>ROUND(BC156+BC196+BC205,5)</f>
        <v>3618367.16</v>
      </c>
      <c r="BD206" s="1293">
        <f>ROUND(BD156+BD196+BD205,5)</f>
        <v>3840998.72</v>
      </c>
      <c r="BE206" s="1301"/>
      <c r="BF206" s="1301"/>
      <c r="BG206" s="1301"/>
      <c r="BH206" s="1301"/>
      <c r="BI206" s="1301"/>
    </row>
    <row r="207" spans="3:61" ht="15" thickTop="1" x14ac:dyDescent="0.3">
      <c r="AW207" s="1310"/>
      <c r="AX207" s="1310"/>
      <c r="AY207" s="1310"/>
      <c r="AZ207" s="1310"/>
      <c r="BB207" s="1310"/>
      <c r="BC207" s="1310"/>
      <c r="BD207" s="1310"/>
      <c r="BE207" s="1310"/>
      <c r="BF207" s="1310"/>
      <c r="BG207" s="1310"/>
      <c r="BH207" s="1310"/>
      <c r="BI207" s="1310"/>
    </row>
    <row r="208" spans="3:61" x14ac:dyDescent="0.3">
      <c r="AW208" s="1310">
        <f>AW206-AW155</f>
        <v>-9296.9289800003171</v>
      </c>
      <c r="AX208" s="1310"/>
      <c r="AY208" s="1310">
        <f>AY206-AY155</f>
        <v>0</v>
      </c>
      <c r="AZ208" s="1310"/>
      <c r="BA208" s="1471">
        <f>BA204-AZ204</f>
        <v>12832.540000000037</v>
      </c>
      <c r="BB208" s="1310"/>
      <c r="BC208" s="1310"/>
      <c r="BD208" s="1310"/>
      <c r="BE208" s="1310"/>
      <c r="BF208" s="1310"/>
      <c r="BG208" s="1310"/>
      <c r="BH208" s="1310"/>
      <c r="BI208" s="1310"/>
    </row>
    <row r="209" spans="49:61" x14ac:dyDescent="0.3">
      <c r="AW209" s="1310"/>
      <c r="AX209" s="1310"/>
      <c r="AY209" s="1310"/>
      <c r="AZ209" s="1310"/>
      <c r="BA209" s="1472">
        <f>BA208-BA91</f>
        <v>-13.060179999962202</v>
      </c>
      <c r="BB209" s="1310"/>
      <c r="BC209" s="1310"/>
      <c r="BD209" s="1310"/>
      <c r="BE209" s="1310"/>
      <c r="BF209" s="1310"/>
      <c r="BG209" s="1310"/>
      <c r="BH209" s="1310"/>
      <c r="BI209" s="1310"/>
    </row>
    <row r="210" spans="49:61" x14ac:dyDescent="0.3">
      <c r="AW210" s="1310"/>
      <c r="AX210" s="1310"/>
      <c r="AY210" s="1310"/>
      <c r="AZ210" s="1310"/>
      <c r="BA210" s="1310"/>
      <c r="BB210" s="1310"/>
      <c r="BC210" s="1310"/>
      <c r="BD210" s="1310"/>
      <c r="BE210" s="1310"/>
      <c r="BF210" s="1310"/>
      <c r="BG210" s="1310"/>
      <c r="BH210" s="1310"/>
      <c r="BI210" s="1310"/>
    </row>
    <row r="211" spans="49:61" x14ac:dyDescent="0.3">
      <c r="AW211" s="1310"/>
      <c r="AX211" s="1310"/>
      <c r="AY211" s="1310"/>
      <c r="AZ211" s="1310"/>
      <c r="BA211" s="1310"/>
      <c r="BB211" s="1310"/>
      <c r="BC211" s="1310"/>
      <c r="BD211" s="1310"/>
      <c r="BE211" s="1310"/>
      <c r="BF211" s="1310"/>
      <c r="BG211" s="1310"/>
      <c r="BH211" s="1310"/>
      <c r="BI211" s="1310"/>
    </row>
    <row r="212" spans="49:61" x14ac:dyDescent="0.3">
      <c r="AW212" s="1310"/>
      <c r="AX212" s="1310"/>
      <c r="AY212" s="1310"/>
      <c r="AZ212" s="1310"/>
      <c r="BA212" s="1310"/>
      <c r="BB212" s="1310"/>
      <c r="BC212" s="1310"/>
      <c r="BD212" s="1310"/>
      <c r="BE212" s="1310"/>
      <c r="BF212" s="1310"/>
      <c r="BG212" s="1310"/>
      <c r="BH212" s="1310"/>
      <c r="BI212" s="1310"/>
    </row>
    <row r="213" spans="49:61" x14ac:dyDescent="0.3">
      <c r="AW213" s="1310"/>
      <c r="AX213" s="1310"/>
      <c r="AY213" s="1310"/>
      <c r="AZ213" s="1310"/>
      <c r="BA213" s="1310"/>
      <c r="BB213" s="1310"/>
      <c r="BC213" s="1310"/>
      <c r="BD213" s="1310"/>
      <c r="BE213" s="1310"/>
      <c r="BF213" s="1310"/>
      <c r="BG213" s="1310"/>
      <c r="BH213" s="1310"/>
      <c r="BI213" s="1310"/>
    </row>
    <row r="214" spans="49:61" x14ac:dyDescent="0.3">
      <c r="AW214" s="1310"/>
      <c r="AX214" s="1310"/>
      <c r="AY214" s="1310"/>
      <c r="AZ214" s="1310"/>
      <c r="BA214" s="1310"/>
      <c r="BB214" s="1310"/>
      <c r="BC214" s="1310"/>
      <c r="BD214" s="1310"/>
      <c r="BE214" s="1310"/>
      <c r="BF214" s="1310"/>
      <c r="BG214" s="1310"/>
      <c r="BH214" s="1310"/>
      <c r="BI214" s="1310"/>
    </row>
    <row r="215" spans="49:61" x14ac:dyDescent="0.3">
      <c r="AW215" s="1310"/>
      <c r="AX215" s="1310"/>
      <c r="AY215" s="1310"/>
      <c r="AZ215" s="1310"/>
      <c r="BA215" s="1310"/>
      <c r="BB215" s="1310"/>
      <c r="BC215" s="1310"/>
      <c r="BD215" s="1310"/>
      <c r="BE215" s="1310"/>
      <c r="BF215" s="1310"/>
      <c r="BG215" s="1310"/>
      <c r="BH215" s="1310"/>
      <c r="BI215" s="1310"/>
    </row>
  </sheetData>
  <phoneticPr fontId="68" type="noConversion"/>
  <pageMargins left="0.7" right="0.7" top="0.75" bottom="0.75" header="0.1" footer="0.3"/>
  <pageSetup orientation="portrait" r:id="rId1"/>
  <headerFooter>
    <oddHeader>&amp;L&amp;"Arial,Bold"&amp;8 8:52 AM
&amp;"Arial,Bold"&amp;8 05/18/23
&amp;"Arial,Bold"&amp;8 Accrual Basis&amp;C&amp;"Arial,Bold"&amp;12 Heritage Equipment Company
&amp;"Arial,Bold"&amp;14 Profit &amp;&amp; Loss
&amp;"Arial,Bold"&amp;10 January 2020 through April 2023</oddHeader>
    <oddFooter>&amp;R&amp;"Arial,Bold"&amp;8 Page &amp;P of &amp;N</oddFooter>
  </headerFooter>
  <drawing r:id="rId2"/>
  <legacyDrawing r:id="rId3"/>
  <controls>
    <mc:AlternateContent xmlns:mc="http://schemas.openxmlformats.org/markup-compatibility/2006">
      <mc:Choice Requires="x14">
        <control shapeId="39937" r:id="rId4" name="FILTER">
          <controlPr defaultSize="0" autoLine="0" r:id="rId5">
            <anchor moveWithCells="1">
              <from>
                <xdr:col>2</xdr:col>
                <xdr:colOff>0</xdr:colOff>
                <xdr:row>0</xdr:row>
                <xdr:rowOff>0</xdr:rowOff>
              </from>
              <to>
                <xdr:col>6</xdr:col>
                <xdr:colOff>91440</xdr:colOff>
                <xdr:row>1</xdr:row>
                <xdr:rowOff>38100</xdr:rowOff>
              </to>
            </anchor>
          </controlPr>
        </control>
      </mc:Choice>
      <mc:Fallback>
        <control shapeId="39937" r:id="rId4" name="FILTER"/>
      </mc:Fallback>
    </mc:AlternateContent>
    <mc:AlternateContent xmlns:mc="http://schemas.openxmlformats.org/markup-compatibility/2006">
      <mc:Choice Requires="x14">
        <control shapeId="39938" r:id="rId6" name="HEADER">
          <controlPr defaultSize="0" autoLine="0" r:id="rId7">
            <anchor moveWithCells="1">
              <from>
                <xdr:col>2</xdr:col>
                <xdr:colOff>0</xdr:colOff>
                <xdr:row>0</xdr:row>
                <xdr:rowOff>0</xdr:rowOff>
              </from>
              <to>
                <xdr:col>6</xdr:col>
                <xdr:colOff>91440</xdr:colOff>
                <xdr:row>1</xdr:row>
                <xdr:rowOff>38100</xdr:rowOff>
              </to>
            </anchor>
          </controlPr>
        </control>
      </mc:Choice>
      <mc:Fallback>
        <control shapeId="39938" r:id="rId6" name="HEAD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6A0FD-1BD5-40AD-8062-44F8C5CB26C9}">
  <sheetPr>
    <tabColor theme="9" tint="0.79998168889431442"/>
  </sheetPr>
  <dimension ref="E1:CJ74"/>
  <sheetViews>
    <sheetView zoomScale="120" zoomScaleNormal="120" workbookViewId="0">
      <pane xSplit="6" ySplit="1" topLeftCell="BG2" activePane="bottomRight" state="frozen"/>
      <selection pane="topRight" activeCell="G1" sqref="G1"/>
      <selection pane="bottomLeft" activeCell="A2" sqref="A2"/>
      <selection pane="bottomRight" activeCell="BH8" sqref="BH8"/>
    </sheetView>
  </sheetViews>
  <sheetFormatPr defaultRowHeight="10.199999999999999" x14ac:dyDescent="0.2"/>
  <cols>
    <col min="1" max="5" width="8.88671875" style="1664"/>
    <col min="6" max="6" width="8.88671875" style="1665"/>
    <col min="7" max="10" width="9.88671875" style="1664" customWidth="1"/>
    <col min="11" max="11" width="11.44140625" style="1664" customWidth="1"/>
    <col min="12" max="44" width="9.88671875" style="1664" customWidth="1"/>
    <col min="45" max="45" width="8.88671875" style="1664"/>
    <col min="46" max="46" width="2.33203125" style="1664" customWidth="1"/>
    <col min="47" max="47" width="32.5546875" style="1664" customWidth="1"/>
    <col min="48" max="48" width="12.21875" style="1664" customWidth="1"/>
    <col min="49" max="49" width="8.88671875" style="1664"/>
    <col min="50" max="50" width="7.88671875" style="1664" bestFit="1" customWidth="1"/>
    <col min="51" max="51" width="8.88671875" style="1664"/>
    <col min="52" max="52" width="7.88671875" style="1664" bestFit="1" customWidth="1"/>
    <col min="53" max="55" width="8.88671875" style="1664"/>
    <col min="56" max="56" width="14.21875" style="1664" customWidth="1"/>
    <col min="57" max="57" width="8.88671875" style="1664"/>
    <col min="58" max="59" width="23.21875" style="1664" customWidth="1"/>
    <col min="60" max="61" width="10.5546875" style="1664" bestFit="1" customWidth="1"/>
    <col min="62" max="73" width="10.109375" style="1664" bestFit="1" customWidth="1"/>
    <col min="74" max="74" width="8.88671875" style="1664"/>
    <col min="75" max="75" width="14.109375" style="1664" bestFit="1" customWidth="1"/>
    <col min="76" max="76" width="10.5546875" style="1664" bestFit="1" customWidth="1"/>
    <col min="77" max="82" width="8.88671875" style="1664"/>
    <col min="83" max="83" width="11.6640625" style="1664" customWidth="1"/>
    <col min="84" max="84" width="11.5546875" style="1664" customWidth="1"/>
    <col min="85" max="85" width="11.6640625" style="1664" customWidth="1"/>
    <col min="86" max="86" width="12" style="1664" customWidth="1"/>
    <col min="87" max="87" width="12.109375" style="1664" customWidth="1"/>
    <col min="88" max="88" width="12.77734375" style="1664" customWidth="1"/>
    <col min="89" max="16384" width="8.88671875" style="1664"/>
  </cols>
  <sheetData>
    <row r="1" spans="5:88" ht="15" thickBot="1" x14ac:dyDescent="0.35">
      <c r="G1" s="1666" t="s">
        <v>1393</v>
      </c>
      <c r="H1" s="1666" t="s">
        <v>1394</v>
      </c>
      <c r="I1" s="1666" t="s">
        <v>1395</v>
      </c>
      <c r="J1" s="1666" t="s">
        <v>1396</v>
      </c>
      <c r="K1" s="1666" t="s">
        <v>1397</v>
      </c>
      <c r="L1" s="1666" t="s">
        <v>946</v>
      </c>
      <c r="M1" s="1666" t="s">
        <v>947</v>
      </c>
      <c r="N1" s="1666" t="s">
        <v>948</v>
      </c>
      <c r="O1" s="1666" t="s">
        <v>949</v>
      </c>
      <c r="P1" s="1666" t="s">
        <v>950</v>
      </c>
      <c r="Q1" s="1666" t="s">
        <v>951</v>
      </c>
      <c r="R1" s="1666" t="s">
        <v>952</v>
      </c>
      <c r="S1" s="1666" t="s">
        <v>953</v>
      </c>
      <c r="T1" s="1666" t="s">
        <v>954</v>
      </c>
      <c r="U1" s="1666" t="s">
        <v>955</v>
      </c>
      <c r="V1" s="1666" t="s">
        <v>956</v>
      </c>
      <c r="W1" s="1666" t="s">
        <v>957</v>
      </c>
      <c r="X1" s="1666" t="s">
        <v>958</v>
      </c>
      <c r="Y1" s="1666" t="s">
        <v>959</v>
      </c>
      <c r="Z1" s="1666" t="s">
        <v>960</v>
      </c>
      <c r="AA1" s="1666" t="s">
        <v>961</v>
      </c>
      <c r="AB1" s="1666" t="s">
        <v>962</v>
      </c>
      <c r="AC1" s="1666" t="s">
        <v>963</v>
      </c>
      <c r="AD1" s="1666" t="s">
        <v>964</v>
      </c>
      <c r="AE1" s="1666" t="s">
        <v>965</v>
      </c>
      <c r="AF1" s="1666" t="s">
        <v>966</v>
      </c>
      <c r="AG1" s="1666" t="s">
        <v>967</v>
      </c>
      <c r="AH1" s="1666" t="s">
        <v>968</v>
      </c>
      <c r="AI1" s="1666" t="s">
        <v>969</v>
      </c>
      <c r="AJ1" s="1666" t="s">
        <v>970</v>
      </c>
      <c r="AK1" s="1666" t="s">
        <v>971</v>
      </c>
      <c r="AL1" s="1666" t="s">
        <v>972</v>
      </c>
      <c r="AM1" s="1666" t="s">
        <v>973</v>
      </c>
      <c r="AN1" s="1666" t="s">
        <v>1398</v>
      </c>
      <c r="AO1" s="1666" t="s">
        <v>1399</v>
      </c>
      <c r="AP1" s="1666" t="s">
        <v>1400</v>
      </c>
      <c r="AQ1" s="1666" t="s">
        <v>1401</v>
      </c>
      <c r="AR1" s="1666" t="s">
        <v>1402</v>
      </c>
      <c r="BH1" s="1667">
        <v>45260</v>
      </c>
      <c r="BI1" s="1667">
        <v>45291</v>
      </c>
      <c r="BJ1" s="1667">
        <f>DATE(YEAR(BI1),MONTH(BI1)+1,28)</f>
        <v>45319</v>
      </c>
      <c r="BK1" s="1667">
        <f t="shared" ref="BK1:BU1" si="0">DATE(YEAR(BJ1),MONTH(BJ1)+1,28)</f>
        <v>45350</v>
      </c>
      <c r="BL1" s="1667">
        <f t="shared" si="0"/>
        <v>45379</v>
      </c>
      <c r="BM1" s="1667">
        <f t="shared" si="0"/>
        <v>45410</v>
      </c>
      <c r="BN1" s="1667">
        <f t="shared" si="0"/>
        <v>45440</v>
      </c>
      <c r="BO1" s="1667">
        <f t="shared" si="0"/>
        <v>45471</v>
      </c>
      <c r="BP1" s="1667">
        <f t="shared" si="0"/>
        <v>45501</v>
      </c>
      <c r="BQ1" s="1667">
        <f t="shared" si="0"/>
        <v>45532</v>
      </c>
      <c r="BR1" s="1667">
        <f t="shared" si="0"/>
        <v>45563</v>
      </c>
      <c r="BS1" s="1667">
        <f t="shared" si="0"/>
        <v>45593</v>
      </c>
      <c r="BT1" s="1667">
        <f t="shared" si="0"/>
        <v>45624</v>
      </c>
      <c r="BU1" s="1667">
        <f t="shared" si="0"/>
        <v>45654</v>
      </c>
      <c r="BV1" s="1668"/>
      <c r="BW1" s="1668" t="s">
        <v>1403</v>
      </c>
      <c r="BX1" s="1668"/>
      <c r="BY1" s="1668"/>
      <c r="CE1" s="1741" t="s">
        <v>1487</v>
      </c>
      <c r="CF1" s="269"/>
      <c r="CG1" s="269"/>
      <c r="CH1" s="269"/>
      <c r="CI1" s="269"/>
      <c r="CJ1" s="269"/>
    </row>
    <row r="2" spans="5:88" ht="43.8" thickTop="1" x14ac:dyDescent="0.3">
      <c r="E2" s="1669"/>
      <c r="F2" s="1670" t="s">
        <v>974</v>
      </c>
      <c r="G2" s="1671"/>
      <c r="H2" s="1671"/>
      <c r="I2" s="1671"/>
      <c r="J2" s="1671"/>
      <c r="K2" s="1671"/>
      <c r="L2" s="1671"/>
      <c r="M2" s="1671"/>
      <c r="N2" s="1671"/>
      <c r="O2" s="1671"/>
      <c r="P2" s="1671"/>
      <c r="Q2" s="1671"/>
      <c r="R2" s="1671"/>
      <c r="S2" s="1671"/>
      <c r="T2" s="1671"/>
      <c r="U2" s="1671"/>
      <c r="V2" s="1671"/>
      <c r="W2" s="1671"/>
      <c r="X2" s="1671"/>
      <c r="Y2" s="1671"/>
      <c r="Z2" s="1671"/>
      <c r="AA2" s="1671"/>
      <c r="AB2" s="1671"/>
      <c r="AC2" s="1671"/>
      <c r="AD2" s="1671"/>
      <c r="AE2" s="1671"/>
      <c r="AF2" s="1671"/>
      <c r="AG2" s="1671"/>
      <c r="AH2" s="1671"/>
      <c r="AI2" s="1671"/>
      <c r="AT2" s="1672"/>
      <c r="AU2" s="1673"/>
      <c r="AV2" s="1673"/>
      <c r="AW2" s="1673"/>
      <c r="AX2" s="1673"/>
      <c r="AY2" s="1673"/>
      <c r="AZ2" s="1673"/>
      <c r="BA2" s="1673"/>
      <c r="BB2" s="1673"/>
      <c r="BC2" s="1673"/>
      <c r="BD2" s="1674"/>
      <c r="BI2" s="1665" t="s">
        <v>1518</v>
      </c>
      <c r="BJ2" s="1664">
        <v>0.5</v>
      </c>
      <c r="BK2" s="1664">
        <f>BJ2+1/11</f>
        <v>0.59090909090909094</v>
      </c>
      <c r="BL2" s="1664">
        <f t="shared" ref="BL2:BU2" si="1">BK2+1/11</f>
        <v>0.68181818181818188</v>
      </c>
      <c r="BM2" s="1664">
        <f t="shared" si="1"/>
        <v>0.77272727272727282</v>
      </c>
      <c r="BN2" s="1664">
        <f t="shared" si="1"/>
        <v>0.86363636363636376</v>
      </c>
      <c r="BO2" s="1664">
        <f t="shared" si="1"/>
        <v>0.9545454545454547</v>
      </c>
      <c r="BP2" s="1664">
        <f t="shared" si="1"/>
        <v>1.0454545454545456</v>
      </c>
      <c r="BQ2" s="1664">
        <f t="shared" si="1"/>
        <v>1.1363636363636365</v>
      </c>
      <c r="BR2" s="1664">
        <f t="shared" si="1"/>
        <v>1.2272727272727273</v>
      </c>
      <c r="BS2" s="1664">
        <f t="shared" si="1"/>
        <v>1.3181818181818181</v>
      </c>
      <c r="BT2" s="1664">
        <f t="shared" si="1"/>
        <v>1.4090909090909089</v>
      </c>
      <c r="BU2" s="1664">
        <f t="shared" si="1"/>
        <v>1.4999999999999998</v>
      </c>
      <c r="CE2" s="1742" t="s">
        <v>1488</v>
      </c>
      <c r="CF2" s="1742" t="s">
        <v>1489</v>
      </c>
      <c r="CG2" s="1742" t="s">
        <v>1490</v>
      </c>
      <c r="CH2" s="1742" t="s">
        <v>1491</v>
      </c>
      <c r="CI2" s="1742" t="s">
        <v>1492</v>
      </c>
      <c r="CJ2" s="1742" t="s">
        <v>1493</v>
      </c>
    </row>
    <row r="3" spans="5:88" ht="15" thickBot="1" x14ac:dyDescent="0.35">
      <c r="E3" s="1669"/>
      <c r="F3" s="1670" t="s">
        <v>849</v>
      </c>
      <c r="G3" s="1671"/>
      <c r="H3" s="1671"/>
      <c r="I3" s="1671"/>
      <c r="J3" s="1671"/>
      <c r="K3" s="1671"/>
      <c r="L3" s="1671"/>
      <c r="M3" s="1671"/>
      <c r="N3" s="1671"/>
      <c r="O3" s="1671"/>
      <c r="P3" s="1671"/>
      <c r="Q3" s="1671"/>
      <c r="R3" s="1671"/>
      <c r="S3" s="1671"/>
      <c r="T3" s="1671"/>
      <c r="U3" s="1671"/>
      <c r="V3" s="1671"/>
      <c r="W3" s="1671"/>
      <c r="X3" s="1671"/>
      <c r="Y3" s="1671"/>
      <c r="Z3" s="1671"/>
      <c r="AA3" s="1671"/>
      <c r="AB3" s="1671"/>
      <c r="AC3" s="1671"/>
      <c r="AD3" s="1671"/>
      <c r="AE3" s="1671"/>
      <c r="AF3" s="1671"/>
      <c r="AG3" s="1671"/>
      <c r="AH3" s="1671"/>
      <c r="AI3" s="1671"/>
      <c r="AT3" s="1675"/>
      <c r="AU3" s="1676" t="s">
        <v>1404</v>
      </c>
      <c r="AV3" s="1773" t="s">
        <v>1393</v>
      </c>
      <c r="AW3" s="1774"/>
      <c r="AX3" s="1773" t="s">
        <v>1394</v>
      </c>
      <c r="AY3" s="1774"/>
      <c r="AZ3" s="1775" t="s">
        <v>1395</v>
      </c>
      <c r="BA3" s="1776"/>
      <c r="BB3" s="1775" t="s">
        <v>1405</v>
      </c>
      <c r="BC3" s="1776"/>
      <c r="BD3" s="1677"/>
      <c r="CE3" s="1744">
        <v>45176</v>
      </c>
      <c r="CF3" s="1744">
        <v>45261</v>
      </c>
      <c r="CG3" s="1744">
        <v>45292</v>
      </c>
      <c r="CH3" s="1744">
        <v>45323</v>
      </c>
      <c r="CI3" s="1744">
        <v>45505</v>
      </c>
      <c r="CJ3" s="1744">
        <v>45536</v>
      </c>
    </row>
    <row r="4" spans="5:88" ht="15" thickBot="1" x14ac:dyDescent="0.35">
      <c r="E4" s="1669"/>
      <c r="F4" s="1670" t="s">
        <v>1406</v>
      </c>
      <c r="G4" s="1678">
        <f>SUM(L4:W4)</f>
        <v>2159867.6</v>
      </c>
      <c r="H4" s="1678">
        <f>SUM(X4:AI4)</f>
        <v>3024866.41</v>
      </c>
      <c r="I4" s="1678">
        <f>SUM(AG4:AR4)</f>
        <v>5845443.0899999999</v>
      </c>
      <c r="J4" s="1678">
        <v>4736342.59</v>
      </c>
      <c r="K4" s="1678">
        <f>AVERAGE(G4:I4)</f>
        <v>3676725.6999999997</v>
      </c>
      <c r="L4" s="1678">
        <v>0</v>
      </c>
      <c r="M4" s="1678">
        <v>210885.78</v>
      </c>
      <c r="N4" s="1678">
        <v>94744.2</v>
      </c>
      <c r="O4" s="1678">
        <v>296041.40000000002</v>
      </c>
      <c r="P4" s="1678">
        <v>0</v>
      </c>
      <c r="Q4" s="1678">
        <v>939184.74</v>
      </c>
      <c r="R4" s="1678">
        <v>57094</v>
      </c>
      <c r="S4" s="1678">
        <v>271022.55</v>
      </c>
      <c r="T4" s="1678">
        <v>0</v>
      </c>
      <c r="U4" s="1678">
        <v>0</v>
      </c>
      <c r="V4" s="1678">
        <v>104325.58</v>
      </c>
      <c r="W4" s="1678">
        <v>186569.35</v>
      </c>
      <c r="X4" s="1678">
        <v>212034</v>
      </c>
      <c r="Y4" s="1678">
        <v>288906.63</v>
      </c>
      <c r="Z4" s="1678">
        <v>236608.75</v>
      </c>
      <c r="AA4" s="1678">
        <v>51598</v>
      </c>
      <c r="AB4" s="1678">
        <v>2515.5700000000002</v>
      </c>
      <c r="AC4" s="1678">
        <v>201072.5</v>
      </c>
      <c r="AD4" s="1678">
        <v>285008.25</v>
      </c>
      <c r="AE4" s="1678">
        <v>62500.57</v>
      </c>
      <c r="AF4" s="1678">
        <v>575521.64</v>
      </c>
      <c r="AG4" s="1678">
        <v>275597.55</v>
      </c>
      <c r="AH4" s="1678">
        <v>159962.75</v>
      </c>
      <c r="AI4" s="1678">
        <v>673540.2</v>
      </c>
      <c r="AJ4" s="1678">
        <v>0</v>
      </c>
      <c r="AK4" s="1678">
        <v>0</v>
      </c>
      <c r="AL4" s="1678">
        <v>0</v>
      </c>
      <c r="AM4" s="1678">
        <v>0</v>
      </c>
      <c r="AN4" s="1678">
        <v>0</v>
      </c>
      <c r="AO4" s="1678">
        <v>0</v>
      </c>
      <c r="AP4" s="1678">
        <v>0</v>
      </c>
      <c r="AQ4" s="1678">
        <v>0</v>
      </c>
      <c r="AR4" s="1678">
        <v>4736342.59</v>
      </c>
      <c r="AT4" s="1675"/>
      <c r="AU4" s="1679" t="s">
        <v>0</v>
      </c>
      <c r="AV4" s="1680">
        <f>G9/1000</f>
        <v>2159.8676</v>
      </c>
      <c r="AW4" s="1681">
        <f>AV4/AV$4</f>
        <v>1</v>
      </c>
      <c r="AX4" s="1680">
        <f>H9/1000</f>
        <v>3024.8664100000001</v>
      </c>
      <c r="AY4" s="1681">
        <f>AX4/AX$4</f>
        <v>1</v>
      </c>
      <c r="AZ4" s="1680">
        <f>I9/1000</f>
        <v>5845.4430899999998</v>
      </c>
      <c r="BA4" s="1681">
        <f>AZ4/AZ$4</f>
        <v>1</v>
      </c>
      <c r="BB4" s="1682"/>
      <c r="BC4" s="1682"/>
      <c r="BD4" s="1677"/>
      <c r="BF4" s="1683">
        <f>AVERAGE(AV4,AX4,AZ4)</f>
        <v>3676.7257000000004</v>
      </c>
      <c r="BG4" s="1683"/>
      <c r="BH4" s="1664" t="s">
        <v>1407</v>
      </c>
      <c r="BJ4" s="1678"/>
      <c r="BK4" s="1678"/>
      <c r="BL4" s="1678"/>
      <c r="BM4" s="1678"/>
      <c r="BN4" s="1678"/>
      <c r="BO4" s="1678"/>
      <c r="BP4" s="1678"/>
      <c r="BQ4" s="1678"/>
      <c r="BR4" s="1678"/>
      <c r="BS4" s="1678"/>
      <c r="BT4" s="1678"/>
      <c r="BU4" s="1678"/>
      <c r="BX4" s="1664" t="s">
        <v>1408</v>
      </c>
      <c r="BY4" s="1664" t="s">
        <v>1409</v>
      </c>
      <c r="CE4" s="1745">
        <v>111027</v>
      </c>
      <c r="CF4" s="1745">
        <v>111027</v>
      </c>
      <c r="CG4" s="1743">
        <v>277567.5</v>
      </c>
      <c r="CH4" s="1743">
        <v>222054</v>
      </c>
      <c r="CI4" s="1743">
        <v>333081</v>
      </c>
      <c r="CJ4" s="1743">
        <v>55513.5</v>
      </c>
    </row>
    <row r="5" spans="5:88" ht="14.4" x14ac:dyDescent="0.3">
      <c r="E5" s="1669"/>
      <c r="F5" s="1670" t="s">
        <v>1410</v>
      </c>
      <c r="G5" s="1671"/>
      <c r="H5" s="1671"/>
      <c r="I5" s="1671"/>
      <c r="J5" s="1671"/>
      <c r="K5" s="1671"/>
      <c r="L5" s="1671"/>
      <c r="M5" s="1671"/>
      <c r="N5" s="1671"/>
      <c r="O5" s="1671"/>
      <c r="P5" s="1671"/>
      <c r="Q5" s="1671"/>
      <c r="R5" s="1671"/>
      <c r="S5" s="1671"/>
      <c r="T5" s="1671"/>
      <c r="U5" s="1671"/>
      <c r="V5" s="1671"/>
      <c r="W5" s="1671"/>
      <c r="X5" s="1671"/>
      <c r="Y5" s="1671"/>
      <c r="Z5" s="1671"/>
      <c r="AA5" s="1671"/>
      <c r="AB5" s="1671"/>
      <c r="AC5" s="1671"/>
      <c r="AD5" s="1671"/>
      <c r="AE5" s="1671"/>
      <c r="AF5" s="1671"/>
      <c r="AG5" s="1671"/>
      <c r="AH5" s="1671"/>
      <c r="AI5" s="1671"/>
      <c r="AJ5" s="1671"/>
      <c r="AK5" s="1671"/>
      <c r="AL5" s="1671"/>
      <c r="AM5" s="1671"/>
      <c r="AN5" s="1671"/>
      <c r="AO5" s="1671"/>
      <c r="AP5" s="1671"/>
      <c r="AQ5" s="1671"/>
      <c r="AR5" s="1671"/>
      <c r="AT5" s="1675"/>
      <c r="AU5" s="1684" t="s">
        <v>1411</v>
      </c>
      <c r="AV5" s="1685">
        <f>G15/1000</f>
        <v>1128.65959</v>
      </c>
      <c r="AW5" s="1686">
        <f>AV5/AV$4</f>
        <v>0.52255961893219749</v>
      </c>
      <c r="AX5" s="1685">
        <f>H15/1000</f>
        <v>1360.3242600000001</v>
      </c>
      <c r="AY5" s="1686">
        <f>AX5/AX$4</f>
        <v>0.44971383050268326</v>
      </c>
      <c r="AZ5" s="1685">
        <f>I15/1000</f>
        <v>1904.4860499999998</v>
      </c>
      <c r="BA5" s="1686">
        <f>AZ5/AZ$4</f>
        <v>0.32580696119650354</v>
      </c>
      <c r="BB5" s="1682"/>
      <c r="BC5" s="1682"/>
      <c r="BD5" s="1677"/>
      <c r="BF5" s="1683">
        <f>BF$4*BG5</f>
        <v>1590.8952021449882</v>
      </c>
      <c r="BG5" s="1687">
        <f>AVERAGE(AW5,AY5,BA5)</f>
        <v>0.43269347021046145</v>
      </c>
      <c r="BH5" s="1671">
        <v>1110270</v>
      </c>
      <c r="BI5" s="1664" t="s">
        <v>1412</v>
      </c>
      <c r="BJ5" s="1671"/>
      <c r="BK5" s="1671">
        <f>CG4</f>
        <v>277567.5</v>
      </c>
      <c r="BM5" s="1762">
        <f>CH4</f>
        <v>222054</v>
      </c>
      <c r="BO5" s="1671"/>
      <c r="BP5" s="1671"/>
      <c r="BQ5" s="1671">
        <f>CI4</f>
        <v>333081</v>
      </c>
      <c r="BR5" s="1671">
        <f>CJ4</f>
        <v>55513.5</v>
      </c>
      <c r="BS5" s="1671"/>
      <c r="BT5" s="1671"/>
      <c r="BU5" s="1671"/>
      <c r="BW5" s="1688">
        <f>SUM(BJ5:BU5)</f>
        <v>888216</v>
      </c>
      <c r="BX5" s="1689">
        <f>BH5-BW5</f>
        <v>222054</v>
      </c>
      <c r="BY5" s="1690">
        <f>BX5/BH5</f>
        <v>0.2</v>
      </c>
      <c r="CE5" s="1744">
        <v>45182</v>
      </c>
      <c r="CF5" s="1744">
        <v>45275</v>
      </c>
      <c r="CG5" s="1744">
        <v>45306</v>
      </c>
      <c r="CH5" s="1744">
        <v>45366</v>
      </c>
      <c r="CI5" s="1744">
        <v>45505</v>
      </c>
      <c r="CJ5" s="1744">
        <v>45536</v>
      </c>
    </row>
    <row r="6" spans="5:88" ht="14.4" x14ac:dyDescent="0.3">
      <c r="E6" s="1669"/>
      <c r="F6" s="1670" t="s">
        <v>1413</v>
      </c>
      <c r="G6" s="1671"/>
      <c r="H6" s="1671"/>
      <c r="I6" s="1671"/>
      <c r="J6" s="1671"/>
      <c r="K6" s="1671"/>
      <c r="L6" s="1671"/>
      <c r="M6" s="1671"/>
      <c r="N6" s="1671"/>
      <c r="O6" s="1671"/>
      <c r="P6" s="1671"/>
      <c r="Q6" s="1671"/>
      <c r="R6" s="1671"/>
      <c r="S6" s="1671"/>
      <c r="T6" s="1671"/>
      <c r="U6" s="1671"/>
      <c r="V6" s="1671"/>
      <c r="W6" s="1671"/>
      <c r="X6" s="1671"/>
      <c r="Y6" s="1671"/>
      <c r="Z6" s="1671"/>
      <c r="AA6" s="1671"/>
      <c r="AB6" s="1671"/>
      <c r="AC6" s="1671"/>
      <c r="AD6" s="1671"/>
      <c r="AE6" s="1671"/>
      <c r="AF6" s="1671"/>
      <c r="AG6" s="1671"/>
      <c r="AH6" s="1671"/>
      <c r="AI6" s="1671"/>
      <c r="AJ6" s="1671"/>
      <c r="AK6" s="1671"/>
      <c r="AL6" s="1671"/>
      <c r="AM6" s="1671"/>
      <c r="AN6" s="1671"/>
      <c r="AO6" s="1671"/>
      <c r="AP6" s="1671"/>
      <c r="AQ6" s="1671"/>
      <c r="AR6" s="1671"/>
      <c r="AT6" s="1675"/>
      <c r="AU6" s="1679" t="s">
        <v>1414</v>
      </c>
      <c r="AV6" s="1691">
        <f>AV4-AV5</f>
        <v>1031.2080100000001</v>
      </c>
      <c r="AW6" s="1682">
        <f>AV6/AV$4</f>
        <v>0.47744038106780251</v>
      </c>
      <c r="AX6" s="1691">
        <f>AX4-AX5</f>
        <v>1664.54215</v>
      </c>
      <c r="AY6" s="1682">
        <f>AX6/AX$4</f>
        <v>0.55028616949731668</v>
      </c>
      <c r="AZ6" s="1691">
        <f>AZ4-AZ5</f>
        <v>3940.9570400000002</v>
      </c>
      <c r="BA6" s="1682">
        <f>AZ6/AZ$4</f>
        <v>0.67419303880349646</v>
      </c>
      <c r="BB6" s="1682"/>
      <c r="BC6" s="1682"/>
      <c r="BD6" s="1677"/>
      <c r="BF6" s="1683">
        <f>BF$4*BG6</f>
        <v>2085.8304978550123</v>
      </c>
      <c r="BG6" s="1687">
        <f>AVERAGE(AW6,AY6,BA6)</f>
        <v>0.56730652978953855</v>
      </c>
      <c r="BH6" s="1671">
        <v>1456610</v>
      </c>
      <c r="BI6" s="1664" t="s">
        <v>1415</v>
      </c>
      <c r="BJ6" s="1671"/>
      <c r="BK6" s="1671">
        <f>CF6</f>
        <v>291322</v>
      </c>
      <c r="BL6" s="1671"/>
      <c r="BM6" s="1762">
        <f>CH6</f>
        <v>291322</v>
      </c>
      <c r="BO6" s="1671"/>
      <c r="BP6" s="1671"/>
      <c r="BQ6" s="1671">
        <f>CI6</f>
        <v>364152.5</v>
      </c>
      <c r="BR6" s="1671">
        <f>CJ6</f>
        <v>72830.5</v>
      </c>
      <c r="BS6" s="1671"/>
      <c r="BT6" s="1671"/>
      <c r="BU6" s="1671"/>
      <c r="BW6" s="1688">
        <f>SUM(BJ6:BU6)</f>
        <v>1019627</v>
      </c>
      <c r="BX6" s="1689">
        <f>BH6-BW6</f>
        <v>436983</v>
      </c>
      <c r="BY6" s="1690">
        <f>BX6/BH6</f>
        <v>0.3</v>
      </c>
      <c r="CE6" s="1743">
        <v>145661</v>
      </c>
      <c r="CF6" s="1743">
        <v>291322</v>
      </c>
      <c r="CG6" s="1743">
        <v>291322</v>
      </c>
      <c r="CH6" s="1743">
        <v>291322</v>
      </c>
      <c r="CI6" s="1743">
        <v>364152.5</v>
      </c>
      <c r="CJ6" s="1743">
        <v>72830.5</v>
      </c>
    </row>
    <row r="7" spans="5:88" ht="14.4" x14ac:dyDescent="0.3">
      <c r="E7" s="1669"/>
      <c r="F7" s="1670" t="s">
        <v>1416</v>
      </c>
      <c r="G7" s="1671"/>
      <c r="H7" s="1671"/>
      <c r="I7" s="1671"/>
      <c r="J7" s="1671"/>
      <c r="K7" s="1671"/>
      <c r="L7" s="1671"/>
      <c r="M7" s="1671"/>
      <c r="N7" s="1671"/>
      <c r="O7" s="1671"/>
      <c r="P7" s="1671"/>
      <c r="Q7" s="1671"/>
      <c r="R7" s="1671"/>
      <c r="S7" s="1671"/>
      <c r="T7" s="1671"/>
      <c r="U7" s="1671"/>
      <c r="V7" s="1671"/>
      <c r="W7" s="1671"/>
      <c r="X7" s="1671"/>
      <c r="Y7" s="1671"/>
      <c r="Z7" s="1671"/>
      <c r="AA7" s="1671"/>
      <c r="AB7" s="1671"/>
      <c r="AC7" s="1671"/>
      <c r="AD7" s="1671"/>
      <c r="AE7" s="1671"/>
      <c r="AF7" s="1671"/>
      <c r="AG7" s="1671"/>
      <c r="AH7" s="1671"/>
      <c r="AI7" s="1671"/>
      <c r="AJ7" s="1671"/>
      <c r="AK7" s="1671"/>
      <c r="AL7" s="1671"/>
      <c r="AM7" s="1671"/>
      <c r="AN7" s="1671"/>
      <c r="AO7" s="1671"/>
      <c r="AP7" s="1671"/>
      <c r="AQ7" s="1671"/>
      <c r="AR7" s="1671"/>
      <c r="AT7" s="1675"/>
      <c r="AU7" s="1684"/>
      <c r="AV7" s="1691"/>
      <c r="AW7" s="1692"/>
      <c r="AX7" s="1691"/>
      <c r="AY7" s="1692"/>
      <c r="AZ7" s="1691"/>
      <c r="BA7" s="1692"/>
      <c r="BB7" s="1692"/>
      <c r="BC7" s="1692"/>
      <c r="BD7" s="1677"/>
      <c r="BH7" s="1693">
        <v>0</v>
      </c>
      <c r="BI7" s="1664" t="str">
        <f>CONCATENATE("Assume ",BH7*100,"% of likely pipeline comes home in 2024")</f>
        <v>Assume 0% of likely pipeline comes home in 2024</v>
      </c>
      <c r="BJ7" s="1671">
        <f>$BH$7*$CI$22/12*BJ2</f>
        <v>0</v>
      </c>
      <c r="BK7" s="1671">
        <f t="shared" ref="BK7:BU7" si="2">$BH$7*$CI$22/12*BK2</f>
        <v>0</v>
      </c>
      <c r="BL7" s="1671">
        <f t="shared" si="2"/>
        <v>0</v>
      </c>
      <c r="BM7" s="1671">
        <f t="shared" si="2"/>
        <v>0</v>
      </c>
      <c r="BN7" s="1671">
        <f t="shared" si="2"/>
        <v>0</v>
      </c>
      <c r="BO7" s="1671">
        <f t="shared" si="2"/>
        <v>0</v>
      </c>
      <c r="BP7" s="1671">
        <f t="shared" si="2"/>
        <v>0</v>
      </c>
      <c r="BQ7" s="1671">
        <f t="shared" si="2"/>
        <v>0</v>
      </c>
      <c r="BR7" s="1671">
        <f t="shared" si="2"/>
        <v>0</v>
      </c>
      <c r="BS7" s="1671">
        <f t="shared" si="2"/>
        <v>0</v>
      </c>
      <c r="BT7" s="1671">
        <f t="shared" si="2"/>
        <v>0</v>
      </c>
      <c r="BU7" s="1671">
        <f t="shared" si="2"/>
        <v>0</v>
      </c>
      <c r="BW7" s="1688">
        <f>SUM(BJ7:BU7)</f>
        <v>0</v>
      </c>
      <c r="CE7" s="269"/>
      <c r="CF7" s="269"/>
      <c r="CG7" s="269"/>
      <c r="CH7" s="269"/>
      <c r="CI7" s="1743"/>
      <c r="CJ7" s="269"/>
    </row>
    <row r="8" spans="5:88" ht="15" thickBot="1" x14ac:dyDescent="0.35">
      <c r="E8" s="1669"/>
      <c r="F8" s="1670"/>
      <c r="G8" s="1671"/>
      <c r="H8" s="1671"/>
      <c r="I8" s="1671"/>
      <c r="J8" s="1671"/>
      <c r="K8" s="1671"/>
      <c r="L8" s="1671"/>
      <c r="M8" s="1671"/>
      <c r="N8" s="1671"/>
      <c r="O8" s="1671"/>
      <c r="P8" s="1671"/>
      <c r="Q8" s="1671"/>
      <c r="R8" s="1671"/>
      <c r="S8" s="1671"/>
      <c r="T8" s="1671"/>
      <c r="U8" s="1671"/>
      <c r="V8" s="1671"/>
      <c r="W8" s="1671"/>
      <c r="X8" s="1671"/>
      <c r="Y8" s="1671"/>
      <c r="Z8" s="1671"/>
      <c r="AA8" s="1671"/>
      <c r="AB8" s="1671"/>
      <c r="AC8" s="1671"/>
      <c r="AD8" s="1671"/>
      <c r="AE8" s="1671"/>
      <c r="AF8" s="1671"/>
      <c r="AG8" s="1671"/>
      <c r="AH8" s="1671"/>
      <c r="AI8" s="1671"/>
      <c r="AJ8" s="1671"/>
      <c r="AK8" s="1671"/>
      <c r="AL8" s="1671"/>
      <c r="AM8" s="1671"/>
      <c r="AN8" s="1671"/>
      <c r="AO8" s="1671"/>
      <c r="AP8" s="1671"/>
      <c r="AQ8" s="1671"/>
      <c r="AR8" s="1671"/>
      <c r="AT8" s="1675"/>
      <c r="AU8" s="1694" t="s">
        <v>1417</v>
      </c>
      <c r="AV8" s="1691">
        <f>G51/1000</f>
        <v>996.09212999999988</v>
      </c>
      <c r="AW8" s="1682">
        <f>AV8/AV$4</f>
        <v>0.46118203263940805</v>
      </c>
      <c r="AX8" s="1691">
        <f>H51/1000</f>
        <v>1580.5668400000002</v>
      </c>
      <c r="AY8" s="1682">
        <f>AX8/AX$4</f>
        <v>0.52252451042953663</v>
      </c>
      <c r="AZ8" s="1691">
        <f>I51/1000</f>
        <v>1626.93914</v>
      </c>
      <c r="BA8" s="1682">
        <f>AZ8/AZ$4</f>
        <v>0.27832605928253079</v>
      </c>
      <c r="BB8" s="1682"/>
      <c r="BC8" s="1682"/>
      <c r="BD8" s="1677"/>
      <c r="BF8" s="1683">
        <f>BF$4*BG8</f>
        <v>1546.7159011011836</v>
      </c>
      <c r="BG8" s="1687">
        <f>AVERAGE(AW8,AY8,BA8)</f>
        <v>0.42067753411715847</v>
      </c>
      <c r="BJ8" s="1678"/>
      <c r="BK8" s="1678"/>
      <c r="BL8" s="1678"/>
      <c r="BM8" s="1678"/>
      <c r="BN8" s="1678"/>
      <c r="BO8" s="1678"/>
      <c r="BP8" s="1678"/>
      <c r="BQ8" s="1678"/>
      <c r="BR8" s="1678"/>
      <c r="BS8" s="1678"/>
      <c r="BT8" s="1678"/>
      <c r="BU8" s="1678"/>
    </row>
    <row r="9" spans="5:88" ht="14.4" x14ac:dyDescent="0.3">
      <c r="E9" s="1669"/>
      <c r="F9" s="1670" t="s">
        <v>858</v>
      </c>
      <c r="G9" s="1671">
        <f>SUM(G4)</f>
        <v>2159867.6</v>
      </c>
      <c r="H9" s="1671">
        <f>SUM(H4)</f>
        <v>3024866.41</v>
      </c>
      <c r="I9" s="1671">
        <f>SUM(I4)</f>
        <v>5845443.0899999999</v>
      </c>
      <c r="J9" s="1671">
        <f>SUM(J4)</f>
        <v>4736342.59</v>
      </c>
      <c r="K9" s="1671">
        <f>SUM(K4)</f>
        <v>3676725.6999999997</v>
      </c>
      <c r="L9" s="1671">
        <f t="shared" ref="L9:AR9" si="3">ROUND(SUM(L3:L4),5)</f>
        <v>0</v>
      </c>
      <c r="M9" s="1671">
        <f t="shared" si="3"/>
        <v>210885.78</v>
      </c>
      <c r="N9" s="1671">
        <f t="shared" si="3"/>
        <v>94744.2</v>
      </c>
      <c r="O9" s="1671">
        <f t="shared" si="3"/>
        <v>296041.40000000002</v>
      </c>
      <c r="P9" s="1671">
        <f t="shared" si="3"/>
        <v>0</v>
      </c>
      <c r="Q9" s="1671">
        <f t="shared" si="3"/>
        <v>939184.74</v>
      </c>
      <c r="R9" s="1671">
        <f t="shared" si="3"/>
        <v>57094</v>
      </c>
      <c r="S9" s="1671">
        <f t="shared" si="3"/>
        <v>271022.55</v>
      </c>
      <c r="T9" s="1671">
        <f t="shared" si="3"/>
        <v>0</v>
      </c>
      <c r="U9" s="1671">
        <f t="shared" si="3"/>
        <v>0</v>
      </c>
      <c r="V9" s="1671">
        <f t="shared" si="3"/>
        <v>104325.58</v>
      </c>
      <c r="W9" s="1671">
        <f t="shared" si="3"/>
        <v>186569.35</v>
      </c>
      <c r="X9" s="1671">
        <f t="shared" si="3"/>
        <v>212034</v>
      </c>
      <c r="Y9" s="1671">
        <f t="shared" si="3"/>
        <v>288906.63</v>
      </c>
      <c r="Z9" s="1671">
        <f t="shared" si="3"/>
        <v>236608.75</v>
      </c>
      <c r="AA9" s="1671">
        <f t="shared" si="3"/>
        <v>51598</v>
      </c>
      <c r="AB9" s="1671">
        <f t="shared" si="3"/>
        <v>2515.5700000000002</v>
      </c>
      <c r="AC9" s="1671">
        <f t="shared" si="3"/>
        <v>201072.5</v>
      </c>
      <c r="AD9" s="1671">
        <f t="shared" si="3"/>
        <v>285008.25</v>
      </c>
      <c r="AE9" s="1671">
        <f t="shared" si="3"/>
        <v>62500.57</v>
      </c>
      <c r="AF9" s="1671">
        <f t="shared" si="3"/>
        <v>575521.64</v>
      </c>
      <c r="AG9" s="1671">
        <f t="shared" si="3"/>
        <v>275597.55</v>
      </c>
      <c r="AH9" s="1671">
        <f t="shared" si="3"/>
        <v>159962.75</v>
      </c>
      <c r="AI9" s="1671">
        <f t="shared" si="3"/>
        <v>673540.2</v>
      </c>
      <c r="AJ9" s="1671">
        <f t="shared" si="3"/>
        <v>0</v>
      </c>
      <c r="AK9" s="1671">
        <f t="shared" si="3"/>
        <v>0</v>
      </c>
      <c r="AL9" s="1671">
        <f t="shared" si="3"/>
        <v>0</v>
      </c>
      <c r="AM9" s="1671">
        <f t="shared" si="3"/>
        <v>0</v>
      </c>
      <c r="AN9" s="1671">
        <f t="shared" si="3"/>
        <v>0</v>
      </c>
      <c r="AO9" s="1671">
        <f t="shared" si="3"/>
        <v>0</v>
      </c>
      <c r="AP9" s="1671">
        <f t="shared" si="3"/>
        <v>0</v>
      </c>
      <c r="AQ9" s="1671">
        <f t="shared" si="3"/>
        <v>0</v>
      </c>
      <c r="AR9" s="1671">
        <f t="shared" si="3"/>
        <v>4736342.59</v>
      </c>
      <c r="AT9" s="1675"/>
      <c r="AU9" s="1695" t="s">
        <v>1418</v>
      </c>
      <c r="AV9" s="1696">
        <f>AV6-(SUM(AV8:AV8))</f>
        <v>35.115880000000175</v>
      </c>
      <c r="AW9" s="1681">
        <f>AV9/AV$4</f>
        <v>1.6258348428394489E-2</v>
      </c>
      <c r="AX9" s="1696">
        <f>AX6-(SUM(AX8:AX8))</f>
        <v>83.975309999999808</v>
      </c>
      <c r="AY9" s="1681">
        <f>AX9/AX$4</f>
        <v>2.7761659067780057E-2</v>
      </c>
      <c r="AZ9" s="1696">
        <f>AZ6-(SUM(AZ8:AZ8))</f>
        <v>2314.0179000000003</v>
      </c>
      <c r="BA9" s="1681">
        <f>AZ9/AZ$4</f>
        <v>0.39586697952096567</v>
      </c>
      <c r="BB9" s="1682"/>
      <c r="BC9" s="1682"/>
      <c r="BD9" s="1677"/>
      <c r="BF9" s="1683">
        <f>BF$4*BG9</f>
        <v>539.11459675382866</v>
      </c>
      <c r="BG9" s="1687">
        <f>AVERAGE(AW9,AY9,BA9)</f>
        <v>0.14662899567238008</v>
      </c>
      <c r="BJ9" s="1671">
        <f>SUM(BJ5:BJ8)</f>
        <v>0</v>
      </c>
      <c r="BK9" s="1671">
        <f t="shared" ref="BK9:BU9" si="4">SUM(BK5:BK8)</f>
        <v>568889.5</v>
      </c>
      <c r="BL9" s="1671">
        <f t="shared" si="4"/>
        <v>0</v>
      </c>
      <c r="BM9" s="1671">
        <f t="shared" si="4"/>
        <v>513376</v>
      </c>
      <c r="BN9" s="1671">
        <f t="shared" si="4"/>
        <v>0</v>
      </c>
      <c r="BO9" s="1671">
        <f t="shared" si="4"/>
        <v>0</v>
      </c>
      <c r="BP9" s="1671">
        <f t="shared" si="4"/>
        <v>0</v>
      </c>
      <c r="BQ9" s="1671">
        <f t="shared" si="4"/>
        <v>697233.5</v>
      </c>
      <c r="BR9" s="1671">
        <f t="shared" si="4"/>
        <v>128344</v>
      </c>
      <c r="BS9" s="1671">
        <f t="shared" si="4"/>
        <v>0</v>
      </c>
      <c r="BT9" s="1671">
        <f t="shared" si="4"/>
        <v>0</v>
      </c>
      <c r="BU9" s="1671">
        <f t="shared" si="4"/>
        <v>0</v>
      </c>
      <c r="BW9" s="1688">
        <f>SUM(BJ9:BU9)</f>
        <v>1907843</v>
      </c>
      <c r="CE9" s="1746" t="s">
        <v>1494</v>
      </c>
      <c r="CF9" s="1747"/>
      <c r="CG9" s="1747"/>
      <c r="CH9" s="1747"/>
      <c r="CI9" s="1747"/>
    </row>
    <row r="10" spans="5:88" ht="28.8" x14ac:dyDescent="0.3">
      <c r="E10" s="1669"/>
      <c r="F10" s="1670" t="s">
        <v>26</v>
      </c>
      <c r="G10" s="1671"/>
      <c r="H10" s="1671"/>
      <c r="I10" s="1671"/>
      <c r="J10" s="1671"/>
      <c r="K10" s="1671"/>
      <c r="L10" s="1671"/>
      <c r="M10" s="1671"/>
      <c r="N10" s="1671"/>
      <c r="O10" s="1671"/>
      <c r="P10" s="1671"/>
      <c r="Q10" s="1671"/>
      <c r="R10" s="1671"/>
      <c r="S10" s="1671"/>
      <c r="T10" s="1671"/>
      <c r="U10" s="1671"/>
      <c r="V10" s="1671"/>
      <c r="W10" s="1671"/>
      <c r="X10" s="1671"/>
      <c r="Y10" s="1671"/>
      <c r="Z10" s="1671"/>
      <c r="AA10" s="1671"/>
      <c r="AB10" s="1671"/>
      <c r="AC10" s="1671"/>
      <c r="AD10" s="1671"/>
      <c r="AE10" s="1671"/>
      <c r="AF10" s="1671"/>
      <c r="AG10" s="1671"/>
      <c r="AH10" s="1671"/>
      <c r="AI10" s="1671"/>
      <c r="AJ10" s="1671"/>
      <c r="AK10" s="1671"/>
      <c r="AL10" s="1671"/>
      <c r="AM10" s="1671"/>
      <c r="AN10" s="1671"/>
      <c r="AO10" s="1671"/>
      <c r="AP10" s="1671"/>
      <c r="AQ10" s="1671"/>
      <c r="AR10" s="1671"/>
      <c r="AT10" s="1675"/>
      <c r="AU10" s="1695"/>
      <c r="AV10" s="1691"/>
      <c r="AW10" s="1692"/>
      <c r="AX10" s="1691"/>
      <c r="AY10" s="1692"/>
      <c r="AZ10" s="1691"/>
      <c r="BA10" s="1692"/>
      <c r="BB10" s="1692"/>
      <c r="BC10" s="1692"/>
      <c r="BD10" s="1677"/>
      <c r="BJ10" s="1671"/>
      <c r="BK10" s="1671"/>
      <c r="BL10" s="1671"/>
      <c r="BM10" s="1671"/>
      <c r="BN10" s="1671"/>
      <c r="BO10" s="1671"/>
      <c r="BP10" s="1671"/>
      <c r="BQ10" s="1671"/>
      <c r="BR10" s="1671"/>
      <c r="BS10" s="1671"/>
      <c r="BT10" s="1671"/>
      <c r="BU10" s="1671"/>
      <c r="CE10" s="1748"/>
      <c r="CF10" s="1749" t="s">
        <v>1495</v>
      </c>
      <c r="CG10" s="1750" t="s">
        <v>1496</v>
      </c>
      <c r="CH10" s="1750" t="s">
        <v>1497</v>
      </c>
      <c r="CI10" s="1750" t="s">
        <v>1498</v>
      </c>
    </row>
    <row r="11" spans="5:88" ht="14.4" x14ac:dyDescent="0.3">
      <c r="E11" s="1669"/>
      <c r="F11" s="1670" t="s">
        <v>1419</v>
      </c>
      <c r="G11" s="1671">
        <f>SUM(L11:W11)</f>
        <v>1128659.5900000001</v>
      </c>
      <c r="H11" s="1671">
        <f>SUM(X11:AI11)</f>
        <v>1360324.26</v>
      </c>
      <c r="I11" s="1671">
        <f>SUM(AG11:AR11)</f>
        <v>1904486.0499999998</v>
      </c>
      <c r="J11" s="1671">
        <v>1452122.71</v>
      </c>
      <c r="K11" s="1671">
        <f t="shared" ref="K11:K49" si="5">AVERAGE(G11:I11)</f>
        <v>1464489.9666666668</v>
      </c>
      <c r="L11" s="1671">
        <v>0</v>
      </c>
      <c r="M11" s="1671">
        <v>0</v>
      </c>
      <c r="N11" s="1671">
        <v>0</v>
      </c>
      <c r="O11" s="1671">
        <v>-12301.51</v>
      </c>
      <c r="P11" s="1671">
        <v>0</v>
      </c>
      <c r="Q11" s="1671">
        <v>803568.18</v>
      </c>
      <c r="R11" s="1671">
        <v>0</v>
      </c>
      <c r="S11" s="1671">
        <v>925</v>
      </c>
      <c r="T11" s="1671">
        <v>0</v>
      </c>
      <c r="U11" s="1671">
        <v>0</v>
      </c>
      <c r="V11" s="1671">
        <v>294325.68</v>
      </c>
      <c r="W11" s="1671">
        <v>42142.239999999998</v>
      </c>
      <c r="X11" s="1671">
        <v>0</v>
      </c>
      <c r="Y11" s="1671">
        <v>0</v>
      </c>
      <c r="Z11" s="1671">
        <v>0</v>
      </c>
      <c r="AA11" s="1671">
        <v>0</v>
      </c>
      <c r="AB11" s="1671">
        <v>970</v>
      </c>
      <c r="AC11" s="1671">
        <v>0</v>
      </c>
      <c r="AD11" s="1671">
        <v>0</v>
      </c>
      <c r="AE11" s="1671">
        <v>906990.92</v>
      </c>
      <c r="AF11" s="1671">
        <v>0</v>
      </c>
      <c r="AG11" s="1671">
        <v>0</v>
      </c>
      <c r="AH11" s="1671">
        <v>164198.93</v>
      </c>
      <c r="AI11" s="1671">
        <v>288164.40999999997</v>
      </c>
      <c r="AJ11" s="1671">
        <v>0</v>
      </c>
      <c r="AK11" s="1671">
        <v>0</v>
      </c>
      <c r="AL11" s="1671">
        <v>0</v>
      </c>
      <c r="AM11" s="1671">
        <v>0</v>
      </c>
      <c r="AN11" s="1671">
        <v>0</v>
      </c>
      <c r="AO11" s="1671">
        <v>0</v>
      </c>
      <c r="AP11" s="1671">
        <v>0</v>
      </c>
      <c r="AQ11" s="1671">
        <v>0</v>
      </c>
      <c r="AR11" s="1671">
        <v>1452122.71</v>
      </c>
      <c r="AT11" s="1675"/>
      <c r="AU11" s="1684" t="s">
        <v>1420</v>
      </c>
      <c r="AV11" s="1691">
        <f>-G61/1000</f>
        <v>15.83432</v>
      </c>
      <c r="AW11" s="1682">
        <f>AV11/AV$4</f>
        <v>7.3311530762348578E-3</v>
      </c>
      <c r="AX11" s="1691">
        <f>-H61/1000</f>
        <v>9.4380600000000001</v>
      </c>
      <c r="AY11" s="1682">
        <f>AX11/AX$4</f>
        <v>3.1201576270602971E-3</v>
      </c>
      <c r="AZ11" s="1691">
        <f>-I61/1000</f>
        <v>23.533529999999999</v>
      </c>
      <c r="BA11" s="1682">
        <f>AZ11/AZ$4</f>
        <v>4.0259617000222986E-3</v>
      </c>
      <c r="BB11" s="1682"/>
      <c r="BC11" s="1682"/>
      <c r="BD11" s="1677"/>
      <c r="BF11" s="1683"/>
      <c r="BG11" s="1683"/>
      <c r="BJ11" s="1671"/>
      <c r="BK11" s="1671"/>
      <c r="BL11" s="1671"/>
      <c r="BM11" s="1671"/>
      <c r="BN11" s="1671"/>
      <c r="BO11" s="1671"/>
      <c r="BP11" s="1671"/>
      <c r="BQ11" s="1671"/>
      <c r="BR11" s="1671"/>
      <c r="BS11" s="1671"/>
      <c r="BT11" s="1671"/>
      <c r="BU11" s="1671"/>
      <c r="CE11" s="1751" t="s">
        <v>1499</v>
      </c>
      <c r="CF11" s="1751" t="s">
        <v>1500</v>
      </c>
      <c r="CG11" s="1752">
        <v>145000</v>
      </c>
      <c r="CH11" s="1753">
        <v>0.8</v>
      </c>
      <c r="CI11" s="1754">
        <f>CG11*CH11</f>
        <v>116000</v>
      </c>
    </row>
    <row r="12" spans="5:88" ht="14.4" x14ac:dyDescent="0.3">
      <c r="E12" s="1669"/>
      <c r="F12" s="1670" t="s">
        <v>1410</v>
      </c>
      <c r="G12" s="1671"/>
      <c r="H12" s="1671"/>
      <c r="I12" s="1671"/>
      <c r="J12" s="1671"/>
      <c r="K12" s="1671"/>
      <c r="L12" s="1671"/>
      <c r="M12" s="1671"/>
      <c r="N12" s="1671"/>
      <c r="O12" s="1671"/>
      <c r="P12" s="1671"/>
      <c r="Q12" s="1671"/>
      <c r="R12" s="1671"/>
      <c r="S12" s="1671"/>
      <c r="T12" s="1671"/>
      <c r="U12" s="1671"/>
      <c r="V12" s="1671"/>
      <c r="W12" s="1671"/>
      <c r="X12" s="1671"/>
      <c r="Y12" s="1671"/>
      <c r="Z12" s="1671"/>
      <c r="AA12" s="1671"/>
      <c r="AB12" s="1671"/>
      <c r="AC12" s="1671"/>
      <c r="AD12" s="1671"/>
      <c r="AE12" s="1671"/>
      <c r="AF12" s="1671"/>
      <c r="AG12" s="1671"/>
      <c r="AH12" s="1671"/>
      <c r="AI12" s="1671"/>
      <c r="AJ12" s="1671"/>
      <c r="AK12" s="1671"/>
      <c r="AL12" s="1671"/>
      <c r="AM12" s="1671"/>
      <c r="AN12" s="1671"/>
      <c r="AO12" s="1671"/>
      <c r="AP12" s="1671"/>
      <c r="AQ12" s="1671"/>
      <c r="AR12" s="1671"/>
      <c r="AT12" s="1675"/>
      <c r="AU12" s="1697" t="s">
        <v>1421</v>
      </c>
      <c r="AV12" s="1696">
        <f>AV9-AV11</f>
        <v>19.281560000000177</v>
      </c>
      <c r="AW12" s="1681">
        <f>AV12/AV$4</f>
        <v>8.9271953521596302E-3</v>
      </c>
      <c r="AX12" s="1696">
        <f>AX9-AX11</f>
        <v>74.537249999999801</v>
      </c>
      <c r="AY12" s="1681">
        <f>AX12/AX$4</f>
        <v>2.4641501440719756E-2</v>
      </c>
      <c r="AZ12" s="1696">
        <f>AZ9-AZ11</f>
        <v>2290.4843700000001</v>
      </c>
      <c r="BA12" s="1681">
        <f>AZ12/AZ$4</f>
        <v>0.39184101782094338</v>
      </c>
      <c r="BB12" s="1682"/>
      <c r="BC12" s="1682"/>
      <c r="BD12" s="1677"/>
      <c r="BI12" s="1698">
        <v>0.40312356453835552</v>
      </c>
      <c r="BJ12" s="1699">
        <f>$BI12*BJ5</f>
        <v>0</v>
      </c>
      <c r="BK12" s="1699">
        <f t="shared" ref="BK12:BU13" si="6">$BI12*BK5</f>
        <v>111894</v>
      </c>
      <c r="BL12" s="1699">
        <f t="shared" si="6"/>
        <v>0</v>
      </c>
      <c r="BM12" s="1699">
        <f t="shared" si="6"/>
        <v>89515.199999999997</v>
      </c>
      <c r="BN12" s="1699">
        <f t="shared" si="6"/>
        <v>0</v>
      </c>
      <c r="BO12" s="1699">
        <f t="shared" si="6"/>
        <v>0</v>
      </c>
      <c r="BP12" s="1699">
        <f t="shared" si="6"/>
        <v>0</v>
      </c>
      <c r="BQ12" s="1699">
        <f t="shared" si="6"/>
        <v>134272.79999999999</v>
      </c>
      <c r="BR12" s="1699">
        <f t="shared" si="6"/>
        <v>22378.799999999999</v>
      </c>
      <c r="BS12" s="1699">
        <f t="shared" si="6"/>
        <v>0</v>
      </c>
      <c r="BT12" s="1699">
        <f t="shared" si="6"/>
        <v>0</v>
      </c>
      <c r="BU12" s="1699">
        <f t="shared" si="6"/>
        <v>0</v>
      </c>
      <c r="CE12" s="1751" t="s">
        <v>1501</v>
      </c>
      <c r="CF12" s="1751" t="s">
        <v>1502</v>
      </c>
      <c r="CG12" s="1752">
        <v>1698963</v>
      </c>
      <c r="CH12" s="1753">
        <v>1</v>
      </c>
      <c r="CI12" s="1754">
        <f t="shared" ref="CI12:CI21" si="7">CG12*CH12</f>
        <v>1698963</v>
      </c>
    </row>
    <row r="13" spans="5:88" ht="14.4" x14ac:dyDescent="0.3">
      <c r="E13" s="1669"/>
      <c r="F13" s="1670" t="s">
        <v>1413</v>
      </c>
      <c r="G13" s="1671"/>
      <c r="H13" s="1671"/>
      <c r="I13" s="1671"/>
      <c r="J13" s="1671"/>
      <c r="K13" s="1671"/>
      <c r="L13" s="1671"/>
      <c r="M13" s="1671"/>
      <c r="N13" s="1671"/>
      <c r="O13" s="1671"/>
      <c r="P13" s="1671"/>
      <c r="Q13" s="1671"/>
      <c r="R13" s="1671"/>
      <c r="S13" s="1671"/>
      <c r="T13" s="1671"/>
      <c r="U13" s="1671"/>
      <c r="V13" s="1671"/>
      <c r="W13" s="1671"/>
      <c r="X13" s="1671"/>
      <c r="Y13" s="1671"/>
      <c r="Z13" s="1671"/>
      <c r="AA13" s="1671"/>
      <c r="AB13" s="1671"/>
      <c r="AC13" s="1671"/>
      <c r="AD13" s="1671"/>
      <c r="AE13" s="1671"/>
      <c r="AF13" s="1671"/>
      <c r="AG13" s="1671"/>
      <c r="AH13" s="1671"/>
      <c r="AI13" s="1671"/>
      <c r="AJ13" s="1671"/>
      <c r="AK13" s="1671"/>
      <c r="AL13" s="1671"/>
      <c r="AM13" s="1671"/>
      <c r="AN13" s="1671"/>
      <c r="AO13" s="1671"/>
      <c r="AP13" s="1671"/>
      <c r="AQ13" s="1671"/>
      <c r="AR13" s="1671"/>
      <c r="AT13" s="1675"/>
      <c r="AU13" s="1695"/>
      <c r="AV13" s="1691"/>
      <c r="AW13" s="1692"/>
      <c r="AX13" s="1691"/>
      <c r="AY13" s="1692"/>
      <c r="AZ13" s="1691"/>
      <c r="BA13" s="1692"/>
      <c r="BB13" s="1692"/>
      <c r="BC13" s="1692"/>
      <c r="BD13" s="1677"/>
      <c r="BI13" s="1698">
        <v>0.32404006563184379</v>
      </c>
      <c r="BJ13" s="1699">
        <f>$BI13*BJ6</f>
        <v>0</v>
      </c>
      <c r="BK13" s="1699">
        <f t="shared" si="6"/>
        <v>94400</v>
      </c>
      <c r="BL13" s="1699">
        <f t="shared" si="6"/>
        <v>0</v>
      </c>
      <c r="BM13" s="1699">
        <f t="shared" si="6"/>
        <v>94400</v>
      </c>
      <c r="BN13" s="1699">
        <f t="shared" si="6"/>
        <v>0</v>
      </c>
      <c r="BO13" s="1699">
        <f t="shared" si="6"/>
        <v>0</v>
      </c>
      <c r="BP13" s="1699">
        <f t="shared" si="6"/>
        <v>0</v>
      </c>
      <c r="BQ13" s="1699">
        <f t="shared" si="6"/>
        <v>118000</v>
      </c>
      <c r="BR13" s="1699">
        <f t="shared" si="6"/>
        <v>23600</v>
      </c>
      <c r="BS13" s="1699">
        <f t="shared" si="6"/>
        <v>0</v>
      </c>
      <c r="BT13" s="1699">
        <f t="shared" si="6"/>
        <v>0</v>
      </c>
      <c r="BU13" s="1699">
        <f t="shared" si="6"/>
        <v>0</v>
      </c>
      <c r="CE13" s="1751" t="s">
        <v>1503</v>
      </c>
      <c r="CF13" s="269">
        <v>23011106</v>
      </c>
      <c r="CG13" s="1752">
        <v>500000</v>
      </c>
      <c r="CH13" s="1753">
        <v>0.7</v>
      </c>
      <c r="CI13" s="1754">
        <f t="shared" si="7"/>
        <v>350000</v>
      </c>
    </row>
    <row r="14" spans="5:88" ht="15" thickBot="1" x14ac:dyDescent="0.35">
      <c r="E14" s="1669"/>
      <c r="F14" s="1670" t="s">
        <v>1416</v>
      </c>
      <c r="G14" s="1671"/>
      <c r="H14" s="1671"/>
      <c r="I14" s="1671"/>
      <c r="J14" s="1671"/>
      <c r="K14" s="1671"/>
      <c r="L14" s="1671"/>
      <c r="M14" s="1671"/>
      <c r="N14" s="1671"/>
      <c r="O14" s="1671"/>
      <c r="P14" s="1671"/>
      <c r="Q14" s="1671"/>
      <c r="R14" s="1671"/>
      <c r="S14" s="1671"/>
      <c r="T14" s="1671"/>
      <c r="U14" s="1671"/>
      <c r="V14" s="1671"/>
      <c r="W14" s="1671"/>
      <c r="X14" s="1671"/>
      <c r="Y14" s="1671"/>
      <c r="Z14" s="1671"/>
      <c r="AA14" s="1671"/>
      <c r="AB14" s="1671"/>
      <c r="AC14" s="1671"/>
      <c r="AD14" s="1671"/>
      <c r="AE14" s="1671"/>
      <c r="AF14" s="1671"/>
      <c r="AG14" s="1671"/>
      <c r="AH14" s="1671"/>
      <c r="AI14" s="1671"/>
      <c r="AJ14" s="1671"/>
      <c r="AK14" s="1671"/>
      <c r="AL14" s="1671"/>
      <c r="AM14" s="1671"/>
      <c r="AN14" s="1671"/>
      <c r="AO14" s="1671"/>
      <c r="AP14" s="1671"/>
      <c r="AQ14" s="1671"/>
      <c r="AR14" s="1671"/>
      <c r="AT14" s="1675"/>
      <c r="AU14" s="1684" t="s">
        <v>1422</v>
      </c>
      <c r="AV14" s="1691">
        <f>-G61/1000</f>
        <v>15.83432</v>
      </c>
      <c r="AW14" s="1682">
        <f>AV14/AV$4</f>
        <v>7.3311530762348578E-3</v>
      </c>
      <c r="AX14" s="1691">
        <f>-H61/1000</f>
        <v>9.4380600000000001</v>
      </c>
      <c r="AY14" s="1682">
        <f>AX14/AX$4</f>
        <v>3.1201576270602971E-3</v>
      </c>
      <c r="AZ14" s="1691">
        <f>-I61/1000</f>
        <v>23.533529999999999</v>
      </c>
      <c r="BA14" s="1682">
        <f>AZ14/AZ$4</f>
        <v>4.0259617000222986E-3</v>
      </c>
      <c r="BB14" s="1682"/>
      <c r="BC14" s="1682"/>
      <c r="BD14" s="1677"/>
      <c r="BI14" s="1698">
        <v>0.6</v>
      </c>
      <c r="BJ14" s="1671">
        <f t="shared" ref="BJ14:BU14" si="8">$BI14*BJ7</f>
        <v>0</v>
      </c>
      <c r="BK14" s="1671">
        <f t="shared" si="8"/>
        <v>0</v>
      </c>
      <c r="BL14" s="1671">
        <f t="shared" si="8"/>
        <v>0</v>
      </c>
      <c r="BM14" s="1671">
        <f t="shared" si="8"/>
        <v>0</v>
      </c>
      <c r="BN14" s="1671">
        <f t="shared" si="8"/>
        <v>0</v>
      </c>
      <c r="BO14" s="1671">
        <f t="shared" si="8"/>
        <v>0</v>
      </c>
      <c r="BP14" s="1671">
        <f t="shared" si="8"/>
        <v>0</v>
      </c>
      <c r="BQ14" s="1671">
        <f t="shared" si="8"/>
        <v>0</v>
      </c>
      <c r="BR14" s="1671">
        <f t="shared" si="8"/>
        <v>0</v>
      </c>
      <c r="BS14" s="1671">
        <f t="shared" si="8"/>
        <v>0</v>
      </c>
      <c r="BT14" s="1671">
        <f t="shared" si="8"/>
        <v>0</v>
      </c>
      <c r="BU14" s="1671">
        <f t="shared" si="8"/>
        <v>0</v>
      </c>
      <c r="CE14" s="1751" t="s">
        <v>1504</v>
      </c>
      <c r="CF14" s="269">
        <v>23071306</v>
      </c>
      <c r="CG14" s="1752">
        <v>1400000</v>
      </c>
      <c r="CH14" s="1753">
        <v>0.6</v>
      </c>
      <c r="CI14" s="1754">
        <f t="shared" si="7"/>
        <v>840000</v>
      </c>
    </row>
    <row r="15" spans="5:88" ht="15" thickBot="1" x14ac:dyDescent="0.35">
      <c r="E15" s="1669"/>
      <c r="F15" s="1670" t="s">
        <v>551</v>
      </c>
      <c r="G15" s="1700">
        <f>SUM(G11)</f>
        <v>1128659.5900000001</v>
      </c>
      <c r="H15" s="1700">
        <f>SUM(H11)</f>
        <v>1360324.26</v>
      </c>
      <c r="I15" s="1700">
        <f>SUM(I11)</f>
        <v>1904486.0499999998</v>
      </c>
      <c r="J15" s="1700">
        <f>SUM(J11)</f>
        <v>1452122.71</v>
      </c>
      <c r="K15" s="1700">
        <f>SUM(K11)</f>
        <v>1464489.9666666668</v>
      </c>
      <c r="L15" s="1700">
        <f t="shared" ref="L15:AR15" si="9">ROUND(SUM(L10:L11),5)</f>
        <v>0</v>
      </c>
      <c r="M15" s="1700">
        <f t="shared" si="9"/>
        <v>0</v>
      </c>
      <c r="N15" s="1700">
        <f t="shared" si="9"/>
        <v>0</v>
      </c>
      <c r="O15" s="1700">
        <f t="shared" si="9"/>
        <v>-12301.51</v>
      </c>
      <c r="P15" s="1700">
        <f t="shared" si="9"/>
        <v>0</v>
      </c>
      <c r="Q15" s="1700">
        <f t="shared" si="9"/>
        <v>803568.18</v>
      </c>
      <c r="R15" s="1700">
        <f t="shared" si="9"/>
        <v>0</v>
      </c>
      <c r="S15" s="1700">
        <f t="shared" si="9"/>
        <v>925</v>
      </c>
      <c r="T15" s="1700">
        <f t="shared" si="9"/>
        <v>0</v>
      </c>
      <c r="U15" s="1700">
        <f t="shared" si="9"/>
        <v>0</v>
      </c>
      <c r="V15" s="1700">
        <f t="shared" si="9"/>
        <v>294325.68</v>
      </c>
      <c r="W15" s="1700">
        <f t="shared" si="9"/>
        <v>42142.239999999998</v>
      </c>
      <c r="X15" s="1700">
        <f t="shared" si="9"/>
        <v>0</v>
      </c>
      <c r="Y15" s="1700">
        <f t="shared" si="9"/>
        <v>0</v>
      </c>
      <c r="Z15" s="1700">
        <f t="shared" si="9"/>
        <v>0</v>
      </c>
      <c r="AA15" s="1700">
        <f t="shared" si="9"/>
        <v>0</v>
      </c>
      <c r="AB15" s="1700">
        <f t="shared" si="9"/>
        <v>970</v>
      </c>
      <c r="AC15" s="1700">
        <f t="shared" si="9"/>
        <v>0</v>
      </c>
      <c r="AD15" s="1700">
        <f t="shared" si="9"/>
        <v>0</v>
      </c>
      <c r="AE15" s="1700">
        <f t="shared" si="9"/>
        <v>906990.92</v>
      </c>
      <c r="AF15" s="1700">
        <f t="shared" si="9"/>
        <v>0</v>
      </c>
      <c r="AG15" s="1700">
        <f t="shared" si="9"/>
        <v>0</v>
      </c>
      <c r="AH15" s="1700">
        <f t="shared" si="9"/>
        <v>164198.93</v>
      </c>
      <c r="AI15" s="1700">
        <f t="shared" si="9"/>
        <v>288164.40999999997</v>
      </c>
      <c r="AJ15" s="1700">
        <f t="shared" si="9"/>
        <v>0</v>
      </c>
      <c r="AK15" s="1700">
        <f t="shared" si="9"/>
        <v>0</v>
      </c>
      <c r="AL15" s="1700">
        <f t="shared" si="9"/>
        <v>0</v>
      </c>
      <c r="AM15" s="1700">
        <f t="shared" si="9"/>
        <v>0</v>
      </c>
      <c r="AN15" s="1700">
        <f t="shared" si="9"/>
        <v>0</v>
      </c>
      <c r="AO15" s="1700">
        <f t="shared" si="9"/>
        <v>0</v>
      </c>
      <c r="AP15" s="1700">
        <f t="shared" si="9"/>
        <v>0</v>
      </c>
      <c r="AQ15" s="1700">
        <f t="shared" si="9"/>
        <v>0</v>
      </c>
      <c r="AR15" s="1700">
        <f t="shared" si="9"/>
        <v>1452122.71</v>
      </c>
      <c r="AT15" s="1675"/>
      <c r="AU15" s="1701" t="s">
        <v>220</v>
      </c>
      <c r="AV15" s="1702">
        <f>AV12+(SUM(AV14:AV14))</f>
        <v>35.115880000000175</v>
      </c>
      <c r="AW15" s="1681">
        <f>AV15/AV$4</f>
        <v>1.6258348428394489E-2</v>
      </c>
      <c r="AX15" s="1702">
        <f>AX12+(SUM(AX14:AX14))</f>
        <v>83.975309999999808</v>
      </c>
      <c r="AY15" s="1681">
        <f>AX15/AX$4</f>
        <v>2.7761659067780057E-2</v>
      </c>
      <c r="AZ15" s="1702">
        <f>AZ12+(SUM(AZ14:AZ14))</f>
        <v>2314.0179000000003</v>
      </c>
      <c r="BA15" s="1681">
        <f>AZ15/AZ$4</f>
        <v>0.39586697952096567</v>
      </c>
      <c r="BB15" s="1682"/>
      <c r="BC15" s="1682"/>
      <c r="BD15" s="1677"/>
      <c r="BF15" s="1683"/>
      <c r="BG15" s="1683"/>
      <c r="BJ15" s="1703">
        <f>SUM(BJ12:BJ14)</f>
        <v>0</v>
      </c>
      <c r="BK15" s="1703">
        <f t="shared" ref="BK15:BU15" si="10">SUM(BK12:BK14)</f>
        <v>206294</v>
      </c>
      <c r="BL15" s="1703">
        <f t="shared" si="10"/>
        <v>0</v>
      </c>
      <c r="BM15" s="1703">
        <f t="shared" si="10"/>
        <v>183915.2</v>
      </c>
      <c r="BN15" s="1703">
        <f t="shared" si="10"/>
        <v>0</v>
      </c>
      <c r="BO15" s="1703">
        <f t="shared" si="10"/>
        <v>0</v>
      </c>
      <c r="BP15" s="1703">
        <f t="shared" si="10"/>
        <v>0</v>
      </c>
      <c r="BQ15" s="1703">
        <f t="shared" si="10"/>
        <v>252272.8</v>
      </c>
      <c r="BR15" s="1703">
        <f t="shared" si="10"/>
        <v>45978.8</v>
      </c>
      <c r="BS15" s="1703">
        <f t="shared" si="10"/>
        <v>0</v>
      </c>
      <c r="BT15" s="1703">
        <f t="shared" si="10"/>
        <v>0</v>
      </c>
      <c r="BU15" s="1703">
        <f t="shared" si="10"/>
        <v>0</v>
      </c>
      <c r="BW15" s="1688">
        <f>SUM(BJ15:BU15)</f>
        <v>688460.80000000005</v>
      </c>
      <c r="CE15" s="1751" t="s">
        <v>1505</v>
      </c>
      <c r="CF15" s="269">
        <v>21030206</v>
      </c>
      <c r="CG15" s="1752">
        <v>350000</v>
      </c>
      <c r="CH15" s="1753">
        <v>0.9</v>
      </c>
      <c r="CI15" s="1754">
        <f t="shared" si="7"/>
        <v>315000</v>
      </c>
    </row>
    <row r="16" spans="5:88" ht="14.4" x14ac:dyDescent="0.3">
      <c r="E16" s="1669"/>
      <c r="F16" s="1670" t="s">
        <v>460</v>
      </c>
      <c r="G16" s="1671">
        <f>G9-G15</f>
        <v>1031208.01</v>
      </c>
      <c r="H16" s="1671">
        <f>H9-H15</f>
        <v>1664542.1500000001</v>
      </c>
      <c r="I16" s="1671">
        <f>I9-I15</f>
        <v>3940957.04</v>
      </c>
      <c r="J16" s="1671">
        <f>J9-J15</f>
        <v>3284219.88</v>
      </c>
      <c r="K16" s="1671">
        <f>K9-K15</f>
        <v>2212235.7333333329</v>
      </c>
      <c r="L16" s="1671">
        <f t="shared" ref="L16:AR16" si="11">ROUND(L9-L15,5)</f>
        <v>0</v>
      </c>
      <c r="M16" s="1671">
        <f t="shared" si="11"/>
        <v>210885.78</v>
      </c>
      <c r="N16" s="1671">
        <f t="shared" si="11"/>
        <v>94744.2</v>
      </c>
      <c r="O16" s="1671">
        <f t="shared" si="11"/>
        <v>308342.90999999997</v>
      </c>
      <c r="P16" s="1671">
        <f t="shared" si="11"/>
        <v>0</v>
      </c>
      <c r="Q16" s="1671">
        <f t="shared" si="11"/>
        <v>135616.56</v>
      </c>
      <c r="R16" s="1671">
        <f t="shared" si="11"/>
        <v>57094</v>
      </c>
      <c r="S16" s="1671">
        <f t="shared" si="11"/>
        <v>270097.55</v>
      </c>
      <c r="T16" s="1671">
        <f t="shared" si="11"/>
        <v>0</v>
      </c>
      <c r="U16" s="1671">
        <f t="shared" si="11"/>
        <v>0</v>
      </c>
      <c r="V16" s="1671">
        <f t="shared" si="11"/>
        <v>-190000.1</v>
      </c>
      <c r="W16" s="1671">
        <f t="shared" si="11"/>
        <v>144427.10999999999</v>
      </c>
      <c r="X16" s="1671">
        <f t="shared" si="11"/>
        <v>212034</v>
      </c>
      <c r="Y16" s="1671">
        <f t="shared" si="11"/>
        <v>288906.63</v>
      </c>
      <c r="Z16" s="1671">
        <f t="shared" si="11"/>
        <v>236608.75</v>
      </c>
      <c r="AA16" s="1671">
        <f t="shared" si="11"/>
        <v>51598</v>
      </c>
      <c r="AB16" s="1671">
        <f t="shared" si="11"/>
        <v>1545.57</v>
      </c>
      <c r="AC16" s="1671">
        <f t="shared" si="11"/>
        <v>201072.5</v>
      </c>
      <c r="AD16" s="1671">
        <f t="shared" si="11"/>
        <v>285008.25</v>
      </c>
      <c r="AE16" s="1671">
        <f t="shared" si="11"/>
        <v>-844490.35</v>
      </c>
      <c r="AF16" s="1671">
        <f t="shared" si="11"/>
        <v>575521.64</v>
      </c>
      <c r="AG16" s="1671">
        <f t="shared" si="11"/>
        <v>275597.55</v>
      </c>
      <c r="AH16" s="1671">
        <f t="shared" si="11"/>
        <v>-4236.18</v>
      </c>
      <c r="AI16" s="1671">
        <f t="shared" si="11"/>
        <v>385375.79</v>
      </c>
      <c r="AJ16" s="1671">
        <f t="shared" si="11"/>
        <v>0</v>
      </c>
      <c r="AK16" s="1671">
        <f t="shared" si="11"/>
        <v>0</v>
      </c>
      <c r="AL16" s="1671">
        <f t="shared" si="11"/>
        <v>0</v>
      </c>
      <c r="AM16" s="1671">
        <f t="shared" si="11"/>
        <v>0</v>
      </c>
      <c r="AN16" s="1671">
        <f t="shared" si="11"/>
        <v>0</v>
      </c>
      <c r="AO16" s="1671">
        <f t="shared" si="11"/>
        <v>0</v>
      </c>
      <c r="AP16" s="1671">
        <f t="shared" si="11"/>
        <v>0</v>
      </c>
      <c r="AQ16" s="1671">
        <f t="shared" si="11"/>
        <v>0</v>
      </c>
      <c r="AR16" s="1671">
        <f t="shared" si="11"/>
        <v>3284219.88</v>
      </c>
      <c r="AT16" s="1675"/>
      <c r="AU16" s="1704"/>
      <c r="AV16" s="1705"/>
      <c r="AW16" s="1706"/>
      <c r="AX16" s="1705"/>
      <c r="AY16" s="1706"/>
      <c r="AZ16" s="1705"/>
      <c r="BA16" s="1706"/>
      <c r="BB16" s="1707"/>
      <c r="BC16" s="1707"/>
      <c r="BD16" s="1677"/>
      <c r="BJ16" s="1699">
        <f>BJ9-BJ15</f>
        <v>0</v>
      </c>
      <c r="BK16" s="1699">
        <f>BK9-BK15</f>
        <v>362595.5</v>
      </c>
      <c r="BL16" s="1699">
        <f t="shared" ref="BL16:BU16" si="12">BL9-BL15</f>
        <v>0</v>
      </c>
      <c r="BM16" s="1699">
        <f t="shared" si="12"/>
        <v>329460.8</v>
      </c>
      <c r="BN16" s="1699">
        <f t="shared" si="12"/>
        <v>0</v>
      </c>
      <c r="BO16" s="1699">
        <f t="shared" si="12"/>
        <v>0</v>
      </c>
      <c r="BP16" s="1699">
        <f t="shared" si="12"/>
        <v>0</v>
      </c>
      <c r="BQ16" s="1699">
        <f t="shared" si="12"/>
        <v>444960.7</v>
      </c>
      <c r="BR16" s="1699">
        <f t="shared" si="12"/>
        <v>82365.2</v>
      </c>
      <c r="BS16" s="1699">
        <f t="shared" si="12"/>
        <v>0</v>
      </c>
      <c r="BT16" s="1699">
        <f t="shared" si="12"/>
        <v>0</v>
      </c>
      <c r="BU16" s="1699">
        <f t="shared" si="12"/>
        <v>0</v>
      </c>
      <c r="BW16" s="1688">
        <f>SUM(BJ16:BU16)</f>
        <v>1219382.2</v>
      </c>
      <c r="CE16" s="1751" t="s">
        <v>1506</v>
      </c>
      <c r="CF16" s="269">
        <v>22022513</v>
      </c>
      <c r="CG16" s="1752">
        <v>900000</v>
      </c>
      <c r="CH16" s="1753">
        <v>0.75</v>
      </c>
      <c r="CI16" s="1754">
        <f t="shared" si="7"/>
        <v>675000</v>
      </c>
    </row>
    <row r="17" spans="5:87" ht="14.4" x14ac:dyDescent="0.3">
      <c r="E17" s="1669"/>
      <c r="F17" s="1670"/>
      <c r="G17" s="1708">
        <f>G16/G9</f>
        <v>0.47744038106780246</v>
      </c>
      <c r="H17" s="1708">
        <f>H16/H9</f>
        <v>0.55028616949731679</v>
      </c>
      <c r="I17" s="1708">
        <f>I16/I9</f>
        <v>0.67419303880349646</v>
      </c>
      <c r="J17" s="1708">
        <f>J16/J9</f>
        <v>0.69340843015327569</v>
      </c>
      <c r="K17" s="1708">
        <f t="shared" si="5"/>
        <v>0.56730652978953855</v>
      </c>
      <c r="L17" s="1671"/>
      <c r="M17" s="1671"/>
      <c r="N17" s="1671"/>
      <c r="O17" s="1671"/>
      <c r="P17" s="1671"/>
      <c r="Q17" s="1671"/>
      <c r="R17" s="1671"/>
      <c r="S17" s="1671"/>
      <c r="T17" s="1671"/>
      <c r="U17" s="1671"/>
      <c r="V17" s="1671"/>
      <c r="W17" s="1671"/>
      <c r="X17" s="1671"/>
      <c r="Y17" s="1671"/>
      <c r="Z17" s="1671"/>
      <c r="AA17" s="1671"/>
      <c r="AB17" s="1671"/>
      <c r="AC17" s="1671"/>
      <c r="AD17" s="1671"/>
      <c r="AE17" s="1671"/>
      <c r="AF17" s="1671"/>
      <c r="AG17" s="1671"/>
      <c r="AH17" s="1671"/>
      <c r="AI17" s="1671"/>
      <c r="AJ17" s="1671"/>
      <c r="AK17" s="1671"/>
      <c r="AL17" s="1671"/>
      <c r="AM17" s="1671"/>
      <c r="AN17" s="1671"/>
      <c r="AO17" s="1671"/>
      <c r="AP17" s="1671"/>
      <c r="AQ17" s="1671"/>
      <c r="AR17" s="1671"/>
      <c r="AT17" s="1675"/>
      <c r="AU17" s="1709" t="s">
        <v>1423</v>
      </c>
      <c r="AV17" s="1685"/>
      <c r="AW17" s="1710"/>
      <c r="AX17" s="1685"/>
      <c r="AY17" s="1710"/>
      <c r="AZ17" s="1685"/>
      <c r="BA17" s="1692"/>
      <c r="BB17" s="1692"/>
      <c r="BC17" s="1692"/>
      <c r="BD17" s="1677"/>
      <c r="BJ17" s="1671"/>
      <c r="BK17" s="1671"/>
      <c r="BL17" s="1671"/>
      <c r="BM17" s="1671"/>
      <c r="BN17" s="1671"/>
      <c r="BO17" s="1671"/>
      <c r="BP17" s="1671"/>
      <c r="BQ17" s="1671"/>
      <c r="BR17" s="1671"/>
      <c r="BS17" s="1671"/>
      <c r="BT17" s="1671"/>
      <c r="BU17" s="1671"/>
      <c r="BW17" s="1690">
        <f>BW16/BW9</f>
        <v>0.63914179521061221</v>
      </c>
      <c r="BX17" s="1711">
        <f>1-BW17</f>
        <v>0.36085820478938779</v>
      </c>
      <c r="CE17" s="1751" t="s">
        <v>1507</v>
      </c>
      <c r="CF17" s="269">
        <v>23081408</v>
      </c>
      <c r="CG17" s="1752">
        <v>175000</v>
      </c>
      <c r="CH17" s="1753">
        <v>0.5</v>
      </c>
      <c r="CI17" s="1754">
        <f t="shared" si="7"/>
        <v>87500</v>
      </c>
    </row>
    <row r="18" spans="5:87" ht="14.4" x14ac:dyDescent="0.3">
      <c r="E18" s="1669"/>
      <c r="F18" s="1670" t="s">
        <v>981</v>
      </c>
      <c r="G18" s="1671"/>
      <c r="H18" s="1671"/>
      <c r="I18" s="1671"/>
      <c r="J18" s="1671"/>
      <c r="K18" s="1671"/>
      <c r="L18" s="1671"/>
      <c r="M18" s="1671"/>
      <c r="N18" s="1671"/>
      <c r="O18" s="1671"/>
      <c r="P18" s="1671"/>
      <c r="Q18" s="1671"/>
      <c r="R18" s="1671"/>
      <c r="S18" s="1671"/>
      <c r="T18" s="1671"/>
      <c r="U18" s="1671"/>
      <c r="V18" s="1671"/>
      <c r="W18" s="1671"/>
      <c r="X18" s="1671"/>
      <c r="Y18" s="1671"/>
      <c r="Z18" s="1671"/>
      <c r="AA18" s="1671"/>
      <c r="AB18" s="1671"/>
      <c r="AC18" s="1671"/>
      <c r="AD18" s="1671"/>
      <c r="AE18" s="1671"/>
      <c r="AF18" s="1671"/>
      <c r="AG18" s="1671"/>
      <c r="AH18" s="1671"/>
      <c r="AI18" s="1671"/>
      <c r="AJ18" s="1671"/>
      <c r="AK18" s="1671"/>
      <c r="AL18" s="1671"/>
      <c r="AM18" s="1671"/>
      <c r="AN18" s="1671"/>
      <c r="AO18" s="1671"/>
      <c r="AP18" s="1671"/>
      <c r="AQ18" s="1671"/>
      <c r="AR18" s="1671"/>
      <c r="AT18" s="1675"/>
      <c r="AU18" s="1684" t="s">
        <v>1424</v>
      </c>
      <c r="AV18" s="1691">
        <v>375</v>
      </c>
      <c r="AW18" s="1712"/>
      <c r="AX18" s="1691">
        <v>1000</v>
      </c>
      <c r="AY18" s="1712"/>
      <c r="AZ18" s="1691">
        <v>1200</v>
      </c>
      <c r="BA18" s="1713"/>
      <c r="BB18" s="1714"/>
      <c r="BC18" s="1714"/>
      <c r="BD18" s="1677"/>
      <c r="BJ18" s="1671"/>
      <c r="BK18" s="1671"/>
      <c r="BL18" s="1671"/>
      <c r="BM18" s="1671"/>
      <c r="BN18" s="1671"/>
      <c r="BO18" s="1671"/>
      <c r="BP18" s="1671"/>
      <c r="BQ18" s="1671"/>
      <c r="BR18" s="1671"/>
      <c r="BS18" s="1671"/>
      <c r="BT18" s="1671"/>
      <c r="BU18" s="1671"/>
      <c r="CE18" s="1751" t="s">
        <v>1508</v>
      </c>
      <c r="CF18" s="269">
        <v>23071307</v>
      </c>
      <c r="CG18" s="1752">
        <v>150000</v>
      </c>
      <c r="CH18" s="1753">
        <v>0.7</v>
      </c>
      <c r="CI18" s="1754">
        <f t="shared" si="7"/>
        <v>105000</v>
      </c>
    </row>
    <row r="19" spans="5:87" ht="14.4" x14ac:dyDescent="0.3">
      <c r="E19" s="1669"/>
      <c r="F19" s="1670" t="s">
        <v>1425</v>
      </c>
      <c r="G19" s="1671">
        <f t="shared" ref="G19:G24" si="13">SUM(L19:W19)</f>
        <v>2080.8000000000002</v>
      </c>
      <c r="H19" s="1671">
        <f t="shared" ref="H19:H24" si="14">SUM(X19:AI19)</f>
        <v>2090</v>
      </c>
      <c r="I19" s="1671">
        <f t="shared" ref="I19:I24" si="15">SUM(AG19:AR19)</f>
        <v>3230</v>
      </c>
      <c r="J19" s="1671">
        <v>2850</v>
      </c>
      <c r="K19" s="1671">
        <f>AVERAGE(G19:I19)</f>
        <v>2466.9333333333334</v>
      </c>
      <c r="L19" s="1671">
        <v>186.67</v>
      </c>
      <c r="M19" s="1671">
        <v>186.67</v>
      </c>
      <c r="N19" s="1671">
        <v>190</v>
      </c>
      <c r="O19" s="1671">
        <v>0</v>
      </c>
      <c r="P19" s="1671">
        <v>190</v>
      </c>
      <c r="Q19" s="1671">
        <v>190</v>
      </c>
      <c r="R19" s="1671">
        <v>0</v>
      </c>
      <c r="S19" s="1671">
        <v>377.46</v>
      </c>
      <c r="T19" s="1671">
        <v>190</v>
      </c>
      <c r="U19" s="1671">
        <v>190</v>
      </c>
      <c r="V19" s="1671">
        <v>190</v>
      </c>
      <c r="W19" s="1671">
        <v>190</v>
      </c>
      <c r="X19" s="1671">
        <v>190</v>
      </c>
      <c r="Y19" s="1671">
        <v>0</v>
      </c>
      <c r="Z19" s="1671">
        <v>380</v>
      </c>
      <c r="AA19" s="1671">
        <v>190</v>
      </c>
      <c r="AB19" s="1671">
        <v>760</v>
      </c>
      <c r="AC19" s="1671">
        <v>0</v>
      </c>
      <c r="AD19" s="1671">
        <v>0</v>
      </c>
      <c r="AE19" s="1671">
        <v>190</v>
      </c>
      <c r="AF19" s="1671">
        <v>0</v>
      </c>
      <c r="AG19" s="1671">
        <v>190</v>
      </c>
      <c r="AH19" s="1671">
        <v>190</v>
      </c>
      <c r="AI19" s="1671">
        <v>0</v>
      </c>
      <c r="AJ19" s="1671">
        <v>380</v>
      </c>
      <c r="AK19" s="1671">
        <v>190</v>
      </c>
      <c r="AL19" s="1671">
        <v>2280</v>
      </c>
      <c r="AM19" s="1671">
        <v>0</v>
      </c>
      <c r="AN19" s="1671">
        <v>0</v>
      </c>
      <c r="AO19" s="1671">
        <v>0</v>
      </c>
      <c r="AP19" s="1671">
        <v>0</v>
      </c>
      <c r="AQ19" s="1671">
        <v>0</v>
      </c>
      <c r="AR19" s="1671">
        <v>0</v>
      </c>
      <c r="AT19" s="1675"/>
      <c r="AU19" s="1684" t="s">
        <v>1426</v>
      </c>
      <c r="AV19" s="1691">
        <v>-150</v>
      </c>
      <c r="AW19" s="1714"/>
      <c r="AX19" s="1691">
        <v>-150</v>
      </c>
      <c r="AY19" s="1714"/>
      <c r="AZ19" s="1691">
        <f>-150</f>
        <v>-150</v>
      </c>
      <c r="BA19" s="1714"/>
      <c r="BB19" s="1714"/>
      <c r="BC19" s="1714"/>
      <c r="BD19" s="1677"/>
      <c r="BJ19" s="1671">
        <f t="shared" ref="BJ19:BJ24" si="16">AVERAGE(AG19:AR19)</f>
        <v>269.16666666666669</v>
      </c>
      <c r="BK19" s="1671">
        <f>BJ19</f>
        <v>269.16666666666669</v>
      </c>
      <c r="BL19" s="1671">
        <f t="shared" ref="BL19:BU19" si="17">BK19</f>
        <v>269.16666666666669</v>
      </c>
      <c r="BM19" s="1671">
        <f t="shared" si="17"/>
        <v>269.16666666666669</v>
      </c>
      <c r="BN19" s="1671">
        <f t="shared" si="17"/>
        <v>269.16666666666669</v>
      </c>
      <c r="BO19" s="1671">
        <f t="shared" si="17"/>
        <v>269.16666666666669</v>
      </c>
      <c r="BP19" s="1671">
        <f t="shared" si="17"/>
        <v>269.16666666666669</v>
      </c>
      <c r="BQ19" s="1671">
        <f t="shared" si="17"/>
        <v>269.16666666666669</v>
      </c>
      <c r="BR19" s="1671">
        <f t="shared" si="17"/>
        <v>269.16666666666669</v>
      </c>
      <c r="BS19" s="1671">
        <f t="shared" si="17"/>
        <v>269.16666666666669</v>
      </c>
      <c r="BT19" s="1671">
        <f t="shared" si="17"/>
        <v>269.16666666666669</v>
      </c>
      <c r="BU19" s="1671">
        <f t="shared" si="17"/>
        <v>269.16666666666669</v>
      </c>
      <c r="CE19" s="1751" t="s">
        <v>1509</v>
      </c>
      <c r="CF19" s="269">
        <v>23061908</v>
      </c>
      <c r="CG19" s="1755">
        <v>8400000</v>
      </c>
      <c r="CH19" s="1753">
        <v>0.25</v>
      </c>
      <c r="CI19" s="1754">
        <f t="shared" si="7"/>
        <v>2100000</v>
      </c>
    </row>
    <row r="20" spans="5:87" ht="14.4" x14ac:dyDescent="0.3">
      <c r="E20" s="1669"/>
      <c r="F20" s="1670" t="s">
        <v>1427</v>
      </c>
      <c r="G20" s="1671">
        <f t="shared" si="13"/>
        <v>116.48</v>
      </c>
      <c r="H20" s="1671">
        <f t="shared" si="14"/>
        <v>0</v>
      </c>
      <c r="I20" s="1671">
        <f t="shared" si="15"/>
        <v>0</v>
      </c>
      <c r="J20" s="1671">
        <v>0</v>
      </c>
      <c r="K20" s="1671">
        <f t="shared" si="5"/>
        <v>38.826666666666668</v>
      </c>
      <c r="L20" s="1671">
        <v>0</v>
      </c>
      <c r="M20" s="1671">
        <v>0</v>
      </c>
      <c r="N20" s="1671">
        <v>0</v>
      </c>
      <c r="O20" s="1671">
        <v>0</v>
      </c>
      <c r="P20" s="1671">
        <v>0</v>
      </c>
      <c r="Q20" s="1671">
        <v>0</v>
      </c>
      <c r="R20" s="1671">
        <v>0</v>
      </c>
      <c r="S20" s="1671">
        <v>0</v>
      </c>
      <c r="T20" s="1671">
        <v>0</v>
      </c>
      <c r="U20" s="1671">
        <v>0</v>
      </c>
      <c r="V20" s="1671">
        <v>0</v>
      </c>
      <c r="W20" s="1671">
        <v>116.48</v>
      </c>
      <c r="X20" s="1671">
        <v>0</v>
      </c>
      <c r="Y20" s="1671">
        <v>0</v>
      </c>
      <c r="Z20" s="1671">
        <v>0</v>
      </c>
      <c r="AA20" s="1671">
        <v>0</v>
      </c>
      <c r="AB20" s="1671">
        <v>0</v>
      </c>
      <c r="AC20" s="1671">
        <v>0</v>
      </c>
      <c r="AD20" s="1671">
        <v>0</v>
      </c>
      <c r="AE20" s="1671">
        <v>0</v>
      </c>
      <c r="AF20" s="1671">
        <v>0</v>
      </c>
      <c r="AG20" s="1671">
        <v>0</v>
      </c>
      <c r="AH20" s="1671">
        <v>0</v>
      </c>
      <c r="AI20" s="1671">
        <v>0</v>
      </c>
      <c r="AJ20" s="1671">
        <v>0</v>
      </c>
      <c r="AK20" s="1671">
        <v>0</v>
      </c>
      <c r="AL20" s="1671">
        <v>0</v>
      </c>
      <c r="AM20" s="1671">
        <v>0</v>
      </c>
      <c r="AN20" s="1671">
        <v>0</v>
      </c>
      <c r="AO20" s="1671">
        <v>0</v>
      </c>
      <c r="AP20" s="1671">
        <v>0</v>
      </c>
      <c r="AQ20" s="1671">
        <v>0</v>
      </c>
      <c r="AR20" s="1671">
        <v>0</v>
      </c>
      <c r="AT20" s="1675"/>
      <c r="AU20" s="1684" t="s">
        <v>1428</v>
      </c>
      <c r="AV20" s="1691">
        <v>40</v>
      </c>
      <c r="AW20" s="1714"/>
      <c r="AX20" s="1691">
        <v>30</v>
      </c>
      <c r="AY20" s="1714"/>
      <c r="AZ20" s="1691">
        <v>30</v>
      </c>
      <c r="BA20" s="1714"/>
      <c r="BB20" s="1714"/>
      <c r="BC20" s="1714"/>
      <c r="BD20" s="1677"/>
      <c r="BJ20" s="1671">
        <f t="shared" si="16"/>
        <v>0</v>
      </c>
      <c r="BK20" s="1671">
        <f t="shared" ref="BK20:BU34" si="18">BJ20</f>
        <v>0</v>
      </c>
      <c r="BL20" s="1671">
        <f t="shared" si="18"/>
        <v>0</v>
      </c>
      <c r="BM20" s="1671">
        <f t="shared" si="18"/>
        <v>0</v>
      </c>
      <c r="BN20" s="1671">
        <f t="shared" si="18"/>
        <v>0</v>
      </c>
      <c r="BO20" s="1671">
        <f t="shared" si="18"/>
        <v>0</v>
      </c>
      <c r="BP20" s="1671">
        <f t="shared" si="18"/>
        <v>0</v>
      </c>
      <c r="BQ20" s="1671">
        <f t="shared" si="18"/>
        <v>0</v>
      </c>
      <c r="BR20" s="1671">
        <f t="shared" si="18"/>
        <v>0</v>
      </c>
      <c r="BS20" s="1671">
        <f t="shared" si="18"/>
        <v>0</v>
      </c>
      <c r="BT20" s="1671">
        <f t="shared" si="18"/>
        <v>0</v>
      </c>
      <c r="BU20" s="1671">
        <f t="shared" si="18"/>
        <v>0</v>
      </c>
      <c r="CE20" s="1751" t="s">
        <v>1510</v>
      </c>
      <c r="CF20" s="1756">
        <v>23081211</v>
      </c>
      <c r="CG20" s="1755">
        <v>100000</v>
      </c>
      <c r="CH20" s="1753">
        <v>0.8</v>
      </c>
      <c r="CI20" s="1754">
        <f t="shared" si="7"/>
        <v>80000</v>
      </c>
    </row>
    <row r="21" spans="5:87" ht="14.4" x14ac:dyDescent="0.3">
      <c r="E21" s="1669"/>
      <c r="F21" s="1670" t="s">
        <v>1429</v>
      </c>
      <c r="G21" s="1671">
        <f t="shared" si="13"/>
        <v>186.4</v>
      </c>
      <c r="H21" s="1671">
        <f t="shared" si="14"/>
        <v>206.06</v>
      </c>
      <c r="I21" s="1671">
        <f t="shared" si="15"/>
        <v>205.5</v>
      </c>
      <c r="J21" s="1671">
        <v>110.5</v>
      </c>
      <c r="K21" s="1671">
        <f t="shared" si="5"/>
        <v>199.32000000000002</v>
      </c>
      <c r="L21" s="1671">
        <v>30.4</v>
      </c>
      <c r="M21" s="1671">
        <v>15</v>
      </c>
      <c r="N21" s="1671">
        <v>0</v>
      </c>
      <c r="O21" s="1671">
        <v>15</v>
      </c>
      <c r="P21" s="1671">
        <v>0</v>
      </c>
      <c r="Q21" s="1671">
        <v>0</v>
      </c>
      <c r="R21" s="1671">
        <v>51</v>
      </c>
      <c r="S21" s="1671">
        <v>15</v>
      </c>
      <c r="T21" s="1671">
        <v>15</v>
      </c>
      <c r="U21" s="1671">
        <v>0</v>
      </c>
      <c r="V21" s="1671">
        <v>0</v>
      </c>
      <c r="W21" s="1671">
        <v>45</v>
      </c>
      <c r="X21" s="1671">
        <v>0</v>
      </c>
      <c r="Y21" s="1671">
        <v>15.06</v>
      </c>
      <c r="Z21" s="1671">
        <v>31</v>
      </c>
      <c r="AA21" s="1671">
        <v>5</v>
      </c>
      <c r="AB21" s="1671">
        <v>0</v>
      </c>
      <c r="AC21" s="1671">
        <v>15</v>
      </c>
      <c r="AD21" s="1671">
        <v>15</v>
      </c>
      <c r="AE21" s="1671">
        <v>0</v>
      </c>
      <c r="AF21" s="1671">
        <v>30</v>
      </c>
      <c r="AG21" s="1671">
        <v>5</v>
      </c>
      <c r="AH21" s="1671">
        <v>30</v>
      </c>
      <c r="AI21" s="1671">
        <v>60</v>
      </c>
      <c r="AJ21" s="1671">
        <v>15</v>
      </c>
      <c r="AK21" s="1671">
        <v>5.5</v>
      </c>
      <c r="AL21" s="1671">
        <v>15</v>
      </c>
      <c r="AM21" s="1671">
        <v>0</v>
      </c>
      <c r="AN21" s="1671">
        <v>15</v>
      </c>
      <c r="AO21" s="1671">
        <v>60</v>
      </c>
      <c r="AP21" s="1671">
        <v>0</v>
      </c>
      <c r="AQ21" s="1671">
        <v>0</v>
      </c>
      <c r="AR21" s="1671">
        <v>0</v>
      </c>
      <c r="AT21" s="1675"/>
      <c r="AU21" s="1684" t="s">
        <v>1430</v>
      </c>
      <c r="AV21" s="1691">
        <v>8</v>
      </c>
      <c r="AW21" s="1714"/>
      <c r="AX21" s="1691">
        <v>8</v>
      </c>
      <c r="AY21" s="1714"/>
      <c r="AZ21" s="1691">
        <v>13</v>
      </c>
      <c r="BA21" s="1714"/>
      <c r="BB21" s="1714"/>
      <c r="BC21" s="1714"/>
      <c r="BD21" s="1677"/>
      <c r="BJ21" s="1671">
        <f t="shared" si="16"/>
        <v>17.125</v>
      </c>
      <c r="BK21" s="1671">
        <f t="shared" si="18"/>
        <v>17.125</v>
      </c>
      <c r="BL21" s="1671">
        <f t="shared" si="18"/>
        <v>17.125</v>
      </c>
      <c r="BM21" s="1671">
        <f t="shared" si="18"/>
        <v>17.125</v>
      </c>
      <c r="BN21" s="1671">
        <f t="shared" si="18"/>
        <v>17.125</v>
      </c>
      <c r="BO21" s="1671">
        <f t="shared" si="18"/>
        <v>17.125</v>
      </c>
      <c r="BP21" s="1671">
        <f t="shared" si="18"/>
        <v>17.125</v>
      </c>
      <c r="BQ21" s="1671">
        <f t="shared" si="18"/>
        <v>17.125</v>
      </c>
      <c r="BR21" s="1671">
        <f t="shared" si="18"/>
        <v>17.125</v>
      </c>
      <c r="BS21" s="1671">
        <f t="shared" si="18"/>
        <v>17.125</v>
      </c>
      <c r="BT21" s="1671">
        <f t="shared" si="18"/>
        <v>17.125</v>
      </c>
      <c r="BU21" s="1671">
        <f t="shared" si="18"/>
        <v>17.125</v>
      </c>
      <c r="CE21" s="1757" t="s">
        <v>1511</v>
      </c>
      <c r="CF21" s="1747">
        <v>23100607</v>
      </c>
      <c r="CG21" s="1758">
        <v>150000</v>
      </c>
      <c r="CH21" s="1759">
        <v>0.6</v>
      </c>
      <c r="CI21" s="1760">
        <f t="shared" si="7"/>
        <v>90000</v>
      </c>
    </row>
    <row r="22" spans="5:87" ht="14.4" x14ac:dyDescent="0.3">
      <c r="E22" s="1669"/>
      <c r="F22" s="1670" t="s">
        <v>1431</v>
      </c>
      <c r="G22" s="1671">
        <f t="shared" si="13"/>
        <v>50</v>
      </c>
      <c r="H22" s="1671">
        <f t="shared" si="14"/>
        <v>50</v>
      </c>
      <c r="I22" s="1671">
        <f t="shared" si="15"/>
        <v>50</v>
      </c>
      <c r="J22" s="1671">
        <v>50</v>
      </c>
      <c r="K22" s="1671">
        <f t="shared" si="5"/>
        <v>50</v>
      </c>
      <c r="L22" s="1671">
        <v>0</v>
      </c>
      <c r="M22" s="1671">
        <v>0</v>
      </c>
      <c r="N22" s="1671">
        <v>0</v>
      </c>
      <c r="O22" s="1671">
        <v>0</v>
      </c>
      <c r="P22" s="1671">
        <v>0</v>
      </c>
      <c r="Q22" s="1671">
        <v>0</v>
      </c>
      <c r="R22" s="1671">
        <v>50</v>
      </c>
      <c r="S22" s="1671">
        <v>0</v>
      </c>
      <c r="T22" s="1671">
        <v>0</v>
      </c>
      <c r="U22" s="1671">
        <v>0</v>
      </c>
      <c r="V22" s="1671">
        <v>0</v>
      </c>
      <c r="W22" s="1671">
        <v>0</v>
      </c>
      <c r="X22" s="1671">
        <v>0</v>
      </c>
      <c r="Y22" s="1671">
        <v>0</v>
      </c>
      <c r="Z22" s="1671">
        <v>0</v>
      </c>
      <c r="AA22" s="1671">
        <v>0</v>
      </c>
      <c r="AB22" s="1671">
        <v>50</v>
      </c>
      <c r="AC22" s="1671">
        <v>0</v>
      </c>
      <c r="AD22" s="1671">
        <v>0</v>
      </c>
      <c r="AE22" s="1671">
        <v>0</v>
      </c>
      <c r="AF22" s="1671">
        <v>0</v>
      </c>
      <c r="AG22" s="1671">
        <v>0</v>
      </c>
      <c r="AH22" s="1671">
        <v>0</v>
      </c>
      <c r="AI22" s="1671">
        <v>0</v>
      </c>
      <c r="AJ22" s="1671">
        <v>0</v>
      </c>
      <c r="AK22" s="1671">
        <v>0</v>
      </c>
      <c r="AL22" s="1671">
        <v>0</v>
      </c>
      <c r="AM22" s="1671">
        <v>0</v>
      </c>
      <c r="AN22" s="1671">
        <v>0</v>
      </c>
      <c r="AO22" s="1671">
        <v>0</v>
      </c>
      <c r="AP22" s="1671">
        <v>50</v>
      </c>
      <c r="AQ22" s="1671">
        <v>0</v>
      </c>
      <c r="AR22" s="1671">
        <v>0</v>
      </c>
      <c r="AT22" s="1675"/>
      <c r="AU22" s="1684" t="s">
        <v>1432</v>
      </c>
      <c r="AV22" s="1691">
        <v>0</v>
      </c>
      <c r="AW22" s="1714"/>
      <c r="AX22" s="1691">
        <v>0</v>
      </c>
      <c r="AY22" s="1714"/>
      <c r="AZ22" s="1691">
        <v>0</v>
      </c>
      <c r="BA22" s="1714"/>
      <c r="BB22" s="1714"/>
      <c r="BC22" s="1714"/>
      <c r="BD22" s="1677"/>
      <c r="BJ22" s="1671">
        <f t="shared" si="16"/>
        <v>4.166666666666667</v>
      </c>
      <c r="BK22" s="1671">
        <f t="shared" si="18"/>
        <v>4.166666666666667</v>
      </c>
      <c r="BL22" s="1671">
        <f t="shared" si="18"/>
        <v>4.166666666666667</v>
      </c>
      <c r="BM22" s="1671">
        <f t="shared" si="18"/>
        <v>4.166666666666667</v>
      </c>
      <c r="BN22" s="1671">
        <f t="shared" si="18"/>
        <v>4.166666666666667</v>
      </c>
      <c r="BO22" s="1671">
        <f t="shared" si="18"/>
        <v>4.166666666666667</v>
      </c>
      <c r="BP22" s="1671">
        <f t="shared" si="18"/>
        <v>4.166666666666667</v>
      </c>
      <c r="BQ22" s="1671">
        <f t="shared" si="18"/>
        <v>4.166666666666667</v>
      </c>
      <c r="BR22" s="1671">
        <f t="shared" si="18"/>
        <v>4.166666666666667</v>
      </c>
      <c r="BS22" s="1671">
        <f t="shared" si="18"/>
        <v>4.166666666666667</v>
      </c>
      <c r="BT22" s="1671">
        <f t="shared" si="18"/>
        <v>4.166666666666667</v>
      </c>
      <c r="BU22" s="1671">
        <f t="shared" si="18"/>
        <v>4.166666666666667</v>
      </c>
      <c r="CE22" s="1761" t="s">
        <v>142</v>
      </c>
      <c r="CF22" s="269"/>
      <c r="CG22" s="1754">
        <f>SUM(CG11:CG21)</f>
        <v>13968963</v>
      </c>
      <c r="CH22" s="1753"/>
      <c r="CI22" s="1754">
        <f>SUM(CI11:CI21)</f>
        <v>6457463</v>
      </c>
    </row>
    <row r="23" spans="5:87" ht="13.2" x14ac:dyDescent="0.25">
      <c r="E23" s="1669"/>
      <c r="F23" s="1670" t="s">
        <v>1433</v>
      </c>
      <c r="G23" s="1671">
        <f t="shared" si="13"/>
        <v>20054.5</v>
      </c>
      <c r="H23" s="1671">
        <f t="shared" si="14"/>
        <v>0</v>
      </c>
      <c r="I23" s="1671">
        <f t="shared" si="15"/>
        <v>0</v>
      </c>
      <c r="J23" s="1671">
        <v>0</v>
      </c>
      <c r="K23" s="1671">
        <f t="shared" si="5"/>
        <v>6684.833333333333</v>
      </c>
      <c r="L23" s="1671">
        <v>0</v>
      </c>
      <c r="M23" s="1671">
        <v>0</v>
      </c>
      <c r="N23" s="1671">
        <v>0</v>
      </c>
      <c r="O23" s="1671">
        <v>20054.5</v>
      </c>
      <c r="P23" s="1671">
        <v>0</v>
      </c>
      <c r="Q23" s="1671">
        <v>0</v>
      </c>
      <c r="R23" s="1671">
        <v>0</v>
      </c>
      <c r="S23" s="1671">
        <v>0</v>
      </c>
      <c r="T23" s="1671">
        <v>0</v>
      </c>
      <c r="U23" s="1671">
        <v>0</v>
      </c>
      <c r="V23" s="1671">
        <v>0</v>
      </c>
      <c r="W23" s="1671">
        <v>0</v>
      </c>
      <c r="X23" s="1671">
        <v>0</v>
      </c>
      <c r="Y23" s="1671">
        <v>0</v>
      </c>
      <c r="Z23" s="1671">
        <v>0</v>
      </c>
      <c r="AA23" s="1671">
        <v>0</v>
      </c>
      <c r="AB23" s="1671">
        <v>0</v>
      </c>
      <c r="AC23" s="1671">
        <v>0</v>
      </c>
      <c r="AD23" s="1671">
        <v>0</v>
      </c>
      <c r="AE23" s="1671">
        <v>0</v>
      </c>
      <c r="AF23" s="1671">
        <v>0</v>
      </c>
      <c r="AG23" s="1671">
        <v>0</v>
      </c>
      <c r="AH23" s="1671">
        <v>0</v>
      </c>
      <c r="AI23" s="1671">
        <v>0</v>
      </c>
      <c r="AJ23" s="1671">
        <v>0</v>
      </c>
      <c r="AK23" s="1671">
        <v>0</v>
      </c>
      <c r="AL23" s="1671">
        <v>0</v>
      </c>
      <c r="AM23" s="1671">
        <v>0</v>
      </c>
      <c r="AN23" s="1671">
        <v>0</v>
      </c>
      <c r="AO23" s="1671">
        <v>0</v>
      </c>
      <c r="AP23" s="1671">
        <v>0</v>
      </c>
      <c r="AQ23" s="1671">
        <v>0</v>
      </c>
      <c r="AR23" s="1671">
        <v>0</v>
      </c>
      <c r="AT23" s="1675"/>
      <c r="AU23" s="1684" t="s">
        <v>1434</v>
      </c>
      <c r="AV23" s="1715">
        <v>-50</v>
      </c>
      <c r="AW23" s="1714"/>
      <c r="AX23" s="1715">
        <f>AV23</f>
        <v>-50</v>
      </c>
      <c r="AY23" s="1714"/>
      <c r="AZ23" s="1715">
        <f>AX23</f>
        <v>-50</v>
      </c>
      <c r="BA23" s="1714"/>
      <c r="BB23" s="1714"/>
      <c r="BC23" s="1714"/>
      <c r="BD23" s="1677"/>
      <c r="BJ23" s="1671">
        <f t="shared" si="16"/>
        <v>0</v>
      </c>
      <c r="BK23" s="1671">
        <f t="shared" si="18"/>
        <v>0</v>
      </c>
      <c r="BL23" s="1671">
        <f t="shared" si="18"/>
        <v>0</v>
      </c>
      <c r="BM23" s="1671">
        <f t="shared" si="18"/>
        <v>0</v>
      </c>
      <c r="BN23" s="1671">
        <f t="shared" si="18"/>
        <v>0</v>
      </c>
      <c r="BO23" s="1671">
        <f t="shared" si="18"/>
        <v>0</v>
      </c>
      <c r="BP23" s="1671">
        <f t="shared" si="18"/>
        <v>0</v>
      </c>
      <c r="BQ23" s="1671">
        <f t="shared" si="18"/>
        <v>0</v>
      </c>
      <c r="BR23" s="1671">
        <f t="shared" si="18"/>
        <v>0</v>
      </c>
      <c r="BS23" s="1671">
        <f t="shared" si="18"/>
        <v>0</v>
      </c>
      <c r="BT23" s="1671">
        <f t="shared" si="18"/>
        <v>0</v>
      </c>
      <c r="BU23" s="1671">
        <f t="shared" si="18"/>
        <v>0</v>
      </c>
    </row>
    <row r="24" spans="5:87" ht="13.2" x14ac:dyDescent="0.25">
      <c r="E24" s="1669"/>
      <c r="F24" s="1670" t="s">
        <v>1435</v>
      </c>
      <c r="G24" s="1671">
        <f t="shared" si="13"/>
        <v>238.98</v>
      </c>
      <c r="H24" s="1671">
        <f t="shared" si="14"/>
        <v>50</v>
      </c>
      <c r="I24" s="1671">
        <f t="shared" si="15"/>
        <v>113.97999999999999</v>
      </c>
      <c r="J24" s="1671">
        <v>63.98</v>
      </c>
      <c r="K24" s="1671">
        <f t="shared" si="5"/>
        <v>134.32000000000002</v>
      </c>
      <c r="L24" s="1671">
        <v>0</v>
      </c>
      <c r="M24" s="1671">
        <v>0</v>
      </c>
      <c r="N24" s="1671">
        <v>0</v>
      </c>
      <c r="O24" s="1671">
        <v>0</v>
      </c>
      <c r="P24" s="1671">
        <v>0</v>
      </c>
      <c r="Q24" s="1671">
        <v>175</v>
      </c>
      <c r="R24" s="1671">
        <v>0</v>
      </c>
      <c r="S24" s="1671">
        <v>0</v>
      </c>
      <c r="T24" s="1671">
        <v>63.98</v>
      </c>
      <c r="U24" s="1671">
        <v>0</v>
      </c>
      <c r="V24" s="1671">
        <v>0</v>
      </c>
      <c r="W24" s="1671">
        <v>0</v>
      </c>
      <c r="X24" s="1671">
        <v>0</v>
      </c>
      <c r="Y24" s="1671">
        <v>0</v>
      </c>
      <c r="Z24" s="1671">
        <v>0</v>
      </c>
      <c r="AA24" s="1671">
        <v>0</v>
      </c>
      <c r="AB24" s="1671">
        <v>0</v>
      </c>
      <c r="AC24" s="1671">
        <v>0</v>
      </c>
      <c r="AD24" s="1671">
        <v>0</v>
      </c>
      <c r="AE24" s="1671">
        <v>0</v>
      </c>
      <c r="AF24" s="1671">
        <v>0</v>
      </c>
      <c r="AG24" s="1671">
        <v>0</v>
      </c>
      <c r="AH24" s="1671">
        <v>0</v>
      </c>
      <c r="AI24" s="1671">
        <v>50</v>
      </c>
      <c r="AJ24" s="1671">
        <v>0</v>
      </c>
      <c r="AK24" s="1671">
        <v>0</v>
      </c>
      <c r="AL24" s="1671">
        <v>0</v>
      </c>
      <c r="AM24" s="1671">
        <v>0</v>
      </c>
      <c r="AN24" s="1671">
        <v>0</v>
      </c>
      <c r="AO24" s="1671">
        <v>0</v>
      </c>
      <c r="AP24" s="1671">
        <v>0</v>
      </c>
      <c r="AQ24" s="1671">
        <v>0</v>
      </c>
      <c r="AR24" s="1671">
        <v>63.98</v>
      </c>
      <c r="AT24" s="1675"/>
      <c r="AU24" s="1694" t="s">
        <v>1436</v>
      </c>
      <c r="AV24" s="1716" t="s">
        <v>1437</v>
      </c>
      <c r="AW24" s="1717"/>
      <c r="AX24" s="1716" t="s">
        <v>1437</v>
      </c>
      <c r="AY24" s="1717"/>
      <c r="AZ24" s="1716" t="s">
        <v>1437</v>
      </c>
      <c r="BA24" s="1717"/>
      <c r="BB24" s="1714"/>
      <c r="BC24" s="1714"/>
      <c r="BD24" s="1677"/>
      <c r="BJ24" s="1671">
        <f t="shared" si="16"/>
        <v>9.4983333333333331</v>
      </c>
      <c r="BK24" s="1671">
        <f t="shared" si="18"/>
        <v>9.4983333333333331</v>
      </c>
      <c r="BL24" s="1671">
        <f t="shared" si="18"/>
        <v>9.4983333333333331</v>
      </c>
      <c r="BM24" s="1671">
        <f t="shared" si="18"/>
        <v>9.4983333333333331</v>
      </c>
      <c r="BN24" s="1671">
        <f t="shared" si="18"/>
        <v>9.4983333333333331</v>
      </c>
      <c r="BO24" s="1671">
        <f t="shared" si="18"/>
        <v>9.4983333333333331</v>
      </c>
      <c r="BP24" s="1671">
        <f t="shared" si="18"/>
        <v>9.4983333333333331</v>
      </c>
      <c r="BQ24" s="1671">
        <f t="shared" si="18"/>
        <v>9.4983333333333331</v>
      </c>
      <c r="BR24" s="1671">
        <f t="shared" si="18"/>
        <v>9.4983333333333331</v>
      </c>
      <c r="BS24" s="1671">
        <f t="shared" si="18"/>
        <v>9.4983333333333331</v>
      </c>
      <c r="BT24" s="1671">
        <f t="shared" si="18"/>
        <v>9.4983333333333331</v>
      </c>
      <c r="BU24" s="1671">
        <f t="shared" si="18"/>
        <v>9.4983333333333331</v>
      </c>
    </row>
    <row r="25" spans="5:87" ht="13.2" x14ac:dyDescent="0.25">
      <c r="E25" s="1669"/>
      <c r="F25" s="1670" t="s">
        <v>1438</v>
      </c>
      <c r="G25" s="1671"/>
      <c r="H25" s="1671"/>
      <c r="I25" s="1671"/>
      <c r="J25" s="1671"/>
      <c r="K25" s="1671"/>
      <c r="L25" s="1671"/>
      <c r="M25" s="1671"/>
      <c r="N25" s="1671"/>
      <c r="O25" s="1671"/>
      <c r="P25" s="1671"/>
      <c r="Q25" s="1671"/>
      <c r="R25" s="1671"/>
      <c r="S25" s="1671"/>
      <c r="T25" s="1671"/>
      <c r="U25" s="1671"/>
      <c r="V25" s="1671"/>
      <c r="W25" s="1671"/>
      <c r="X25" s="1671"/>
      <c r="Y25" s="1671"/>
      <c r="Z25" s="1671"/>
      <c r="AA25" s="1671"/>
      <c r="AB25" s="1671"/>
      <c r="AC25" s="1671"/>
      <c r="AD25" s="1671"/>
      <c r="AE25" s="1671"/>
      <c r="AF25" s="1671"/>
      <c r="AG25" s="1671"/>
      <c r="AH25" s="1671"/>
      <c r="AI25" s="1671"/>
      <c r="AJ25" s="1671"/>
      <c r="AK25" s="1671"/>
      <c r="AL25" s="1671"/>
      <c r="AM25" s="1671"/>
      <c r="AN25" s="1671"/>
      <c r="AO25" s="1671"/>
      <c r="AP25" s="1671"/>
      <c r="AQ25" s="1671"/>
      <c r="AR25" s="1671"/>
      <c r="AT25" s="1675"/>
      <c r="AU25" s="1718" t="s">
        <v>1439</v>
      </c>
      <c r="AV25" s="1691">
        <f>SUM(AV18:AV24)</f>
        <v>223</v>
      </c>
      <c r="AW25" s="1691"/>
      <c r="AX25" s="1691">
        <f>SUM(AX18:AX24)</f>
        <v>838</v>
      </c>
      <c r="AY25" s="1691"/>
      <c r="AZ25" s="1691">
        <f>SUM(AZ18:AZ24)</f>
        <v>1043</v>
      </c>
      <c r="BA25" s="1691"/>
      <c r="BB25" s="1692"/>
      <c r="BC25" s="1692"/>
      <c r="BD25" s="1677"/>
      <c r="BJ25" s="1671"/>
      <c r="BK25" s="1671">
        <f t="shared" si="18"/>
        <v>0</v>
      </c>
      <c r="BL25" s="1671">
        <f t="shared" si="18"/>
        <v>0</v>
      </c>
      <c r="BM25" s="1671">
        <f t="shared" si="18"/>
        <v>0</v>
      </c>
      <c r="BN25" s="1671">
        <f t="shared" si="18"/>
        <v>0</v>
      </c>
      <c r="BO25" s="1671">
        <f t="shared" si="18"/>
        <v>0</v>
      </c>
      <c r="BP25" s="1671">
        <f t="shared" si="18"/>
        <v>0</v>
      </c>
      <c r="BQ25" s="1671">
        <f t="shared" si="18"/>
        <v>0</v>
      </c>
      <c r="BR25" s="1671">
        <f t="shared" si="18"/>
        <v>0</v>
      </c>
      <c r="BS25" s="1671">
        <f t="shared" si="18"/>
        <v>0</v>
      </c>
      <c r="BT25" s="1671">
        <f t="shared" si="18"/>
        <v>0</v>
      </c>
      <c r="BU25" s="1671">
        <f t="shared" si="18"/>
        <v>0</v>
      </c>
    </row>
    <row r="26" spans="5:87" ht="13.2" x14ac:dyDescent="0.25">
      <c r="E26" s="1669"/>
      <c r="F26" s="1670" t="s">
        <v>1440</v>
      </c>
      <c r="G26" s="1671">
        <f>SUM(L26:W26)</f>
        <v>2386.94</v>
      </c>
      <c r="H26" s="1671">
        <f>SUM(X26:AI26)</f>
        <v>0</v>
      </c>
      <c r="I26" s="1671">
        <f>SUM(AG26:AR26)</f>
        <v>-3.979039320256561E-13</v>
      </c>
      <c r="J26" s="1671">
        <v>1802.7</v>
      </c>
      <c r="K26" s="1671">
        <f t="shared" si="5"/>
        <v>795.64666666666653</v>
      </c>
      <c r="L26" s="1671">
        <v>2186.64</v>
      </c>
      <c r="M26" s="1671">
        <v>0</v>
      </c>
      <c r="N26" s="1671">
        <v>0</v>
      </c>
      <c r="O26" s="1671">
        <v>0</v>
      </c>
      <c r="P26" s="1671">
        <v>0</v>
      </c>
      <c r="Q26" s="1671">
        <v>0</v>
      </c>
      <c r="R26" s="1671">
        <v>0</v>
      </c>
      <c r="S26" s="1671">
        <v>0</v>
      </c>
      <c r="T26" s="1671">
        <v>0</v>
      </c>
      <c r="U26" s="1671">
        <v>0</v>
      </c>
      <c r="V26" s="1671">
        <v>0</v>
      </c>
      <c r="W26" s="1671">
        <v>200.3</v>
      </c>
      <c r="X26" s="1671">
        <v>200.3</v>
      </c>
      <c r="Y26" s="1671">
        <v>200.3</v>
      </c>
      <c r="Z26" s="1671">
        <v>200.3</v>
      </c>
      <c r="AA26" s="1671">
        <v>200.3</v>
      </c>
      <c r="AB26" s="1671">
        <v>801.2</v>
      </c>
      <c r="AC26" s="1671">
        <v>0</v>
      </c>
      <c r="AD26" s="1671">
        <v>0</v>
      </c>
      <c r="AE26" s="1671">
        <v>0</v>
      </c>
      <c r="AF26" s="1671">
        <v>200.3</v>
      </c>
      <c r="AG26" s="1671">
        <v>200.3</v>
      </c>
      <c r="AH26" s="1671">
        <v>200.3</v>
      </c>
      <c r="AI26" s="1671">
        <v>-2203.3000000000002</v>
      </c>
      <c r="AJ26" s="1671">
        <v>200.3</v>
      </c>
      <c r="AK26" s="1671">
        <v>200.3</v>
      </c>
      <c r="AL26" s="1671">
        <v>200.3</v>
      </c>
      <c r="AM26" s="1671">
        <v>600.9</v>
      </c>
      <c r="AN26" s="1671">
        <v>0</v>
      </c>
      <c r="AO26" s="1671">
        <v>0</v>
      </c>
      <c r="AP26" s="1671">
        <v>200.3</v>
      </c>
      <c r="AQ26" s="1671">
        <v>200.3</v>
      </c>
      <c r="AR26" s="1671">
        <v>200.3</v>
      </c>
      <c r="AT26" s="1675"/>
      <c r="AU26" s="1694"/>
      <c r="AV26" s="1685"/>
      <c r="AW26" s="1710"/>
      <c r="AX26" s="1685"/>
      <c r="AY26" s="1710"/>
      <c r="AZ26" s="1685"/>
      <c r="BA26" s="1692"/>
      <c r="BB26" s="1692"/>
      <c r="BC26" s="1692"/>
      <c r="BD26" s="1677"/>
      <c r="BJ26" s="1671">
        <f>AVERAGE(AG26:AR26)</f>
        <v>-3.3158661002138011E-14</v>
      </c>
      <c r="BK26" s="1671">
        <f t="shared" si="18"/>
        <v>-3.3158661002138011E-14</v>
      </c>
      <c r="BL26" s="1671">
        <f t="shared" si="18"/>
        <v>-3.3158661002138011E-14</v>
      </c>
      <c r="BM26" s="1671">
        <f t="shared" si="18"/>
        <v>-3.3158661002138011E-14</v>
      </c>
      <c r="BN26" s="1671">
        <f t="shared" si="18"/>
        <v>-3.3158661002138011E-14</v>
      </c>
      <c r="BO26" s="1671">
        <f t="shared" si="18"/>
        <v>-3.3158661002138011E-14</v>
      </c>
      <c r="BP26" s="1671">
        <f t="shared" si="18"/>
        <v>-3.3158661002138011E-14</v>
      </c>
      <c r="BQ26" s="1671">
        <f t="shared" si="18"/>
        <v>-3.3158661002138011E-14</v>
      </c>
      <c r="BR26" s="1671">
        <f t="shared" si="18"/>
        <v>-3.3158661002138011E-14</v>
      </c>
      <c r="BS26" s="1671">
        <f t="shared" si="18"/>
        <v>-3.3158661002138011E-14</v>
      </c>
      <c r="BT26" s="1671">
        <f t="shared" si="18"/>
        <v>-3.3158661002138011E-14</v>
      </c>
      <c r="BU26" s="1671">
        <f t="shared" si="18"/>
        <v>-3.3158661002138011E-14</v>
      </c>
    </row>
    <row r="27" spans="5:87" ht="15" thickBot="1" x14ac:dyDescent="0.35">
      <c r="E27" s="1669"/>
      <c r="F27" s="1670" t="s">
        <v>1441</v>
      </c>
      <c r="G27" s="1671">
        <f>SUM(L27:W27)</f>
        <v>681</v>
      </c>
      <c r="H27" s="1671">
        <f>SUM(X27:AI27)</f>
        <v>681</v>
      </c>
      <c r="I27" s="1671">
        <f>SUM(AG27:AR27)</f>
        <v>681</v>
      </c>
      <c r="J27" s="1671">
        <v>681</v>
      </c>
      <c r="K27" s="1671">
        <f t="shared" si="5"/>
        <v>681</v>
      </c>
      <c r="L27" s="1671">
        <v>0</v>
      </c>
      <c r="M27" s="1671">
        <v>0</v>
      </c>
      <c r="N27" s="1671">
        <v>0</v>
      </c>
      <c r="O27" s="1671">
        <v>681</v>
      </c>
      <c r="P27" s="1671">
        <v>0</v>
      </c>
      <c r="Q27" s="1671">
        <v>0</v>
      </c>
      <c r="R27" s="1671">
        <v>0</v>
      </c>
      <c r="S27" s="1671">
        <v>0</v>
      </c>
      <c r="T27" s="1671">
        <v>0</v>
      </c>
      <c r="U27" s="1671">
        <v>0</v>
      </c>
      <c r="V27" s="1671">
        <v>0</v>
      </c>
      <c r="W27" s="1671">
        <v>0</v>
      </c>
      <c r="X27" s="1671">
        <v>0</v>
      </c>
      <c r="Y27" s="1671">
        <v>0</v>
      </c>
      <c r="Z27" s="1671">
        <v>0</v>
      </c>
      <c r="AA27" s="1671">
        <v>681</v>
      </c>
      <c r="AB27" s="1671">
        <v>0</v>
      </c>
      <c r="AC27" s="1671">
        <v>0</v>
      </c>
      <c r="AD27" s="1671">
        <v>0</v>
      </c>
      <c r="AE27" s="1671">
        <v>0</v>
      </c>
      <c r="AF27" s="1671">
        <v>0</v>
      </c>
      <c r="AG27" s="1671">
        <v>0</v>
      </c>
      <c r="AH27" s="1671">
        <v>0</v>
      </c>
      <c r="AI27" s="1671">
        <v>0</v>
      </c>
      <c r="AJ27" s="1671">
        <v>0</v>
      </c>
      <c r="AK27" s="1671">
        <v>0</v>
      </c>
      <c r="AL27" s="1671">
        <v>0</v>
      </c>
      <c r="AM27" s="1671">
        <v>681</v>
      </c>
      <c r="AN27" s="1671">
        <v>0</v>
      </c>
      <c r="AO27" s="1671">
        <v>0</v>
      </c>
      <c r="AP27" s="1671">
        <v>0</v>
      </c>
      <c r="AQ27" s="1671">
        <v>0</v>
      </c>
      <c r="AR27" s="1671">
        <v>0</v>
      </c>
      <c r="AT27" s="1675"/>
      <c r="AU27" s="1719" t="s">
        <v>222</v>
      </c>
      <c r="AV27" s="1720">
        <f>AV15+AV25</f>
        <v>258.11588000000017</v>
      </c>
      <c r="AW27" s="1721">
        <f>AV27/AV$4</f>
        <v>0.11950541783209312</v>
      </c>
      <c r="AX27" s="1720">
        <f>AX15+AX25</f>
        <v>921.97530999999981</v>
      </c>
      <c r="AY27" s="1721">
        <f>AX27/AX$4</f>
        <v>0.30479868696085649</v>
      </c>
      <c r="AZ27" s="1720">
        <f>AZ15+AZ25</f>
        <v>3357.0179000000003</v>
      </c>
      <c r="BA27" s="1721">
        <f>AZ27/AZ$4</f>
        <v>0.57429656714013111</v>
      </c>
      <c r="BB27" s="1682"/>
      <c r="BC27" s="1682"/>
      <c r="BD27" s="1677"/>
      <c r="BF27" s="1722">
        <f>BG27*BF4</f>
        <v>1223.8602515112088</v>
      </c>
      <c r="BG27" s="1687">
        <f>AVERAGE(AW27,AY27,BA27)</f>
        <v>0.3328668906443602</v>
      </c>
      <c r="BJ27" s="1671">
        <f>AVERAGE(AG27:AR27)</f>
        <v>56.75</v>
      </c>
      <c r="BK27" s="1671">
        <f t="shared" si="18"/>
        <v>56.75</v>
      </c>
      <c r="BL27" s="1671">
        <f t="shared" si="18"/>
        <v>56.75</v>
      </c>
      <c r="BM27" s="1671">
        <f t="shared" si="18"/>
        <v>56.75</v>
      </c>
      <c r="BN27" s="1671">
        <f t="shared" si="18"/>
        <v>56.75</v>
      </c>
      <c r="BO27" s="1671">
        <f t="shared" si="18"/>
        <v>56.75</v>
      </c>
      <c r="BP27" s="1671">
        <f t="shared" si="18"/>
        <v>56.75</v>
      </c>
      <c r="BQ27" s="1671">
        <f t="shared" si="18"/>
        <v>56.75</v>
      </c>
      <c r="BR27" s="1671">
        <f t="shared" si="18"/>
        <v>56.75</v>
      </c>
      <c r="BS27" s="1671">
        <f t="shared" si="18"/>
        <v>56.75</v>
      </c>
      <c r="BT27" s="1671">
        <f t="shared" si="18"/>
        <v>56.75</v>
      </c>
      <c r="BU27" s="1671">
        <f t="shared" si="18"/>
        <v>56.75</v>
      </c>
    </row>
    <row r="28" spans="5:87" ht="13.8" thickBot="1" x14ac:dyDescent="0.3">
      <c r="E28" s="1669"/>
      <c r="F28" s="1670" t="s">
        <v>1442</v>
      </c>
      <c r="G28" s="1678">
        <f>SUM(L28:W28)</f>
        <v>5162.7</v>
      </c>
      <c r="H28" s="1678">
        <f>SUM(X28:AI28)</f>
        <v>31830.7</v>
      </c>
      <c r="I28" s="1678">
        <f>SUM(AG28:AR28)</f>
        <v>3246.2999999999997</v>
      </c>
      <c r="J28" s="1678">
        <v>3218.3</v>
      </c>
      <c r="K28" s="1678">
        <f>AVERAGE(G28:I28)</f>
        <v>13413.233333333335</v>
      </c>
      <c r="L28" s="1678">
        <v>0</v>
      </c>
      <c r="M28" s="1678">
        <v>0</v>
      </c>
      <c r="N28" s="1678">
        <v>0</v>
      </c>
      <c r="O28" s="1678">
        <v>0</v>
      </c>
      <c r="P28" s="1678">
        <v>0</v>
      </c>
      <c r="Q28" s="1678">
        <v>0</v>
      </c>
      <c r="R28" s="1678">
        <v>0</v>
      </c>
      <c r="S28" s="1678">
        <v>0</v>
      </c>
      <c r="T28" s="1678">
        <v>3418</v>
      </c>
      <c r="U28" s="1678">
        <v>0</v>
      </c>
      <c r="V28" s="1678">
        <v>195</v>
      </c>
      <c r="W28" s="1678">
        <v>1549.7</v>
      </c>
      <c r="X28" s="1678">
        <v>0</v>
      </c>
      <c r="Y28" s="1678">
        <v>0</v>
      </c>
      <c r="Z28" s="1678">
        <v>0</v>
      </c>
      <c r="AA28" s="1678">
        <v>28215.7</v>
      </c>
      <c r="AB28" s="1678">
        <v>0</v>
      </c>
      <c r="AC28" s="1678">
        <v>0</v>
      </c>
      <c r="AD28" s="1678">
        <v>0</v>
      </c>
      <c r="AE28" s="1678">
        <v>0</v>
      </c>
      <c r="AF28" s="1678">
        <v>3587</v>
      </c>
      <c r="AG28" s="1678">
        <v>28</v>
      </c>
      <c r="AH28" s="1678">
        <v>0</v>
      </c>
      <c r="AI28" s="1678">
        <v>0</v>
      </c>
      <c r="AJ28" s="1678">
        <v>-200.3</v>
      </c>
      <c r="AK28" s="1678">
        <v>-200.3</v>
      </c>
      <c r="AL28" s="1678">
        <v>-200.3</v>
      </c>
      <c r="AM28" s="1678">
        <v>1099.7</v>
      </c>
      <c r="AN28" s="1678">
        <v>-200.3</v>
      </c>
      <c r="AO28" s="1678">
        <v>-200.3</v>
      </c>
      <c r="AP28" s="1678">
        <v>-200.3</v>
      </c>
      <c r="AQ28" s="1678">
        <v>-200.3</v>
      </c>
      <c r="AR28" s="1678">
        <v>3520.7</v>
      </c>
      <c r="AT28" s="1675"/>
      <c r="AU28" s="1704"/>
      <c r="AV28" s="1705"/>
      <c r="AW28" s="1705"/>
      <c r="AX28" s="1705"/>
      <c r="AY28" s="1705"/>
      <c r="AZ28" s="1705"/>
      <c r="BA28" s="1705"/>
      <c r="BB28" s="1705"/>
      <c r="BC28" s="1705"/>
      <c r="BD28" s="1677"/>
      <c r="BG28" s="1722"/>
      <c r="BJ28" s="1678">
        <f>AVERAGE(AG28:AR28)</f>
        <v>270.52499999999998</v>
      </c>
      <c r="BK28" s="1678">
        <f t="shared" si="18"/>
        <v>270.52499999999998</v>
      </c>
      <c r="BL28" s="1678">
        <f t="shared" si="18"/>
        <v>270.52499999999998</v>
      </c>
      <c r="BM28" s="1678">
        <f t="shared" si="18"/>
        <v>270.52499999999998</v>
      </c>
      <c r="BN28" s="1678">
        <f t="shared" si="18"/>
        <v>270.52499999999998</v>
      </c>
      <c r="BO28" s="1678">
        <f t="shared" si="18"/>
        <v>270.52499999999998</v>
      </c>
      <c r="BP28" s="1678">
        <f t="shared" si="18"/>
        <v>270.52499999999998</v>
      </c>
      <c r="BQ28" s="1678">
        <f t="shared" si="18"/>
        <v>270.52499999999998</v>
      </c>
      <c r="BR28" s="1678">
        <f t="shared" si="18"/>
        <v>270.52499999999998</v>
      </c>
      <c r="BS28" s="1678">
        <f t="shared" si="18"/>
        <v>270.52499999999998</v>
      </c>
      <c r="BT28" s="1678">
        <f t="shared" si="18"/>
        <v>270.52499999999998</v>
      </c>
      <c r="BU28" s="1678">
        <f t="shared" si="18"/>
        <v>270.52499999999998</v>
      </c>
    </row>
    <row r="29" spans="5:87" ht="13.2" x14ac:dyDescent="0.25">
      <c r="E29" s="1669"/>
      <c r="F29" s="1670" t="s">
        <v>1443</v>
      </c>
      <c r="G29" s="1671">
        <f>SUM(G26:G28)</f>
        <v>8230.64</v>
      </c>
      <c r="H29" s="1671">
        <f>SUM(H26:H28)</f>
        <v>32511.7</v>
      </c>
      <c r="I29" s="1671">
        <f>SUM(I26:I28)</f>
        <v>3927.2999999999993</v>
      </c>
      <c r="J29" s="1671">
        <f>SUM(J26:J28)</f>
        <v>5702</v>
      </c>
      <c r="K29" s="1671">
        <f>SUM(K26:K28)</f>
        <v>14889.880000000001</v>
      </c>
      <c r="L29" s="1671">
        <f t="shared" ref="L29:AI29" si="19">ROUND(SUM(L25:L28),5)</f>
        <v>2186.64</v>
      </c>
      <c r="M29" s="1671">
        <f t="shared" si="19"/>
        <v>0</v>
      </c>
      <c r="N29" s="1671">
        <f t="shared" si="19"/>
        <v>0</v>
      </c>
      <c r="O29" s="1671">
        <f t="shared" si="19"/>
        <v>681</v>
      </c>
      <c r="P29" s="1671">
        <f t="shared" si="19"/>
        <v>0</v>
      </c>
      <c r="Q29" s="1671">
        <f t="shared" si="19"/>
        <v>0</v>
      </c>
      <c r="R29" s="1671">
        <f t="shared" si="19"/>
        <v>0</v>
      </c>
      <c r="S29" s="1671">
        <f t="shared" si="19"/>
        <v>0</v>
      </c>
      <c r="T29" s="1671">
        <f t="shared" si="19"/>
        <v>3418</v>
      </c>
      <c r="U29" s="1671">
        <f t="shared" si="19"/>
        <v>0</v>
      </c>
      <c r="V29" s="1671">
        <f t="shared" si="19"/>
        <v>195</v>
      </c>
      <c r="W29" s="1671">
        <f t="shared" si="19"/>
        <v>1750</v>
      </c>
      <c r="X29" s="1671">
        <f t="shared" si="19"/>
        <v>200.3</v>
      </c>
      <c r="Y29" s="1671">
        <f t="shared" si="19"/>
        <v>200.3</v>
      </c>
      <c r="Z29" s="1671">
        <f t="shared" si="19"/>
        <v>200.3</v>
      </c>
      <c r="AA29" s="1671">
        <f t="shared" si="19"/>
        <v>29097</v>
      </c>
      <c r="AB29" s="1671">
        <f t="shared" si="19"/>
        <v>801.2</v>
      </c>
      <c r="AC29" s="1671">
        <f t="shared" si="19"/>
        <v>0</v>
      </c>
      <c r="AD29" s="1671">
        <f t="shared" si="19"/>
        <v>0</v>
      </c>
      <c r="AE29" s="1671">
        <f t="shared" si="19"/>
        <v>0</v>
      </c>
      <c r="AF29" s="1671">
        <f t="shared" si="19"/>
        <v>3787.3</v>
      </c>
      <c r="AG29" s="1671">
        <f t="shared" si="19"/>
        <v>228.3</v>
      </c>
      <c r="AH29" s="1671">
        <f t="shared" si="19"/>
        <v>200.3</v>
      </c>
      <c r="AI29" s="1671">
        <f t="shared" si="19"/>
        <v>-2203.3000000000002</v>
      </c>
      <c r="AJ29" s="1671">
        <f t="shared" ref="AJ29:AR29" si="20">ROUND(SUM(AJ25:AJ28),5)</f>
        <v>0</v>
      </c>
      <c r="AK29" s="1671">
        <f t="shared" si="20"/>
        <v>0</v>
      </c>
      <c r="AL29" s="1671">
        <f t="shared" si="20"/>
        <v>0</v>
      </c>
      <c r="AM29" s="1671">
        <f t="shared" si="20"/>
        <v>2381.6</v>
      </c>
      <c r="AN29" s="1671">
        <f t="shared" si="20"/>
        <v>-200.3</v>
      </c>
      <c r="AO29" s="1671">
        <f t="shared" si="20"/>
        <v>-200.3</v>
      </c>
      <c r="AP29" s="1671">
        <f t="shared" si="20"/>
        <v>0</v>
      </c>
      <c r="AQ29" s="1671">
        <f t="shared" si="20"/>
        <v>0</v>
      </c>
      <c r="AR29" s="1671">
        <f t="shared" si="20"/>
        <v>3721</v>
      </c>
      <c r="AT29" s="1675"/>
      <c r="AU29" s="1723" t="s">
        <v>1444</v>
      </c>
      <c r="AV29" s="1724"/>
      <c r="AW29" s="1724"/>
      <c r="AX29" s="1724"/>
      <c r="AY29" s="1724"/>
      <c r="AZ29" s="1724"/>
      <c r="BA29" s="1724"/>
      <c r="BB29" s="1724"/>
      <c r="BC29" s="1724"/>
      <c r="BD29" s="1677"/>
      <c r="BJ29" s="1671">
        <f t="shared" ref="BJ29:BU29" si="21">ROUND(SUM(BJ25:BJ28),5)</f>
        <v>327.27499999999998</v>
      </c>
      <c r="BK29" s="1671">
        <f t="shared" si="21"/>
        <v>327.27499999999998</v>
      </c>
      <c r="BL29" s="1671">
        <f t="shared" si="21"/>
        <v>327.27499999999998</v>
      </c>
      <c r="BM29" s="1671">
        <f t="shared" si="21"/>
        <v>327.27499999999998</v>
      </c>
      <c r="BN29" s="1671">
        <f t="shared" si="21"/>
        <v>327.27499999999998</v>
      </c>
      <c r="BO29" s="1671">
        <f t="shared" si="21"/>
        <v>327.27499999999998</v>
      </c>
      <c r="BP29" s="1671">
        <f t="shared" si="21"/>
        <v>327.27499999999998</v>
      </c>
      <c r="BQ29" s="1671">
        <f t="shared" si="21"/>
        <v>327.27499999999998</v>
      </c>
      <c r="BR29" s="1671">
        <f t="shared" si="21"/>
        <v>327.27499999999998</v>
      </c>
      <c r="BS29" s="1671">
        <f t="shared" si="21"/>
        <v>327.27499999999998</v>
      </c>
      <c r="BT29" s="1671">
        <f t="shared" si="21"/>
        <v>327.27499999999998</v>
      </c>
      <c r="BU29" s="1671">
        <f t="shared" si="21"/>
        <v>327.27499999999998</v>
      </c>
    </row>
    <row r="30" spans="5:87" ht="13.8" thickBot="1" x14ac:dyDescent="0.3">
      <c r="E30" s="1669"/>
      <c r="F30" s="1670" t="s">
        <v>53</v>
      </c>
      <c r="G30" s="1671">
        <f t="shared" ref="G30:G50" si="22">SUM(L30:W30)</f>
        <v>68.77000000000001</v>
      </c>
      <c r="H30" s="1671">
        <f t="shared" ref="H30:H50" si="23">SUM(X30:AI30)</f>
        <v>59.25</v>
      </c>
      <c r="I30" s="1671">
        <f t="shared" ref="I30:I50" si="24">SUM(AG30:AR30)</f>
        <v>22.08</v>
      </c>
      <c r="J30" s="1671">
        <v>0</v>
      </c>
      <c r="K30" s="1671">
        <f t="shared" si="5"/>
        <v>50.033333333333339</v>
      </c>
      <c r="L30" s="1671">
        <v>34.049999999999997</v>
      </c>
      <c r="M30" s="1671">
        <v>0</v>
      </c>
      <c r="N30" s="1671">
        <v>32.880000000000003</v>
      </c>
      <c r="O30" s="1671">
        <v>1.84</v>
      </c>
      <c r="P30" s="1671">
        <v>0</v>
      </c>
      <c r="Q30" s="1671">
        <v>0</v>
      </c>
      <c r="R30" s="1671">
        <v>0</v>
      </c>
      <c r="S30" s="1671">
        <v>0</v>
      </c>
      <c r="T30" s="1671">
        <v>0</v>
      </c>
      <c r="U30" s="1671">
        <v>0</v>
      </c>
      <c r="V30" s="1671">
        <v>0</v>
      </c>
      <c r="W30" s="1671">
        <v>0</v>
      </c>
      <c r="X30" s="1671">
        <v>0</v>
      </c>
      <c r="Y30" s="1671">
        <v>33.200000000000003</v>
      </c>
      <c r="Z30" s="1671">
        <v>0</v>
      </c>
      <c r="AA30" s="1671">
        <v>0</v>
      </c>
      <c r="AB30" s="1671">
        <v>3.97</v>
      </c>
      <c r="AC30" s="1671">
        <v>0</v>
      </c>
      <c r="AD30" s="1671">
        <v>0</v>
      </c>
      <c r="AE30" s="1671">
        <v>0</v>
      </c>
      <c r="AF30" s="1671">
        <v>0</v>
      </c>
      <c r="AG30" s="1671">
        <v>2.31</v>
      </c>
      <c r="AH30" s="1671">
        <v>0</v>
      </c>
      <c r="AI30" s="1671">
        <v>19.77</v>
      </c>
      <c r="AJ30" s="1671">
        <v>0</v>
      </c>
      <c r="AK30" s="1671">
        <v>0</v>
      </c>
      <c r="AL30" s="1671">
        <v>0</v>
      </c>
      <c r="AM30" s="1671">
        <v>0</v>
      </c>
      <c r="AN30" s="1671">
        <v>0</v>
      </c>
      <c r="AO30" s="1671">
        <v>0</v>
      </c>
      <c r="AP30" s="1671">
        <v>0</v>
      </c>
      <c r="AQ30" s="1671">
        <v>0</v>
      </c>
      <c r="AR30" s="1671">
        <v>0</v>
      </c>
      <c r="AT30" s="1725"/>
      <c r="AU30" s="1726"/>
      <c r="AV30" s="1727"/>
      <c r="AW30" s="1727"/>
      <c r="AX30" s="1727"/>
      <c r="AY30" s="1727"/>
      <c r="AZ30" s="1727"/>
      <c r="BA30" s="1727"/>
      <c r="BB30" s="1727"/>
      <c r="BC30" s="1727"/>
      <c r="BD30" s="1728"/>
      <c r="BF30" s="1683">
        <f>AVERAGE(AV27,AX27,AZ27)</f>
        <v>1512.3696966666666</v>
      </c>
      <c r="BJ30" s="1729"/>
      <c r="BK30" s="1729"/>
      <c r="BL30" s="1729"/>
      <c r="BM30" s="1729"/>
      <c r="BN30" s="1729"/>
      <c r="BO30" s="1729"/>
      <c r="BP30" s="1729"/>
      <c r="BQ30" s="1729"/>
      <c r="BR30" s="1729"/>
      <c r="BS30" s="1729"/>
      <c r="BT30" s="1729"/>
      <c r="BU30" s="1729"/>
    </row>
    <row r="31" spans="5:87" x14ac:dyDescent="0.2">
      <c r="E31" s="1669"/>
      <c r="F31" s="1670" t="s">
        <v>1445</v>
      </c>
      <c r="G31" s="1671">
        <f>SUM(L31:W31)</f>
        <v>0</v>
      </c>
      <c r="H31" s="1671">
        <f t="shared" si="23"/>
        <v>0</v>
      </c>
      <c r="I31" s="1671">
        <f t="shared" si="24"/>
        <v>63.5</v>
      </c>
      <c r="J31" s="1671">
        <v>63.5</v>
      </c>
      <c r="K31" s="1671">
        <f t="shared" si="5"/>
        <v>21.166666666666668</v>
      </c>
      <c r="L31" s="1671">
        <v>0</v>
      </c>
      <c r="M31" s="1671">
        <v>0</v>
      </c>
      <c r="N31" s="1671">
        <v>0</v>
      </c>
      <c r="O31" s="1671">
        <v>0</v>
      </c>
      <c r="P31" s="1671">
        <v>0</v>
      </c>
      <c r="Q31" s="1671">
        <v>0</v>
      </c>
      <c r="R31" s="1671">
        <v>0</v>
      </c>
      <c r="S31" s="1671">
        <v>0</v>
      </c>
      <c r="T31" s="1671">
        <v>0</v>
      </c>
      <c r="U31" s="1671">
        <v>0</v>
      </c>
      <c r="V31" s="1671">
        <v>0</v>
      </c>
      <c r="W31" s="1671">
        <v>0</v>
      </c>
      <c r="X31" s="1671">
        <v>0</v>
      </c>
      <c r="Y31" s="1671">
        <v>0</v>
      </c>
      <c r="Z31" s="1671">
        <v>0</v>
      </c>
      <c r="AA31" s="1671">
        <v>0</v>
      </c>
      <c r="AB31" s="1671">
        <v>0</v>
      </c>
      <c r="AC31" s="1671">
        <v>0</v>
      </c>
      <c r="AD31" s="1671">
        <v>0</v>
      </c>
      <c r="AE31" s="1671">
        <v>0</v>
      </c>
      <c r="AF31" s="1671">
        <v>0</v>
      </c>
      <c r="AG31" s="1671">
        <v>0</v>
      </c>
      <c r="AH31" s="1671">
        <v>0</v>
      </c>
      <c r="AI31" s="1671">
        <v>0</v>
      </c>
      <c r="AJ31" s="1671">
        <v>0</v>
      </c>
      <c r="AK31" s="1671">
        <v>0</v>
      </c>
      <c r="AL31" s="1671">
        <v>0</v>
      </c>
      <c r="AM31" s="1671">
        <v>0</v>
      </c>
      <c r="AN31" s="1671">
        <v>0</v>
      </c>
      <c r="AO31" s="1671">
        <v>0</v>
      </c>
      <c r="AP31" s="1671">
        <v>0</v>
      </c>
      <c r="AQ31" s="1671">
        <v>0</v>
      </c>
      <c r="AR31" s="1671">
        <v>63.5</v>
      </c>
      <c r="BJ31" s="1671">
        <f t="shared" ref="BJ31:BJ50" si="25">AVERAGE(AG31:AR31)</f>
        <v>5.291666666666667</v>
      </c>
      <c r="BK31" s="1671">
        <f t="shared" si="18"/>
        <v>5.291666666666667</v>
      </c>
      <c r="BL31" s="1671">
        <f t="shared" si="18"/>
        <v>5.291666666666667</v>
      </c>
      <c r="BM31" s="1671">
        <f t="shared" si="18"/>
        <v>5.291666666666667</v>
      </c>
      <c r="BN31" s="1671">
        <f t="shared" si="18"/>
        <v>5.291666666666667</v>
      </c>
      <c r="BO31" s="1671">
        <f t="shared" si="18"/>
        <v>5.291666666666667</v>
      </c>
      <c r="BP31" s="1671">
        <f t="shared" si="18"/>
        <v>5.291666666666667</v>
      </c>
      <c r="BQ31" s="1671">
        <f t="shared" si="18"/>
        <v>5.291666666666667</v>
      </c>
      <c r="BR31" s="1671">
        <f t="shared" si="18"/>
        <v>5.291666666666667</v>
      </c>
      <c r="BS31" s="1671">
        <f t="shared" si="18"/>
        <v>5.291666666666667</v>
      </c>
      <c r="BT31" s="1671">
        <f t="shared" si="18"/>
        <v>5.291666666666667</v>
      </c>
      <c r="BU31" s="1671">
        <f t="shared" si="18"/>
        <v>5.291666666666667</v>
      </c>
    </row>
    <row r="32" spans="5:87" x14ac:dyDescent="0.2">
      <c r="E32" s="1669"/>
      <c r="F32" s="1670" t="s">
        <v>1446</v>
      </c>
      <c r="G32" s="1671">
        <f t="shared" si="22"/>
        <v>2132.9</v>
      </c>
      <c r="H32" s="1671">
        <f t="shared" si="23"/>
        <v>2000</v>
      </c>
      <c r="I32" s="1671">
        <f t="shared" si="24"/>
        <v>2000</v>
      </c>
      <c r="J32" s="1671">
        <v>0</v>
      </c>
      <c r="K32" s="1671">
        <f t="shared" si="5"/>
        <v>2044.3</v>
      </c>
      <c r="L32" s="1671">
        <v>0</v>
      </c>
      <c r="M32" s="1671">
        <v>0</v>
      </c>
      <c r="N32" s="1671">
        <v>0</v>
      </c>
      <c r="O32" s="1671">
        <v>0</v>
      </c>
      <c r="P32" s="1671">
        <v>0</v>
      </c>
      <c r="Q32" s="1671">
        <v>0</v>
      </c>
      <c r="R32" s="1671">
        <v>0</v>
      </c>
      <c r="S32" s="1671">
        <v>0</v>
      </c>
      <c r="T32" s="1671">
        <v>0</v>
      </c>
      <c r="U32" s="1671">
        <v>0</v>
      </c>
      <c r="V32" s="1671">
        <v>0</v>
      </c>
      <c r="W32" s="1671">
        <v>2132.9</v>
      </c>
      <c r="X32" s="1671">
        <v>0</v>
      </c>
      <c r="Y32" s="1671">
        <v>0</v>
      </c>
      <c r="Z32" s="1671">
        <v>0</v>
      </c>
      <c r="AA32" s="1671">
        <v>0</v>
      </c>
      <c r="AB32" s="1671">
        <v>0</v>
      </c>
      <c r="AC32" s="1671">
        <v>0</v>
      </c>
      <c r="AD32" s="1671">
        <v>0</v>
      </c>
      <c r="AE32" s="1671">
        <v>0</v>
      </c>
      <c r="AF32" s="1671">
        <v>0</v>
      </c>
      <c r="AG32" s="1671">
        <v>0</v>
      </c>
      <c r="AH32" s="1671">
        <v>0</v>
      </c>
      <c r="AI32" s="1671">
        <v>2000</v>
      </c>
      <c r="AJ32" s="1671">
        <v>0</v>
      </c>
      <c r="AK32" s="1671">
        <v>0</v>
      </c>
      <c r="AL32" s="1671">
        <v>0</v>
      </c>
      <c r="AM32" s="1671">
        <v>0</v>
      </c>
      <c r="AN32" s="1671">
        <v>0</v>
      </c>
      <c r="AO32" s="1671">
        <v>0</v>
      </c>
      <c r="AP32" s="1671">
        <v>0</v>
      </c>
      <c r="AQ32" s="1671">
        <v>0</v>
      </c>
      <c r="AR32" s="1671">
        <v>0</v>
      </c>
      <c r="BJ32" s="1729"/>
      <c r="BK32" s="1729"/>
      <c r="BL32" s="1729"/>
      <c r="BM32" s="1729"/>
      <c r="BN32" s="1729"/>
      <c r="BO32" s="1729"/>
      <c r="BP32" s="1729"/>
      <c r="BQ32" s="1729"/>
      <c r="BR32" s="1729"/>
      <c r="BS32" s="1729"/>
      <c r="BT32" s="1729"/>
      <c r="BU32" s="1729"/>
    </row>
    <row r="33" spans="5:73" x14ac:dyDescent="0.2">
      <c r="E33" s="1669"/>
      <c r="F33" s="1670" t="s">
        <v>1447</v>
      </c>
      <c r="G33" s="1671">
        <f t="shared" si="22"/>
        <v>7845.95</v>
      </c>
      <c r="H33" s="1671">
        <f t="shared" si="23"/>
        <v>3969.19</v>
      </c>
      <c r="I33" s="1671">
        <f t="shared" si="24"/>
        <v>2447.98</v>
      </c>
      <c r="J33" s="1671">
        <v>2187.36</v>
      </c>
      <c r="K33" s="1671">
        <f t="shared" si="5"/>
        <v>4754.373333333333</v>
      </c>
      <c r="L33" s="1671">
        <v>246.71</v>
      </c>
      <c r="M33" s="1671">
        <v>288.70999999999998</v>
      </c>
      <c r="N33" s="1671">
        <v>224.18</v>
      </c>
      <c r="O33" s="1671">
        <v>485.72</v>
      </c>
      <c r="P33" s="1671">
        <v>509.9</v>
      </c>
      <c r="Q33" s="1671">
        <v>479.39</v>
      </c>
      <c r="R33" s="1671">
        <v>72.489999999999995</v>
      </c>
      <c r="S33" s="1671">
        <v>139.18</v>
      </c>
      <c r="T33" s="1671">
        <v>918.78</v>
      </c>
      <c r="U33" s="1671">
        <v>213.43</v>
      </c>
      <c r="V33" s="1671">
        <v>669.7</v>
      </c>
      <c r="W33" s="1671">
        <v>3597.76</v>
      </c>
      <c r="X33" s="1671">
        <v>271.22000000000003</v>
      </c>
      <c r="Y33" s="1671">
        <v>490.1</v>
      </c>
      <c r="Z33" s="1671">
        <v>653.55999999999995</v>
      </c>
      <c r="AA33" s="1671">
        <v>772.2</v>
      </c>
      <c r="AB33" s="1671">
        <v>986.56</v>
      </c>
      <c r="AC33" s="1671">
        <v>0</v>
      </c>
      <c r="AD33" s="1671">
        <v>0</v>
      </c>
      <c r="AE33" s="1671">
        <v>534.92999999999995</v>
      </c>
      <c r="AF33" s="1671">
        <v>0</v>
      </c>
      <c r="AG33" s="1671">
        <v>148.80000000000001</v>
      </c>
      <c r="AH33" s="1671">
        <v>62.82</v>
      </c>
      <c r="AI33" s="1671">
        <v>49</v>
      </c>
      <c r="AJ33" s="1671">
        <v>38.24</v>
      </c>
      <c r="AK33" s="1671">
        <v>1</v>
      </c>
      <c r="AL33" s="1671">
        <v>58.63</v>
      </c>
      <c r="AM33" s="1671">
        <v>633.36</v>
      </c>
      <c r="AN33" s="1671">
        <v>0</v>
      </c>
      <c r="AO33" s="1671">
        <v>0</v>
      </c>
      <c r="AP33" s="1671">
        <v>1166.5999999999999</v>
      </c>
      <c r="AQ33" s="1671">
        <v>56.46</v>
      </c>
      <c r="AR33" s="1671">
        <v>233.07</v>
      </c>
      <c r="BJ33" s="1671">
        <f t="shared" si="25"/>
        <v>203.99833333333333</v>
      </c>
      <c r="BK33" s="1671">
        <f t="shared" si="18"/>
        <v>203.99833333333333</v>
      </c>
      <c r="BL33" s="1671">
        <f t="shared" si="18"/>
        <v>203.99833333333333</v>
      </c>
      <c r="BM33" s="1671">
        <f t="shared" si="18"/>
        <v>203.99833333333333</v>
      </c>
      <c r="BN33" s="1671">
        <f t="shared" si="18"/>
        <v>203.99833333333333</v>
      </c>
      <c r="BO33" s="1671">
        <f t="shared" si="18"/>
        <v>203.99833333333333</v>
      </c>
      <c r="BP33" s="1671">
        <f t="shared" si="18"/>
        <v>203.99833333333333</v>
      </c>
      <c r="BQ33" s="1671">
        <f t="shared" si="18"/>
        <v>203.99833333333333</v>
      </c>
      <c r="BR33" s="1671">
        <f t="shared" si="18"/>
        <v>203.99833333333333</v>
      </c>
      <c r="BS33" s="1671">
        <f t="shared" si="18"/>
        <v>203.99833333333333</v>
      </c>
      <c r="BT33" s="1671">
        <f t="shared" si="18"/>
        <v>203.99833333333333</v>
      </c>
      <c r="BU33" s="1671">
        <f t="shared" si="18"/>
        <v>203.99833333333333</v>
      </c>
    </row>
    <row r="34" spans="5:73" x14ac:dyDescent="0.2">
      <c r="E34" s="1669"/>
      <c r="F34" s="1670" t="s">
        <v>1448</v>
      </c>
      <c r="G34" s="1671">
        <f t="shared" si="22"/>
        <v>47305.899999999994</v>
      </c>
      <c r="H34" s="1671">
        <f t="shared" si="23"/>
        <v>21094.17</v>
      </c>
      <c r="I34" s="1671">
        <f t="shared" si="24"/>
        <v>54462.52</v>
      </c>
      <c r="J34" s="1671">
        <v>42207.51</v>
      </c>
      <c r="K34" s="1671">
        <f t="shared" si="5"/>
        <v>40954.196666666663</v>
      </c>
      <c r="L34" s="1671">
        <v>1974.17</v>
      </c>
      <c r="M34" s="1671">
        <v>416.67</v>
      </c>
      <c r="N34" s="1671">
        <v>416.67</v>
      </c>
      <c r="O34" s="1671">
        <v>28776.74</v>
      </c>
      <c r="P34" s="1671">
        <v>416.67</v>
      </c>
      <c r="Q34" s="1671">
        <v>0</v>
      </c>
      <c r="R34" s="1671">
        <v>833.3</v>
      </c>
      <c r="S34" s="1671">
        <v>7419.17</v>
      </c>
      <c r="T34" s="1671">
        <v>4661.67</v>
      </c>
      <c r="U34" s="1671">
        <v>1974.17</v>
      </c>
      <c r="V34" s="1671">
        <v>416.67</v>
      </c>
      <c r="W34" s="1671">
        <v>0</v>
      </c>
      <c r="X34" s="1671">
        <v>2390.84</v>
      </c>
      <c r="Y34" s="1671">
        <v>416.67</v>
      </c>
      <c r="Z34" s="1671">
        <v>416.67</v>
      </c>
      <c r="AA34" s="1671">
        <v>416.67</v>
      </c>
      <c r="AB34" s="1671">
        <v>2807.47</v>
      </c>
      <c r="AC34" s="1671">
        <v>0</v>
      </c>
      <c r="AD34" s="1671">
        <v>0</v>
      </c>
      <c r="AE34" s="1671">
        <v>1974.17</v>
      </c>
      <c r="AF34" s="1671">
        <v>416.67</v>
      </c>
      <c r="AG34" s="1671">
        <v>9864.17</v>
      </c>
      <c r="AH34" s="1671">
        <v>416.67</v>
      </c>
      <c r="AI34" s="1671">
        <v>1974.17</v>
      </c>
      <c r="AJ34" s="1671">
        <v>0</v>
      </c>
      <c r="AK34" s="1671">
        <v>832.67</v>
      </c>
      <c r="AL34" s="1671">
        <v>416.67</v>
      </c>
      <c r="AM34" s="1671">
        <v>31023.17</v>
      </c>
      <c r="AN34" s="1671">
        <v>0</v>
      </c>
      <c r="AO34" s="1671">
        <v>0</v>
      </c>
      <c r="AP34" s="1671">
        <v>5000</v>
      </c>
      <c r="AQ34" s="1671">
        <v>0</v>
      </c>
      <c r="AR34" s="1671">
        <v>4935</v>
      </c>
      <c r="BJ34" s="1671">
        <f t="shared" si="25"/>
        <v>4538.5433333333331</v>
      </c>
      <c r="BK34" s="1671">
        <f t="shared" si="18"/>
        <v>4538.5433333333331</v>
      </c>
      <c r="BL34" s="1671">
        <f t="shared" si="18"/>
        <v>4538.5433333333331</v>
      </c>
      <c r="BM34" s="1671">
        <f t="shared" si="18"/>
        <v>4538.5433333333331</v>
      </c>
      <c r="BN34" s="1671">
        <f t="shared" si="18"/>
        <v>4538.5433333333331</v>
      </c>
      <c r="BO34" s="1671">
        <f t="shared" si="18"/>
        <v>4538.5433333333331</v>
      </c>
      <c r="BP34" s="1671">
        <f t="shared" si="18"/>
        <v>4538.5433333333331</v>
      </c>
      <c r="BQ34" s="1671">
        <f t="shared" si="18"/>
        <v>4538.5433333333331</v>
      </c>
      <c r="BR34" s="1671">
        <f t="shared" si="18"/>
        <v>4538.5433333333331</v>
      </c>
      <c r="BS34" s="1671">
        <f t="shared" si="18"/>
        <v>4538.5433333333331</v>
      </c>
      <c r="BT34" s="1671">
        <f t="shared" si="18"/>
        <v>4538.5433333333331</v>
      </c>
      <c r="BU34" s="1671">
        <f t="shared" si="18"/>
        <v>4538.5433333333331</v>
      </c>
    </row>
    <row r="35" spans="5:73" x14ac:dyDescent="0.2">
      <c r="E35" s="1669"/>
      <c r="F35" s="1670" t="s">
        <v>1449</v>
      </c>
      <c r="G35" s="1671">
        <f t="shared" si="22"/>
        <v>22996.449999999997</v>
      </c>
      <c r="H35" s="1671">
        <f t="shared" si="23"/>
        <v>96256.250000000015</v>
      </c>
      <c r="I35" s="1671">
        <f t="shared" si="24"/>
        <v>70672.570000000022</v>
      </c>
      <c r="J35" s="1671">
        <v>16632.93</v>
      </c>
      <c r="K35" s="1671">
        <f t="shared" si="5"/>
        <v>63308.42333333334</v>
      </c>
      <c r="L35" s="1671">
        <v>1066.68</v>
      </c>
      <c r="M35" s="1671">
        <v>1066.68</v>
      </c>
      <c r="N35" s="1671">
        <v>1066.68</v>
      </c>
      <c r="O35" s="1671">
        <v>1166.67</v>
      </c>
      <c r="P35" s="1671">
        <v>1266.6600000000001</v>
      </c>
      <c r="Q35" s="1671">
        <v>1266.6600000000001</v>
      </c>
      <c r="R35" s="1671">
        <v>3749.99</v>
      </c>
      <c r="S35" s="1671">
        <v>1266.6600000000001</v>
      </c>
      <c r="T35" s="1671">
        <v>1266.6600000000001</v>
      </c>
      <c r="U35" s="1671">
        <v>1266.6600000000001</v>
      </c>
      <c r="V35" s="1671">
        <v>-1614.27</v>
      </c>
      <c r="W35" s="1671">
        <v>10160.719999999999</v>
      </c>
      <c r="X35" s="1671">
        <v>4966.66</v>
      </c>
      <c r="Y35" s="1671">
        <v>4966.66</v>
      </c>
      <c r="Z35" s="1671">
        <v>2483.33</v>
      </c>
      <c r="AA35" s="1671">
        <v>4966.66</v>
      </c>
      <c r="AB35" s="1671">
        <v>4966.66</v>
      </c>
      <c r="AC35" s="1671">
        <v>4966.66</v>
      </c>
      <c r="AD35" s="1671">
        <v>4966.66</v>
      </c>
      <c r="AE35" s="1671">
        <v>4966.66</v>
      </c>
      <c r="AF35" s="1671">
        <v>4966.66</v>
      </c>
      <c r="AG35" s="1671">
        <v>4966.66</v>
      </c>
      <c r="AH35" s="1671">
        <v>-34036.339999999997</v>
      </c>
      <c r="AI35" s="1671">
        <v>83109.320000000007</v>
      </c>
      <c r="AJ35" s="1671">
        <v>5982.95</v>
      </c>
      <c r="AK35" s="1671">
        <v>1266.6600000000001</v>
      </c>
      <c r="AL35" s="1671">
        <v>1266.6600000000001</v>
      </c>
      <c r="AM35" s="1671">
        <v>1266.6600000000001</v>
      </c>
      <c r="AN35" s="1671">
        <v>1266.6600000000001</v>
      </c>
      <c r="AO35" s="1671">
        <v>1266.6600000000001</v>
      </c>
      <c r="AP35" s="1671">
        <v>1370</v>
      </c>
      <c r="AQ35" s="1671">
        <v>1473.34</v>
      </c>
      <c r="AR35" s="1671">
        <v>1473.34</v>
      </c>
      <c r="BJ35" s="1729"/>
      <c r="BK35" s="1729"/>
      <c r="BL35" s="1729"/>
      <c r="BM35" s="1729"/>
      <c r="BN35" s="1729"/>
      <c r="BO35" s="1729"/>
      <c r="BP35" s="1729"/>
      <c r="BQ35" s="1729"/>
      <c r="BR35" s="1729"/>
      <c r="BS35" s="1729"/>
      <c r="BT35" s="1729"/>
      <c r="BU35" s="1729"/>
    </row>
    <row r="36" spans="5:73" x14ac:dyDescent="0.2">
      <c r="E36" s="1669"/>
      <c r="F36" s="1670" t="s">
        <v>1450</v>
      </c>
      <c r="G36" s="1671">
        <f t="shared" si="22"/>
        <v>2103.9299999999998</v>
      </c>
      <c r="H36" s="1671">
        <f t="shared" si="23"/>
        <v>620.54999999999995</v>
      </c>
      <c r="I36" s="1671">
        <f t="shared" si="24"/>
        <v>579.70000000000005</v>
      </c>
      <c r="J36" s="1671">
        <v>274.97000000000003</v>
      </c>
      <c r="K36" s="1671">
        <f t="shared" si="5"/>
        <v>1101.3933333333332</v>
      </c>
      <c r="L36" s="1671">
        <v>41.4</v>
      </c>
      <c r="M36" s="1671">
        <v>0</v>
      </c>
      <c r="N36" s="1671">
        <v>0</v>
      </c>
      <c r="O36" s="1671">
        <v>55</v>
      </c>
      <c r="P36" s="1671">
        <v>76.790000000000006</v>
      </c>
      <c r="Q36" s="1671">
        <v>10.76</v>
      </c>
      <c r="R36" s="1671">
        <v>110.58</v>
      </c>
      <c r="S36" s="1671">
        <v>0</v>
      </c>
      <c r="T36" s="1671">
        <v>844.26</v>
      </c>
      <c r="U36" s="1671">
        <v>74.28</v>
      </c>
      <c r="V36" s="1671">
        <v>8.76</v>
      </c>
      <c r="W36" s="1671">
        <v>882.1</v>
      </c>
      <c r="X36" s="1671">
        <v>0</v>
      </c>
      <c r="Y36" s="1671">
        <v>0</v>
      </c>
      <c r="Z36" s="1671">
        <v>0</v>
      </c>
      <c r="AA36" s="1671">
        <v>58</v>
      </c>
      <c r="AB36" s="1671">
        <v>238.01</v>
      </c>
      <c r="AC36" s="1671">
        <v>0</v>
      </c>
      <c r="AD36" s="1671">
        <v>0</v>
      </c>
      <c r="AE36" s="1671">
        <v>0</v>
      </c>
      <c r="AF36" s="1671">
        <v>19.809999999999999</v>
      </c>
      <c r="AG36" s="1671">
        <v>0</v>
      </c>
      <c r="AH36" s="1671">
        <v>60</v>
      </c>
      <c r="AI36" s="1671">
        <v>244.73</v>
      </c>
      <c r="AJ36" s="1671">
        <v>0</v>
      </c>
      <c r="AK36" s="1671">
        <v>98.5</v>
      </c>
      <c r="AL36" s="1671">
        <v>50.33</v>
      </c>
      <c r="AM36" s="1671">
        <v>76.260000000000005</v>
      </c>
      <c r="AN36" s="1671">
        <v>0</v>
      </c>
      <c r="AO36" s="1671">
        <v>0</v>
      </c>
      <c r="AP36" s="1671">
        <v>0</v>
      </c>
      <c r="AQ36" s="1671">
        <v>49.88</v>
      </c>
      <c r="AR36" s="1671">
        <v>0</v>
      </c>
      <c r="BJ36" s="1671">
        <f t="shared" si="25"/>
        <v>48.308333333333337</v>
      </c>
      <c r="BK36" s="1671">
        <f t="shared" ref="BK36:BU39" si="26">BJ36</f>
        <v>48.308333333333337</v>
      </c>
      <c r="BL36" s="1671">
        <f t="shared" si="26"/>
        <v>48.308333333333337</v>
      </c>
      <c r="BM36" s="1671">
        <f t="shared" si="26"/>
        <v>48.308333333333337</v>
      </c>
      <c r="BN36" s="1671">
        <f t="shared" si="26"/>
        <v>48.308333333333337</v>
      </c>
      <c r="BO36" s="1671">
        <f t="shared" si="26"/>
        <v>48.308333333333337</v>
      </c>
      <c r="BP36" s="1671">
        <f t="shared" si="26"/>
        <v>48.308333333333337</v>
      </c>
      <c r="BQ36" s="1671">
        <f t="shared" si="26"/>
        <v>48.308333333333337</v>
      </c>
      <c r="BR36" s="1671">
        <f t="shared" si="26"/>
        <v>48.308333333333337</v>
      </c>
      <c r="BS36" s="1671">
        <f t="shared" si="26"/>
        <v>48.308333333333337</v>
      </c>
      <c r="BT36" s="1671">
        <f t="shared" si="26"/>
        <v>48.308333333333337</v>
      </c>
      <c r="BU36" s="1671">
        <f t="shared" si="26"/>
        <v>48.308333333333337</v>
      </c>
    </row>
    <row r="37" spans="5:73" x14ac:dyDescent="0.2">
      <c r="E37" s="1669"/>
      <c r="F37" s="1670" t="s">
        <v>1451</v>
      </c>
      <c r="G37" s="1671">
        <f t="shared" si="22"/>
        <v>8532.89</v>
      </c>
      <c r="H37" s="1671">
        <f t="shared" si="23"/>
        <v>8252.0400000000009</v>
      </c>
      <c r="I37" s="1671">
        <f t="shared" si="24"/>
        <v>14122.870000000003</v>
      </c>
      <c r="J37" s="1671">
        <v>12885.85</v>
      </c>
      <c r="K37" s="1671">
        <f t="shared" si="5"/>
        <v>10302.6</v>
      </c>
      <c r="L37" s="1671">
        <v>254.6</v>
      </c>
      <c r="M37" s="1671">
        <v>1656.85</v>
      </c>
      <c r="N37" s="1671">
        <v>158.1</v>
      </c>
      <c r="O37" s="1671">
        <v>175.24</v>
      </c>
      <c r="P37" s="1671">
        <v>460.62</v>
      </c>
      <c r="Q37" s="1671">
        <v>172.8</v>
      </c>
      <c r="R37" s="1671">
        <v>1721.36</v>
      </c>
      <c r="S37" s="1671">
        <v>161.36000000000001</v>
      </c>
      <c r="T37" s="1671">
        <v>80.680000000000007</v>
      </c>
      <c r="U37" s="1671">
        <v>3231.36</v>
      </c>
      <c r="V37" s="1671">
        <v>286.36</v>
      </c>
      <c r="W37" s="1671">
        <v>173.56</v>
      </c>
      <c r="X37" s="1671">
        <v>279.86</v>
      </c>
      <c r="Y37" s="1671">
        <v>170.68</v>
      </c>
      <c r="Z37" s="1671">
        <v>3230.39</v>
      </c>
      <c r="AA37" s="1671">
        <v>189.64</v>
      </c>
      <c r="AB37" s="1671">
        <v>2457.89</v>
      </c>
      <c r="AC37" s="1671">
        <v>171.64</v>
      </c>
      <c r="AD37" s="1671">
        <v>171.64</v>
      </c>
      <c r="AE37" s="1671">
        <v>171.64</v>
      </c>
      <c r="AF37" s="1671">
        <v>171.64</v>
      </c>
      <c r="AG37" s="1671">
        <v>171.64</v>
      </c>
      <c r="AH37" s="1671">
        <v>721.64</v>
      </c>
      <c r="AI37" s="1671">
        <v>343.74</v>
      </c>
      <c r="AJ37" s="1671">
        <v>294.64</v>
      </c>
      <c r="AK37" s="1671">
        <v>1645.26</v>
      </c>
      <c r="AL37" s="1671">
        <v>429.01</v>
      </c>
      <c r="AM37" s="1671">
        <v>3200.04</v>
      </c>
      <c r="AN37" s="1671">
        <v>211.38</v>
      </c>
      <c r="AO37" s="1671">
        <v>211.38</v>
      </c>
      <c r="AP37" s="1671">
        <v>898.88</v>
      </c>
      <c r="AQ37" s="1671">
        <v>2611.38</v>
      </c>
      <c r="AR37" s="1671">
        <v>3383.88</v>
      </c>
      <c r="BJ37" s="1671">
        <f t="shared" si="25"/>
        <v>1176.9058333333335</v>
      </c>
      <c r="BK37" s="1671">
        <f t="shared" si="26"/>
        <v>1176.9058333333335</v>
      </c>
      <c r="BL37" s="1671">
        <f t="shared" si="26"/>
        <v>1176.9058333333335</v>
      </c>
      <c r="BM37" s="1671">
        <f t="shared" si="26"/>
        <v>1176.9058333333335</v>
      </c>
      <c r="BN37" s="1671">
        <f t="shared" si="26"/>
        <v>1176.9058333333335</v>
      </c>
      <c r="BO37" s="1671">
        <f t="shared" si="26"/>
        <v>1176.9058333333335</v>
      </c>
      <c r="BP37" s="1671">
        <f t="shared" si="26"/>
        <v>1176.9058333333335</v>
      </c>
      <c r="BQ37" s="1671">
        <f t="shared" si="26"/>
        <v>1176.9058333333335</v>
      </c>
      <c r="BR37" s="1671">
        <f t="shared" si="26"/>
        <v>1176.9058333333335</v>
      </c>
      <c r="BS37" s="1671">
        <f t="shared" si="26"/>
        <v>1176.9058333333335</v>
      </c>
      <c r="BT37" s="1671">
        <f t="shared" si="26"/>
        <v>1176.9058333333335</v>
      </c>
      <c r="BU37" s="1671">
        <f t="shared" si="26"/>
        <v>1176.9058333333335</v>
      </c>
    </row>
    <row r="38" spans="5:73" x14ac:dyDescent="0.2">
      <c r="E38" s="1669"/>
      <c r="F38" s="1670" t="s">
        <v>1452</v>
      </c>
      <c r="G38" s="1671">
        <f t="shared" si="22"/>
        <v>62005.399999999987</v>
      </c>
      <c r="H38" s="1671">
        <f t="shared" si="23"/>
        <v>62625.439999999995</v>
      </c>
      <c r="I38" s="1671">
        <f t="shared" si="24"/>
        <v>63021.52</v>
      </c>
      <c r="J38" s="1671">
        <v>47261.14</v>
      </c>
      <c r="K38" s="1671">
        <f t="shared" si="5"/>
        <v>62550.78666666666</v>
      </c>
      <c r="L38" s="1671">
        <v>5149.95</v>
      </c>
      <c r="M38" s="1671">
        <v>5149.95</v>
      </c>
      <c r="N38" s="1671">
        <v>5149.95</v>
      </c>
      <c r="O38" s="1671">
        <v>5149.95</v>
      </c>
      <c r="P38" s="1671">
        <v>5149.95</v>
      </c>
      <c r="Q38" s="1671">
        <v>5149.95</v>
      </c>
      <c r="R38" s="1671">
        <v>5149.95</v>
      </c>
      <c r="S38" s="1671">
        <v>5149.95</v>
      </c>
      <c r="T38" s="1671">
        <v>5201.45</v>
      </c>
      <c r="U38" s="1671">
        <v>5201.45</v>
      </c>
      <c r="V38" s="1671">
        <v>5201.45</v>
      </c>
      <c r="W38" s="1671">
        <v>5201.45</v>
      </c>
      <c r="X38" s="1671">
        <v>5201.45</v>
      </c>
      <c r="Y38" s="1671">
        <v>10402.9</v>
      </c>
      <c r="Z38" s="1671">
        <v>5201.45</v>
      </c>
      <c r="AA38" s="1671">
        <v>0</v>
      </c>
      <c r="AB38" s="1671">
        <v>20805.8</v>
      </c>
      <c r="AC38" s="1671">
        <v>0</v>
      </c>
      <c r="AD38" s="1671">
        <v>0</v>
      </c>
      <c r="AE38" s="1671">
        <v>5253.46</v>
      </c>
      <c r="AF38" s="1671">
        <v>0</v>
      </c>
      <c r="AG38" s="1671">
        <v>5253.46</v>
      </c>
      <c r="AH38" s="1671">
        <v>5253.46</v>
      </c>
      <c r="AI38" s="1671">
        <v>5253.46</v>
      </c>
      <c r="AJ38" s="1671">
        <v>5253.46</v>
      </c>
      <c r="AK38" s="1671">
        <v>5253.46</v>
      </c>
      <c r="AL38" s="1671">
        <v>5253.46</v>
      </c>
      <c r="AM38" s="1671">
        <v>15760.38</v>
      </c>
      <c r="AN38" s="1671">
        <v>0</v>
      </c>
      <c r="AO38" s="1671">
        <v>0</v>
      </c>
      <c r="AP38" s="1671">
        <v>5253.46</v>
      </c>
      <c r="AQ38" s="1671">
        <v>5253.46</v>
      </c>
      <c r="AR38" s="1671">
        <v>5233.46</v>
      </c>
      <c r="BJ38" s="1671">
        <f t="shared" si="25"/>
        <v>5251.7933333333331</v>
      </c>
      <c r="BK38" s="1671">
        <f t="shared" si="26"/>
        <v>5251.7933333333331</v>
      </c>
      <c r="BL38" s="1671">
        <f t="shared" si="26"/>
        <v>5251.7933333333331</v>
      </c>
      <c r="BM38" s="1671">
        <f t="shared" si="26"/>
        <v>5251.7933333333331</v>
      </c>
      <c r="BN38" s="1671">
        <f t="shared" si="26"/>
        <v>5251.7933333333331</v>
      </c>
      <c r="BO38" s="1671">
        <f t="shared" si="26"/>
        <v>5251.7933333333331</v>
      </c>
      <c r="BP38" s="1671">
        <f t="shared" si="26"/>
        <v>5251.7933333333331</v>
      </c>
      <c r="BQ38" s="1671">
        <f t="shared" si="26"/>
        <v>5251.7933333333331</v>
      </c>
      <c r="BR38" s="1671">
        <f t="shared" si="26"/>
        <v>5251.7933333333331</v>
      </c>
      <c r="BS38" s="1671">
        <f t="shared" si="26"/>
        <v>5251.7933333333331</v>
      </c>
      <c r="BT38" s="1671">
        <f t="shared" si="26"/>
        <v>5251.7933333333331</v>
      </c>
      <c r="BU38" s="1671">
        <f t="shared" si="26"/>
        <v>5251.7933333333331</v>
      </c>
    </row>
    <row r="39" spans="5:73" x14ac:dyDescent="0.2">
      <c r="E39" s="1669"/>
      <c r="F39" s="1670" t="s">
        <v>1453</v>
      </c>
      <c r="G39" s="1671">
        <f t="shared" si="22"/>
        <v>137.49</v>
      </c>
      <c r="H39" s="1671">
        <f t="shared" si="23"/>
        <v>0</v>
      </c>
      <c r="I39" s="1671">
        <f t="shared" si="24"/>
        <v>0</v>
      </c>
      <c r="J39" s="1671">
        <v>0</v>
      </c>
      <c r="K39" s="1671">
        <f t="shared" si="5"/>
        <v>45.830000000000005</v>
      </c>
      <c r="L39" s="1671">
        <v>0</v>
      </c>
      <c r="M39" s="1671">
        <v>0</v>
      </c>
      <c r="N39" s="1671">
        <v>0</v>
      </c>
      <c r="O39" s="1671">
        <v>0</v>
      </c>
      <c r="P39" s="1671">
        <v>0</v>
      </c>
      <c r="Q39" s="1671">
        <v>0</v>
      </c>
      <c r="R39" s="1671">
        <v>0</v>
      </c>
      <c r="S39" s="1671">
        <v>137.49</v>
      </c>
      <c r="T39" s="1671">
        <v>0</v>
      </c>
      <c r="U39" s="1671">
        <v>0</v>
      </c>
      <c r="V39" s="1671">
        <v>0</v>
      </c>
      <c r="W39" s="1671">
        <v>0</v>
      </c>
      <c r="X39" s="1671">
        <v>0</v>
      </c>
      <c r="Y39" s="1671">
        <v>0</v>
      </c>
      <c r="Z39" s="1671">
        <v>0</v>
      </c>
      <c r="AA39" s="1671">
        <v>0</v>
      </c>
      <c r="AB39" s="1671">
        <v>0</v>
      </c>
      <c r="AC39" s="1671">
        <v>0</v>
      </c>
      <c r="AD39" s="1671">
        <v>0</v>
      </c>
      <c r="AE39" s="1671">
        <v>0</v>
      </c>
      <c r="AF39" s="1671">
        <v>0</v>
      </c>
      <c r="AG39" s="1671">
        <v>0</v>
      </c>
      <c r="AH39" s="1671">
        <v>0</v>
      </c>
      <c r="AI39" s="1671">
        <v>0</v>
      </c>
      <c r="AJ39" s="1671">
        <v>0</v>
      </c>
      <c r="AK39" s="1671">
        <v>0</v>
      </c>
      <c r="AL39" s="1671">
        <v>0</v>
      </c>
      <c r="AM39" s="1671">
        <v>0</v>
      </c>
      <c r="AN39" s="1671">
        <v>0</v>
      </c>
      <c r="AO39" s="1671">
        <v>0</v>
      </c>
      <c r="AP39" s="1671">
        <v>0</v>
      </c>
      <c r="AQ39" s="1671">
        <v>0</v>
      </c>
      <c r="AR39" s="1671">
        <v>0</v>
      </c>
      <c r="BJ39" s="1671">
        <f t="shared" si="25"/>
        <v>0</v>
      </c>
      <c r="BK39" s="1671">
        <f t="shared" si="26"/>
        <v>0</v>
      </c>
      <c r="BL39" s="1671">
        <f t="shared" si="26"/>
        <v>0</v>
      </c>
      <c r="BM39" s="1671">
        <f t="shared" si="26"/>
        <v>0</v>
      </c>
      <c r="BN39" s="1671">
        <f t="shared" si="26"/>
        <v>0</v>
      </c>
      <c r="BO39" s="1671">
        <f t="shared" si="26"/>
        <v>0</v>
      </c>
      <c r="BP39" s="1671">
        <f t="shared" si="26"/>
        <v>0</v>
      </c>
      <c r="BQ39" s="1671">
        <f t="shared" si="26"/>
        <v>0</v>
      </c>
      <c r="BR39" s="1671">
        <f t="shared" si="26"/>
        <v>0</v>
      </c>
      <c r="BS39" s="1671">
        <f t="shared" si="26"/>
        <v>0</v>
      </c>
      <c r="BT39" s="1671">
        <f t="shared" si="26"/>
        <v>0</v>
      </c>
      <c r="BU39" s="1671">
        <f t="shared" si="26"/>
        <v>0</v>
      </c>
    </row>
    <row r="40" spans="5:73" x14ac:dyDescent="0.2">
      <c r="E40" s="1669"/>
      <c r="F40" s="1670" t="s">
        <v>1454</v>
      </c>
      <c r="G40" s="1671">
        <f t="shared" si="22"/>
        <v>529233.42999999993</v>
      </c>
      <c r="H40" s="1671">
        <f t="shared" si="23"/>
        <v>756450</v>
      </c>
      <c r="I40" s="1671">
        <f t="shared" si="24"/>
        <v>805855.9800000001</v>
      </c>
      <c r="J40" s="1671">
        <v>275250.06</v>
      </c>
      <c r="K40" s="1671">
        <f t="shared" si="5"/>
        <v>697179.80333333334</v>
      </c>
      <c r="L40" s="1671">
        <v>30833.360000000001</v>
      </c>
      <c r="M40" s="1671">
        <v>30833.360000000001</v>
      </c>
      <c r="N40" s="1671">
        <v>35000.03</v>
      </c>
      <c r="O40" s="1671">
        <v>34833.339999999997</v>
      </c>
      <c r="P40" s="1671">
        <v>34833.339999999997</v>
      </c>
      <c r="Q40" s="1671">
        <v>31916.67</v>
      </c>
      <c r="R40" s="1671">
        <v>31291.66</v>
      </c>
      <c r="S40" s="1671">
        <v>29000</v>
      </c>
      <c r="T40" s="1671">
        <v>29080.68</v>
      </c>
      <c r="U40" s="1671">
        <v>29000</v>
      </c>
      <c r="V40" s="1671">
        <v>29000</v>
      </c>
      <c r="W40" s="1671">
        <v>183610.99</v>
      </c>
      <c r="X40" s="1671">
        <v>26164.14</v>
      </c>
      <c r="Y40" s="1671">
        <v>24870.28</v>
      </c>
      <c r="Z40" s="1671">
        <v>24902.17</v>
      </c>
      <c r="AA40" s="1671">
        <v>24902.18</v>
      </c>
      <c r="AB40" s="1671">
        <v>24918.05</v>
      </c>
      <c r="AC40" s="1671">
        <v>24990.71</v>
      </c>
      <c r="AD40" s="1671">
        <v>24997.95</v>
      </c>
      <c r="AE40" s="1671">
        <v>25028.92</v>
      </c>
      <c r="AF40" s="1671">
        <v>25069.68</v>
      </c>
      <c r="AG40" s="1671">
        <v>25069.72</v>
      </c>
      <c r="AH40" s="1671">
        <v>39176.199999999997</v>
      </c>
      <c r="AI40" s="1671">
        <v>466360</v>
      </c>
      <c r="AJ40" s="1671">
        <v>29000</v>
      </c>
      <c r="AK40" s="1671">
        <v>29000</v>
      </c>
      <c r="AL40" s="1671">
        <v>29000</v>
      </c>
      <c r="AM40" s="1671">
        <v>29000</v>
      </c>
      <c r="AN40" s="1671">
        <v>29000</v>
      </c>
      <c r="AO40" s="1671">
        <v>29000</v>
      </c>
      <c r="AP40" s="1671">
        <v>33750.019999999997</v>
      </c>
      <c r="AQ40" s="1671">
        <v>33750.019999999997</v>
      </c>
      <c r="AR40" s="1671">
        <v>33750.019999999997</v>
      </c>
      <c r="BJ40" s="1671">
        <f t="shared" ref="BJ40:BU40" si="27">BJ72</f>
        <v>37916.666666666664</v>
      </c>
      <c r="BK40" s="1671">
        <f t="shared" si="27"/>
        <v>37916.666666666664</v>
      </c>
      <c r="BL40" s="1671">
        <f t="shared" si="27"/>
        <v>37916.666666666664</v>
      </c>
      <c r="BM40" s="1671">
        <f t="shared" si="27"/>
        <v>37916.666666666664</v>
      </c>
      <c r="BN40" s="1671">
        <f t="shared" si="27"/>
        <v>37916.666666666664</v>
      </c>
      <c r="BO40" s="1671">
        <f t="shared" si="27"/>
        <v>37916.666666666664</v>
      </c>
      <c r="BP40" s="1671">
        <f t="shared" si="27"/>
        <v>37916.666666666664</v>
      </c>
      <c r="BQ40" s="1671">
        <f t="shared" si="27"/>
        <v>37916.666666666664</v>
      </c>
      <c r="BR40" s="1671">
        <f t="shared" si="27"/>
        <v>37916.666666666664</v>
      </c>
      <c r="BS40" s="1671">
        <f t="shared" si="27"/>
        <v>37916.666666666664</v>
      </c>
      <c r="BT40" s="1671">
        <f t="shared" si="27"/>
        <v>37916.666666666664</v>
      </c>
      <c r="BU40" s="1671">
        <f t="shared" si="27"/>
        <v>37916.666666666664</v>
      </c>
    </row>
    <row r="41" spans="5:73" x14ac:dyDescent="0.2">
      <c r="E41" s="1669"/>
      <c r="F41" s="1670" t="s">
        <v>1455</v>
      </c>
      <c r="G41" s="1671">
        <f t="shared" si="22"/>
        <v>187599.96000000002</v>
      </c>
      <c r="H41" s="1671">
        <f t="shared" si="23"/>
        <v>499999.92</v>
      </c>
      <c r="I41" s="1671">
        <f t="shared" si="24"/>
        <v>599999.88</v>
      </c>
      <c r="J41" s="1671">
        <v>99999.96</v>
      </c>
      <c r="K41" s="1671">
        <f t="shared" si="5"/>
        <v>429199.92</v>
      </c>
      <c r="L41" s="1671">
        <v>8333.34</v>
      </c>
      <c r="M41" s="1671">
        <v>8333.34</v>
      </c>
      <c r="N41" s="1671">
        <v>4166.67</v>
      </c>
      <c r="O41" s="1671">
        <v>10416.66</v>
      </c>
      <c r="P41" s="1671">
        <v>10416.66</v>
      </c>
      <c r="Q41" s="1671">
        <v>10416.66</v>
      </c>
      <c r="R41" s="1671">
        <v>8125</v>
      </c>
      <c r="S41" s="1671">
        <v>10416.66</v>
      </c>
      <c r="T41" s="1671">
        <v>10416.66</v>
      </c>
      <c r="U41" s="1671">
        <v>10416.66</v>
      </c>
      <c r="V41" s="1671">
        <v>10416.66</v>
      </c>
      <c r="W41" s="1671">
        <v>85724.99</v>
      </c>
      <c r="X41" s="1671">
        <v>0</v>
      </c>
      <c r="Y41" s="1671">
        <v>0</v>
      </c>
      <c r="Z41" s="1671">
        <v>0</v>
      </c>
      <c r="AA41" s="1671">
        <v>0</v>
      </c>
      <c r="AB41" s="1671">
        <v>0</v>
      </c>
      <c r="AC41" s="1671">
        <v>0</v>
      </c>
      <c r="AD41" s="1671">
        <v>0</v>
      </c>
      <c r="AE41" s="1671">
        <v>0</v>
      </c>
      <c r="AF41" s="1671">
        <v>0</v>
      </c>
      <c r="AG41" s="1671">
        <v>0</v>
      </c>
      <c r="AH41" s="1671">
        <v>104106.5</v>
      </c>
      <c r="AI41" s="1671">
        <v>395893.42</v>
      </c>
      <c r="AJ41" s="1671">
        <v>10416.66</v>
      </c>
      <c r="AK41" s="1671">
        <v>10416.66</v>
      </c>
      <c r="AL41" s="1671">
        <v>10416.66</v>
      </c>
      <c r="AM41" s="1671">
        <v>10416.66</v>
      </c>
      <c r="AN41" s="1671">
        <v>10416.66</v>
      </c>
      <c r="AO41" s="1671">
        <v>10416.66</v>
      </c>
      <c r="AP41" s="1671">
        <v>12500</v>
      </c>
      <c r="AQ41" s="1671">
        <v>12500</v>
      </c>
      <c r="AR41" s="1671">
        <v>12500</v>
      </c>
      <c r="BJ41" s="1671"/>
      <c r="BK41" s="1671"/>
      <c r="BL41" s="1671"/>
      <c r="BM41" s="1671"/>
      <c r="BN41" s="1671"/>
      <c r="BO41" s="1671"/>
      <c r="BP41" s="1671"/>
      <c r="BQ41" s="1671"/>
      <c r="BR41" s="1671"/>
      <c r="BS41" s="1671"/>
      <c r="BT41" s="1671"/>
      <c r="BU41" s="1671"/>
    </row>
    <row r="42" spans="5:73" x14ac:dyDescent="0.2">
      <c r="E42" s="1669"/>
      <c r="F42" s="1670" t="s">
        <v>1456</v>
      </c>
      <c r="G42" s="1671">
        <f>SUM(L42:W42)</f>
        <v>0</v>
      </c>
      <c r="H42" s="1671">
        <f t="shared" si="23"/>
        <v>0</v>
      </c>
      <c r="I42" s="1671">
        <f t="shared" si="24"/>
        <v>71.42</v>
      </c>
      <c r="J42" s="1671">
        <v>71.42</v>
      </c>
      <c r="K42" s="1671">
        <f t="shared" si="5"/>
        <v>23.806666666666668</v>
      </c>
      <c r="L42" s="1671">
        <v>0</v>
      </c>
      <c r="M42" s="1671">
        <v>0</v>
      </c>
      <c r="N42" s="1671">
        <v>0</v>
      </c>
      <c r="O42" s="1671">
        <v>0</v>
      </c>
      <c r="P42" s="1671">
        <v>0</v>
      </c>
      <c r="Q42" s="1671">
        <v>0</v>
      </c>
      <c r="R42" s="1671">
        <v>0</v>
      </c>
      <c r="S42" s="1671">
        <v>0</v>
      </c>
      <c r="T42" s="1671">
        <v>0</v>
      </c>
      <c r="U42" s="1671">
        <v>0</v>
      </c>
      <c r="V42" s="1671">
        <v>0</v>
      </c>
      <c r="W42" s="1671">
        <v>0</v>
      </c>
      <c r="X42" s="1671">
        <v>0</v>
      </c>
      <c r="Y42" s="1671">
        <v>0</v>
      </c>
      <c r="Z42" s="1671">
        <v>0</v>
      </c>
      <c r="AA42" s="1671">
        <v>0</v>
      </c>
      <c r="AB42" s="1671">
        <v>0</v>
      </c>
      <c r="AC42" s="1671">
        <v>0</v>
      </c>
      <c r="AD42" s="1671">
        <v>0</v>
      </c>
      <c r="AE42" s="1671">
        <v>0</v>
      </c>
      <c r="AF42" s="1671">
        <v>0</v>
      </c>
      <c r="AG42" s="1671">
        <v>0</v>
      </c>
      <c r="AH42" s="1671">
        <v>0</v>
      </c>
      <c r="AI42" s="1671">
        <v>0</v>
      </c>
      <c r="AJ42" s="1671">
        <v>0</v>
      </c>
      <c r="AK42" s="1671">
        <v>0</v>
      </c>
      <c r="AL42" s="1671">
        <v>0</v>
      </c>
      <c r="AM42" s="1671">
        <v>0</v>
      </c>
      <c r="AN42" s="1671">
        <v>0</v>
      </c>
      <c r="AO42" s="1671">
        <v>0</v>
      </c>
      <c r="AP42" s="1671">
        <v>71.42</v>
      </c>
      <c r="AQ42" s="1671">
        <v>0</v>
      </c>
      <c r="AR42" s="1671">
        <v>0</v>
      </c>
      <c r="BJ42" s="1671">
        <f t="shared" si="25"/>
        <v>5.9516666666666671</v>
      </c>
      <c r="BK42" s="1671">
        <f t="shared" ref="BK42:BU44" si="28">BJ42</f>
        <v>5.9516666666666671</v>
      </c>
      <c r="BL42" s="1671">
        <f t="shared" si="28"/>
        <v>5.9516666666666671</v>
      </c>
      <c r="BM42" s="1671">
        <f t="shared" si="28"/>
        <v>5.9516666666666671</v>
      </c>
      <c r="BN42" s="1671">
        <f t="shared" si="28"/>
        <v>5.9516666666666671</v>
      </c>
      <c r="BO42" s="1671">
        <f t="shared" si="28"/>
        <v>5.9516666666666671</v>
      </c>
      <c r="BP42" s="1671">
        <f t="shared" si="28"/>
        <v>5.9516666666666671</v>
      </c>
      <c r="BQ42" s="1671">
        <f t="shared" si="28"/>
        <v>5.9516666666666671</v>
      </c>
      <c r="BR42" s="1671">
        <f t="shared" si="28"/>
        <v>5.9516666666666671</v>
      </c>
      <c r="BS42" s="1671">
        <f t="shared" si="28"/>
        <v>5.9516666666666671</v>
      </c>
      <c r="BT42" s="1671">
        <f t="shared" si="28"/>
        <v>5.9516666666666671</v>
      </c>
      <c r="BU42" s="1671">
        <f t="shared" si="28"/>
        <v>5.9516666666666671</v>
      </c>
    </row>
    <row r="43" spans="5:73" x14ac:dyDescent="0.2">
      <c r="E43" s="1669"/>
      <c r="F43" s="1670" t="s">
        <v>1457</v>
      </c>
      <c r="G43" s="1671">
        <f t="shared" si="22"/>
        <v>40150.379999999997</v>
      </c>
      <c r="H43" s="1671">
        <f t="shared" si="23"/>
        <v>30000</v>
      </c>
      <c r="I43" s="1671">
        <f t="shared" si="24"/>
        <v>30000</v>
      </c>
      <c r="J43" s="1671">
        <v>0</v>
      </c>
      <c r="K43" s="1671">
        <f t="shared" si="5"/>
        <v>33383.46</v>
      </c>
      <c r="L43" s="1671">
        <v>0</v>
      </c>
      <c r="M43" s="1671">
        <v>0</v>
      </c>
      <c r="N43" s="1671">
        <v>0</v>
      </c>
      <c r="O43" s="1671">
        <v>0</v>
      </c>
      <c r="P43" s="1671">
        <v>0</v>
      </c>
      <c r="Q43" s="1671">
        <v>0</v>
      </c>
      <c r="R43" s="1671">
        <v>0</v>
      </c>
      <c r="S43" s="1671">
        <v>0</v>
      </c>
      <c r="T43" s="1671">
        <v>0</v>
      </c>
      <c r="U43" s="1671">
        <v>0</v>
      </c>
      <c r="V43" s="1671">
        <v>0</v>
      </c>
      <c r="W43" s="1671">
        <v>40150.379999999997</v>
      </c>
      <c r="X43" s="1671">
        <v>0</v>
      </c>
      <c r="Y43" s="1671">
        <v>0</v>
      </c>
      <c r="Z43" s="1671">
        <v>0</v>
      </c>
      <c r="AA43" s="1671">
        <v>0</v>
      </c>
      <c r="AB43" s="1671">
        <v>0</v>
      </c>
      <c r="AC43" s="1671">
        <v>0</v>
      </c>
      <c r="AD43" s="1671">
        <v>0</v>
      </c>
      <c r="AE43" s="1671">
        <v>0</v>
      </c>
      <c r="AF43" s="1671">
        <v>0</v>
      </c>
      <c r="AG43" s="1671">
        <v>0</v>
      </c>
      <c r="AH43" s="1671">
        <v>0</v>
      </c>
      <c r="AI43" s="1671">
        <v>30000</v>
      </c>
      <c r="AJ43" s="1671">
        <v>0</v>
      </c>
      <c r="AK43" s="1671">
        <v>0</v>
      </c>
      <c r="AL43" s="1671">
        <v>0</v>
      </c>
      <c r="AM43" s="1671">
        <v>0</v>
      </c>
      <c r="AN43" s="1671">
        <v>0</v>
      </c>
      <c r="AO43" s="1671">
        <v>0</v>
      </c>
      <c r="AP43" s="1671">
        <v>0</v>
      </c>
      <c r="AQ43" s="1671">
        <v>0</v>
      </c>
      <c r="AR43" s="1671">
        <v>0</v>
      </c>
      <c r="BJ43" s="1729"/>
      <c r="BK43" s="1729"/>
      <c r="BL43" s="1729"/>
      <c r="BM43" s="1729"/>
      <c r="BN43" s="1729"/>
      <c r="BO43" s="1729"/>
      <c r="BP43" s="1729"/>
      <c r="BQ43" s="1729"/>
      <c r="BR43" s="1729"/>
      <c r="BS43" s="1729"/>
      <c r="BT43" s="1729"/>
      <c r="BU43" s="1729"/>
    </row>
    <row r="44" spans="5:73" x14ac:dyDescent="0.2">
      <c r="E44" s="1669"/>
      <c r="F44" s="1670" t="s">
        <v>1458</v>
      </c>
      <c r="G44" s="1671">
        <f t="shared" si="22"/>
        <v>713.85</v>
      </c>
      <c r="H44" s="1671">
        <f t="shared" si="23"/>
        <v>151</v>
      </c>
      <c r="I44" s="1671">
        <f t="shared" si="24"/>
        <v>651</v>
      </c>
      <c r="J44" s="1671">
        <v>500</v>
      </c>
      <c r="K44" s="1671">
        <f t="shared" si="5"/>
        <v>505.2833333333333</v>
      </c>
      <c r="L44" s="1671">
        <v>0</v>
      </c>
      <c r="M44" s="1671">
        <v>0</v>
      </c>
      <c r="N44" s="1671">
        <v>500</v>
      </c>
      <c r="O44" s="1671">
        <v>0</v>
      </c>
      <c r="P44" s="1671">
        <v>0</v>
      </c>
      <c r="Q44" s="1671">
        <v>0</v>
      </c>
      <c r="R44" s="1671">
        <v>0</v>
      </c>
      <c r="S44" s="1671">
        <v>0</v>
      </c>
      <c r="T44" s="1671">
        <v>0</v>
      </c>
      <c r="U44" s="1671">
        <v>0</v>
      </c>
      <c r="V44" s="1671">
        <v>75.5</v>
      </c>
      <c r="W44" s="1671">
        <v>138.35</v>
      </c>
      <c r="X44" s="1671">
        <v>0</v>
      </c>
      <c r="Y44" s="1671">
        <v>0</v>
      </c>
      <c r="Z44" s="1671">
        <v>0</v>
      </c>
      <c r="AA44" s="1671">
        <v>0</v>
      </c>
      <c r="AB44" s="1671">
        <v>0</v>
      </c>
      <c r="AC44" s="1671">
        <v>0</v>
      </c>
      <c r="AD44" s="1671">
        <v>0</v>
      </c>
      <c r="AE44" s="1671">
        <v>0</v>
      </c>
      <c r="AF44" s="1671">
        <v>0</v>
      </c>
      <c r="AG44" s="1671">
        <v>0</v>
      </c>
      <c r="AH44" s="1671">
        <v>0</v>
      </c>
      <c r="AI44" s="1671">
        <v>151</v>
      </c>
      <c r="AJ44" s="1671">
        <v>0</v>
      </c>
      <c r="AK44" s="1671">
        <v>0</v>
      </c>
      <c r="AL44" s="1671">
        <v>500</v>
      </c>
      <c r="AM44" s="1671">
        <v>0</v>
      </c>
      <c r="AN44" s="1671">
        <v>0</v>
      </c>
      <c r="AO44" s="1671">
        <v>0</v>
      </c>
      <c r="AP44" s="1671">
        <v>0</v>
      </c>
      <c r="AQ44" s="1671">
        <v>0</v>
      </c>
      <c r="AR44" s="1671">
        <v>0</v>
      </c>
      <c r="BJ44" s="1671">
        <f t="shared" si="25"/>
        <v>54.25</v>
      </c>
      <c r="BK44" s="1671">
        <f t="shared" si="28"/>
        <v>54.25</v>
      </c>
      <c r="BL44" s="1671">
        <f t="shared" si="28"/>
        <v>54.25</v>
      </c>
      <c r="BM44" s="1671">
        <f t="shared" si="28"/>
        <v>54.25</v>
      </c>
      <c r="BN44" s="1671">
        <f t="shared" si="28"/>
        <v>54.25</v>
      </c>
      <c r="BO44" s="1671">
        <f t="shared" si="28"/>
        <v>54.25</v>
      </c>
      <c r="BP44" s="1671">
        <f t="shared" si="28"/>
        <v>54.25</v>
      </c>
      <c r="BQ44" s="1671">
        <f t="shared" si="28"/>
        <v>54.25</v>
      </c>
      <c r="BR44" s="1671">
        <f t="shared" si="28"/>
        <v>54.25</v>
      </c>
      <c r="BS44" s="1671">
        <f t="shared" si="28"/>
        <v>54.25</v>
      </c>
      <c r="BT44" s="1671">
        <f t="shared" si="28"/>
        <v>54.25</v>
      </c>
      <c r="BU44" s="1671">
        <f t="shared" si="28"/>
        <v>54.25</v>
      </c>
    </row>
    <row r="45" spans="5:73" x14ac:dyDescent="0.2">
      <c r="E45" s="1669"/>
      <c r="F45" s="1670" t="s">
        <v>1459</v>
      </c>
      <c r="G45" s="1671">
        <f t="shared" si="22"/>
        <v>0</v>
      </c>
      <c r="H45" s="1671">
        <f t="shared" si="23"/>
        <v>0</v>
      </c>
      <c r="I45" s="1671">
        <f t="shared" si="24"/>
        <v>-120917.09999999999</v>
      </c>
      <c r="J45" s="1671">
        <v>0</v>
      </c>
      <c r="K45" s="1671">
        <f t="shared" si="5"/>
        <v>-40305.699999999997</v>
      </c>
      <c r="L45" s="1671">
        <v>0</v>
      </c>
      <c r="M45" s="1671">
        <v>0</v>
      </c>
      <c r="N45" s="1671">
        <v>0</v>
      </c>
      <c r="O45" s="1671">
        <v>0</v>
      </c>
      <c r="P45" s="1671">
        <v>0</v>
      </c>
      <c r="Q45" s="1671">
        <v>0</v>
      </c>
      <c r="R45" s="1671">
        <v>0</v>
      </c>
      <c r="S45" s="1671">
        <v>0</v>
      </c>
      <c r="T45" s="1671">
        <v>0</v>
      </c>
      <c r="U45" s="1671">
        <v>0</v>
      </c>
      <c r="V45" s="1671">
        <v>0</v>
      </c>
      <c r="W45" s="1671">
        <v>0</v>
      </c>
      <c r="X45" s="1671">
        <v>11073.03</v>
      </c>
      <c r="Y45" s="1671">
        <v>14078.12</v>
      </c>
      <c r="Z45" s="1671">
        <v>13865.25</v>
      </c>
      <c r="AA45" s="1671">
        <v>13850.72</v>
      </c>
      <c r="AB45" s="1671">
        <v>13812.48</v>
      </c>
      <c r="AC45" s="1671">
        <v>13637.21</v>
      </c>
      <c r="AD45" s="1671">
        <v>13619.75</v>
      </c>
      <c r="AE45" s="1671">
        <v>13533.8</v>
      </c>
      <c r="AF45" s="1671">
        <v>13446.74</v>
      </c>
      <c r="AG45" s="1671">
        <v>13542.68</v>
      </c>
      <c r="AH45" s="1671">
        <v>-63231.8</v>
      </c>
      <c r="AI45" s="1671">
        <v>-71227.98</v>
      </c>
      <c r="AJ45" s="1671">
        <v>1720.79</v>
      </c>
      <c r="AK45" s="1671">
        <v>3826.21</v>
      </c>
      <c r="AL45" s="1671">
        <v>3645.22</v>
      </c>
      <c r="AM45" s="1671">
        <v>3630.71</v>
      </c>
      <c r="AN45" s="1671">
        <v>3612.6</v>
      </c>
      <c r="AO45" s="1671">
        <v>3297.4</v>
      </c>
      <c r="AP45" s="1671">
        <v>3845.71</v>
      </c>
      <c r="AQ45" s="1671">
        <v>3686</v>
      </c>
      <c r="AR45" s="1671">
        <v>-27264.639999999999</v>
      </c>
      <c r="BJ45" s="1671">
        <f>BJ73</f>
        <v>2900.6249999999995</v>
      </c>
      <c r="BK45" s="1671">
        <f>BK73</f>
        <v>2900.6249999999995</v>
      </c>
      <c r="BL45" s="1671">
        <f t="shared" ref="BL45:BU45" si="29">BL73</f>
        <v>2900.6249999999995</v>
      </c>
      <c r="BM45" s="1671">
        <f t="shared" si="29"/>
        <v>2900.6249999999995</v>
      </c>
      <c r="BN45" s="1671">
        <f t="shared" si="29"/>
        <v>2900.6249999999995</v>
      </c>
      <c r="BO45" s="1671">
        <f t="shared" si="29"/>
        <v>2900.6249999999995</v>
      </c>
      <c r="BP45" s="1671">
        <f t="shared" si="29"/>
        <v>2900.6249999999995</v>
      </c>
      <c r="BQ45" s="1671">
        <f t="shared" si="29"/>
        <v>2900.6249999999995</v>
      </c>
      <c r="BR45" s="1671">
        <f t="shared" si="29"/>
        <v>2900.6249999999995</v>
      </c>
      <c r="BS45" s="1671">
        <f t="shared" si="29"/>
        <v>2900.6249999999995</v>
      </c>
      <c r="BT45" s="1671">
        <f t="shared" si="29"/>
        <v>2900.6249999999995</v>
      </c>
      <c r="BU45" s="1671">
        <f t="shared" si="29"/>
        <v>2900.6249999999995</v>
      </c>
    </row>
    <row r="46" spans="5:73" x14ac:dyDescent="0.2">
      <c r="E46" s="1669"/>
      <c r="F46" s="1670" t="s">
        <v>1460</v>
      </c>
      <c r="G46" s="1671">
        <f t="shared" si="22"/>
        <v>44549.05</v>
      </c>
      <c r="H46" s="1671">
        <f t="shared" si="23"/>
        <v>53114.29</v>
      </c>
      <c r="I46" s="1671">
        <f t="shared" si="24"/>
        <v>81057.5</v>
      </c>
      <c r="J46" s="1671">
        <v>27943.21</v>
      </c>
      <c r="K46" s="1671">
        <f t="shared" si="5"/>
        <v>59573.613333333335</v>
      </c>
      <c r="L46" s="1671">
        <v>1959.99</v>
      </c>
      <c r="M46" s="1671">
        <v>3199.93</v>
      </c>
      <c r="N46" s="1671">
        <v>3013.93</v>
      </c>
      <c r="O46" s="1671">
        <v>3446.31</v>
      </c>
      <c r="P46" s="1671">
        <v>3446.29</v>
      </c>
      <c r="Q46" s="1671">
        <v>3223.18</v>
      </c>
      <c r="R46" s="1671">
        <v>3000.05</v>
      </c>
      <c r="S46" s="1671">
        <v>3000.06</v>
      </c>
      <c r="T46" s="1671">
        <v>3000.04</v>
      </c>
      <c r="U46" s="1671">
        <v>3000.05</v>
      </c>
      <c r="V46" s="1671">
        <v>3000.08</v>
      </c>
      <c r="W46" s="1671">
        <v>11259.14</v>
      </c>
      <c r="X46" s="1671">
        <v>0</v>
      </c>
      <c r="Y46" s="1671">
        <v>0</v>
      </c>
      <c r="Z46" s="1671">
        <v>0</v>
      </c>
      <c r="AA46" s="1671">
        <v>0</v>
      </c>
      <c r="AB46" s="1671">
        <v>0</v>
      </c>
      <c r="AC46" s="1671">
        <v>0</v>
      </c>
      <c r="AD46" s="1671">
        <v>0</v>
      </c>
      <c r="AE46" s="1671">
        <v>0</v>
      </c>
      <c r="AF46" s="1671">
        <v>0</v>
      </c>
      <c r="AG46" s="1671">
        <v>0</v>
      </c>
      <c r="AH46" s="1671">
        <v>0</v>
      </c>
      <c r="AI46" s="1671">
        <v>53114.29</v>
      </c>
      <c r="AJ46" s="1671">
        <v>0</v>
      </c>
      <c r="AK46" s="1671">
        <v>0</v>
      </c>
      <c r="AL46" s="1671">
        <v>0</v>
      </c>
      <c r="AM46" s="1671">
        <v>0</v>
      </c>
      <c r="AN46" s="1671">
        <v>0</v>
      </c>
      <c r="AO46" s="1671">
        <v>0</v>
      </c>
      <c r="AP46" s="1671">
        <v>0</v>
      </c>
      <c r="AQ46" s="1671">
        <v>0</v>
      </c>
      <c r="AR46" s="1671">
        <v>27943.21</v>
      </c>
      <c r="BJ46" s="1671"/>
      <c r="BK46" s="1671"/>
      <c r="BL46" s="1671"/>
      <c r="BM46" s="1671"/>
      <c r="BN46" s="1671"/>
      <c r="BO46" s="1671"/>
      <c r="BP46" s="1671"/>
      <c r="BQ46" s="1671"/>
      <c r="BR46" s="1671"/>
      <c r="BS46" s="1671"/>
      <c r="BT46" s="1671"/>
      <c r="BU46" s="1671"/>
    </row>
    <row r="47" spans="5:73" x14ac:dyDescent="0.2">
      <c r="E47" s="1669"/>
      <c r="F47" s="1670" t="s">
        <v>1461</v>
      </c>
      <c r="G47" s="1671">
        <f t="shared" si="22"/>
        <v>1335.6200000000001</v>
      </c>
      <c r="H47" s="1671">
        <f t="shared" si="23"/>
        <v>1720.8</v>
      </c>
      <c r="I47" s="1671">
        <f t="shared" si="24"/>
        <v>4608.2299999999996</v>
      </c>
      <c r="J47" s="1671">
        <v>2887.43</v>
      </c>
      <c r="K47" s="1671">
        <f t="shared" si="5"/>
        <v>2554.8833333333332</v>
      </c>
      <c r="L47" s="1671">
        <v>0</v>
      </c>
      <c r="M47" s="1671">
        <v>235</v>
      </c>
      <c r="N47" s="1671">
        <v>235</v>
      </c>
      <c r="O47" s="1671">
        <v>271.5</v>
      </c>
      <c r="P47" s="1671">
        <v>348.02</v>
      </c>
      <c r="Q47" s="1671">
        <v>129</v>
      </c>
      <c r="R47" s="1671">
        <v>82.7</v>
      </c>
      <c r="S47" s="1671">
        <v>34.4</v>
      </c>
      <c r="T47" s="1671">
        <v>0</v>
      </c>
      <c r="U47" s="1671">
        <v>0</v>
      </c>
      <c r="V47" s="1671">
        <v>0</v>
      </c>
      <c r="W47" s="1671">
        <v>0</v>
      </c>
      <c r="X47" s="1671">
        <v>0</v>
      </c>
      <c r="Y47" s="1671">
        <v>0</v>
      </c>
      <c r="Z47" s="1671">
        <v>0</v>
      </c>
      <c r="AA47" s="1671">
        <v>0</v>
      </c>
      <c r="AB47" s="1671">
        <v>0</v>
      </c>
      <c r="AC47" s="1671">
        <v>0</v>
      </c>
      <c r="AD47" s="1671">
        <v>0</v>
      </c>
      <c r="AE47" s="1671">
        <v>0</v>
      </c>
      <c r="AF47" s="1671">
        <v>0</v>
      </c>
      <c r="AG47" s="1671">
        <v>0</v>
      </c>
      <c r="AH47" s="1671">
        <v>0</v>
      </c>
      <c r="AI47" s="1671">
        <v>1720.8</v>
      </c>
      <c r="AJ47" s="1671">
        <v>0</v>
      </c>
      <c r="AK47" s="1671">
        <v>0</v>
      </c>
      <c r="AL47" s="1671">
        <v>0</v>
      </c>
      <c r="AM47" s="1671">
        <v>0</v>
      </c>
      <c r="AN47" s="1671">
        <v>0</v>
      </c>
      <c r="AO47" s="1671">
        <v>0</v>
      </c>
      <c r="AP47" s="1671">
        <v>0</v>
      </c>
      <c r="AQ47" s="1671">
        <v>0</v>
      </c>
      <c r="AR47" s="1671">
        <v>2887.43</v>
      </c>
      <c r="BJ47" s="1671">
        <f t="shared" si="25"/>
        <v>384.01916666666665</v>
      </c>
      <c r="BK47" s="1671">
        <f t="shared" ref="BK47:BU50" si="30">BJ47</f>
        <v>384.01916666666665</v>
      </c>
      <c r="BL47" s="1671">
        <f t="shared" si="30"/>
        <v>384.01916666666665</v>
      </c>
      <c r="BM47" s="1671">
        <f t="shared" si="30"/>
        <v>384.01916666666665</v>
      </c>
      <c r="BN47" s="1671">
        <f t="shared" si="30"/>
        <v>384.01916666666665</v>
      </c>
      <c r="BO47" s="1671">
        <f t="shared" si="30"/>
        <v>384.01916666666665</v>
      </c>
      <c r="BP47" s="1671">
        <f t="shared" si="30"/>
        <v>384.01916666666665</v>
      </c>
      <c r="BQ47" s="1671">
        <f t="shared" si="30"/>
        <v>384.01916666666665</v>
      </c>
      <c r="BR47" s="1671">
        <f t="shared" si="30"/>
        <v>384.01916666666665</v>
      </c>
      <c r="BS47" s="1671">
        <f t="shared" si="30"/>
        <v>384.01916666666665</v>
      </c>
      <c r="BT47" s="1671">
        <f t="shared" si="30"/>
        <v>384.01916666666665</v>
      </c>
      <c r="BU47" s="1671">
        <f t="shared" si="30"/>
        <v>384.01916666666665</v>
      </c>
    </row>
    <row r="48" spans="5:73" x14ac:dyDescent="0.2">
      <c r="E48" s="1669"/>
      <c r="F48" s="1670" t="s">
        <v>1462</v>
      </c>
      <c r="G48" s="1671">
        <f t="shared" si="22"/>
        <v>1518.1599999999996</v>
      </c>
      <c r="H48" s="1671">
        <f t="shared" si="23"/>
        <v>1517.6700000000003</v>
      </c>
      <c r="I48" s="1671">
        <f t="shared" si="24"/>
        <v>1399.1499999999999</v>
      </c>
      <c r="J48" s="1671">
        <v>1139.1600000000001</v>
      </c>
      <c r="K48" s="1671">
        <f t="shared" si="5"/>
        <v>1478.3266666666666</v>
      </c>
      <c r="L48" s="1671">
        <v>126.36</v>
      </c>
      <c r="M48" s="1671">
        <v>126.36</v>
      </c>
      <c r="N48" s="1671">
        <v>126.36</v>
      </c>
      <c r="O48" s="1671">
        <v>126.36</v>
      </c>
      <c r="P48" s="1671">
        <v>126.36</v>
      </c>
      <c r="Q48" s="1671">
        <v>126.67</v>
      </c>
      <c r="R48" s="1671">
        <v>126.74</v>
      </c>
      <c r="S48" s="1671">
        <v>126.67</v>
      </c>
      <c r="T48" s="1671">
        <v>126.6</v>
      </c>
      <c r="U48" s="1671">
        <v>126.6</v>
      </c>
      <c r="V48" s="1671">
        <v>126.6</v>
      </c>
      <c r="W48" s="1671">
        <v>126.48</v>
      </c>
      <c r="X48" s="1671">
        <v>126.48</v>
      </c>
      <c r="Y48" s="1671">
        <v>126.48</v>
      </c>
      <c r="Z48" s="1671">
        <v>126.48</v>
      </c>
      <c r="AA48" s="1671">
        <v>126.3</v>
      </c>
      <c r="AB48" s="1671">
        <v>385.3</v>
      </c>
      <c r="AC48" s="1671">
        <v>119.99</v>
      </c>
      <c r="AD48" s="1671">
        <v>0</v>
      </c>
      <c r="AE48" s="1671">
        <v>0</v>
      </c>
      <c r="AF48" s="1671">
        <v>246.65</v>
      </c>
      <c r="AG48" s="1671">
        <v>6.67</v>
      </c>
      <c r="AH48" s="1671">
        <v>126.66</v>
      </c>
      <c r="AI48" s="1671">
        <v>126.66</v>
      </c>
      <c r="AJ48" s="1671">
        <v>126.66</v>
      </c>
      <c r="AK48" s="1671">
        <v>126.66</v>
      </c>
      <c r="AL48" s="1671">
        <v>126.64</v>
      </c>
      <c r="AM48" s="1671">
        <v>373.27</v>
      </c>
      <c r="AN48" s="1671">
        <v>0</v>
      </c>
      <c r="AO48" s="1671">
        <v>0</v>
      </c>
      <c r="AP48" s="1671">
        <v>132.97</v>
      </c>
      <c r="AQ48" s="1671">
        <v>126.48</v>
      </c>
      <c r="AR48" s="1671">
        <v>126.48</v>
      </c>
      <c r="BJ48" s="1671">
        <f t="shared" si="25"/>
        <v>116.59583333333332</v>
      </c>
      <c r="BK48" s="1671">
        <f t="shared" si="30"/>
        <v>116.59583333333332</v>
      </c>
      <c r="BL48" s="1671">
        <f t="shared" si="30"/>
        <v>116.59583333333332</v>
      </c>
      <c r="BM48" s="1671">
        <f t="shared" si="30"/>
        <v>116.59583333333332</v>
      </c>
      <c r="BN48" s="1671">
        <f t="shared" si="30"/>
        <v>116.59583333333332</v>
      </c>
      <c r="BO48" s="1671">
        <f t="shared" si="30"/>
        <v>116.59583333333332</v>
      </c>
      <c r="BP48" s="1671">
        <f t="shared" si="30"/>
        <v>116.59583333333332</v>
      </c>
      <c r="BQ48" s="1671">
        <f t="shared" si="30"/>
        <v>116.59583333333332</v>
      </c>
      <c r="BR48" s="1671">
        <f t="shared" si="30"/>
        <v>116.59583333333332</v>
      </c>
      <c r="BS48" s="1671">
        <f t="shared" si="30"/>
        <v>116.59583333333332</v>
      </c>
      <c r="BT48" s="1671">
        <f t="shared" si="30"/>
        <v>116.59583333333332</v>
      </c>
      <c r="BU48" s="1671">
        <f t="shared" si="30"/>
        <v>116.59583333333332</v>
      </c>
    </row>
    <row r="49" spans="5:77" x14ac:dyDescent="0.2">
      <c r="E49" s="1669"/>
      <c r="F49" s="1670" t="s">
        <v>1463</v>
      </c>
      <c r="G49" s="1671">
        <f t="shared" si="22"/>
        <v>0</v>
      </c>
      <c r="H49" s="1671">
        <f t="shared" si="23"/>
        <v>433.21</v>
      </c>
      <c r="I49" s="1671">
        <f t="shared" si="24"/>
        <v>1300.1099999999999</v>
      </c>
      <c r="J49" s="1671">
        <v>1300.1099999999999</v>
      </c>
      <c r="K49" s="1671">
        <f t="shared" si="5"/>
        <v>577.77333333333331</v>
      </c>
      <c r="L49" s="1671">
        <v>0</v>
      </c>
      <c r="M49" s="1671">
        <v>0</v>
      </c>
      <c r="N49" s="1671">
        <v>0</v>
      </c>
      <c r="O49" s="1671">
        <v>0</v>
      </c>
      <c r="P49" s="1671">
        <v>0</v>
      </c>
      <c r="Q49" s="1671">
        <v>0</v>
      </c>
      <c r="R49" s="1671">
        <v>0</v>
      </c>
      <c r="S49" s="1671">
        <v>0</v>
      </c>
      <c r="T49" s="1671">
        <v>0</v>
      </c>
      <c r="U49" s="1671">
        <v>0</v>
      </c>
      <c r="V49" s="1671">
        <v>0</v>
      </c>
      <c r="W49" s="1671">
        <v>0</v>
      </c>
      <c r="X49" s="1671">
        <v>0</v>
      </c>
      <c r="Y49" s="1671">
        <v>0</v>
      </c>
      <c r="Z49" s="1671">
        <v>0</v>
      </c>
      <c r="AA49" s="1671">
        <v>0</v>
      </c>
      <c r="AB49" s="1671">
        <v>433.21</v>
      </c>
      <c r="AC49" s="1671">
        <v>0</v>
      </c>
      <c r="AD49" s="1671">
        <v>0</v>
      </c>
      <c r="AE49" s="1671">
        <v>0</v>
      </c>
      <c r="AF49" s="1671">
        <v>0</v>
      </c>
      <c r="AG49" s="1671">
        <v>0</v>
      </c>
      <c r="AH49" s="1671">
        <v>0</v>
      </c>
      <c r="AI49" s="1671">
        <v>0</v>
      </c>
      <c r="AJ49" s="1671">
        <v>0</v>
      </c>
      <c r="AK49" s="1671">
        <v>1300.1099999999999</v>
      </c>
      <c r="AL49" s="1671">
        <v>0</v>
      </c>
      <c r="AM49" s="1671">
        <v>0</v>
      </c>
      <c r="AN49" s="1671">
        <v>0</v>
      </c>
      <c r="AO49" s="1671">
        <v>0</v>
      </c>
      <c r="AP49" s="1671">
        <v>0</v>
      </c>
      <c r="AQ49" s="1671">
        <v>0</v>
      </c>
      <c r="AR49" s="1671">
        <v>0</v>
      </c>
      <c r="BJ49" s="1671">
        <f t="shared" si="25"/>
        <v>108.34249999999999</v>
      </c>
      <c r="BK49" s="1671">
        <f t="shared" si="30"/>
        <v>108.34249999999999</v>
      </c>
      <c r="BL49" s="1671">
        <f t="shared" si="30"/>
        <v>108.34249999999999</v>
      </c>
      <c r="BM49" s="1671">
        <f t="shared" si="30"/>
        <v>108.34249999999999</v>
      </c>
      <c r="BN49" s="1671">
        <f t="shared" si="30"/>
        <v>108.34249999999999</v>
      </c>
      <c r="BO49" s="1671">
        <f t="shared" si="30"/>
        <v>108.34249999999999</v>
      </c>
      <c r="BP49" s="1671">
        <f t="shared" si="30"/>
        <v>108.34249999999999</v>
      </c>
      <c r="BQ49" s="1671">
        <f t="shared" si="30"/>
        <v>108.34249999999999</v>
      </c>
      <c r="BR49" s="1671">
        <f t="shared" si="30"/>
        <v>108.34249999999999</v>
      </c>
      <c r="BS49" s="1671">
        <f t="shared" si="30"/>
        <v>108.34249999999999</v>
      </c>
      <c r="BT49" s="1671">
        <f t="shared" si="30"/>
        <v>108.34249999999999</v>
      </c>
      <c r="BU49" s="1671">
        <f t="shared" si="30"/>
        <v>108.34249999999999</v>
      </c>
    </row>
    <row r="50" spans="5:77" ht="10.8" thickBot="1" x14ac:dyDescent="0.25">
      <c r="E50" s="1669"/>
      <c r="F50" s="1670" t="s">
        <v>1464</v>
      </c>
      <c r="G50" s="1671">
        <f t="shared" si="22"/>
        <v>6904.2</v>
      </c>
      <c r="H50" s="1671">
        <f t="shared" si="23"/>
        <v>7395.2999999999993</v>
      </c>
      <c r="I50" s="1671">
        <f t="shared" si="24"/>
        <v>7993.4500000000007</v>
      </c>
      <c r="J50" s="1671">
        <v>6338.73</v>
      </c>
      <c r="K50" s="1671">
        <f>AVERAGE(G50:I50)</f>
        <v>7430.9833333333336</v>
      </c>
      <c r="L50" s="1671">
        <v>238.87</v>
      </c>
      <c r="M50" s="1671">
        <v>1551.61</v>
      </c>
      <c r="N50" s="1671">
        <v>637.52</v>
      </c>
      <c r="O50" s="1671">
        <v>635.89</v>
      </c>
      <c r="P50" s="1671">
        <v>405.99</v>
      </c>
      <c r="Q50" s="1671">
        <v>377.85</v>
      </c>
      <c r="R50" s="1671">
        <v>839.33</v>
      </c>
      <c r="S50" s="1671">
        <v>504.69</v>
      </c>
      <c r="T50" s="1671">
        <v>502</v>
      </c>
      <c r="U50" s="1671">
        <v>504.71</v>
      </c>
      <c r="V50" s="1671">
        <v>498.01</v>
      </c>
      <c r="W50" s="1671">
        <v>207.73</v>
      </c>
      <c r="X50" s="1671">
        <v>914.72</v>
      </c>
      <c r="Y50" s="1671">
        <v>461.96</v>
      </c>
      <c r="Z50" s="1671">
        <v>911.32</v>
      </c>
      <c r="AA50" s="1671">
        <v>699.46</v>
      </c>
      <c r="AB50" s="1671">
        <v>2217.4699999999998</v>
      </c>
      <c r="AC50" s="1671">
        <v>0</v>
      </c>
      <c r="AD50" s="1671">
        <v>0</v>
      </c>
      <c r="AE50" s="1671">
        <v>0</v>
      </c>
      <c r="AF50" s="1671">
        <v>535.65</v>
      </c>
      <c r="AG50" s="1671">
        <v>538.01</v>
      </c>
      <c r="AH50" s="1671">
        <v>535.30999999999995</v>
      </c>
      <c r="AI50" s="1671">
        <v>581.4</v>
      </c>
      <c r="AJ50" s="1671">
        <v>369.23</v>
      </c>
      <c r="AK50" s="1671">
        <v>1067.08</v>
      </c>
      <c r="AL50" s="1671">
        <v>726.32</v>
      </c>
      <c r="AM50" s="1671">
        <v>2195.92</v>
      </c>
      <c r="AN50" s="1671">
        <v>0</v>
      </c>
      <c r="AO50" s="1671">
        <v>0</v>
      </c>
      <c r="AP50" s="1671">
        <v>673.47</v>
      </c>
      <c r="AQ50" s="1671">
        <v>663.2</v>
      </c>
      <c r="AR50" s="1671">
        <v>643.51</v>
      </c>
      <c r="BJ50" s="1671">
        <f t="shared" si="25"/>
        <v>666.12083333333339</v>
      </c>
      <c r="BK50" s="1671">
        <f t="shared" si="30"/>
        <v>666.12083333333339</v>
      </c>
      <c r="BL50" s="1671">
        <f t="shared" si="30"/>
        <v>666.12083333333339</v>
      </c>
      <c r="BM50" s="1671">
        <f t="shared" si="30"/>
        <v>666.12083333333339</v>
      </c>
      <c r="BN50" s="1671">
        <f t="shared" si="30"/>
        <v>666.12083333333339</v>
      </c>
      <c r="BO50" s="1671">
        <f t="shared" si="30"/>
        <v>666.12083333333339</v>
      </c>
      <c r="BP50" s="1671">
        <f t="shared" si="30"/>
        <v>666.12083333333339</v>
      </c>
      <c r="BQ50" s="1671">
        <f t="shared" si="30"/>
        <v>666.12083333333339</v>
      </c>
      <c r="BR50" s="1671">
        <f t="shared" si="30"/>
        <v>666.12083333333339</v>
      </c>
      <c r="BS50" s="1671">
        <f t="shared" si="30"/>
        <v>666.12083333333339</v>
      </c>
      <c r="BT50" s="1671">
        <f t="shared" si="30"/>
        <v>666.12083333333339</v>
      </c>
      <c r="BU50" s="1671">
        <f t="shared" si="30"/>
        <v>666.12083333333339</v>
      </c>
    </row>
    <row r="51" spans="5:77" ht="10.8" thickBot="1" x14ac:dyDescent="0.25">
      <c r="E51" s="1669"/>
      <c r="F51" s="1670" t="s">
        <v>1041</v>
      </c>
      <c r="G51" s="1700">
        <f>SUM(G19:G24,G29:G50)</f>
        <v>996092.12999999989</v>
      </c>
      <c r="H51" s="1700">
        <f>SUM(H19:H24,H29:H50)</f>
        <v>1580566.84</v>
      </c>
      <c r="I51" s="1700">
        <f>SUM(I19:I24,I29:I50)</f>
        <v>1626939.14</v>
      </c>
      <c r="J51" s="1700">
        <f>SUM(J19:J24,J29:J50)</f>
        <v>545719.82000000007</v>
      </c>
      <c r="K51" s="1700">
        <f>SUM(K19:K24,K29:K50)</f>
        <v>1401199.37</v>
      </c>
      <c r="L51" s="1700">
        <f t="shared" ref="L51:AI51" si="31">ROUND(SUM(L18:L24)+SUM(L29:L50),5)</f>
        <v>52663.19</v>
      </c>
      <c r="M51" s="1700">
        <f t="shared" si="31"/>
        <v>53060.13</v>
      </c>
      <c r="N51" s="1700">
        <f t="shared" si="31"/>
        <v>50917.97</v>
      </c>
      <c r="O51" s="1700">
        <f t="shared" si="31"/>
        <v>106291.72</v>
      </c>
      <c r="P51" s="1700">
        <f t="shared" si="31"/>
        <v>57647.25</v>
      </c>
      <c r="Q51" s="1700">
        <f t="shared" si="31"/>
        <v>53634.59</v>
      </c>
      <c r="R51" s="1700">
        <f t="shared" si="31"/>
        <v>55204.15</v>
      </c>
      <c r="S51" s="1700">
        <f t="shared" si="31"/>
        <v>57748.75</v>
      </c>
      <c r="T51" s="1700">
        <f t="shared" si="31"/>
        <v>59786.46</v>
      </c>
      <c r="U51" s="1700">
        <f t="shared" si="31"/>
        <v>55199.37</v>
      </c>
      <c r="V51" s="1700">
        <f t="shared" si="31"/>
        <v>48470.52</v>
      </c>
      <c r="W51" s="1700">
        <f t="shared" si="31"/>
        <v>345468.03</v>
      </c>
      <c r="X51" s="1700">
        <f t="shared" si="31"/>
        <v>51778.7</v>
      </c>
      <c r="Y51" s="1700">
        <f t="shared" si="31"/>
        <v>56232.41</v>
      </c>
      <c r="Z51" s="1700">
        <f t="shared" si="31"/>
        <v>52401.919999999998</v>
      </c>
      <c r="AA51" s="1700">
        <f t="shared" si="31"/>
        <v>75273.83</v>
      </c>
      <c r="AB51" s="1700">
        <f t="shared" si="31"/>
        <v>75644.070000000007</v>
      </c>
      <c r="AC51" s="1700">
        <f t="shared" si="31"/>
        <v>43901.21</v>
      </c>
      <c r="AD51" s="1700">
        <f t="shared" si="31"/>
        <v>43771</v>
      </c>
      <c r="AE51" s="1700">
        <f t="shared" si="31"/>
        <v>51653.58</v>
      </c>
      <c r="AF51" s="1700">
        <f t="shared" si="31"/>
        <v>48690.8</v>
      </c>
      <c r="AG51" s="1700">
        <f t="shared" si="31"/>
        <v>59987.42</v>
      </c>
      <c r="AH51" s="1700">
        <f t="shared" si="31"/>
        <v>53611.42</v>
      </c>
      <c r="AI51" s="1700">
        <f t="shared" si="31"/>
        <v>967620.48</v>
      </c>
      <c r="AJ51" s="1700">
        <f t="shared" ref="AJ51:AR51" si="32">ROUND(SUM(AJ17:AJ24)+SUM(AJ29:AJ50),5)</f>
        <v>53597.63</v>
      </c>
      <c r="AK51" s="1700">
        <f t="shared" si="32"/>
        <v>55029.77</v>
      </c>
      <c r="AL51" s="1700">
        <f t="shared" si="32"/>
        <v>54184.6</v>
      </c>
      <c r="AM51" s="1700">
        <f t="shared" si="32"/>
        <v>99958.03</v>
      </c>
      <c r="AN51" s="1700">
        <f t="shared" si="32"/>
        <v>44322</v>
      </c>
      <c r="AO51" s="1700">
        <f t="shared" si="32"/>
        <v>44051.8</v>
      </c>
      <c r="AP51" s="1700">
        <f t="shared" si="32"/>
        <v>64712.53</v>
      </c>
      <c r="AQ51" s="1700">
        <f t="shared" si="32"/>
        <v>60170.22</v>
      </c>
      <c r="AR51" s="1700">
        <f t="shared" si="32"/>
        <v>69693.240000000005</v>
      </c>
      <c r="BJ51" s="1700">
        <f t="shared" ref="BJ51:BU51" si="33">ROUND(SUM(BJ17:BJ24)+SUM(BJ29:BJ50),5)</f>
        <v>54004.64417</v>
      </c>
      <c r="BK51" s="1700">
        <f t="shared" si="33"/>
        <v>54004.64417</v>
      </c>
      <c r="BL51" s="1700">
        <f t="shared" si="33"/>
        <v>54004.64417</v>
      </c>
      <c r="BM51" s="1700">
        <f t="shared" si="33"/>
        <v>54004.64417</v>
      </c>
      <c r="BN51" s="1700">
        <f t="shared" si="33"/>
        <v>54004.64417</v>
      </c>
      <c r="BO51" s="1700">
        <f t="shared" si="33"/>
        <v>54004.64417</v>
      </c>
      <c r="BP51" s="1700">
        <f t="shared" si="33"/>
        <v>54004.64417</v>
      </c>
      <c r="BQ51" s="1700">
        <f t="shared" si="33"/>
        <v>54004.64417</v>
      </c>
      <c r="BR51" s="1700">
        <f t="shared" si="33"/>
        <v>54004.64417</v>
      </c>
      <c r="BS51" s="1700">
        <f t="shared" si="33"/>
        <v>54004.64417</v>
      </c>
      <c r="BT51" s="1700">
        <f t="shared" si="33"/>
        <v>54004.64417</v>
      </c>
      <c r="BU51" s="1700">
        <f t="shared" si="33"/>
        <v>54004.64417</v>
      </c>
      <c r="BW51" s="1688">
        <f>SUM(BJ51:BU51)</f>
        <v>648055.73003999994</v>
      </c>
      <c r="BX51" s="1664">
        <f>BW51/BW9</f>
        <v>0.3396798007173546</v>
      </c>
    </row>
    <row r="52" spans="5:77" x14ac:dyDescent="0.2">
      <c r="E52" s="1669"/>
      <c r="F52" s="1670" t="s">
        <v>1042</v>
      </c>
      <c r="G52" s="1671">
        <f>G16-G51</f>
        <v>35115.880000000121</v>
      </c>
      <c r="H52" s="1671">
        <f>H16-H51</f>
        <v>83975.310000000056</v>
      </c>
      <c r="I52" s="1671">
        <f>I16-I51</f>
        <v>2314017.9000000004</v>
      </c>
      <c r="J52" s="1671">
        <f>J16-J51</f>
        <v>2738500.0599999996</v>
      </c>
      <c r="K52" s="1671">
        <f>K16-K51</f>
        <v>811036.36333333282</v>
      </c>
      <c r="L52" s="1671">
        <f t="shared" ref="L52:AR52" si="34">ROUND(L2+L16-L51,5)</f>
        <v>-52663.19</v>
      </c>
      <c r="M52" s="1671">
        <f t="shared" si="34"/>
        <v>157825.65</v>
      </c>
      <c r="N52" s="1671">
        <f t="shared" si="34"/>
        <v>43826.23</v>
      </c>
      <c r="O52" s="1671">
        <f t="shared" si="34"/>
        <v>202051.19</v>
      </c>
      <c r="P52" s="1671">
        <f t="shared" si="34"/>
        <v>-57647.25</v>
      </c>
      <c r="Q52" s="1671">
        <f t="shared" si="34"/>
        <v>81981.97</v>
      </c>
      <c r="R52" s="1671">
        <f t="shared" si="34"/>
        <v>1889.85</v>
      </c>
      <c r="S52" s="1671">
        <f t="shared" si="34"/>
        <v>212348.79999999999</v>
      </c>
      <c r="T52" s="1671">
        <f t="shared" si="34"/>
        <v>-59786.46</v>
      </c>
      <c r="U52" s="1671">
        <f t="shared" si="34"/>
        <v>-55199.37</v>
      </c>
      <c r="V52" s="1671">
        <f t="shared" si="34"/>
        <v>-238470.62</v>
      </c>
      <c r="W52" s="1671">
        <f t="shared" si="34"/>
        <v>-201040.92</v>
      </c>
      <c r="X52" s="1671">
        <f t="shared" si="34"/>
        <v>160255.29999999999</v>
      </c>
      <c r="Y52" s="1671">
        <f t="shared" si="34"/>
        <v>232674.22</v>
      </c>
      <c r="Z52" s="1671">
        <f t="shared" si="34"/>
        <v>184206.83</v>
      </c>
      <c r="AA52" s="1671">
        <f t="shared" si="34"/>
        <v>-23675.83</v>
      </c>
      <c r="AB52" s="1671">
        <f t="shared" si="34"/>
        <v>-74098.5</v>
      </c>
      <c r="AC52" s="1671">
        <f t="shared" si="34"/>
        <v>157171.29</v>
      </c>
      <c r="AD52" s="1671">
        <f t="shared" si="34"/>
        <v>241237.25</v>
      </c>
      <c r="AE52" s="1671">
        <f t="shared" si="34"/>
        <v>-896143.93</v>
      </c>
      <c r="AF52" s="1671">
        <f t="shared" si="34"/>
        <v>526830.84</v>
      </c>
      <c r="AG52" s="1671">
        <f t="shared" si="34"/>
        <v>215610.13</v>
      </c>
      <c r="AH52" s="1671">
        <f t="shared" si="34"/>
        <v>-57847.6</v>
      </c>
      <c r="AI52" s="1671">
        <f t="shared" si="34"/>
        <v>-582244.68999999994</v>
      </c>
      <c r="AJ52" s="1671">
        <f t="shared" si="34"/>
        <v>-53597.63</v>
      </c>
      <c r="AK52" s="1671">
        <f t="shared" si="34"/>
        <v>-55029.77</v>
      </c>
      <c r="AL52" s="1671">
        <f t="shared" si="34"/>
        <v>-54184.6</v>
      </c>
      <c r="AM52" s="1671">
        <f t="shared" si="34"/>
        <v>-99958.03</v>
      </c>
      <c r="AN52" s="1671">
        <f t="shared" si="34"/>
        <v>-44322</v>
      </c>
      <c r="AO52" s="1671">
        <f t="shared" si="34"/>
        <v>-44051.8</v>
      </c>
      <c r="AP52" s="1671">
        <f t="shared" si="34"/>
        <v>-64712.53</v>
      </c>
      <c r="AQ52" s="1671">
        <f t="shared" si="34"/>
        <v>-60170.22</v>
      </c>
      <c r="AR52" s="1671">
        <f t="shared" si="34"/>
        <v>3214526.64</v>
      </c>
      <c r="BJ52" s="1671">
        <f t="shared" ref="BJ52:BU52" si="35">ROUND(BJ2+BJ16-BJ51,5)</f>
        <v>-54004.14417</v>
      </c>
      <c r="BK52" s="1671">
        <f t="shared" si="35"/>
        <v>308591.44673999998</v>
      </c>
      <c r="BL52" s="1671">
        <f t="shared" si="35"/>
        <v>-54003.962350000002</v>
      </c>
      <c r="BM52" s="1671">
        <f t="shared" si="35"/>
        <v>275456.92855999997</v>
      </c>
      <c r="BN52" s="1671">
        <f t="shared" si="35"/>
        <v>-54003.780530000004</v>
      </c>
      <c r="BO52" s="1671">
        <f t="shared" si="35"/>
        <v>-54003.689619999997</v>
      </c>
      <c r="BP52" s="1671">
        <f t="shared" si="35"/>
        <v>-54003.598720000002</v>
      </c>
      <c r="BQ52" s="1671">
        <f t="shared" si="35"/>
        <v>390957.19218999997</v>
      </c>
      <c r="BR52" s="1671">
        <f t="shared" si="35"/>
        <v>28361.783100000001</v>
      </c>
      <c r="BS52" s="1671">
        <f t="shared" si="35"/>
        <v>-54003.325989999998</v>
      </c>
      <c r="BT52" s="1671">
        <f t="shared" si="35"/>
        <v>-54003.235079999999</v>
      </c>
      <c r="BU52" s="1671">
        <f t="shared" si="35"/>
        <v>-54003.14417</v>
      </c>
    </row>
    <row r="53" spans="5:77" x14ac:dyDescent="0.2">
      <c r="E53" s="1669"/>
      <c r="F53" s="1670" t="s">
        <v>1043</v>
      </c>
      <c r="G53" s="1671"/>
      <c r="H53" s="1671"/>
      <c r="I53" s="1671"/>
      <c r="J53" s="1671"/>
      <c r="K53" s="1671"/>
      <c r="L53" s="1671"/>
      <c r="M53" s="1671"/>
      <c r="N53" s="1671"/>
      <c r="O53" s="1671"/>
      <c r="P53" s="1671"/>
      <c r="Q53" s="1671"/>
      <c r="R53" s="1671"/>
      <c r="S53" s="1671"/>
      <c r="T53" s="1671"/>
      <c r="U53" s="1671"/>
      <c r="V53" s="1671"/>
      <c r="W53" s="1671"/>
      <c r="X53" s="1671"/>
      <c r="Y53" s="1671"/>
      <c r="Z53" s="1671"/>
      <c r="AA53" s="1671"/>
      <c r="AB53" s="1671"/>
      <c r="AC53" s="1671"/>
      <c r="AD53" s="1671"/>
      <c r="AE53" s="1671"/>
      <c r="AF53" s="1671"/>
      <c r="AG53" s="1671"/>
      <c r="AH53" s="1671"/>
      <c r="AI53" s="1671"/>
      <c r="AJ53" s="1671"/>
      <c r="AK53" s="1671"/>
      <c r="AL53" s="1671"/>
      <c r="AM53" s="1671"/>
      <c r="AN53" s="1671"/>
      <c r="AO53" s="1671"/>
      <c r="AP53" s="1671"/>
      <c r="AQ53" s="1671"/>
      <c r="AR53" s="1671"/>
      <c r="BJ53" s="1671"/>
      <c r="BK53" s="1671"/>
      <c r="BL53" s="1671"/>
      <c r="BM53" s="1671"/>
      <c r="BN53" s="1671"/>
      <c r="BO53" s="1671"/>
      <c r="BP53" s="1671"/>
      <c r="BQ53" s="1671"/>
      <c r="BR53" s="1671"/>
      <c r="BS53" s="1671"/>
      <c r="BT53" s="1671"/>
      <c r="BU53" s="1671"/>
    </row>
    <row r="54" spans="5:77" x14ac:dyDescent="0.2">
      <c r="E54" s="1669"/>
      <c r="F54" s="1670" t="s">
        <v>181</v>
      </c>
      <c r="G54" s="1671"/>
      <c r="H54" s="1671"/>
      <c r="I54" s="1671"/>
      <c r="J54" s="1671"/>
      <c r="K54" s="1671"/>
      <c r="L54" s="1671"/>
      <c r="M54" s="1671"/>
      <c r="N54" s="1671"/>
      <c r="O54" s="1671"/>
      <c r="P54" s="1671"/>
      <c r="Q54" s="1671"/>
      <c r="R54" s="1671"/>
      <c r="S54" s="1671"/>
      <c r="T54" s="1671"/>
      <c r="U54" s="1671"/>
      <c r="V54" s="1671"/>
      <c r="W54" s="1671"/>
      <c r="X54" s="1671"/>
      <c r="Y54" s="1671"/>
      <c r="Z54" s="1671"/>
      <c r="AA54" s="1671"/>
      <c r="AB54" s="1671"/>
      <c r="AC54" s="1671"/>
      <c r="AD54" s="1671"/>
      <c r="AE54" s="1671"/>
      <c r="AF54" s="1671"/>
      <c r="AG54" s="1671"/>
      <c r="AH54" s="1671"/>
      <c r="AI54" s="1671"/>
      <c r="AJ54" s="1671"/>
      <c r="AK54" s="1671"/>
      <c r="AL54" s="1671"/>
      <c r="AM54" s="1671"/>
      <c r="AN54" s="1671"/>
      <c r="AO54" s="1671"/>
      <c r="AP54" s="1671"/>
      <c r="AQ54" s="1671"/>
      <c r="AR54" s="1671"/>
      <c r="BJ54" s="1671"/>
      <c r="BK54" s="1671"/>
      <c r="BL54" s="1671"/>
      <c r="BM54" s="1671"/>
      <c r="BN54" s="1671"/>
      <c r="BO54" s="1671"/>
      <c r="BP54" s="1671"/>
      <c r="BQ54" s="1671"/>
      <c r="BR54" s="1671"/>
      <c r="BS54" s="1671"/>
      <c r="BT54" s="1671"/>
      <c r="BU54" s="1671"/>
    </row>
    <row r="55" spans="5:77" ht="10.8" thickBot="1" x14ac:dyDescent="0.25">
      <c r="E55" s="1669"/>
      <c r="F55" s="1670" t="s">
        <v>1465</v>
      </c>
      <c r="G55" s="1678">
        <f>SUM(L55:W55)</f>
        <v>3.6799999999999997</v>
      </c>
      <c r="H55" s="1678">
        <f>SUM(X55:AI55)</f>
        <v>2.9400000000000004</v>
      </c>
      <c r="I55" s="1678">
        <f>SUM(AG55:AR55)</f>
        <v>1.47</v>
      </c>
      <c r="J55" s="1678">
        <v>0.73</v>
      </c>
      <c r="K55" s="1678">
        <f>AVERAGE(G55:I55)</f>
        <v>2.6966666666666668</v>
      </c>
      <c r="L55" s="1678">
        <v>1.48</v>
      </c>
      <c r="M55" s="1678">
        <v>0</v>
      </c>
      <c r="N55" s="1678">
        <v>0</v>
      </c>
      <c r="O55" s="1678">
        <v>0.73</v>
      </c>
      <c r="P55" s="1678">
        <v>0</v>
      </c>
      <c r="Q55" s="1678">
        <v>0</v>
      </c>
      <c r="R55" s="1678">
        <v>0.73</v>
      </c>
      <c r="S55" s="1678">
        <v>0.74</v>
      </c>
      <c r="T55" s="1678">
        <v>0</v>
      </c>
      <c r="U55" s="1678">
        <v>0</v>
      </c>
      <c r="V55" s="1678">
        <v>0</v>
      </c>
      <c r="W55" s="1678">
        <v>0</v>
      </c>
      <c r="X55" s="1678">
        <v>0</v>
      </c>
      <c r="Y55" s="1678">
        <v>0</v>
      </c>
      <c r="Z55" s="1678">
        <v>0</v>
      </c>
      <c r="AA55" s="1678">
        <v>0</v>
      </c>
      <c r="AB55" s="1678">
        <v>0</v>
      </c>
      <c r="AC55" s="1678">
        <v>0</v>
      </c>
      <c r="AD55" s="1678">
        <v>2.2000000000000002</v>
      </c>
      <c r="AE55" s="1678">
        <v>0</v>
      </c>
      <c r="AF55" s="1678">
        <v>0</v>
      </c>
      <c r="AG55" s="1678">
        <v>0.74</v>
      </c>
      <c r="AH55" s="1678">
        <v>0</v>
      </c>
      <c r="AI55" s="1678">
        <v>0</v>
      </c>
      <c r="AJ55" s="1678">
        <v>0</v>
      </c>
      <c r="AK55" s="1678">
        <v>0</v>
      </c>
      <c r="AL55" s="1678">
        <v>0</v>
      </c>
      <c r="AM55" s="1678">
        <v>0</v>
      </c>
      <c r="AN55" s="1678">
        <v>0</v>
      </c>
      <c r="AO55" s="1678">
        <v>0</v>
      </c>
      <c r="AP55" s="1678">
        <v>0.73</v>
      </c>
      <c r="AQ55" s="1678">
        <v>0</v>
      </c>
      <c r="AR55" s="1678">
        <v>0</v>
      </c>
      <c r="BJ55" s="1678"/>
      <c r="BK55" s="1678"/>
      <c r="BL55" s="1678"/>
      <c r="BM55" s="1678"/>
      <c r="BN55" s="1678"/>
      <c r="BO55" s="1678"/>
      <c r="BP55" s="1678"/>
      <c r="BQ55" s="1678"/>
      <c r="BR55" s="1678"/>
      <c r="BS55" s="1678"/>
      <c r="BT55" s="1678"/>
      <c r="BU55" s="1678"/>
    </row>
    <row r="56" spans="5:77" x14ac:dyDescent="0.2">
      <c r="E56" s="1669"/>
      <c r="F56" s="1670" t="s">
        <v>857</v>
      </c>
      <c r="G56" s="1671">
        <f>SUM(G55)</f>
        <v>3.6799999999999997</v>
      </c>
      <c r="H56" s="1671">
        <f>SUM(H55)</f>
        <v>2.9400000000000004</v>
      </c>
      <c r="I56" s="1671">
        <f>SUM(I55)</f>
        <v>1.47</v>
      </c>
      <c r="J56" s="1671">
        <f>SUM(J55)</f>
        <v>0.73</v>
      </c>
      <c r="K56" s="1671">
        <f>AVERAGE(G56:I56)</f>
        <v>2.6966666666666668</v>
      </c>
      <c r="L56" s="1671">
        <f t="shared" ref="L56:AI56" si="36">ROUND(SUM(L54:L55),5)</f>
        <v>1.48</v>
      </c>
      <c r="M56" s="1671">
        <f t="shared" si="36"/>
        <v>0</v>
      </c>
      <c r="N56" s="1671">
        <f t="shared" si="36"/>
        <v>0</v>
      </c>
      <c r="O56" s="1671">
        <f t="shared" si="36"/>
        <v>0.73</v>
      </c>
      <c r="P56" s="1671">
        <f t="shared" si="36"/>
        <v>0</v>
      </c>
      <c r="Q56" s="1671">
        <f t="shared" si="36"/>
        <v>0</v>
      </c>
      <c r="R56" s="1671">
        <f t="shared" si="36"/>
        <v>0.73</v>
      </c>
      <c r="S56" s="1671">
        <f t="shared" si="36"/>
        <v>0.74</v>
      </c>
      <c r="T56" s="1671">
        <f t="shared" si="36"/>
        <v>0</v>
      </c>
      <c r="U56" s="1671">
        <f t="shared" si="36"/>
        <v>0</v>
      </c>
      <c r="V56" s="1671">
        <f t="shared" si="36"/>
        <v>0</v>
      </c>
      <c r="W56" s="1671">
        <f t="shared" si="36"/>
        <v>0</v>
      </c>
      <c r="X56" s="1671">
        <f t="shared" si="36"/>
        <v>0</v>
      </c>
      <c r="Y56" s="1671">
        <f t="shared" si="36"/>
        <v>0</v>
      </c>
      <c r="Z56" s="1671">
        <f t="shared" si="36"/>
        <v>0</v>
      </c>
      <c r="AA56" s="1671">
        <f t="shared" si="36"/>
        <v>0</v>
      </c>
      <c r="AB56" s="1671">
        <f t="shared" si="36"/>
        <v>0</v>
      </c>
      <c r="AC56" s="1671">
        <f t="shared" si="36"/>
        <v>0</v>
      </c>
      <c r="AD56" s="1671">
        <f t="shared" si="36"/>
        <v>2.2000000000000002</v>
      </c>
      <c r="AE56" s="1671">
        <f t="shared" si="36"/>
        <v>0</v>
      </c>
      <c r="AF56" s="1671">
        <f t="shared" si="36"/>
        <v>0</v>
      </c>
      <c r="AG56" s="1671">
        <f t="shared" si="36"/>
        <v>0.74</v>
      </c>
      <c r="AH56" s="1671">
        <f t="shared" si="36"/>
        <v>0</v>
      </c>
      <c r="AI56" s="1671">
        <f t="shared" si="36"/>
        <v>0</v>
      </c>
      <c r="AJ56" s="1671">
        <f t="shared" ref="AJ56:AR56" si="37">ROUND(SUM(AJ54:AJ55),5)</f>
        <v>0</v>
      </c>
      <c r="AK56" s="1671">
        <f t="shared" si="37"/>
        <v>0</v>
      </c>
      <c r="AL56" s="1671">
        <f t="shared" si="37"/>
        <v>0</v>
      </c>
      <c r="AM56" s="1671">
        <f t="shared" si="37"/>
        <v>0</v>
      </c>
      <c r="AN56" s="1671">
        <f t="shared" si="37"/>
        <v>0</v>
      </c>
      <c r="AO56" s="1671">
        <f t="shared" si="37"/>
        <v>0</v>
      </c>
      <c r="AP56" s="1671">
        <f t="shared" si="37"/>
        <v>0.73</v>
      </c>
      <c r="AQ56" s="1671">
        <f t="shared" si="37"/>
        <v>0</v>
      </c>
      <c r="AR56" s="1671">
        <f t="shared" si="37"/>
        <v>0</v>
      </c>
      <c r="BJ56" s="1671"/>
      <c r="BK56" s="1671"/>
      <c r="BL56" s="1671"/>
      <c r="BM56" s="1671"/>
      <c r="BN56" s="1671"/>
      <c r="BO56" s="1671"/>
      <c r="BP56" s="1671"/>
      <c r="BQ56" s="1671"/>
      <c r="BR56" s="1671"/>
      <c r="BS56" s="1671"/>
      <c r="BT56" s="1671"/>
      <c r="BU56" s="1671"/>
    </row>
    <row r="57" spans="5:77" x14ac:dyDescent="0.2">
      <c r="E57" s="1669"/>
      <c r="F57" s="1670" t="s">
        <v>1047</v>
      </c>
      <c r="G57" s="1671"/>
      <c r="H57" s="1671"/>
      <c r="I57" s="1671"/>
      <c r="J57" s="1671"/>
      <c r="K57" s="1671"/>
      <c r="L57" s="1671"/>
      <c r="M57" s="1671"/>
      <c r="N57" s="1671"/>
      <c r="O57" s="1671"/>
      <c r="P57" s="1671"/>
      <c r="Q57" s="1671"/>
      <c r="R57" s="1671"/>
      <c r="S57" s="1671"/>
      <c r="T57" s="1671"/>
      <c r="U57" s="1671"/>
      <c r="V57" s="1671"/>
      <c r="W57" s="1671"/>
      <c r="X57" s="1671"/>
      <c r="Y57" s="1671"/>
      <c r="Z57" s="1671"/>
      <c r="AA57" s="1671"/>
      <c r="AB57" s="1671"/>
      <c r="AC57" s="1671"/>
      <c r="AD57" s="1671"/>
      <c r="AE57" s="1671"/>
      <c r="AF57" s="1671"/>
      <c r="AG57" s="1671"/>
      <c r="AH57" s="1671"/>
      <c r="AI57" s="1671"/>
      <c r="AJ57" s="1671"/>
      <c r="AK57" s="1671"/>
      <c r="AL57" s="1671"/>
      <c r="AM57" s="1671"/>
      <c r="AN57" s="1671"/>
      <c r="AO57" s="1671"/>
      <c r="AP57" s="1671"/>
      <c r="AQ57" s="1671"/>
      <c r="AR57" s="1671"/>
      <c r="BJ57" s="1671"/>
      <c r="BK57" s="1671"/>
      <c r="BL57" s="1671"/>
      <c r="BM57" s="1671"/>
      <c r="BN57" s="1671"/>
      <c r="BO57" s="1671"/>
      <c r="BP57" s="1671"/>
      <c r="BQ57" s="1671"/>
      <c r="BR57" s="1671"/>
      <c r="BS57" s="1671"/>
      <c r="BT57" s="1671"/>
      <c r="BU57" s="1671"/>
    </row>
    <row r="58" spans="5:77" x14ac:dyDescent="0.2">
      <c r="E58" s="1669"/>
      <c r="F58" s="1670" t="s">
        <v>1466</v>
      </c>
      <c r="G58" s="1671">
        <f>SUM(L58:W58)</f>
        <v>11532</v>
      </c>
      <c r="H58" s="1671">
        <f>SUM(X58:AI58)</f>
        <v>6614</v>
      </c>
      <c r="I58" s="1671">
        <f>SUM(AG58:AR58)</f>
        <v>17185</v>
      </c>
      <c r="J58" s="1671">
        <v>17185</v>
      </c>
      <c r="K58" s="1671">
        <f>AVERAGE(G58:I58)</f>
        <v>11777</v>
      </c>
      <c r="L58" s="1671">
        <v>0</v>
      </c>
      <c r="M58" s="1671">
        <v>0</v>
      </c>
      <c r="N58" s="1671">
        <v>0</v>
      </c>
      <c r="O58" s="1671">
        <v>0</v>
      </c>
      <c r="P58" s="1671">
        <v>0</v>
      </c>
      <c r="Q58" s="1671">
        <v>11532</v>
      </c>
      <c r="R58" s="1671">
        <v>0</v>
      </c>
      <c r="S58" s="1671">
        <v>0</v>
      </c>
      <c r="T58" s="1671">
        <v>0</v>
      </c>
      <c r="U58" s="1671">
        <v>0</v>
      </c>
      <c r="V58" s="1671">
        <v>0</v>
      </c>
      <c r="W58" s="1671">
        <v>0</v>
      </c>
      <c r="X58" s="1671">
        <v>6614</v>
      </c>
      <c r="Y58" s="1671">
        <v>0</v>
      </c>
      <c r="Z58" s="1671">
        <v>0</v>
      </c>
      <c r="AA58" s="1671">
        <v>0</v>
      </c>
      <c r="AB58" s="1671">
        <v>0</v>
      </c>
      <c r="AC58" s="1671">
        <v>0</v>
      </c>
      <c r="AD58" s="1671">
        <v>0</v>
      </c>
      <c r="AE58" s="1671">
        <v>0</v>
      </c>
      <c r="AF58" s="1671">
        <v>0</v>
      </c>
      <c r="AG58" s="1671">
        <v>0</v>
      </c>
      <c r="AH58" s="1671">
        <v>0</v>
      </c>
      <c r="AI58" s="1671">
        <v>0</v>
      </c>
      <c r="AJ58" s="1671">
        <v>17185</v>
      </c>
      <c r="AK58" s="1671">
        <v>0</v>
      </c>
      <c r="AL58" s="1671">
        <v>0</v>
      </c>
      <c r="AM58" s="1671">
        <v>0</v>
      </c>
      <c r="AN58" s="1671">
        <v>0</v>
      </c>
      <c r="AO58" s="1671">
        <v>0</v>
      </c>
      <c r="AP58" s="1671">
        <v>0</v>
      </c>
      <c r="AQ58" s="1671">
        <v>0</v>
      </c>
      <c r="AR58" s="1671">
        <v>0</v>
      </c>
      <c r="BJ58" s="1671"/>
      <c r="BK58" s="1671"/>
      <c r="BL58" s="1671"/>
      <c r="BM58" s="1671"/>
      <c r="BN58" s="1671"/>
      <c r="BO58" s="1671"/>
      <c r="BP58" s="1671"/>
      <c r="BQ58" s="1671"/>
      <c r="BR58" s="1671"/>
      <c r="BS58" s="1671"/>
      <c r="BT58" s="1671"/>
      <c r="BU58" s="1671"/>
    </row>
    <row r="59" spans="5:77" ht="10.8" thickBot="1" x14ac:dyDescent="0.25">
      <c r="E59" s="1669"/>
      <c r="F59" s="1670" t="s">
        <v>1467</v>
      </c>
      <c r="G59" s="1671">
        <f>SUM(L59:W59)</f>
        <v>4306</v>
      </c>
      <c r="H59" s="1671">
        <f>SUM(X59:AI59)</f>
        <v>2827</v>
      </c>
      <c r="I59" s="1671">
        <f>SUM(AG59:AR59)</f>
        <v>6350</v>
      </c>
      <c r="J59" s="1671">
        <v>6350</v>
      </c>
      <c r="K59" s="1671">
        <f>AVERAGE(G59:I59)</f>
        <v>4494.333333333333</v>
      </c>
      <c r="L59" s="1671">
        <v>0</v>
      </c>
      <c r="M59" s="1671">
        <v>0</v>
      </c>
      <c r="N59" s="1671">
        <v>0</v>
      </c>
      <c r="O59" s="1671">
        <v>0</v>
      </c>
      <c r="P59" s="1671">
        <v>0</v>
      </c>
      <c r="Q59" s="1671">
        <v>4306</v>
      </c>
      <c r="R59" s="1671">
        <v>0</v>
      </c>
      <c r="S59" s="1671">
        <v>0</v>
      </c>
      <c r="T59" s="1671">
        <v>0</v>
      </c>
      <c r="U59" s="1671">
        <v>0</v>
      </c>
      <c r="V59" s="1671">
        <v>0</v>
      </c>
      <c r="W59" s="1671">
        <v>0</v>
      </c>
      <c r="X59" s="1671">
        <v>2327</v>
      </c>
      <c r="Y59" s="1671">
        <v>0</v>
      </c>
      <c r="Z59" s="1671">
        <v>0</v>
      </c>
      <c r="AA59" s="1671">
        <v>500</v>
      </c>
      <c r="AB59" s="1671">
        <v>0</v>
      </c>
      <c r="AC59" s="1671">
        <v>0</v>
      </c>
      <c r="AD59" s="1671">
        <v>0</v>
      </c>
      <c r="AE59" s="1671">
        <v>0</v>
      </c>
      <c r="AF59" s="1671">
        <v>0</v>
      </c>
      <c r="AG59" s="1671">
        <v>0</v>
      </c>
      <c r="AH59" s="1671">
        <v>0</v>
      </c>
      <c r="AI59" s="1671">
        <v>0</v>
      </c>
      <c r="AJ59" s="1671">
        <v>6350</v>
      </c>
      <c r="AK59" s="1671">
        <v>0</v>
      </c>
      <c r="AL59" s="1671">
        <v>0</v>
      </c>
      <c r="AM59" s="1671">
        <v>0</v>
      </c>
      <c r="AN59" s="1671">
        <v>0</v>
      </c>
      <c r="AO59" s="1671">
        <v>0</v>
      </c>
      <c r="AP59" s="1671">
        <v>0</v>
      </c>
      <c r="AQ59" s="1671">
        <v>0</v>
      </c>
      <c r="AR59" s="1671">
        <v>0</v>
      </c>
      <c r="BJ59" s="1671"/>
      <c r="BK59" s="1671"/>
      <c r="BL59" s="1671"/>
      <c r="BM59" s="1671"/>
      <c r="BN59" s="1671"/>
      <c r="BO59" s="1671"/>
      <c r="BP59" s="1671"/>
      <c r="BQ59" s="1671"/>
      <c r="BR59" s="1671"/>
      <c r="BS59" s="1671"/>
      <c r="BT59" s="1671"/>
      <c r="BU59" s="1671"/>
    </row>
    <row r="60" spans="5:77" ht="10.8" thickBot="1" x14ac:dyDescent="0.25">
      <c r="E60" s="1669"/>
      <c r="F60" s="1670" t="s">
        <v>1051</v>
      </c>
      <c r="G60" s="1730">
        <f>SUM(G58:G59)</f>
        <v>15838</v>
      </c>
      <c r="H60" s="1730">
        <f>SUM(H58:H59)</f>
        <v>9441</v>
      </c>
      <c r="I60" s="1730">
        <f>SUM(I58:I59)</f>
        <v>23535</v>
      </c>
      <c r="J60" s="1730">
        <f>SUM(J58:J59)</f>
        <v>23535</v>
      </c>
      <c r="K60" s="1730">
        <f>SUM(K58:K59)</f>
        <v>16271.333333333332</v>
      </c>
      <c r="L60" s="1730">
        <f t="shared" ref="L60:AR60" si="38">ROUND(SUM(L57:L59),5)</f>
        <v>0</v>
      </c>
      <c r="M60" s="1730">
        <f t="shared" si="38"/>
        <v>0</v>
      </c>
      <c r="N60" s="1730">
        <f t="shared" si="38"/>
        <v>0</v>
      </c>
      <c r="O60" s="1730">
        <f t="shared" si="38"/>
        <v>0</v>
      </c>
      <c r="P60" s="1730">
        <f t="shared" si="38"/>
        <v>0</v>
      </c>
      <c r="Q60" s="1730">
        <f t="shared" si="38"/>
        <v>15838</v>
      </c>
      <c r="R60" s="1730">
        <f t="shared" si="38"/>
        <v>0</v>
      </c>
      <c r="S60" s="1730">
        <f t="shared" si="38"/>
        <v>0</v>
      </c>
      <c r="T60" s="1730">
        <f t="shared" si="38"/>
        <v>0</v>
      </c>
      <c r="U60" s="1730">
        <f t="shared" si="38"/>
        <v>0</v>
      </c>
      <c r="V60" s="1730">
        <f t="shared" si="38"/>
        <v>0</v>
      </c>
      <c r="W60" s="1730">
        <f t="shared" si="38"/>
        <v>0</v>
      </c>
      <c r="X60" s="1730">
        <f t="shared" si="38"/>
        <v>8941</v>
      </c>
      <c r="Y60" s="1730">
        <f t="shared" si="38"/>
        <v>0</v>
      </c>
      <c r="Z60" s="1730">
        <f t="shared" si="38"/>
        <v>0</v>
      </c>
      <c r="AA60" s="1730">
        <f t="shared" si="38"/>
        <v>500</v>
      </c>
      <c r="AB60" s="1730">
        <f t="shared" si="38"/>
        <v>0</v>
      </c>
      <c r="AC60" s="1730">
        <f t="shared" si="38"/>
        <v>0</v>
      </c>
      <c r="AD60" s="1730">
        <f t="shared" si="38"/>
        <v>0</v>
      </c>
      <c r="AE60" s="1730">
        <f t="shared" si="38"/>
        <v>0</v>
      </c>
      <c r="AF60" s="1730">
        <f t="shared" si="38"/>
        <v>0</v>
      </c>
      <c r="AG60" s="1730">
        <f t="shared" si="38"/>
        <v>0</v>
      </c>
      <c r="AH60" s="1730">
        <f t="shared" si="38"/>
        <v>0</v>
      </c>
      <c r="AI60" s="1730">
        <f t="shared" si="38"/>
        <v>0</v>
      </c>
      <c r="AJ60" s="1730">
        <f t="shared" si="38"/>
        <v>23535</v>
      </c>
      <c r="AK60" s="1730">
        <f t="shared" si="38"/>
        <v>0</v>
      </c>
      <c r="AL60" s="1730">
        <f t="shared" si="38"/>
        <v>0</v>
      </c>
      <c r="AM60" s="1730">
        <f t="shared" si="38"/>
        <v>0</v>
      </c>
      <c r="AN60" s="1730">
        <f t="shared" si="38"/>
        <v>0</v>
      </c>
      <c r="AO60" s="1730">
        <f t="shared" si="38"/>
        <v>0</v>
      </c>
      <c r="AP60" s="1730">
        <f t="shared" si="38"/>
        <v>0</v>
      </c>
      <c r="AQ60" s="1730">
        <f t="shared" si="38"/>
        <v>0</v>
      </c>
      <c r="AR60" s="1730">
        <f t="shared" si="38"/>
        <v>0</v>
      </c>
      <c r="BJ60" s="1730">
        <f t="shared" ref="BJ60:BU60" si="39">ROUND(SUM(BJ57:BJ59),5)</f>
        <v>0</v>
      </c>
      <c r="BK60" s="1730">
        <f t="shared" si="39"/>
        <v>0</v>
      </c>
      <c r="BL60" s="1730">
        <f t="shared" si="39"/>
        <v>0</v>
      </c>
      <c r="BM60" s="1730">
        <f t="shared" si="39"/>
        <v>0</v>
      </c>
      <c r="BN60" s="1730">
        <f t="shared" si="39"/>
        <v>0</v>
      </c>
      <c r="BO60" s="1730">
        <f t="shared" si="39"/>
        <v>0</v>
      </c>
      <c r="BP60" s="1730">
        <f t="shared" si="39"/>
        <v>0</v>
      </c>
      <c r="BQ60" s="1730">
        <f t="shared" si="39"/>
        <v>0</v>
      </c>
      <c r="BR60" s="1730">
        <f t="shared" si="39"/>
        <v>0</v>
      </c>
      <c r="BS60" s="1730">
        <f t="shared" si="39"/>
        <v>0</v>
      </c>
      <c r="BT60" s="1730">
        <f t="shared" si="39"/>
        <v>0</v>
      </c>
      <c r="BU60" s="1730">
        <f t="shared" si="39"/>
        <v>0</v>
      </c>
    </row>
    <row r="61" spans="5:77" ht="10.8" thickBot="1" x14ac:dyDescent="0.25">
      <c r="E61" s="1669"/>
      <c r="F61" s="1670" t="s">
        <v>1468</v>
      </c>
      <c r="G61" s="1730">
        <f>G56-G60</f>
        <v>-15834.32</v>
      </c>
      <c r="H61" s="1730">
        <f>H56-H60</f>
        <v>-9438.06</v>
      </c>
      <c r="I61" s="1730">
        <f>I56-I60</f>
        <v>-23533.53</v>
      </c>
      <c r="J61" s="1730">
        <f>J56-J60</f>
        <v>-23534.27</v>
      </c>
      <c r="K61" s="1730">
        <f>K56-K60</f>
        <v>-16268.636666666665</v>
      </c>
      <c r="L61" s="1730">
        <f t="shared" ref="L61:AR61" si="40">ROUND(L53+L56-L60,5)</f>
        <v>1.48</v>
      </c>
      <c r="M61" s="1730">
        <f t="shared" si="40"/>
        <v>0</v>
      </c>
      <c r="N61" s="1730">
        <f t="shared" si="40"/>
        <v>0</v>
      </c>
      <c r="O61" s="1730">
        <f t="shared" si="40"/>
        <v>0.73</v>
      </c>
      <c r="P61" s="1730">
        <f t="shared" si="40"/>
        <v>0</v>
      </c>
      <c r="Q61" s="1730">
        <f t="shared" si="40"/>
        <v>-15838</v>
      </c>
      <c r="R61" s="1730">
        <f t="shared" si="40"/>
        <v>0.73</v>
      </c>
      <c r="S61" s="1730">
        <f t="shared" si="40"/>
        <v>0.74</v>
      </c>
      <c r="T61" s="1730">
        <f t="shared" si="40"/>
        <v>0</v>
      </c>
      <c r="U61" s="1730">
        <f t="shared" si="40"/>
        <v>0</v>
      </c>
      <c r="V61" s="1730">
        <f t="shared" si="40"/>
        <v>0</v>
      </c>
      <c r="W61" s="1730">
        <f t="shared" si="40"/>
        <v>0</v>
      </c>
      <c r="X61" s="1730">
        <f t="shared" si="40"/>
        <v>-8941</v>
      </c>
      <c r="Y61" s="1730">
        <f t="shared" si="40"/>
        <v>0</v>
      </c>
      <c r="Z61" s="1730">
        <f t="shared" si="40"/>
        <v>0</v>
      </c>
      <c r="AA61" s="1730">
        <f t="shared" si="40"/>
        <v>-500</v>
      </c>
      <c r="AB61" s="1730">
        <f t="shared" si="40"/>
        <v>0</v>
      </c>
      <c r="AC61" s="1730">
        <f t="shared" si="40"/>
        <v>0</v>
      </c>
      <c r="AD61" s="1730">
        <f t="shared" si="40"/>
        <v>2.2000000000000002</v>
      </c>
      <c r="AE61" s="1730">
        <f t="shared" si="40"/>
        <v>0</v>
      </c>
      <c r="AF61" s="1730">
        <f t="shared" si="40"/>
        <v>0</v>
      </c>
      <c r="AG61" s="1730">
        <f t="shared" si="40"/>
        <v>0.74</v>
      </c>
      <c r="AH61" s="1730">
        <f t="shared" si="40"/>
        <v>0</v>
      </c>
      <c r="AI61" s="1730">
        <f t="shared" si="40"/>
        <v>0</v>
      </c>
      <c r="AJ61" s="1730">
        <f t="shared" si="40"/>
        <v>-23535</v>
      </c>
      <c r="AK61" s="1730">
        <f t="shared" si="40"/>
        <v>0</v>
      </c>
      <c r="AL61" s="1730">
        <f t="shared" si="40"/>
        <v>0</v>
      </c>
      <c r="AM61" s="1730">
        <f t="shared" si="40"/>
        <v>0</v>
      </c>
      <c r="AN61" s="1730">
        <f t="shared" si="40"/>
        <v>0</v>
      </c>
      <c r="AO61" s="1730">
        <f t="shared" si="40"/>
        <v>0</v>
      </c>
      <c r="AP61" s="1730">
        <f t="shared" si="40"/>
        <v>0.73</v>
      </c>
      <c r="AQ61" s="1730">
        <f t="shared" si="40"/>
        <v>0</v>
      </c>
      <c r="AR61" s="1730">
        <f t="shared" si="40"/>
        <v>0</v>
      </c>
      <c r="BJ61" s="1730">
        <f t="shared" ref="BJ61:BU61" si="41">ROUND(BJ53+BJ56-BJ60,5)</f>
        <v>0</v>
      </c>
      <c r="BK61" s="1730">
        <f t="shared" si="41"/>
        <v>0</v>
      </c>
      <c r="BL61" s="1730">
        <f t="shared" si="41"/>
        <v>0</v>
      </c>
      <c r="BM61" s="1730">
        <f t="shared" si="41"/>
        <v>0</v>
      </c>
      <c r="BN61" s="1730">
        <f t="shared" si="41"/>
        <v>0</v>
      </c>
      <c r="BO61" s="1730">
        <f t="shared" si="41"/>
        <v>0</v>
      </c>
      <c r="BP61" s="1730">
        <f t="shared" si="41"/>
        <v>0</v>
      </c>
      <c r="BQ61" s="1730">
        <f t="shared" si="41"/>
        <v>0</v>
      </c>
      <c r="BR61" s="1730">
        <f t="shared" si="41"/>
        <v>0</v>
      </c>
      <c r="BS61" s="1730">
        <f t="shared" si="41"/>
        <v>0</v>
      </c>
      <c r="BT61" s="1730">
        <f t="shared" si="41"/>
        <v>0</v>
      </c>
      <c r="BU61" s="1730">
        <f t="shared" si="41"/>
        <v>0</v>
      </c>
    </row>
    <row r="62" spans="5:77" ht="10.8" thickBot="1" x14ac:dyDescent="0.25">
      <c r="E62" s="1669"/>
      <c r="F62" s="1670" t="s">
        <v>202</v>
      </c>
      <c r="G62" s="1731">
        <f>G52+G61</f>
        <v>19281.560000000121</v>
      </c>
      <c r="H62" s="1731">
        <f>H52+H61</f>
        <v>74537.250000000058</v>
      </c>
      <c r="I62" s="1731">
        <f>I52+I61</f>
        <v>2290484.3700000006</v>
      </c>
      <c r="J62" s="1731">
        <f>J52+J61</f>
        <v>2714965.7899999996</v>
      </c>
      <c r="K62" s="1731">
        <f>K52+K61</f>
        <v>794767.7266666661</v>
      </c>
      <c r="L62" s="1731">
        <f t="shared" ref="L62:AR62" si="42">ROUND(L52+L61,5)</f>
        <v>-52661.71</v>
      </c>
      <c r="M62" s="1731">
        <f t="shared" si="42"/>
        <v>157825.65</v>
      </c>
      <c r="N62" s="1731">
        <f t="shared" si="42"/>
        <v>43826.23</v>
      </c>
      <c r="O62" s="1731">
        <f t="shared" si="42"/>
        <v>202051.92</v>
      </c>
      <c r="P62" s="1731">
        <f t="shared" si="42"/>
        <v>-57647.25</v>
      </c>
      <c r="Q62" s="1731">
        <f t="shared" si="42"/>
        <v>66143.97</v>
      </c>
      <c r="R62" s="1731">
        <f t="shared" si="42"/>
        <v>1890.58</v>
      </c>
      <c r="S62" s="1731">
        <f t="shared" si="42"/>
        <v>212349.54</v>
      </c>
      <c r="T62" s="1731">
        <f t="shared" si="42"/>
        <v>-59786.46</v>
      </c>
      <c r="U62" s="1731">
        <f t="shared" si="42"/>
        <v>-55199.37</v>
      </c>
      <c r="V62" s="1731">
        <f t="shared" si="42"/>
        <v>-238470.62</v>
      </c>
      <c r="W62" s="1731">
        <f t="shared" si="42"/>
        <v>-201040.92</v>
      </c>
      <c r="X62" s="1731">
        <f t="shared" si="42"/>
        <v>151314.29999999999</v>
      </c>
      <c r="Y62" s="1731">
        <f t="shared" si="42"/>
        <v>232674.22</v>
      </c>
      <c r="Z62" s="1731">
        <f t="shared" si="42"/>
        <v>184206.83</v>
      </c>
      <c r="AA62" s="1731">
        <f t="shared" si="42"/>
        <v>-24175.83</v>
      </c>
      <c r="AB62" s="1731">
        <f t="shared" si="42"/>
        <v>-74098.5</v>
      </c>
      <c r="AC62" s="1731">
        <f t="shared" si="42"/>
        <v>157171.29</v>
      </c>
      <c r="AD62" s="1731">
        <f t="shared" si="42"/>
        <v>241239.45</v>
      </c>
      <c r="AE62" s="1731">
        <f t="shared" si="42"/>
        <v>-896143.93</v>
      </c>
      <c r="AF62" s="1731">
        <f t="shared" si="42"/>
        <v>526830.84</v>
      </c>
      <c r="AG62" s="1731">
        <f t="shared" si="42"/>
        <v>215610.87</v>
      </c>
      <c r="AH62" s="1731">
        <f t="shared" si="42"/>
        <v>-57847.6</v>
      </c>
      <c r="AI62" s="1731">
        <f t="shared" si="42"/>
        <v>-582244.68999999994</v>
      </c>
      <c r="AJ62" s="1731">
        <f t="shared" si="42"/>
        <v>-77132.63</v>
      </c>
      <c r="AK62" s="1731">
        <f t="shared" si="42"/>
        <v>-55029.77</v>
      </c>
      <c r="AL62" s="1731">
        <f t="shared" si="42"/>
        <v>-54184.6</v>
      </c>
      <c r="AM62" s="1731">
        <f t="shared" si="42"/>
        <v>-99958.03</v>
      </c>
      <c r="AN62" s="1731">
        <f t="shared" si="42"/>
        <v>-44322</v>
      </c>
      <c r="AO62" s="1731">
        <f t="shared" si="42"/>
        <v>-44051.8</v>
      </c>
      <c r="AP62" s="1731">
        <f t="shared" si="42"/>
        <v>-64711.8</v>
      </c>
      <c r="AQ62" s="1731">
        <f t="shared" si="42"/>
        <v>-60170.22</v>
      </c>
      <c r="AR62" s="1731">
        <f t="shared" si="42"/>
        <v>3214526.64</v>
      </c>
      <c r="BH62" s="1732"/>
      <c r="BI62" s="1732"/>
      <c r="BJ62" s="1731">
        <f t="shared" ref="BJ62:BU62" si="43">ROUND(BJ52+BJ61,5)</f>
        <v>-54004.14417</v>
      </c>
      <c r="BK62" s="1731">
        <f t="shared" si="43"/>
        <v>308591.44673999998</v>
      </c>
      <c r="BL62" s="1731">
        <f t="shared" si="43"/>
        <v>-54003.962350000002</v>
      </c>
      <c r="BM62" s="1731">
        <f t="shared" si="43"/>
        <v>275456.92855999997</v>
      </c>
      <c r="BN62" s="1731">
        <f t="shared" si="43"/>
        <v>-54003.780530000004</v>
      </c>
      <c r="BO62" s="1731">
        <f t="shared" si="43"/>
        <v>-54003.689619999997</v>
      </c>
      <c r="BP62" s="1731">
        <f t="shared" si="43"/>
        <v>-54003.598720000002</v>
      </c>
      <c r="BQ62" s="1731">
        <f t="shared" si="43"/>
        <v>390957.19218999997</v>
      </c>
      <c r="BR62" s="1731">
        <f t="shared" si="43"/>
        <v>28361.783100000001</v>
      </c>
      <c r="BS62" s="1731">
        <f t="shared" si="43"/>
        <v>-54003.325989999998</v>
      </c>
      <c r="BT62" s="1731">
        <f t="shared" si="43"/>
        <v>-54003.235079999999</v>
      </c>
      <c r="BU62" s="1731">
        <f t="shared" si="43"/>
        <v>-54003.14417</v>
      </c>
      <c r="BV62" s="1732"/>
      <c r="BW62" s="1688">
        <f>SUM(BJ62:BU62)</f>
        <v>571338.4699599999</v>
      </c>
      <c r="BX62" s="1732"/>
      <c r="BY62" s="1732"/>
    </row>
    <row r="63" spans="5:77" ht="15" thickTop="1" x14ac:dyDescent="0.3">
      <c r="BW63" s="1733">
        <f>BW62/BW9</f>
        <v>0.29946828431899264</v>
      </c>
    </row>
    <row r="64" spans="5:77" x14ac:dyDescent="0.2">
      <c r="BV64" s="1664" t="s">
        <v>1469</v>
      </c>
      <c r="BW64" s="1734"/>
    </row>
    <row r="65" spans="55:77" ht="20.399999999999999" x14ac:dyDescent="0.2">
      <c r="BC65" s="1698"/>
      <c r="BD65" s="1698"/>
      <c r="BE65" s="1698"/>
      <c r="BF65" s="1735" t="s">
        <v>1470</v>
      </c>
      <c r="BG65" s="1735"/>
      <c r="BH65" s="1735" t="s">
        <v>1471</v>
      </c>
      <c r="BI65" s="1735" t="s">
        <v>1472</v>
      </c>
      <c r="BJ65" s="1698"/>
      <c r="BK65" s="1698"/>
      <c r="BL65" s="1698"/>
      <c r="BM65" s="1698"/>
      <c r="BN65" s="1698"/>
      <c r="BO65" s="1698"/>
      <c r="BP65" s="1698"/>
      <c r="BQ65" s="1698"/>
      <c r="BR65" s="1698"/>
      <c r="BS65" s="1698"/>
      <c r="BT65" s="1698"/>
      <c r="BU65" s="1698"/>
      <c r="BV65" s="1698"/>
      <c r="BW65" s="1698"/>
      <c r="BX65" s="1698"/>
      <c r="BY65" s="1698"/>
    </row>
    <row r="66" spans="55:77" x14ac:dyDescent="0.2">
      <c r="BC66" s="1698" t="s">
        <v>1473</v>
      </c>
      <c r="BD66" s="1698" t="s">
        <v>1474</v>
      </c>
      <c r="BE66" s="1698" t="s">
        <v>1475</v>
      </c>
      <c r="BF66" s="1736">
        <v>150000</v>
      </c>
      <c r="BG66" s="1736"/>
      <c r="BH66" s="1736">
        <v>100000</v>
      </c>
      <c r="BI66" s="1737">
        <f>BH66/12</f>
        <v>8333.3333333333339</v>
      </c>
      <c r="BJ66" s="1737">
        <f>BI66</f>
        <v>8333.3333333333339</v>
      </c>
      <c r="BK66" s="1737">
        <f t="shared" ref="BK66:BU66" si="44">BJ66</f>
        <v>8333.3333333333339</v>
      </c>
      <c r="BL66" s="1737">
        <f t="shared" si="44"/>
        <v>8333.3333333333339</v>
      </c>
      <c r="BM66" s="1737">
        <f t="shared" si="44"/>
        <v>8333.3333333333339</v>
      </c>
      <c r="BN66" s="1737">
        <f t="shared" si="44"/>
        <v>8333.3333333333339</v>
      </c>
      <c r="BO66" s="1737">
        <f t="shared" si="44"/>
        <v>8333.3333333333339</v>
      </c>
      <c r="BP66" s="1737">
        <f t="shared" si="44"/>
        <v>8333.3333333333339</v>
      </c>
      <c r="BQ66" s="1737">
        <f t="shared" si="44"/>
        <v>8333.3333333333339</v>
      </c>
      <c r="BR66" s="1737">
        <f t="shared" si="44"/>
        <v>8333.3333333333339</v>
      </c>
      <c r="BS66" s="1737">
        <f t="shared" si="44"/>
        <v>8333.3333333333339</v>
      </c>
      <c r="BT66" s="1737">
        <f t="shared" si="44"/>
        <v>8333.3333333333339</v>
      </c>
      <c r="BU66" s="1737">
        <f t="shared" si="44"/>
        <v>8333.3333333333339</v>
      </c>
      <c r="BV66" s="1698"/>
      <c r="BW66" s="1698"/>
      <c r="BX66" s="1698"/>
      <c r="BY66" s="1698"/>
    </row>
    <row r="67" spans="55:77" x14ac:dyDescent="0.2">
      <c r="BC67" s="1698" t="s">
        <v>1476</v>
      </c>
      <c r="BD67" s="1698" t="s">
        <v>1474</v>
      </c>
      <c r="BE67" s="1698" t="s">
        <v>1477</v>
      </c>
      <c r="BF67" s="1736">
        <v>150000</v>
      </c>
      <c r="BG67" s="1736"/>
      <c r="BH67" s="1736">
        <v>100000</v>
      </c>
      <c r="BI67" s="1737">
        <f>BH67/12</f>
        <v>8333.3333333333339</v>
      </c>
      <c r="BJ67" s="1737">
        <f t="shared" ref="BJ67:BU70" si="45">BI67</f>
        <v>8333.3333333333339</v>
      </c>
      <c r="BK67" s="1737">
        <f t="shared" si="45"/>
        <v>8333.3333333333339</v>
      </c>
      <c r="BL67" s="1737">
        <f t="shared" si="45"/>
        <v>8333.3333333333339</v>
      </c>
      <c r="BM67" s="1737">
        <f t="shared" si="45"/>
        <v>8333.3333333333339</v>
      </c>
      <c r="BN67" s="1737">
        <f t="shared" si="45"/>
        <v>8333.3333333333339</v>
      </c>
      <c r="BO67" s="1737">
        <f t="shared" si="45"/>
        <v>8333.3333333333339</v>
      </c>
      <c r="BP67" s="1737">
        <f t="shared" si="45"/>
        <v>8333.3333333333339</v>
      </c>
      <c r="BQ67" s="1737">
        <f t="shared" si="45"/>
        <v>8333.3333333333339</v>
      </c>
      <c r="BR67" s="1737">
        <f t="shared" si="45"/>
        <v>8333.3333333333339</v>
      </c>
      <c r="BS67" s="1737">
        <f t="shared" si="45"/>
        <v>8333.3333333333339</v>
      </c>
      <c r="BT67" s="1737">
        <f t="shared" si="45"/>
        <v>8333.3333333333339</v>
      </c>
      <c r="BU67" s="1737">
        <f t="shared" si="45"/>
        <v>8333.3333333333339</v>
      </c>
      <c r="BV67" s="1698"/>
      <c r="BW67" s="1698"/>
      <c r="BX67" s="1698"/>
      <c r="BY67" s="1698"/>
    </row>
    <row r="68" spans="55:77" x14ac:dyDescent="0.2">
      <c r="BC68" s="1698" t="s">
        <v>1478</v>
      </c>
      <c r="BD68" s="1698" t="s">
        <v>1479</v>
      </c>
      <c r="BE68" s="1698" t="s">
        <v>1480</v>
      </c>
      <c r="BF68" s="1736">
        <v>91000</v>
      </c>
      <c r="BG68" s="1736"/>
      <c r="BH68" s="1736">
        <f>BF68</f>
        <v>91000</v>
      </c>
      <c r="BI68" s="1737">
        <f>BH68/12</f>
        <v>7583.333333333333</v>
      </c>
      <c r="BJ68" s="1737">
        <f t="shared" si="45"/>
        <v>7583.333333333333</v>
      </c>
      <c r="BK68" s="1737">
        <f t="shared" si="45"/>
        <v>7583.333333333333</v>
      </c>
      <c r="BL68" s="1737">
        <f t="shared" si="45"/>
        <v>7583.333333333333</v>
      </c>
      <c r="BM68" s="1737">
        <f t="shared" si="45"/>
        <v>7583.333333333333</v>
      </c>
      <c r="BN68" s="1737">
        <f t="shared" si="45"/>
        <v>7583.333333333333</v>
      </c>
      <c r="BO68" s="1737">
        <f t="shared" si="45"/>
        <v>7583.333333333333</v>
      </c>
      <c r="BP68" s="1737">
        <f t="shared" si="45"/>
        <v>7583.333333333333</v>
      </c>
      <c r="BQ68" s="1737">
        <f t="shared" si="45"/>
        <v>7583.333333333333</v>
      </c>
      <c r="BR68" s="1737">
        <f t="shared" si="45"/>
        <v>7583.333333333333</v>
      </c>
      <c r="BS68" s="1737">
        <f t="shared" si="45"/>
        <v>7583.333333333333</v>
      </c>
      <c r="BT68" s="1737">
        <f t="shared" si="45"/>
        <v>7583.333333333333</v>
      </c>
      <c r="BU68" s="1737">
        <f t="shared" si="45"/>
        <v>7583.333333333333</v>
      </c>
      <c r="BV68" s="1698"/>
      <c r="BW68" s="1698"/>
      <c r="BX68" s="1698"/>
      <c r="BY68" s="1698"/>
    </row>
    <row r="69" spans="55:77" x14ac:dyDescent="0.2">
      <c r="BC69" s="1698" t="s">
        <v>1481</v>
      </c>
      <c r="BD69" s="1698" t="s">
        <v>1482</v>
      </c>
      <c r="BE69" s="1698" t="s">
        <v>1480</v>
      </c>
      <c r="BF69" s="1736">
        <v>82000</v>
      </c>
      <c r="BG69" s="1736"/>
      <c r="BH69" s="1736">
        <f>BF69</f>
        <v>82000</v>
      </c>
      <c r="BI69" s="1737">
        <f>BH69/12</f>
        <v>6833.333333333333</v>
      </c>
      <c r="BJ69" s="1737">
        <f t="shared" si="45"/>
        <v>6833.333333333333</v>
      </c>
      <c r="BK69" s="1737">
        <f t="shared" si="45"/>
        <v>6833.333333333333</v>
      </c>
      <c r="BL69" s="1737">
        <f t="shared" si="45"/>
        <v>6833.333333333333</v>
      </c>
      <c r="BM69" s="1737">
        <f t="shared" si="45"/>
        <v>6833.333333333333</v>
      </c>
      <c r="BN69" s="1737">
        <f t="shared" si="45"/>
        <v>6833.333333333333</v>
      </c>
      <c r="BO69" s="1737">
        <f t="shared" si="45"/>
        <v>6833.333333333333</v>
      </c>
      <c r="BP69" s="1737">
        <f t="shared" si="45"/>
        <v>6833.333333333333</v>
      </c>
      <c r="BQ69" s="1737">
        <f t="shared" si="45"/>
        <v>6833.333333333333</v>
      </c>
      <c r="BR69" s="1737">
        <f t="shared" si="45"/>
        <v>6833.333333333333</v>
      </c>
      <c r="BS69" s="1737">
        <f t="shared" si="45"/>
        <v>6833.333333333333</v>
      </c>
      <c r="BT69" s="1737">
        <f t="shared" si="45"/>
        <v>6833.333333333333</v>
      </c>
      <c r="BU69" s="1737">
        <f t="shared" si="45"/>
        <v>6833.333333333333</v>
      </c>
      <c r="BV69" s="1698"/>
      <c r="BW69" s="1698"/>
      <c r="BX69" s="1698"/>
      <c r="BY69" s="1698"/>
    </row>
    <row r="70" spans="55:77" x14ac:dyDescent="0.2">
      <c r="BC70" s="1738" t="s">
        <v>1483</v>
      </c>
      <c r="BD70" s="1738" t="s">
        <v>1484</v>
      </c>
      <c r="BE70" s="1738" t="s">
        <v>1485</v>
      </c>
      <c r="BF70" s="1739">
        <v>82000</v>
      </c>
      <c r="BG70" s="1739"/>
      <c r="BH70" s="1739">
        <f>BF70</f>
        <v>82000</v>
      </c>
      <c r="BI70" s="1740">
        <f>BH70/12</f>
        <v>6833.333333333333</v>
      </c>
      <c r="BJ70" s="1740">
        <f t="shared" si="45"/>
        <v>6833.333333333333</v>
      </c>
      <c r="BK70" s="1740">
        <f t="shared" si="45"/>
        <v>6833.333333333333</v>
      </c>
      <c r="BL70" s="1740">
        <f t="shared" si="45"/>
        <v>6833.333333333333</v>
      </c>
      <c r="BM70" s="1740">
        <f t="shared" si="45"/>
        <v>6833.333333333333</v>
      </c>
      <c r="BN70" s="1740">
        <f t="shared" si="45"/>
        <v>6833.333333333333</v>
      </c>
      <c r="BO70" s="1740">
        <f t="shared" si="45"/>
        <v>6833.333333333333</v>
      </c>
      <c r="BP70" s="1740">
        <f t="shared" si="45"/>
        <v>6833.333333333333</v>
      </c>
      <c r="BQ70" s="1740">
        <f t="shared" si="45"/>
        <v>6833.333333333333</v>
      </c>
      <c r="BR70" s="1740">
        <f t="shared" si="45"/>
        <v>6833.333333333333</v>
      </c>
      <c r="BS70" s="1740">
        <f t="shared" si="45"/>
        <v>6833.333333333333</v>
      </c>
      <c r="BT70" s="1740">
        <f t="shared" si="45"/>
        <v>6833.333333333333</v>
      </c>
      <c r="BU70" s="1740">
        <f t="shared" si="45"/>
        <v>6833.333333333333</v>
      </c>
      <c r="BV70" s="1698"/>
      <c r="BW70" s="1698"/>
      <c r="BX70" s="1698"/>
      <c r="BY70" s="1698"/>
    </row>
    <row r="71" spans="55:77" x14ac:dyDescent="0.2">
      <c r="BC71" s="1698"/>
      <c r="BD71" s="1698"/>
      <c r="BE71" s="1698"/>
      <c r="BF71" s="1698"/>
      <c r="BG71" s="1698"/>
      <c r="BH71" s="1698"/>
      <c r="BI71" s="1698"/>
      <c r="BJ71" s="1737"/>
      <c r="BK71" s="1737"/>
      <c r="BL71" s="1737"/>
      <c r="BM71" s="1737"/>
      <c r="BN71" s="1737"/>
      <c r="BO71" s="1737"/>
      <c r="BP71" s="1737"/>
      <c r="BQ71" s="1737"/>
      <c r="BR71" s="1737"/>
      <c r="BS71" s="1737"/>
      <c r="BT71" s="1737"/>
      <c r="BU71" s="1737"/>
      <c r="BV71" s="1698"/>
      <c r="BW71" s="1698"/>
      <c r="BX71" s="1698"/>
      <c r="BY71" s="1698"/>
    </row>
    <row r="72" spans="55:77" x14ac:dyDescent="0.2">
      <c r="BC72" s="1698" t="s">
        <v>1486</v>
      </c>
      <c r="BD72" s="1698"/>
      <c r="BE72" s="1698"/>
      <c r="BF72" s="1698"/>
      <c r="BG72" s="1698"/>
      <c r="BH72" s="1698"/>
      <c r="BI72" s="1698"/>
      <c r="BJ72" s="1737">
        <f>SUM(BJ66:BJ70)</f>
        <v>37916.666666666664</v>
      </c>
      <c r="BK72" s="1737">
        <f t="shared" ref="BK72:BU72" si="46">SUM(BK66:BK70)</f>
        <v>37916.666666666664</v>
      </c>
      <c r="BL72" s="1737">
        <f t="shared" si="46"/>
        <v>37916.666666666664</v>
      </c>
      <c r="BM72" s="1737">
        <f t="shared" si="46"/>
        <v>37916.666666666664</v>
      </c>
      <c r="BN72" s="1737">
        <f t="shared" si="46"/>
        <v>37916.666666666664</v>
      </c>
      <c r="BO72" s="1737">
        <f t="shared" si="46"/>
        <v>37916.666666666664</v>
      </c>
      <c r="BP72" s="1737">
        <f t="shared" si="46"/>
        <v>37916.666666666664</v>
      </c>
      <c r="BQ72" s="1737">
        <f t="shared" si="46"/>
        <v>37916.666666666664</v>
      </c>
      <c r="BR72" s="1737">
        <f t="shared" si="46"/>
        <v>37916.666666666664</v>
      </c>
      <c r="BS72" s="1737">
        <f t="shared" si="46"/>
        <v>37916.666666666664</v>
      </c>
      <c r="BT72" s="1737">
        <f t="shared" si="46"/>
        <v>37916.666666666664</v>
      </c>
      <c r="BU72" s="1737">
        <f t="shared" si="46"/>
        <v>37916.666666666664</v>
      </c>
      <c r="BV72" s="1698"/>
      <c r="BW72" s="1698"/>
      <c r="BX72" s="1698"/>
      <c r="BY72" s="1698"/>
    </row>
    <row r="73" spans="55:77" x14ac:dyDescent="0.2">
      <c r="BC73" s="1698" t="s">
        <v>989</v>
      </c>
      <c r="BD73" s="1698"/>
      <c r="BE73" s="1698"/>
      <c r="BF73" s="1698"/>
      <c r="BG73" s="1698"/>
      <c r="BH73" s="1698"/>
      <c r="BI73" s="1698"/>
      <c r="BJ73" s="1737">
        <f>15.3%/2*BJ72</f>
        <v>2900.6249999999995</v>
      </c>
      <c r="BK73" s="1737">
        <f t="shared" ref="BK73:BU73" si="47">15.3%/2*BK72</f>
        <v>2900.6249999999995</v>
      </c>
      <c r="BL73" s="1737">
        <f t="shared" si="47"/>
        <v>2900.6249999999995</v>
      </c>
      <c r="BM73" s="1737">
        <f t="shared" si="47"/>
        <v>2900.6249999999995</v>
      </c>
      <c r="BN73" s="1737">
        <f t="shared" si="47"/>
        <v>2900.6249999999995</v>
      </c>
      <c r="BO73" s="1737">
        <f t="shared" si="47"/>
        <v>2900.6249999999995</v>
      </c>
      <c r="BP73" s="1737">
        <f t="shared" si="47"/>
        <v>2900.6249999999995</v>
      </c>
      <c r="BQ73" s="1737">
        <f t="shared" si="47"/>
        <v>2900.6249999999995</v>
      </c>
      <c r="BR73" s="1737">
        <f t="shared" si="47"/>
        <v>2900.6249999999995</v>
      </c>
      <c r="BS73" s="1737">
        <f t="shared" si="47"/>
        <v>2900.6249999999995</v>
      </c>
      <c r="BT73" s="1737">
        <f t="shared" si="47"/>
        <v>2900.6249999999995</v>
      </c>
      <c r="BU73" s="1737">
        <f t="shared" si="47"/>
        <v>2900.6249999999995</v>
      </c>
      <c r="BV73" s="1698"/>
      <c r="BW73" s="1698"/>
      <c r="BX73" s="1698"/>
      <c r="BY73" s="1698"/>
    </row>
    <row r="74" spans="55:77" x14ac:dyDescent="0.2">
      <c r="BH74" s="1698"/>
      <c r="BI74" s="1698"/>
      <c r="BJ74" s="1698"/>
      <c r="BK74" s="1698"/>
      <c r="BL74" s="1698"/>
      <c r="BM74" s="1698"/>
      <c r="BN74" s="1698"/>
      <c r="BO74" s="1698"/>
      <c r="BP74" s="1698"/>
      <c r="BQ74" s="1698"/>
      <c r="BR74" s="1698"/>
      <c r="BS74" s="1698"/>
      <c r="BT74" s="1698"/>
      <c r="BU74" s="1698"/>
      <c r="BV74" s="1698"/>
      <c r="BW74" s="1698"/>
      <c r="BX74" s="1698"/>
      <c r="BY74" s="1698"/>
    </row>
  </sheetData>
  <mergeCells count="4">
    <mergeCell ref="AV3:AW3"/>
    <mergeCell ref="AX3:AY3"/>
    <mergeCell ref="AZ3:BA3"/>
    <mergeCell ref="BB3:BC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6B57-111D-47A2-8ADC-6417AD16A0DC}">
  <sheetPr codeName="Sheet7">
    <tabColor theme="9" tint="0.79998168889431442"/>
  </sheetPr>
  <dimension ref="A1:ATE1090"/>
  <sheetViews>
    <sheetView showGridLines="0" zoomScale="74" zoomScaleNormal="70" workbookViewId="0">
      <pane xSplit="7" ySplit="2" topLeftCell="AQ3" activePane="bottomRight" state="frozen"/>
      <selection activeCell="AS17" sqref="AS17"/>
      <selection pane="topRight" activeCell="AS17" sqref="AS17"/>
      <selection pane="bottomLeft" activeCell="AS17" sqref="AS17"/>
      <selection pane="bottomRight" activeCell="AT15" sqref="AT15"/>
    </sheetView>
  </sheetViews>
  <sheetFormatPr defaultColWidth="16.44140625" defaultRowHeight="15.6" outlineLevelRow="1" outlineLevelCol="1" x14ac:dyDescent="0.3"/>
  <cols>
    <col min="1" max="2" width="1.109375" style="31" customWidth="1"/>
    <col min="3" max="3" width="43.44140625" style="31" customWidth="1"/>
    <col min="4" max="4" width="9.5546875" style="31" customWidth="1"/>
    <col min="5" max="5" width="2.88671875" style="31" customWidth="1"/>
    <col min="6" max="6" width="13" style="31" customWidth="1"/>
    <col min="7" max="7" width="17.44140625" style="31" hidden="1" customWidth="1"/>
    <col min="8" max="8" width="14.33203125" style="204" hidden="1" customWidth="1" outlineLevel="1"/>
    <col min="9" max="10" width="15.33203125" style="31" hidden="1" customWidth="1" outlineLevel="1" collapsed="1"/>
    <col min="11" max="11" width="15.6640625" style="31" hidden="1" customWidth="1" outlineLevel="1" collapsed="1"/>
    <col min="12" max="12" width="15.33203125" style="31" hidden="1" customWidth="1" outlineLevel="1" collapsed="1"/>
    <col min="13" max="13" width="15.6640625" style="31" hidden="1" customWidth="1" outlineLevel="1" collapsed="1"/>
    <col min="14" max="14" width="15.33203125" style="31" hidden="1" customWidth="1" outlineLevel="1" collapsed="1"/>
    <col min="15" max="17" width="15.6640625" style="31" hidden="1" customWidth="1" outlineLevel="1" collapsed="1"/>
    <col min="18" max="18" width="16" style="31" hidden="1" customWidth="1" outlineLevel="1" collapsed="1"/>
    <col min="19" max="19" width="15.6640625" style="31" hidden="1" customWidth="1" outlineLevel="1" collapsed="1"/>
    <col min="20" max="20" width="16.44140625" style="952" customWidth="1" collapsed="1"/>
    <col min="21" max="26" width="16.44140625" style="952" customWidth="1"/>
    <col min="27" max="35" width="16.44140625" style="31" customWidth="1"/>
    <col min="36" max="36" width="17.6640625" style="31" bestFit="1" customWidth="1"/>
    <col min="37" max="40" width="16.44140625" style="31" customWidth="1"/>
    <col min="41" max="41" width="17.44140625" style="31" bestFit="1" customWidth="1" outlineLevel="1" collapsed="1"/>
    <col min="42" max="43" width="15.44140625" style="31" customWidth="1" outlineLevel="1" collapsed="1"/>
    <col min="44" max="44" width="20.88671875" style="34" customWidth="1"/>
    <col min="45" max="55" width="15.5546875" style="31" customWidth="1"/>
    <col min="57" max="58" width="16.44140625" style="31"/>
    <col min="59" max="59" width="16.6640625" style="31" customWidth="1"/>
    <col min="60" max="60" width="16.44140625" style="31"/>
    <col min="61" max="61" width="10.33203125" style="31" customWidth="1"/>
    <col min="62" max="16384" width="16.44140625" style="31"/>
  </cols>
  <sheetData>
    <row r="1" spans="1:59" x14ac:dyDescent="0.3">
      <c r="H1" s="204">
        <v>2021</v>
      </c>
      <c r="I1" s="31">
        <f>H1</f>
        <v>2021</v>
      </c>
      <c r="J1" s="31">
        <f t="shared" ref="J1:S1" si="0">I1</f>
        <v>2021</v>
      </c>
      <c r="K1" s="31">
        <f t="shared" si="0"/>
        <v>2021</v>
      </c>
      <c r="L1" s="31">
        <f t="shared" si="0"/>
        <v>2021</v>
      </c>
      <c r="M1" s="31">
        <f t="shared" si="0"/>
        <v>2021</v>
      </c>
      <c r="N1" s="31">
        <f t="shared" si="0"/>
        <v>2021</v>
      </c>
      <c r="O1" s="31">
        <f t="shared" si="0"/>
        <v>2021</v>
      </c>
      <c r="P1" s="31">
        <f t="shared" si="0"/>
        <v>2021</v>
      </c>
      <c r="Q1" s="31">
        <f t="shared" si="0"/>
        <v>2021</v>
      </c>
      <c r="R1" s="31">
        <f t="shared" si="0"/>
        <v>2021</v>
      </c>
      <c r="S1" s="31">
        <f t="shared" si="0"/>
        <v>2021</v>
      </c>
      <c r="T1" s="952">
        <f>H1+1</f>
        <v>2022</v>
      </c>
      <c r="U1" s="952">
        <f t="shared" ref="U1:BC1" si="1">I1+1</f>
        <v>2022</v>
      </c>
      <c r="V1" s="952">
        <f t="shared" si="1"/>
        <v>2022</v>
      </c>
      <c r="W1" s="952">
        <f t="shared" si="1"/>
        <v>2022</v>
      </c>
      <c r="X1" s="952">
        <f t="shared" si="1"/>
        <v>2022</v>
      </c>
      <c r="Y1" s="952">
        <f t="shared" si="1"/>
        <v>2022</v>
      </c>
      <c r="Z1" s="952">
        <f t="shared" si="1"/>
        <v>2022</v>
      </c>
      <c r="AA1" s="952">
        <f t="shared" si="1"/>
        <v>2022</v>
      </c>
      <c r="AB1" s="952">
        <f t="shared" si="1"/>
        <v>2022</v>
      </c>
      <c r="AC1" s="952">
        <f t="shared" si="1"/>
        <v>2022</v>
      </c>
      <c r="AD1" s="952">
        <f t="shared" si="1"/>
        <v>2022</v>
      </c>
      <c r="AE1" s="952">
        <f t="shared" si="1"/>
        <v>2022</v>
      </c>
      <c r="AF1" s="952">
        <f t="shared" si="1"/>
        <v>2023</v>
      </c>
      <c r="AG1" s="952">
        <f t="shared" si="1"/>
        <v>2023</v>
      </c>
      <c r="AH1" s="952">
        <f t="shared" si="1"/>
        <v>2023</v>
      </c>
      <c r="AI1" s="952">
        <f t="shared" si="1"/>
        <v>2023</v>
      </c>
      <c r="AJ1" s="952">
        <f t="shared" si="1"/>
        <v>2023</v>
      </c>
      <c r="AK1" s="952">
        <f t="shared" si="1"/>
        <v>2023</v>
      </c>
      <c r="AL1" s="952">
        <f t="shared" si="1"/>
        <v>2023</v>
      </c>
      <c r="AM1" s="952">
        <f t="shared" si="1"/>
        <v>2023</v>
      </c>
      <c r="AN1" s="952">
        <f t="shared" si="1"/>
        <v>2023</v>
      </c>
      <c r="AO1" s="952">
        <f t="shared" si="1"/>
        <v>2023</v>
      </c>
      <c r="AP1" s="31">
        <f t="shared" si="1"/>
        <v>2023</v>
      </c>
      <c r="AQ1" s="31">
        <f t="shared" si="1"/>
        <v>2023</v>
      </c>
      <c r="AR1" s="34">
        <f t="shared" si="1"/>
        <v>2024</v>
      </c>
      <c r="AS1" s="31">
        <f t="shared" si="1"/>
        <v>2024</v>
      </c>
      <c r="AT1" s="31">
        <f t="shared" si="1"/>
        <v>2024</v>
      </c>
      <c r="AU1" s="31">
        <f t="shared" si="1"/>
        <v>2024</v>
      </c>
      <c r="AV1" s="31">
        <f t="shared" si="1"/>
        <v>2024</v>
      </c>
      <c r="AW1" s="31">
        <f t="shared" si="1"/>
        <v>2024</v>
      </c>
      <c r="AX1" s="31">
        <f t="shared" si="1"/>
        <v>2024</v>
      </c>
      <c r="AY1" s="31">
        <f t="shared" si="1"/>
        <v>2024</v>
      </c>
      <c r="AZ1" s="31">
        <f t="shared" si="1"/>
        <v>2024</v>
      </c>
      <c r="BA1" s="31">
        <f t="shared" si="1"/>
        <v>2024</v>
      </c>
      <c r="BB1" s="31">
        <f t="shared" si="1"/>
        <v>2024</v>
      </c>
      <c r="BC1" s="31">
        <f t="shared" si="1"/>
        <v>2024</v>
      </c>
      <c r="BE1" s="1545"/>
      <c r="BF1" s="1545"/>
      <c r="BG1" s="1545"/>
    </row>
    <row r="2" spans="1:59" ht="18" x14ac:dyDescent="0.35">
      <c r="C2" s="1257"/>
      <c r="F2" s="32"/>
      <c r="G2" s="33"/>
      <c r="H2" s="199" t="s">
        <v>145</v>
      </c>
      <c r="I2" s="33" t="s">
        <v>146</v>
      </c>
      <c r="J2" s="33" t="s">
        <v>147</v>
      </c>
      <c r="K2" s="33" t="s">
        <v>148</v>
      </c>
      <c r="L2" s="33" t="s">
        <v>18</v>
      </c>
      <c r="M2" s="33" t="s">
        <v>149</v>
      </c>
      <c r="N2" s="33" t="s">
        <v>150</v>
      </c>
      <c r="O2" s="33" t="s">
        <v>151</v>
      </c>
      <c r="P2" s="33" t="s">
        <v>152</v>
      </c>
      <c r="Q2" s="829" t="s">
        <v>153</v>
      </c>
      <c r="R2" s="33" t="s">
        <v>154</v>
      </c>
      <c r="S2" s="33" t="s">
        <v>144</v>
      </c>
      <c r="T2" s="914" t="s">
        <v>145</v>
      </c>
      <c r="U2" s="914" t="s">
        <v>146</v>
      </c>
      <c r="V2" s="914" t="s">
        <v>147</v>
      </c>
      <c r="W2" s="914" t="s">
        <v>148</v>
      </c>
      <c r="X2" s="914" t="s">
        <v>18</v>
      </c>
      <c r="Y2" s="914" t="s">
        <v>149</v>
      </c>
      <c r="Z2" s="1066" t="s">
        <v>150</v>
      </c>
      <c r="AA2" s="1066" t="s">
        <v>151</v>
      </c>
      <c r="AB2" s="1066" t="s">
        <v>485</v>
      </c>
      <c r="AC2" s="1066" t="s">
        <v>153</v>
      </c>
      <c r="AD2" s="1066" t="s">
        <v>154</v>
      </c>
      <c r="AE2" s="914" t="s">
        <v>144</v>
      </c>
      <c r="AF2" s="914" t="s">
        <v>899</v>
      </c>
      <c r="AG2" s="914" t="s">
        <v>922</v>
      </c>
      <c r="AH2" s="914" t="s">
        <v>929</v>
      </c>
      <c r="AI2" s="914" t="s">
        <v>934</v>
      </c>
      <c r="AJ2" s="914" t="s">
        <v>1234</v>
      </c>
      <c r="AK2" s="914" t="s">
        <v>1235</v>
      </c>
      <c r="AL2" s="914" t="s">
        <v>1236</v>
      </c>
      <c r="AM2" s="914" t="s">
        <v>1317</v>
      </c>
      <c r="AN2" s="914" t="s">
        <v>1338</v>
      </c>
      <c r="AO2" s="1066" t="s">
        <v>1360</v>
      </c>
      <c r="AP2" s="33" t="s">
        <v>900</v>
      </c>
      <c r="AQ2" s="33" t="s">
        <v>901</v>
      </c>
      <c r="AR2" s="1607" t="s">
        <v>145</v>
      </c>
      <c r="AS2" s="1594" t="s">
        <v>146</v>
      </c>
      <c r="AT2" s="1594" t="s">
        <v>147</v>
      </c>
      <c r="AU2" s="1594" t="s">
        <v>148</v>
      </c>
      <c r="AV2" s="1594" t="s">
        <v>18</v>
      </c>
      <c r="AW2" s="1594" t="s">
        <v>149</v>
      </c>
      <c r="AX2" s="1594" t="s">
        <v>150</v>
      </c>
      <c r="AY2" s="1594" t="s">
        <v>151</v>
      </c>
      <c r="AZ2" s="1594" t="s">
        <v>485</v>
      </c>
      <c r="BA2" s="1594" t="s">
        <v>153</v>
      </c>
      <c r="BB2" s="1594" t="s">
        <v>154</v>
      </c>
      <c r="BC2" s="1594" t="s">
        <v>144</v>
      </c>
      <c r="BE2" s="1180" t="s">
        <v>878</v>
      </c>
      <c r="BF2" s="1593" t="s">
        <v>1359</v>
      </c>
      <c r="BG2" s="1180" t="s">
        <v>1366</v>
      </c>
    </row>
    <row r="3" spans="1:59" x14ac:dyDescent="0.3">
      <c r="A3" s="31" t="s">
        <v>155</v>
      </c>
      <c r="C3" s="32" t="s">
        <v>156</v>
      </c>
      <c r="G3" s="35"/>
      <c r="H3" s="200">
        <f t="shared" ref="H3:V3" si="2">H175/H202</f>
        <v>1.3554762134270115</v>
      </c>
      <c r="I3" s="35">
        <f t="shared" si="2"/>
        <v>1.3102955769479954</v>
      </c>
      <c r="J3" s="35">
        <f t="shared" si="2"/>
        <v>1.4595419311784283</v>
      </c>
      <c r="K3" s="35">
        <f t="shared" si="2"/>
        <v>1.3895511769721776</v>
      </c>
      <c r="L3" s="35">
        <f t="shared" si="2"/>
        <v>1.377708148508952</v>
      </c>
      <c r="M3" s="35">
        <f t="shared" si="2"/>
        <v>1.4243336137792604</v>
      </c>
      <c r="N3" s="35">
        <f t="shared" si="2"/>
        <v>1.5091348049216013</v>
      </c>
      <c r="O3" s="35">
        <f t="shared" si="2"/>
        <v>1.418463238533654</v>
      </c>
      <c r="P3" s="35">
        <f t="shared" si="2"/>
        <v>1.4821655855573301</v>
      </c>
      <c r="Q3" s="36">
        <f t="shared" si="2"/>
        <v>1.4938670972441146</v>
      </c>
      <c r="R3" s="35">
        <f t="shared" si="2"/>
        <v>1.369593674709993</v>
      </c>
      <c r="S3" s="35">
        <f t="shared" si="2"/>
        <v>1.3177505487046286</v>
      </c>
      <c r="T3" s="915">
        <f t="shared" si="2"/>
        <v>1.3537405527145681</v>
      </c>
      <c r="U3" s="915">
        <f t="shared" si="2"/>
        <v>1.3401375008055012</v>
      </c>
      <c r="V3" s="915">
        <f t="shared" si="2"/>
        <v>1.3406560719872482</v>
      </c>
      <c r="W3" s="915">
        <f t="shared" ref="W3:AE3" si="3">W175/(W202+W205)</f>
        <v>1.0973256131558347</v>
      </c>
      <c r="X3" s="915">
        <f t="shared" si="3"/>
        <v>1.0748554507148613</v>
      </c>
      <c r="Y3" s="915">
        <f t="shared" si="3"/>
        <v>1.112324431495378</v>
      </c>
      <c r="Z3" s="1067">
        <f t="shared" si="3"/>
        <v>1.1727504570575438</v>
      </c>
      <c r="AA3" s="1067">
        <f t="shared" si="3"/>
        <v>1.2416765952245081</v>
      </c>
      <c r="AB3" s="1067">
        <f t="shared" si="3"/>
        <v>1.279319639393951</v>
      </c>
      <c r="AC3" s="1067">
        <f t="shared" si="3"/>
        <v>1.2652999319987743</v>
      </c>
      <c r="AD3" s="1067">
        <f t="shared" si="3"/>
        <v>1.2668962637698762</v>
      </c>
      <c r="AE3" s="915">
        <f t="shared" si="3"/>
        <v>1.2930578770521202</v>
      </c>
      <c r="AF3" s="915">
        <f t="shared" ref="AF3" si="4">AF175/(AF202)</f>
        <v>1.2851026908404461</v>
      </c>
      <c r="AG3" s="915">
        <f>AG175/(AG202)</f>
        <v>1.2554832465852668</v>
      </c>
      <c r="AH3" s="915">
        <f t="shared" ref="AH3:AQ3" si="5">AH175/(AH202)</f>
        <v>1.2518377013528548</v>
      </c>
      <c r="AI3" s="915">
        <f t="shared" si="5"/>
        <v>1.2237115608540772</v>
      </c>
      <c r="AJ3" s="915">
        <f t="shared" si="5"/>
        <v>1.3002745611538009</v>
      </c>
      <c r="AK3" s="915">
        <f t="shared" si="5"/>
        <v>1.4518299667347616</v>
      </c>
      <c r="AL3" s="915">
        <f t="shared" si="5"/>
        <v>1.4768275635026786</v>
      </c>
      <c r="AM3" s="915">
        <f t="shared" si="5"/>
        <v>1.5159599247782238</v>
      </c>
      <c r="AN3" s="915">
        <f t="shared" ref="AN3:AO3" si="6">AN175/(AN202)</f>
        <v>1.5398620957612841</v>
      </c>
      <c r="AO3" s="1067">
        <f t="shared" si="6"/>
        <v>1.5563747839584265</v>
      </c>
      <c r="AP3" s="35">
        <f t="shared" ca="1" si="5"/>
        <v>1.5145217396981805</v>
      </c>
      <c r="AQ3" s="35">
        <f t="shared" ca="1" si="5"/>
        <v>1.4535988574264012</v>
      </c>
      <c r="AR3" s="36">
        <f t="shared" ref="AR3:BC3" ca="1" si="7">AR175/(AR202)</f>
        <v>1.5160909741581159</v>
      </c>
      <c r="AS3" s="35">
        <f t="shared" ca="1" si="7"/>
        <v>1.5670482512067463</v>
      </c>
      <c r="AT3" s="35">
        <f t="shared" ca="1" si="7"/>
        <v>1.5620473251473594</v>
      </c>
      <c r="AU3" s="35">
        <f t="shared" ca="1" si="7"/>
        <v>1.6124480198379543</v>
      </c>
      <c r="AV3" s="35">
        <f t="shared" ca="1" si="7"/>
        <v>1.6401650915238595</v>
      </c>
      <c r="AW3" s="35">
        <f t="shared" ca="1" si="7"/>
        <v>1.6292091567201168</v>
      </c>
      <c r="AX3" s="35">
        <f t="shared" ca="1" si="7"/>
        <v>1.6560092913839246</v>
      </c>
      <c r="AY3" s="35">
        <f t="shared" ca="1" si="7"/>
        <v>1.7113001943532167</v>
      </c>
      <c r="AZ3" s="35">
        <f t="shared" ca="1" si="7"/>
        <v>1.7014060115554743</v>
      </c>
      <c r="BA3" s="35">
        <f t="shared" ca="1" si="7"/>
        <v>1.7279128231567915</v>
      </c>
      <c r="BB3" s="35">
        <f t="shared" ca="1" si="7"/>
        <v>1.7537186908358837</v>
      </c>
      <c r="BC3" s="35">
        <f t="shared" ca="1" si="7"/>
        <v>1.7488548541973881</v>
      </c>
      <c r="BE3" s="1181">
        <f>BE175/(BE202+BE205)</f>
        <v>2.9299141163665405</v>
      </c>
      <c r="BF3" s="915">
        <f ca="1">BF175/(BF202+BF205)</f>
        <v>1.4535988574264012</v>
      </c>
      <c r="BG3" s="1181">
        <f ca="1">BG175/(BG202+BG205)</f>
        <v>1.7488548541973881</v>
      </c>
    </row>
    <row r="4" spans="1:59" x14ac:dyDescent="0.3">
      <c r="A4" s="31" t="s">
        <v>157</v>
      </c>
      <c r="C4" s="32" t="s">
        <v>158</v>
      </c>
      <c r="G4" s="35"/>
      <c r="H4" s="200">
        <f t="shared" ref="H4:R4" si="8">H217/H228</f>
        <v>2.4124012482967445</v>
      </c>
      <c r="I4" s="35">
        <f t="shared" si="8"/>
        <v>2.70379353644396</v>
      </c>
      <c r="J4" s="35">
        <f t="shared" si="8"/>
        <v>2.01131902151978</v>
      </c>
      <c r="K4" s="35">
        <f t="shared" si="8"/>
        <v>2.2785038306684431</v>
      </c>
      <c r="L4" s="35">
        <f t="shared" si="8"/>
        <v>2.1612345089250669</v>
      </c>
      <c r="M4" s="35">
        <f t="shared" si="8"/>
        <v>2.1414599115278059</v>
      </c>
      <c r="N4" s="35">
        <f t="shared" si="8"/>
        <v>1.845245354279164</v>
      </c>
      <c r="O4" s="35">
        <f t="shared" si="8"/>
        <v>2.2014182268648108</v>
      </c>
      <c r="P4" s="35">
        <f t="shared" si="8"/>
        <v>1.9754068554146835</v>
      </c>
      <c r="Q4" s="36">
        <f t="shared" si="8"/>
        <v>1.9232315009797616</v>
      </c>
      <c r="R4" s="35">
        <f t="shared" si="8"/>
        <v>2.4876645123484886</v>
      </c>
      <c r="S4" s="35">
        <f t="shared" ref="S4:X4" si="9">S217/S228</f>
        <v>2.3012117507709395</v>
      </c>
      <c r="T4" s="915">
        <f t="shared" si="9"/>
        <v>2.6237278372025123</v>
      </c>
      <c r="U4" s="915">
        <f t="shared" si="9"/>
        <v>2.7520817408974563</v>
      </c>
      <c r="V4" s="915">
        <f t="shared" si="9"/>
        <v>2.7685813510412065</v>
      </c>
      <c r="W4" s="915">
        <f t="shared" si="9"/>
        <v>4.3662224439198569</v>
      </c>
      <c r="X4" s="915">
        <f t="shared" si="9"/>
        <v>5.0036306623389342</v>
      </c>
      <c r="Y4" s="915">
        <f t="shared" ref="Y4:AQ4" si="10">Y217/Y228</f>
        <v>3.7549121142754349</v>
      </c>
      <c r="Z4" s="1067">
        <f t="shared" si="10"/>
        <v>2.4154312428050666</v>
      </c>
      <c r="AA4" s="1067">
        <f t="shared" si="10"/>
        <v>2.1987164185272627</v>
      </c>
      <c r="AB4" s="1067">
        <f t="shared" si="10"/>
        <v>1.8552664721995651</v>
      </c>
      <c r="AC4" s="1067">
        <f t="shared" si="10"/>
        <v>2.0191254307007691</v>
      </c>
      <c r="AD4" s="1067">
        <f t="shared" si="10"/>
        <v>2.0001721164812252</v>
      </c>
      <c r="AE4" s="915">
        <f t="shared" si="10"/>
        <v>2.4117546711107538</v>
      </c>
      <c r="AF4" s="915">
        <f t="shared" si="10"/>
        <v>2.3094299941492631</v>
      </c>
      <c r="AG4" s="915">
        <f t="shared" si="10"/>
        <v>2.4917514473264792</v>
      </c>
      <c r="AH4" s="915">
        <f t="shared" si="10"/>
        <v>2.5421139832288073</v>
      </c>
      <c r="AI4" s="915">
        <f t="shared" si="10"/>
        <v>2.7613095558753016</v>
      </c>
      <c r="AJ4" s="915">
        <f t="shared" si="10"/>
        <v>2.2269692568126644</v>
      </c>
      <c r="AK4" s="915">
        <f t="shared" si="10"/>
        <v>3.1073477108410779</v>
      </c>
      <c r="AL4" s="915">
        <f t="shared" si="10"/>
        <v>2.9411340188766193</v>
      </c>
      <c r="AM4" s="915">
        <f t="shared" si="10"/>
        <v>2.7541387366134993</v>
      </c>
      <c r="AN4" s="915">
        <f t="shared" ref="AN4:AO4" si="11">AN217/AN228</f>
        <v>2.5973393590461873</v>
      </c>
      <c r="AO4" s="1067">
        <f t="shared" si="11"/>
        <v>2.527417464432002</v>
      </c>
      <c r="AP4" s="35">
        <f t="shared" ca="1" si="10"/>
        <v>2.5922479181949267</v>
      </c>
      <c r="AQ4" s="35">
        <f t="shared" ca="1" si="10"/>
        <v>2.8170602944173457</v>
      </c>
      <c r="AR4" s="36">
        <f t="shared" ref="AR4:BC4" ca="1" si="12">AR217/AR228</f>
        <v>3.1414831970873496</v>
      </c>
      <c r="AS4" s="35">
        <f t="shared" ca="1" si="12"/>
        <v>2.8255438777387774</v>
      </c>
      <c r="AT4" s="35">
        <f t="shared" ca="1" si="12"/>
        <v>2.8154841724489561</v>
      </c>
      <c r="AU4" s="35">
        <f t="shared" ca="1" si="12"/>
        <v>2.5650781464771613</v>
      </c>
      <c r="AV4" s="35">
        <f t="shared" ca="1" si="12"/>
        <v>2.4299958915896127</v>
      </c>
      <c r="AW4" s="35">
        <f t="shared" ca="1" si="12"/>
        <v>2.4409833816211592</v>
      </c>
      <c r="AX4" s="35">
        <f t="shared" ca="1" si="12"/>
        <v>2.3199005205959389</v>
      </c>
      <c r="AY4" s="35">
        <f t="shared" ca="1" si="12"/>
        <v>2.1277335335339953</v>
      </c>
      <c r="AZ4" s="35">
        <f t="shared" ca="1" si="12"/>
        <v>2.1320755681694887</v>
      </c>
      <c r="BA4" s="35">
        <f t="shared" ca="1" si="12"/>
        <v>2.0382323526230133</v>
      </c>
      <c r="BB4" s="35">
        <f t="shared" ca="1" si="12"/>
        <v>1.9529485446226402</v>
      </c>
      <c r="BC4" s="35">
        <f t="shared" ca="1" si="12"/>
        <v>1.943470560108395</v>
      </c>
      <c r="BE4" s="1181">
        <f>BE217/BE228</f>
        <v>2.0040968262651671</v>
      </c>
      <c r="BF4" s="915">
        <f ca="1">BF217/BF228</f>
        <v>2.8170602944173457</v>
      </c>
      <c r="BG4" s="1181">
        <f ca="1">BG217/BG228</f>
        <v>1.943470560108395</v>
      </c>
    </row>
    <row r="5" spans="1:59" x14ac:dyDescent="0.3">
      <c r="C5" s="37" t="s">
        <v>471</v>
      </c>
      <c r="G5" s="38"/>
      <c r="H5" s="201"/>
      <c r="I5" s="408"/>
      <c r="J5" s="408"/>
      <c r="K5" s="408"/>
      <c r="L5" s="408"/>
      <c r="M5" s="408"/>
      <c r="N5" s="408"/>
      <c r="O5" s="408"/>
      <c r="P5" s="408"/>
      <c r="Q5" s="830"/>
      <c r="R5" s="408"/>
      <c r="S5" s="408"/>
      <c r="T5" s="916"/>
      <c r="U5" s="916"/>
      <c r="V5" s="916"/>
      <c r="W5" s="916"/>
      <c r="X5" s="916"/>
      <c r="Y5" s="916"/>
      <c r="Z5" s="1068"/>
      <c r="AA5" s="1068"/>
      <c r="AB5" s="1068"/>
      <c r="AC5" s="1068"/>
      <c r="AD5" s="1068"/>
      <c r="AE5" s="916"/>
      <c r="AF5" s="916"/>
      <c r="AG5" s="916"/>
      <c r="AH5" s="916"/>
      <c r="AI5" s="916"/>
      <c r="AJ5" s="916"/>
      <c r="AK5" s="916"/>
      <c r="AL5" s="916"/>
      <c r="AM5" s="916"/>
      <c r="AN5" s="916"/>
      <c r="AO5" s="1068"/>
      <c r="AP5" s="408"/>
      <c r="AQ5" s="408"/>
      <c r="AR5" s="830"/>
      <c r="AS5" s="408"/>
      <c r="AT5" s="408"/>
      <c r="AU5" s="408"/>
      <c r="AV5" s="408"/>
      <c r="AW5" s="408"/>
      <c r="AX5" s="408"/>
      <c r="AY5" s="408"/>
      <c r="AZ5" s="408"/>
      <c r="BA5" s="408"/>
      <c r="BB5" s="408"/>
      <c r="BC5" s="408"/>
      <c r="BE5" s="1213"/>
      <c r="BF5" s="916"/>
      <c r="BG5" s="1213"/>
    </row>
    <row r="6" spans="1:59" x14ac:dyDescent="0.3">
      <c r="C6" s="32" t="s">
        <v>160</v>
      </c>
      <c r="G6" s="39"/>
      <c r="H6" s="202">
        <f t="shared" ref="H6:BE6" si="13">H78/H51</f>
        <v>-4.3764840800876989E-2</v>
      </c>
      <c r="I6" s="203">
        <f t="shared" si="13"/>
        <v>0.17223099601245592</v>
      </c>
      <c r="J6" s="203">
        <f t="shared" si="13"/>
        <v>0.40223957461865667</v>
      </c>
      <c r="K6" s="203">
        <f t="shared" si="13"/>
        <v>0.22612587596200784</v>
      </c>
      <c r="L6" s="203">
        <f t="shared" si="13"/>
        <v>0.20532536356280431</v>
      </c>
      <c r="M6" s="203">
        <f t="shared" si="13"/>
        <v>0.29905970049155234</v>
      </c>
      <c r="N6" s="203">
        <f t="shared" si="13"/>
        <v>0.50007942378643411</v>
      </c>
      <c r="O6" s="203">
        <f t="shared" si="13"/>
        <v>0.27795570491692484</v>
      </c>
      <c r="P6" s="203">
        <f t="shared" si="13"/>
        <v>0.41486978197475605</v>
      </c>
      <c r="Q6" s="614">
        <f t="shared" si="13"/>
        <v>0.29386594678314742</v>
      </c>
      <c r="R6" s="203">
        <f t="shared" si="13"/>
        <v>0.29404495140019943</v>
      </c>
      <c r="S6" s="203">
        <f t="shared" si="13"/>
        <v>0.2359047249020704</v>
      </c>
      <c r="T6" s="917">
        <f t="shared" si="13"/>
        <v>0.27694687686179642</v>
      </c>
      <c r="U6" s="917">
        <f t="shared" si="13"/>
        <v>0.30278314302145842</v>
      </c>
      <c r="V6" s="917">
        <f t="shared" si="13"/>
        <v>0.20467824773794635</v>
      </c>
      <c r="W6" s="917">
        <f t="shared" si="13"/>
        <v>3.1840489030274269E-2</v>
      </c>
      <c r="X6" s="917">
        <f t="shared" si="13"/>
        <v>0.14607962094888829</v>
      </c>
      <c r="Y6" s="917">
        <f t="shared" si="13"/>
        <v>0.39472479272577199</v>
      </c>
      <c r="Z6" s="1069">
        <f t="shared" si="13"/>
        <v>0.19686123295054014</v>
      </c>
      <c r="AA6" s="1069">
        <f t="shared" si="13"/>
        <v>0.51890957914851166</v>
      </c>
      <c r="AB6" s="1069">
        <f t="shared" si="13"/>
        <v>0.38410609610305102</v>
      </c>
      <c r="AC6" s="1069">
        <f t="shared" si="13"/>
        <v>0.39493133956704146</v>
      </c>
      <c r="AD6" s="1069">
        <f t="shared" si="13"/>
        <v>0.37194112164684406</v>
      </c>
      <c r="AE6" s="917">
        <f t="shared" si="13"/>
        <v>0.40920438282977384</v>
      </c>
      <c r="AF6" s="917">
        <f t="shared" si="13"/>
        <v>-4.6591264427012967E-2</v>
      </c>
      <c r="AG6" s="917">
        <f t="shared" si="13"/>
        <v>0.26202888236155608</v>
      </c>
      <c r="AH6" s="917">
        <f t="shared" si="13"/>
        <v>0.34892260868746722</v>
      </c>
      <c r="AI6" s="917">
        <f t="shared" si="13"/>
        <v>0.34399855798845458</v>
      </c>
      <c r="AJ6" s="917">
        <f t="shared" si="13"/>
        <v>0.711583150555119</v>
      </c>
      <c r="AK6" s="917">
        <f t="shared" ref="AK6:AM6" si="14">AK78/AK51</f>
        <v>0.40411034883977592</v>
      </c>
      <c r="AL6" s="917">
        <f t="shared" si="14"/>
        <v>0.44589275332432254</v>
      </c>
      <c r="AM6" s="917">
        <f t="shared" si="14"/>
        <v>0.50682628558095033</v>
      </c>
      <c r="AN6" s="917">
        <f t="shared" ref="AN6:AO6" si="15">AN78/AN51</f>
        <v>0.42191916249365868</v>
      </c>
      <c r="AO6" s="1069">
        <f t="shared" si="15"/>
        <v>0.42131522932754584</v>
      </c>
      <c r="AP6" s="203">
        <f t="shared" si="13"/>
        <v>0.42027793310053441</v>
      </c>
      <c r="AQ6" s="203">
        <f t="shared" si="13"/>
        <v>0.41832013111755895</v>
      </c>
      <c r="AR6" s="614">
        <f t="shared" ref="AR6:BC6" si="16">AR78/AR51</f>
        <v>0.41733337426466671</v>
      </c>
      <c r="AS6" s="203">
        <f t="shared" si="16"/>
        <v>0.40668429045844318</v>
      </c>
      <c r="AT6" s="203">
        <f t="shared" si="16"/>
        <v>0.41621067422226804</v>
      </c>
      <c r="AU6" s="203">
        <f t="shared" si="16"/>
        <v>0.40604329504538383</v>
      </c>
      <c r="AV6" s="203">
        <f t="shared" si="16"/>
        <v>0.4155383522908932</v>
      </c>
      <c r="AW6" s="203">
        <f t="shared" si="16"/>
        <v>0.41529086633293777</v>
      </c>
      <c r="AX6" s="203">
        <f t="shared" si="16"/>
        <v>0.41508239048052964</v>
      </c>
      <c r="AY6" s="203">
        <f t="shared" si="16"/>
        <v>0.40334626718742639</v>
      </c>
      <c r="AZ6" s="203">
        <f t="shared" si="16"/>
        <v>0.41199532408629613</v>
      </c>
      <c r="BA6" s="203">
        <f t="shared" si="16"/>
        <v>0.41461298845931116</v>
      </c>
      <c r="BB6" s="203">
        <f t="shared" si="16"/>
        <v>0.41449247659969712</v>
      </c>
      <c r="BC6" s="203">
        <f t="shared" si="16"/>
        <v>0.41438478043651289</v>
      </c>
      <c r="BE6" s="1214">
        <f t="shared" si="13"/>
        <v>0.30962446234675362</v>
      </c>
      <c r="BF6" s="917">
        <f>BF78/BF51</f>
        <v>0.41044509319710792</v>
      </c>
      <c r="BG6" s="1214">
        <f t="shared" ref="BG6" si="17">BG78/BG51</f>
        <v>0.41217071019554252</v>
      </c>
    </row>
    <row r="7" spans="1:59" x14ac:dyDescent="0.3">
      <c r="C7" s="32" t="s">
        <v>161</v>
      </c>
      <c r="G7" s="39"/>
      <c r="H7" s="202">
        <f t="shared" ref="H7:BE7" si="18">H101/H51</f>
        <v>-0.2715881572081098</v>
      </c>
      <c r="I7" s="203">
        <f t="shared" si="18"/>
        <v>4.1733501494904506E-2</v>
      </c>
      <c r="J7" s="203">
        <f t="shared" si="18"/>
        <v>0.34664441442885136</v>
      </c>
      <c r="K7" s="203">
        <f t="shared" si="18"/>
        <v>8.1655599210985391E-2</v>
      </c>
      <c r="L7" s="203">
        <f t="shared" si="18"/>
        <v>0.15741970388870632</v>
      </c>
      <c r="M7" s="203">
        <f t="shared" si="18"/>
        <v>0.23884984472733675</v>
      </c>
      <c r="N7" s="203">
        <f t="shared" si="18"/>
        <v>0.4358726425898235</v>
      </c>
      <c r="O7" s="203">
        <f t="shared" si="18"/>
        <v>0.23072803179034532</v>
      </c>
      <c r="P7" s="203">
        <f t="shared" si="18"/>
        <v>0.34001801435513579</v>
      </c>
      <c r="Q7" s="614">
        <f t="shared" si="18"/>
        <v>0.25655942230137868</v>
      </c>
      <c r="R7" s="203">
        <f t="shared" si="18"/>
        <v>0.17772322957756945</v>
      </c>
      <c r="S7" s="203">
        <f t="shared" si="18"/>
        <v>0.20469811270122712</v>
      </c>
      <c r="T7" s="917">
        <f t="shared" si="18"/>
        <v>5.781037055880487E-2</v>
      </c>
      <c r="U7" s="917">
        <f t="shared" si="18"/>
        <v>0.13047653510363494</v>
      </c>
      <c r="V7" s="917">
        <f t="shared" si="18"/>
        <v>2.8855090929641395E-2</v>
      </c>
      <c r="W7" s="917">
        <f t="shared" si="18"/>
        <v>-0.27005741300463948</v>
      </c>
      <c r="X7" s="917">
        <f t="shared" si="18"/>
        <v>-9.3918522082315131E-2</v>
      </c>
      <c r="Y7" s="917">
        <f t="shared" si="18"/>
        <v>0.17955868749598453</v>
      </c>
      <c r="Z7" s="1069">
        <f t="shared" si="18"/>
        <v>-1.8126472019748738E-2</v>
      </c>
      <c r="AA7" s="1069">
        <f t="shared" si="18"/>
        <v>0.31408268004977469</v>
      </c>
      <c r="AB7" s="1069">
        <f t="shared" si="18"/>
        <v>0.18121536089430795</v>
      </c>
      <c r="AC7" s="1069">
        <f t="shared" si="18"/>
        <v>0.12461658728700177</v>
      </c>
      <c r="AD7" s="1069">
        <f t="shared" si="18"/>
        <v>0.15889114079243838</v>
      </c>
      <c r="AE7" s="917">
        <f t="shared" si="18"/>
        <v>0.19427498818817832</v>
      </c>
      <c r="AF7" s="917">
        <f t="shared" si="18"/>
        <v>-0.38385764116365567</v>
      </c>
      <c r="AG7" s="917">
        <f t="shared" si="18"/>
        <v>7.1211557471084111E-2</v>
      </c>
      <c r="AH7" s="917">
        <f t="shared" si="18"/>
        <v>0.1913180063914976</v>
      </c>
      <c r="AI7" s="917">
        <f t="shared" si="18"/>
        <v>0.15178184415936993</v>
      </c>
      <c r="AJ7" s="917">
        <f t="shared" si="18"/>
        <v>0.33019329255664032</v>
      </c>
      <c r="AK7" s="917">
        <f t="shared" ref="AK7:AM7" si="19">AK101/AK51</f>
        <v>0.10575122049325476</v>
      </c>
      <c r="AL7" s="917">
        <f t="shared" si="19"/>
        <v>8.2967638771679661E-2</v>
      </c>
      <c r="AM7" s="917">
        <f t="shared" si="19"/>
        <v>0.14737700437798051</v>
      </c>
      <c r="AN7" s="917">
        <f t="shared" ref="AN7:AO7" si="20">AN101/AN51</f>
        <v>0.12003536523415821</v>
      </c>
      <c r="AO7" s="1069">
        <f t="shared" si="20"/>
        <v>0.10199073276558625</v>
      </c>
      <c r="AP7" s="203">
        <f t="shared" si="18"/>
        <v>0.15959834963029906</v>
      </c>
      <c r="AQ7" s="203">
        <f t="shared" si="18"/>
        <v>0.17524577845471195</v>
      </c>
      <c r="AR7" s="614">
        <f t="shared" ref="AR7:BC7" si="21">AR101/AR51</f>
        <v>0.12579245120669255</v>
      </c>
      <c r="AS7" s="203">
        <f t="shared" si="21"/>
        <v>0.17737657210062141</v>
      </c>
      <c r="AT7" s="203">
        <f t="shared" si="21"/>
        <v>0.13032722998207058</v>
      </c>
      <c r="AU7" s="203">
        <f t="shared" si="21"/>
        <v>0.16663113465041998</v>
      </c>
      <c r="AV7" s="203">
        <f t="shared" si="21"/>
        <v>0.12809491310822063</v>
      </c>
      <c r="AW7" s="203">
        <f t="shared" si="21"/>
        <v>0.12580959131064817</v>
      </c>
      <c r="AX7" s="203">
        <f t="shared" si="21"/>
        <v>0.12439184455648124</v>
      </c>
      <c r="AY7" s="203">
        <f t="shared" si="21"/>
        <v>0.17536279863672052</v>
      </c>
      <c r="AZ7" s="203">
        <f t="shared" si="21"/>
        <v>0.13348656626898137</v>
      </c>
      <c r="BA7" s="203">
        <f t="shared" si="21"/>
        <v>0.12072791723021474</v>
      </c>
      <c r="BB7" s="203">
        <f t="shared" si="21"/>
        <v>0.11953368992084842</v>
      </c>
      <c r="BC7" s="203">
        <f t="shared" si="21"/>
        <v>0.11824177281398289</v>
      </c>
      <c r="BE7" s="1214">
        <f t="shared" si="18"/>
        <v>0.19861137858061728</v>
      </c>
      <c r="BF7" s="917">
        <f>BF101/BF51</f>
        <v>0.12952909423391556</v>
      </c>
      <c r="BG7" s="1214">
        <f t="shared" ref="BG7" si="22">BG101/BG51</f>
        <v>0.13915606522619731</v>
      </c>
    </row>
    <row r="8" spans="1:59" x14ac:dyDescent="0.3">
      <c r="C8" s="32" t="s">
        <v>162</v>
      </c>
      <c r="G8" s="39"/>
      <c r="H8" s="202">
        <f t="shared" ref="H8:BE8" si="23">H115/H51</f>
        <v>-0.27137282259639289</v>
      </c>
      <c r="I8" s="203">
        <f t="shared" si="23"/>
        <v>4.1819988871163387E-2</v>
      </c>
      <c r="J8" s="203">
        <f t="shared" si="23"/>
        <v>0.36087878759906078</v>
      </c>
      <c r="K8" s="203">
        <f t="shared" si="23"/>
        <v>8.3056728335439492E-2</v>
      </c>
      <c r="L8" s="203">
        <f t="shared" si="23"/>
        <v>0.1585394647014369</v>
      </c>
      <c r="M8" s="203">
        <f t="shared" si="23"/>
        <v>0.23992455516598532</v>
      </c>
      <c r="N8" s="203">
        <f t="shared" si="23"/>
        <v>0.4369697749269893</v>
      </c>
      <c r="O8" s="203">
        <f t="shared" si="23"/>
        <v>0.23157105528086994</v>
      </c>
      <c r="P8" s="203">
        <f t="shared" si="23"/>
        <v>0.34095329904032806</v>
      </c>
      <c r="Q8" s="614">
        <f t="shared" si="23"/>
        <v>0.25720139844945727</v>
      </c>
      <c r="R8" s="203">
        <f t="shared" si="23"/>
        <v>0.17872504282898835</v>
      </c>
      <c r="S8" s="203">
        <f t="shared" si="23"/>
        <v>0.20520877832315562</v>
      </c>
      <c r="T8" s="917">
        <f t="shared" si="23"/>
        <v>5.787419708457079E-2</v>
      </c>
      <c r="U8" s="917">
        <f t="shared" si="23"/>
        <v>0.13113040185313948</v>
      </c>
      <c r="V8" s="917">
        <f t="shared" si="23"/>
        <v>2.9413644881722968E-2</v>
      </c>
      <c r="W8" s="917">
        <f t="shared" si="23"/>
        <v>-0.26802265674793535</v>
      </c>
      <c r="X8" s="917">
        <f t="shared" si="23"/>
        <v>-9.3002532890661627E-2</v>
      </c>
      <c r="Y8" s="917">
        <f t="shared" si="23"/>
        <v>0.18406460727721946</v>
      </c>
      <c r="Z8" s="1069">
        <f t="shared" si="23"/>
        <v>-1.6898211753217207E-2</v>
      </c>
      <c r="AA8" s="1069">
        <f t="shared" si="23"/>
        <v>0.31494777891910836</v>
      </c>
      <c r="AB8" s="1069">
        <f t="shared" si="23"/>
        <v>0.18323218342630007</v>
      </c>
      <c r="AC8" s="1069">
        <f t="shared" si="23"/>
        <v>0.12874736633198131</v>
      </c>
      <c r="AD8" s="1069">
        <f t="shared" si="23"/>
        <v>0.16254202166291298</v>
      </c>
      <c r="AE8" s="917">
        <f t="shared" si="23"/>
        <v>0.19917324550318086</v>
      </c>
      <c r="AF8" s="917">
        <f t="shared" si="23"/>
        <v>-0.38043030646352921</v>
      </c>
      <c r="AG8" s="917">
        <f t="shared" si="23"/>
        <v>7.5465269485369135E-2</v>
      </c>
      <c r="AH8" s="917">
        <f t="shared" si="23"/>
        <v>0.19117989437581226</v>
      </c>
      <c r="AI8" s="917">
        <f t="shared" si="23"/>
        <v>0.15404003675117092</v>
      </c>
      <c r="AJ8" s="917">
        <f t="shared" si="23"/>
        <v>0.33233092439017714</v>
      </c>
      <c r="AK8" s="917">
        <f t="shared" si="23"/>
        <v>-8.5979920257266293E-2</v>
      </c>
      <c r="AL8" s="917">
        <f t="shared" si="23"/>
        <v>7.7269111248782732E-2</v>
      </c>
      <c r="AM8" s="917">
        <f t="shared" si="23"/>
        <v>0.14607240672836749</v>
      </c>
      <c r="AN8" s="917">
        <f t="shared" si="23"/>
        <v>0.11477225714842576</v>
      </c>
      <c r="AO8" s="1069">
        <f t="shared" ref="AO8" si="24">AO115/AO51</f>
        <v>0.1015711688674783</v>
      </c>
      <c r="AP8" s="203">
        <f t="shared" ca="1" si="23"/>
        <v>0.15730833915818612</v>
      </c>
      <c r="AQ8" s="203">
        <f t="shared" ca="1" si="23"/>
        <v>0.17360216675924206</v>
      </c>
      <c r="AR8" s="614">
        <f t="shared" ref="AR8:BC8" ca="1" si="25">AR115/AR51</f>
        <v>5.6970508583478699E-2</v>
      </c>
      <c r="AS8" s="203">
        <f t="shared" ca="1" si="25"/>
        <v>0.17051196793000367</v>
      </c>
      <c r="AT8" s="203">
        <f t="shared" ca="1" si="25"/>
        <v>0.12183607613701378</v>
      </c>
      <c r="AU8" s="203">
        <f t="shared" ca="1" si="25"/>
        <v>0.15970614358644625</v>
      </c>
      <c r="AV8" s="203">
        <f t="shared" ca="1" si="25"/>
        <v>0.11999494532634079</v>
      </c>
      <c r="AW8" s="203">
        <f t="shared" ca="1" si="25"/>
        <v>0.11803335088223532</v>
      </c>
      <c r="AX8" s="203">
        <f t="shared" ca="1" si="25"/>
        <v>0.11682454525894191</v>
      </c>
      <c r="AY8" s="203">
        <f t="shared" ca="1" si="25"/>
        <v>0.16945718163843554</v>
      </c>
      <c r="AZ8" s="203">
        <f t="shared" ca="1" si="25"/>
        <v>0.12643176111277848</v>
      </c>
      <c r="BA8" s="203">
        <f t="shared" ca="1" si="25"/>
        <v>0.11355424030790082</v>
      </c>
      <c r="BB8" s="203">
        <f t="shared" ca="1" si="25"/>
        <v>0.1123420947525562</v>
      </c>
      <c r="BC8" s="203">
        <f t="shared" ca="1" si="25"/>
        <v>0.11110766253966872</v>
      </c>
      <c r="BE8" s="1214">
        <f t="shared" si="23"/>
        <v>0.19861137858061728</v>
      </c>
      <c r="BF8" s="917">
        <f ca="1">BF115/BF51</f>
        <v>0.11085396841794709</v>
      </c>
      <c r="BG8" s="1214">
        <f t="shared" ref="BG8" ca="1" si="26">BG115/BG51</f>
        <v>0.12708943655459037</v>
      </c>
    </row>
    <row r="9" spans="1:59" x14ac:dyDescent="0.3">
      <c r="C9" s="1383" t="s">
        <v>1211</v>
      </c>
      <c r="G9" s="39"/>
      <c r="Q9" s="34"/>
      <c r="T9" s="918"/>
      <c r="U9" s="918"/>
      <c r="V9" s="918"/>
      <c r="W9" s="918"/>
      <c r="X9" s="918"/>
      <c r="Y9" s="918"/>
      <c r="Z9" s="1070"/>
      <c r="AA9" s="1070"/>
      <c r="AB9" s="1070"/>
      <c r="AC9" s="1070"/>
      <c r="AD9" s="1070"/>
      <c r="AE9" s="918"/>
      <c r="AF9" s="918"/>
      <c r="AG9" s="918"/>
      <c r="AH9" s="918"/>
      <c r="AI9" s="918"/>
      <c r="AJ9" s="918"/>
      <c r="AK9" s="918"/>
      <c r="AL9" s="918"/>
      <c r="AM9" s="918"/>
      <c r="AN9" s="918"/>
      <c r="AO9" s="1070"/>
      <c r="BE9" s="1182"/>
      <c r="BF9" s="918"/>
      <c r="BG9" s="1182"/>
    </row>
    <row r="10" spans="1:59" x14ac:dyDescent="0.3">
      <c r="C10" s="32" t="s">
        <v>163</v>
      </c>
      <c r="G10" s="39"/>
      <c r="H10" s="202">
        <f t="shared" ref="H10:AQ10" si="27">H115/H228*12</f>
        <v>-0.61264270908886709</v>
      </c>
      <c r="I10" s="203">
        <f t="shared" si="27"/>
        <v>0.18476547655017247</v>
      </c>
      <c r="J10" s="203">
        <f t="shared" si="27"/>
        <v>2.3452115241656348</v>
      </c>
      <c r="K10" s="203">
        <f t="shared" si="27"/>
        <v>0.36440905533763235</v>
      </c>
      <c r="L10" s="203">
        <f t="shared" si="27"/>
        <v>0.8094089941002669</v>
      </c>
      <c r="M10" s="203">
        <f t="shared" si="27"/>
        <v>1.3380217868036399</v>
      </c>
      <c r="N10" s="203">
        <f t="shared" si="27"/>
        <v>2.1453176287939892</v>
      </c>
      <c r="O10" s="203">
        <f t="shared" si="27"/>
        <v>1.4075944201190667</v>
      </c>
      <c r="P10" s="203">
        <f t="shared" si="27"/>
        <v>1.7331856030620691</v>
      </c>
      <c r="Q10" s="614">
        <f t="shared" si="27"/>
        <v>1.8823948382526769</v>
      </c>
      <c r="R10" s="203">
        <f t="shared" si="27"/>
        <v>0.82685215046486649</v>
      </c>
      <c r="S10" s="203">
        <f t="shared" si="27"/>
        <v>1.5155582881832688</v>
      </c>
      <c r="T10" s="917">
        <f t="shared" si="27"/>
        <v>0.27524703001278694</v>
      </c>
      <c r="U10" s="917">
        <f t="shared" si="27"/>
        <v>0.91156907798764997</v>
      </c>
      <c r="V10" s="917">
        <f t="shared" si="27"/>
        <v>0.19186050929726634</v>
      </c>
      <c r="W10" s="917">
        <f t="shared" si="27"/>
        <v>-1.7565430544941076</v>
      </c>
      <c r="X10" s="917">
        <f t="shared" si="27"/>
        <v>-0.91399549242061884</v>
      </c>
      <c r="Y10" s="917">
        <f t="shared" si="27"/>
        <v>1.7053364587603055</v>
      </c>
      <c r="Z10" s="1069">
        <f t="shared" si="27"/>
        <v>-0.12248150695035973</v>
      </c>
      <c r="AA10" s="1069">
        <f t="shared" si="27"/>
        <v>2.4721410850285839</v>
      </c>
      <c r="AB10" s="1069">
        <f t="shared" si="27"/>
        <v>1.0370028823017827</v>
      </c>
      <c r="AC10" s="1069">
        <f t="shared" si="27"/>
        <v>0.59524195556512083</v>
      </c>
      <c r="AD10" s="1069">
        <f t="shared" si="27"/>
        <v>0.60260511293173669</v>
      </c>
      <c r="AE10" s="917">
        <f t="shared" si="27"/>
        <v>1.0787231074001467</v>
      </c>
      <c r="AF10" s="917">
        <f t="shared" si="27"/>
        <v>-1.1505047727573785</v>
      </c>
      <c r="AG10" s="917">
        <f t="shared" si="27"/>
        <v>0.30774333314851798</v>
      </c>
      <c r="AH10" s="917">
        <f t="shared" si="27"/>
        <v>1.2778818808196102</v>
      </c>
      <c r="AI10" s="917">
        <f t="shared" si="27"/>
        <v>0.8338162706033444</v>
      </c>
      <c r="AJ10" s="917">
        <f t="shared" si="27"/>
        <v>1.5387429786016984</v>
      </c>
      <c r="AK10" s="917">
        <f>AK115/AK228*12</f>
        <v>-0.57803624288244959</v>
      </c>
      <c r="AL10" s="917">
        <f t="shared" ref="AL10:AM10" si="28">AL115/AL228*12</f>
        <v>0.41387548881487424</v>
      </c>
      <c r="AM10" s="917">
        <f t="shared" si="28"/>
        <v>0.7091307494321446</v>
      </c>
      <c r="AN10" s="917">
        <f t="shared" ref="AN10:AO10" si="29">AN115/AN228*12</f>
        <v>0.64908092844132792</v>
      </c>
      <c r="AO10" s="1069">
        <f t="shared" si="29"/>
        <v>0.68700439820381476</v>
      </c>
      <c r="AP10" s="203">
        <f t="shared" ca="1" si="27"/>
        <v>0.98227541700977261</v>
      </c>
      <c r="AQ10" s="203">
        <f t="shared" ca="1" si="27"/>
        <v>1.2024819521274668</v>
      </c>
      <c r="AR10" s="614">
        <f t="shared" ref="AR10:BC10" ca="1" si="30">AR115/AR228*12</f>
        <v>0.36249663033715035</v>
      </c>
      <c r="AS10" s="203">
        <f t="shared" ca="1" si="30"/>
        <v>1.1983727902929635</v>
      </c>
      <c r="AT10" s="203">
        <f t="shared" ca="1" si="30"/>
        <v>0.69858993615510379</v>
      </c>
      <c r="AU10" s="203">
        <f t="shared" ca="1" si="30"/>
        <v>1.0104769540860152</v>
      </c>
      <c r="AV10" s="203">
        <f t="shared" ca="1" si="30"/>
        <v>0.59866180887477394</v>
      </c>
      <c r="AW10" s="203">
        <f t="shared" ca="1" si="30"/>
        <v>0.59374188630679847</v>
      </c>
      <c r="AX10" s="203">
        <f t="shared" ca="1" si="30"/>
        <v>0.56022598612528429</v>
      </c>
      <c r="AY10" s="203">
        <f t="shared" ca="1" si="30"/>
        <v>0.95603132524634815</v>
      </c>
      <c r="AZ10" s="203">
        <f t="shared" ca="1" si="30"/>
        <v>0.5901236109200606</v>
      </c>
      <c r="BA10" s="203">
        <f t="shared" ca="1" si="30"/>
        <v>0.48385748679724067</v>
      </c>
      <c r="BB10" s="203">
        <f t="shared" ca="1" si="30"/>
        <v>0.46032948129156676</v>
      </c>
      <c r="BC10" s="203">
        <f t="shared" ca="1" si="30"/>
        <v>0.45476408786691441</v>
      </c>
      <c r="BE10" s="1214">
        <f>BE115/BE228</f>
        <v>0.97517756612914452</v>
      </c>
      <c r="BF10" s="917">
        <f ca="1">BF115/BF228*12</f>
        <v>5.9019530533989846</v>
      </c>
      <c r="BG10" s="1214">
        <f ca="1">BG115/BG228</f>
        <v>0.55318992853754012</v>
      </c>
    </row>
    <row r="11" spans="1:59" x14ac:dyDescent="0.3">
      <c r="C11" s="32" t="s">
        <v>164</v>
      </c>
      <c r="G11" s="40"/>
      <c r="H11" s="205">
        <f t="shared" ref="H11:AN11" si="31">H51/H160</f>
        <v>0.42170372731692285</v>
      </c>
      <c r="I11" s="206">
        <f t="shared" si="31"/>
        <v>0.62696628887653527</v>
      </c>
      <c r="J11" s="206">
        <f t="shared" si="31"/>
        <v>0.75768887398822493</v>
      </c>
      <c r="K11" s="206">
        <f t="shared" si="31"/>
        <v>0.42699348184541391</v>
      </c>
      <c r="L11" s="206">
        <f t="shared" si="31"/>
        <v>0.48680522699514966</v>
      </c>
      <c r="M11" s="206">
        <f t="shared" si="31"/>
        <v>0.62961901951352384</v>
      </c>
      <c r="N11" s="206">
        <f t="shared" si="31"/>
        <v>0.69027993011541822</v>
      </c>
      <c r="O11" s="206">
        <f t="shared" si="31"/>
        <v>0.68298772649272121</v>
      </c>
      <c r="P11" s="206">
        <f t="shared" si="31"/>
        <v>0.94562313224510997</v>
      </c>
      <c r="Q11" s="206">
        <f t="shared" si="31"/>
        <v>1.4298982515552059</v>
      </c>
      <c r="R11" s="206">
        <f t="shared" si="31"/>
        <v>0.4641915228620026</v>
      </c>
      <c r="S11" s="206">
        <f t="shared" si="31"/>
        <v>1.7416326617749456</v>
      </c>
      <c r="T11" s="919">
        <f t="shared" si="31"/>
        <v>1.622634489638626</v>
      </c>
      <c r="U11" s="919">
        <f t="shared" si="31"/>
        <v>1.3575814469627647</v>
      </c>
      <c r="V11" s="919">
        <f t="shared" si="31"/>
        <v>1.067102019887977</v>
      </c>
      <c r="W11" s="919">
        <f t="shared" si="31"/>
        <v>0.89506006443146746</v>
      </c>
      <c r="X11" s="919">
        <f t="shared" si="31"/>
        <v>1.2125648361435106</v>
      </c>
      <c r="Y11" s="919">
        <f t="shared" si="31"/>
        <v>1.2572168227514477</v>
      </c>
      <c r="Z11" s="1071">
        <f t="shared" si="31"/>
        <v>1.010786439739632</v>
      </c>
      <c r="AA11" s="1071">
        <f t="shared" si="31"/>
        <v>1.0050247537249755</v>
      </c>
      <c r="AB11" s="1071">
        <f t="shared" si="31"/>
        <v>0.7492372610161685</v>
      </c>
      <c r="AC11" s="1071">
        <f t="shared" si="31"/>
        <v>0.68132150859594165</v>
      </c>
      <c r="AD11" s="1071">
        <f t="shared" si="31"/>
        <v>0.66269398407561309</v>
      </c>
      <c r="AE11" s="919">
        <f t="shared" si="31"/>
        <v>0.95491970666929316</v>
      </c>
      <c r="AF11" s="919">
        <f t="shared" si="31"/>
        <v>0.62658864903101585</v>
      </c>
      <c r="AG11" s="919">
        <f t="shared" si="31"/>
        <v>1.0760136960740891</v>
      </c>
      <c r="AH11" s="919">
        <f t="shared" si="31"/>
        <v>1.768295632392956</v>
      </c>
      <c r="AI11" s="919">
        <f t="shared" si="31"/>
        <v>1.4811415591181838</v>
      </c>
      <c r="AJ11" s="919">
        <f t="shared" si="31"/>
        <v>1.3660083045444062</v>
      </c>
      <c r="AK11" s="919">
        <f t="shared" si="31"/>
        <v>1.5868456906416224</v>
      </c>
      <c r="AL11" s="919">
        <f t="shared" si="31"/>
        <v>2.2696452318890596</v>
      </c>
      <c r="AM11" s="919">
        <f t="shared" si="31"/>
        <v>1.6879380987242172</v>
      </c>
      <c r="AN11" s="919">
        <f t="shared" si="31"/>
        <v>1.9421319845492875</v>
      </c>
      <c r="AO11" s="1071">
        <f t="shared" ref="AO11" si="32">AO51/AO160</f>
        <v>1.9638319843952139</v>
      </c>
      <c r="AP11" s="206">
        <f t="shared" ref="AP11:BC11" si="33">AVERAGE(AJ11:AO11)</f>
        <v>1.8027335491239678</v>
      </c>
      <c r="AQ11" s="206">
        <f t="shared" si="33"/>
        <v>1.8755210898872281</v>
      </c>
      <c r="AR11" s="1608">
        <f t="shared" si="33"/>
        <v>1.9236336564281622</v>
      </c>
      <c r="AS11" s="206">
        <f t="shared" si="33"/>
        <v>1.8659650605180127</v>
      </c>
      <c r="AT11" s="206">
        <f t="shared" si="33"/>
        <v>1.8956362208169788</v>
      </c>
      <c r="AU11" s="206">
        <f t="shared" si="33"/>
        <v>1.8878869268615939</v>
      </c>
      <c r="AV11" s="206">
        <f t="shared" si="33"/>
        <v>1.8752294172726574</v>
      </c>
      <c r="AW11" s="206">
        <f t="shared" si="33"/>
        <v>1.8873120619641057</v>
      </c>
      <c r="AX11" s="206">
        <f t="shared" si="33"/>
        <v>1.8892772239769187</v>
      </c>
      <c r="AY11" s="206">
        <f t="shared" si="33"/>
        <v>1.8835511519017112</v>
      </c>
      <c r="AZ11" s="206">
        <f t="shared" si="33"/>
        <v>1.8864821671323275</v>
      </c>
      <c r="BA11" s="206">
        <f t="shared" si="33"/>
        <v>1.8849564915182189</v>
      </c>
      <c r="BB11" s="206">
        <f t="shared" si="33"/>
        <v>1.8844680856276563</v>
      </c>
      <c r="BC11" s="206">
        <f t="shared" si="33"/>
        <v>1.8860078636868229</v>
      </c>
      <c r="BE11" s="1215">
        <f>BE51/BE160</f>
        <v>10.582333936458475</v>
      </c>
      <c r="BF11" s="919">
        <f>BF51/BF160</f>
        <v>22.725296001776904</v>
      </c>
      <c r="BG11" s="1215">
        <f>BG51/BG160</f>
        <v>37.941449752128555</v>
      </c>
    </row>
    <row r="12" spans="1:59" x14ac:dyDescent="0.3">
      <c r="C12" s="32" t="s">
        <v>165</v>
      </c>
      <c r="G12" s="40"/>
      <c r="H12" s="205">
        <f t="shared" ref="H12:BE12" si="34">H26/H11</f>
        <v>73.511325586891431</v>
      </c>
      <c r="I12" s="205">
        <f t="shared" si="34"/>
        <v>44.659498439977327</v>
      </c>
      <c r="J12" s="205">
        <f t="shared" si="34"/>
        <v>40.913890997008046</v>
      </c>
      <c r="K12" s="205">
        <f t="shared" si="34"/>
        <v>70.258683739956979</v>
      </c>
      <c r="L12" s="205">
        <f t="shared" si="34"/>
        <v>61.626289810357576</v>
      </c>
      <c r="M12" s="205">
        <f t="shared" si="34"/>
        <v>49.236123813337471</v>
      </c>
      <c r="N12" s="205">
        <f t="shared" si="34"/>
        <v>44.909316709840667</v>
      </c>
      <c r="O12" s="205">
        <f t="shared" si="34"/>
        <v>45.388809780215539</v>
      </c>
      <c r="P12" s="205">
        <f t="shared" si="34"/>
        <v>31.725112232368549</v>
      </c>
      <c r="Q12" s="205">
        <f t="shared" si="34"/>
        <v>21.679864260469824</v>
      </c>
      <c r="R12" s="205">
        <f t="shared" si="34"/>
        <v>64.62849604627219</v>
      </c>
      <c r="S12" s="205">
        <f t="shared" si="34"/>
        <v>17.79939058354995</v>
      </c>
      <c r="T12" s="919">
        <f t="shared" si="34"/>
        <v>19.104733812791046</v>
      </c>
      <c r="U12" s="919">
        <f t="shared" si="34"/>
        <v>20.624913564223139</v>
      </c>
      <c r="V12" s="919">
        <f t="shared" si="34"/>
        <v>29.050643164609827</v>
      </c>
      <c r="W12" s="919">
        <f t="shared" si="34"/>
        <v>33.517303689619624</v>
      </c>
      <c r="X12" s="919">
        <f t="shared" si="34"/>
        <v>25.565643234875285</v>
      </c>
      <c r="Y12" s="919">
        <f t="shared" si="34"/>
        <v>23.862232398660012</v>
      </c>
      <c r="Z12" s="1071">
        <f t="shared" si="34"/>
        <v>30.669188644819251</v>
      </c>
      <c r="AA12" s="1071">
        <f t="shared" si="34"/>
        <v>30.845011414000592</v>
      </c>
      <c r="AB12" s="1071">
        <f t="shared" si="34"/>
        <v>40.040720824951876</v>
      </c>
      <c r="AC12" s="1071">
        <f t="shared" si="34"/>
        <v>45.499811188823891</v>
      </c>
      <c r="AD12" s="1071">
        <f t="shared" si="34"/>
        <v>45.269763602648027</v>
      </c>
      <c r="AE12" s="919">
        <f t="shared" si="34"/>
        <v>32.463462407877493</v>
      </c>
      <c r="AF12" s="919">
        <f t="shared" si="34"/>
        <v>49.474244463157383</v>
      </c>
      <c r="AG12" s="920">
        <f t="shared" si="34"/>
        <v>26.021973606990272</v>
      </c>
      <c r="AH12" s="920">
        <f t="shared" si="34"/>
        <v>17.531005241498605</v>
      </c>
      <c r="AI12" s="920">
        <f t="shared" si="34"/>
        <v>20.25464738013352</v>
      </c>
      <c r="AJ12" s="920">
        <f t="shared" si="34"/>
        <v>22.693859105299641</v>
      </c>
      <c r="AK12" s="920">
        <f t="shared" ref="AK12:AM12" si="35">AK26/AK11</f>
        <v>18.905429921084419</v>
      </c>
      <c r="AL12" s="920">
        <f t="shared" si="35"/>
        <v>13.658522294340353</v>
      </c>
      <c r="AM12" s="920">
        <f t="shared" si="35"/>
        <v>18.365602401788621</v>
      </c>
      <c r="AN12" s="920">
        <f t="shared" ref="AN12:AO12" si="36">AN26/AN11</f>
        <v>15.446941937348367</v>
      </c>
      <c r="AO12" s="1072">
        <f t="shared" si="36"/>
        <v>15.785464462504326</v>
      </c>
      <c r="AP12" s="206">
        <f t="shared" si="34"/>
        <v>16.641394406055404</v>
      </c>
      <c r="AQ12" s="206">
        <f t="shared" si="34"/>
        <v>16.528739755127987</v>
      </c>
      <c r="AR12" s="1608">
        <f t="shared" ref="AR12:BC12" si="37">AR26/AR11</f>
        <v>16.115334588999321</v>
      </c>
      <c r="AS12" s="206">
        <f t="shared" si="37"/>
        <v>16.613387172101742</v>
      </c>
      <c r="AT12" s="206">
        <f t="shared" si="37"/>
        <v>16.353348632808704</v>
      </c>
      <c r="AU12" s="206">
        <f t="shared" si="37"/>
        <v>16.420474954786684</v>
      </c>
      <c r="AV12" s="206">
        <f t="shared" si="37"/>
        <v>16.531310630294264</v>
      </c>
      <c r="AW12" s="206">
        <f t="shared" si="37"/>
        <v>16.425476541350893</v>
      </c>
      <c r="AX12" s="206">
        <f t="shared" si="37"/>
        <v>16.408391318424492</v>
      </c>
      <c r="AY12" s="206">
        <f t="shared" si="37"/>
        <v>16.458273495095217</v>
      </c>
      <c r="AZ12" s="206">
        <f t="shared" si="37"/>
        <v>16.432702381238837</v>
      </c>
      <c r="BA12" s="206">
        <f t="shared" si="37"/>
        <v>16.446002939320561</v>
      </c>
      <c r="BB12" s="206">
        <f t="shared" si="37"/>
        <v>16.450265322309711</v>
      </c>
      <c r="BC12" s="206">
        <f t="shared" si="37"/>
        <v>16.436834966000777</v>
      </c>
      <c r="BE12" s="1215">
        <f t="shared" si="34"/>
        <v>34.49144604504442</v>
      </c>
      <c r="BF12" s="920">
        <f>BF26/BF11</f>
        <v>16.061396954805801</v>
      </c>
      <c r="BG12" s="1215">
        <f t="shared" ref="BG12" si="38">BG26/BG11</f>
        <v>9.6200857475015997</v>
      </c>
    </row>
    <row r="13" spans="1:59" x14ac:dyDescent="0.3">
      <c r="C13" s="32" t="s">
        <v>166</v>
      </c>
      <c r="G13" s="40"/>
      <c r="H13" s="205">
        <f t="shared" ref="H13:AE13" si="39">H75/SUM(H165:H167,H168)</f>
        <v>0.25742068580251093</v>
      </c>
      <c r="I13" s="206">
        <f t="shared" si="39"/>
        <v>0.34725352734751247</v>
      </c>
      <c r="J13" s="206">
        <f t="shared" si="39"/>
        <v>0.35429679092241301</v>
      </c>
      <c r="K13" s="206">
        <f t="shared" si="39"/>
        <v>0.25984327398193963</v>
      </c>
      <c r="L13" s="206">
        <f t="shared" si="39"/>
        <v>0.33714255709887059</v>
      </c>
      <c r="M13" s="206">
        <f t="shared" si="39"/>
        <v>0.47491719580153746</v>
      </c>
      <c r="N13" s="206">
        <f t="shared" si="39"/>
        <v>0.28592397321901403</v>
      </c>
      <c r="O13" s="206">
        <f t="shared" si="39"/>
        <v>0.44467413544414669</v>
      </c>
      <c r="P13" s="206">
        <f t="shared" si="39"/>
        <v>0.29039233303157252</v>
      </c>
      <c r="Q13" s="206">
        <f t="shared" si="39"/>
        <v>0.58828296022544868</v>
      </c>
      <c r="R13" s="206">
        <f t="shared" si="39"/>
        <v>0.32914494934010269</v>
      </c>
      <c r="S13" s="206">
        <f t="shared" si="39"/>
        <v>0.97004851248099822</v>
      </c>
      <c r="T13" s="919">
        <f t="shared" si="39"/>
        <v>0.37664373889880631</v>
      </c>
      <c r="U13" s="919">
        <f t="shared" si="39"/>
        <v>0.51014642038877778</v>
      </c>
      <c r="V13" s="919">
        <f t="shared" si="39"/>
        <v>0.50749039465299017</v>
      </c>
      <c r="W13" s="919">
        <f t="shared" si="39"/>
        <v>0.39026127170892472</v>
      </c>
      <c r="X13" s="919">
        <f t="shared" si="39"/>
        <v>0.44965972284822653</v>
      </c>
      <c r="Y13" s="919">
        <f t="shared" si="39"/>
        <v>0.2498504764859516</v>
      </c>
      <c r="Z13" s="1071">
        <f t="shared" si="39"/>
        <v>0.32926950506447233</v>
      </c>
      <c r="AA13" s="1071">
        <f t="shared" si="39"/>
        <v>0.25956536835040217</v>
      </c>
      <c r="AB13" s="1071">
        <f t="shared" si="39"/>
        <v>0.28901553187683865</v>
      </c>
      <c r="AC13" s="1071">
        <f t="shared" si="39"/>
        <v>0.21700164741381148</v>
      </c>
      <c r="AD13" s="1071">
        <f t="shared" si="39"/>
        <v>0.17554777906124983</v>
      </c>
      <c r="AE13" s="919">
        <f t="shared" si="39"/>
        <v>0.25094647627023048</v>
      </c>
      <c r="AF13" s="919">
        <f t="shared" ref="AF13:AJ13" si="40">AF71/SUM(AF165:AF168)</f>
        <v>0.23918981473092935</v>
      </c>
      <c r="AG13" s="919">
        <f t="shared" si="40"/>
        <v>0.20760292131098873</v>
      </c>
      <c r="AH13" s="919">
        <f t="shared" si="40"/>
        <v>0.29798206193643767</v>
      </c>
      <c r="AI13" s="919">
        <f t="shared" si="40"/>
        <v>0.20650281401312515</v>
      </c>
      <c r="AJ13" s="919">
        <f t="shared" si="40"/>
        <v>9.5475017558742312E-2</v>
      </c>
      <c r="AK13" s="919">
        <f t="shared" ref="AK13:AL13" si="41">AK71/SUM(AK165:AK168)</f>
        <v>0.23402783303029004</v>
      </c>
      <c r="AL13" s="919">
        <f t="shared" si="41"/>
        <v>0.17771910765476528</v>
      </c>
      <c r="AM13" s="919">
        <f>AM71/SUM(AM165:AM168)</f>
        <v>0.11325459840569707</v>
      </c>
      <c r="AN13" s="919">
        <f>AN71/SUM(AN165:AN168)</f>
        <v>0.1488616301083627</v>
      </c>
      <c r="AO13" s="1071">
        <f>AO71/SUM(AO165:AO168)</f>
        <v>0.2463627364923538</v>
      </c>
      <c r="AP13" s="206">
        <f t="shared" ref="AP13:BC13" si="42">AVERAGE(AM13:AO13)</f>
        <v>0.16949298833547122</v>
      </c>
      <c r="AQ13" s="206">
        <f t="shared" si="42"/>
        <v>0.18823911831206255</v>
      </c>
      <c r="AR13" s="1608">
        <f t="shared" si="42"/>
        <v>0.20136494771329586</v>
      </c>
      <c r="AS13" s="206">
        <f t="shared" si="42"/>
        <v>0.18636568478694318</v>
      </c>
      <c r="AT13" s="206">
        <f t="shared" si="42"/>
        <v>0.19198991693743386</v>
      </c>
      <c r="AU13" s="206">
        <f t="shared" si="42"/>
        <v>0.19324018314589098</v>
      </c>
      <c r="AV13" s="206">
        <f t="shared" si="42"/>
        <v>0.19053192829008933</v>
      </c>
      <c r="AW13" s="206">
        <f t="shared" si="42"/>
        <v>0.19192067612447139</v>
      </c>
      <c r="AX13" s="206">
        <f t="shared" si="42"/>
        <v>0.1918975958534839</v>
      </c>
      <c r="AY13" s="206">
        <f t="shared" si="42"/>
        <v>0.19145006675601486</v>
      </c>
      <c r="AZ13" s="206">
        <f t="shared" si="42"/>
        <v>0.19175611291132336</v>
      </c>
      <c r="BA13" s="206">
        <f t="shared" si="42"/>
        <v>0.19170125850694072</v>
      </c>
      <c r="BB13" s="206">
        <f t="shared" si="42"/>
        <v>0.19163581272475963</v>
      </c>
      <c r="BC13" s="206">
        <f t="shared" si="42"/>
        <v>0.19169772804767457</v>
      </c>
      <c r="BE13" s="1215">
        <f>BE75/SUM(BE165:BE167,BE168)</f>
        <v>1.8264461202521787</v>
      </c>
      <c r="BF13" s="1252">
        <f>BF75/SUM(BF165:BF167,BF168)</f>
        <v>2.2864317043480087</v>
      </c>
      <c r="BG13" s="1215">
        <f>BG75/SUM(BG165:BG167,BG168)</f>
        <v>3.8545626463859963</v>
      </c>
    </row>
    <row r="14" spans="1:59" x14ac:dyDescent="0.3">
      <c r="C14" s="32" t="s">
        <v>167</v>
      </c>
      <c r="G14" s="41"/>
      <c r="H14" s="205">
        <f t="shared" ref="H14:BE14" si="43">H26/H13</f>
        <v>120.4254425139039</v>
      </c>
      <c r="I14" s="205">
        <f t="shared" si="43"/>
        <v>80.632730252957572</v>
      </c>
      <c r="J14" s="205">
        <f t="shared" si="43"/>
        <v>87.497264424245515</v>
      </c>
      <c r="K14" s="205">
        <f t="shared" si="43"/>
        <v>115.45421030249621</v>
      </c>
      <c r="L14" s="205">
        <f t="shared" si="43"/>
        <v>88.983130038970984</v>
      </c>
      <c r="M14" s="205">
        <f t="shared" si="43"/>
        <v>65.274536854114146</v>
      </c>
      <c r="N14" s="205">
        <f t="shared" si="43"/>
        <v>108.42042956731861</v>
      </c>
      <c r="O14" s="205">
        <f t="shared" si="43"/>
        <v>69.713971488440109</v>
      </c>
      <c r="P14" s="205">
        <f t="shared" si="43"/>
        <v>103.30851261399621</v>
      </c>
      <c r="Q14" s="205">
        <f t="shared" si="43"/>
        <v>52.695729939415237</v>
      </c>
      <c r="R14" s="205">
        <f t="shared" si="43"/>
        <v>91.145253968339816</v>
      </c>
      <c r="S14" s="205">
        <f t="shared" si="43"/>
        <v>31.957164617173973</v>
      </c>
      <c r="T14" s="919">
        <f t="shared" si="43"/>
        <v>82.305894930404875</v>
      </c>
      <c r="U14" s="919">
        <f t="shared" si="43"/>
        <v>54.886203021206079</v>
      </c>
      <c r="V14" s="919">
        <f t="shared" si="43"/>
        <v>61.084899983569265</v>
      </c>
      <c r="W14" s="919">
        <f t="shared" si="43"/>
        <v>76.8715785418119</v>
      </c>
      <c r="X14" s="919">
        <f t="shared" si="43"/>
        <v>68.941020119926151</v>
      </c>
      <c r="Y14" s="919">
        <f t="shared" si="43"/>
        <v>120.07181423841237</v>
      </c>
      <c r="Z14" s="1071">
        <f t="shared" si="43"/>
        <v>94.147801491456278</v>
      </c>
      <c r="AA14" s="1071">
        <f t="shared" si="43"/>
        <v>119.43041630326941</v>
      </c>
      <c r="AB14" s="1071">
        <f t="shared" si="43"/>
        <v>103.80064976156447</v>
      </c>
      <c r="AC14" s="1071">
        <f t="shared" si="43"/>
        <v>142.85605832698829</v>
      </c>
      <c r="AD14" s="1071">
        <f t="shared" si="43"/>
        <v>170.89364593745611</v>
      </c>
      <c r="AE14" s="919">
        <f t="shared" si="43"/>
        <v>123.53231836823164</v>
      </c>
      <c r="AF14" s="919">
        <f t="shared" si="43"/>
        <v>129.60418082547821</v>
      </c>
      <c r="AG14" s="919">
        <f t="shared" si="43"/>
        <v>134.87286124483796</v>
      </c>
      <c r="AH14" s="919">
        <f t="shared" si="43"/>
        <v>104.03310789430199</v>
      </c>
      <c r="AI14" s="919">
        <f t="shared" si="43"/>
        <v>145.27647065426055</v>
      </c>
      <c r="AJ14" s="919">
        <f t="shared" si="43"/>
        <v>324.69226812057747</v>
      </c>
      <c r="AK14" s="919">
        <f t="shared" ref="AK14:AM14" si="44">AK26/AK13</f>
        <v>128.18988071438974</v>
      </c>
      <c r="AL14" s="919">
        <f t="shared" si="44"/>
        <v>174.43256613813398</v>
      </c>
      <c r="AM14" s="919">
        <f t="shared" si="44"/>
        <v>273.71957021076327</v>
      </c>
      <c r="AN14" s="919">
        <f t="shared" ref="AN14:AO14" si="45">AN26/AN13</f>
        <v>201.529433596567</v>
      </c>
      <c r="AO14" s="1071">
        <f t="shared" si="45"/>
        <v>125.83071791363272</v>
      </c>
      <c r="AP14" s="206">
        <f t="shared" si="43"/>
        <v>176.99847229445331</v>
      </c>
      <c r="AQ14" s="206">
        <f t="shared" si="43"/>
        <v>164.68415427131487</v>
      </c>
      <c r="AR14" s="1608">
        <f t="shared" ref="AR14:BC14" si="46">AR26/AR13</f>
        <v>153.9493360291182</v>
      </c>
      <c r="AS14" s="206">
        <f t="shared" si="46"/>
        <v>166.33963508593223</v>
      </c>
      <c r="AT14" s="206">
        <f t="shared" si="46"/>
        <v>161.46681291654684</v>
      </c>
      <c r="AU14" s="206">
        <f t="shared" si="46"/>
        <v>160.42212077907141</v>
      </c>
      <c r="AV14" s="206">
        <f t="shared" si="46"/>
        <v>162.70238945360262</v>
      </c>
      <c r="AW14" s="206">
        <f t="shared" si="46"/>
        <v>161.52506663687842</v>
      </c>
      <c r="AX14" s="206">
        <f t="shared" si="46"/>
        <v>161.54449388552459</v>
      </c>
      <c r="AY14" s="206">
        <f t="shared" si="46"/>
        <v>161.92211643105139</v>
      </c>
      <c r="AZ14" s="206">
        <f t="shared" si="46"/>
        <v>161.66368586296798</v>
      </c>
      <c r="BA14" s="206">
        <f t="shared" si="46"/>
        <v>161.7099451586418</v>
      </c>
      <c r="BB14" s="206">
        <f t="shared" si="46"/>
        <v>161.76517092097137</v>
      </c>
      <c r="BC14" s="206">
        <f t="shared" si="46"/>
        <v>161.71292333882229</v>
      </c>
      <c r="BE14" s="1215">
        <f t="shared" si="43"/>
        <v>199.84164654668498</v>
      </c>
      <c r="BF14" s="919">
        <f>BF26/BF13</f>
        <v>159.63739450686202</v>
      </c>
      <c r="BG14" s="1215">
        <f t="shared" ref="BG14" si="47">BG26/BG13</f>
        <v>94.692973881802331</v>
      </c>
    </row>
    <row r="15" spans="1:59" x14ac:dyDescent="0.3">
      <c r="C15" s="32" t="s">
        <v>168</v>
      </c>
      <c r="D15" s="32"/>
      <c r="G15" s="40"/>
      <c r="H15" s="205">
        <f t="shared" ref="H15:AI15" si="48">H75/H193</f>
        <v>0.44479216302583402</v>
      </c>
      <c r="I15" s="206">
        <f t="shared" si="48"/>
        <v>0.47680017692477744</v>
      </c>
      <c r="J15" s="206">
        <f t="shared" si="48"/>
        <v>0.43376862885318518</v>
      </c>
      <c r="K15" s="206">
        <f t="shared" si="48"/>
        <v>0.35917263840870861</v>
      </c>
      <c r="L15" s="206">
        <f t="shared" si="48"/>
        <v>0.47101956411138729</v>
      </c>
      <c r="M15" s="206">
        <f t="shared" si="48"/>
        <v>0.75190672826039218</v>
      </c>
      <c r="N15" s="206">
        <f t="shared" si="48"/>
        <v>0.76801095641375539</v>
      </c>
      <c r="O15" s="206">
        <f t="shared" si="48"/>
        <v>0.7252299136979401</v>
      </c>
      <c r="P15" s="206">
        <f t="shared" si="48"/>
        <v>0.75087920252634144</v>
      </c>
      <c r="Q15" s="206">
        <f t="shared" si="48"/>
        <v>1.7975815215090176</v>
      </c>
      <c r="R15" s="206">
        <f t="shared" si="48"/>
        <v>0.83409455139835786</v>
      </c>
      <c r="S15" s="206">
        <f t="shared" si="48"/>
        <v>2.6093281683654368</v>
      </c>
      <c r="T15" s="919">
        <f t="shared" si="48"/>
        <v>0.9622834872477003</v>
      </c>
      <c r="U15" s="919">
        <f t="shared" si="48"/>
        <v>1.1191355831167358</v>
      </c>
      <c r="V15" s="919">
        <f t="shared" si="48"/>
        <v>1.5298524357593557</v>
      </c>
      <c r="W15" s="919">
        <f t="shared" si="48"/>
        <v>0.94325227947624501</v>
      </c>
      <c r="X15" s="919">
        <f t="shared" si="48"/>
        <v>1.5208469406348302</v>
      </c>
      <c r="Y15" s="919">
        <f t="shared" si="48"/>
        <v>1.9592661831467455</v>
      </c>
      <c r="Z15" s="1071">
        <f t="shared" si="48"/>
        <v>3.6055600804663515</v>
      </c>
      <c r="AA15" s="1071">
        <f t="shared" si="48"/>
        <v>3.08458715833468</v>
      </c>
      <c r="AB15" s="1071">
        <f t="shared" si="48"/>
        <v>4.9264006154870978</v>
      </c>
      <c r="AC15" s="1071">
        <f t="shared" si="48"/>
        <v>1.3079906300511548</v>
      </c>
      <c r="AD15" s="1071">
        <f t="shared" si="48"/>
        <v>1.237532284100749</v>
      </c>
      <c r="AE15" s="919">
        <f t="shared" si="48"/>
        <v>1.6467633123126344</v>
      </c>
      <c r="AF15" s="919">
        <f t="shared" si="48"/>
        <v>1.4953045420575271</v>
      </c>
      <c r="AG15" s="919">
        <f t="shared" si="48"/>
        <v>1.1087102846218424</v>
      </c>
      <c r="AH15" s="919">
        <f t="shared" si="48"/>
        <v>1.5747501131525881</v>
      </c>
      <c r="AI15" s="919">
        <f t="shared" si="48"/>
        <v>1.4850810572866739</v>
      </c>
      <c r="AJ15" s="919">
        <f t="shared" ref="AJ15:AM15" si="49">AJ75/AJ193</f>
        <v>0.86188345956729717</v>
      </c>
      <c r="AK15" s="919">
        <f t="shared" si="49"/>
        <v>2.3213958761336979</v>
      </c>
      <c r="AL15" s="919">
        <f t="shared" si="49"/>
        <v>1.9666703937158749</v>
      </c>
      <c r="AM15" s="919">
        <f t="shared" si="49"/>
        <v>1.5161744138624966</v>
      </c>
      <c r="AN15" s="919">
        <f t="shared" ref="AN15:AO15" si="50">AN75/AN193</f>
        <v>1.4781770708748654</v>
      </c>
      <c r="AO15" s="1071">
        <f t="shared" si="50"/>
        <v>2.1242717814990928</v>
      </c>
      <c r="AP15" s="206">
        <f t="shared" ref="AP15:BC15" si="51">AVERAGE(AJ15:AO15)</f>
        <v>1.7114288326088876</v>
      </c>
      <c r="AQ15" s="206">
        <f t="shared" si="51"/>
        <v>1.8530197281158192</v>
      </c>
      <c r="AR15" s="1608">
        <f t="shared" si="51"/>
        <v>1.7749570367795062</v>
      </c>
      <c r="AS15" s="206">
        <f t="shared" si="51"/>
        <v>1.7430048106234446</v>
      </c>
      <c r="AT15" s="206">
        <f t="shared" si="51"/>
        <v>1.7808098767502694</v>
      </c>
      <c r="AU15" s="206">
        <f t="shared" si="51"/>
        <v>1.8312486777295032</v>
      </c>
      <c r="AV15" s="206">
        <f t="shared" si="51"/>
        <v>1.7824114937679048</v>
      </c>
      <c r="AW15" s="206">
        <f t="shared" si="51"/>
        <v>1.7942419372944078</v>
      </c>
      <c r="AX15" s="206">
        <f t="shared" si="51"/>
        <v>1.7844456388241727</v>
      </c>
      <c r="AY15" s="206">
        <f t="shared" si="51"/>
        <v>1.7860270724982836</v>
      </c>
      <c r="AZ15" s="206">
        <f t="shared" si="51"/>
        <v>1.7931974494774234</v>
      </c>
      <c r="BA15" s="206">
        <f t="shared" si="51"/>
        <v>1.7952620449319492</v>
      </c>
      <c r="BB15" s="206">
        <f t="shared" si="51"/>
        <v>1.7892642727990236</v>
      </c>
      <c r="BC15" s="206">
        <f t="shared" si="51"/>
        <v>1.7904064026375435</v>
      </c>
      <c r="BE15" s="1215">
        <f>BE75/BE193</f>
        <v>48.183403173038535</v>
      </c>
      <c r="BF15" s="919">
        <f>BF75/BF193</f>
        <v>22.507558966157976</v>
      </c>
      <c r="BG15" s="1215">
        <f>BG75/BG193</f>
        <v>36.000602154975397</v>
      </c>
    </row>
    <row r="16" spans="1:59" x14ac:dyDescent="0.3">
      <c r="C16" s="32" t="s">
        <v>169</v>
      </c>
      <c r="G16" s="41"/>
      <c r="H16" s="205">
        <f t="shared" ref="H16:BE16" si="52">H26/H15</f>
        <v>69.695472575580169</v>
      </c>
      <c r="I16" s="205">
        <f t="shared" si="52"/>
        <v>58.724810423921951</v>
      </c>
      <c r="J16" s="205">
        <f t="shared" si="52"/>
        <v>71.466671257345283</v>
      </c>
      <c r="K16" s="205">
        <f t="shared" si="52"/>
        <v>83.525293387918083</v>
      </c>
      <c r="L16" s="205">
        <f t="shared" si="52"/>
        <v>63.691621932089348</v>
      </c>
      <c r="M16" s="205">
        <f t="shared" si="52"/>
        <v>41.228517893065607</v>
      </c>
      <c r="N16" s="205">
        <f t="shared" si="52"/>
        <v>40.364007493793061</v>
      </c>
      <c r="O16" s="205">
        <f t="shared" si="52"/>
        <v>42.745065274446979</v>
      </c>
      <c r="P16" s="205">
        <f t="shared" si="52"/>
        <v>39.953164102913846</v>
      </c>
      <c r="Q16" s="205">
        <f t="shared" si="52"/>
        <v>17.245393117957953</v>
      </c>
      <c r="R16" s="205">
        <f t="shared" si="52"/>
        <v>35.967145391017191</v>
      </c>
      <c r="S16" s="205">
        <f t="shared" si="52"/>
        <v>11.88045274482257</v>
      </c>
      <c r="T16" s="919">
        <f t="shared" si="52"/>
        <v>32.215038926486663</v>
      </c>
      <c r="U16" s="919">
        <f t="shared" si="52"/>
        <v>25.019309923129619</v>
      </c>
      <c r="V16" s="919">
        <f t="shared" si="52"/>
        <v>20.263392256268741</v>
      </c>
      <c r="W16" s="919">
        <f t="shared" si="52"/>
        <v>31.804852903889032</v>
      </c>
      <c r="X16" s="919">
        <f t="shared" si="52"/>
        <v>20.383379268304289</v>
      </c>
      <c r="Y16" s="919">
        <f t="shared" si="52"/>
        <v>15.311855151716797</v>
      </c>
      <c r="Z16" s="1071">
        <f t="shared" si="52"/>
        <v>8.5978320449982313</v>
      </c>
      <c r="AA16" s="1071">
        <f t="shared" si="52"/>
        <v>10.049967275600153</v>
      </c>
      <c r="AB16" s="1071">
        <f t="shared" si="52"/>
        <v>6.0896387325239383</v>
      </c>
      <c r="AC16" s="1071">
        <f t="shared" si="52"/>
        <v>23.700475590400526</v>
      </c>
      <c r="AD16" s="1071">
        <f t="shared" si="52"/>
        <v>24.241791818626741</v>
      </c>
      <c r="AE16" s="919">
        <f t="shared" si="52"/>
        <v>18.824806071532592</v>
      </c>
      <c r="AF16" s="919">
        <f t="shared" si="52"/>
        <v>20.731562787433422</v>
      </c>
      <c r="AG16" s="919">
        <f t="shared" si="52"/>
        <v>25.254568653658882</v>
      </c>
      <c r="AH16" s="919">
        <f t="shared" si="52"/>
        <v>19.685662976673303</v>
      </c>
      <c r="AI16" s="919">
        <f t="shared" si="52"/>
        <v>20.200917554501487</v>
      </c>
      <c r="AJ16" s="919">
        <f t="shared" si="52"/>
        <v>35.967739786494271</v>
      </c>
      <c r="AK16" s="919">
        <f t="shared" ref="AK16:AM16" si="53">AK26/AK15</f>
        <v>12.923258935897319</v>
      </c>
      <c r="AL16" s="919">
        <f t="shared" si="53"/>
        <v>15.762681992394183</v>
      </c>
      <c r="AM16" s="919">
        <f t="shared" si="53"/>
        <v>20.446196503888121</v>
      </c>
      <c r="AN16" s="919">
        <f t="shared" ref="AN16:AO16" si="54">AN26/AN15</f>
        <v>20.295268132013693</v>
      </c>
      <c r="AO16" s="1071">
        <f t="shared" si="54"/>
        <v>14.593236265711436</v>
      </c>
      <c r="AP16" s="206">
        <f t="shared" si="52"/>
        <v>17.52921268380658</v>
      </c>
      <c r="AQ16" s="206">
        <f t="shared" si="52"/>
        <v>16.729449519418399</v>
      </c>
      <c r="AR16" s="1608">
        <f t="shared" ref="AR16:BC16" si="55">AR26/AR15</f>
        <v>17.465211471397982</v>
      </c>
      <c r="AS16" s="206">
        <f t="shared" si="55"/>
        <v>17.785378336914516</v>
      </c>
      <c r="AT16" s="206">
        <f t="shared" si="55"/>
        <v>17.407810010898352</v>
      </c>
      <c r="AU16" s="206">
        <f t="shared" si="55"/>
        <v>16.928339868310918</v>
      </c>
      <c r="AV16" s="206">
        <f t="shared" si="55"/>
        <v>17.392167918794087</v>
      </c>
      <c r="AW16" s="206">
        <f t="shared" si="55"/>
        <v>17.277491600015683</v>
      </c>
      <c r="AX16" s="206">
        <f t="shared" si="55"/>
        <v>17.372342045917897</v>
      </c>
      <c r="AY16" s="206">
        <f t="shared" si="55"/>
        <v>17.356959744533654</v>
      </c>
      <c r="AZ16" s="206">
        <f t="shared" si="55"/>
        <v>17.287555260037912</v>
      </c>
      <c r="BA16" s="206">
        <f t="shared" si="55"/>
        <v>17.267674146798484</v>
      </c>
      <c r="BB16" s="206">
        <f t="shared" si="55"/>
        <v>17.325556918154611</v>
      </c>
      <c r="BC16" s="206">
        <f t="shared" si="55"/>
        <v>17.314504659016098</v>
      </c>
      <c r="BE16" s="1215">
        <f t="shared" si="52"/>
        <v>7.5752225032589457</v>
      </c>
      <c r="BF16" s="919">
        <f>BF26/BF15</f>
        <v>16.216774131251125</v>
      </c>
      <c r="BG16" s="1215">
        <f t="shared" ref="BG16" si="56">BG26/BG15</f>
        <v>10.138719303325759</v>
      </c>
    </row>
    <row r="17" spans="3:61" x14ac:dyDescent="0.3">
      <c r="C17" s="1383" t="s">
        <v>1212</v>
      </c>
      <c r="G17" s="41"/>
      <c r="H17" s="205"/>
      <c r="I17" s="206"/>
      <c r="J17" s="206"/>
      <c r="K17" s="206"/>
      <c r="L17" s="206"/>
      <c r="M17" s="206"/>
      <c r="N17" s="206"/>
      <c r="O17" s="206"/>
      <c r="P17" s="206"/>
      <c r="Q17" s="206"/>
      <c r="R17" s="206"/>
      <c r="S17" s="206"/>
      <c r="T17" s="919"/>
      <c r="U17" s="919"/>
      <c r="V17" s="919"/>
      <c r="W17" s="919"/>
      <c r="X17" s="919"/>
      <c r="Y17" s="919"/>
      <c r="Z17" s="1071"/>
      <c r="AA17" s="1071"/>
      <c r="AB17" s="1071"/>
      <c r="AC17" s="1071"/>
      <c r="AD17" s="1071"/>
      <c r="AE17" s="919"/>
      <c r="AF17" s="919"/>
      <c r="AG17" s="919"/>
      <c r="AH17" s="919"/>
      <c r="AI17" s="919"/>
      <c r="AJ17" s="919"/>
      <c r="AK17" s="919"/>
      <c r="AL17" s="919"/>
      <c r="AM17" s="919"/>
      <c r="AN17" s="919"/>
      <c r="AO17" s="1071"/>
      <c r="AP17" s="206"/>
      <c r="AQ17" s="206"/>
      <c r="AR17" s="1608"/>
      <c r="AS17" s="206"/>
      <c r="AT17" s="206"/>
      <c r="AU17" s="206"/>
      <c r="AV17" s="206"/>
      <c r="AW17" s="206"/>
      <c r="AX17" s="206"/>
      <c r="AY17" s="206"/>
      <c r="AZ17" s="206"/>
      <c r="BA17" s="206"/>
      <c r="BB17" s="206"/>
      <c r="BC17" s="206"/>
      <c r="BE17" s="1215"/>
      <c r="BF17" s="919"/>
      <c r="BG17" s="1215"/>
    </row>
    <row r="18" spans="3:61" x14ac:dyDescent="0.3">
      <c r="C18" s="383" t="s">
        <v>429</v>
      </c>
      <c r="G18" s="41"/>
      <c r="H18" s="205"/>
      <c r="I18" s="206"/>
      <c r="J18" s="206"/>
      <c r="K18" s="206"/>
      <c r="L18" s="206"/>
      <c r="M18" s="206"/>
      <c r="N18" s="206"/>
      <c r="O18" s="206"/>
      <c r="P18" s="206"/>
      <c r="Q18" s="206"/>
      <c r="R18" s="206"/>
      <c r="S18" s="206"/>
      <c r="T18" s="919"/>
      <c r="U18" s="919"/>
      <c r="V18" s="919"/>
      <c r="W18" s="919">
        <v>0.7380423794556541</v>
      </c>
      <c r="X18" s="919">
        <v>1.3809627005101393</v>
      </c>
      <c r="Y18" s="919">
        <v>1.1511403265261126</v>
      </c>
      <c r="Z18" s="1071">
        <v>1.4203471523587745</v>
      </c>
      <c r="AA18" s="1071">
        <v>1.4977691542231937</v>
      </c>
      <c r="AB18" s="1071">
        <v>0.73194392899320859</v>
      </c>
      <c r="AC18" s="1071">
        <v>0.65173574635266718</v>
      </c>
      <c r="AD18" s="1071">
        <v>0.90884228472953221</v>
      </c>
      <c r="AE18" s="919">
        <v>1.2789074546334562</v>
      </c>
      <c r="AF18" s="919">
        <v>1.1360277915674166</v>
      </c>
      <c r="AG18" s="919">
        <v>1.5379102669679783</v>
      </c>
      <c r="AH18" s="919">
        <v>1.4844670962954825</v>
      </c>
      <c r="AI18" s="919">
        <f>AVERAGE(AC18:AH18)</f>
        <v>1.1663151067577555</v>
      </c>
      <c r="AJ18" s="919">
        <f t="shared" ref="AJ18:BC18" si="57">AVERAGE(AD18:AI18)</f>
        <v>1.252078333491937</v>
      </c>
      <c r="AK18" s="919">
        <f t="shared" si="57"/>
        <v>1.3092843416190043</v>
      </c>
      <c r="AL18" s="919">
        <f t="shared" si="57"/>
        <v>1.3143471561165956</v>
      </c>
      <c r="AM18" s="919">
        <f t="shared" si="57"/>
        <v>1.3440670502081256</v>
      </c>
      <c r="AN18" s="919">
        <f t="shared" si="57"/>
        <v>1.3117598474148167</v>
      </c>
      <c r="AO18" s="1071">
        <f t="shared" si="57"/>
        <v>1.2829753059347058</v>
      </c>
      <c r="AP18" s="206">
        <f t="shared" si="57"/>
        <v>1.3024186724641975</v>
      </c>
      <c r="AQ18" s="206">
        <f t="shared" si="57"/>
        <v>1.3108087289595742</v>
      </c>
      <c r="AR18" s="1608">
        <f t="shared" si="57"/>
        <v>1.3110627935163359</v>
      </c>
      <c r="AS18" s="206">
        <f t="shared" si="57"/>
        <v>1.3105153997496259</v>
      </c>
      <c r="AT18" s="206">
        <f t="shared" si="57"/>
        <v>1.3049234580065427</v>
      </c>
      <c r="AU18" s="206">
        <f t="shared" si="57"/>
        <v>1.3037840597718302</v>
      </c>
      <c r="AV18" s="206">
        <f t="shared" si="57"/>
        <v>1.307252185411351</v>
      </c>
      <c r="AW18" s="206">
        <f t="shared" si="57"/>
        <v>1.3080577709025434</v>
      </c>
      <c r="AX18" s="206">
        <f t="shared" si="57"/>
        <v>1.3075992778930383</v>
      </c>
      <c r="AY18" s="206">
        <f t="shared" si="57"/>
        <v>1.3070220252891553</v>
      </c>
      <c r="AZ18" s="206">
        <f t="shared" si="57"/>
        <v>1.3064397962124101</v>
      </c>
      <c r="BA18" s="206">
        <f t="shared" si="57"/>
        <v>1.3066925192467214</v>
      </c>
      <c r="BB18" s="206">
        <f t="shared" si="57"/>
        <v>1.3071772624925366</v>
      </c>
      <c r="BC18" s="206">
        <f t="shared" si="57"/>
        <v>1.3071647753394007</v>
      </c>
      <c r="BE18" s="1215"/>
      <c r="BF18" s="919"/>
      <c r="BG18" s="1215"/>
    </row>
    <row r="19" spans="3:61" x14ac:dyDescent="0.3">
      <c r="C19" s="383" t="s">
        <v>430</v>
      </c>
      <c r="G19" s="41"/>
      <c r="H19" s="205"/>
      <c r="I19" s="206"/>
      <c r="J19" s="206"/>
      <c r="K19" s="206"/>
      <c r="L19" s="206"/>
      <c r="M19" s="206"/>
      <c r="N19" s="206"/>
      <c r="O19" s="206"/>
      <c r="P19" s="206"/>
      <c r="Q19" s="206"/>
      <c r="R19" s="206"/>
      <c r="S19" s="206"/>
      <c r="T19" s="919"/>
      <c r="U19" s="919"/>
      <c r="V19" s="919"/>
      <c r="W19" s="919">
        <f>W26/W18</f>
        <v>40.648072299217574</v>
      </c>
      <c r="X19" s="919">
        <f t="shared" ref="X19:AH19" si="58">X26/X18</f>
        <v>22.448108112223697</v>
      </c>
      <c r="Y19" s="919">
        <f t="shared" si="58"/>
        <v>26.061114625819233</v>
      </c>
      <c r="Z19" s="1071">
        <f t="shared" si="58"/>
        <v>21.82565012259025</v>
      </c>
      <c r="AA19" s="1071">
        <f t="shared" si="58"/>
        <v>20.697448543783043</v>
      </c>
      <c r="AB19" s="1071">
        <f t="shared" si="58"/>
        <v>40.986746131312415</v>
      </c>
      <c r="AC19" s="1071">
        <f t="shared" si="58"/>
        <v>47.565290339660585</v>
      </c>
      <c r="AD19" s="1071">
        <f t="shared" si="58"/>
        <v>33.00902753322913</v>
      </c>
      <c r="AE19" s="919">
        <f t="shared" si="58"/>
        <v>24.239439599548518</v>
      </c>
      <c r="AF19" s="919">
        <f t="shared" si="58"/>
        <v>27.288064808016919</v>
      </c>
      <c r="AG19" s="919">
        <f t="shared" si="58"/>
        <v>18.206523879447516</v>
      </c>
      <c r="AH19" s="919">
        <f t="shared" si="58"/>
        <v>20.882914870502098</v>
      </c>
      <c r="AI19" s="919">
        <f t="shared" ref="AI19:AQ19" si="59">AI26/AI18</f>
        <v>25.722036717330305</v>
      </c>
      <c r="AJ19" s="919">
        <f t="shared" si="59"/>
        <v>24.758834308348511</v>
      </c>
      <c r="AK19" s="919">
        <f t="shared" ref="AK19:AM19" si="60">AK26/AK18</f>
        <v>22.913280978296356</v>
      </c>
      <c r="AL19" s="919">
        <f t="shared" si="60"/>
        <v>23.585853901486278</v>
      </c>
      <c r="AM19" s="919">
        <f t="shared" si="60"/>
        <v>23.064325544770796</v>
      </c>
      <c r="AN19" s="919">
        <f t="shared" ref="AN19:AO19" si="61">AN26/AN18</f>
        <v>22.87003986219219</v>
      </c>
      <c r="AO19" s="1071">
        <f t="shared" si="61"/>
        <v>24.162585091546319</v>
      </c>
      <c r="AP19" s="206">
        <f t="shared" si="59"/>
        <v>23.034067795756879</v>
      </c>
      <c r="AQ19" s="206">
        <f t="shared" si="59"/>
        <v>23.649522096641494</v>
      </c>
      <c r="AR19" s="1608">
        <f t="shared" ref="AR19:BC19" si="62">AR26/AR18</f>
        <v>23.644939169432497</v>
      </c>
      <c r="AS19" s="206">
        <f t="shared" si="62"/>
        <v>23.654815506878098</v>
      </c>
      <c r="AT19" s="206">
        <f t="shared" si="62"/>
        <v>23.756182640288294</v>
      </c>
      <c r="AU19" s="206">
        <f t="shared" si="62"/>
        <v>23.776943557221571</v>
      </c>
      <c r="AV19" s="206">
        <f t="shared" si="62"/>
        <v>23.713863588030858</v>
      </c>
      <c r="AW19" s="206">
        <f t="shared" si="62"/>
        <v>23.699259076768751</v>
      </c>
      <c r="AX19" s="206">
        <f t="shared" si="62"/>
        <v>23.707568919700645</v>
      </c>
      <c r="AY19" s="206">
        <f t="shared" si="62"/>
        <v>23.718039482266416</v>
      </c>
      <c r="AZ19" s="206">
        <f t="shared" si="62"/>
        <v>23.728609684023894</v>
      </c>
      <c r="BA19" s="206">
        <f t="shared" si="62"/>
        <v>23.7240204129054</v>
      </c>
      <c r="BB19" s="206">
        <f t="shared" si="62"/>
        <v>23.715222785384853</v>
      </c>
      <c r="BC19" s="206">
        <f t="shared" si="62"/>
        <v>23.715449333425436</v>
      </c>
      <c r="BE19" s="1215"/>
      <c r="BF19" s="919"/>
      <c r="BG19" s="1215"/>
    </row>
    <row r="20" spans="3:61" x14ac:dyDescent="0.3">
      <c r="C20" s="383" t="s">
        <v>431</v>
      </c>
      <c r="G20" s="41"/>
      <c r="H20" s="205"/>
      <c r="I20" s="206"/>
      <c r="J20" s="206"/>
      <c r="K20" s="206"/>
      <c r="L20" s="206"/>
      <c r="M20" s="206"/>
      <c r="N20" s="206"/>
      <c r="O20" s="206"/>
      <c r="P20" s="206"/>
      <c r="Q20" s="206"/>
      <c r="R20" s="206"/>
      <c r="S20" s="206"/>
      <c r="T20" s="919"/>
      <c r="U20" s="919"/>
      <c r="V20" s="919"/>
      <c r="W20" s="919">
        <v>0.20246976387309037</v>
      </c>
      <c r="X20" s="919">
        <v>0.21533010649304532</v>
      </c>
      <c r="Y20" s="919">
        <v>0.1180604762473635</v>
      </c>
      <c r="Z20" s="1071">
        <v>0.19021678909216114</v>
      </c>
      <c r="AA20" s="1071">
        <v>0.43325400498205785</v>
      </c>
      <c r="AB20" s="1071">
        <v>0.17579454151951646</v>
      </c>
      <c r="AC20" s="1071">
        <v>0.16051568060757052</v>
      </c>
      <c r="AD20" s="1071">
        <v>0.28014541953529271</v>
      </c>
      <c r="AE20" s="919">
        <v>0.38807752136434348</v>
      </c>
      <c r="AF20" s="919">
        <v>0.23819869652877454</v>
      </c>
      <c r="AG20" s="919">
        <v>0.25961960418288588</v>
      </c>
      <c r="AH20" s="919">
        <v>0.25461590347034246</v>
      </c>
      <c r="AI20" s="919">
        <f t="shared" ref="AI20:AJ20" si="63">AVERAGE(AC20:AH20)</f>
        <v>0.26352880428153491</v>
      </c>
      <c r="AJ20" s="919">
        <f t="shared" si="63"/>
        <v>0.28069765822719567</v>
      </c>
      <c r="AK20" s="919">
        <f>AK72/AK171</f>
        <v>0.11760015963166236</v>
      </c>
      <c r="AL20" s="919">
        <f>AL72/AL171</f>
        <v>9.4977193681828317E-2</v>
      </c>
      <c r="AM20" s="919">
        <f>AM72/AM171</f>
        <v>0.17273981008714426</v>
      </c>
      <c r="AN20" s="919">
        <f>AN72/AN171</f>
        <v>0.20828292966146389</v>
      </c>
      <c r="AO20" s="1071">
        <f>AO72/AO171</f>
        <v>0.22581127994708228</v>
      </c>
      <c r="AP20" s="206">
        <f t="shared" ref="AP20:BC20" si="64">AVERAGE(AM20:AO20)</f>
        <v>0.20227800656523012</v>
      </c>
      <c r="AQ20" s="206">
        <f t="shared" si="64"/>
        <v>0.21212407205792541</v>
      </c>
      <c r="AR20" s="1608">
        <f t="shared" si="64"/>
        <v>0.21340445285674592</v>
      </c>
      <c r="AS20" s="206">
        <f t="shared" si="64"/>
        <v>0.20926884382663383</v>
      </c>
      <c r="AT20" s="206">
        <f t="shared" si="64"/>
        <v>0.21159912291376837</v>
      </c>
      <c r="AU20" s="206">
        <f t="shared" si="64"/>
        <v>0.21142413986571604</v>
      </c>
      <c r="AV20" s="206">
        <f t="shared" si="64"/>
        <v>0.21076403553537273</v>
      </c>
      <c r="AW20" s="206">
        <f t="shared" si="64"/>
        <v>0.21126243277161905</v>
      </c>
      <c r="AX20" s="206">
        <f t="shared" si="64"/>
        <v>0.21115020272423593</v>
      </c>
      <c r="AY20" s="206">
        <f t="shared" si="64"/>
        <v>0.21105889034374256</v>
      </c>
      <c r="AZ20" s="206">
        <f t="shared" si="64"/>
        <v>0.21115717527986586</v>
      </c>
      <c r="BA20" s="206">
        <f t="shared" si="64"/>
        <v>0.21112208944928146</v>
      </c>
      <c r="BB20" s="206">
        <f t="shared" si="64"/>
        <v>0.21111271835762993</v>
      </c>
      <c r="BC20" s="206">
        <f t="shared" si="64"/>
        <v>0.21113066102892575</v>
      </c>
      <c r="BE20" s="1215"/>
      <c r="BF20" s="919"/>
      <c r="BG20" s="1215"/>
    </row>
    <row r="21" spans="3:61" x14ac:dyDescent="0.3">
      <c r="C21" s="383" t="s">
        <v>432</v>
      </c>
      <c r="G21" s="41"/>
      <c r="H21" s="205"/>
      <c r="I21" s="206"/>
      <c r="J21" s="206"/>
      <c r="K21" s="206"/>
      <c r="L21" s="206"/>
      <c r="M21" s="206"/>
      <c r="N21" s="206"/>
      <c r="O21" s="206"/>
      <c r="P21" s="206"/>
      <c r="Q21" s="206"/>
      <c r="R21" s="206"/>
      <c r="S21" s="206"/>
      <c r="T21" s="919"/>
      <c r="U21" s="919"/>
      <c r="V21" s="919"/>
      <c r="W21" s="919">
        <f>W26/W20</f>
        <v>148.1702720748182</v>
      </c>
      <c r="X21" s="919">
        <f t="shared" ref="X21:AH21" si="65">X26/X20</f>
        <v>143.96500565981577</v>
      </c>
      <c r="Y21" s="919">
        <f t="shared" si="65"/>
        <v>254.10705558347223</v>
      </c>
      <c r="Z21" s="1071">
        <f t="shared" si="65"/>
        <v>162.97194452683311</v>
      </c>
      <c r="AA21" s="1071">
        <f t="shared" si="65"/>
        <v>71.55156015530379</v>
      </c>
      <c r="AB21" s="1071">
        <f t="shared" si="65"/>
        <v>170.65376285684869</v>
      </c>
      <c r="AC21" s="1071">
        <f t="shared" si="65"/>
        <v>193.12754917564064</v>
      </c>
      <c r="AD21" s="1071">
        <f t="shared" si="65"/>
        <v>107.08724079716963</v>
      </c>
      <c r="AE21" s="919">
        <f t="shared" si="65"/>
        <v>79.88094721646064</v>
      </c>
      <c r="AF21" s="919">
        <f t="shared" si="65"/>
        <v>130.14344936289433</v>
      </c>
      <c r="AG21" s="919">
        <f t="shared" si="65"/>
        <v>107.85009894813544</v>
      </c>
      <c r="AH21" s="919">
        <f t="shared" si="65"/>
        <v>121.75201775489592</v>
      </c>
      <c r="AI21" s="919">
        <f t="shared" ref="AI21:AQ21" si="66">AI26/AI20</f>
        <v>113.83954813512602</v>
      </c>
      <c r="AJ21" s="919">
        <f t="shared" si="66"/>
        <v>110.43911158998239</v>
      </c>
      <c r="AK21" s="919">
        <f t="shared" ref="AK21:AM21" si="67">AK26/AK20</f>
        <v>255.10169453820095</v>
      </c>
      <c r="AL21" s="919">
        <f t="shared" si="67"/>
        <v>326.39414577618891</v>
      </c>
      <c r="AM21" s="919">
        <f t="shared" si="67"/>
        <v>179.4606581097955</v>
      </c>
      <c r="AN21" s="919">
        <f t="shared" ref="AN21:AO21" si="68">AN26/AN20</f>
        <v>144.0348474489052</v>
      </c>
      <c r="AO21" s="1071">
        <f t="shared" si="68"/>
        <v>137.28277881983882</v>
      </c>
      <c r="AP21" s="206">
        <f t="shared" si="66"/>
        <v>148.31073585019573</v>
      </c>
      <c r="AQ21" s="206">
        <f t="shared" si="66"/>
        <v>146.14088678975921</v>
      </c>
      <c r="AR21" s="1608">
        <f t="shared" ref="AR21:BC21" si="69">AR26/AR20</f>
        <v>145.26407291421268</v>
      </c>
      <c r="AS21" s="206">
        <f t="shared" si="69"/>
        <v>148.13480799693988</v>
      </c>
      <c r="AT21" s="206">
        <f t="shared" si="69"/>
        <v>146.50344279845257</v>
      </c>
      <c r="AU21" s="206">
        <f t="shared" si="69"/>
        <v>146.6246948890952</v>
      </c>
      <c r="AV21" s="206">
        <f t="shared" si="69"/>
        <v>147.0839174304823</v>
      </c>
      <c r="AW21" s="206">
        <f t="shared" si="69"/>
        <v>146.73692616950936</v>
      </c>
      <c r="AX21" s="206">
        <f t="shared" si="69"/>
        <v>146.81491942722062</v>
      </c>
      <c r="AY21" s="206">
        <f t="shared" si="69"/>
        <v>146.87843733808904</v>
      </c>
      <c r="AZ21" s="206">
        <f t="shared" si="69"/>
        <v>146.81007149727625</v>
      </c>
      <c r="BA21" s="206">
        <f t="shared" si="69"/>
        <v>146.83446948097409</v>
      </c>
      <c r="BB21" s="206">
        <f t="shared" si="69"/>
        <v>146.84098732263618</v>
      </c>
      <c r="BC21" s="206">
        <f t="shared" si="69"/>
        <v>146.8285082276746</v>
      </c>
      <c r="BE21" s="1215"/>
      <c r="BF21" s="919"/>
      <c r="BG21" s="1215"/>
    </row>
    <row r="22" spans="3:61" x14ac:dyDescent="0.3">
      <c r="C22" s="383" t="s">
        <v>433</v>
      </c>
      <c r="G22" s="41"/>
      <c r="H22" s="205"/>
      <c r="I22" s="206"/>
      <c r="J22" s="206"/>
      <c r="K22" s="206"/>
      <c r="L22" s="206"/>
      <c r="M22" s="206"/>
      <c r="N22" s="206"/>
      <c r="O22" s="206"/>
      <c r="P22" s="206"/>
      <c r="Q22" s="206"/>
      <c r="R22" s="206"/>
      <c r="S22" s="206"/>
      <c r="T22" s="919"/>
      <c r="U22" s="919"/>
      <c r="V22" s="919"/>
      <c r="W22" s="919">
        <v>0.84489879950194768</v>
      </c>
      <c r="X22" s="919">
        <v>0.84447216646506928</v>
      </c>
      <c r="Y22" s="919">
        <v>0.63143518777309637</v>
      </c>
      <c r="Z22" s="1071">
        <v>0.96847719039586722</v>
      </c>
      <c r="AA22" s="1071">
        <v>2.0777301010967073</v>
      </c>
      <c r="AB22" s="1071">
        <v>0.76857851791113441</v>
      </c>
      <c r="AC22" s="1071">
        <v>0.61741194834361934</v>
      </c>
      <c r="AD22" s="1071">
        <v>1.1385677964127612</v>
      </c>
      <c r="AE22" s="919">
        <v>1.2485654004607332</v>
      </c>
      <c r="AF22" s="919">
        <v>0.96980030707270426</v>
      </c>
      <c r="AG22" s="919">
        <v>0.867133006715199</v>
      </c>
      <c r="AH22" s="919">
        <v>1.1915772051697138</v>
      </c>
      <c r="AI22" s="919">
        <f t="shared" ref="AI22:BC22" si="70">AVERAGE(AC22:AH22)</f>
        <v>1.0055092773624552</v>
      </c>
      <c r="AJ22" s="919">
        <f t="shared" si="70"/>
        <v>1.0701921655322613</v>
      </c>
      <c r="AK22" s="919">
        <f>(AK200+AK201)/AK72</f>
        <v>2.2313221995503807</v>
      </c>
      <c r="AL22" s="919">
        <f>(AL200+AL201)/AL72</f>
        <v>2.5922361068703146</v>
      </c>
      <c r="AM22" s="919">
        <f t="shared" ref="AM22" si="71">(AM200+AM201)/AM72</f>
        <v>1.3835073005956253</v>
      </c>
      <c r="AN22" s="919">
        <f t="shared" ref="AN22:AO22" si="72">(AN200+AN201)/AN72</f>
        <v>1.3127184887063066</v>
      </c>
      <c r="AO22" s="1071">
        <f t="shared" si="72"/>
        <v>1.2945490233176156</v>
      </c>
      <c r="AP22" s="206">
        <f t="shared" si="70"/>
        <v>1.647420880762084</v>
      </c>
      <c r="AQ22" s="206">
        <f t="shared" si="70"/>
        <v>1.7436256666337213</v>
      </c>
      <c r="AR22" s="1608">
        <f t="shared" si="70"/>
        <v>1.6623429111476113</v>
      </c>
      <c r="AS22" s="206">
        <f t="shared" si="70"/>
        <v>1.5073607118604941</v>
      </c>
      <c r="AT22" s="206">
        <f t="shared" si="70"/>
        <v>1.5280029470713055</v>
      </c>
      <c r="AU22" s="206">
        <f t="shared" si="70"/>
        <v>1.5638836901321387</v>
      </c>
      <c r="AV22" s="206">
        <f t="shared" si="70"/>
        <v>1.6087728012678923</v>
      </c>
      <c r="AW22" s="206">
        <f t="shared" si="70"/>
        <v>1.6023314546855272</v>
      </c>
      <c r="AX22" s="206">
        <f t="shared" si="70"/>
        <v>1.5787824193608282</v>
      </c>
      <c r="AY22" s="206">
        <f t="shared" si="70"/>
        <v>1.5648556707296979</v>
      </c>
      <c r="AZ22" s="206">
        <f t="shared" si="70"/>
        <v>1.574438163874565</v>
      </c>
      <c r="BA22" s="206">
        <f t="shared" si="70"/>
        <v>1.582177366675108</v>
      </c>
      <c r="BB22" s="206">
        <f t="shared" si="70"/>
        <v>1.5852263127656032</v>
      </c>
      <c r="BC22" s="206">
        <f t="shared" si="70"/>
        <v>1.5813018980152218</v>
      </c>
      <c r="BE22" s="1215"/>
      <c r="BF22" s="919"/>
      <c r="BG22" s="1215"/>
    </row>
    <row r="23" spans="3:61" x14ac:dyDescent="0.3">
      <c r="C23" s="383" t="s">
        <v>434</v>
      </c>
      <c r="G23" s="41"/>
      <c r="H23" s="205"/>
      <c r="I23" s="206"/>
      <c r="J23" s="206"/>
      <c r="K23" s="206"/>
      <c r="L23" s="206"/>
      <c r="M23" s="206"/>
      <c r="N23" s="206"/>
      <c r="O23" s="206"/>
      <c r="P23" s="206"/>
      <c r="Q23" s="206"/>
      <c r="R23" s="206"/>
      <c r="S23" s="206"/>
      <c r="T23" s="919"/>
      <c r="U23" s="919"/>
      <c r="V23" s="919"/>
      <c r="W23" s="919">
        <f>W26/W22</f>
        <v>35.507211062063824</v>
      </c>
      <c r="X23" s="919">
        <f t="shared" ref="X23:AH23" si="73">X26/X22</f>
        <v>36.709321196179751</v>
      </c>
      <c r="Y23" s="919">
        <f t="shared" si="73"/>
        <v>47.510814381127545</v>
      </c>
      <c r="Z23" s="1071">
        <f t="shared" si="73"/>
        <v>32.00901405569364</v>
      </c>
      <c r="AA23" s="1071">
        <f t="shared" si="73"/>
        <v>14.920128453468035</v>
      </c>
      <c r="AB23" s="1071">
        <f t="shared" si="73"/>
        <v>39.033097205910586</v>
      </c>
      <c r="AC23" s="1071">
        <f t="shared" si="73"/>
        <v>50.209588724620879</v>
      </c>
      <c r="AD23" s="1071">
        <f t="shared" si="73"/>
        <v>26.348892085758767</v>
      </c>
      <c r="AE23" s="919">
        <f t="shared" si="73"/>
        <v>24.82849515817168</v>
      </c>
      <c r="AF23" s="919">
        <f t="shared" si="73"/>
        <v>31.965343559822138</v>
      </c>
      <c r="AG23" s="919">
        <f t="shared" si="73"/>
        <v>32.290317382874477</v>
      </c>
      <c r="AH23" s="919">
        <f t="shared" si="73"/>
        <v>26.01593909778153</v>
      </c>
      <c r="AI23" s="919">
        <f t="shared" ref="AI23:AQ23" si="74">AI26/AI22</f>
        <v>29.835627254173929</v>
      </c>
      <c r="AJ23" s="919">
        <f t="shared" si="74"/>
        <v>28.966760361754393</v>
      </c>
      <c r="AK23" s="919">
        <f t="shared" ref="AK23:AM23" si="75">AK26/AK22</f>
        <v>13.444943095194905</v>
      </c>
      <c r="AL23" s="919">
        <f t="shared" si="75"/>
        <v>11.95878720994564</v>
      </c>
      <c r="AM23" s="919">
        <f t="shared" si="75"/>
        <v>22.406820684396774</v>
      </c>
      <c r="AN23" s="919">
        <f t="shared" ref="AN23:AO23" si="76">AN26/AN22</f>
        <v>22.853338517053427</v>
      </c>
      <c r="AO23" s="1071">
        <f t="shared" si="76"/>
        <v>23.946563198166501</v>
      </c>
      <c r="AP23" s="206">
        <f t="shared" si="74"/>
        <v>18.210282721512087</v>
      </c>
      <c r="AQ23" s="206">
        <f t="shared" si="74"/>
        <v>17.779045464413944</v>
      </c>
      <c r="AR23" s="1608">
        <f t="shared" ref="AR23:BC23" si="77">AR26/AR22</f>
        <v>18.648378617982562</v>
      </c>
      <c r="AS23" s="206">
        <f t="shared" si="77"/>
        <v>20.565747638292592</v>
      </c>
      <c r="AT23" s="206">
        <f t="shared" si="77"/>
        <v>20.287918985638814</v>
      </c>
      <c r="AU23" s="206">
        <f t="shared" si="77"/>
        <v>19.822446001326792</v>
      </c>
      <c r="AV23" s="206">
        <f t="shared" si="77"/>
        <v>19.269346159736504</v>
      </c>
      <c r="AW23" s="206">
        <f t="shared" si="77"/>
        <v>19.346808620245206</v>
      </c>
      <c r="AX23" s="206">
        <f t="shared" si="77"/>
        <v>19.635384597549791</v>
      </c>
      <c r="AY23" s="206">
        <f t="shared" si="77"/>
        <v>19.810133662706789</v>
      </c>
      <c r="AZ23" s="206">
        <f t="shared" si="77"/>
        <v>19.689563370155806</v>
      </c>
      <c r="BA23" s="206">
        <f t="shared" si="77"/>
        <v>19.593252092302045</v>
      </c>
      <c r="BB23" s="206">
        <f t="shared" si="77"/>
        <v>19.555567397766101</v>
      </c>
      <c r="BC23" s="206">
        <f t="shared" si="77"/>
        <v>19.604099659217376</v>
      </c>
      <c r="BE23" s="1215"/>
      <c r="BF23" s="919"/>
      <c r="BG23" s="1215"/>
    </row>
    <row r="24" spans="3:61" x14ac:dyDescent="0.3">
      <c r="C24" s="32" t="s">
        <v>170</v>
      </c>
      <c r="G24" s="39"/>
      <c r="Q24" s="34"/>
      <c r="S24" s="31">
        <f>SUM(H75:S75)/AVERAGE(H165:S165)</f>
        <v>4.9675206817532969</v>
      </c>
      <c r="T24" s="918"/>
      <c r="U24" s="918"/>
      <c r="V24" s="918"/>
      <c r="W24" s="918"/>
      <c r="X24" s="918"/>
      <c r="Y24" s="918"/>
      <c r="Z24" s="1070"/>
      <c r="AA24" s="1070"/>
      <c r="AB24" s="1070"/>
      <c r="AC24" s="1070"/>
      <c r="AD24" s="1070"/>
      <c r="AE24" s="918"/>
      <c r="AF24" s="918"/>
      <c r="AG24" s="918"/>
      <c r="AH24" s="918"/>
      <c r="AI24" s="918"/>
      <c r="AJ24" s="918"/>
      <c r="AK24" s="918"/>
      <c r="AL24" s="918"/>
      <c r="AM24" s="918"/>
      <c r="AN24" s="918"/>
      <c r="AO24" s="1070"/>
      <c r="BE24" s="1182"/>
      <c r="BF24" s="918"/>
      <c r="BG24" s="1182"/>
    </row>
    <row r="25" spans="3:61" x14ac:dyDescent="0.3">
      <c r="C25" s="32" t="s">
        <v>171</v>
      </c>
      <c r="G25" s="39"/>
      <c r="Q25" s="34"/>
      <c r="S25" s="31">
        <f>365/S24</f>
        <v>73.47729851245883</v>
      </c>
      <c r="T25" s="918"/>
      <c r="U25" s="918"/>
      <c r="V25" s="918"/>
      <c r="W25" s="918"/>
      <c r="X25" s="918"/>
      <c r="Y25" s="918"/>
      <c r="Z25" s="1070"/>
      <c r="AA25" s="1070"/>
      <c r="AB25" s="1070"/>
      <c r="AC25" s="1070"/>
      <c r="AD25" s="1070"/>
      <c r="AE25" s="918"/>
      <c r="AF25" s="918"/>
      <c r="AG25" s="918"/>
      <c r="AH25" s="918"/>
      <c r="AI25" s="918"/>
      <c r="AJ25" s="918"/>
      <c r="AK25" s="918"/>
      <c r="AL25" s="918"/>
      <c r="AM25" s="918"/>
      <c r="AN25" s="918"/>
      <c r="AO25" s="1070"/>
      <c r="BE25" s="1182"/>
      <c r="BF25" s="918"/>
      <c r="BG25" s="1182"/>
    </row>
    <row r="26" spans="3:61" x14ac:dyDescent="0.3">
      <c r="C26" s="32" t="s">
        <v>172</v>
      </c>
      <c r="G26" s="41"/>
      <c r="H26" s="207">
        <v>31</v>
      </c>
      <c r="I26" s="208">
        <f t="shared" ref="I26:S26" si="78">_xlfn.DAYS(I28,H28)</f>
        <v>28</v>
      </c>
      <c r="J26" s="208">
        <f t="shared" si="78"/>
        <v>31</v>
      </c>
      <c r="K26" s="208">
        <f t="shared" si="78"/>
        <v>30</v>
      </c>
      <c r="L26" s="208">
        <f t="shared" si="78"/>
        <v>30</v>
      </c>
      <c r="M26" s="208">
        <f t="shared" si="78"/>
        <v>31</v>
      </c>
      <c r="N26" s="208">
        <f t="shared" si="78"/>
        <v>31</v>
      </c>
      <c r="O26" s="208">
        <f t="shared" si="78"/>
        <v>31</v>
      </c>
      <c r="P26" s="208">
        <f t="shared" si="78"/>
        <v>30</v>
      </c>
      <c r="Q26" s="615">
        <f t="shared" si="78"/>
        <v>31</v>
      </c>
      <c r="R26" s="208">
        <f t="shared" si="78"/>
        <v>30</v>
      </c>
      <c r="S26" s="208">
        <f t="shared" si="78"/>
        <v>31</v>
      </c>
      <c r="T26" s="920">
        <v>31</v>
      </c>
      <c r="U26" s="920">
        <v>28</v>
      </c>
      <c r="V26" s="920">
        <v>31</v>
      </c>
      <c r="W26" s="920">
        <v>30</v>
      </c>
      <c r="X26" s="920">
        <v>31</v>
      </c>
      <c r="Y26" s="920">
        <v>30</v>
      </c>
      <c r="Z26" s="1072">
        <v>31</v>
      </c>
      <c r="AA26" s="1072">
        <v>31</v>
      </c>
      <c r="AB26" s="1072">
        <v>30</v>
      </c>
      <c r="AC26" s="1072">
        <v>31</v>
      </c>
      <c r="AD26" s="1072">
        <v>30</v>
      </c>
      <c r="AE26" s="920">
        <v>31</v>
      </c>
      <c r="AF26" s="920">
        <v>31</v>
      </c>
      <c r="AG26" s="920">
        <v>28</v>
      </c>
      <c r="AH26" s="920">
        <v>31</v>
      </c>
      <c r="AI26" s="920">
        <v>30</v>
      </c>
      <c r="AJ26" s="920">
        <v>31</v>
      </c>
      <c r="AK26" s="920">
        <v>30</v>
      </c>
      <c r="AL26" s="920">
        <v>31</v>
      </c>
      <c r="AM26" s="920">
        <v>31</v>
      </c>
      <c r="AN26" s="920">
        <v>30</v>
      </c>
      <c r="AO26" s="1072">
        <v>31</v>
      </c>
      <c r="AP26" s="208">
        <v>30</v>
      </c>
      <c r="AQ26" s="208">
        <v>31</v>
      </c>
      <c r="AR26" s="615">
        <v>31</v>
      </c>
      <c r="AS26" s="208">
        <v>31</v>
      </c>
      <c r="AT26" s="208">
        <v>31</v>
      </c>
      <c r="AU26" s="208">
        <v>31</v>
      </c>
      <c r="AV26" s="208">
        <v>31</v>
      </c>
      <c r="AW26" s="208">
        <v>31</v>
      </c>
      <c r="AX26" s="208">
        <v>31</v>
      </c>
      <c r="AY26" s="208">
        <v>31</v>
      </c>
      <c r="AZ26" s="208">
        <v>31</v>
      </c>
      <c r="BA26" s="208">
        <v>31</v>
      </c>
      <c r="BB26" s="208">
        <v>31</v>
      </c>
      <c r="BC26" s="208">
        <v>31</v>
      </c>
      <c r="BE26" s="1195">
        <f>SUM(T26:AE26)</f>
        <v>365</v>
      </c>
      <c r="BF26" s="920">
        <v>365</v>
      </c>
      <c r="BG26" s="1195">
        <f>SUM(U26:AF26)</f>
        <v>365</v>
      </c>
    </row>
    <row r="27" spans="3:61" ht="15.75" customHeight="1" x14ac:dyDescent="0.3">
      <c r="G27" s="33">
        <f>14/12</f>
        <v>1.1666666666666667</v>
      </c>
      <c r="H27" s="199" t="s">
        <v>145</v>
      </c>
      <c r="I27" s="33" t="s">
        <v>146</v>
      </c>
      <c r="J27" s="33" t="s">
        <v>147</v>
      </c>
      <c r="K27" s="33" t="s">
        <v>148</v>
      </c>
      <c r="L27" s="33" t="s">
        <v>18</v>
      </c>
      <c r="M27" s="33" t="s">
        <v>149</v>
      </c>
      <c r="N27" s="33" t="s">
        <v>150</v>
      </c>
      <c r="O27" s="33" t="s">
        <v>151</v>
      </c>
      <c r="P27" s="33" t="s">
        <v>152</v>
      </c>
      <c r="Q27" s="829" t="s">
        <v>153</v>
      </c>
      <c r="R27" s="33" t="s">
        <v>154</v>
      </c>
      <c r="S27" s="33" t="s">
        <v>144</v>
      </c>
      <c r="T27" s="914"/>
      <c r="U27" s="914"/>
      <c r="V27" s="914"/>
      <c r="W27" s="914"/>
      <c r="X27" s="914"/>
      <c r="Y27" s="914"/>
      <c r="Z27" s="1066"/>
      <c r="AA27" s="1066"/>
      <c r="AB27" s="1066"/>
      <c r="AC27" s="1066"/>
      <c r="AD27" s="1066"/>
      <c r="AE27" s="914"/>
      <c r="AF27" s="914"/>
      <c r="AG27" s="914"/>
      <c r="AH27" s="914"/>
      <c r="AI27" s="914"/>
      <c r="AJ27" s="914"/>
      <c r="AK27" s="914"/>
      <c r="AL27" s="914"/>
      <c r="AM27" s="914"/>
      <c r="AN27" s="914"/>
      <c r="AO27" s="1066"/>
      <c r="AP27" s="33"/>
      <c r="AQ27" s="33"/>
      <c r="AR27" s="829"/>
      <c r="AS27" s="33"/>
      <c r="AT27" s="33"/>
      <c r="AU27" s="33"/>
      <c r="AV27" s="33"/>
      <c r="AW27" s="33"/>
      <c r="AX27" s="33"/>
      <c r="AY27" s="33"/>
      <c r="AZ27" s="33"/>
      <c r="BA27" s="33"/>
      <c r="BB27" s="33"/>
      <c r="BC27" s="33"/>
      <c r="BE27" s="1182"/>
      <c r="BF27" s="914"/>
      <c r="BG27" s="1182"/>
    </row>
    <row r="28" spans="3:61" ht="15.75" customHeight="1" x14ac:dyDescent="0.3">
      <c r="C28" s="42"/>
      <c r="D28" s="42"/>
      <c r="E28" s="42"/>
      <c r="F28" s="43"/>
      <c r="G28" s="44"/>
      <c r="H28" s="209">
        <v>44227</v>
      </c>
      <c r="I28" s="420">
        <v>44255</v>
      </c>
      <c r="J28" s="420">
        <v>44286</v>
      </c>
      <c r="K28" s="420">
        <v>44316</v>
      </c>
      <c r="L28" s="420">
        <v>44346</v>
      </c>
      <c r="M28" s="420">
        <f>DATE(YEAR(L28),MONTH(L28)+1,DAY(L28))</f>
        <v>44377</v>
      </c>
      <c r="N28" s="420">
        <v>44408</v>
      </c>
      <c r="O28" s="420">
        <f>DATE(YEAR(N28),MONTH(N28)+1,DAY(N28))</f>
        <v>44439</v>
      </c>
      <c r="P28" s="420">
        <v>44469</v>
      </c>
      <c r="Q28" s="831">
        <v>44500</v>
      </c>
      <c r="R28" s="420">
        <v>44530</v>
      </c>
      <c r="S28" s="420">
        <v>44561</v>
      </c>
      <c r="T28" s="1597">
        <v>44592</v>
      </c>
      <c r="U28" s="1597">
        <v>44620</v>
      </c>
      <c r="V28" s="1597">
        <v>44651</v>
      </c>
      <c r="W28" s="1597">
        <v>44681</v>
      </c>
      <c r="X28" s="1597">
        <v>44712</v>
      </c>
      <c r="Y28" s="1597">
        <v>44742</v>
      </c>
      <c r="Z28" s="1598">
        <v>44773</v>
      </c>
      <c r="AA28" s="1598">
        <v>44804</v>
      </c>
      <c r="AB28" s="1598">
        <v>44834</v>
      </c>
      <c r="AC28" s="1598">
        <v>44865</v>
      </c>
      <c r="AD28" s="1598">
        <v>44895</v>
      </c>
      <c r="AE28" s="1599">
        <v>44926</v>
      </c>
      <c r="AF28" s="1599">
        <v>44927</v>
      </c>
      <c r="AG28" s="1599">
        <v>44958</v>
      </c>
      <c r="AH28" s="1599">
        <v>44986</v>
      </c>
      <c r="AI28" s="1599">
        <v>45017</v>
      </c>
      <c r="AJ28" s="1599">
        <v>45047</v>
      </c>
      <c r="AK28" s="1599">
        <v>45078</v>
      </c>
      <c r="AL28" s="1599">
        <v>45108</v>
      </c>
      <c r="AM28" s="1599">
        <v>45139</v>
      </c>
      <c r="AN28" s="1599">
        <v>45170</v>
      </c>
      <c r="AO28" s="1600">
        <v>45200</v>
      </c>
      <c r="AP28" s="1601">
        <v>45231</v>
      </c>
      <c r="AQ28" s="1601">
        <v>45261</v>
      </c>
      <c r="AR28" s="1609">
        <v>45292</v>
      </c>
      <c r="AS28" s="1601">
        <v>45323</v>
      </c>
      <c r="AT28" s="1601">
        <v>45352</v>
      </c>
      <c r="AU28" s="1601">
        <v>45383</v>
      </c>
      <c r="AV28" s="1601">
        <v>45413</v>
      </c>
      <c r="AW28" s="1601">
        <v>45444</v>
      </c>
      <c r="AX28" s="1601">
        <v>45474</v>
      </c>
      <c r="AY28" s="1601">
        <v>45505</v>
      </c>
      <c r="AZ28" s="1601">
        <v>45536</v>
      </c>
      <c r="BA28" s="1601">
        <v>45566</v>
      </c>
      <c r="BB28" s="1601">
        <v>45597</v>
      </c>
      <c r="BC28" s="1601">
        <v>45627</v>
      </c>
      <c r="BE28" s="1183">
        <v>44896</v>
      </c>
      <c r="BF28" s="1178">
        <v>45261</v>
      </c>
      <c r="BG28" s="1183">
        <v>44896</v>
      </c>
    </row>
    <row r="29" spans="3:61" ht="15.75" customHeight="1" x14ac:dyDescent="0.3">
      <c r="C29" s="31" t="s">
        <v>1367</v>
      </c>
      <c r="D29" s="31" t="s">
        <v>1370</v>
      </c>
      <c r="F29" s="41">
        <f>BG51/4</f>
        <v>7992452.9930660417</v>
      </c>
      <c r="G29" s="47"/>
      <c r="H29" s="210"/>
      <c r="I29" s="304"/>
      <c r="J29" s="304"/>
      <c r="K29" s="304"/>
      <c r="L29" s="304"/>
      <c r="M29" s="304"/>
      <c r="N29" s="304"/>
      <c r="O29" s="304"/>
      <c r="P29" s="304"/>
      <c r="Q29" s="832"/>
      <c r="R29" s="304"/>
      <c r="S29" s="304"/>
      <c r="T29" s="1595"/>
      <c r="U29" s="1595"/>
      <c r="V29" s="1595"/>
      <c r="W29" s="1595"/>
      <c r="X29" s="1595"/>
      <c r="Y29" s="1595"/>
      <c r="Z29" s="1596"/>
      <c r="AA29" s="1108"/>
      <c r="AB29" s="1108"/>
      <c r="AC29" s="1108"/>
      <c r="AD29" s="1108"/>
      <c r="AE29" s="1179"/>
      <c r="AF29" s="1179"/>
      <c r="AG29" s="1179"/>
      <c r="AH29" s="1179"/>
      <c r="AI29" s="1179"/>
      <c r="AJ29" s="1179"/>
      <c r="AK29" s="1179"/>
      <c r="AL29" s="1179"/>
      <c r="AM29" s="1179"/>
      <c r="AN29" s="1179"/>
      <c r="AO29" s="1108"/>
      <c r="AP29" s="1603">
        <v>8000000</v>
      </c>
      <c r="AQ29" s="1602">
        <f>AP29+AP30-AP51</f>
        <v>8131816.5065000001</v>
      </c>
      <c r="AR29" s="1610">
        <f t="shared" ref="AR29:BC29" si="79">AQ29+AQ30-AQ51</f>
        <v>7987068.5030749999</v>
      </c>
      <c r="AS29" s="1602">
        <f t="shared" si="79"/>
        <v>7981904.422052986</v>
      </c>
      <c r="AT29" s="1602">
        <f t="shared" si="79"/>
        <v>7407850.8410309711</v>
      </c>
      <c r="AU29" s="1602">
        <f t="shared" si="79"/>
        <v>7402686.7600089563</v>
      </c>
      <c r="AV29" s="1602">
        <f t="shared" si="79"/>
        <v>6884146.6789869415</v>
      </c>
      <c r="AW29" s="1602">
        <f t="shared" si="79"/>
        <v>6878982.5979649266</v>
      </c>
      <c r="AX29" s="1602">
        <f t="shared" si="79"/>
        <v>6873818.5169429118</v>
      </c>
      <c r="AY29" s="1602">
        <f t="shared" si="79"/>
        <v>6868654.4359208969</v>
      </c>
      <c r="AZ29" s="1602">
        <f t="shared" si="79"/>
        <v>6166256.8548988821</v>
      </c>
      <c r="BA29" s="1602">
        <f t="shared" si="79"/>
        <v>6032748.7738768673</v>
      </c>
      <c r="BB29" s="1602">
        <f t="shared" si="79"/>
        <v>6027584.6928548524</v>
      </c>
      <c r="BC29" s="1602">
        <f t="shared" si="79"/>
        <v>6022420.6118328376</v>
      </c>
      <c r="BD29" s="314">
        <f>BC29-AQ29</f>
        <v>-2109395.8946671626</v>
      </c>
      <c r="BE29" s="1180"/>
      <c r="BF29" s="1179"/>
      <c r="BG29" s="1605"/>
      <c r="BH29" s="31" t="s">
        <v>1392</v>
      </c>
      <c r="BI29" s="38">
        <f>BC29/BG51*12</f>
        <v>2.2605402685724902</v>
      </c>
    </row>
    <row r="30" spans="3:61" ht="15.75" customHeight="1" x14ac:dyDescent="0.4">
      <c r="C30" s="31" t="s">
        <v>1368</v>
      </c>
      <c r="D30" s="31" t="s">
        <v>1369</v>
      </c>
      <c r="F30" s="1606">
        <v>576.92307692307679</v>
      </c>
      <c r="G30" s="47"/>
      <c r="H30" s="210"/>
      <c r="I30" s="304"/>
      <c r="J30" s="304"/>
      <c r="K30" s="304"/>
      <c r="L30" s="304"/>
      <c r="M30" s="304"/>
      <c r="N30" s="304"/>
      <c r="O30" s="304"/>
      <c r="P30" s="304"/>
      <c r="Q30" s="832"/>
      <c r="R30" s="304"/>
      <c r="S30" s="304"/>
      <c r="T30" s="1595"/>
      <c r="U30" s="1595"/>
      <c r="V30" s="1595"/>
      <c r="W30" s="1595"/>
      <c r="X30" s="1595"/>
      <c r="Y30" s="1595"/>
      <c r="Z30" s="1596"/>
      <c r="AA30" s="1108"/>
      <c r="AB30" s="1108"/>
      <c r="AC30" s="1108"/>
      <c r="AD30" s="1108"/>
      <c r="AE30" s="1179"/>
      <c r="AF30" s="1179"/>
      <c r="AG30" s="1179"/>
      <c r="AH30" s="1179"/>
      <c r="AI30" s="1179"/>
      <c r="AJ30" s="1179"/>
      <c r="AK30" s="1179"/>
      <c r="AL30" s="1179"/>
      <c r="AM30" s="1179"/>
      <c r="AN30" s="1179"/>
      <c r="AO30" s="1108"/>
      <c r="AP30" s="1661">
        <f>F30*1000*52/12</f>
        <v>2499999.9999999995</v>
      </c>
      <c r="AQ30" s="1602">
        <f>AP30</f>
        <v>2499999.9999999995</v>
      </c>
      <c r="AR30" s="1610">
        <f t="shared" ref="AR30:BC30" si="80">AQ30</f>
        <v>2499999.9999999995</v>
      </c>
      <c r="AS30" s="1602">
        <f t="shared" si="80"/>
        <v>2499999.9999999995</v>
      </c>
      <c r="AT30" s="1602">
        <f t="shared" si="80"/>
        <v>2499999.9999999995</v>
      </c>
      <c r="AU30" s="1602">
        <f t="shared" si="80"/>
        <v>2499999.9999999995</v>
      </c>
      <c r="AV30" s="1602">
        <f t="shared" si="80"/>
        <v>2499999.9999999995</v>
      </c>
      <c r="AW30" s="1602">
        <f t="shared" si="80"/>
        <v>2499999.9999999995</v>
      </c>
      <c r="AX30" s="1602">
        <f t="shared" si="80"/>
        <v>2499999.9999999995</v>
      </c>
      <c r="AY30" s="1602">
        <f t="shared" si="80"/>
        <v>2499999.9999999995</v>
      </c>
      <c r="AZ30" s="1602">
        <f t="shared" si="80"/>
        <v>2499999.9999999995</v>
      </c>
      <c r="BA30" s="1602">
        <f t="shared" si="80"/>
        <v>2499999.9999999995</v>
      </c>
      <c r="BB30" s="1602">
        <f t="shared" si="80"/>
        <v>2499999.9999999995</v>
      </c>
      <c r="BC30" s="1602">
        <f t="shared" si="80"/>
        <v>2499999.9999999995</v>
      </c>
      <c r="BE30" s="1180"/>
      <c r="BF30" s="1179"/>
      <c r="BG30" s="1604">
        <f>SUM(AR30:BC30)</f>
        <v>29999999.999999996</v>
      </c>
      <c r="BH30" s="408"/>
    </row>
    <row r="31" spans="3:61" ht="15.75" customHeight="1" x14ac:dyDescent="0.3">
      <c r="D31" s="31" t="s">
        <v>1371</v>
      </c>
      <c r="F31" s="1655">
        <v>0.1</v>
      </c>
      <c r="G31" s="47"/>
      <c r="H31" s="210"/>
      <c r="I31" s="304"/>
      <c r="J31" s="304"/>
      <c r="K31" s="304"/>
      <c r="L31" s="304"/>
      <c r="M31" s="304"/>
      <c r="N31" s="304"/>
      <c r="O31" s="304"/>
      <c r="P31" s="304"/>
      <c r="Q31" s="832"/>
      <c r="R31" s="304"/>
      <c r="S31" s="304"/>
      <c r="T31" s="921"/>
      <c r="U31" s="921"/>
      <c r="V31" s="921"/>
      <c r="W31" s="921"/>
      <c r="X31" s="921"/>
      <c r="Y31" s="921"/>
      <c r="Z31" s="1061"/>
      <c r="AA31" s="1102"/>
      <c r="AB31" s="1108"/>
      <c r="AC31" s="1108"/>
      <c r="AD31" s="1108"/>
      <c r="AE31" s="1179"/>
      <c r="AF31" s="1179"/>
      <c r="AG31" s="1179"/>
      <c r="AH31" s="1179"/>
      <c r="AI31" s="1179"/>
      <c r="AJ31" s="1179"/>
      <c r="AK31" s="1179"/>
      <c r="AL31" s="1179"/>
      <c r="AM31" s="1179"/>
      <c r="AN31" s="1179"/>
      <c r="AO31" s="1108"/>
      <c r="AP31" s="304"/>
      <c r="AQ31" s="304"/>
      <c r="AR31" s="832"/>
      <c r="AS31" s="304"/>
      <c r="AT31" s="304"/>
      <c r="AU31" s="304"/>
      <c r="AV31" s="304"/>
      <c r="AW31" s="304"/>
      <c r="AX31" s="304"/>
      <c r="AY31" s="304"/>
      <c r="AZ31" s="304"/>
      <c r="BA31" s="304"/>
      <c r="BB31" s="304"/>
      <c r="BC31" s="304"/>
      <c r="BE31" s="1182"/>
      <c r="BF31" s="1179"/>
      <c r="BG31" s="1182"/>
    </row>
    <row r="32" spans="3:61" ht="21" x14ac:dyDescent="0.4">
      <c r="C32" s="806" t="s">
        <v>174</v>
      </c>
      <c r="D32" s="801"/>
      <c r="E32" s="801"/>
      <c r="F32" s="801"/>
      <c r="G32" s="801"/>
      <c r="H32" s="802"/>
      <c r="I32" s="803"/>
      <c r="J32" s="803"/>
      <c r="K32" s="803"/>
      <c r="L32" s="803"/>
      <c r="M32" s="803"/>
      <c r="N32" s="803"/>
      <c r="O32" s="803"/>
      <c r="P32" s="803"/>
      <c r="Q32" s="803"/>
      <c r="R32" s="803"/>
      <c r="S32" s="803"/>
      <c r="T32" s="805"/>
      <c r="U32" s="805"/>
      <c r="V32" s="805"/>
      <c r="W32" s="805"/>
      <c r="X32" s="805"/>
      <c r="Y32" s="805"/>
      <c r="Z32" s="1073"/>
      <c r="AA32" s="1073"/>
      <c r="AB32" s="1073"/>
      <c r="AC32" s="1073"/>
      <c r="AD32" s="1073"/>
      <c r="AE32" s="802"/>
      <c r="AF32" s="802"/>
      <c r="AG32" s="802"/>
      <c r="AH32" s="802"/>
      <c r="AI32" s="802"/>
      <c r="AJ32" s="802"/>
      <c r="AK32" s="802"/>
      <c r="AL32" s="802"/>
      <c r="AM32" s="802"/>
      <c r="AN32" s="802"/>
      <c r="AO32" s="1582"/>
      <c r="AP32" s="803"/>
      <c r="AQ32" s="803"/>
      <c r="AR32" s="1611"/>
      <c r="AS32" s="803"/>
      <c r="AT32" s="803"/>
      <c r="AU32" s="803"/>
      <c r="AV32" s="803"/>
      <c r="AW32" s="803"/>
      <c r="AX32" s="803"/>
      <c r="AY32" s="803"/>
      <c r="AZ32" s="803"/>
      <c r="BA32" s="803"/>
      <c r="BB32" s="803"/>
      <c r="BC32" s="803"/>
      <c r="BE32" s="802"/>
      <c r="BF32" s="805"/>
      <c r="BG32" s="802"/>
    </row>
    <row r="33" spans="1:79" ht="15.75" customHeight="1" x14ac:dyDescent="0.3">
      <c r="C33" s="50"/>
      <c r="D33" s="51"/>
      <c r="E33" s="51"/>
      <c r="F33" s="52"/>
      <c r="G33" s="53"/>
      <c r="H33" s="319"/>
      <c r="I33" s="599"/>
      <c r="J33" s="1663">
        <f>SUM(H51:J51)*4+'HEC Financials'!X8</f>
        <v>10060767.116783999</v>
      </c>
      <c r="K33" s="599"/>
      <c r="L33" s="599"/>
      <c r="M33" s="1663">
        <f>SUM(K51:M51)*4+'HEC Financials'!AA8</f>
        <v>12482832.589999998</v>
      </c>
      <c r="N33" s="599"/>
      <c r="O33" s="599"/>
      <c r="P33" s="1663">
        <f>SUM(N51:P51)*4+'HEC Financials'!AD8</f>
        <v>15238306.979999999</v>
      </c>
      <c r="Q33" s="829" t="s">
        <v>153</v>
      </c>
      <c r="R33" s="879" t="s">
        <v>154</v>
      </c>
      <c r="S33" s="1663">
        <f>SUM(Q51:S51)*4+'HEC Financials'!AG8</f>
        <v>21478593.700000003</v>
      </c>
      <c r="T33" s="922"/>
      <c r="U33" s="922"/>
      <c r="V33" s="1663">
        <f>SUM(T51:V51)*4+'HEC Financials'!AJ8</f>
        <v>19289086.41</v>
      </c>
      <c r="W33" s="922"/>
      <c r="X33" s="922"/>
      <c r="Y33" s="1663">
        <f>SUM(W51:Y51)*4+'HEC Financials'!AM8</f>
        <v>17406574.329999998</v>
      </c>
      <c r="Z33" s="1074"/>
      <c r="AA33" s="1103"/>
      <c r="AB33" s="1663">
        <f>SUM(Z51:AB51)*4+'HEC Financials'!AP8</f>
        <v>18990849.800000001</v>
      </c>
      <c r="AC33" s="1103"/>
      <c r="AD33" s="1103"/>
      <c r="AE33" s="1663">
        <f>SUM(AC51:AE51)*4+'HEC Financials'!AS8</f>
        <v>15786077.770000001</v>
      </c>
      <c r="AF33" s="1153"/>
      <c r="AG33" s="1153"/>
      <c r="AH33" s="1663">
        <f>SUM(AF51:AH51)*4+'HEC Financials'!AV8</f>
        <v>16745217.969999999</v>
      </c>
      <c r="AI33" s="1153"/>
      <c r="AJ33" s="1153"/>
      <c r="AK33" s="1663">
        <f>SUM(AI51:AK51)*4+'HEC Financials'!AZ8</f>
        <v>19741330.629999999</v>
      </c>
      <c r="AL33" s="1153"/>
      <c r="AM33" s="1153"/>
      <c r="AN33" s="1663">
        <f>SUM(AL51:AN51)*4</f>
        <v>19635730.600000001</v>
      </c>
      <c r="AO33" s="1583"/>
      <c r="AP33" s="879"/>
      <c r="AQ33" s="1662">
        <f>SUM(AO51:AQ51)*4</f>
        <v>29472650.947700001</v>
      </c>
      <c r="AS33" s="879"/>
      <c r="AT33" s="879"/>
      <c r="AU33" s="879"/>
      <c r="AV33" s="879"/>
      <c r="AW33" s="879"/>
      <c r="AX33" s="879"/>
      <c r="AY33" s="879"/>
      <c r="AZ33" s="879"/>
      <c r="BA33" s="879"/>
      <c r="BB33" s="879"/>
      <c r="BC33" s="879"/>
      <c r="BE33" s="1185"/>
      <c r="BF33" s="1546"/>
      <c r="BG33" s="1185"/>
    </row>
    <row r="34" spans="1:79" ht="15.75" customHeight="1" x14ac:dyDescent="0.3">
      <c r="C34" s="55" t="s">
        <v>175</v>
      </c>
      <c r="F34" s="56"/>
      <c r="G34" s="47"/>
      <c r="H34" s="320"/>
      <c r="I34" s="317"/>
      <c r="J34" s="317"/>
      <c r="K34" s="317"/>
      <c r="L34" s="317"/>
      <c r="M34" s="317"/>
      <c r="N34" s="317"/>
      <c r="O34" s="317"/>
      <c r="P34" s="317"/>
      <c r="Q34" s="317"/>
      <c r="R34" s="317"/>
      <c r="S34" s="317"/>
      <c r="T34" s="923"/>
      <c r="U34" s="923"/>
      <c r="V34" s="923"/>
      <c r="W34" s="923"/>
      <c r="X34" s="923"/>
      <c r="Y34" s="923"/>
      <c r="Z34" s="1075"/>
      <c r="AA34" s="1075"/>
      <c r="AB34" s="1075"/>
      <c r="AC34" s="1075"/>
      <c r="AD34" s="1075"/>
      <c r="AE34" s="1154"/>
      <c r="AF34" s="1154"/>
      <c r="AG34" s="1154"/>
      <c r="AH34" s="1154"/>
      <c r="AI34" s="1154"/>
      <c r="AJ34" s="1154"/>
      <c r="AK34" s="1154"/>
      <c r="AL34" s="1154"/>
      <c r="AM34" s="1154"/>
      <c r="AN34" s="1154"/>
      <c r="AO34" s="1154"/>
      <c r="AP34" s="317"/>
      <c r="AQ34" s="317"/>
      <c r="AR34" s="1612"/>
      <c r="AS34" s="317"/>
      <c r="AT34" s="317"/>
      <c r="AU34" s="317"/>
      <c r="AV34" s="317"/>
      <c r="AW34" s="317"/>
      <c r="AX34" s="317"/>
      <c r="AY34" s="317"/>
      <c r="AZ34" s="317"/>
      <c r="BA34" s="317"/>
      <c r="BB34" s="317"/>
      <c r="BC34" s="317"/>
      <c r="BE34" s="1186"/>
      <c r="BF34" s="1547"/>
      <c r="BG34" s="1186"/>
      <c r="BL34" s="31" t="s">
        <v>1374</v>
      </c>
      <c r="BM34" s="31" t="s">
        <v>1375</v>
      </c>
      <c r="BN34" s="31" t="s">
        <v>1376</v>
      </c>
      <c r="BO34" s="31" t="s">
        <v>1377</v>
      </c>
      <c r="BP34" s="31" t="s">
        <v>1378</v>
      </c>
      <c r="BQ34" s="31" t="s">
        <v>1379</v>
      </c>
      <c r="BR34" s="31" t="s">
        <v>1380</v>
      </c>
      <c r="BS34" s="31" t="s">
        <v>1381</v>
      </c>
      <c r="BT34" s="31" t="s">
        <v>1382</v>
      </c>
      <c r="BU34" s="31" t="s">
        <v>1383</v>
      </c>
      <c r="BV34" s="31" t="s">
        <v>1384</v>
      </c>
      <c r="BW34" s="31" t="s">
        <v>1385</v>
      </c>
      <c r="BX34" s="31" t="s">
        <v>1386</v>
      </c>
      <c r="BY34" s="31" t="s">
        <v>1387</v>
      </c>
      <c r="BZ34" s="31" t="s">
        <v>1388</v>
      </c>
      <c r="CA34" s="31" t="s">
        <v>1389</v>
      </c>
    </row>
    <row r="35" spans="1:79" ht="15.75" hidden="1" customHeight="1" outlineLevel="1" x14ac:dyDescent="0.3">
      <c r="C35" s="57" t="s">
        <v>1</v>
      </c>
      <c r="D35" s="58"/>
      <c r="E35" s="59"/>
      <c r="F35" s="56"/>
      <c r="G35" s="61"/>
      <c r="H35" s="618">
        <f>'Rev and COGS'!E10</f>
        <v>259591.20663999999</v>
      </c>
      <c r="I35" s="629">
        <f>'Rev and COGS'!H10</f>
        <v>538922.14932199998</v>
      </c>
      <c r="J35" s="629">
        <f>'Rev and COGS'!K10</f>
        <v>661659.54</v>
      </c>
      <c r="K35" s="629">
        <f>'Rev and COGS'!N10</f>
        <v>558385.87</v>
      </c>
      <c r="L35" s="629">
        <f>'Rev and COGS'!Q10</f>
        <v>583761.55000000005</v>
      </c>
      <c r="M35" s="629">
        <f>'Rev and COGS'!T10</f>
        <v>432914.52</v>
      </c>
      <c r="N35" s="629">
        <f>'Rev and COGS'!W10</f>
        <v>506352.45</v>
      </c>
      <c r="O35" s="629">
        <f>'Rev and COGS'!Z10</f>
        <v>392729.35</v>
      </c>
      <c r="P35" s="629">
        <f>'Rev and COGS'!AC10</f>
        <v>453339.0199999999</v>
      </c>
      <c r="Q35" s="629">
        <f>'Rev and COGS'!AF10</f>
        <v>611355.05000000005</v>
      </c>
      <c r="R35" s="629">
        <f>'Rev and COGS'!AI10</f>
        <v>516698.98</v>
      </c>
      <c r="S35" s="629">
        <f>'Rev and COGS'!AL10</f>
        <v>402722.42</v>
      </c>
      <c r="T35" s="924">
        <f>'Rev and COGS'!AN9+'Rev and COGS'!AN10+'Rev and COGS'!AN15</f>
        <v>770138.05</v>
      </c>
      <c r="U35" s="924">
        <f>'Rev and COGS'!AO9+'Rev and COGS'!AO10+'Rev and COGS'!AO15</f>
        <v>436032.63</v>
      </c>
      <c r="V35" s="924">
        <f>'Rev and COGS'!AP9+'Rev and COGS'!AP10+'Rev and COGS'!AP15</f>
        <v>710311.75</v>
      </c>
      <c r="W35" s="924">
        <f>'Rev and COGS'!AQ9+'Rev and COGS'!AQ10+'Rev and COGS'!AQ15</f>
        <v>661930.58000000007</v>
      </c>
      <c r="X35" s="924">
        <f>'Rev and COGS'!AR9+'Rev and COGS'!AR10+'Rev and COGS'!AR15</f>
        <v>639639.27</v>
      </c>
      <c r="Y35" s="924">
        <f>'Rev and COGS'!AS9+'Rev and COGS'!AS10+'Rev and COGS'!AS15</f>
        <v>931601.36</v>
      </c>
      <c r="Z35" s="1076">
        <f>'Rev and COGS'!AT9+'Rev and COGS'!AT10+'Rev and COGS'!AT15</f>
        <v>564405.18999999994</v>
      </c>
      <c r="AA35" s="1076">
        <f>'Rev and COGS'!AU9+'Rev and COGS'!AU10+'Rev and COGS'!AU15</f>
        <v>755911.31</v>
      </c>
      <c r="AB35" s="1076">
        <f>'Rev and COGS'!AV9+'Rev and COGS'!AV10+'Rev and COGS'!AV15</f>
        <v>811087.55999999994</v>
      </c>
      <c r="AC35" s="1076">
        <f>'Rev and COGS'!AW9+'Rev and COGS'!AW10+'Rev and COGS'!AW15</f>
        <v>533886</v>
      </c>
      <c r="AD35" s="1076">
        <f>'Rev and COGS'!AX9+'Rev and COGS'!AX10+'Rev and COGS'!AX15</f>
        <v>532863.59</v>
      </c>
      <c r="AE35" s="1155">
        <f>'Rev and COGS'!AY9+'Rev and COGS'!AY10+'Rev and COGS'!AY15</f>
        <v>622503.73</v>
      </c>
      <c r="AF35" s="1155"/>
      <c r="AG35" s="1155"/>
      <c r="AH35" s="1155"/>
      <c r="AI35" s="1155"/>
      <c r="AJ35" s="1155"/>
      <c r="AK35" s="1155"/>
      <c r="AL35" s="1155"/>
      <c r="AM35" s="1155"/>
      <c r="AN35" s="1155"/>
      <c r="AO35" s="1155"/>
      <c r="AP35" s="629"/>
      <c r="AQ35" s="629"/>
      <c r="AR35" s="618"/>
      <c r="AS35" s="629"/>
      <c r="AT35" s="629"/>
      <c r="AU35" s="629"/>
      <c r="AV35" s="629"/>
      <c r="AW35" s="629"/>
      <c r="AX35" s="629"/>
      <c r="AY35" s="629"/>
      <c r="AZ35" s="629"/>
      <c r="BA35" s="629"/>
      <c r="BB35" s="629"/>
      <c r="BC35" s="629"/>
      <c r="BE35" s="1184">
        <f t="shared" ref="BE35:BE44" si="81">SUM(T35:AE35)</f>
        <v>7970311.0199999996</v>
      </c>
      <c r="BF35" s="1240"/>
      <c r="BG35" s="1184"/>
    </row>
    <row r="36" spans="1:79" ht="15.75" hidden="1" customHeight="1" outlineLevel="1" x14ac:dyDescent="0.3">
      <c r="C36" s="57" t="s">
        <v>2</v>
      </c>
      <c r="D36" s="63"/>
      <c r="E36" s="59"/>
      <c r="F36" s="56"/>
      <c r="G36" s="61"/>
      <c r="H36" s="618">
        <f>'Rev and COGS'!E11</f>
        <v>80742.603499999997</v>
      </c>
      <c r="I36" s="629">
        <f>'Rev and COGS'!H11</f>
        <v>113070.15</v>
      </c>
      <c r="J36" s="629">
        <f>'Rev and COGS'!K11</f>
        <v>120150</v>
      </c>
      <c r="K36" s="629">
        <f>'Rev and COGS'!N11</f>
        <v>111786.48999999999</v>
      </c>
      <c r="L36" s="629">
        <f>'Rev and COGS'!Q11</f>
        <v>146336</v>
      </c>
      <c r="M36" s="629">
        <f>'Rev and COGS'!T11</f>
        <v>149849.5</v>
      </c>
      <c r="N36" s="629">
        <f>'Rev and COGS'!W11</f>
        <v>241385.84</v>
      </c>
      <c r="O36" s="629">
        <f>'Rev and COGS'!Z11</f>
        <v>234459.3899999999</v>
      </c>
      <c r="P36" s="629">
        <f>'Rev and COGS'!AC11</f>
        <v>164157.63999999998</v>
      </c>
      <c r="Q36" s="629">
        <f>'Rev and COGS'!AF11</f>
        <v>203576.38</v>
      </c>
      <c r="R36" s="629">
        <f>'Rev and COGS'!AI11</f>
        <v>79777.219999999914</v>
      </c>
      <c r="S36" s="629">
        <f>'Rev and COGS'!AL11</f>
        <v>78748.870000000112</v>
      </c>
      <c r="T36" s="924">
        <f>'Rev and COGS'!AN11</f>
        <v>284769.67</v>
      </c>
      <c r="U36" s="924">
        <f>'Rev and COGS'!AO11</f>
        <v>171029.36</v>
      </c>
      <c r="V36" s="924">
        <f>'Rev and COGS'!AP11</f>
        <v>373421</v>
      </c>
      <c r="W36" s="924">
        <f>'Rev and COGS'!AQ11</f>
        <v>345490.69</v>
      </c>
      <c r="X36" s="924">
        <f>'Rev and COGS'!AR11</f>
        <v>575277</v>
      </c>
      <c r="Y36" s="924">
        <f>'Rev and COGS'!AS11</f>
        <v>598850.74</v>
      </c>
      <c r="Z36" s="1076">
        <f>'Rev and COGS'!AT11</f>
        <v>50266</v>
      </c>
      <c r="AA36" s="1076">
        <f>'Rev and COGS'!AU11</f>
        <v>258966.33</v>
      </c>
      <c r="AB36" s="1076">
        <f>'Rev and COGS'!AV11</f>
        <v>243574.68</v>
      </c>
      <c r="AC36" s="1076">
        <f>'Rev and COGS'!AW11</f>
        <v>170271.2</v>
      </c>
      <c r="AD36" s="1076">
        <f>'Rev and COGS'!AX11</f>
        <v>88608.2</v>
      </c>
      <c r="AE36" s="1155">
        <f>'Rev and COGS'!AY11</f>
        <v>248826.05</v>
      </c>
      <c r="AF36" s="1155"/>
      <c r="AG36" s="1155"/>
      <c r="AH36" s="1155"/>
      <c r="AI36" s="1155"/>
      <c r="AJ36" s="1155"/>
      <c r="AK36" s="1155"/>
      <c r="AL36" s="1155"/>
      <c r="AM36" s="1155"/>
      <c r="AN36" s="1155"/>
      <c r="AO36" s="1155"/>
      <c r="AP36" s="629"/>
      <c r="AQ36" s="629"/>
      <c r="AR36" s="618"/>
      <c r="AS36" s="629"/>
      <c r="AT36" s="629"/>
      <c r="AU36" s="629"/>
      <c r="AV36" s="629"/>
      <c r="AW36" s="629"/>
      <c r="AX36" s="629"/>
      <c r="AY36" s="629"/>
      <c r="AZ36" s="629"/>
      <c r="BA36" s="629"/>
      <c r="BB36" s="629"/>
      <c r="BC36" s="629"/>
      <c r="BE36" s="1184">
        <f t="shared" si="81"/>
        <v>3409350.9200000004</v>
      </c>
      <c r="BF36" s="1240"/>
      <c r="BG36" s="1184"/>
    </row>
    <row r="37" spans="1:79" ht="15.75" hidden="1" customHeight="1" outlineLevel="1" x14ac:dyDescent="0.3">
      <c r="C37" s="57" t="s">
        <v>3</v>
      </c>
      <c r="D37" s="63"/>
      <c r="E37" s="59"/>
      <c r="F37" s="56"/>
      <c r="G37" s="61"/>
      <c r="H37" s="618">
        <f>'Rev and COGS'!E12</f>
        <v>16629</v>
      </c>
      <c r="I37" s="629">
        <f>'Rev and COGS'!H12</f>
        <v>17391.766</v>
      </c>
      <c r="J37" s="629">
        <f>'Rev and COGS'!K12</f>
        <v>505193.50000000006</v>
      </c>
      <c r="K37" s="629">
        <f>'Rev and COGS'!N12</f>
        <v>57457.000000000116</v>
      </c>
      <c r="L37" s="629">
        <f>'Rev and COGS'!Q12</f>
        <v>122509.82</v>
      </c>
      <c r="M37" s="629">
        <f>'Rev and COGS'!T12</f>
        <v>76034.299999999814</v>
      </c>
      <c r="N37" s="629">
        <f>'Rev and COGS'!W12</f>
        <v>41177.15</v>
      </c>
      <c r="O37" s="629">
        <f>'Rev and COGS'!Z12</f>
        <v>265193.66000000003</v>
      </c>
      <c r="P37" s="629">
        <f>'Rev and COGS'!AC12</f>
        <v>210292.29999999996</v>
      </c>
      <c r="Q37" s="629">
        <f>'Rev and COGS'!AF12</f>
        <v>198667.37000000032</v>
      </c>
      <c r="R37" s="629">
        <f>'Rev and COGS'!AI12</f>
        <v>80832</v>
      </c>
      <c r="S37" s="629">
        <f>'Rev and COGS'!AL12</f>
        <v>513168.2999999997</v>
      </c>
      <c r="T37" s="924">
        <f>'Rev and COGS'!AN12</f>
        <v>15070</v>
      </c>
      <c r="U37" s="924">
        <f>'Rev and COGS'!AO12</f>
        <v>70741.23</v>
      </c>
      <c r="V37" s="924">
        <f>'Rev and COGS'!AP12</f>
        <v>120778.62</v>
      </c>
      <c r="W37" s="924">
        <f>'Rev and COGS'!AQ12</f>
        <v>516604.73</v>
      </c>
      <c r="X37" s="924">
        <f>'Rev and COGS'!AR12</f>
        <v>7994.23</v>
      </c>
      <c r="Y37" s="924">
        <f>'Rev and COGS'!AS12</f>
        <v>311257.15999999997</v>
      </c>
      <c r="Z37" s="1076">
        <f>'Rev and COGS'!AT12</f>
        <v>2787995.2</v>
      </c>
      <c r="AA37" s="1076">
        <f>'Rev and COGS'!AU12</f>
        <v>127608.45</v>
      </c>
      <c r="AB37" s="1076">
        <f>'Rev and COGS'!AV12</f>
        <v>134879.6</v>
      </c>
      <c r="AC37" s="1076">
        <f>'Rev and COGS'!AW12</f>
        <v>72638.5</v>
      </c>
      <c r="AD37" s="1076">
        <f>'Rev and COGS'!AX12</f>
        <v>10699</v>
      </c>
      <c r="AE37" s="1155">
        <f>'Rev and COGS'!AY12</f>
        <v>62769.79</v>
      </c>
      <c r="AF37" s="1155"/>
      <c r="AG37" s="1155"/>
      <c r="AH37" s="1155"/>
      <c r="AI37" s="1155"/>
      <c r="AJ37" s="1155"/>
      <c r="AK37" s="1155"/>
      <c r="AL37" s="1155"/>
      <c r="AM37" s="1155"/>
      <c r="AN37" s="1155"/>
      <c r="AO37" s="1155"/>
      <c r="AP37" s="629"/>
      <c r="AQ37" s="629"/>
      <c r="AR37" s="618"/>
      <c r="AS37" s="629"/>
      <c r="AT37" s="629"/>
      <c r="AU37" s="629"/>
      <c r="AV37" s="629"/>
      <c r="AW37" s="629"/>
      <c r="AX37" s="629"/>
      <c r="AY37" s="629"/>
      <c r="AZ37" s="629"/>
      <c r="BA37" s="629"/>
      <c r="BB37" s="629"/>
      <c r="BC37" s="629"/>
      <c r="BE37" s="1184">
        <f t="shared" si="81"/>
        <v>4239036.51</v>
      </c>
      <c r="BF37" s="1240"/>
      <c r="BG37" s="1184"/>
    </row>
    <row r="38" spans="1:79" hidden="1" outlineLevel="1" x14ac:dyDescent="0.3">
      <c r="C38" s="57" t="s">
        <v>179</v>
      </c>
      <c r="D38" s="63"/>
      <c r="E38" s="59"/>
      <c r="F38" s="56"/>
      <c r="G38" s="61"/>
      <c r="H38" s="618">
        <f>'Rev and COGS'!E14</f>
        <v>0</v>
      </c>
      <c r="I38" s="629">
        <f>'Rev and COGS'!H14</f>
        <v>20000</v>
      </c>
      <c r="J38" s="629">
        <f>'Rev and COGS'!K14</f>
        <v>5000</v>
      </c>
      <c r="K38" s="629">
        <f>'Rev and COGS'!N14</f>
        <v>0</v>
      </c>
      <c r="L38" s="629">
        <f>'Rev and COGS'!Q14</f>
        <v>0</v>
      </c>
      <c r="M38" s="629">
        <f>'Rev and COGS'!T14</f>
        <v>19697.099999999999</v>
      </c>
      <c r="N38" s="629">
        <f>'Rev and COGS'!W14</f>
        <v>1586.84</v>
      </c>
      <c r="O38" s="629">
        <f>'Rev and COGS'!Z14</f>
        <v>56.740000000005239</v>
      </c>
      <c r="P38" s="629">
        <f>'Rev and COGS'!AC14</f>
        <v>161.46999999999389</v>
      </c>
      <c r="Q38" s="629">
        <f>'Rev and COGS'!AF14</f>
        <v>0</v>
      </c>
      <c r="R38" s="629">
        <f>'Rev and COGS'!AI14</f>
        <v>0</v>
      </c>
      <c r="S38" s="629">
        <f>'Rev and COGS'!AL14</f>
        <v>0</v>
      </c>
      <c r="T38" s="924">
        <f>'Rev and COGS'!AN14</f>
        <v>62.2</v>
      </c>
      <c r="U38" s="924">
        <f>'Rev and COGS'!AO14</f>
        <v>359.73</v>
      </c>
      <c r="V38" s="924">
        <f>'Rev and COGS'!AP14</f>
        <v>1641.78</v>
      </c>
      <c r="W38" s="924">
        <f>'Rev and COGS'!AQ14</f>
        <v>463.18</v>
      </c>
      <c r="X38" s="924">
        <f>'Rev and COGS'!AR14</f>
        <v>3610.3</v>
      </c>
      <c r="Y38" s="924">
        <f>'Rev and COGS'!AS14</f>
        <v>2094.4299999999998</v>
      </c>
      <c r="Z38" s="1076">
        <f>'Rev and COGS'!AT14</f>
        <v>563.97</v>
      </c>
      <c r="AA38" s="1076">
        <f>'Rev and COGS'!AU14</f>
        <v>676.97</v>
      </c>
      <c r="AB38" s="1076">
        <f>'Rev and COGS'!AV14</f>
        <v>440.81</v>
      </c>
      <c r="AC38" s="1076">
        <f>'Rev and COGS'!AW14</f>
        <v>8246.39</v>
      </c>
      <c r="AD38" s="1076">
        <f>'Rev and COGS'!AX14</f>
        <v>302.81</v>
      </c>
      <c r="AE38" s="1155">
        <f>'Rev and COGS'!AY14</f>
        <v>757.32</v>
      </c>
      <c r="AF38" s="1155"/>
      <c r="AG38" s="1155"/>
      <c r="AH38" s="1155"/>
      <c r="AI38" s="1155"/>
      <c r="AJ38" s="1155"/>
      <c r="AK38" s="1155"/>
      <c r="AL38" s="1155"/>
      <c r="AM38" s="1155"/>
      <c r="AN38" s="1155"/>
      <c r="AO38" s="1155"/>
      <c r="AP38" s="629"/>
      <c r="AQ38" s="629"/>
      <c r="AR38" s="618"/>
      <c r="AS38" s="629"/>
      <c r="AT38" s="629"/>
      <c r="AU38" s="629"/>
      <c r="AV38" s="629"/>
      <c r="AW38" s="629"/>
      <c r="AX38" s="629"/>
      <c r="AY38" s="629"/>
      <c r="AZ38" s="629"/>
      <c r="BA38" s="629"/>
      <c r="BB38" s="629"/>
      <c r="BC38" s="629"/>
      <c r="BE38" s="1184">
        <f t="shared" si="81"/>
        <v>19219.89</v>
      </c>
      <c r="BF38" s="1240"/>
      <c r="BG38" s="1184"/>
    </row>
    <row r="39" spans="1:79" hidden="1" outlineLevel="1" x14ac:dyDescent="0.3">
      <c r="C39" s="57" t="s">
        <v>5</v>
      </c>
      <c r="E39" s="59"/>
      <c r="F39" s="56"/>
      <c r="G39" s="61"/>
      <c r="H39" s="618">
        <f>'Rev and COGS'!E16</f>
        <v>-16349</v>
      </c>
      <c r="I39" s="629">
        <f>'Rev and COGS'!H16</f>
        <v>-39848.699999999997</v>
      </c>
      <c r="J39" s="629">
        <f>'Rev and COGS'!K16</f>
        <v>-212831.50000000003</v>
      </c>
      <c r="K39" s="629">
        <f>'Rev and COGS'!N16</f>
        <v>-32923.800000000047</v>
      </c>
      <c r="L39" s="629">
        <f>'Rev and COGS'!Q16</f>
        <v>-1867.59</v>
      </c>
      <c r="M39" s="629">
        <f>'Rev and COGS'!T16</f>
        <v>231350.49</v>
      </c>
      <c r="N39" s="629">
        <f>'Rev and COGS'!W16</f>
        <v>96687.679999999993</v>
      </c>
      <c r="O39" s="629">
        <f>'Rev and COGS'!Z16</f>
        <v>146533.00000000009</v>
      </c>
      <c r="P39" s="629">
        <f>'Rev and COGS'!AC16</f>
        <v>227405.45</v>
      </c>
      <c r="Q39" s="629">
        <f>'Rev and COGS'!AF16</f>
        <v>497353.41000000015</v>
      </c>
      <c r="R39" s="629">
        <f>'Rev and COGS'!AI16</f>
        <v>316170.12999999989</v>
      </c>
      <c r="S39" s="629">
        <f>'Rev and COGS'!AL16</f>
        <v>964906.05000000028</v>
      </c>
      <c r="T39" s="924">
        <f>'Rev and COGS'!AN16</f>
        <v>-51581.94</v>
      </c>
      <c r="U39" s="924">
        <f>'Rev and COGS'!AO16</f>
        <v>937990.01</v>
      </c>
      <c r="V39" s="924">
        <f>'Rev and COGS'!AP16</f>
        <v>317425.86</v>
      </c>
      <c r="W39" s="924">
        <f>'Rev and COGS'!AQ16</f>
        <v>-598919.69999999995</v>
      </c>
      <c r="X39" s="924">
        <f>'Rev and COGS'!AR16</f>
        <v>117723.46</v>
      </c>
      <c r="Y39" s="924">
        <f>'Rev and COGS'!AS16</f>
        <v>-413457.41</v>
      </c>
      <c r="Z39" s="1076">
        <f>'Rev and COGS'!AT16</f>
        <v>-2300053.9500000002</v>
      </c>
      <c r="AA39" s="1076">
        <f>'Rev and COGS'!AU16</f>
        <v>417559</v>
      </c>
      <c r="AB39" s="1076">
        <f>'Rev and COGS'!AV16</f>
        <v>52969.22</v>
      </c>
      <c r="AC39" s="1076">
        <f>'Rev and COGS'!AW16</f>
        <v>241099.9</v>
      </c>
      <c r="AD39" s="1076">
        <f>'Rev and COGS'!AX16</f>
        <v>244946.87</v>
      </c>
      <c r="AE39" s="1155">
        <f>'Rev and COGS'!AY16</f>
        <v>466406.45</v>
      </c>
      <c r="AF39" s="1155"/>
      <c r="AG39" s="1155"/>
      <c r="AH39" s="1155"/>
      <c r="AI39" s="1155"/>
      <c r="AJ39" s="1155"/>
      <c r="AK39" s="1155"/>
      <c r="AL39" s="1155"/>
      <c r="AM39" s="1155"/>
      <c r="AN39" s="1155"/>
      <c r="AO39" s="1155"/>
      <c r="AP39" s="629"/>
      <c r="AQ39" s="629"/>
      <c r="AR39" s="618"/>
      <c r="AS39" s="629"/>
      <c r="AT39" s="629"/>
      <c r="AU39" s="629"/>
      <c r="AV39" s="629"/>
      <c r="AW39" s="629"/>
      <c r="AX39" s="629"/>
      <c r="AY39" s="629"/>
      <c r="AZ39" s="629"/>
      <c r="BA39" s="629"/>
      <c r="BB39" s="629"/>
      <c r="BC39" s="629"/>
      <c r="BE39" s="1184">
        <f t="shared" si="81"/>
        <v>-567892.23</v>
      </c>
      <c r="BF39" s="1240"/>
      <c r="BG39" s="1184"/>
    </row>
    <row r="40" spans="1:79" ht="15.75" hidden="1" customHeight="1" outlineLevel="1" x14ac:dyDescent="0.3">
      <c r="C40" s="57" t="s">
        <v>6</v>
      </c>
      <c r="E40" s="59"/>
      <c r="F40" s="56"/>
      <c r="G40" s="61"/>
      <c r="H40" s="618">
        <f>'Rev and COGS'!E17</f>
        <v>15220.022181</v>
      </c>
      <c r="I40" s="629">
        <f>'Rev and COGS'!H17</f>
        <v>20967.111553000002</v>
      </c>
      <c r="J40" s="629">
        <f>'Rev and COGS'!K17</f>
        <v>43648.180000000008</v>
      </c>
      <c r="K40" s="629">
        <f>'Rev and COGS'!N17</f>
        <v>27092.259999999991</v>
      </c>
      <c r="L40" s="629">
        <f>'Rev and COGS'!Q17</f>
        <v>49916.85</v>
      </c>
      <c r="M40" s="629">
        <f>'Rev and COGS'!T17</f>
        <v>32956.880000000012</v>
      </c>
      <c r="N40" s="629">
        <f>'Rev and COGS'!W17</f>
        <v>37146.690000000024</v>
      </c>
      <c r="O40" s="629">
        <f>'Rev and COGS'!Z17</f>
        <v>37625.109999999979</v>
      </c>
      <c r="P40" s="629">
        <f>'Rev and COGS'!AC17</f>
        <v>31965.190000000024</v>
      </c>
      <c r="Q40" s="629">
        <f>'Rev and COGS'!AF17</f>
        <v>42708.929999999964</v>
      </c>
      <c r="R40" s="629">
        <f>'Rev and COGS'!AI17</f>
        <v>32162.550000000039</v>
      </c>
      <c r="S40" s="629">
        <f>'Rev and COGS'!AL17</f>
        <v>36731.290000000008</v>
      </c>
      <c r="T40" s="924">
        <f>'Rev and COGS'!AN17</f>
        <v>25778.71</v>
      </c>
      <c r="U40" s="924">
        <f>'Rev and COGS'!AO17</f>
        <v>38636.050000000003</v>
      </c>
      <c r="V40" s="924">
        <f>'Rev and COGS'!AP17</f>
        <v>54424.22</v>
      </c>
      <c r="W40" s="924">
        <f>'Rev and COGS'!AQ17</f>
        <v>63280.69</v>
      </c>
      <c r="X40" s="924">
        <f>'Rev and COGS'!AR17</f>
        <v>41111.480000000003</v>
      </c>
      <c r="Y40" s="924">
        <f>'Rev and COGS'!AS17</f>
        <v>103852.29</v>
      </c>
      <c r="Z40" s="1076">
        <f>'Rev and COGS'!AT17</f>
        <v>73245.399999999994</v>
      </c>
      <c r="AA40" s="1076">
        <f>'Rev and COGS'!AU17</f>
        <v>41695.94</v>
      </c>
      <c r="AB40" s="1076">
        <f>'Rev and COGS'!AV17</f>
        <v>34037.839999999997</v>
      </c>
      <c r="AC40" s="1076">
        <f>'Rev and COGS'!AW17</f>
        <v>33724.800000000003</v>
      </c>
      <c r="AD40" s="1076">
        <f>'Rev and COGS'!AX17</f>
        <v>16886.66</v>
      </c>
      <c r="AE40" s="1155">
        <f>'Rev and COGS'!AY17</f>
        <v>19315.310000000001</v>
      </c>
      <c r="AF40" s="1155"/>
      <c r="AG40" s="1155"/>
      <c r="AH40" s="1155"/>
      <c r="AI40" s="1155"/>
      <c r="AJ40" s="1155"/>
      <c r="AK40" s="1155"/>
      <c r="AL40" s="1155"/>
      <c r="AM40" s="1155"/>
      <c r="AN40" s="1155"/>
      <c r="AO40" s="1155"/>
      <c r="AP40" s="629"/>
      <c r="AQ40" s="629"/>
      <c r="AR40" s="618"/>
      <c r="AS40" s="629"/>
      <c r="AT40" s="629"/>
      <c r="AU40" s="629"/>
      <c r="AV40" s="629"/>
      <c r="AW40" s="629"/>
      <c r="AX40" s="629"/>
      <c r="AY40" s="629"/>
      <c r="AZ40" s="629"/>
      <c r="BA40" s="629"/>
      <c r="BB40" s="629"/>
      <c r="BC40" s="629"/>
      <c r="BE40" s="1184">
        <f t="shared" si="81"/>
        <v>545989.39</v>
      </c>
      <c r="BF40" s="1240"/>
      <c r="BG40" s="1184"/>
    </row>
    <row r="41" spans="1:79" ht="15.75" hidden="1" customHeight="1" outlineLevel="1" x14ac:dyDescent="0.3">
      <c r="C41" s="57" t="s">
        <v>7</v>
      </c>
      <c r="E41" s="63"/>
      <c r="F41" s="56"/>
      <c r="G41" s="61"/>
      <c r="H41" s="618">
        <f>'Rev and COGS'!E18</f>
        <v>0</v>
      </c>
      <c r="I41" s="629">
        <f>'Rev and COGS'!H18</f>
        <v>0</v>
      </c>
      <c r="J41" s="629">
        <f>'Rev and COGS'!K18</f>
        <v>0</v>
      </c>
      <c r="K41" s="629">
        <f>'Rev and COGS'!N18</f>
        <v>0</v>
      </c>
      <c r="L41" s="629">
        <f>'Rev and COGS'!Q18</f>
        <v>0</v>
      </c>
      <c r="M41" s="629">
        <f>'Rev and COGS'!T18</f>
        <v>0</v>
      </c>
      <c r="N41" s="629">
        <f>'Rev and COGS'!W18</f>
        <v>-44.2</v>
      </c>
      <c r="O41" s="629">
        <f>'Rev and COGS'!Z18</f>
        <v>-196.07</v>
      </c>
      <c r="P41" s="629">
        <f>'Rev and COGS'!AC18</f>
        <v>-154.76</v>
      </c>
      <c r="Q41" s="629">
        <f>'Rev and COGS'!AF18</f>
        <v>0</v>
      </c>
      <c r="R41" s="629">
        <f>'Rev and COGS'!AI18</f>
        <v>-8175.8</v>
      </c>
      <c r="S41" s="629">
        <f>'Rev and COGS'!AL18</f>
        <v>0</v>
      </c>
      <c r="T41" s="924">
        <f>'Rev and COGS'!AN18+'Rev and COGS'!AN19+'Rev and COGS'!AN20+'Rev and COGS'!AN21+'Rev and COGS'!AN22</f>
        <v>0</v>
      </c>
      <c r="U41" s="924">
        <f>'Rev and COGS'!AO18+'Rev and COGS'!AO19+'Rev and COGS'!AO20+'Rev and COGS'!AO21+'Rev and COGS'!AO22</f>
        <v>-2984.57</v>
      </c>
      <c r="V41" s="924">
        <f>'Rev and COGS'!AP18+'Rev and COGS'!AP19+'Rev and COGS'!AP20+'Rev and COGS'!AP21+'Rev and COGS'!AP22</f>
        <v>-2900.24</v>
      </c>
      <c r="W41" s="924">
        <f>'Rev and COGS'!AQ18+'Rev and COGS'!AQ19+'Rev and COGS'!AQ20+'Rev and COGS'!AQ21+'Rev and COGS'!AQ22</f>
        <v>1897.4900000000002</v>
      </c>
      <c r="X41" s="924">
        <f>'Rev and COGS'!AR18+'Rev and COGS'!AR19+'Rev and COGS'!AR20+'Rev and COGS'!AR21+'Rev and COGS'!AR22</f>
        <v>-4826.3500000000004</v>
      </c>
      <c r="Y41" s="924">
        <f>'Rev and COGS'!AS18+'Rev and COGS'!AS19+'Rev and COGS'!AS20+'Rev and COGS'!AS21+'Rev and COGS'!AS22</f>
        <v>-17129.84</v>
      </c>
      <c r="Z41" s="1076">
        <f>'Rev and COGS'!AT18+'Rev and COGS'!AT19+'Rev and COGS'!AT20+'Rev and COGS'!AT21+'Rev and COGS'!AT22</f>
        <v>-1564.95</v>
      </c>
      <c r="AA41" s="1076">
        <f>'Rev and COGS'!AU18+'Rev and COGS'!AU19+'Rev and COGS'!AU20+'Rev and COGS'!AU21+'Rev and COGS'!AU22</f>
        <v>0</v>
      </c>
      <c r="AB41" s="1076">
        <f>'Rev and COGS'!AV18+'Rev and COGS'!AV19+'Rev and COGS'!AV20+'Rev and COGS'!AV21+'Rev and COGS'!AV22</f>
        <v>-12337.039999999999</v>
      </c>
      <c r="AC41" s="1076">
        <f>'Rev and COGS'!AW18+'Rev and COGS'!AW19+'Rev and COGS'!AW20+'Rev and COGS'!AW21+'Rev and COGS'!AW22</f>
        <v>-2937.83</v>
      </c>
      <c r="AD41" s="1076">
        <f>'Rev and COGS'!AX18+'Rev and COGS'!AX19+'Rev and COGS'!AX20+'Rev and COGS'!AX21+'Rev and COGS'!AX22</f>
        <v>-1960.84</v>
      </c>
      <c r="AE41" s="1155">
        <f>'Rev and COGS'!AY18+'Rev and COGS'!AY19+'Rev and COGS'!AY20+'Rev and COGS'!AY21+'Rev and COGS'!AY22</f>
        <v>-17006</v>
      </c>
      <c r="AF41" s="1155"/>
      <c r="AG41" s="1155"/>
      <c r="AH41" s="1155"/>
      <c r="AI41" s="1155"/>
      <c r="AJ41" s="1155"/>
      <c r="AK41" s="1155"/>
      <c r="AL41" s="1155"/>
      <c r="AM41" s="1155"/>
      <c r="AN41" s="1155"/>
      <c r="AO41" s="1155"/>
      <c r="AP41" s="629"/>
      <c r="AQ41" s="629"/>
      <c r="AR41" s="618"/>
      <c r="AS41" s="629"/>
      <c r="AT41" s="629"/>
      <c r="AU41" s="629"/>
      <c r="AV41" s="629"/>
      <c r="AW41" s="629"/>
      <c r="AX41" s="629"/>
      <c r="AY41" s="629"/>
      <c r="AZ41" s="629"/>
      <c r="BA41" s="629"/>
      <c r="BB41" s="629"/>
      <c r="BC41" s="629"/>
      <c r="BE41" s="1184">
        <f t="shared" si="81"/>
        <v>-61750.17</v>
      </c>
      <c r="BF41" s="1240"/>
      <c r="BG41" s="1184"/>
    </row>
    <row r="42" spans="1:79" ht="15.6" hidden="1" customHeight="1" outlineLevel="1" x14ac:dyDescent="0.3">
      <c r="C42" s="57" t="s">
        <v>8</v>
      </c>
      <c r="E42" s="59"/>
      <c r="F42" s="56"/>
      <c r="G42" s="61"/>
      <c r="H42" s="618">
        <f>'Rev and COGS'!E28</f>
        <v>-108.39</v>
      </c>
      <c r="I42" s="629">
        <f>'Rev and COGS'!H28</f>
        <v>0</v>
      </c>
      <c r="J42" s="629">
        <f>'Rev and COGS'!K28</f>
        <v>-1.0000000000008669E-2</v>
      </c>
      <c r="K42" s="629">
        <f>'Rev and COGS'!N28</f>
        <v>-1.3899999999999859</v>
      </c>
      <c r="L42" s="629">
        <f>'Rev and COGS'!Q28</f>
        <v>0</v>
      </c>
      <c r="M42" s="629">
        <f>'Rev and COGS'!T28</f>
        <v>0</v>
      </c>
      <c r="N42" s="629">
        <f>'Rev and COGS'!W28</f>
        <v>-10.15</v>
      </c>
      <c r="O42" s="629">
        <f>'Rev and COGS'!Z28</f>
        <v>0</v>
      </c>
      <c r="P42" s="629">
        <f>'Rev and COGS'!AC28</f>
        <v>0</v>
      </c>
      <c r="Q42" s="629">
        <f>'Rev and COGS'!AF28</f>
        <v>0</v>
      </c>
      <c r="R42" s="629">
        <f>'Rev and COGS'!AI28</f>
        <v>0</v>
      </c>
      <c r="S42" s="629">
        <f>'Rev and COGS'!AL28</f>
        <v>0</v>
      </c>
      <c r="T42" s="924">
        <f>'Rev and COGS'!AN28</f>
        <v>0</v>
      </c>
      <c r="U42" s="924">
        <f>'Rev and COGS'!AO28</f>
        <v>0</v>
      </c>
      <c r="V42" s="929">
        <f>'Rev and COGS'!AP28</f>
        <v>0</v>
      </c>
      <c r="W42" s="929">
        <f>'Rev and COGS'!AQ28</f>
        <v>0</v>
      </c>
      <c r="X42" s="929">
        <f>'Rev and COGS'!AR28</f>
        <v>0</v>
      </c>
      <c r="Y42" s="929">
        <f>'Rev and COGS'!AS28</f>
        <v>0</v>
      </c>
      <c r="Z42" s="1077">
        <f>'Rev and COGS'!AT28</f>
        <v>0</v>
      </c>
      <c r="AA42" s="1076">
        <f>'Rev and COGS'!AU28</f>
        <v>0</v>
      </c>
      <c r="AB42" s="1076">
        <f>'Rev and COGS'!AV28</f>
        <v>0</v>
      </c>
      <c r="AC42" s="1076">
        <f>'Rev and COGS'!AW28</f>
        <v>0</v>
      </c>
      <c r="AD42" s="1076">
        <f>'Rev and COGS'!AX28</f>
        <v>0</v>
      </c>
      <c r="AE42" s="1155">
        <f>'Rev and COGS'!AY28</f>
        <v>0</v>
      </c>
      <c r="AF42" s="1155"/>
      <c r="AG42" s="1155"/>
      <c r="AH42" s="1155"/>
      <c r="AI42" s="1155"/>
      <c r="AJ42" s="1155"/>
      <c r="AK42" s="1155"/>
      <c r="AL42" s="1155"/>
      <c r="AM42" s="1155"/>
      <c r="AN42" s="1155"/>
      <c r="AO42" s="1155"/>
      <c r="AP42" s="629"/>
      <c r="AQ42" s="629"/>
      <c r="AR42" s="618"/>
      <c r="AS42" s="629"/>
      <c r="AT42" s="629"/>
      <c r="AU42" s="629"/>
      <c r="AV42" s="629"/>
      <c r="AW42" s="629"/>
      <c r="AX42" s="629"/>
      <c r="AY42" s="629"/>
      <c r="AZ42" s="629"/>
      <c r="BA42" s="629"/>
      <c r="BB42" s="629"/>
      <c r="BC42" s="629"/>
      <c r="BE42" s="1184">
        <f t="shared" si="81"/>
        <v>0</v>
      </c>
      <c r="BF42" s="1240"/>
      <c r="BG42" s="1184"/>
    </row>
    <row r="43" spans="1:79" ht="15.75" hidden="1" customHeight="1" outlineLevel="1" x14ac:dyDescent="0.3">
      <c r="C43" s="57" t="s">
        <v>178</v>
      </c>
      <c r="E43" s="59"/>
      <c r="F43" s="56"/>
      <c r="G43" s="61"/>
      <c r="H43" s="618">
        <f>'Rev and COGS'!E26</f>
        <v>0</v>
      </c>
      <c r="I43" s="629">
        <f>'Rev and COGS'!H26</f>
        <v>0</v>
      </c>
      <c r="J43" s="629">
        <f>'Rev and COGS'!K26</f>
        <v>0</v>
      </c>
      <c r="K43" s="629">
        <f>'Rev and COGS'!N26</f>
        <v>0</v>
      </c>
      <c r="L43" s="629">
        <f>'Rev and COGS'!Q26</f>
        <v>0</v>
      </c>
      <c r="M43" s="629">
        <f>'Rev and COGS'!T26</f>
        <v>0</v>
      </c>
      <c r="N43" s="629">
        <f>'Rev and COGS'!W26</f>
        <v>0</v>
      </c>
      <c r="O43" s="629">
        <f>'Rev and COGS'!Z26</f>
        <v>95000</v>
      </c>
      <c r="P43" s="629">
        <f>'Rev and COGS'!AC26</f>
        <v>0</v>
      </c>
      <c r="Q43" s="629">
        <f>'Rev and COGS'!AF26</f>
        <v>0</v>
      </c>
      <c r="R43" s="629">
        <f>'Rev and COGS'!AI26</f>
        <v>0</v>
      </c>
      <c r="S43" s="629">
        <f>'Rev and COGS'!AL26</f>
        <v>0</v>
      </c>
      <c r="T43" s="924">
        <f>'Rev and COGS'!AN26</f>
        <v>0</v>
      </c>
      <c r="U43" s="924">
        <f>'Rev and COGS'!AO26</f>
        <v>0</v>
      </c>
      <c r="V43" s="929">
        <f>'Rev and COGS'!AP26</f>
        <v>0</v>
      </c>
      <c r="W43" s="929">
        <f>'Rev and COGS'!AQ26</f>
        <v>0</v>
      </c>
      <c r="X43" s="929">
        <f>'Rev and COGS'!AR26</f>
        <v>0</v>
      </c>
      <c r="Y43" s="929">
        <f>'Rev and COGS'!AS26</f>
        <v>0</v>
      </c>
      <c r="Z43" s="1077">
        <f>'Rev and COGS'!AT26</f>
        <v>0</v>
      </c>
      <c r="AA43" s="1076">
        <f>'Rev and COGS'!AU26</f>
        <v>0</v>
      </c>
      <c r="AB43" s="1076">
        <f>'Rev and COGS'!AV26</f>
        <v>0</v>
      </c>
      <c r="AC43" s="1076">
        <f>'Rev and COGS'!AW26</f>
        <v>0</v>
      </c>
      <c r="AD43" s="1076">
        <f>'Rev and COGS'!AX26</f>
        <v>0</v>
      </c>
      <c r="AE43" s="1155">
        <f>'Rev and COGS'!AY26</f>
        <v>0</v>
      </c>
      <c r="AF43" s="1155"/>
      <c r="AG43" s="1155"/>
      <c r="AH43" s="1155"/>
      <c r="AI43" s="1155"/>
      <c r="AJ43" s="1155"/>
      <c r="AK43" s="1155"/>
      <c r="AL43" s="1155"/>
      <c r="AM43" s="1155"/>
      <c r="AN43" s="1155"/>
      <c r="AO43" s="1155"/>
      <c r="AP43" s="629"/>
      <c r="AQ43" s="629"/>
      <c r="AR43" s="618"/>
      <c r="AS43" s="629"/>
      <c r="AT43" s="629"/>
      <c r="AU43" s="629"/>
      <c r="AV43" s="629"/>
      <c r="AW43" s="629"/>
      <c r="AX43" s="629"/>
      <c r="AY43" s="629"/>
      <c r="AZ43" s="629"/>
      <c r="BA43" s="629"/>
      <c r="BB43" s="629"/>
      <c r="BC43" s="629"/>
      <c r="BE43" s="1184">
        <f t="shared" si="81"/>
        <v>0</v>
      </c>
      <c r="BF43" s="1240"/>
      <c r="BG43" s="1184">
        <f t="shared" ref="BG43:BG44" si="82">SUM(U43:AF43)</f>
        <v>0</v>
      </c>
    </row>
    <row r="44" spans="1:79" ht="15.6" hidden="1" customHeight="1" outlineLevel="1" x14ac:dyDescent="0.3">
      <c r="C44" s="57" t="s">
        <v>394</v>
      </c>
      <c r="E44" s="59"/>
      <c r="F44" s="56"/>
      <c r="G44" s="61"/>
      <c r="H44" s="618">
        <f>'Rev and COGS'!E27</f>
        <v>0</v>
      </c>
      <c r="I44" s="629">
        <f>'Rev and COGS'!H27</f>
        <v>0</v>
      </c>
      <c r="J44" s="629">
        <f>'Rev and COGS'!K27</f>
        <v>2736</v>
      </c>
      <c r="K44" s="629">
        <f>'Rev and COGS'!N27</f>
        <v>0</v>
      </c>
      <c r="L44" s="629">
        <f>'Rev and COGS'!Q27</f>
        <v>0</v>
      </c>
      <c r="M44" s="629">
        <f>'Rev and COGS'!T27</f>
        <v>0</v>
      </c>
      <c r="N44" s="629">
        <f>'Rev and COGS'!W27</f>
        <v>0</v>
      </c>
      <c r="O44" s="629">
        <f>'Rev and COGS'!Z27</f>
        <v>32456.14</v>
      </c>
      <c r="P44" s="629">
        <f>'Rev and COGS'!AC27</f>
        <v>0</v>
      </c>
      <c r="Q44" s="629">
        <f>'Rev and COGS'!AF27</f>
        <v>30587.75</v>
      </c>
      <c r="R44" s="629">
        <f>'Rev and COGS'!AI27</f>
        <v>0</v>
      </c>
      <c r="S44" s="629">
        <f>'Rev and COGS'!AL27</f>
        <v>0</v>
      </c>
      <c r="T44" s="924">
        <f>'Rev and COGS'!AN27</f>
        <v>0</v>
      </c>
      <c r="U44" s="924">
        <f>'Rev and COGS'!AO27</f>
        <v>0</v>
      </c>
      <c r="V44" s="929">
        <f>'Rev and COGS'!AP27</f>
        <v>0</v>
      </c>
      <c r="W44" s="929">
        <f>'Rev and COGS'!AQ27</f>
        <v>0</v>
      </c>
      <c r="X44" s="929">
        <f>'Rev and COGS'!AR27</f>
        <v>0</v>
      </c>
      <c r="Y44" s="929">
        <f>'Rev and COGS'!AS27</f>
        <v>0</v>
      </c>
      <c r="Z44" s="1077">
        <f>'Rev and COGS'!AT27</f>
        <v>0</v>
      </c>
      <c r="AA44" s="1076">
        <f>'Rev and COGS'!AU27</f>
        <v>0</v>
      </c>
      <c r="AB44" s="1076">
        <f>'Rev and COGS'!AV27</f>
        <v>0</v>
      </c>
      <c r="AC44" s="1076">
        <f>'Rev and COGS'!AW27</f>
        <v>0</v>
      </c>
      <c r="AD44" s="1076">
        <f>'Rev and COGS'!AX27</f>
        <v>0</v>
      </c>
      <c r="AE44" s="1155">
        <f>'Rev and COGS'!AY27</f>
        <v>0</v>
      </c>
      <c r="AF44" s="1155"/>
      <c r="AG44" s="1155"/>
      <c r="AH44" s="1155"/>
      <c r="AI44" s="1155"/>
      <c r="AJ44" s="1155"/>
      <c r="AK44" s="1155"/>
      <c r="AL44" s="1155"/>
      <c r="AM44" s="1155"/>
      <c r="AN44" s="1155"/>
      <c r="AO44" s="1155"/>
      <c r="AP44" s="629"/>
      <c r="AQ44" s="629"/>
      <c r="AR44" s="618"/>
      <c r="AS44" s="629"/>
      <c r="AT44" s="629"/>
      <c r="AU44" s="629"/>
      <c r="AV44" s="629"/>
      <c r="AW44" s="629"/>
      <c r="AX44" s="629"/>
      <c r="AY44" s="629"/>
      <c r="AZ44" s="629"/>
      <c r="BA44" s="629"/>
      <c r="BB44" s="629"/>
      <c r="BC44" s="629"/>
      <c r="BE44" s="1184">
        <f t="shared" si="81"/>
        <v>0</v>
      </c>
      <c r="BF44" s="1240"/>
      <c r="BG44" s="1184">
        <f t="shared" si="82"/>
        <v>0</v>
      </c>
    </row>
    <row r="45" spans="1:79" ht="15.75" hidden="1" customHeight="1" outlineLevel="1" x14ac:dyDescent="0.3">
      <c r="C45" s="57"/>
      <c r="E45" s="59"/>
      <c r="F45" s="56"/>
      <c r="G45" s="61"/>
      <c r="H45" s="618"/>
      <c r="I45" s="629"/>
      <c r="J45" s="629"/>
      <c r="K45" s="629"/>
      <c r="L45" s="629"/>
      <c r="M45" s="629"/>
      <c r="N45" s="629"/>
      <c r="O45" s="629"/>
      <c r="P45" s="629"/>
      <c r="Q45" s="629"/>
      <c r="R45" s="629"/>
      <c r="S45" s="629"/>
      <c r="T45" s="924"/>
      <c r="U45" s="924"/>
      <c r="V45" s="929"/>
      <c r="W45" s="929"/>
      <c r="X45" s="929"/>
      <c r="Y45" s="929"/>
      <c r="Z45" s="1077"/>
      <c r="AA45" s="1076"/>
      <c r="AB45" s="1076"/>
      <c r="AC45" s="1076"/>
      <c r="AD45" s="1076"/>
      <c r="AE45" s="1155"/>
      <c r="AF45" s="1155"/>
      <c r="AG45" s="1155"/>
      <c r="AH45" s="1155"/>
      <c r="AI45" s="1155"/>
      <c r="AJ45" s="1155"/>
      <c r="AK45" s="1155"/>
      <c r="AL45" s="1155"/>
      <c r="AM45" s="1155"/>
      <c r="AN45" s="1155"/>
      <c r="AO45" s="1155"/>
      <c r="AP45" s="629"/>
      <c r="AQ45" s="629"/>
      <c r="AR45" s="618"/>
      <c r="AS45" s="629"/>
      <c r="AT45" s="629"/>
      <c r="AU45" s="629"/>
      <c r="AV45" s="629"/>
      <c r="AW45" s="629"/>
      <c r="AX45" s="629"/>
      <c r="AY45" s="629"/>
      <c r="AZ45" s="629"/>
      <c r="BA45" s="629"/>
      <c r="BB45" s="629"/>
      <c r="BC45" s="629"/>
      <c r="BE45" s="1184"/>
      <c r="BF45" s="1240"/>
      <c r="BG45" s="1184"/>
    </row>
    <row r="46" spans="1:79" ht="15.75" hidden="1" customHeight="1" outlineLevel="1" x14ac:dyDescent="0.3">
      <c r="C46" s="64"/>
      <c r="D46" s="42"/>
      <c r="E46" s="65"/>
      <c r="F46" s="908"/>
      <c r="G46" s="66"/>
      <c r="H46" s="619"/>
      <c r="I46" s="648"/>
      <c r="J46" s="648"/>
      <c r="K46" s="648"/>
      <c r="L46" s="648"/>
      <c r="M46" s="648"/>
      <c r="N46" s="648"/>
      <c r="O46" s="648"/>
      <c r="P46" s="648"/>
      <c r="Q46" s="648"/>
      <c r="R46" s="648"/>
      <c r="S46" s="648"/>
      <c r="T46" s="925"/>
      <c r="U46" s="925"/>
      <c r="V46" s="925"/>
      <c r="W46" s="925"/>
      <c r="X46" s="925"/>
      <c r="Y46" s="925"/>
      <c r="Z46" s="1078"/>
      <c r="AA46" s="1078"/>
      <c r="AB46" s="1078"/>
      <c r="AC46" s="1078"/>
      <c r="AD46" s="1134"/>
      <c r="AE46" s="1156"/>
      <c r="AF46" s="1156"/>
      <c r="AG46" s="1156"/>
      <c r="AH46" s="1156"/>
      <c r="AI46" s="1156"/>
      <c r="AJ46" s="1156"/>
      <c r="AK46" s="1156"/>
      <c r="AL46" s="1156"/>
      <c r="AM46" s="1156"/>
      <c r="AN46" s="1156"/>
      <c r="AO46" s="1156"/>
      <c r="AP46" s="648"/>
      <c r="AQ46" s="648"/>
      <c r="AR46" s="1416"/>
      <c r="AS46" s="648"/>
      <c r="AT46" s="648"/>
      <c r="AU46" s="648"/>
      <c r="AV46" s="648"/>
      <c r="AW46" s="648"/>
      <c r="AX46" s="648"/>
      <c r="AY46" s="648"/>
      <c r="AZ46" s="648"/>
      <c r="BA46" s="648"/>
      <c r="BB46" s="648"/>
      <c r="BC46" s="648"/>
      <c r="BE46" s="1185"/>
      <c r="BF46" s="1548"/>
      <c r="BG46" s="1185"/>
    </row>
    <row r="47" spans="1:79" ht="15.75" customHeight="1" collapsed="1" x14ac:dyDescent="0.3">
      <c r="C47" s="1333" t="s">
        <v>1291</v>
      </c>
      <c r="D47" s="1384"/>
      <c r="E47" s="1335"/>
      <c r="F47" s="1415"/>
      <c r="G47" s="1336"/>
      <c r="H47" s="1416"/>
      <c r="I47" s="1337"/>
      <c r="J47" s="1337"/>
      <c r="K47" s="1337"/>
      <c r="L47" s="1337"/>
      <c r="M47" s="1337"/>
      <c r="N47" s="1337"/>
      <c r="O47" s="1337"/>
      <c r="P47" s="1337"/>
      <c r="Q47" s="1337"/>
      <c r="R47" s="1337"/>
      <c r="S47" s="1337"/>
      <c r="T47" s="1236"/>
      <c r="U47" s="1236"/>
      <c r="V47" s="1236"/>
      <c r="W47" s="1236"/>
      <c r="X47" s="1236"/>
      <c r="Y47" s="1236"/>
      <c r="Z47" s="1134"/>
      <c r="AA47" s="1134"/>
      <c r="AB47" s="1134"/>
      <c r="AC47" s="1134"/>
      <c r="AD47" s="1134"/>
      <c r="AE47" s="1338"/>
      <c r="AF47" s="1338">
        <f>'MXD P&amp;L'!N20</f>
        <v>715167.97</v>
      </c>
      <c r="AG47" s="1338">
        <f>'MXD P&amp;L'!O20</f>
        <v>989735.55</v>
      </c>
      <c r="AH47" s="1338">
        <f>'MXD P&amp;L'!P20</f>
        <v>1815627.69</v>
      </c>
      <c r="AI47" s="1338">
        <f>'MXD P&amp;L'!Q20</f>
        <v>1337742.4099999999</v>
      </c>
      <c r="AJ47" s="1338">
        <f>'MXD P&amp;L'!R20</f>
        <v>1312588.05</v>
      </c>
      <c r="AK47" s="1338">
        <f>'MXD P&amp;L'!S20</f>
        <v>1408281.34</v>
      </c>
      <c r="AL47" s="1338">
        <f>'MXD P&amp;L'!T20</f>
        <v>1120992.22</v>
      </c>
      <c r="AM47" s="1338">
        <f>'MXD P&amp;L'!U20</f>
        <v>898618.87</v>
      </c>
      <c r="AN47" s="1338">
        <f>'MXD P&amp;L'!V20</f>
        <v>990962.08</v>
      </c>
      <c r="AO47" s="1338">
        <f>'MXD P&amp;L'!W20</f>
        <v>1616360.59</v>
      </c>
      <c r="AP47" s="1337">
        <f>AVERAGE(AN47:AO47)*(1+'Sources and Uses'!$C$16)</f>
        <v>1434027.4685</v>
      </c>
      <c r="AQ47" s="1337">
        <f>AVERAGE(AO47:AP47)*(1+'Sources and Uses'!$C$16)</f>
        <v>1677713.4321750002</v>
      </c>
      <c r="AR47" s="1416">
        <f>AVERAGE(AO47:AQ47)*(1+'Sources and Uses'!$C$16/12)</f>
        <v>1589167.4454768752</v>
      </c>
      <c r="AS47" s="1337">
        <f>AR47</f>
        <v>1589167.4454768752</v>
      </c>
      <c r="AT47" s="1337">
        <f t="shared" ref="AT47:BC47" si="83">AS47</f>
        <v>1589167.4454768752</v>
      </c>
      <c r="AU47" s="1337">
        <f t="shared" si="83"/>
        <v>1589167.4454768752</v>
      </c>
      <c r="AV47" s="1337">
        <f t="shared" si="83"/>
        <v>1589167.4454768752</v>
      </c>
      <c r="AW47" s="1337">
        <f t="shared" si="83"/>
        <v>1589167.4454768752</v>
      </c>
      <c r="AX47" s="1337">
        <f t="shared" si="83"/>
        <v>1589167.4454768752</v>
      </c>
      <c r="AY47" s="1337">
        <f t="shared" si="83"/>
        <v>1589167.4454768752</v>
      </c>
      <c r="AZ47" s="1337">
        <f t="shared" si="83"/>
        <v>1589167.4454768752</v>
      </c>
      <c r="BA47" s="1337">
        <f t="shared" si="83"/>
        <v>1589167.4454768752</v>
      </c>
      <c r="BB47" s="1337">
        <f t="shared" si="83"/>
        <v>1589167.4454768752</v>
      </c>
      <c r="BC47" s="1337">
        <f t="shared" si="83"/>
        <v>1589167.4454768752</v>
      </c>
      <c r="BE47" s="1185"/>
      <c r="BF47" s="1548">
        <f>SUM(AF47:AQ47)</f>
        <v>15317817.670674998</v>
      </c>
      <c r="BG47" s="1185">
        <f>SUM(AR47:BC47)</f>
        <v>19070009.3457225</v>
      </c>
      <c r="BK47" s="31" t="s">
        <v>1391</v>
      </c>
      <c r="BL47" s="69">
        <f>BL48/4</f>
        <v>2515191.7791959997</v>
      </c>
      <c r="BM47" s="69">
        <f t="shared" ref="BM47:CA47" si="84">BM48/4</f>
        <v>3120708.1474999995</v>
      </c>
      <c r="BN47" s="69">
        <f t="shared" si="84"/>
        <v>3809576.7449999996</v>
      </c>
      <c r="BO47" s="69">
        <f t="shared" si="84"/>
        <v>5369648.4250000007</v>
      </c>
      <c r="BP47" s="69">
        <f t="shared" si="84"/>
        <v>4822271.6025</v>
      </c>
      <c r="BQ47" s="69">
        <f t="shared" si="84"/>
        <v>4351643.5824999996</v>
      </c>
      <c r="BR47" s="69">
        <f t="shared" si="84"/>
        <v>4747712.45</v>
      </c>
      <c r="BS47" s="69">
        <f t="shared" si="84"/>
        <v>3946519.4425000004</v>
      </c>
      <c r="BT47" s="69">
        <f t="shared" si="84"/>
        <v>4186304.4924999997</v>
      </c>
      <c r="BU47" s="69">
        <f t="shared" si="84"/>
        <v>4935332.6574999997</v>
      </c>
      <c r="BV47" s="69">
        <f t="shared" si="84"/>
        <v>4908932.6500000004</v>
      </c>
      <c r="BW47" s="69">
        <f t="shared" si="84"/>
        <v>7368162.7369250003</v>
      </c>
      <c r="BX47" s="69">
        <f t="shared" si="84"/>
        <v>7992452.9930660417</v>
      </c>
      <c r="BY47" s="69">
        <f t="shared" si="84"/>
        <v>7992452.9930660417</v>
      </c>
      <c r="BZ47" s="69">
        <f t="shared" si="84"/>
        <v>7992452.9930660417</v>
      </c>
      <c r="CA47" s="69">
        <f t="shared" si="84"/>
        <v>7992452.9930660417</v>
      </c>
    </row>
    <row r="48" spans="1:79" ht="15.75" customHeight="1" x14ac:dyDescent="0.3">
      <c r="A48" s="1312"/>
      <c r="B48" s="1312"/>
      <c r="C48" s="1313" t="s">
        <v>1175</v>
      </c>
      <c r="D48" s="1314"/>
      <c r="E48" s="1315"/>
      <c r="F48" s="1316"/>
      <c r="G48" s="1317"/>
      <c r="H48" s="1318"/>
      <c r="I48" s="1319"/>
      <c r="J48" s="1319"/>
      <c r="K48" s="1319"/>
      <c r="L48" s="1319"/>
      <c r="M48" s="1319"/>
      <c r="N48" s="1319"/>
      <c r="O48" s="1319"/>
      <c r="P48" s="1319"/>
      <c r="Q48" s="1319"/>
      <c r="R48" s="1319"/>
      <c r="S48" s="1319"/>
      <c r="T48" s="1318"/>
      <c r="U48" s="1318"/>
      <c r="V48" s="1318"/>
      <c r="W48" s="1318"/>
      <c r="X48" s="1318"/>
      <c r="Y48" s="1318"/>
      <c r="Z48" s="1320"/>
      <c r="AA48" s="1320"/>
      <c r="AB48" s="1320"/>
      <c r="AC48" s="1320"/>
      <c r="AD48" s="1321"/>
      <c r="AE48" s="1322"/>
      <c r="AF48" s="1322"/>
      <c r="AG48" s="1322"/>
      <c r="AH48" s="1322"/>
      <c r="AI48" s="1322"/>
      <c r="AJ48" s="1322"/>
      <c r="AK48" s="1322">
        <f>'HEC Financials'!AZ7</f>
        <v>472263.67</v>
      </c>
      <c r="AL48" s="1322">
        <f>'HEC Financials'!BA7</f>
        <v>436252.63</v>
      </c>
      <c r="AM48" s="1322">
        <f>'HEC Financials'!BB7</f>
        <v>726730</v>
      </c>
      <c r="AN48" s="1322">
        <f>'HEC Financials'!BC7</f>
        <v>874376.85</v>
      </c>
      <c r="AO48" s="1322">
        <f>'HEC Financials'!BD7</f>
        <v>824088.65</v>
      </c>
      <c r="AP48" s="1319">
        <f>AVERAGE(AN48:AO48)*(1+'Sources and Uses'!$C$15)</f>
        <v>934156.02500000002</v>
      </c>
      <c r="AQ48" s="1319">
        <f>AVERAGE(AO48:AP48)*(1+'Sources and Uses'!$C$15)</f>
        <v>967034.57125000015</v>
      </c>
      <c r="AR48" s="1613">
        <f>AVERAGE(AO48:AQ48)*(1+'Sources and Uses'!$C$15/12)</f>
        <v>915996.63554513897</v>
      </c>
      <c r="AS48" s="1319">
        <f>AR48</f>
        <v>915996.63554513897</v>
      </c>
      <c r="AT48" s="1319">
        <f t="shared" ref="AT48:BC48" si="85">AS48</f>
        <v>915996.63554513897</v>
      </c>
      <c r="AU48" s="1319">
        <f t="shared" si="85"/>
        <v>915996.63554513897</v>
      </c>
      <c r="AV48" s="1319">
        <f t="shared" si="85"/>
        <v>915996.63554513897</v>
      </c>
      <c r="AW48" s="1319">
        <f t="shared" si="85"/>
        <v>915996.63554513897</v>
      </c>
      <c r="AX48" s="1319">
        <f t="shared" si="85"/>
        <v>915996.63554513897</v>
      </c>
      <c r="AY48" s="1319">
        <f t="shared" si="85"/>
        <v>915996.63554513897</v>
      </c>
      <c r="AZ48" s="1319">
        <f t="shared" si="85"/>
        <v>915996.63554513897</v>
      </c>
      <c r="BA48" s="1319">
        <f t="shared" si="85"/>
        <v>915996.63554513897</v>
      </c>
      <c r="BB48" s="1319">
        <f t="shared" si="85"/>
        <v>915996.63554513897</v>
      </c>
      <c r="BC48" s="1319">
        <f t="shared" si="85"/>
        <v>915996.63554513897</v>
      </c>
      <c r="BE48" s="1323">
        <f>SUM(T48:AE48)</f>
        <v>0</v>
      </c>
      <c r="BF48" s="1321">
        <f>SUM(AF48:AQ48)</f>
        <v>5234902.3962500002</v>
      </c>
      <c r="BG48" s="1323">
        <f>SUM(AR48:BC48)</f>
        <v>10991959.626541667</v>
      </c>
      <c r="BK48" s="31" t="s">
        <v>1390</v>
      </c>
      <c r="BL48" s="69">
        <f>J33</f>
        <v>10060767.116783999</v>
      </c>
      <c r="BM48" s="69">
        <f>M33</f>
        <v>12482832.589999998</v>
      </c>
      <c r="BN48" s="69">
        <f>P33</f>
        <v>15238306.979999999</v>
      </c>
      <c r="BO48" s="69">
        <f>S33</f>
        <v>21478593.700000003</v>
      </c>
      <c r="BP48" s="69">
        <f>V33</f>
        <v>19289086.41</v>
      </c>
      <c r="BQ48" s="69">
        <f>Y33</f>
        <v>17406574.329999998</v>
      </c>
      <c r="BR48" s="69">
        <f>AB33</f>
        <v>18990849.800000001</v>
      </c>
      <c r="BS48" s="69">
        <f>AE33</f>
        <v>15786077.770000001</v>
      </c>
      <c r="BT48" s="69">
        <f>AH33</f>
        <v>16745217.969999999</v>
      </c>
      <c r="BU48" s="69">
        <f>AK33</f>
        <v>19741330.629999999</v>
      </c>
      <c r="BV48" s="69">
        <f>AN33</f>
        <v>19635730.600000001</v>
      </c>
      <c r="BW48" s="69">
        <f>AQ33</f>
        <v>29472650.947700001</v>
      </c>
      <c r="BX48" s="38">
        <f>BG51</f>
        <v>31969811.972264167</v>
      </c>
      <c r="BY48" s="408">
        <f>BX48</f>
        <v>31969811.972264167</v>
      </c>
      <c r="BZ48" s="408">
        <f t="shared" ref="BZ48:CA48" si="86">BY48</f>
        <v>31969811.972264167</v>
      </c>
      <c r="CA48" s="408">
        <f t="shared" si="86"/>
        <v>31969811.972264167</v>
      </c>
    </row>
    <row r="49" spans="1:61" ht="15.75" customHeight="1" x14ac:dyDescent="0.3">
      <c r="A49" s="1312"/>
      <c r="B49" s="1312"/>
      <c r="C49" s="1325" t="s">
        <v>1337</v>
      </c>
      <c r="D49" s="1312"/>
      <c r="E49" s="1364"/>
      <c r="F49" s="1523"/>
      <c r="G49" s="1327"/>
      <c r="H49" s="1327"/>
      <c r="I49" s="1327"/>
      <c r="J49" s="1327"/>
      <c r="K49" s="1327"/>
      <c r="L49" s="1327"/>
      <c r="M49" s="1327"/>
      <c r="N49" s="1327"/>
      <c r="O49" s="1327"/>
      <c r="P49" s="1327"/>
      <c r="Q49" s="1327"/>
      <c r="R49" s="1327"/>
      <c r="S49" s="1327"/>
      <c r="T49" s="1328"/>
      <c r="U49" s="1328"/>
      <c r="V49" s="1328"/>
      <c r="W49" s="1328"/>
      <c r="X49" s="1328"/>
      <c r="Y49" s="1328"/>
      <c r="Z49" s="1329"/>
      <c r="AA49" s="1329"/>
      <c r="AB49" s="1329"/>
      <c r="AC49" s="1329"/>
      <c r="AD49" s="1329"/>
      <c r="AE49" s="1330"/>
      <c r="AF49" s="1330"/>
      <c r="AG49" s="1330"/>
      <c r="AH49" s="1330"/>
      <c r="AI49" s="1330"/>
      <c r="AJ49" s="1330"/>
      <c r="AK49" s="1330"/>
      <c r="AL49" s="1330">
        <v>-5000</v>
      </c>
      <c r="AM49" s="1330">
        <v>-121000</v>
      </c>
      <c r="AN49" s="1330">
        <v>-13000</v>
      </c>
      <c r="AO49" s="1330">
        <v>-85218</v>
      </c>
      <c r="AP49" s="1327"/>
      <c r="AQ49" s="1327"/>
      <c r="AR49" s="1328"/>
      <c r="AS49" s="1327"/>
      <c r="AT49" s="1327"/>
      <c r="AU49" s="1327"/>
      <c r="AV49" s="1327"/>
      <c r="AW49" s="1327"/>
      <c r="AX49" s="1327"/>
      <c r="AY49" s="1327"/>
      <c r="AZ49" s="1327"/>
      <c r="BA49" s="1327"/>
      <c r="BB49" s="1660"/>
      <c r="BC49" s="1327"/>
      <c r="BE49" s="1524"/>
      <c r="BF49" s="1329"/>
      <c r="BG49" s="1524"/>
      <c r="BH49" s="31" t="s">
        <v>1372</v>
      </c>
      <c r="BI49" s="31" t="s">
        <v>1373</v>
      </c>
    </row>
    <row r="50" spans="1:61" s="1508" customFormat="1" ht="15.75" customHeight="1" x14ac:dyDescent="0.3">
      <c r="C50" s="1500" t="s">
        <v>1512</v>
      </c>
      <c r="E50" s="1501"/>
      <c r="F50" s="1763"/>
      <c r="G50" s="1506"/>
      <c r="H50" s="1506"/>
      <c r="I50" s="1506"/>
      <c r="J50" s="1506"/>
      <c r="K50" s="1506"/>
      <c r="L50" s="1506"/>
      <c r="M50" s="1506"/>
      <c r="N50" s="1506"/>
      <c r="O50" s="1506"/>
      <c r="P50" s="1506"/>
      <c r="Q50" s="1506"/>
      <c r="R50" s="1506"/>
      <c r="S50" s="1506"/>
      <c r="T50" s="1504"/>
      <c r="U50" s="1504"/>
      <c r="V50" s="1504"/>
      <c r="W50" s="1504"/>
      <c r="X50" s="1504"/>
      <c r="Y50" s="1504"/>
      <c r="Z50" s="1505"/>
      <c r="AA50" s="1505"/>
      <c r="AB50" s="1505"/>
      <c r="AC50" s="1505"/>
      <c r="AD50" s="1505"/>
      <c r="AE50" s="1764"/>
      <c r="AF50" s="1764"/>
      <c r="AG50" s="1764"/>
      <c r="AH50" s="1764"/>
      <c r="AI50" s="1764"/>
      <c r="AJ50" s="1764"/>
      <c r="AK50" s="1764"/>
      <c r="AL50" s="1764"/>
      <c r="AM50" s="1764"/>
      <c r="AN50" s="1764"/>
      <c r="AO50" s="1764"/>
      <c r="AP50" s="1506"/>
      <c r="AQ50" s="1506"/>
      <c r="AR50" s="1504">
        <f>'Branch P&amp;L'!BJ9</f>
        <v>0</v>
      </c>
      <c r="AS50" s="1506">
        <f>'Branch P&amp;L'!BK9</f>
        <v>568889.5</v>
      </c>
      <c r="AT50" s="1506">
        <f>'Branch P&amp;L'!BL9</f>
        <v>0</v>
      </c>
      <c r="AU50" s="1506">
        <f>'Branch P&amp;L'!BM9</f>
        <v>513376</v>
      </c>
      <c r="AV50" s="1506">
        <f>'Branch P&amp;L'!BN9</f>
        <v>0</v>
      </c>
      <c r="AW50" s="1506">
        <f>'Branch P&amp;L'!BO9</f>
        <v>0</v>
      </c>
      <c r="AX50" s="1506">
        <f>'Branch P&amp;L'!BP9</f>
        <v>0</v>
      </c>
      <c r="AY50" s="1506">
        <f>'Branch P&amp;L'!BQ9</f>
        <v>697233.5</v>
      </c>
      <c r="AZ50" s="1506">
        <f>'Branch P&amp;L'!BR9</f>
        <v>128344</v>
      </c>
      <c r="BA50" s="1506">
        <f>'Branch P&amp;L'!BS9</f>
        <v>0</v>
      </c>
      <c r="BB50" s="1765">
        <f>'Branch P&amp;L'!BT9</f>
        <v>0</v>
      </c>
      <c r="BC50" s="1506">
        <f>'Branch P&amp;L'!BU9</f>
        <v>0</v>
      </c>
      <c r="BD50" s="1766"/>
      <c r="BE50" s="1767"/>
      <c r="BF50" s="1505"/>
      <c r="BG50" s="1767">
        <f>SUM(AR50:BC50)</f>
        <v>1907843</v>
      </c>
    </row>
    <row r="51" spans="1:61" ht="15.75" customHeight="1" x14ac:dyDescent="0.3">
      <c r="C51" s="84" t="s">
        <v>183</v>
      </c>
      <c r="F51" s="69"/>
      <c r="G51" s="85"/>
      <c r="H51" s="624">
        <f t="shared" ref="H51:V51" si="87">SUM(H35:H44)</f>
        <v>355725.44232099992</v>
      </c>
      <c r="I51" s="624">
        <f t="shared" si="87"/>
        <v>670502.47687500005</v>
      </c>
      <c r="J51" s="624">
        <f t="shared" si="87"/>
        <v>1125555.71</v>
      </c>
      <c r="K51" s="624">
        <f t="shared" si="87"/>
        <v>721796.43</v>
      </c>
      <c r="L51" s="624">
        <f t="shared" si="87"/>
        <v>900656.63000000012</v>
      </c>
      <c r="M51" s="667">
        <f t="shared" si="87"/>
        <v>942802.7899999998</v>
      </c>
      <c r="N51" s="667">
        <f t="shared" si="87"/>
        <v>924282.3</v>
      </c>
      <c r="O51" s="667">
        <f t="shared" si="87"/>
        <v>1203857.3199999998</v>
      </c>
      <c r="P51" s="667">
        <f t="shared" si="87"/>
        <v>1087166.3099999998</v>
      </c>
      <c r="Q51" s="667">
        <f t="shared" si="87"/>
        <v>1584248.8900000004</v>
      </c>
      <c r="R51" s="667">
        <f t="shared" si="87"/>
        <v>1017465.0799999998</v>
      </c>
      <c r="S51" s="667">
        <f t="shared" si="87"/>
        <v>1996276.9300000002</v>
      </c>
      <c r="T51" s="926">
        <f t="shared" si="87"/>
        <v>1044236.69</v>
      </c>
      <c r="U51" s="926">
        <f t="shared" si="87"/>
        <v>1651804.44</v>
      </c>
      <c r="V51" s="926">
        <f t="shared" si="87"/>
        <v>1575102.9900000002</v>
      </c>
      <c r="W51" s="926">
        <f>SUM(W35:W48)</f>
        <v>990747.65999999992</v>
      </c>
      <c r="X51" s="926">
        <f t="shared" ref="X51:AE51" si="88">SUM(X35:X44)</f>
        <v>1380529.39</v>
      </c>
      <c r="Y51" s="926">
        <f t="shared" si="88"/>
        <v>1517068.73</v>
      </c>
      <c r="Z51" s="1079">
        <f t="shared" si="88"/>
        <v>1174856.8600000001</v>
      </c>
      <c r="AA51" s="1079">
        <f t="shared" si="88"/>
        <v>1602418</v>
      </c>
      <c r="AB51" s="1079">
        <f t="shared" si="88"/>
        <v>1264652.6700000002</v>
      </c>
      <c r="AC51" s="1079">
        <f t="shared" si="88"/>
        <v>1056928.96</v>
      </c>
      <c r="AD51" s="1079">
        <f t="shared" si="88"/>
        <v>892346.29</v>
      </c>
      <c r="AE51" s="1157">
        <f t="shared" si="88"/>
        <v>1403572.6500000001</v>
      </c>
      <c r="AF51" s="1157">
        <f t="shared" ref="AF51:AK51" si="89">SUM(AF47:AF49)</f>
        <v>715167.97</v>
      </c>
      <c r="AG51" s="1157">
        <f t="shared" si="89"/>
        <v>989735.55</v>
      </c>
      <c r="AH51" s="1157">
        <f t="shared" si="89"/>
        <v>1815627.69</v>
      </c>
      <c r="AI51" s="1157">
        <f t="shared" si="89"/>
        <v>1337742.4099999999</v>
      </c>
      <c r="AJ51" s="1157">
        <f t="shared" si="89"/>
        <v>1312588.05</v>
      </c>
      <c r="AK51" s="1157">
        <f t="shared" si="89"/>
        <v>1880545.01</v>
      </c>
      <c r="AL51" s="1157">
        <f>SUM(AL47:AL49)</f>
        <v>1552244.85</v>
      </c>
      <c r="AM51" s="1157">
        <f t="shared" ref="AM51:AQ51" si="90">SUM(AM47:AM49)</f>
        <v>1504348.87</v>
      </c>
      <c r="AN51" s="1157">
        <f t="shared" si="90"/>
        <v>1852338.93</v>
      </c>
      <c r="AO51" s="1157">
        <f t="shared" ref="AO51" si="91">SUM(AO47:AO49)</f>
        <v>2355231.2400000002</v>
      </c>
      <c r="AP51" s="667">
        <f t="shared" si="90"/>
        <v>2368183.4934999999</v>
      </c>
      <c r="AQ51" s="667">
        <f t="shared" si="90"/>
        <v>2644748.0034250002</v>
      </c>
      <c r="AR51" s="1614">
        <f>SUM(AR47:AR50)</f>
        <v>2505164.0810220139</v>
      </c>
      <c r="AS51" s="667">
        <f t="shared" ref="AS51:BC51" si="92">SUM(AS47:AS50)</f>
        <v>3074053.5810220139</v>
      </c>
      <c r="AT51" s="667">
        <f t="shared" si="92"/>
        <v>2505164.0810220139</v>
      </c>
      <c r="AU51" s="667">
        <f t="shared" si="92"/>
        <v>3018540.0810220139</v>
      </c>
      <c r="AV51" s="667">
        <f t="shared" si="92"/>
        <v>2505164.0810220139</v>
      </c>
      <c r="AW51" s="667">
        <f t="shared" si="92"/>
        <v>2505164.0810220139</v>
      </c>
      <c r="AX51" s="667">
        <f t="shared" si="92"/>
        <v>2505164.0810220139</v>
      </c>
      <c r="AY51" s="667">
        <f t="shared" si="92"/>
        <v>3202397.5810220139</v>
      </c>
      <c r="AZ51" s="667">
        <f t="shared" si="92"/>
        <v>2633508.0810220139</v>
      </c>
      <c r="BA51" s="667">
        <f t="shared" si="92"/>
        <v>2505164.0810220139</v>
      </c>
      <c r="BB51" s="667">
        <f t="shared" si="92"/>
        <v>2505164.0810220139</v>
      </c>
      <c r="BC51" s="667">
        <f t="shared" si="92"/>
        <v>2505164.0810220139</v>
      </c>
      <c r="BE51" s="1187">
        <f>SUM(BE35:BE48)</f>
        <v>15554265.33</v>
      </c>
      <c r="BF51" s="1549">
        <f>SUM(AF51:AQ51)</f>
        <v>20328502.066924997</v>
      </c>
      <c r="BG51" s="1187">
        <f>SUM(BG35:BG50)</f>
        <v>31969811.972264167</v>
      </c>
      <c r="BH51" s="31">
        <v>27560059.949999999</v>
      </c>
      <c r="BI51" s="454">
        <f>(BG51-BH51)/BG51</f>
        <v>0.13793487512813357</v>
      </c>
    </row>
    <row r="52" spans="1:61" ht="15.75" customHeight="1" x14ac:dyDescent="0.3">
      <c r="C52" s="73" t="s">
        <v>1311</v>
      </c>
      <c r="F52" s="69"/>
      <c r="G52" s="85"/>
      <c r="H52" s="624"/>
      <c r="I52" s="667"/>
      <c r="J52" s="667"/>
      <c r="K52" s="667"/>
      <c r="L52" s="667"/>
      <c r="M52" s="667"/>
      <c r="N52" s="667"/>
      <c r="O52" s="667"/>
      <c r="P52" s="667"/>
      <c r="Q52" s="667"/>
      <c r="R52" s="667"/>
      <c r="S52" s="667"/>
      <c r="T52" s="926"/>
      <c r="U52" s="926"/>
      <c r="V52" s="926"/>
      <c r="W52" s="926"/>
      <c r="X52" s="926"/>
      <c r="Y52" s="926"/>
      <c r="Z52" s="1079"/>
      <c r="AA52" s="1079"/>
      <c r="AB52" s="1079"/>
      <c r="AC52" s="1079"/>
      <c r="AD52" s="1079"/>
      <c r="AE52" s="1157"/>
      <c r="AF52" s="1473">
        <f>AF51-'MXD P&amp;L'!N20</f>
        <v>0</v>
      </c>
      <c r="AG52" s="1473">
        <f>AG51-'MXD P&amp;L'!O20</f>
        <v>0</v>
      </c>
      <c r="AH52" s="1473">
        <f>AH51-'MXD P&amp;L'!P20</f>
        <v>0</v>
      </c>
      <c r="AI52" s="1473">
        <f>AI51-'MXD P&amp;L'!Q20</f>
        <v>0</v>
      </c>
      <c r="AJ52" s="1473">
        <f>AJ51-'HEC Financials'!AY7-'MXD P&amp;L'!R20</f>
        <v>0</v>
      </c>
      <c r="AK52" s="1473">
        <f>AK51-'HEC Financials'!AZ7-'MXD P&amp;L'!S20</f>
        <v>0</v>
      </c>
      <c r="AL52" s="1473">
        <f>ROUND(AL51-'HEC Financials'!BA7-'MXD P&amp;L'!T20-AL49,0)</f>
        <v>0</v>
      </c>
      <c r="AM52" s="1473">
        <f>ROUND(AM51-'HEC Financials'!BB7-'MXD P&amp;L'!U20-AM49,0)</f>
        <v>0</v>
      </c>
      <c r="AN52" s="1473">
        <f>ROUND(AN51-'HEC Financials'!BC7-'MXD P&amp;L'!V20-AN49,0)</f>
        <v>0</v>
      </c>
      <c r="AO52" s="1473">
        <f>ROUND(AO51-'HEC Financials'!BD7-'MXD P&amp;L'!W20-AO49,0)</f>
        <v>0</v>
      </c>
      <c r="AP52" s="1542">
        <f>AP51-'HEC Financials'!BE7-'MXD P&amp;L'!X20</f>
        <v>1535038.30608</v>
      </c>
      <c r="AQ52" s="1542">
        <f>AQ51-'HEC Financials'!BF7-'MXD P&amp;L'!Y20</f>
        <v>1804659.9394450001</v>
      </c>
      <c r="AR52" s="1615">
        <f>AR51-'HEC Financials'!BG7-'MXD P&amp;L'!Z20-'Branch P&amp;L'!BJ9</f>
        <v>1658075.2831820138</v>
      </c>
      <c r="AS52" s="1542">
        <f>AS51-'HEC Financials'!BH7-'MXD P&amp;L'!AA20-'Branch P&amp;L'!BK9</f>
        <v>1651016.2098620138</v>
      </c>
      <c r="AT52" s="1542">
        <f>AT51-'HEC Financials'!BI7-'MXD P&amp;L'!AB20-'Branch P&amp;L'!BL9</f>
        <v>1643898.3109320139</v>
      </c>
      <c r="AU52" s="1542">
        <f>AU51-'HEC Financials'!BJ7-'MXD P&amp;L'!AC20-'Branch P&amp;L'!BM9</f>
        <v>2505164.0810220139</v>
      </c>
      <c r="AV52" s="1542">
        <f>AV51-'HEC Financials'!BK7-'MXD P&amp;L'!AD20-'Branch P&amp;L'!BN9</f>
        <v>2505164.0810220139</v>
      </c>
      <c r="AW52" s="1542">
        <f>AW51-'HEC Financials'!BL7-'MXD P&amp;L'!AE20-'Branch P&amp;L'!BO9</f>
        <v>2505164.0810220139</v>
      </c>
      <c r="AX52" s="1542">
        <f>AX51-'HEC Financials'!BM7-'MXD P&amp;L'!AF20-'Branch P&amp;L'!BP9</f>
        <v>2505164.0810220139</v>
      </c>
      <c r="AY52" s="1542">
        <f>AY51-'HEC Financials'!BN7-'MXD P&amp;L'!AG20-'Branch P&amp;L'!BQ9</f>
        <v>2505164.0810220139</v>
      </c>
      <c r="AZ52" s="1542">
        <f>AZ51-'HEC Financials'!BO7-'MXD P&amp;L'!AH20-'Branch P&amp;L'!BR9</f>
        <v>2505164.0810220139</v>
      </c>
      <c r="BA52" s="1542">
        <f>BA51-'HEC Financials'!BP7-'MXD P&amp;L'!AI20-'Branch P&amp;L'!BS9</f>
        <v>2505164.0810220139</v>
      </c>
      <c r="BB52" s="1542">
        <f>BB51-'HEC Financials'!BQ7-'MXD P&amp;L'!AJ20-'Branch P&amp;L'!BT9</f>
        <v>2505164.0810220139</v>
      </c>
      <c r="BC52" s="1542">
        <f>BC51-'HEC Financials'!BR7-'MXD P&amp;L'!AK20-'Branch P&amp;L'!BU9</f>
        <v>2505164.0810220139</v>
      </c>
      <c r="BE52" s="1194"/>
      <c r="BF52" s="1549"/>
      <c r="BG52" s="1194"/>
    </row>
    <row r="53" spans="1:61" ht="15.75" customHeight="1" x14ac:dyDescent="0.3">
      <c r="C53" s="73" t="s">
        <v>184</v>
      </c>
      <c r="D53" s="74"/>
      <c r="E53" s="74"/>
      <c r="F53" s="74"/>
      <c r="G53" s="328"/>
      <c r="H53" s="620" t="e">
        <f t="shared" ref="H53:S53" si="93">(H51-G51)/G51</f>
        <v>#DIV/0!</v>
      </c>
      <c r="I53" s="663">
        <f t="shared" si="93"/>
        <v>0.88488760460926286</v>
      </c>
      <c r="J53" s="663">
        <f t="shared" si="93"/>
        <v>0.67867494725128996</v>
      </c>
      <c r="K53" s="663">
        <f t="shared" si="93"/>
        <v>-0.35871994288048159</v>
      </c>
      <c r="L53" s="663">
        <f t="shared" si="93"/>
        <v>0.24779867642182721</v>
      </c>
      <c r="M53" s="663">
        <f t="shared" si="93"/>
        <v>4.6794925608885686E-2</v>
      </c>
      <c r="N53" s="663">
        <f t="shared" si="93"/>
        <v>-1.9644076360868387E-2</v>
      </c>
      <c r="O53" s="663">
        <f t="shared" si="93"/>
        <v>0.30247795505766989</v>
      </c>
      <c r="P53" s="663">
        <f t="shared" si="93"/>
        <v>-9.6930930319882119E-2</v>
      </c>
      <c r="Q53" s="663">
        <f t="shared" si="93"/>
        <v>0.45722772627124603</v>
      </c>
      <c r="R53" s="663">
        <f t="shared" si="93"/>
        <v>-0.35776184763493846</v>
      </c>
      <c r="S53" s="663">
        <f t="shared" si="93"/>
        <v>0.96201026378222287</v>
      </c>
      <c r="T53" s="927"/>
      <c r="U53" s="927"/>
      <c r="V53" s="927"/>
      <c r="W53" s="927"/>
      <c r="X53" s="927"/>
      <c r="Y53" s="927"/>
      <c r="Z53" s="1080"/>
      <c r="AA53" s="1080"/>
      <c r="AB53" s="1080"/>
      <c r="AC53" s="1080"/>
      <c r="AD53" s="1080"/>
      <c r="AE53" s="1158"/>
      <c r="AF53" s="1158"/>
      <c r="AG53" s="1158"/>
      <c r="AH53" s="1158"/>
      <c r="AI53" s="1158"/>
      <c r="AJ53" s="1158"/>
      <c r="AK53" s="1158"/>
      <c r="AL53" s="1158"/>
      <c r="AM53" s="1474"/>
      <c r="AN53" s="1474"/>
      <c r="AO53" s="1474"/>
      <c r="AP53" s="663"/>
      <c r="AQ53" s="663"/>
      <c r="AR53" s="1654">
        <f>(AR51-AVERAGE(AO51:AQ51))/(AVERAGE(AO51:AQ51))</f>
        <v>1.9995419672628842E-2</v>
      </c>
      <c r="AS53" s="663"/>
      <c r="AT53" s="663"/>
      <c r="AU53" s="663"/>
      <c r="AV53" s="663"/>
      <c r="AW53" s="663"/>
      <c r="AX53" s="663"/>
      <c r="AY53" s="663"/>
      <c r="AZ53" s="663"/>
      <c r="BA53" s="663"/>
      <c r="BB53" s="663"/>
      <c r="BC53" s="663"/>
      <c r="BE53" s="1184"/>
      <c r="BF53" s="1550"/>
      <c r="BG53" s="1184"/>
    </row>
    <row r="54" spans="1:61" ht="15.75" customHeight="1" x14ac:dyDescent="0.3">
      <c r="C54" s="73" t="s">
        <v>186</v>
      </c>
      <c r="D54" s="74"/>
      <c r="E54" s="74"/>
      <c r="F54" s="74"/>
      <c r="G54" s="75"/>
      <c r="H54" s="621">
        <f>H51</f>
        <v>355725.44232099992</v>
      </c>
      <c r="I54" s="664">
        <f t="shared" ref="I54:S54" si="94">I51+H54</f>
        <v>1026227.919196</v>
      </c>
      <c r="J54" s="664">
        <f t="shared" si="94"/>
        <v>2151783.6291959998</v>
      </c>
      <c r="K54" s="664">
        <f t="shared" si="94"/>
        <v>2873580.059196</v>
      </c>
      <c r="L54" s="664">
        <f t="shared" si="94"/>
        <v>3774236.6891959999</v>
      </c>
      <c r="M54" s="664">
        <f t="shared" si="94"/>
        <v>4717039.4791959999</v>
      </c>
      <c r="N54" s="664">
        <f t="shared" si="94"/>
        <v>5641321.7791959997</v>
      </c>
      <c r="O54" s="664">
        <f t="shared" si="94"/>
        <v>6845179.099196</v>
      </c>
      <c r="P54" s="664">
        <f t="shared" si="94"/>
        <v>7932345.4091959996</v>
      </c>
      <c r="Q54" s="664">
        <f t="shared" si="94"/>
        <v>9516594.2991959993</v>
      </c>
      <c r="R54" s="664">
        <f t="shared" si="94"/>
        <v>10534059.379195999</v>
      </c>
      <c r="S54" s="664">
        <f t="shared" si="94"/>
        <v>12530336.309195999</v>
      </c>
      <c r="T54" s="928"/>
      <c r="U54" s="928"/>
      <c r="V54" s="928"/>
      <c r="W54" s="928"/>
      <c r="X54" s="928"/>
      <c r="Y54" s="928"/>
      <c r="Z54" s="1081"/>
      <c r="AA54" s="1081"/>
      <c r="AB54" s="1081"/>
      <c r="AC54" s="1081"/>
      <c r="AD54" s="1081"/>
      <c r="AE54" s="1159"/>
      <c r="AF54" s="1159"/>
      <c r="AG54" s="1159"/>
      <c r="AH54" s="1159"/>
      <c r="AI54" s="1159"/>
      <c r="AJ54" s="1159"/>
      <c r="AK54" s="1159"/>
      <c r="AL54" s="1159"/>
      <c r="AM54" s="1159"/>
      <c r="AN54" s="1159"/>
      <c r="AO54" s="1159"/>
      <c r="AP54" s="664"/>
      <c r="AQ54" s="664"/>
      <c r="AR54" s="1616"/>
      <c r="AS54" s="664"/>
      <c r="AT54" s="664"/>
      <c r="AU54" s="664"/>
      <c r="AV54" s="664"/>
      <c r="AW54" s="664"/>
      <c r="AX54" s="664"/>
      <c r="AY54" s="664"/>
      <c r="AZ54" s="664"/>
      <c r="BA54" s="664"/>
      <c r="BB54" s="664"/>
      <c r="BC54" s="664"/>
      <c r="BE54" s="1184"/>
      <c r="BF54" s="1551"/>
      <c r="BG54" s="1184"/>
    </row>
    <row r="55" spans="1:61" ht="15.75" customHeight="1" x14ac:dyDescent="0.3">
      <c r="A55" s="76"/>
      <c r="B55" s="76"/>
      <c r="C55" s="55" t="s">
        <v>187</v>
      </c>
      <c r="D55" s="76"/>
      <c r="E55" s="76"/>
      <c r="F55" s="76"/>
      <c r="G55" s="61"/>
      <c r="H55" s="622"/>
      <c r="I55" s="629"/>
      <c r="J55" s="629"/>
      <c r="K55" s="629"/>
      <c r="L55" s="629"/>
      <c r="M55" s="629"/>
      <c r="N55" s="629"/>
      <c r="O55" s="629"/>
      <c r="P55" s="629"/>
      <c r="Q55" s="629"/>
      <c r="R55" s="629"/>
      <c r="S55" s="629"/>
      <c r="T55" s="929"/>
      <c r="U55" s="929"/>
      <c r="V55" s="929"/>
      <c r="W55" s="929"/>
      <c r="X55" s="929"/>
      <c r="Y55" s="929"/>
      <c r="Z55" s="1077"/>
      <c r="AA55" s="1077"/>
      <c r="AB55" s="1077"/>
      <c r="AC55" s="1077"/>
      <c r="AD55" s="1077"/>
      <c r="AE55" s="1160"/>
      <c r="AF55" s="1160"/>
      <c r="AG55" s="1160"/>
      <c r="AH55" s="1160"/>
      <c r="AI55" s="1160"/>
      <c r="AJ55" s="1160"/>
      <c r="AK55" s="1160"/>
      <c r="AL55" s="1160"/>
      <c r="AM55" s="1160"/>
      <c r="AN55" s="1160"/>
      <c r="AO55" s="1160"/>
      <c r="AP55" s="629"/>
      <c r="AQ55" s="629"/>
      <c r="AR55" s="618"/>
      <c r="AS55" s="629"/>
      <c r="AT55" s="629"/>
      <c r="AU55" s="629"/>
      <c r="AV55" s="629"/>
      <c r="AW55" s="629"/>
      <c r="AX55" s="629"/>
      <c r="AY55" s="629"/>
      <c r="AZ55" s="629"/>
      <c r="BA55" s="629"/>
      <c r="BB55" s="629"/>
      <c r="BC55" s="629"/>
      <c r="BE55" s="1184"/>
      <c r="BF55" s="1238"/>
      <c r="BG55" s="1184"/>
    </row>
    <row r="56" spans="1:61" s="79" customFormat="1" ht="15.75" hidden="1" customHeight="1" x14ac:dyDescent="0.3">
      <c r="A56" s="76"/>
      <c r="B56" s="76"/>
      <c r="C56" s="57" t="s">
        <v>188</v>
      </c>
      <c r="D56" s="76"/>
      <c r="E56" s="59"/>
      <c r="F56" s="909"/>
      <c r="G56" s="61"/>
      <c r="H56" s="622">
        <f>'Rev and COGS'!E33</f>
        <v>150549.39000000001</v>
      </c>
      <c r="I56" s="649">
        <f>'Rev and COGS'!H33</f>
        <v>288249.59000000003</v>
      </c>
      <c r="J56" s="649">
        <f>'Rev and COGS'!K33</f>
        <v>307876.88</v>
      </c>
      <c r="K56" s="649">
        <f>'Rev and COGS'!N33</f>
        <v>295878.84999999998</v>
      </c>
      <c r="L56" s="649">
        <f>'Rev and COGS'!Q33</f>
        <v>343148.03</v>
      </c>
      <c r="M56" s="649">
        <f>'Rev and COGS'!T33</f>
        <v>130467.47</v>
      </c>
      <c r="N56" s="649">
        <f>'Rev and COGS'!W33</f>
        <v>231606.21</v>
      </c>
      <c r="O56" s="649">
        <f>'Rev and COGS'!Z33</f>
        <v>192258.41</v>
      </c>
      <c r="P56" s="649">
        <f>'Rev and COGS'!AC33</f>
        <v>194802.59</v>
      </c>
      <c r="Q56" s="649">
        <f>'Rev and COGS'!AF33</f>
        <v>296692.52</v>
      </c>
      <c r="R56" s="649">
        <f>'Rev and COGS'!AI33</f>
        <v>222248.87</v>
      </c>
      <c r="S56" s="649">
        <f>'Rev and COGS'!AL33</f>
        <v>200354.45</v>
      </c>
      <c r="T56" s="924">
        <f>'Rev and COGS'!AN33</f>
        <v>371035.72</v>
      </c>
      <c r="U56" s="924">
        <f>'Rev and COGS'!AO33</f>
        <v>205886.4</v>
      </c>
      <c r="V56" s="924">
        <f>'Rev and COGS'!AP33</f>
        <v>346798.2</v>
      </c>
      <c r="W56" s="924">
        <f>'Rev and COGS'!AQ33</f>
        <v>274891.18</v>
      </c>
      <c r="X56" s="924">
        <f>'Rev and COGS'!AR33</f>
        <v>278199.95</v>
      </c>
      <c r="Y56" s="924">
        <f>'Rev and COGS'!AS33</f>
        <v>447513.65</v>
      </c>
      <c r="Z56" s="1076">
        <f>'Rev and COGS'!AT33</f>
        <v>224359.37</v>
      </c>
      <c r="AA56" s="1076">
        <f>'Rev and COGS'!AU33</f>
        <v>297625.90999999997</v>
      </c>
      <c r="AB56" s="1076">
        <f>'Rev and COGS'!AV33</f>
        <v>309587.33</v>
      </c>
      <c r="AC56" s="1076">
        <f>'Rev and COGS'!AW33</f>
        <v>193629.67</v>
      </c>
      <c r="AD56" s="1076">
        <f>'Rev and COGS'!AX33</f>
        <v>200442.09</v>
      </c>
      <c r="AE56" s="1155">
        <f>'Rev and COGS'!AY33</f>
        <v>230577.56</v>
      </c>
      <c r="AF56" s="1155"/>
      <c r="AG56" s="1155"/>
      <c r="AH56" s="1155"/>
      <c r="AI56" s="1155"/>
      <c r="AJ56" s="1155"/>
      <c r="AK56" s="1155"/>
      <c r="AL56" s="1155"/>
      <c r="AM56" s="1155"/>
      <c r="AN56" s="1155"/>
      <c r="AO56" s="1155"/>
      <c r="AP56" s="649"/>
      <c r="AQ56" s="649"/>
      <c r="AR56" s="618"/>
      <c r="AS56" s="649"/>
      <c r="AT56" s="649"/>
      <c r="AU56" s="649"/>
      <c r="AV56" s="649"/>
      <c r="AW56" s="649"/>
      <c r="AX56" s="649"/>
      <c r="AY56" s="649"/>
      <c r="AZ56" s="649"/>
      <c r="BA56" s="649"/>
      <c r="BB56" s="649"/>
      <c r="BC56" s="649"/>
      <c r="BE56" s="1184">
        <f t="shared" ref="BE56:BE70" si="95">SUM(T56:AE56)</f>
        <v>3380547.0300000003</v>
      </c>
      <c r="BF56" s="1240">
        <f t="shared" ref="BF56:BF72" si="96">SUM(AF56:AQ56)</f>
        <v>0</v>
      </c>
      <c r="BG56" s="1184">
        <f t="shared" ref="BG56:BG70" si="97">SUM(U56:AF56)</f>
        <v>3009511.3099999996</v>
      </c>
    </row>
    <row r="57" spans="1:61" s="79" customFormat="1" ht="15.75" hidden="1" customHeight="1" x14ac:dyDescent="0.3">
      <c r="A57" s="76"/>
      <c r="B57" s="76"/>
      <c r="C57" s="57" t="s">
        <v>27</v>
      </c>
      <c r="D57" s="76"/>
      <c r="E57" s="59"/>
      <c r="F57" s="909"/>
      <c r="G57" s="61"/>
      <c r="H57" s="622">
        <f>'Rev and COGS'!E34</f>
        <v>85382.200519999999</v>
      </c>
      <c r="I57" s="649">
        <f>'Rev and COGS'!H34</f>
        <v>63457.576461000019</v>
      </c>
      <c r="J57" s="649">
        <f>'Rev and COGS'!K34</f>
        <v>79879.48000000001</v>
      </c>
      <c r="K57" s="649">
        <f>'Rev and COGS'!N34</f>
        <v>75007.25</v>
      </c>
      <c r="L57" s="649">
        <f>'Rev and COGS'!Q34</f>
        <v>117241.64</v>
      </c>
      <c r="M57" s="649">
        <f>'Rev and COGS'!T34</f>
        <v>113001.55</v>
      </c>
      <c r="N57" s="649">
        <f>'Rev and COGS'!W34</f>
        <v>127851.98</v>
      </c>
      <c r="O57" s="649">
        <f>'Rev and COGS'!Z34</f>
        <v>148548.89000000001</v>
      </c>
      <c r="P57" s="649">
        <f>'Rev and COGS'!AC34</f>
        <v>100226.62999999989</v>
      </c>
      <c r="Q57" s="649">
        <f>'Rev and COGS'!AF34</f>
        <v>197435.29</v>
      </c>
      <c r="R57" s="649">
        <f>'Rev and COGS'!AI34</f>
        <v>65684.14000000013</v>
      </c>
      <c r="S57" s="649">
        <f>'Rev and COGS'!AL34</f>
        <v>6164.439999999915</v>
      </c>
      <c r="T57" s="924">
        <f>'Rev and COGS'!AN34</f>
        <v>227812.07</v>
      </c>
      <c r="U57" s="924">
        <f>'Rev and COGS'!AO34</f>
        <v>135492</v>
      </c>
      <c r="V57" s="924">
        <f>'Rev and COGS'!AP34</f>
        <v>215916.09</v>
      </c>
      <c r="W57" s="924">
        <f>'Rev and COGS'!AQ34</f>
        <v>239434.22</v>
      </c>
      <c r="X57" s="924">
        <f>'Rev and COGS'!AR34</f>
        <v>495901.61</v>
      </c>
      <c r="Y57" s="924">
        <f>'Rev and COGS'!AS34</f>
        <v>292337.86</v>
      </c>
      <c r="Z57" s="1076">
        <f>'Rev and COGS'!AT34</f>
        <v>44644.04</v>
      </c>
      <c r="AA57" s="1076">
        <f>'Rev and COGS'!AU34</f>
        <v>186375.65</v>
      </c>
      <c r="AB57" s="1076">
        <f>'Rev and COGS'!AV34</f>
        <v>200083.31</v>
      </c>
      <c r="AC57" s="1076">
        <f>'Rev and COGS'!AW34</f>
        <v>71552.03</v>
      </c>
      <c r="AD57" s="1076">
        <f>'Rev and COGS'!AX34</f>
        <v>19303.61</v>
      </c>
      <c r="AE57" s="1155">
        <f>'Rev and COGS'!AY34</f>
        <v>200670.94</v>
      </c>
      <c r="AF57" s="1155"/>
      <c r="AG57" s="1155"/>
      <c r="AH57" s="1155"/>
      <c r="AI57" s="1155"/>
      <c r="AJ57" s="1155"/>
      <c r="AK57" s="1155"/>
      <c r="AL57" s="1155"/>
      <c r="AM57" s="1155"/>
      <c r="AN57" s="1155"/>
      <c r="AO57" s="1155"/>
      <c r="AP57" s="649"/>
      <c r="AQ57" s="649"/>
      <c r="AR57" s="618"/>
      <c r="AS57" s="649"/>
      <c r="AT57" s="649"/>
      <c r="AU57" s="649"/>
      <c r="AV57" s="649"/>
      <c r="AW57" s="649"/>
      <c r="AX57" s="649"/>
      <c r="AY57" s="649"/>
      <c r="AZ57" s="649"/>
      <c r="BA57" s="649"/>
      <c r="BB57" s="649"/>
      <c r="BC57" s="649"/>
      <c r="BE57" s="1184">
        <f t="shared" si="95"/>
        <v>2329523.4299999997</v>
      </c>
      <c r="BF57" s="1240">
        <f t="shared" si="96"/>
        <v>0</v>
      </c>
      <c r="BG57" s="1184">
        <f t="shared" si="97"/>
        <v>2101711.36</v>
      </c>
    </row>
    <row r="58" spans="1:61" s="79" customFormat="1" ht="15.75" hidden="1" customHeight="1" x14ac:dyDescent="0.3">
      <c r="A58" s="76"/>
      <c r="B58" s="76"/>
      <c r="C58" s="57" t="s">
        <v>28</v>
      </c>
      <c r="D58" s="76"/>
      <c r="E58" s="59"/>
      <c r="F58" s="909"/>
      <c r="G58" s="61"/>
      <c r="H58" s="622">
        <f>'Rev and COGS'!E35</f>
        <v>14992.828017</v>
      </c>
      <c r="I58" s="649">
        <f>'Rev and COGS'!H35</f>
        <v>10991.854692999997</v>
      </c>
      <c r="J58" s="649">
        <f>'Rev and COGS'!K35</f>
        <v>280470.38</v>
      </c>
      <c r="K58" s="649">
        <f>'Rev and COGS'!N35</f>
        <v>57644.160000000033</v>
      </c>
      <c r="L58" s="649">
        <f>'Rev and COGS'!Q35</f>
        <v>78799.709999999963</v>
      </c>
      <c r="M58" s="649">
        <f>'Rev and COGS'!T35</f>
        <v>61159.460000000021</v>
      </c>
      <c r="N58" s="649">
        <f>'Rev and COGS'!W35</f>
        <v>24256.16</v>
      </c>
      <c r="O58" s="649">
        <f>'Rev and COGS'!Z35</f>
        <v>249882.18</v>
      </c>
      <c r="P58" s="649">
        <f>'Rev and COGS'!AC35</f>
        <v>140975.80000000002</v>
      </c>
      <c r="Q58" s="649">
        <f>'Rev and COGS'!AF35</f>
        <v>151895.17000000001</v>
      </c>
      <c r="R58" s="649">
        <f>'Rev and COGS'!AI35</f>
        <v>63467.809999999947</v>
      </c>
      <c r="S58" s="649">
        <f>'Rev and COGS'!AL35</f>
        <v>327932.25</v>
      </c>
      <c r="T58" s="924">
        <f>'Rev and COGS'!AN35</f>
        <v>285038.11</v>
      </c>
      <c r="U58" s="924">
        <f>'Rev and COGS'!AO35</f>
        <v>61746.59</v>
      </c>
      <c r="V58" s="924">
        <f>'Rev and COGS'!AP35</f>
        <v>134749.78</v>
      </c>
      <c r="W58" s="924">
        <f>'Rev and COGS'!AQ35</f>
        <v>379023.56</v>
      </c>
      <c r="X58" s="924">
        <f>'Rev and COGS'!AR35</f>
        <v>6819.34</v>
      </c>
      <c r="Y58" s="924">
        <f>'Rev and COGS'!AS35</f>
        <v>302170.17</v>
      </c>
      <c r="Z58" s="1076">
        <f>'Rev and COGS'!AT35</f>
        <v>1018881.87</v>
      </c>
      <c r="AA58" s="1076">
        <f>'Rev and COGS'!AU35</f>
        <v>94579.18</v>
      </c>
      <c r="AB58" s="1076">
        <f>'Rev and COGS'!AV35</f>
        <v>120125.64</v>
      </c>
      <c r="AC58" s="1076">
        <f>'Rev and COGS'!AW35</f>
        <v>70365.78</v>
      </c>
      <c r="AD58" s="1076">
        <f>'Rev and COGS'!AX35</f>
        <v>96572.36</v>
      </c>
      <c r="AE58" s="1155">
        <f>'Rev and COGS'!AY35</f>
        <v>27107.97</v>
      </c>
      <c r="AF58" s="1155"/>
      <c r="AG58" s="1155"/>
      <c r="AH58" s="1155"/>
      <c r="AI58" s="1155"/>
      <c r="AJ58" s="1155"/>
      <c r="AK58" s="1155"/>
      <c r="AL58" s="1155"/>
      <c r="AM58" s="1155"/>
      <c r="AN58" s="1155"/>
      <c r="AO58" s="1155"/>
      <c r="AP58" s="649"/>
      <c r="AQ58" s="649"/>
      <c r="AR58" s="618"/>
      <c r="AS58" s="649"/>
      <c r="AT58" s="649"/>
      <c r="AU58" s="649"/>
      <c r="AV58" s="649"/>
      <c r="AW58" s="649"/>
      <c r="AX58" s="649"/>
      <c r="AY58" s="649"/>
      <c r="AZ58" s="649"/>
      <c r="BA58" s="649"/>
      <c r="BB58" s="649"/>
      <c r="BC58" s="649"/>
      <c r="BE58" s="1184">
        <f t="shared" si="95"/>
        <v>2597180.35</v>
      </c>
      <c r="BF58" s="1240">
        <f t="shared" si="96"/>
        <v>0</v>
      </c>
      <c r="BG58" s="1184">
        <f t="shared" si="97"/>
        <v>2312142.2399999998</v>
      </c>
    </row>
    <row r="59" spans="1:61" s="79" customFormat="1" ht="15.75" hidden="1" customHeight="1" x14ac:dyDescent="0.3">
      <c r="A59" s="76"/>
      <c r="B59" s="76"/>
      <c r="C59" s="57" t="s">
        <v>29</v>
      </c>
      <c r="D59" s="76"/>
      <c r="E59" s="59"/>
      <c r="F59" s="909"/>
      <c r="G59" s="61"/>
      <c r="H59" s="622">
        <f>'Rev and COGS'!E37</f>
        <v>0</v>
      </c>
      <c r="I59" s="649">
        <f>'Rev and COGS'!H37</f>
        <v>0</v>
      </c>
      <c r="J59" s="649">
        <f>'Rev and COGS'!K37</f>
        <v>0</v>
      </c>
      <c r="K59" s="649">
        <f>'Rev and COGS'!N37</f>
        <v>0</v>
      </c>
      <c r="L59" s="649">
        <f>'Rev and COGS'!Q37</f>
        <v>0</v>
      </c>
      <c r="M59" s="649">
        <f>'Rev and COGS'!T37</f>
        <v>5266</v>
      </c>
      <c r="N59" s="649">
        <f>'Rev and COGS'!W37</f>
        <v>0</v>
      </c>
      <c r="O59" s="649">
        <f>'Rev and COGS'!Z37</f>
        <v>0</v>
      </c>
      <c r="P59" s="649">
        <f>'Rev and COGS'!AC37</f>
        <v>0</v>
      </c>
      <c r="Q59" s="649">
        <f>'Rev and COGS'!AF37</f>
        <v>13516.61</v>
      </c>
      <c r="R59" s="649">
        <f>'Rev and COGS'!AI37</f>
        <v>0</v>
      </c>
      <c r="S59" s="649">
        <f>'Rev and COGS'!AL37</f>
        <v>42703.01</v>
      </c>
      <c r="T59" s="924">
        <f>'Rev and COGS'!AN37</f>
        <v>0</v>
      </c>
      <c r="U59" s="924">
        <f>'Rev and COGS'!AO37</f>
        <v>435836.42</v>
      </c>
      <c r="V59" s="924">
        <f>'Rev and COGS'!AP37</f>
        <v>159918.39000000001</v>
      </c>
      <c r="W59" s="924">
        <f>'Rev and COGS'!AQ37</f>
        <v>0</v>
      </c>
      <c r="X59" s="924">
        <f>'Rev and COGS'!AR37</f>
        <v>0</v>
      </c>
      <c r="Y59" s="924">
        <f>'Rev and COGS'!AS37</f>
        <v>44643.62</v>
      </c>
      <c r="Z59" s="1076">
        <f>'Rev and COGS'!AT37</f>
        <v>0</v>
      </c>
      <c r="AA59" s="1076">
        <f>'Rev and COGS'!AU37</f>
        <v>0</v>
      </c>
      <c r="AB59" s="1076">
        <f>'Rev and COGS'!AV37</f>
        <v>0</v>
      </c>
      <c r="AC59" s="1076">
        <f>'Rev and COGS'!AW37</f>
        <v>0</v>
      </c>
      <c r="AD59" s="1076">
        <f>'Rev and COGS'!AX37</f>
        <v>1650</v>
      </c>
      <c r="AE59" s="1155">
        <f>'Rev and COGS'!AY37</f>
        <v>-34643.620000000003</v>
      </c>
      <c r="AF59" s="1155"/>
      <c r="AG59" s="1155"/>
      <c r="AH59" s="1155"/>
      <c r="AI59" s="1155"/>
      <c r="AJ59" s="1155"/>
      <c r="AK59" s="1155"/>
      <c r="AL59" s="1155"/>
      <c r="AM59" s="1155"/>
      <c r="AN59" s="1155"/>
      <c r="AO59" s="1155"/>
      <c r="AP59" s="649"/>
      <c r="AQ59" s="649"/>
      <c r="AR59" s="618"/>
      <c r="AS59" s="649"/>
      <c r="AT59" s="649"/>
      <c r="AU59" s="649"/>
      <c r="AV59" s="649"/>
      <c r="AW59" s="649"/>
      <c r="AX59" s="649"/>
      <c r="AY59" s="649"/>
      <c r="AZ59" s="649"/>
      <c r="BA59" s="649"/>
      <c r="BB59" s="649"/>
      <c r="BC59" s="649"/>
      <c r="BE59" s="1184">
        <f t="shared" si="95"/>
        <v>607404.81000000006</v>
      </c>
      <c r="BF59" s="1240">
        <f t="shared" si="96"/>
        <v>0</v>
      </c>
      <c r="BG59" s="1184">
        <f t="shared" si="97"/>
        <v>607404.81000000006</v>
      </c>
    </row>
    <row r="60" spans="1:61" s="79" customFormat="1" ht="15.75" hidden="1" customHeight="1" x14ac:dyDescent="0.3">
      <c r="A60" s="76"/>
      <c r="B60" s="76"/>
      <c r="C60" s="57" t="s">
        <v>550</v>
      </c>
      <c r="D60" s="76"/>
      <c r="E60" s="59"/>
      <c r="F60" s="909"/>
      <c r="G60" s="61"/>
      <c r="H60" s="622"/>
      <c r="I60" s="649"/>
      <c r="J60" s="649"/>
      <c r="K60" s="649"/>
      <c r="L60" s="649"/>
      <c r="M60" s="649"/>
      <c r="N60" s="649"/>
      <c r="O60" s="649"/>
      <c r="P60" s="649"/>
      <c r="Q60" s="649"/>
      <c r="R60" s="649"/>
      <c r="S60" s="649"/>
      <c r="T60" s="924">
        <f>'Rev and COGS'!AN32+'Rev and COGS'!AN38</f>
        <v>3173.16</v>
      </c>
      <c r="U60" s="924">
        <f>'Rev and COGS'!AO32+'Rev and COGS'!AO38</f>
        <v>22676.31</v>
      </c>
      <c r="V60" s="924">
        <f>'Rev and COGS'!AP32+'Rev and COGS'!AP38</f>
        <v>30899.89</v>
      </c>
      <c r="W60" s="924">
        <f>'Rev and COGS'!AQ32+'Rev and COGS'!AQ38</f>
        <v>672.50999999999976</v>
      </c>
      <c r="X60" s="924">
        <f>'Rev and COGS'!AR32+'Rev and COGS'!AR38</f>
        <v>3966.3500000000004</v>
      </c>
      <c r="Y60" s="924">
        <f>'Rev and COGS'!AS32+'Rev and COGS'!AS38</f>
        <v>4282.38</v>
      </c>
      <c r="Z60" s="1076">
        <f>'Rev and COGS'!AT32+'Rev and COGS'!AT38</f>
        <v>5369.29</v>
      </c>
      <c r="AA60" s="1076">
        <f>'Rev and COGS'!AU32+'Rev and COGS'!AU38</f>
        <v>2617.25</v>
      </c>
      <c r="AB60" s="1076">
        <f>'Rev and COGS'!AV32+'Rev and COGS'!AV38</f>
        <v>2232.54</v>
      </c>
      <c r="AC60" s="1076">
        <f>'Rev and COGS'!AW32+'Rev and COGS'!AW38</f>
        <v>13264.18</v>
      </c>
      <c r="AD60" s="1076">
        <f>'Rev and COGS'!AX32+'Rev and COGS'!AX38</f>
        <v>-8633.09</v>
      </c>
      <c r="AE60" s="1155">
        <f>'Rev and COGS'!AY32+'Rev and COGS'!AY38</f>
        <v>3227.16</v>
      </c>
      <c r="AF60" s="1155"/>
      <c r="AG60" s="1155"/>
      <c r="AH60" s="1155"/>
      <c r="AI60" s="1155"/>
      <c r="AJ60" s="1155"/>
      <c r="AK60" s="1155"/>
      <c r="AL60" s="1155"/>
      <c r="AM60" s="1155"/>
      <c r="AN60" s="1155"/>
      <c r="AO60" s="1155"/>
      <c r="AP60" s="649"/>
      <c r="AQ60" s="649"/>
      <c r="AR60" s="618"/>
      <c r="AS60" s="649"/>
      <c r="AT60" s="649"/>
      <c r="AU60" s="649"/>
      <c r="AV60" s="649"/>
      <c r="AW60" s="649"/>
      <c r="AX60" s="649"/>
      <c r="AY60" s="649"/>
      <c r="AZ60" s="649"/>
      <c r="BA60" s="649"/>
      <c r="BB60" s="649"/>
      <c r="BC60" s="649"/>
      <c r="BE60" s="1184">
        <f t="shared" si="95"/>
        <v>83747.929999999993</v>
      </c>
      <c r="BF60" s="1240">
        <f t="shared" si="96"/>
        <v>0</v>
      </c>
      <c r="BG60" s="1184">
        <f t="shared" si="97"/>
        <v>80574.76999999999</v>
      </c>
    </row>
    <row r="61" spans="1:61" s="79" customFormat="1" ht="15.75" hidden="1" customHeight="1" x14ac:dyDescent="0.3">
      <c r="A61" s="76"/>
      <c r="B61" s="76"/>
      <c r="C61" s="57" t="s">
        <v>191</v>
      </c>
      <c r="D61" s="76"/>
      <c r="E61" s="59"/>
      <c r="F61" s="909"/>
      <c r="G61" s="61"/>
      <c r="H61" s="622">
        <f>'Rev and COGS'!E39</f>
        <v>-13378.41</v>
      </c>
      <c r="I61" s="649">
        <f>'Rev and COGS'!H39</f>
        <v>-21990.34</v>
      </c>
      <c r="J61" s="649">
        <f>'Rev and COGS'!K39</f>
        <v>-98919.61</v>
      </c>
      <c r="K61" s="649">
        <f>'Rev and COGS'!N39</f>
        <v>-19782.179999999989</v>
      </c>
      <c r="L61" s="649">
        <f>'Rev and COGS'!Q39</f>
        <v>-13553.22</v>
      </c>
      <c r="M61" s="649">
        <f>'Rev and COGS'!T39</f>
        <v>116485.08000000005</v>
      </c>
      <c r="N61" s="649">
        <f>'Rev and COGS'!W39</f>
        <v>-28446.1</v>
      </c>
      <c r="O61" s="649">
        <f>'Rev and COGS'!Z39</f>
        <v>69280.219999999972</v>
      </c>
      <c r="P61" s="649">
        <f>'Rev and COGS'!AC39</f>
        <v>75936.569999999978</v>
      </c>
      <c r="Q61" s="649">
        <f>'Rev and COGS'!AF39</f>
        <v>263645.87999999989</v>
      </c>
      <c r="R61" s="649">
        <f>'Rev and COGS'!AI39</f>
        <v>185488.06999999998</v>
      </c>
      <c r="S61" s="649">
        <f>'Rev and COGS'!AL39</f>
        <v>496685.3400000002</v>
      </c>
      <c r="T61" s="924">
        <f>'Rev and COGS'!AN39</f>
        <v>-273380.17</v>
      </c>
      <c r="U61" s="924">
        <f>'Rev and COGS'!AO39</f>
        <v>-74.78</v>
      </c>
      <c r="V61" s="924">
        <f>'Rev and COGS'!AP39</f>
        <v>123160.18</v>
      </c>
      <c r="W61" s="924">
        <f>'Rev and COGS'!AQ39</f>
        <v>-69440.009999999995</v>
      </c>
      <c r="X61" s="924">
        <f>'Rev and COGS'!AR39</f>
        <v>174899.83</v>
      </c>
      <c r="Y61" s="924">
        <f>'Rev and COGS'!AS39</f>
        <v>-234712.95</v>
      </c>
      <c r="Z61" s="1076">
        <f>'Rev and COGS'!AT39</f>
        <v>-729180.79</v>
      </c>
      <c r="AA61" s="1076">
        <f>'Rev and COGS'!AU39</f>
        <v>56119</v>
      </c>
      <c r="AB61" s="1076">
        <f>'Rev and COGS'!AV39</f>
        <v>95398.7</v>
      </c>
      <c r="AC61" s="1076">
        <f>'Rev and COGS'!AW39</f>
        <v>116742.63</v>
      </c>
      <c r="AD61" s="1076">
        <f>'Rev and COGS'!AX39</f>
        <v>92519.91</v>
      </c>
      <c r="AE61" s="1155">
        <f>'Rev and COGS'!AY39</f>
        <v>177036</v>
      </c>
      <c r="AF61" s="1155"/>
      <c r="AG61" s="1155"/>
      <c r="AH61" s="1155"/>
      <c r="AI61" s="1155"/>
      <c r="AJ61" s="1155"/>
      <c r="AK61" s="1155"/>
      <c r="AL61" s="1155"/>
      <c r="AM61" s="1155"/>
      <c r="AN61" s="1155"/>
      <c r="AO61" s="1155"/>
      <c r="AP61" s="649"/>
      <c r="AQ61" s="649"/>
      <c r="AR61" s="618"/>
      <c r="AS61" s="649"/>
      <c r="AT61" s="649"/>
      <c r="AU61" s="649"/>
      <c r="AV61" s="649"/>
      <c r="AW61" s="649"/>
      <c r="AX61" s="649"/>
      <c r="AY61" s="649"/>
      <c r="AZ61" s="649"/>
      <c r="BA61" s="649"/>
      <c r="BB61" s="649"/>
      <c r="BC61" s="649"/>
      <c r="BE61" s="1184">
        <f t="shared" si="95"/>
        <v>-470912.45000000007</v>
      </c>
      <c r="BF61" s="1240">
        <f t="shared" si="96"/>
        <v>0</v>
      </c>
      <c r="BG61" s="1184">
        <f t="shared" si="97"/>
        <v>-197532.28000000003</v>
      </c>
    </row>
    <row r="62" spans="1:61" s="79" customFormat="1" ht="15.75" hidden="1" customHeight="1" x14ac:dyDescent="0.3">
      <c r="A62" s="76"/>
      <c r="B62" s="76"/>
      <c r="C62" s="57" t="s">
        <v>190</v>
      </c>
      <c r="D62" s="76"/>
      <c r="E62" s="59"/>
      <c r="F62" s="909"/>
      <c r="G62" s="61"/>
      <c r="H62" s="622">
        <f>'Rev and COGS'!E44</f>
        <v>1829.44</v>
      </c>
      <c r="I62" s="649">
        <f>'Rev and COGS'!H44</f>
        <v>1829.44</v>
      </c>
      <c r="J62" s="649">
        <f>'Rev and COGS'!K44</f>
        <v>1829.44</v>
      </c>
      <c r="K62" s="649">
        <f>'Rev and COGS'!N44</f>
        <v>1829.44</v>
      </c>
      <c r="L62" s="649">
        <f>'Rev and COGS'!Q44</f>
        <v>1829.4599999999989</v>
      </c>
      <c r="M62" s="649">
        <f>'Rev and COGS'!T44</f>
        <v>1829.4600000000009</v>
      </c>
      <c r="N62" s="649">
        <f>'Rev and COGS'!W44</f>
        <v>1829.46</v>
      </c>
      <c r="O62" s="649">
        <f>'Rev and COGS'!Z44</f>
        <v>1829.4600000000009</v>
      </c>
      <c r="P62" s="649">
        <f>'Rev and COGS'!AC44</f>
        <v>1829.4600000000009</v>
      </c>
      <c r="Q62" s="649">
        <f>'Rev and COGS'!AF44</f>
        <v>1829.4599999999989</v>
      </c>
      <c r="R62" s="649">
        <f>'Rev and COGS'!AI44</f>
        <v>1829.4599999999989</v>
      </c>
      <c r="S62" s="649">
        <f>'Rev and COGS'!AL44</f>
        <v>1829.4599999999989</v>
      </c>
      <c r="T62" s="924">
        <f>'Rev and COGS'!AN44</f>
        <v>1829.46</v>
      </c>
      <c r="U62" s="924">
        <f>'Rev and COGS'!AO44</f>
        <v>1829.46</v>
      </c>
      <c r="V62" s="924">
        <f>'Rev and COGS'!AP44</f>
        <v>1829.46</v>
      </c>
      <c r="W62" s="924">
        <f>'Rev and COGS'!AQ44</f>
        <v>1829.46</v>
      </c>
      <c r="X62" s="924">
        <f>'Rev and COGS'!AR44</f>
        <v>1829.46</v>
      </c>
      <c r="Y62" s="924">
        <f>'Rev and COGS'!AS44</f>
        <v>1829.46</v>
      </c>
      <c r="Z62" s="1076">
        <f>'Rev and COGS'!AT44</f>
        <v>1829.46</v>
      </c>
      <c r="AA62" s="1076">
        <f>'Rev and COGS'!AU44</f>
        <v>1829.46</v>
      </c>
      <c r="AB62" s="1076">
        <f>'Rev and COGS'!AV44</f>
        <v>1829.46</v>
      </c>
      <c r="AC62" s="1076">
        <f>'Rev and COGS'!AW44</f>
        <v>1829.46</v>
      </c>
      <c r="AD62" s="1076">
        <f>'Rev and COGS'!AX44</f>
        <v>1829.46</v>
      </c>
      <c r="AE62" s="1155">
        <f>'Rev and COGS'!AY44</f>
        <v>1829.46</v>
      </c>
      <c r="AF62" s="1155"/>
      <c r="AG62" s="1155"/>
      <c r="AH62" s="1155"/>
      <c r="AI62" s="1155"/>
      <c r="AJ62" s="1155"/>
      <c r="AK62" s="1155"/>
      <c r="AL62" s="1155"/>
      <c r="AM62" s="1155"/>
      <c r="AN62" s="1155"/>
      <c r="AO62" s="1155"/>
      <c r="AP62" s="649"/>
      <c r="AQ62" s="649"/>
      <c r="AR62" s="618"/>
      <c r="AS62" s="649"/>
      <c r="AT62" s="649"/>
      <c r="AU62" s="649"/>
      <c r="AV62" s="649"/>
      <c r="AW62" s="649"/>
      <c r="AX62" s="649"/>
      <c r="AY62" s="649"/>
      <c r="AZ62" s="649"/>
      <c r="BA62" s="649"/>
      <c r="BB62" s="649"/>
      <c r="BC62" s="649"/>
      <c r="BE62" s="1184">
        <f t="shared" si="95"/>
        <v>21953.519999999993</v>
      </c>
      <c r="BF62" s="1240">
        <f t="shared" si="96"/>
        <v>0</v>
      </c>
      <c r="BG62" s="1184">
        <f t="shared" si="97"/>
        <v>20124.059999999994</v>
      </c>
    </row>
    <row r="63" spans="1:61" s="79" customFormat="1" ht="15.75" hidden="1" customHeight="1" x14ac:dyDescent="0.3">
      <c r="A63" s="76"/>
      <c r="B63" s="76"/>
      <c r="C63" s="57" t="s">
        <v>31</v>
      </c>
      <c r="D63" s="76"/>
      <c r="E63" s="59"/>
      <c r="F63" s="56"/>
      <c r="G63" s="61"/>
      <c r="H63" s="622">
        <f>'Rev and COGS'!E42</f>
        <v>4793.49</v>
      </c>
      <c r="I63" s="649">
        <f>'Rev and COGS'!H42</f>
        <v>33529.22</v>
      </c>
      <c r="J63" s="649">
        <f>'Rev and COGS'!K42</f>
        <v>27351.1</v>
      </c>
      <c r="K63" s="649">
        <f>'Rev and COGS'!N42</f>
        <v>38847.490000000013</v>
      </c>
      <c r="L63" s="649">
        <f>'Rev and COGS'!Q42</f>
        <v>34246.489999999983</v>
      </c>
      <c r="M63" s="649">
        <f>'Rev and COGS'!T42</f>
        <v>44146.710000000021</v>
      </c>
      <c r="N63" s="649">
        <f>'Rev and COGS'!W42</f>
        <v>38343.53</v>
      </c>
      <c r="O63" s="649">
        <f>'Rev and COGS'!Z42</f>
        <v>35020.199999999983</v>
      </c>
      <c r="P63" s="649">
        <f>'Rev and COGS'!AC42</f>
        <v>40138.079999999987</v>
      </c>
      <c r="Q63" s="649">
        <f>'Rev and COGS'!AF42</f>
        <v>27527.679999999989</v>
      </c>
      <c r="R63" s="649">
        <f>'Rev and COGS'!AI42</f>
        <v>27797.950000000012</v>
      </c>
      <c r="S63" s="649">
        <f>'Rev and COGS'!AL42</f>
        <v>64208.340000000033</v>
      </c>
      <c r="T63" s="924">
        <f>'Rev and COGS'!AN42</f>
        <v>18665.11</v>
      </c>
      <c r="U63" s="924">
        <f>'Rev and COGS'!AO42</f>
        <v>22417.09</v>
      </c>
      <c r="V63" s="924">
        <f>'Rev and COGS'!AP42</f>
        <v>68209.09</v>
      </c>
      <c r="W63" s="924">
        <f>'Rev and COGS'!AQ42</f>
        <v>48598.25</v>
      </c>
      <c r="X63" s="924">
        <f>'Rev and COGS'!AR42</f>
        <v>58385.5</v>
      </c>
      <c r="Y63" s="924">
        <f>'Rev and COGS'!AS42</f>
        <v>57553.63</v>
      </c>
      <c r="Z63" s="1076">
        <f>'Rev and COGS'!AT42</f>
        <v>44239.64</v>
      </c>
      <c r="AA63" s="1076">
        <f>'Rev and COGS'!AU42</f>
        <v>49574.39</v>
      </c>
      <c r="AB63" s="1076">
        <f>'Rev and COGS'!AV42</f>
        <v>41127.1</v>
      </c>
      <c r="AC63" s="1076">
        <f>'Rev and COGS'!AW42</f>
        <v>23927.35</v>
      </c>
      <c r="AD63" s="1076">
        <f>'Rev and COGS'!AX42</f>
        <v>9887.14</v>
      </c>
      <c r="AE63" s="1155">
        <f>'Rev and COGS'!AY42</f>
        <v>40977.519999999997</v>
      </c>
      <c r="AF63" s="1155"/>
      <c r="AG63" s="1155"/>
      <c r="AH63" s="1155"/>
      <c r="AI63" s="1155"/>
      <c r="AJ63" s="1155"/>
      <c r="AK63" s="1155"/>
      <c r="AL63" s="1155"/>
      <c r="AM63" s="1155"/>
      <c r="AN63" s="1155"/>
      <c r="AO63" s="1155"/>
      <c r="AP63" s="649"/>
      <c r="AQ63" s="649"/>
      <c r="AR63" s="618"/>
      <c r="AS63" s="649"/>
      <c r="AT63" s="649"/>
      <c r="AU63" s="649"/>
      <c r="AV63" s="649"/>
      <c r="AW63" s="649"/>
      <c r="AX63" s="649"/>
      <c r="AY63" s="649"/>
      <c r="AZ63" s="649"/>
      <c r="BA63" s="649"/>
      <c r="BB63" s="649"/>
      <c r="BC63" s="649"/>
      <c r="BE63" s="1184">
        <f t="shared" si="95"/>
        <v>483561.81</v>
      </c>
      <c r="BF63" s="1240">
        <f t="shared" si="96"/>
        <v>0</v>
      </c>
      <c r="BG63" s="1184">
        <f t="shared" si="97"/>
        <v>464896.7</v>
      </c>
    </row>
    <row r="64" spans="1:61" s="79" customFormat="1" ht="15.75" hidden="1" customHeight="1" x14ac:dyDescent="0.3">
      <c r="A64" s="76"/>
      <c r="B64" s="76"/>
      <c r="C64" s="57" t="s">
        <v>30</v>
      </c>
      <c r="D64" s="76"/>
      <c r="E64" s="59"/>
      <c r="F64" s="909"/>
      <c r="G64" s="61"/>
      <c r="H64" s="622">
        <f>'Rev and COGS'!E43</f>
        <v>689.95</v>
      </c>
      <c r="I64" s="649">
        <f>'Rev and COGS'!H43</f>
        <v>16979.96</v>
      </c>
      <c r="J64" s="649">
        <f>'Rev and COGS'!K43</f>
        <v>12417.87</v>
      </c>
      <c r="K64" s="649">
        <f>'Rev and COGS'!N43</f>
        <v>12622.95</v>
      </c>
      <c r="L64" s="649">
        <f>'Rev and COGS'!Q43</f>
        <v>10087.84</v>
      </c>
      <c r="M64" s="649">
        <f>'Rev and COGS'!T43</f>
        <v>9079.11</v>
      </c>
      <c r="N64" s="649">
        <f>'Rev and COGS'!W43</f>
        <v>7671.8600000000006</v>
      </c>
      <c r="O64" s="649">
        <f>'Rev and COGS'!Z43</f>
        <v>811.66000000000349</v>
      </c>
      <c r="P64" s="649">
        <f>'Rev and COGS'!AC43</f>
        <v>12703.409999999991</v>
      </c>
      <c r="Q64" s="649">
        <f>'Rev and COGS'!AF43</f>
        <v>854.24000000000524</v>
      </c>
      <c r="R64" s="649">
        <f>'Rev and COGS'!AI43</f>
        <v>3745.2100000000059</v>
      </c>
      <c r="S64" s="649">
        <f>'Rev and COGS'!AL43</f>
        <v>2718.610000000001</v>
      </c>
      <c r="T64" s="924">
        <f>'Rev and COGS'!AN43</f>
        <v>3980.78</v>
      </c>
      <c r="U64" s="924">
        <f>'Rev and COGS'!AO43</f>
        <v>4259.12</v>
      </c>
      <c r="V64" s="924">
        <f>'Rev and COGS'!AP43</f>
        <v>2890.75</v>
      </c>
      <c r="W64" s="924">
        <f>'Rev and COGS'!AQ43</f>
        <v>19194.169999999998</v>
      </c>
      <c r="X64" s="924">
        <f>'Rev and COGS'!AR43</f>
        <v>3890.13</v>
      </c>
      <c r="Y64" s="924">
        <f>'Rev and COGS'!AS43</f>
        <v>14138.6</v>
      </c>
      <c r="Z64" s="1076">
        <f>'Rev and COGS'!AT43</f>
        <v>4357.33</v>
      </c>
      <c r="AA64" s="1076">
        <f>'Rev and COGS'!AU43</f>
        <v>6032.14</v>
      </c>
      <c r="AB64" s="1076">
        <f>'Rev and COGS'!AV43</f>
        <v>3828.89</v>
      </c>
      <c r="AC64" s="1076">
        <f>'Rev and COGS'!AW43</f>
        <v>2932.06</v>
      </c>
      <c r="AD64" s="1076">
        <f>'Rev and COGS'!AX43</f>
        <v>2433.67</v>
      </c>
      <c r="AE64" s="1155">
        <f>'Rev and COGS'!AY43</f>
        <v>2582.88</v>
      </c>
      <c r="AF64" s="1155"/>
      <c r="AG64" s="1155"/>
      <c r="AH64" s="1155"/>
      <c r="AI64" s="1155"/>
      <c r="AJ64" s="1155"/>
      <c r="AK64" s="1155"/>
      <c r="AL64" s="1155"/>
      <c r="AM64" s="1155"/>
      <c r="AN64" s="1155"/>
      <c r="AO64" s="1155"/>
      <c r="AP64" s="649"/>
      <c r="AQ64" s="649"/>
      <c r="AR64" s="618"/>
      <c r="AS64" s="649"/>
      <c r="AT64" s="649"/>
      <c r="AU64" s="649"/>
      <c r="AV64" s="649"/>
      <c r="AW64" s="649"/>
      <c r="AX64" s="649"/>
      <c r="AY64" s="649"/>
      <c r="AZ64" s="649"/>
      <c r="BA64" s="649"/>
      <c r="BB64" s="649"/>
      <c r="BC64" s="649"/>
      <c r="BE64" s="1184">
        <f t="shared" si="95"/>
        <v>70520.52</v>
      </c>
      <c r="BF64" s="1240">
        <f t="shared" si="96"/>
        <v>0</v>
      </c>
      <c r="BG64" s="1184">
        <f t="shared" si="97"/>
        <v>66539.739999999991</v>
      </c>
    </row>
    <row r="65" spans="1:59" s="79" customFormat="1" ht="15.75" hidden="1" customHeight="1" x14ac:dyDescent="0.3">
      <c r="A65" s="76"/>
      <c r="B65" s="76"/>
      <c r="C65" s="322" t="s">
        <v>192</v>
      </c>
      <c r="D65" s="323"/>
      <c r="E65" s="324"/>
      <c r="F65" s="910"/>
      <c r="G65" s="325"/>
      <c r="H65" s="622">
        <f>'Rev and COGS'!E64</f>
        <v>6531.6811360000002</v>
      </c>
      <c r="I65" s="649">
        <f>'Rev and COGS'!H64</f>
        <v>16242.18</v>
      </c>
      <c r="J65" s="649">
        <f>'Rev and COGS'!K64</f>
        <v>13473.460000000001</v>
      </c>
      <c r="K65" s="649">
        <f>'Rev and COGS'!N64</f>
        <v>16673.29</v>
      </c>
      <c r="L65" s="649">
        <f>'Rev and COGS'!Q64</f>
        <v>22259.73</v>
      </c>
      <c r="M65" s="629">
        <f>'Rev and COGS'!T64</f>
        <v>90726.009999999937</v>
      </c>
      <c r="N65" s="629">
        <f>'Rev and COGS'!W64</f>
        <v>-66592.08</v>
      </c>
      <c r="O65" s="629">
        <f>'Rev and COGS'!Z64</f>
        <v>54012.250000000022</v>
      </c>
      <c r="P65" s="629">
        <f>'Rev and COGS'!AC64</f>
        <v>46589.909999999923</v>
      </c>
      <c r="Q65" s="629">
        <f>'Rev and COGS'!AF64</f>
        <v>31616.349999999904</v>
      </c>
      <c r="R65" s="629">
        <f>'Rev and COGS'!AI64</f>
        <v>86993.66</v>
      </c>
      <c r="S65" s="629">
        <f>'Rev and COGS'!AL64</f>
        <v>264374.47000000026</v>
      </c>
      <c r="T65" s="925">
        <f>'Rev and COGS'!AN64</f>
        <v>49165.32</v>
      </c>
      <c r="U65" s="925">
        <f>'Rev and COGS'!AO64</f>
        <v>75674.02</v>
      </c>
      <c r="V65" s="925">
        <f>'Rev and COGS'!AP64</f>
        <v>62673.94</v>
      </c>
      <c r="W65" s="925">
        <f>'Rev and COGS'!AQ64</f>
        <v>80610.199999999983</v>
      </c>
      <c r="X65" s="925">
        <f>'Rev and COGS'!AR64</f>
        <v>15959.390000000001</v>
      </c>
      <c r="Y65" s="925">
        <f>'Rev and COGS'!AS64</f>
        <v>74330</v>
      </c>
      <c r="Z65" s="1078">
        <f>'Rev and COGS'!AT64</f>
        <v>119443.40999999999</v>
      </c>
      <c r="AA65" s="1078">
        <f>'Rev and COGS'!AU64</f>
        <v>80740.05</v>
      </c>
      <c r="AB65" s="1078">
        <f>'Rev and COGS'!AV64</f>
        <v>-21605.729999999996</v>
      </c>
      <c r="AC65" s="1078">
        <f>'Rev and COGS'!AW64</f>
        <v>51425.9</v>
      </c>
      <c r="AD65" s="1134">
        <f>'Rev and COGS'!AX64</f>
        <v>50660.08</v>
      </c>
      <c r="AE65" s="1156">
        <f>'Rev and COGS'!AY64</f>
        <v>76719.22</v>
      </c>
      <c r="AF65" s="1156"/>
      <c r="AG65" s="1156"/>
      <c r="AH65" s="1156"/>
      <c r="AI65" s="1156"/>
      <c r="AJ65" s="1156"/>
      <c r="AK65" s="1156"/>
      <c r="AL65" s="1156"/>
      <c r="AM65" s="1156"/>
      <c r="AN65" s="1156"/>
      <c r="AO65" s="1156"/>
      <c r="AP65" s="629"/>
      <c r="AQ65" s="629"/>
      <c r="AR65" s="618"/>
      <c r="AS65" s="629"/>
      <c r="AT65" s="629"/>
      <c r="AU65" s="629"/>
      <c r="AV65" s="629"/>
      <c r="AW65" s="629"/>
      <c r="AX65" s="629"/>
      <c r="AY65" s="629"/>
      <c r="AZ65" s="629"/>
      <c r="BA65" s="629"/>
      <c r="BB65" s="629"/>
      <c r="BC65" s="629"/>
      <c r="BE65" s="1185">
        <f t="shared" si="95"/>
        <v>715795.79999999993</v>
      </c>
      <c r="BF65" s="1548">
        <f t="shared" si="96"/>
        <v>0</v>
      </c>
      <c r="BG65" s="1185">
        <f t="shared" si="97"/>
        <v>666630.48</v>
      </c>
    </row>
    <row r="66" spans="1:59" s="79" customFormat="1" ht="15.75" hidden="1" customHeight="1" x14ac:dyDescent="0.3">
      <c r="A66" s="76"/>
      <c r="B66" s="76"/>
      <c r="C66" s="57" t="s">
        <v>193</v>
      </c>
      <c r="D66" s="76"/>
      <c r="E66" s="59"/>
      <c r="F66" s="911"/>
      <c r="G66" s="61"/>
      <c r="H66" s="623">
        <v>-15421.25</v>
      </c>
      <c r="I66" s="623">
        <v>-29331.11</v>
      </c>
      <c r="J66" s="623">
        <v>-65138.02</v>
      </c>
      <c r="K66" s="623">
        <v>-54247.199999999997</v>
      </c>
      <c r="L66" s="623">
        <v>-49881.35</v>
      </c>
      <c r="M66" s="665">
        <v>-51761.990000000034</v>
      </c>
      <c r="N66" s="665">
        <v>-49294.5</v>
      </c>
      <c r="O66" s="665">
        <v>-49728.649999999972</v>
      </c>
      <c r="P66" s="665">
        <v>-79312.31</v>
      </c>
      <c r="Q66" s="665">
        <v>-54070.070000000007</v>
      </c>
      <c r="R66" s="665">
        <v>-72263.88</v>
      </c>
      <c r="S66" s="665">
        <v>-67556.050000000017</v>
      </c>
      <c r="T66" s="924">
        <f>'MXD P&amp;L'!B47</f>
        <v>-67852.66</v>
      </c>
      <c r="U66" s="924">
        <f>'MXD P&amp;L'!C47</f>
        <v>-56919.83</v>
      </c>
      <c r="V66" s="924">
        <f>'MXD P&amp;L'!D47</f>
        <v>-85872.45</v>
      </c>
      <c r="W66" s="924">
        <f>'MXD P&amp;L'!E47</f>
        <v>-113191.46</v>
      </c>
      <c r="X66" s="924">
        <f>'MXD P&amp;L'!F47</f>
        <v>-60572.78</v>
      </c>
      <c r="Y66" s="924">
        <f>'MXD P&amp;L'!G47</f>
        <v>-133027.82</v>
      </c>
      <c r="Z66" s="1076">
        <f>'MXD P&amp;L'!H47</f>
        <v>-41742.06</v>
      </c>
      <c r="AA66" s="1076">
        <f>'MXD P&amp;L'!I47</f>
        <v>-100916.68</v>
      </c>
      <c r="AB66" s="1076">
        <f>'MXD P&amp;L'!J47</f>
        <v>-95151.83</v>
      </c>
      <c r="AC66" s="1076">
        <f>'MXD P&amp;L'!K47</f>
        <v>-66526.45</v>
      </c>
      <c r="AD66" s="1076">
        <f>'MXD P&amp;L'!L47</f>
        <v>-57129.62</v>
      </c>
      <c r="AE66" s="1155">
        <f>'MXD P&amp;L'!M47</f>
        <v>-94360.45</v>
      </c>
      <c r="AF66" s="1155"/>
      <c r="AG66" s="1155"/>
      <c r="AH66" s="1155"/>
      <c r="AI66" s="1155"/>
      <c r="AJ66" s="1155"/>
      <c r="AK66" s="1155"/>
      <c r="AL66" s="1155"/>
      <c r="AM66" s="1155"/>
      <c r="AN66" s="1155"/>
      <c r="AO66" s="1155"/>
      <c r="AP66" s="665"/>
      <c r="AQ66" s="665"/>
      <c r="AR66" s="623"/>
      <c r="AS66" s="665"/>
      <c r="AT66" s="665"/>
      <c r="AU66" s="665"/>
      <c r="AV66" s="665"/>
      <c r="AW66" s="665"/>
      <c r="AX66" s="665"/>
      <c r="AY66" s="665"/>
      <c r="AZ66" s="665"/>
      <c r="BA66" s="665"/>
      <c r="BB66" s="665"/>
      <c r="BC66" s="665"/>
      <c r="BE66" s="1188">
        <f t="shared" si="95"/>
        <v>-973264.08999999985</v>
      </c>
      <c r="BF66" s="1240">
        <f t="shared" si="96"/>
        <v>0</v>
      </c>
      <c r="BG66" s="1188">
        <f t="shared" si="97"/>
        <v>-905411.42999999993</v>
      </c>
    </row>
    <row r="67" spans="1:59" s="79" customFormat="1" ht="15.75" hidden="1" customHeight="1" x14ac:dyDescent="0.3">
      <c r="A67" s="76"/>
      <c r="B67" s="76"/>
      <c r="C67" s="57" t="s">
        <v>195</v>
      </c>
      <c r="D67" s="76"/>
      <c r="E67" s="59"/>
      <c r="F67" s="911"/>
      <c r="G67" s="61"/>
      <c r="H67" s="618">
        <f>Operations!E59</f>
        <v>57228.939999999995</v>
      </c>
      <c r="I67" s="629">
        <f>Operations!H59</f>
        <v>76306.989999999991</v>
      </c>
      <c r="J67" s="629">
        <f>Operations!K59</f>
        <v>92616.12000000001</v>
      </c>
      <c r="K67" s="629">
        <f>Operations!N59</f>
        <v>89766.289999999979</v>
      </c>
      <c r="L67" s="629">
        <f>Operations!Q59</f>
        <v>95313.010000000009</v>
      </c>
      <c r="M67" s="629">
        <f>Operations!T59</f>
        <v>98658.12000000001</v>
      </c>
      <c r="N67" s="629">
        <f>Operations!W59</f>
        <v>113942.72999999998</v>
      </c>
      <c r="O67" s="629">
        <f>Operations!Z59</f>
        <v>99831.070000000123</v>
      </c>
      <c r="P67" s="629">
        <f>Operations!AC59</f>
        <v>102419.29999999992</v>
      </c>
      <c r="Q67" s="629">
        <f>Operations!AF59</f>
        <v>111979.25000000012</v>
      </c>
      <c r="R67" s="629">
        <f>Operations!AI59</f>
        <v>108807.15999999989</v>
      </c>
      <c r="S67" s="629">
        <f>Operations!AL59</f>
        <v>131946.1699999999</v>
      </c>
      <c r="T67" s="924">
        <f>Operations!AN59</f>
        <v>99949.81</v>
      </c>
      <c r="U67" s="924">
        <f>Operations!AO59</f>
        <v>125463.94</v>
      </c>
      <c r="V67" s="924">
        <f>Operations!AP59</f>
        <v>139053.50999999998</v>
      </c>
      <c r="W67" s="924">
        <f>Operations!AQ59</f>
        <v>107492.19999999998</v>
      </c>
      <c r="X67" s="924">
        <f>Operations!AR59</f>
        <v>130789.35</v>
      </c>
      <c r="Y67" s="924">
        <f>Operations!AS59</f>
        <v>114976.48</v>
      </c>
      <c r="Z67" s="1076">
        <f>Operations!AT59</f>
        <v>100559.87</v>
      </c>
      <c r="AA67" s="1076">
        <f>Operations!AU59</f>
        <v>96996.02</v>
      </c>
      <c r="AB67" s="1076">
        <f>Operations!AV59</f>
        <v>107917.35999999999</v>
      </c>
      <c r="AC67" s="1076">
        <f>Operations!AW59</f>
        <v>95299.7</v>
      </c>
      <c r="AD67" s="1076">
        <f>Operations!AX59</f>
        <v>79977.089999999982</v>
      </c>
      <c r="AE67" s="1155">
        <f>Operations!AY59</f>
        <v>101487.48000000001</v>
      </c>
      <c r="AF67" s="1155"/>
      <c r="AG67" s="1155"/>
      <c r="AH67" s="1155"/>
      <c r="AI67" s="1155"/>
      <c r="AJ67" s="1155"/>
      <c r="AK67" s="1155"/>
      <c r="AL67" s="1155"/>
      <c r="AM67" s="1155"/>
      <c r="AN67" s="1155"/>
      <c r="AO67" s="1155"/>
      <c r="AP67" s="629"/>
      <c r="AQ67" s="629"/>
      <c r="AR67" s="618"/>
      <c r="AS67" s="629"/>
      <c r="AT67" s="629"/>
      <c r="AU67" s="629"/>
      <c r="AV67" s="629"/>
      <c r="AW67" s="629"/>
      <c r="AX67" s="629"/>
      <c r="AY67" s="629"/>
      <c r="AZ67" s="629"/>
      <c r="BA67" s="629"/>
      <c r="BB67" s="629"/>
      <c r="BC67" s="629"/>
      <c r="BE67" s="1189">
        <f t="shared" si="95"/>
        <v>1299962.81</v>
      </c>
      <c r="BF67" s="1240">
        <f t="shared" si="96"/>
        <v>0</v>
      </c>
      <c r="BG67" s="1189">
        <f t="shared" si="97"/>
        <v>1200012.9999999998</v>
      </c>
    </row>
    <row r="68" spans="1:59" s="79" customFormat="1" ht="15.75" hidden="1" customHeight="1" x14ac:dyDescent="0.3">
      <c r="A68" s="76"/>
      <c r="B68" s="76"/>
      <c r="C68" s="57" t="s">
        <v>196</v>
      </c>
      <c r="D68" s="76"/>
      <c r="E68" s="59"/>
      <c r="F68" s="56"/>
      <c r="G68" s="61"/>
      <c r="H68" s="618"/>
      <c r="I68" s="629"/>
      <c r="J68" s="629"/>
      <c r="K68" s="629"/>
      <c r="L68" s="629"/>
      <c r="M68" s="629"/>
      <c r="N68" s="629"/>
      <c r="O68" s="629"/>
      <c r="P68" s="629"/>
      <c r="Q68" s="629"/>
      <c r="R68" s="629"/>
      <c r="S68" s="629"/>
      <c r="T68" s="924"/>
      <c r="U68" s="924"/>
      <c r="V68" s="924"/>
      <c r="W68" s="924"/>
      <c r="X68" s="924"/>
      <c r="Y68" s="924"/>
      <c r="Z68" s="1076"/>
      <c r="AA68" s="1076"/>
      <c r="AB68" s="1076"/>
      <c r="AC68" s="1076"/>
      <c r="AD68" s="1076"/>
      <c r="AE68" s="1155"/>
      <c r="AF68" s="1155"/>
      <c r="AG68" s="1155"/>
      <c r="AH68" s="1155"/>
      <c r="AI68" s="1155"/>
      <c r="AJ68" s="1155"/>
      <c r="AK68" s="1155"/>
      <c r="AL68" s="1155"/>
      <c r="AM68" s="1155"/>
      <c r="AN68" s="1155"/>
      <c r="AO68" s="1155"/>
      <c r="AP68" s="629"/>
      <c r="AQ68" s="629"/>
      <c r="AR68" s="618"/>
      <c r="AS68" s="629"/>
      <c r="AT68" s="629"/>
      <c r="AU68" s="629"/>
      <c r="AV68" s="629"/>
      <c r="AW68" s="629"/>
      <c r="AX68" s="629"/>
      <c r="AY68" s="629"/>
      <c r="AZ68" s="629"/>
      <c r="BA68" s="629"/>
      <c r="BB68" s="629"/>
      <c r="BC68" s="629"/>
      <c r="BE68" s="1189">
        <f t="shared" si="95"/>
        <v>0</v>
      </c>
      <c r="BF68" s="1240">
        <f t="shared" si="96"/>
        <v>0</v>
      </c>
      <c r="BG68" s="1189">
        <f t="shared" si="97"/>
        <v>0</v>
      </c>
    </row>
    <row r="69" spans="1:59" s="79" customFormat="1" ht="15.75" hidden="1" customHeight="1" x14ac:dyDescent="0.3">
      <c r="A69" s="76"/>
      <c r="B69" s="76"/>
      <c r="C69" s="57" t="s">
        <v>197</v>
      </c>
      <c r="D69" s="76"/>
      <c r="E69" s="59"/>
      <c r="F69" s="59"/>
      <c r="G69" s="61"/>
      <c r="H69" s="618">
        <v>-31309.8</v>
      </c>
      <c r="I69" s="629">
        <v>-59551.039999999994</v>
      </c>
      <c r="J69" s="629">
        <v>-132171.86000000002</v>
      </c>
      <c r="K69" s="629">
        <v>-110138.24000000001</v>
      </c>
      <c r="L69" s="629">
        <v>-101274.28</v>
      </c>
      <c r="M69" s="629">
        <v>-105092.51999999999</v>
      </c>
      <c r="N69" s="629">
        <v>-100082.78</v>
      </c>
      <c r="O69" s="629">
        <v>-100964.23</v>
      </c>
      <c r="P69" s="629">
        <v>-161028.01999999999</v>
      </c>
      <c r="Q69" s="629">
        <v>-109778.6299999999</v>
      </c>
      <c r="R69" s="629">
        <v>-146717.57000000009</v>
      </c>
      <c r="S69" s="629">
        <v>-137159.26</v>
      </c>
      <c r="T69" s="924">
        <f>'MXD P&amp;L'!B55</f>
        <v>-137761.45000000001</v>
      </c>
      <c r="U69" s="924">
        <f>'MXD P&amp;L'!C55</f>
        <v>-115564.5</v>
      </c>
      <c r="V69" s="924">
        <f>'MXD P&amp;L'!D55</f>
        <v>-174347.09</v>
      </c>
      <c r="W69" s="924">
        <f>'MXD P&amp;L'!E55</f>
        <v>-229812.97</v>
      </c>
      <c r="X69" s="924">
        <f>'MXD P&amp;L'!F55</f>
        <v>-122981.09</v>
      </c>
      <c r="Y69" s="924">
        <f>'MXD P&amp;L'!G55</f>
        <v>-270086.8</v>
      </c>
      <c r="Z69" s="1076">
        <f>'MXD P&amp;L'!H55</f>
        <v>-84749.04</v>
      </c>
      <c r="AA69" s="1076">
        <f>'MXD P&amp;L'!I55</f>
        <v>-204891.43</v>
      </c>
      <c r="AB69" s="1076">
        <f>'MXD P&amp;L'!J55</f>
        <v>-193187.05</v>
      </c>
      <c r="AC69" s="1076">
        <f>'MXD P&amp;L'!K55</f>
        <v>-135068.84</v>
      </c>
      <c r="AD69" s="1076">
        <f>'MXD P&amp;L'!L55</f>
        <v>-115990.45</v>
      </c>
      <c r="AE69" s="1155">
        <f>'MXD P&amp;L'!M55</f>
        <v>-203148.92</v>
      </c>
      <c r="AF69" s="1155"/>
      <c r="AG69" s="1155"/>
      <c r="AH69" s="1155"/>
      <c r="AI69" s="1155"/>
      <c r="AJ69" s="1155"/>
      <c r="AK69" s="1155"/>
      <c r="AL69" s="1155"/>
      <c r="AM69" s="1155"/>
      <c r="AN69" s="1155"/>
      <c r="AO69" s="1155"/>
      <c r="AP69" s="629"/>
      <c r="AQ69" s="629"/>
      <c r="AR69" s="618"/>
      <c r="AS69" s="629"/>
      <c r="AT69" s="629"/>
      <c r="AU69" s="629"/>
      <c r="AV69" s="629"/>
      <c r="AW69" s="629"/>
      <c r="AX69" s="629"/>
      <c r="AY69" s="629"/>
      <c r="AZ69" s="629"/>
      <c r="BA69" s="629"/>
      <c r="BB69" s="629"/>
      <c r="BC69" s="629"/>
      <c r="BE69" s="1189">
        <f t="shared" si="95"/>
        <v>-1987589.63</v>
      </c>
      <c r="BF69" s="1240">
        <f t="shared" si="96"/>
        <v>0</v>
      </c>
      <c r="BG69" s="1189">
        <f t="shared" si="97"/>
        <v>-1849828.18</v>
      </c>
    </row>
    <row r="70" spans="1:59" s="79" customFormat="1" ht="15.75" hidden="1" customHeight="1" x14ac:dyDescent="0.3">
      <c r="A70" s="76"/>
      <c r="B70" s="76"/>
      <c r="C70" s="64" t="s">
        <v>198</v>
      </c>
      <c r="D70" s="64"/>
      <c r="E70" s="82"/>
      <c r="F70" s="82"/>
      <c r="G70" s="66"/>
      <c r="H70" s="619">
        <f>Operations!E33+Operations!E47+Operations!E84</f>
        <v>109405.25</v>
      </c>
      <c r="I70" s="648">
        <f>Operations!H33+Operations!H47+Operations!H84</f>
        <v>158306.84629999998</v>
      </c>
      <c r="J70" s="648">
        <f>Operations!K33+Operations!K47+Operations!K84</f>
        <v>153127.42000000001</v>
      </c>
      <c r="K70" s="648">
        <f>Operations!N33+Operations!N47+Operations!N84</f>
        <v>154477.48000000001</v>
      </c>
      <c r="L70" s="648">
        <f>Operations!Q33+Operations!Q47+Operations!Q84</f>
        <v>177511.91999999998</v>
      </c>
      <c r="M70" s="648">
        <f>Operations!T33+Operations!T47+Operations!T84</f>
        <v>146884.01</v>
      </c>
      <c r="N70" s="648">
        <f>Operations!W33+Operations!W47+Operations!W84</f>
        <v>160981.27000000002</v>
      </c>
      <c r="O70" s="648">
        <f>Operations!Z33+Operations!Z47+Operations!Z84</f>
        <v>168456.85</v>
      </c>
      <c r="P70" s="648">
        <f>Operations!AC33+Operations!AC47+Operations!AC84</f>
        <v>160852.44000000003</v>
      </c>
      <c r="Q70" s="648">
        <f>Operations!AF33+Operations!AF47+Operations!AF84</f>
        <v>185548.33999999991</v>
      </c>
      <c r="R70" s="648">
        <f>Operations!AI33+Operations!AI47+Operations!AI84</f>
        <v>171203.73</v>
      </c>
      <c r="S70" s="648">
        <f>Operations!AL33+Operations!AL47+Operations!AL84</f>
        <v>191144.53999999998</v>
      </c>
      <c r="T70" s="925">
        <f>Operations!AN33+Operations!AN47+Operations!AN84</f>
        <v>173383.34000000003</v>
      </c>
      <c r="U70" s="925">
        <f>Operations!AO33+Operations!AO47+Operations!AO84</f>
        <v>232943.65999999997</v>
      </c>
      <c r="V70" s="925">
        <f>Operations!AP33+Operations!AP47+Operations!AP84</f>
        <v>226833.93</v>
      </c>
      <c r="W70" s="925">
        <f>Operations!AQ33+Operations!AQ47+Operations!AQ84</f>
        <v>219900.46000000002</v>
      </c>
      <c r="X70" s="925">
        <f>Operations!AR33+Operations!AR47+Operations!AR84</f>
        <v>191775.14</v>
      </c>
      <c r="Y70" s="925">
        <f>Operations!AS33+Operations!AS47+Operations!AS84</f>
        <v>202295.81000000003</v>
      </c>
      <c r="Z70" s="1078">
        <f>Operations!AT33+Operations!AT47+Operations!AT84</f>
        <v>235560.69999999998</v>
      </c>
      <c r="AA70" s="1078">
        <f>Operations!AU33+Operations!AU47+Operations!AU84</f>
        <v>204227.01</v>
      </c>
      <c r="AB70" s="1078">
        <f>Operations!AV33+Operations!AV47+Operations!AV84</f>
        <v>206706.15000000002</v>
      </c>
      <c r="AC70" s="1078">
        <f>Operations!AW33+Operations!AW47+Operations!AW84</f>
        <v>200141.11999999997</v>
      </c>
      <c r="AD70" s="1134">
        <f>Operations!AX33+Operations!AX47+Operations!AX84</f>
        <v>186923.76</v>
      </c>
      <c r="AE70" s="1156">
        <f>Operations!AY33+Operations!AY47+Operations!AY84</f>
        <v>299161.37</v>
      </c>
      <c r="AF70" s="1156"/>
      <c r="AG70" s="1156"/>
      <c r="AH70" s="1156"/>
      <c r="AI70" s="1156"/>
      <c r="AJ70" s="1156"/>
      <c r="AK70" s="1156"/>
      <c r="AL70" s="1156"/>
      <c r="AM70" s="1156"/>
      <c r="AN70" s="1156"/>
      <c r="AO70" s="1156"/>
      <c r="AP70" s="648"/>
      <c r="AQ70" s="648"/>
      <c r="AR70" s="1416"/>
      <c r="AS70" s="648"/>
      <c r="AT70" s="648"/>
      <c r="AU70" s="648"/>
      <c r="AV70" s="648"/>
      <c r="AW70" s="648"/>
      <c r="AX70" s="648"/>
      <c r="AY70" s="648"/>
      <c r="AZ70" s="648"/>
      <c r="BA70" s="648"/>
      <c r="BB70" s="648"/>
      <c r="BC70" s="648"/>
      <c r="BE70" s="1190">
        <f t="shared" si="95"/>
        <v>2579852.4499999997</v>
      </c>
      <c r="BF70" s="1548">
        <f t="shared" si="96"/>
        <v>0</v>
      </c>
      <c r="BG70" s="1190">
        <f t="shared" si="97"/>
        <v>2406469.11</v>
      </c>
    </row>
    <row r="71" spans="1:59" s="79" customFormat="1" ht="15.75" customHeight="1" x14ac:dyDescent="0.3">
      <c r="A71" s="76"/>
      <c r="B71" s="76"/>
      <c r="C71" s="1333" t="s">
        <v>1292</v>
      </c>
      <c r="D71" s="57"/>
      <c r="E71" s="59"/>
      <c r="F71" s="59"/>
      <c r="G71" s="62"/>
      <c r="H71" s="629"/>
      <c r="I71" s="629"/>
      <c r="J71" s="629"/>
      <c r="K71" s="629"/>
      <c r="L71" s="629"/>
      <c r="M71" s="629"/>
      <c r="N71" s="629"/>
      <c r="O71" s="629"/>
      <c r="P71" s="629"/>
      <c r="Q71" s="629"/>
      <c r="R71" s="629"/>
      <c r="S71" s="629"/>
      <c r="T71" s="924"/>
      <c r="U71" s="924"/>
      <c r="V71" s="924"/>
      <c r="W71" s="924"/>
      <c r="X71" s="924"/>
      <c r="Y71" s="924"/>
      <c r="Z71" s="1076"/>
      <c r="AA71" s="1076"/>
      <c r="AB71" s="1076"/>
      <c r="AC71" s="1076"/>
      <c r="AD71" s="1076"/>
      <c r="AE71" s="1155"/>
      <c r="AF71" s="1155">
        <f>'MXD P&amp;L'!N102</f>
        <v>748488.55</v>
      </c>
      <c r="AG71" s="1155">
        <f>'MXD P&amp;L'!O102</f>
        <v>730396.25</v>
      </c>
      <c r="AH71" s="1155">
        <f>'MXD P&amp;L'!P102</f>
        <v>1182114.1399999999</v>
      </c>
      <c r="AI71" s="1155">
        <f>'MXD P&amp;L'!Q102</f>
        <v>877560.95</v>
      </c>
      <c r="AJ71" s="1155">
        <f>'MXD P&amp;L'!R102</f>
        <v>378572.51</v>
      </c>
      <c r="AK71" s="1155">
        <f>'MXD P&amp;L'!S102</f>
        <v>877858.61</v>
      </c>
      <c r="AL71" s="1155">
        <f>'MXD P&amp;L'!T102</f>
        <v>668064.66</v>
      </c>
      <c r="AM71" s="1155">
        <f>'MXD P&amp;L'!U102</f>
        <v>462295.43</v>
      </c>
      <c r="AN71" s="1155">
        <f>'MXD P&amp;L'!V102</f>
        <v>623858.86</v>
      </c>
      <c r="AO71" s="1155">
        <f>'MXD P&amp;L'!W102</f>
        <v>975748.43</v>
      </c>
      <c r="AP71" s="629">
        <f>SUM($AM$71:AO71)/SUM($AM$47:AO47)*AP47</f>
        <v>843375.48248304916</v>
      </c>
      <c r="AQ71" s="629">
        <f>SUM($AM$71:AP71)/SUM($AM$47:AP47)*AQ47</f>
        <v>986691.26387719763</v>
      </c>
      <c r="AR71" s="618">
        <f>SUM($AM$71:AQ71)/SUM($AM$47:AQ47)*AR47</f>
        <v>934615.89161701209</v>
      </c>
      <c r="AS71" s="629">
        <f>SUM($AM$71:AR71)/SUM($AM$47:AR47)*AS47</f>
        <v>934615.89161701198</v>
      </c>
      <c r="AT71" s="629">
        <f>SUM($AM$71:AS71)/SUM($AM$47:AS47)*AT47</f>
        <v>934615.89161701209</v>
      </c>
      <c r="AU71" s="629">
        <f>SUM($AM$71:AT71)/SUM($AM$47:AT47)*AU47</f>
        <v>934615.89161701209</v>
      </c>
      <c r="AV71" s="629">
        <f>SUM($AM$71:AU71)/SUM($AM$47:AU47)*AV47</f>
        <v>934615.89161701209</v>
      </c>
      <c r="AW71" s="629">
        <f>SUM($AM$71:AV71)/SUM($AM$47:AV47)*AW47</f>
        <v>934615.89161701209</v>
      </c>
      <c r="AX71" s="629">
        <f>SUM($AM$71:AW71)/SUM($AM$47:AW47)*AX47</f>
        <v>934615.89161701209</v>
      </c>
      <c r="AY71" s="629">
        <f>SUM($AM$71:AX71)/SUM($AM$47:AX47)*AY47</f>
        <v>934615.89161701198</v>
      </c>
      <c r="AZ71" s="629">
        <f>SUM($AM$71:AY71)/SUM($AM$47:AY47)*AZ47</f>
        <v>934615.89161701198</v>
      </c>
      <c r="BA71" s="629">
        <f>SUM($AM$71:AZ71)/SUM($AM$47:AZ47)*BA47</f>
        <v>934615.89161701198</v>
      </c>
      <c r="BB71" s="629">
        <f>SUM($AM$71:BA71)/SUM($AM$47:BA47)*BB47</f>
        <v>934615.89161701198</v>
      </c>
      <c r="BC71" s="629">
        <f>SUM($AM$71:BB71)/SUM($AM$47:BB47)*BC47</f>
        <v>934615.89161701198</v>
      </c>
      <c r="BE71" s="1189"/>
      <c r="BF71" s="1240">
        <f t="shared" si="96"/>
        <v>9355025.1363602467</v>
      </c>
      <c r="BG71" s="1189">
        <f>SUM(AR71:BC71)</f>
        <v>11215390.699404143</v>
      </c>
    </row>
    <row r="72" spans="1:59" s="1332" customFormat="1" ht="15.75" customHeight="1" x14ac:dyDescent="0.3">
      <c r="A72" s="1324"/>
      <c r="B72" s="1324"/>
      <c r="C72" s="1325" t="s">
        <v>1176</v>
      </c>
      <c r="D72" s="1325"/>
      <c r="E72" s="1326"/>
      <c r="F72" s="1326"/>
      <c r="G72" s="1327"/>
      <c r="H72" s="1327"/>
      <c r="I72" s="1327"/>
      <c r="J72" s="1327"/>
      <c r="K72" s="1327"/>
      <c r="L72" s="1327"/>
      <c r="M72" s="1327"/>
      <c r="N72" s="1327"/>
      <c r="O72" s="1327"/>
      <c r="P72" s="1327"/>
      <c r="Q72" s="1327"/>
      <c r="R72" s="1327"/>
      <c r="S72" s="1327"/>
      <c r="T72" s="1328"/>
      <c r="U72" s="1328"/>
      <c r="V72" s="1328"/>
      <c r="W72" s="1328"/>
      <c r="X72" s="1328"/>
      <c r="Y72" s="1328"/>
      <c r="Z72" s="1329"/>
      <c r="AA72" s="1329"/>
      <c r="AB72" s="1329"/>
      <c r="AC72" s="1329"/>
      <c r="AD72" s="1329"/>
      <c r="AE72" s="1330"/>
      <c r="AF72" s="1330"/>
      <c r="AG72" s="1330"/>
      <c r="AH72" s="1330"/>
      <c r="AI72" s="1330"/>
      <c r="AJ72" s="1330"/>
      <c r="AK72" s="1330">
        <f>'HEC Financials'!AZ12</f>
        <v>242738.7</v>
      </c>
      <c r="AL72" s="1330">
        <f>'HEC Financials'!BA12</f>
        <v>196045.46</v>
      </c>
      <c r="AM72" s="1330">
        <f>'HEC Financials'!BB12</f>
        <v>382459.89</v>
      </c>
      <c r="AN72" s="1330">
        <f>'HEC Financials'!BC12</f>
        <v>457992.78</v>
      </c>
      <c r="AO72" s="1330">
        <f>'HEC Financials'!BD12</f>
        <v>459623.32</v>
      </c>
      <c r="AP72" s="1327">
        <f>SUM($AM$71:AO72)/SUM($AM$47:AO48)*AP48</f>
        <v>529512.74716596806</v>
      </c>
      <c r="AQ72" s="1327">
        <f>SUM($AM$71:AP72)/SUM($AM$47:AP48)*AQ48</f>
        <v>551705.40798215428</v>
      </c>
      <c r="AR72" s="1328">
        <f>SUM($AM$71:AQ72)/SUM($AM$47:AQ48)*AR48</f>
        <v>525059.61038544192</v>
      </c>
      <c r="AS72" s="1327">
        <f>SUM($AM$71:AR72)/SUM($AM$47:AR48)*AS48</f>
        <v>526672.88997582777</v>
      </c>
      <c r="AT72" s="1327">
        <f>SUM($AM$71:AS72)/SUM($AM$47:AS48)*AT48</f>
        <v>527872.15820542071</v>
      </c>
      <c r="AU72" s="1327">
        <f>SUM($AM$71:AT72)/SUM($AM$47:AT48)*AU48</f>
        <v>528805.42868026334</v>
      </c>
      <c r="AV72" s="1327">
        <f>SUM($AM$71:AU72)/SUM($AM$47:AU48)*AV48</f>
        <v>529556.43495878449</v>
      </c>
      <c r="AW72" s="1327">
        <f>SUM($AM$71:AV72)/SUM($AM$47:AV48)*AW48</f>
        <v>530176.42789121158</v>
      </c>
      <c r="AX72" s="1327">
        <f>SUM($AM$71:AW72)/SUM($AM$47:AW48)*AX48</f>
        <v>530698.69410842506</v>
      </c>
      <c r="AY72" s="1327">
        <f>SUM($AM$71:AX72)/SUM($AM$47:AX48)*AY48</f>
        <v>531145.87904972874</v>
      </c>
      <c r="AZ72" s="1327">
        <f>SUM($AM$71:AY72)/SUM($AM$47:AY48)*AZ48</f>
        <v>531533.9740804577</v>
      </c>
      <c r="BA72" s="1327">
        <f>SUM($AM$71:AZ72)/SUM($AM$47:AZ48)*BA48</f>
        <v>531874.62319154071</v>
      </c>
      <c r="BB72" s="1327">
        <f>SUM($AM$71:BA72)/SUM($AM$47:BA48)*BB48</f>
        <v>532176.52517358307</v>
      </c>
      <c r="BC72" s="1327">
        <f>SUM($AM$71:BB72)/SUM($AM$47:BB48)*BC48</f>
        <v>532446.32173325622</v>
      </c>
      <c r="BE72" s="1331"/>
      <c r="BF72" s="1329">
        <f t="shared" si="96"/>
        <v>2820078.3051481224</v>
      </c>
      <c r="BG72" s="1331">
        <f>SUM(AR72:BC72)</f>
        <v>6358018.9674339416</v>
      </c>
    </row>
    <row r="73" spans="1:59" s="1332" customFormat="1" ht="15.75" customHeight="1" x14ac:dyDescent="0.3">
      <c r="A73" s="1324"/>
      <c r="B73" s="1324"/>
      <c r="C73" s="1325" t="s">
        <v>1337</v>
      </c>
      <c r="D73" s="1325"/>
      <c r="E73" s="1326"/>
      <c r="F73" s="1326"/>
      <c r="G73" s="1327"/>
      <c r="H73" s="1327"/>
      <c r="I73" s="1327"/>
      <c r="J73" s="1327"/>
      <c r="K73" s="1327"/>
      <c r="L73" s="1327"/>
      <c r="M73" s="1327"/>
      <c r="N73" s="1327"/>
      <c r="O73" s="1327"/>
      <c r="P73" s="1327"/>
      <c r="Q73" s="1327"/>
      <c r="R73" s="1327"/>
      <c r="S73" s="1327"/>
      <c r="T73" s="1328"/>
      <c r="U73" s="1328"/>
      <c r="V73" s="1328"/>
      <c r="W73" s="1328"/>
      <c r="X73" s="1328"/>
      <c r="Y73" s="1328"/>
      <c r="Z73" s="1329"/>
      <c r="AA73" s="1329"/>
      <c r="AB73" s="1329"/>
      <c r="AC73" s="1329"/>
      <c r="AD73" s="1329"/>
      <c r="AE73" s="1330"/>
      <c r="AF73" s="1330"/>
      <c r="AG73" s="1330"/>
      <c r="AH73" s="1330"/>
      <c r="AI73" s="1330"/>
      <c r="AJ73" s="1330"/>
      <c r="AK73" s="1330"/>
      <c r="AL73" s="1330">
        <v>-4000</v>
      </c>
      <c r="AM73" s="1330">
        <f>0.85*AM49</f>
        <v>-102850</v>
      </c>
      <c r="AN73" s="1330">
        <f>0.85*AN49</f>
        <v>-11050</v>
      </c>
      <c r="AO73" s="1330">
        <f>0.85*AO49</f>
        <v>-72435.3</v>
      </c>
      <c r="AP73" s="1327"/>
      <c r="AQ73" s="1327"/>
      <c r="AR73" s="1328"/>
      <c r="AS73" s="1327"/>
      <c r="AT73" s="1327"/>
      <c r="AU73" s="1327"/>
      <c r="AV73" s="1327"/>
      <c r="AW73" s="1327"/>
      <c r="AX73" s="1327"/>
      <c r="AY73" s="1327"/>
      <c r="AZ73" s="1327"/>
      <c r="BA73" s="1327"/>
      <c r="BB73" s="1327"/>
      <c r="BC73" s="1327"/>
      <c r="BE73" s="1331"/>
      <c r="BF73" s="1329"/>
      <c r="BG73" s="1331"/>
    </row>
    <row r="74" spans="1:59" s="1769" customFormat="1" ht="15.75" customHeight="1" x14ac:dyDescent="0.3">
      <c r="A74" s="1499"/>
      <c r="B74" s="1499"/>
      <c r="C74" s="1500" t="s">
        <v>1513</v>
      </c>
      <c r="D74" s="1500"/>
      <c r="E74" s="1768"/>
      <c r="F74" s="1768"/>
      <c r="G74" s="1506"/>
      <c r="H74" s="1506"/>
      <c r="I74" s="1506"/>
      <c r="J74" s="1506"/>
      <c r="K74" s="1506"/>
      <c r="L74" s="1506"/>
      <c r="M74" s="1506"/>
      <c r="N74" s="1506"/>
      <c r="O74" s="1506"/>
      <c r="P74" s="1506"/>
      <c r="Q74" s="1506"/>
      <c r="R74" s="1506"/>
      <c r="S74" s="1506"/>
      <c r="T74" s="1504"/>
      <c r="U74" s="1504"/>
      <c r="V74" s="1504"/>
      <c r="W74" s="1504"/>
      <c r="X74" s="1504"/>
      <c r="Y74" s="1504"/>
      <c r="Z74" s="1505"/>
      <c r="AA74" s="1505"/>
      <c r="AB74" s="1505"/>
      <c r="AC74" s="1505"/>
      <c r="AD74" s="1505"/>
      <c r="AE74" s="1764"/>
      <c r="AF74" s="1764"/>
      <c r="AG74" s="1764"/>
      <c r="AH74" s="1764"/>
      <c r="AI74" s="1764"/>
      <c r="AJ74" s="1764"/>
      <c r="AK74" s="1764"/>
      <c r="AL74" s="1764"/>
      <c r="AM74" s="1764"/>
      <c r="AN74" s="1764"/>
      <c r="AO74" s="1764"/>
      <c r="AP74" s="1506"/>
      <c r="AQ74" s="1506"/>
      <c r="AR74" s="1504">
        <f>'Branch P&amp;L'!BJ16</f>
        <v>0</v>
      </c>
      <c r="AS74" s="1506">
        <f>'Branch P&amp;L'!BK16</f>
        <v>362595.5</v>
      </c>
      <c r="AT74" s="1506">
        <f>'Branch P&amp;L'!BL16</f>
        <v>0</v>
      </c>
      <c r="AU74" s="1506">
        <f>'Branch P&amp;L'!BM16</f>
        <v>329460.8</v>
      </c>
      <c r="AV74" s="1506">
        <f>'Branch P&amp;L'!BN16</f>
        <v>0</v>
      </c>
      <c r="AW74" s="1506">
        <f>'Branch P&amp;L'!BO16</f>
        <v>0</v>
      </c>
      <c r="AX74" s="1506">
        <f>'Branch P&amp;L'!BP16</f>
        <v>0</v>
      </c>
      <c r="AY74" s="1506">
        <f>'Branch P&amp;L'!BQ16</f>
        <v>444960.7</v>
      </c>
      <c r="AZ74" s="1506">
        <f>'Branch P&amp;L'!BR16</f>
        <v>82365.2</v>
      </c>
      <c r="BA74" s="1506">
        <f>'Branch P&amp;L'!BS16</f>
        <v>0</v>
      </c>
      <c r="BB74" s="1506">
        <f>'Branch P&amp;L'!BT16</f>
        <v>0</v>
      </c>
      <c r="BC74" s="1506">
        <f>'Branch P&amp;L'!BU16</f>
        <v>0</v>
      </c>
      <c r="BE74" s="1770"/>
      <c r="BF74" s="1505"/>
      <c r="BG74" s="1770">
        <f>SUM(AR74:BC74)</f>
        <v>1219382.2</v>
      </c>
    </row>
    <row r="75" spans="1:59" s="88" customFormat="1" ht="15.75" customHeight="1" x14ac:dyDescent="0.3">
      <c r="A75" s="83"/>
      <c r="B75" s="83"/>
      <c r="C75" s="84" t="s">
        <v>64</v>
      </c>
      <c r="D75" s="83"/>
      <c r="E75" s="83"/>
      <c r="F75" s="83"/>
      <c r="G75" s="85"/>
      <c r="H75" s="624">
        <f t="shared" ref="H75:AE75" si="98">SUM(H56:H70)</f>
        <v>371293.70967300003</v>
      </c>
      <c r="I75" s="624">
        <f t="shared" si="98"/>
        <v>555021.1674540001</v>
      </c>
      <c r="J75" s="624">
        <f t="shared" si="98"/>
        <v>672812.65999999992</v>
      </c>
      <c r="K75" s="624">
        <f t="shared" si="98"/>
        <v>558579.57999999996</v>
      </c>
      <c r="L75" s="624">
        <f t="shared" si="98"/>
        <v>715728.98</v>
      </c>
      <c r="M75" s="691">
        <f t="shared" si="98"/>
        <v>660848.47</v>
      </c>
      <c r="N75" s="691">
        <f t="shared" si="98"/>
        <v>462067.74</v>
      </c>
      <c r="O75" s="691">
        <f t="shared" si="98"/>
        <v>869238.30999999994</v>
      </c>
      <c r="P75" s="691">
        <f t="shared" si="98"/>
        <v>636133.85999999987</v>
      </c>
      <c r="Q75" s="691">
        <f t="shared" si="98"/>
        <v>1118692.0899999999</v>
      </c>
      <c r="R75" s="691">
        <f t="shared" si="98"/>
        <v>718284.60999999987</v>
      </c>
      <c r="S75" s="691">
        <f t="shared" si="98"/>
        <v>1525345.7700000005</v>
      </c>
      <c r="T75" s="926">
        <f t="shared" si="98"/>
        <v>755038.60000000009</v>
      </c>
      <c r="U75" s="926">
        <f t="shared" si="98"/>
        <v>1151665.8999999999</v>
      </c>
      <c r="V75" s="926">
        <f t="shared" si="98"/>
        <v>1252713.6700000002</v>
      </c>
      <c r="W75" s="926">
        <f t="shared" si="98"/>
        <v>959201.77</v>
      </c>
      <c r="X75" s="926">
        <f t="shared" si="98"/>
        <v>1178862.18</v>
      </c>
      <c r="Y75" s="926">
        <f t="shared" si="98"/>
        <v>918244.08999999985</v>
      </c>
      <c r="Z75" s="1079">
        <f t="shared" si="98"/>
        <v>943573.09</v>
      </c>
      <c r="AA75" s="1079">
        <f t="shared" si="98"/>
        <v>770907.95000000019</v>
      </c>
      <c r="AB75" s="1079">
        <f t="shared" si="98"/>
        <v>778891.87</v>
      </c>
      <c r="AC75" s="1079">
        <f t="shared" si="98"/>
        <v>639514.59</v>
      </c>
      <c r="AD75" s="1079">
        <f t="shared" si="98"/>
        <v>560446.01</v>
      </c>
      <c r="AE75" s="1157">
        <f t="shared" si="98"/>
        <v>829224.57</v>
      </c>
      <c r="AF75" s="1157">
        <f t="shared" ref="AF75:AK75" si="99">SUM(AF71:AF73)</f>
        <v>748488.55</v>
      </c>
      <c r="AG75" s="1157">
        <f t="shared" si="99"/>
        <v>730396.25</v>
      </c>
      <c r="AH75" s="1157">
        <f t="shared" si="99"/>
        <v>1182114.1399999999</v>
      </c>
      <c r="AI75" s="1157">
        <f t="shared" si="99"/>
        <v>877560.95</v>
      </c>
      <c r="AJ75" s="1157">
        <f t="shared" si="99"/>
        <v>378572.51</v>
      </c>
      <c r="AK75" s="1157">
        <f t="shared" si="99"/>
        <v>1120597.31</v>
      </c>
      <c r="AL75" s="1157">
        <f>SUM(AL71:AL73)</f>
        <v>860110.12</v>
      </c>
      <c r="AM75" s="1157">
        <f t="shared" ref="AM75:AQ75" si="100">SUM(AM71:AM73)</f>
        <v>741905.32000000007</v>
      </c>
      <c r="AN75" s="1157">
        <f t="shared" si="100"/>
        <v>1070801.6400000001</v>
      </c>
      <c r="AO75" s="1157">
        <f t="shared" ref="AO75" si="101">SUM(AO71:AO73)</f>
        <v>1362936.45</v>
      </c>
      <c r="AP75" s="691">
        <f t="shared" si="100"/>
        <v>1372888.2296490171</v>
      </c>
      <c r="AQ75" s="691">
        <f t="shared" si="100"/>
        <v>1538396.6718593519</v>
      </c>
      <c r="AR75" s="1614">
        <f>SUM(AR71:AR74)</f>
        <v>1459675.5020024539</v>
      </c>
      <c r="AS75" s="691">
        <f t="shared" ref="AS75:BC75" si="102">SUM(AS71:AS74)</f>
        <v>1823884.2815928399</v>
      </c>
      <c r="AT75" s="691">
        <f t="shared" si="102"/>
        <v>1462488.0498224329</v>
      </c>
      <c r="AU75" s="691">
        <f t="shared" si="102"/>
        <v>1792882.1202972755</v>
      </c>
      <c r="AV75" s="691">
        <f t="shared" si="102"/>
        <v>1464172.3265757966</v>
      </c>
      <c r="AW75" s="691">
        <f t="shared" si="102"/>
        <v>1464792.3195082238</v>
      </c>
      <c r="AX75" s="691">
        <f t="shared" si="102"/>
        <v>1465314.5857254372</v>
      </c>
      <c r="AY75" s="691">
        <f t="shared" si="102"/>
        <v>1910722.4706667408</v>
      </c>
      <c r="AZ75" s="691">
        <f t="shared" si="102"/>
        <v>1548515.0656974695</v>
      </c>
      <c r="BA75" s="691">
        <f t="shared" si="102"/>
        <v>1466490.5148085528</v>
      </c>
      <c r="BB75" s="691">
        <f t="shared" si="102"/>
        <v>1466792.416790595</v>
      </c>
      <c r="BC75" s="691">
        <f t="shared" si="102"/>
        <v>1467062.2133502681</v>
      </c>
      <c r="BE75" s="1191">
        <f>SUM(T75:AE75)</f>
        <v>10738284.289999999</v>
      </c>
      <c r="BF75" s="1549">
        <f>SUM(AF75:AQ75)</f>
        <v>11984768.141508367</v>
      </c>
      <c r="BG75" s="1191">
        <f>SUM(AR75:BC75)</f>
        <v>18792791.866838083</v>
      </c>
    </row>
    <row r="76" spans="1:59" ht="15.75" hidden="1" customHeight="1" x14ac:dyDescent="0.3">
      <c r="A76" s="76"/>
      <c r="B76" s="76"/>
      <c r="C76" s="57" t="s">
        <v>498</v>
      </c>
      <c r="D76" s="76"/>
      <c r="E76" s="76"/>
      <c r="F76" s="89"/>
      <c r="G76" s="312"/>
      <c r="H76" s="625">
        <f t="shared" ref="H76:R76" si="103">-H66/H67</f>
        <v>0.26946593803764324</v>
      </c>
      <c r="I76" s="625">
        <f t="shared" si="103"/>
        <v>0.38438300344437654</v>
      </c>
      <c r="J76" s="625">
        <f t="shared" si="103"/>
        <v>0.70331190725761339</v>
      </c>
      <c r="K76" s="625">
        <f t="shared" si="103"/>
        <v>0.60431594087268181</v>
      </c>
      <c r="L76" s="625">
        <f t="shared" si="103"/>
        <v>0.52334251116400576</v>
      </c>
      <c r="M76" s="625">
        <f t="shared" si="103"/>
        <v>0.52466021043174171</v>
      </c>
      <c r="N76" s="625">
        <f t="shared" si="103"/>
        <v>0.43262523199154529</v>
      </c>
      <c r="O76" s="625">
        <f t="shared" si="103"/>
        <v>0.4981279876094678</v>
      </c>
      <c r="P76" s="625">
        <f t="shared" si="103"/>
        <v>0.77438832329453589</v>
      </c>
      <c r="Q76" s="625">
        <f t="shared" si="103"/>
        <v>0.48285794019874173</v>
      </c>
      <c r="R76" s="625">
        <f t="shared" si="103"/>
        <v>0.66414636683835948</v>
      </c>
      <c r="S76" s="625">
        <f t="shared" ref="S76:X76" si="104">-S66/S67</f>
        <v>0.51199705152487618</v>
      </c>
      <c r="T76" s="1058">
        <f t="shared" si="104"/>
        <v>0.67886732350966961</v>
      </c>
      <c r="U76" s="1059">
        <f t="shared" si="104"/>
        <v>0.45367481684378796</v>
      </c>
      <c r="V76" s="1059">
        <f t="shared" si="104"/>
        <v>0.61754967566083019</v>
      </c>
      <c r="W76" s="1059">
        <f t="shared" si="104"/>
        <v>1.0530202191414821</v>
      </c>
      <c r="X76" s="1059">
        <f t="shared" si="104"/>
        <v>0.46313235748935211</v>
      </c>
      <c r="Y76" s="1059">
        <f t="shared" ref="Y76:AE76" si="105">-Y66/Y67</f>
        <v>1.1570002838841476</v>
      </c>
      <c r="Z76" s="1058">
        <f t="shared" si="105"/>
        <v>0.41509659867300941</v>
      </c>
      <c r="AA76" s="1059">
        <f t="shared" si="105"/>
        <v>1.0404208337620449</v>
      </c>
      <c r="AB76" s="1059">
        <f t="shared" si="105"/>
        <v>0.88171013449550673</v>
      </c>
      <c r="AC76" s="1059">
        <f t="shared" si="105"/>
        <v>0.69807617442657222</v>
      </c>
      <c r="AD76" s="1059">
        <f t="shared" si="105"/>
        <v>0.71432481476882959</v>
      </c>
      <c r="AE76" s="1161">
        <f t="shared" si="105"/>
        <v>0.92977429334140516</v>
      </c>
      <c r="AF76" s="1161"/>
      <c r="AG76" s="1162"/>
      <c r="AH76" s="1162"/>
      <c r="AI76" s="1162"/>
      <c r="AJ76" s="1161"/>
      <c r="AK76" s="1161"/>
      <c r="AL76" s="1161"/>
      <c r="AM76" s="1161"/>
      <c r="AN76" s="1161"/>
      <c r="AO76" s="1161"/>
      <c r="AP76" s="625"/>
      <c r="AQ76" s="625"/>
      <c r="AR76" s="1617"/>
      <c r="AS76" s="625"/>
      <c r="AT76" s="625"/>
      <c r="AU76" s="625"/>
      <c r="AV76" s="625"/>
      <c r="AW76" s="625"/>
      <c r="AX76" s="625"/>
      <c r="AY76" s="625"/>
      <c r="AZ76" s="625"/>
      <c r="BA76" s="625"/>
      <c r="BB76" s="625"/>
      <c r="BC76" s="625"/>
      <c r="BE76" s="1219">
        <f>-BE66/BE67</f>
        <v>0.74868610279704828</v>
      </c>
      <c r="BF76" s="1552">
        <f>SUM(AF76:AQ76)</f>
        <v>0</v>
      </c>
      <c r="BG76" s="1219">
        <f>-BG66/BG67</f>
        <v>0.75450135123536166</v>
      </c>
    </row>
    <row r="77" spans="1:59" ht="15.75" hidden="1" customHeight="1" x14ac:dyDescent="0.3">
      <c r="A77" s="76"/>
      <c r="B77" s="76"/>
      <c r="C77" s="57" t="s">
        <v>499</v>
      </c>
      <c r="D77" s="76"/>
      <c r="E77" s="76"/>
      <c r="F77" s="89"/>
      <c r="G77" s="312"/>
      <c r="H77" s="625">
        <f t="shared" ref="H77:R77" si="106">-H69/H70</f>
        <v>0.28618187884036644</v>
      </c>
      <c r="I77" s="625">
        <f t="shared" si="106"/>
        <v>0.37617476054792715</v>
      </c>
      <c r="J77" s="625">
        <f t="shared" si="106"/>
        <v>0.86314952606136774</v>
      </c>
      <c r="K77" s="625">
        <f t="shared" si="106"/>
        <v>0.7129727905970501</v>
      </c>
      <c r="L77" s="625">
        <f t="shared" si="106"/>
        <v>0.57052101064536964</v>
      </c>
      <c r="M77" s="625">
        <f t="shared" si="106"/>
        <v>0.71547964955477439</v>
      </c>
      <c r="N77" s="625">
        <f t="shared" si="106"/>
        <v>0.62170450015706791</v>
      </c>
      <c r="O77" s="625">
        <f t="shared" si="106"/>
        <v>0.59934772613877085</v>
      </c>
      <c r="P77" s="625">
        <f t="shared" si="106"/>
        <v>1.0010915594441712</v>
      </c>
      <c r="Q77" s="625">
        <f t="shared" si="106"/>
        <v>0.59164436609888271</v>
      </c>
      <c r="R77" s="625">
        <f t="shared" si="106"/>
        <v>0.85697648059420251</v>
      </c>
      <c r="S77" s="625">
        <f t="shared" ref="S77:X77" si="107">-S69/S70</f>
        <v>0.71756828628220315</v>
      </c>
      <c r="T77" s="1058">
        <f t="shared" si="107"/>
        <v>0.79454836894940417</v>
      </c>
      <c r="U77" s="1059">
        <f t="shared" si="107"/>
        <v>0.4961049379923026</v>
      </c>
      <c r="V77" s="1059">
        <f t="shared" si="107"/>
        <v>0.76861115971495098</v>
      </c>
      <c r="W77" s="1059">
        <f t="shared" si="107"/>
        <v>1.045077259047116</v>
      </c>
      <c r="X77" s="1059">
        <f t="shared" si="107"/>
        <v>0.64127753993557235</v>
      </c>
      <c r="Y77" s="1059">
        <f t="shared" ref="Y77:AE77" si="108">-Y69/Y70</f>
        <v>1.3351082259192613</v>
      </c>
      <c r="Z77" s="1058">
        <f t="shared" si="108"/>
        <v>0.35977580300958523</v>
      </c>
      <c r="AA77" s="1059">
        <f t="shared" si="108"/>
        <v>1.0032533404861579</v>
      </c>
      <c r="AB77" s="1059">
        <f t="shared" si="108"/>
        <v>0.93459749504308398</v>
      </c>
      <c r="AC77" s="1059">
        <f t="shared" si="108"/>
        <v>0.67486801312993561</v>
      </c>
      <c r="AD77" s="1059">
        <f t="shared" si="108"/>
        <v>0.62052277356286856</v>
      </c>
      <c r="AE77" s="1161">
        <f t="shared" si="108"/>
        <v>0.67906133736451335</v>
      </c>
      <c r="AF77" s="1161"/>
      <c r="AG77" s="1162"/>
      <c r="AH77" s="1162"/>
      <c r="AI77" s="1162"/>
      <c r="AJ77" s="1161"/>
      <c r="AK77" s="1161"/>
      <c r="AL77" s="1161"/>
      <c r="AM77" s="1161"/>
      <c r="AN77" s="1161"/>
      <c r="AO77" s="1161"/>
      <c r="AP77" s="625"/>
      <c r="AQ77" s="625"/>
      <c r="AR77" s="1617"/>
      <c r="AS77" s="625"/>
      <c r="AT77" s="625"/>
      <c r="AU77" s="625"/>
      <c r="AV77" s="625"/>
      <c r="AW77" s="625"/>
      <c r="AX77" s="625"/>
      <c r="AY77" s="625"/>
      <c r="AZ77" s="625"/>
      <c r="BA77" s="625"/>
      <c r="BB77" s="625"/>
      <c r="BC77" s="625"/>
      <c r="BE77" s="1219">
        <f>-BE69/BE70</f>
        <v>0.77042763821628635</v>
      </c>
      <c r="BF77" s="1552">
        <f>SUM(AF77:AQ77)</f>
        <v>0</v>
      </c>
      <c r="BG77" s="1219">
        <f>-BG69/BG70</f>
        <v>0.76868976722497806</v>
      </c>
    </row>
    <row r="78" spans="1:59" ht="15.75" customHeight="1" x14ac:dyDescent="0.3">
      <c r="A78" s="197"/>
      <c r="B78" s="197"/>
      <c r="C78" s="84" t="s">
        <v>201</v>
      </c>
      <c r="D78" s="83"/>
      <c r="E78" s="709"/>
      <c r="F78" s="710"/>
      <c r="G78" s="85">
        <f t="shared" ref="G78:AQ78" si="109">G51-G75</f>
        <v>0</v>
      </c>
      <c r="H78" s="624">
        <f t="shared" si="109"/>
        <v>-15568.267352000112</v>
      </c>
      <c r="I78" s="624">
        <f t="shared" si="109"/>
        <v>115481.30942099995</v>
      </c>
      <c r="J78" s="624">
        <f t="shared" si="109"/>
        <v>452743.05000000005</v>
      </c>
      <c r="K78" s="624">
        <f t="shared" si="109"/>
        <v>163216.85000000009</v>
      </c>
      <c r="L78" s="624">
        <f t="shared" si="109"/>
        <v>184927.65000000014</v>
      </c>
      <c r="M78" s="691">
        <f t="shared" si="109"/>
        <v>281954.31999999983</v>
      </c>
      <c r="N78" s="691">
        <f t="shared" si="109"/>
        <v>462214.56000000006</v>
      </c>
      <c r="O78" s="691">
        <f t="shared" si="109"/>
        <v>334619.00999999989</v>
      </c>
      <c r="P78" s="691">
        <f t="shared" si="109"/>
        <v>451032.44999999995</v>
      </c>
      <c r="Q78" s="691">
        <f t="shared" si="109"/>
        <v>465556.80000000051</v>
      </c>
      <c r="R78" s="691">
        <f t="shared" si="109"/>
        <v>299180.46999999997</v>
      </c>
      <c r="S78" s="691">
        <f t="shared" si="109"/>
        <v>470931.15999999968</v>
      </c>
      <c r="T78" s="926">
        <f t="shared" si="109"/>
        <v>289198.08999999985</v>
      </c>
      <c r="U78" s="926">
        <f t="shared" si="109"/>
        <v>500138.54000000004</v>
      </c>
      <c r="V78" s="926">
        <f t="shared" si="109"/>
        <v>322389.32000000007</v>
      </c>
      <c r="W78" s="926">
        <f t="shared" si="109"/>
        <v>31545.889999999898</v>
      </c>
      <c r="X78" s="926">
        <f t="shared" si="109"/>
        <v>201667.20999999996</v>
      </c>
      <c r="Y78" s="926">
        <f t="shared" si="109"/>
        <v>598824.64000000013</v>
      </c>
      <c r="Z78" s="1079">
        <f t="shared" si="109"/>
        <v>231283.77000000014</v>
      </c>
      <c r="AA78" s="1079">
        <f t="shared" si="109"/>
        <v>831510.04999999981</v>
      </c>
      <c r="AB78" s="1079">
        <f t="shared" si="109"/>
        <v>485760.80000000016</v>
      </c>
      <c r="AC78" s="1079">
        <f t="shared" si="109"/>
        <v>417414.37</v>
      </c>
      <c r="AD78" s="1079">
        <f t="shared" si="109"/>
        <v>331900.28000000003</v>
      </c>
      <c r="AE78" s="1157">
        <f t="shared" si="109"/>
        <v>574348.08000000019</v>
      </c>
      <c r="AF78" s="1157">
        <f t="shared" si="109"/>
        <v>-33320.580000000075</v>
      </c>
      <c r="AG78" s="1157">
        <f t="shared" si="109"/>
        <v>259339.30000000005</v>
      </c>
      <c r="AH78" s="1157">
        <f t="shared" si="109"/>
        <v>633513.55000000005</v>
      </c>
      <c r="AI78" s="1157">
        <f t="shared" si="109"/>
        <v>460181.45999999996</v>
      </c>
      <c r="AJ78" s="1157">
        <f t="shared" si="109"/>
        <v>934015.54</v>
      </c>
      <c r="AK78" s="1157">
        <f t="shared" si="109"/>
        <v>759947.7</v>
      </c>
      <c r="AL78" s="1157">
        <f t="shared" si="109"/>
        <v>692134.7300000001</v>
      </c>
      <c r="AM78" s="1157">
        <f t="shared" si="109"/>
        <v>762443.55</v>
      </c>
      <c r="AN78" s="1157">
        <f t="shared" ref="AN78" si="110">AN51-AN75</f>
        <v>781537.2899999998</v>
      </c>
      <c r="AO78" s="1157">
        <f t="shared" ref="AO78" si="111">AO51-AO75</f>
        <v>992294.79000000027</v>
      </c>
      <c r="AP78" s="691">
        <f t="shared" si="109"/>
        <v>995295.26385098277</v>
      </c>
      <c r="AQ78" s="691">
        <f t="shared" si="109"/>
        <v>1106351.3315656483</v>
      </c>
      <c r="AR78" s="1614">
        <f t="shared" ref="AR78:BC78" si="112">AR51-AR75</f>
        <v>1045488.57901956</v>
      </c>
      <c r="AS78" s="691">
        <f t="shared" si="112"/>
        <v>1250169.299429174</v>
      </c>
      <c r="AT78" s="691">
        <f t="shared" si="112"/>
        <v>1042676.031199581</v>
      </c>
      <c r="AU78" s="691">
        <f t="shared" si="112"/>
        <v>1225657.9607247384</v>
      </c>
      <c r="AV78" s="691">
        <f t="shared" si="112"/>
        <v>1040991.7544462173</v>
      </c>
      <c r="AW78" s="691">
        <f t="shared" si="112"/>
        <v>1040371.7615137901</v>
      </c>
      <c r="AX78" s="691">
        <f t="shared" si="112"/>
        <v>1039849.4952965768</v>
      </c>
      <c r="AY78" s="691">
        <f t="shared" si="112"/>
        <v>1291675.1103552731</v>
      </c>
      <c r="AZ78" s="691">
        <f t="shared" si="112"/>
        <v>1084993.0153245444</v>
      </c>
      <c r="BA78" s="691">
        <f t="shared" si="112"/>
        <v>1038673.5662134611</v>
      </c>
      <c r="BB78" s="691">
        <f t="shared" si="112"/>
        <v>1038371.6642314189</v>
      </c>
      <c r="BC78" s="691">
        <f t="shared" si="112"/>
        <v>1038101.8676717458</v>
      </c>
      <c r="BE78" s="1191">
        <f>SUM(T78:AE78)</f>
        <v>4815981.04</v>
      </c>
      <c r="BF78" s="1549">
        <f>SUM(AF78:AQ78)</f>
        <v>8343733.9254166316</v>
      </c>
      <c r="BG78" s="1191">
        <f>SUM(AR78:BC78)</f>
        <v>13177020.105426081</v>
      </c>
    </row>
    <row r="79" spans="1:59" ht="15.75" customHeight="1" x14ac:dyDescent="0.3">
      <c r="A79" s="76"/>
      <c r="B79" s="76"/>
      <c r="C79" s="57" t="s">
        <v>411</v>
      </c>
      <c r="D79" s="76"/>
      <c r="E79" s="76"/>
      <c r="F79" s="76"/>
      <c r="G79" s="92"/>
      <c r="H79" s="626">
        <f t="shared" ref="H79:AQ79" si="113">H78/H51</f>
        <v>-4.3764840800876989E-2</v>
      </c>
      <c r="I79" s="625">
        <f t="shared" si="113"/>
        <v>0.17223099601245592</v>
      </c>
      <c r="J79" s="625">
        <f t="shared" si="113"/>
        <v>0.40223957461865667</v>
      </c>
      <c r="K79" s="625">
        <f t="shared" si="113"/>
        <v>0.22612587596200784</v>
      </c>
      <c r="L79" s="625">
        <f t="shared" si="113"/>
        <v>0.20532536356280431</v>
      </c>
      <c r="M79" s="625">
        <f t="shared" si="113"/>
        <v>0.29905970049155234</v>
      </c>
      <c r="N79" s="625">
        <f t="shared" si="113"/>
        <v>0.50007942378643411</v>
      </c>
      <c r="O79" s="625">
        <f t="shared" si="113"/>
        <v>0.27795570491692484</v>
      </c>
      <c r="P79" s="625">
        <f t="shared" si="113"/>
        <v>0.41486978197475605</v>
      </c>
      <c r="Q79" s="625">
        <f t="shared" si="113"/>
        <v>0.29386594678314742</v>
      </c>
      <c r="R79" s="625">
        <f t="shared" si="113"/>
        <v>0.29404495140019943</v>
      </c>
      <c r="S79" s="625">
        <f t="shared" si="113"/>
        <v>0.2359047249020704</v>
      </c>
      <c r="T79" s="930">
        <f t="shared" si="113"/>
        <v>0.27694687686179642</v>
      </c>
      <c r="U79" s="930">
        <f t="shared" si="113"/>
        <v>0.30278314302145842</v>
      </c>
      <c r="V79" s="930">
        <f t="shared" si="113"/>
        <v>0.20467824773794635</v>
      </c>
      <c r="W79" s="930">
        <f t="shared" si="113"/>
        <v>3.1840489030274269E-2</v>
      </c>
      <c r="X79" s="930">
        <f t="shared" si="113"/>
        <v>0.14607962094888829</v>
      </c>
      <c r="Y79" s="930">
        <f t="shared" si="113"/>
        <v>0.39472479272577199</v>
      </c>
      <c r="Z79" s="1082">
        <f t="shared" si="113"/>
        <v>0.19686123295054014</v>
      </c>
      <c r="AA79" s="1082">
        <f t="shared" si="113"/>
        <v>0.51890957914851166</v>
      </c>
      <c r="AB79" s="1082">
        <f t="shared" si="113"/>
        <v>0.38410609610305102</v>
      </c>
      <c r="AC79" s="1082">
        <f t="shared" si="113"/>
        <v>0.39493133956704146</v>
      </c>
      <c r="AD79" s="1082">
        <f t="shared" si="113"/>
        <v>0.37194112164684406</v>
      </c>
      <c r="AE79" s="1162">
        <f t="shared" si="113"/>
        <v>0.40920438282977384</v>
      </c>
      <c r="AF79" s="1162">
        <f t="shared" si="113"/>
        <v>-4.6591264427012967E-2</v>
      </c>
      <c r="AG79" s="1162">
        <f t="shared" si="113"/>
        <v>0.26202888236155608</v>
      </c>
      <c r="AH79" s="1162">
        <f t="shared" si="113"/>
        <v>0.34892260868746722</v>
      </c>
      <c r="AI79" s="1162">
        <f t="shared" si="113"/>
        <v>0.34399855798845458</v>
      </c>
      <c r="AJ79" s="1162">
        <f t="shared" si="113"/>
        <v>0.711583150555119</v>
      </c>
      <c r="AK79" s="1162">
        <f t="shared" si="113"/>
        <v>0.40411034883977592</v>
      </c>
      <c r="AL79" s="1162">
        <f t="shared" si="113"/>
        <v>0.44589275332432254</v>
      </c>
      <c r="AM79" s="1162">
        <f t="shared" si="113"/>
        <v>0.50682628558095033</v>
      </c>
      <c r="AN79" s="1162">
        <f t="shared" ref="AN79" si="114">AN78/AN51</f>
        <v>0.42191916249365868</v>
      </c>
      <c r="AO79" s="1162">
        <f t="shared" ref="AO79" si="115">AO78/AO51</f>
        <v>0.42131522932754584</v>
      </c>
      <c r="AP79" s="625">
        <f t="shared" si="113"/>
        <v>0.42027793310053441</v>
      </c>
      <c r="AQ79" s="625">
        <f t="shared" si="113"/>
        <v>0.41832013111755895</v>
      </c>
      <c r="AR79" s="1617">
        <f t="shared" ref="AR79:BC79" si="116">AR78/AR51</f>
        <v>0.41733337426466671</v>
      </c>
      <c r="AS79" s="625">
        <f t="shared" si="116"/>
        <v>0.40668429045844318</v>
      </c>
      <c r="AT79" s="625">
        <f t="shared" si="116"/>
        <v>0.41621067422226804</v>
      </c>
      <c r="AU79" s="625">
        <f t="shared" si="116"/>
        <v>0.40604329504538383</v>
      </c>
      <c r="AV79" s="625">
        <f t="shared" si="116"/>
        <v>0.4155383522908932</v>
      </c>
      <c r="AW79" s="625">
        <f t="shared" si="116"/>
        <v>0.41529086633293777</v>
      </c>
      <c r="AX79" s="625">
        <f t="shared" si="116"/>
        <v>0.41508239048052964</v>
      </c>
      <c r="AY79" s="625">
        <f t="shared" si="116"/>
        <v>0.40334626718742639</v>
      </c>
      <c r="AZ79" s="625">
        <f t="shared" si="116"/>
        <v>0.41199532408629613</v>
      </c>
      <c r="BA79" s="625">
        <f t="shared" si="116"/>
        <v>0.41461298845931116</v>
      </c>
      <c r="BB79" s="625">
        <f t="shared" si="116"/>
        <v>0.41449247659969712</v>
      </c>
      <c r="BC79" s="625">
        <f t="shared" si="116"/>
        <v>0.41438478043651289</v>
      </c>
      <c r="BE79" s="1192">
        <f>BE78/BE51</f>
        <v>0.30962446234675362</v>
      </c>
      <c r="BF79" s="1239">
        <f>BF78/BF51</f>
        <v>0.41044509319710792</v>
      </c>
      <c r="BG79" s="1192">
        <f>BG78/BG51</f>
        <v>0.41217071019554252</v>
      </c>
    </row>
    <row r="80" spans="1:59" ht="15.75" customHeight="1" x14ac:dyDescent="0.3">
      <c r="A80" s="76"/>
      <c r="B80" s="76"/>
      <c r="C80" s="1452" t="s">
        <v>1309</v>
      </c>
      <c r="D80" s="76"/>
      <c r="E80" s="76"/>
      <c r="F80" s="76"/>
      <c r="G80" s="92"/>
      <c r="H80" s="626"/>
      <c r="I80" s="625"/>
      <c r="J80" s="625"/>
      <c r="K80" s="625"/>
      <c r="L80" s="625"/>
      <c r="M80" s="625"/>
      <c r="N80" s="625"/>
      <c r="O80" s="625"/>
      <c r="P80" s="625"/>
      <c r="Q80" s="625"/>
      <c r="R80" s="625"/>
      <c r="S80" s="625"/>
      <c r="T80" s="930"/>
      <c r="U80" s="930"/>
      <c r="V80" s="930"/>
      <c r="W80" s="930"/>
      <c r="X80" s="930"/>
      <c r="Y80" s="930"/>
      <c r="Z80" s="1082"/>
      <c r="AA80" s="1082"/>
      <c r="AB80" s="1082"/>
      <c r="AC80" s="1082"/>
      <c r="AD80" s="1082"/>
      <c r="AE80" s="1162"/>
      <c r="AF80" s="1469">
        <f>AF78-'MXD P&amp;L'!N103</f>
        <v>0</v>
      </c>
      <c r="AG80" s="1469">
        <f>AG78-'MXD P&amp;L'!O103</f>
        <v>0</v>
      </c>
      <c r="AH80" s="1469">
        <f>AH78-'MXD P&amp;L'!P103</f>
        <v>0</v>
      </c>
      <c r="AI80" s="1469">
        <f>AI78-'MXD P&amp;L'!Q103</f>
        <v>0</v>
      </c>
      <c r="AJ80" s="1469">
        <f>AJ78-'MXD P&amp;L'!R103</f>
        <v>0</v>
      </c>
      <c r="AK80" s="1469">
        <f>AK78-'HEC Financials'!AZ13-'MXD P&amp;L'!S103</f>
        <v>0</v>
      </c>
      <c r="AL80" s="1469">
        <f>ROUND(AL78-'HEC Financials'!BA13-'MXD P&amp;L'!T103-(AL49-AL73),0)</f>
        <v>0</v>
      </c>
      <c r="AM80" s="1469">
        <f>ROUND(AM78-'HEC Financials'!BB13-'MXD P&amp;L'!U103-(AM49-AM73),0)</f>
        <v>0</v>
      </c>
      <c r="AN80" s="1469">
        <f>ROUND(AN78-'HEC Financials'!BC13-'MXD P&amp;L'!V103-(AN49-AN73),0)</f>
        <v>0</v>
      </c>
      <c r="AO80" s="1469">
        <f>ROUND(AO78-'HEC Financials'!BD13-'MXD P&amp;L'!W103-(AO49-AO73),0)</f>
        <v>0</v>
      </c>
      <c r="AP80" s="625"/>
      <c r="AQ80" s="625"/>
      <c r="AR80" s="1617"/>
      <c r="AS80" s="625"/>
      <c r="AT80" s="625"/>
      <c r="AU80" s="625"/>
      <c r="AV80" s="625"/>
      <c r="AW80" s="625"/>
      <c r="AX80" s="625"/>
      <c r="AY80" s="625"/>
      <c r="AZ80" s="625"/>
      <c r="BA80" s="625"/>
      <c r="BB80" s="625"/>
      <c r="BC80" s="625"/>
      <c r="BE80" s="1192"/>
      <c r="BF80" s="1239"/>
      <c r="BG80" s="1192"/>
    </row>
    <row r="81" spans="1:59" ht="15.75" customHeight="1" x14ac:dyDescent="0.3">
      <c r="A81" s="76"/>
      <c r="B81" s="76"/>
      <c r="C81" s="55" t="s">
        <v>203</v>
      </c>
      <c r="D81" s="76"/>
      <c r="E81" s="76"/>
      <c r="F81" s="76"/>
      <c r="G81" s="97"/>
      <c r="H81" s="728">
        <f>H69/H66</f>
        <v>2.0303023425468103</v>
      </c>
      <c r="I81" s="628">
        <f>I69/I66</f>
        <v>2.0303029786462221</v>
      </c>
      <c r="J81" s="628">
        <f>J69/J66</f>
        <v>2.0291046611487427</v>
      </c>
      <c r="K81" s="628">
        <f>K69/K66</f>
        <v>2.0303027621702134</v>
      </c>
      <c r="L81" s="628"/>
      <c r="M81" s="628"/>
      <c r="N81" s="628"/>
      <c r="O81" s="628"/>
      <c r="P81" s="628"/>
      <c r="Q81" s="628"/>
      <c r="R81" s="628"/>
      <c r="S81" s="628"/>
      <c r="T81" s="931"/>
      <c r="U81" s="931"/>
      <c r="V81" s="931"/>
      <c r="W81" s="931"/>
      <c r="X81" s="931"/>
      <c r="Y81" s="931"/>
      <c r="Z81" s="1083"/>
      <c r="AA81" s="1083"/>
      <c r="AB81" s="1083"/>
      <c r="AC81" s="1083"/>
      <c r="AD81" s="1083"/>
      <c r="AE81" s="1163"/>
      <c r="AF81" s="1161"/>
      <c r="AG81" s="1161"/>
      <c r="AH81" s="1161"/>
      <c r="AI81" s="1161"/>
      <c r="AJ81" s="1161"/>
      <c r="AK81" s="1161"/>
      <c r="AL81" s="1161"/>
      <c r="AM81" s="1161"/>
      <c r="AN81" s="1161"/>
      <c r="AO81" s="1161"/>
      <c r="AP81" s="628"/>
      <c r="AQ81" s="628"/>
      <c r="AR81" s="1618"/>
      <c r="AS81" s="628"/>
      <c r="AT81" s="628"/>
      <c r="AU81" s="628"/>
      <c r="AV81" s="628"/>
      <c r="AW81" s="628"/>
      <c r="AX81" s="628"/>
      <c r="AY81" s="628"/>
      <c r="AZ81" s="628"/>
      <c r="BA81" s="628"/>
      <c r="BB81" s="628"/>
      <c r="BC81" s="628"/>
      <c r="BE81" s="1193"/>
      <c r="BF81" s="1553"/>
      <c r="BG81" s="1193"/>
    </row>
    <row r="82" spans="1:59" ht="15.75" hidden="1" customHeight="1" x14ac:dyDescent="0.3">
      <c r="A82" s="76"/>
      <c r="B82" s="76"/>
      <c r="C82" s="215" t="s">
        <v>908</v>
      </c>
      <c r="D82" s="76"/>
      <c r="E82" s="76"/>
      <c r="F82" s="76"/>
      <c r="G82" s="97"/>
      <c r="H82" s="628"/>
      <c r="I82" s="628"/>
      <c r="J82" s="628"/>
      <c r="K82" s="628"/>
      <c r="L82" s="628"/>
      <c r="M82" s="628"/>
      <c r="N82" s="628"/>
      <c r="O82" s="628"/>
      <c r="P82" s="628"/>
      <c r="Q82" s="628"/>
      <c r="R82" s="628"/>
      <c r="S82" s="628"/>
      <c r="T82" s="931"/>
      <c r="U82" s="931"/>
      <c r="V82" s="931"/>
      <c r="W82" s="931"/>
      <c r="X82" s="931"/>
      <c r="Y82" s="931"/>
      <c r="Z82" s="1083"/>
      <c r="AA82" s="1083"/>
      <c r="AB82" s="1083"/>
      <c r="AC82" s="1083"/>
      <c r="AD82" s="1083"/>
      <c r="AE82" s="1163"/>
      <c r="AF82" s="1163"/>
      <c r="AG82" s="1163"/>
      <c r="AH82" s="1163"/>
      <c r="AI82" s="1163"/>
      <c r="AJ82" s="1163"/>
      <c r="AK82" s="1163"/>
      <c r="AL82" s="1163"/>
      <c r="AM82" s="1163"/>
      <c r="AN82" s="1163"/>
      <c r="AO82" s="1163"/>
      <c r="AP82" s="628"/>
      <c r="AQ82" s="628"/>
      <c r="AR82" s="1618"/>
      <c r="AS82" s="628"/>
      <c r="AT82" s="628"/>
      <c r="AU82" s="628"/>
      <c r="AV82" s="628"/>
      <c r="AW82" s="628"/>
      <c r="AX82" s="628"/>
      <c r="AY82" s="628"/>
      <c r="AZ82" s="628"/>
      <c r="BA82" s="628"/>
      <c r="BB82" s="628"/>
      <c r="BC82" s="628"/>
      <c r="BE82" s="1193"/>
      <c r="BF82" s="1553">
        <f t="shared" ref="BF82:BF87" si="117">SUM(AF82:AQ82)</f>
        <v>0</v>
      </c>
      <c r="BG82" s="1193"/>
    </row>
    <row r="83" spans="1:59" s="79" customFormat="1" ht="15.75" hidden="1" customHeight="1" x14ac:dyDescent="0.3">
      <c r="A83" s="76"/>
      <c r="B83" s="76"/>
      <c r="C83" s="57" t="s">
        <v>204</v>
      </c>
      <c r="D83" s="76"/>
      <c r="E83" s="76"/>
      <c r="F83" s="63"/>
      <c r="G83" s="61">
        <v>35779.829999999994</v>
      </c>
      <c r="H83" s="629">
        <f>'Sales &amp; Mktg'!D38</f>
        <v>37987.64</v>
      </c>
      <c r="I83" s="629">
        <f>'Sales &amp; Mktg'!H38</f>
        <v>36211.929999999993</v>
      </c>
      <c r="J83" s="629">
        <f>'Sales &amp; Mktg'!L38</f>
        <v>35989.78</v>
      </c>
      <c r="K83" s="629">
        <f>'Sales &amp; Mktg'!P38</f>
        <v>44489.890000000021</v>
      </c>
      <c r="L83" s="629">
        <f>'Sales &amp; Mktg'!T38</f>
        <v>42840.029999999977</v>
      </c>
      <c r="M83" s="629">
        <f>'Sales &amp; Mktg'!X38</f>
        <v>32437.87</v>
      </c>
      <c r="N83" s="629">
        <f>'Sales &amp; Mktg'!AB38</f>
        <v>39683.280000000006</v>
      </c>
      <c r="O83" s="629">
        <f>'Sales &amp; Mktg'!AF38</f>
        <v>36291.009999999995</v>
      </c>
      <c r="P83" s="629">
        <f>'Sales &amp; Mktg'!AJ38</f>
        <v>58284.039999999994</v>
      </c>
      <c r="Q83" s="629">
        <f>'Sales &amp; Mktg'!AN38</f>
        <v>53515.249999999978</v>
      </c>
      <c r="R83" s="629">
        <f>'Sales &amp; Mktg'!AR38</f>
        <v>67127.010000000009</v>
      </c>
      <c r="S83" s="629">
        <f>'Sales &amp; Mktg'!AV38</f>
        <v>30814.830000000009</v>
      </c>
      <c r="T83" s="924">
        <f>'Sales &amp; Mktg'!AX38</f>
        <v>37129.46</v>
      </c>
      <c r="U83" s="924">
        <f>'Sales &amp; Mktg'!AY38</f>
        <v>52567.42</v>
      </c>
      <c r="V83" s="924">
        <f>'Sales &amp; Mktg'!AZ38</f>
        <v>48042.55</v>
      </c>
      <c r="W83" s="924">
        <f>'Sales &amp; Mktg'!BA38</f>
        <v>59279.09</v>
      </c>
      <c r="X83" s="924">
        <f>'Sales &amp; Mktg'!BB38</f>
        <v>80815.889999999985</v>
      </c>
      <c r="Y83" s="924">
        <f>'Sales &amp; Mktg'!BC38</f>
        <v>61036.73</v>
      </c>
      <c r="Z83" s="1076">
        <f>'Sales &amp; Mktg'!BD38</f>
        <v>73033.33</v>
      </c>
      <c r="AA83" s="1076">
        <f>'Sales &amp; Mktg'!BE38</f>
        <v>74891.45</v>
      </c>
      <c r="AB83" s="1076">
        <f>'Sales &amp; Mktg'!BF38</f>
        <v>59119.4</v>
      </c>
      <c r="AC83" s="1076">
        <f>'Sales &amp; Mktg'!BG38</f>
        <v>62684.72</v>
      </c>
      <c r="AD83" s="1076">
        <f>'Sales &amp; Mktg'!BH38</f>
        <v>-12696.11</v>
      </c>
      <c r="AE83" s="1155">
        <f>'Sales &amp; Mktg'!BI38</f>
        <v>42528.97</v>
      </c>
      <c r="AF83" s="1155"/>
      <c r="AG83" s="1155"/>
      <c r="AH83" s="1155"/>
      <c r="AI83" s="1155"/>
      <c r="AJ83" s="1155"/>
      <c r="AK83" s="1155"/>
      <c r="AL83" s="1155"/>
      <c r="AM83" s="1155"/>
      <c r="AN83" s="1155"/>
      <c r="AO83" s="1155"/>
      <c r="AP83" s="629"/>
      <c r="AQ83" s="629"/>
      <c r="AR83" s="618"/>
      <c r="AS83" s="629"/>
      <c r="AT83" s="629"/>
      <c r="AU83" s="629"/>
      <c r="AV83" s="629"/>
      <c r="AW83" s="629"/>
      <c r="AX83" s="629"/>
      <c r="AY83" s="629"/>
      <c r="AZ83" s="629"/>
      <c r="BA83" s="629"/>
      <c r="BB83" s="629"/>
      <c r="BC83" s="629"/>
      <c r="BE83" s="1189">
        <f t="shared" ref="BE83:BE94" si="118">SUM(T83:AE83)</f>
        <v>638432.89999999991</v>
      </c>
      <c r="BF83" s="1240">
        <f t="shared" si="117"/>
        <v>0</v>
      </c>
      <c r="BG83" s="1189">
        <f t="shared" ref="BG83:BG94" si="119">SUM(U83:AF83)</f>
        <v>601303.44000000006</v>
      </c>
    </row>
    <row r="84" spans="1:59" s="79" customFormat="1" ht="15.75" hidden="1" customHeight="1" x14ac:dyDescent="0.3">
      <c r="A84" s="76"/>
      <c r="B84" s="76"/>
      <c r="C84" s="57" t="s">
        <v>910</v>
      </c>
      <c r="D84" s="76"/>
      <c r="E84" s="76"/>
      <c r="F84" s="63"/>
      <c r="G84" s="61">
        <v>1756.46</v>
      </c>
      <c r="H84" s="629">
        <f>Innovation!D17</f>
        <v>6199.47</v>
      </c>
      <c r="I84" s="629">
        <f>Innovation!H17</f>
        <v>6066.880000000001</v>
      </c>
      <c r="J84" s="629">
        <f>Innovation!L17</f>
        <v>6926.5199999999995</v>
      </c>
      <c r="K84" s="629">
        <f>Innovation!P17</f>
        <v>6663.66</v>
      </c>
      <c r="L84" s="629">
        <f>Innovation!T17</f>
        <v>6545.9500000000007</v>
      </c>
      <c r="M84" s="629">
        <f>Innovation!X17</f>
        <v>6637.2800000000016</v>
      </c>
      <c r="N84" s="629">
        <f>Innovation!AB17</f>
        <v>6632.6700000000019</v>
      </c>
      <c r="O84" s="629">
        <f>Innovation!AF17</f>
        <v>6637.2999999999993</v>
      </c>
      <c r="P84" s="629">
        <f>Innovation!AJ17</f>
        <v>7887.2800000000043</v>
      </c>
      <c r="Q84" s="629">
        <f>Innovation!AN17</f>
        <v>6442.9499999999916</v>
      </c>
      <c r="R84" s="629">
        <f>Innovation!AR17</f>
        <v>7937.2800000000025</v>
      </c>
      <c r="S84" s="629">
        <f>Innovation!AV17</f>
        <v>8843.1700000000019</v>
      </c>
      <c r="T84" s="924">
        <f>Innovation!AX17</f>
        <v>9891.2100000000009</v>
      </c>
      <c r="U84" s="924">
        <f>Innovation!AY17</f>
        <v>7536.46</v>
      </c>
      <c r="V84" s="924">
        <f>Innovation!AZ17</f>
        <v>8522.59</v>
      </c>
      <c r="W84" s="924">
        <f>Innovation!BA17</f>
        <v>7101.06</v>
      </c>
      <c r="X84" s="924">
        <f>Innovation!BB17</f>
        <v>13727.72</v>
      </c>
      <c r="Y84" s="924">
        <f>Innovation!BC17</f>
        <v>17518.490000000002</v>
      </c>
      <c r="Z84" s="1076">
        <f>Innovation!BD17</f>
        <v>1425.9799999999996</v>
      </c>
      <c r="AA84" s="1076">
        <f>Innovation!BE17</f>
        <v>7910.83</v>
      </c>
      <c r="AB84" s="1076">
        <f>Innovation!BF17</f>
        <v>8452.65</v>
      </c>
      <c r="AC84" s="1076">
        <f>Innovation!BG17</f>
        <v>14216.36</v>
      </c>
      <c r="AD84" s="1076">
        <f>Innovation!BH17</f>
        <v>11969.55</v>
      </c>
      <c r="AE84" s="1155">
        <f>Innovation!BI17</f>
        <v>13301.8</v>
      </c>
      <c r="AF84" s="1155"/>
      <c r="AG84" s="1155"/>
      <c r="AH84" s="1155"/>
      <c r="AI84" s="1155"/>
      <c r="AJ84" s="1155"/>
      <c r="AK84" s="1155"/>
      <c r="AL84" s="1155"/>
      <c r="AM84" s="1155"/>
      <c r="AN84" s="1155"/>
      <c r="AO84" s="1155"/>
      <c r="AP84" s="629"/>
      <c r="AQ84" s="629"/>
      <c r="AR84" s="618"/>
      <c r="AS84" s="629"/>
      <c r="AT84" s="629"/>
      <c r="AU84" s="629"/>
      <c r="AV84" s="629"/>
      <c r="AW84" s="629"/>
      <c r="AX84" s="629"/>
      <c r="AY84" s="629"/>
      <c r="AZ84" s="629"/>
      <c r="BA84" s="629"/>
      <c r="BB84" s="629"/>
      <c r="BC84" s="629"/>
      <c r="BE84" s="1189">
        <f t="shared" si="118"/>
        <v>121574.7</v>
      </c>
      <c r="BF84" s="1240">
        <f t="shared" si="117"/>
        <v>0</v>
      </c>
      <c r="BG84" s="1189">
        <f t="shared" si="119"/>
        <v>111683.49</v>
      </c>
    </row>
    <row r="85" spans="1:59" s="79" customFormat="1" ht="15.75" hidden="1" customHeight="1" x14ac:dyDescent="0.3">
      <c r="A85" s="76"/>
      <c r="B85" s="76"/>
      <c r="C85" s="57" t="s">
        <v>911</v>
      </c>
      <c r="D85" s="76"/>
      <c r="E85" s="76"/>
      <c r="F85" s="63"/>
      <c r="G85" s="61"/>
      <c r="H85" s="629">
        <f>Innovation!D30</f>
        <v>15156.16</v>
      </c>
      <c r="I85" s="629">
        <f>Innovation!H30</f>
        <v>6630.15</v>
      </c>
      <c r="J85" s="629">
        <f>Innovation!L30</f>
        <v>7681.22</v>
      </c>
      <c r="K85" s="629">
        <f>Innovation!P30</f>
        <v>7709.3600000000015</v>
      </c>
      <c r="L85" s="629">
        <f>Innovation!T30</f>
        <v>7925.920000000001</v>
      </c>
      <c r="M85" s="629">
        <f>Innovation!X30</f>
        <v>10052.14</v>
      </c>
      <c r="N85" s="629">
        <f>Innovation!AB30</f>
        <v>9376.7199999999993</v>
      </c>
      <c r="O85" s="629">
        <f>Innovation!AF30</f>
        <v>7288.8899999999921</v>
      </c>
      <c r="P85" s="629">
        <f>Innovation!AJ30</f>
        <v>8537.7200000000121</v>
      </c>
      <c r="Q85" s="629">
        <f>Innovation!AN30</f>
        <v>7051.96</v>
      </c>
      <c r="R85" s="629">
        <f>Innovation!AR30</f>
        <v>7341.5699999999952</v>
      </c>
      <c r="S85" s="629">
        <f>Innovation!AV30</f>
        <v>8932.2700000000023</v>
      </c>
      <c r="T85" s="924">
        <f>Innovation!AX30</f>
        <v>8344.74</v>
      </c>
      <c r="U85" s="924">
        <f>Innovation!AY30</f>
        <v>7744.38</v>
      </c>
      <c r="V85" s="924">
        <f>Innovation!AZ30</f>
        <v>8500.9500000000007</v>
      </c>
      <c r="W85" s="924">
        <f>Innovation!BA30</f>
        <v>7515.82</v>
      </c>
      <c r="X85" s="924">
        <f>Innovation!BB30</f>
        <v>9217.08</v>
      </c>
      <c r="Y85" s="924">
        <f>Innovation!BC30</f>
        <v>7871.4800000000005</v>
      </c>
      <c r="Z85" s="1076">
        <f>Innovation!BD30</f>
        <v>8856.49</v>
      </c>
      <c r="AA85" s="1076">
        <f>Innovation!BE30</f>
        <v>8050.5</v>
      </c>
      <c r="AB85" s="1076">
        <f>Innovation!BF30</f>
        <v>7853.8099999999995</v>
      </c>
      <c r="AC85" s="1076">
        <f>Innovation!BG30</f>
        <v>9102.5600000000013</v>
      </c>
      <c r="AD85" s="1076">
        <f>Innovation!BH30</f>
        <v>8115.83</v>
      </c>
      <c r="AE85" s="1155">
        <f>Innovation!BI30</f>
        <v>9965.1</v>
      </c>
      <c r="AF85" s="1155"/>
      <c r="AG85" s="1155"/>
      <c r="AH85" s="1155"/>
      <c r="AI85" s="1155"/>
      <c r="AJ85" s="1155"/>
      <c r="AK85" s="1155"/>
      <c r="AL85" s="1155"/>
      <c r="AM85" s="1155"/>
      <c r="AN85" s="1155"/>
      <c r="AO85" s="1155"/>
      <c r="AP85" s="629"/>
      <c r="AQ85" s="629"/>
      <c r="AR85" s="618"/>
      <c r="AS85" s="629"/>
      <c r="AT85" s="629"/>
      <c r="AU85" s="629"/>
      <c r="AV85" s="629"/>
      <c r="AW85" s="629"/>
      <c r="AX85" s="629"/>
      <c r="AY85" s="629"/>
      <c r="AZ85" s="629"/>
      <c r="BA85" s="629"/>
      <c r="BB85" s="629"/>
      <c r="BC85" s="629"/>
      <c r="BE85" s="1189">
        <f t="shared" si="118"/>
        <v>101138.74</v>
      </c>
      <c r="BF85" s="1240">
        <f t="shared" si="117"/>
        <v>0</v>
      </c>
      <c r="BG85" s="1189">
        <f t="shared" si="119"/>
        <v>92794.000000000015</v>
      </c>
    </row>
    <row r="86" spans="1:59" s="79" customFormat="1" ht="15.75" hidden="1" customHeight="1" x14ac:dyDescent="0.3">
      <c r="A86" s="76"/>
      <c r="B86" s="76"/>
      <c r="C86" s="1333" t="s">
        <v>205</v>
      </c>
      <c r="D86" s="1334"/>
      <c r="E86" s="1334"/>
      <c r="F86" s="1335"/>
      <c r="G86" s="1336"/>
      <c r="H86" s="1337">
        <f>'Sales &amp; Mktg'!D52</f>
        <v>6552.58</v>
      </c>
      <c r="I86" s="1337">
        <f>'Sales &amp; Mktg'!H52</f>
        <v>14003.070000000002</v>
      </c>
      <c r="J86" s="1337">
        <f>'Sales &amp; Mktg'!L52</f>
        <v>17939.25</v>
      </c>
      <c r="K86" s="1337">
        <f>'Sales &amp; Mktg'!P52</f>
        <v>10046.99</v>
      </c>
      <c r="L86" s="1337">
        <f>'Sales &amp; Mktg'!T52</f>
        <v>12434.410000000002</v>
      </c>
      <c r="M86" s="1337">
        <f>'Sales &amp; Mktg'!X52</f>
        <v>9841.14</v>
      </c>
      <c r="N86" s="1337">
        <f>'Sales &amp; Mktg'!AB52</f>
        <v>17379.010000000002</v>
      </c>
      <c r="O86" s="1337">
        <f>'Sales &amp; Mktg'!AF52</f>
        <v>27113.659999999996</v>
      </c>
      <c r="P86" s="1337">
        <f>'Sales &amp; Mktg'!AJ52</f>
        <v>20601.240000000005</v>
      </c>
      <c r="Q86" s="1337">
        <f>'Sales &amp; Mktg'!AN52</f>
        <v>44634.87</v>
      </c>
      <c r="R86" s="1337">
        <f>'Sales &amp; Mktg'!AR52</f>
        <v>18443.660000000011</v>
      </c>
      <c r="S86" s="1337">
        <f>'Sales &amp; Mktg'!AV52</f>
        <v>59833.319999999992</v>
      </c>
      <c r="T86" s="925">
        <f>'Sales &amp; Mktg'!AX52+47001</f>
        <v>62910.23</v>
      </c>
      <c r="U86" s="925">
        <f>'Sales &amp; Mktg'!AY52+58990</f>
        <v>84755.760000000009</v>
      </c>
      <c r="V86" s="925">
        <f>'Sales &amp; Mktg'!AZ52+51975</f>
        <v>65769.540000000008</v>
      </c>
      <c r="W86" s="925">
        <f>'Sales &amp; Mktg'!BA52+47421</f>
        <v>68735.37</v>
      </c>
      <c r="X86" s="925">
        <f>'Sales &amp; Mktg'!BB52+39890</f>
        <v>70389.66</v>
      </c>
      <c r="Y86" s="925">
        <f>'Sales &amp; Mktg'!BC52+'Sales &amp; Mktg'!BC78</f>
        <v>66472.709999999992</v>
      </c>
      <c r="Z86" s="1134">
        <f>'Sales &amp; Mktg'!BD52+'Sales &amp; Mktg'!BD78</f>
        <v>44743.68</v>
      </c>
      <c r="AA86" s="1134">
        <f>'Sales &amp; Mktg'!BE52+'Sales &amp; Mktg'!BE78</f>
        <v>67481.26999999999</v>
      </c>
      <c r="AB86" s="1134">
        <f>'Sales &amp; Mktg'!BF52+'Sales &amp; Mktg'!BF78</f>
        <v>30389.159999999996</v>
      </c>
      <c r="AC86" s="1134">
        <f>'Sales &amp; Mktg'!BG52+'Sales &amp; Mktg'!BG78</f>
        <v>54022.93</v>
      </c>
      <c r="AD86" s="1134">
        <f>'Sales &amp; Mktg'!BH52+'Sales &amp; Mktg'!BH78</f>
        <v>61174.89</v>
      </c>
      <c r="AE86" s="1338">
        <f>'Sales &amp; Mktg'!BI52+'Sales &amp; Mktg'!BI78</f>
        <v>87667.76999999999</v>
      </c>
      <c r="AF86" s="1338"/>
      <c r="AG86" s="1338"/>
      <c r="AH86" s="1338"/>
      <c r="AI86" s="1338"/>
      <c r="AJ86" s="1338"/>
      <c r="AK86" s="1338"/>
      <c r="AL86" s="1338"/>
      <c r="AM86" s="1338"/>
      <c r="AN86" s="1338"/>
      <c r="AO86" s="1338"/>
      <c r="AP86" s="1337"/>
      <c r="AQ86" s="1337"/>
      <c r="AR86" s="1416"/>
      <c r="AS86" s="1337"/>
      <c r="AT86" s="1337"/>
      <c r="AU86" s="1337"/>
      <c r="AV86" s="1337"/>
      <c r="AW86" s="1337"/>
      <c r="AX86" s="1337"/>
      <c r="AY86" s="1337"/>
      <c r="AZ86" s="1337"/>
      <c r="BA86" s="1337"/>
      <c r="BB86" s="1337"/>
      <c r="BC86" s="1337"/>
      <c r="BE86" s="1339">
        <f t="shared" si="118"/>
        <v>764512.97000000009</v>
      </c>
      <c r="BF86" s="1548">
        <f t="shared" si="117"/>
        <v>0</v>
      </c>
      <c r="BG86" s="1339">
        <f t="shared" si="119"/>
        <v>701602.74</v>
      </c>
    </row>
    <row r="87" spans="1:59" s="79" customFormat="1" ht="15.75" hidden="1" customHeight="1" x14ac:dyDescent="0.3">
      <c r="A87" s="76"/>
      <c r="B87" s="76"/>
      <c r="C87" s="57" t="s">
        <v>311</v>
      </c>
      <c r="D87" s="76"/>
      <c r="E87" s="76"/>
      <c r="F87" s="63"/>
      <c r="G87" s="61"/>
      <c r="H87" s="618">
        <f t="shared" ref="H87:R87" si="120">SUM(H83:H86)</f>
        <v>65895.850000000006</v>
      </c>
      <c r="I87" s="629">
        <f t="shared" si="120"/>
        <v>62912.03</v>
      </c>
      <c r="J87" s="629">
        <f t="shared" si="120"/>
        <v>68536.76999999999</v>
      </c>
      <c r="K87" s="629">
        <f t="shared" si="120"/>
        <v>68909.900000000023</v>
      </c>
      <c r="L87" s="629">
        <f t="shared" si="120"/>
        <v>69746.309999999983</v>
      </c>
      <c r="M87" s="629">
        <f t="shared" si="120"/>
        <v>58968.43</v>
      </c>
      <c r="N87" s="629">
        <f t="shared" si="120"/>
        <v>73071.680000000022</v>
      </c>
      <c r="O87" s="629">
        <f t="shared" si="120"/>
        <v>77330.859999999986</v>
      </c>
      <c r="P87" s="629">
        <f t="shared" si="120"/>
        <v>95310.280000000013</v>
      </c>
      <c r="Q87" s="629">
        <f t="shared" si="120"/>
        <v>111645.02999999997</v>
      </c>
      <c r="R87" s="629">
        <f t="shared" si="120"/>
        <v>100849.52000000002</v>
      </c>
      <c r="S87" s="629">
        <f t="shared" ref="S87:Y87" si="121">SUM(S83:S86)</f>
        <v>108423.59000000001</v>
      </c>
      <c r="T87" s="924">
        <f>SUM(T83:T86)</f>
        <v>118275.64</v>
      </c>
      <c r="U87" s="924">
        <f t="shared" si="121"/>
        <v>152604.02000000002</v>
      </c>
      <c r="V87" s="924">
        <f t="shared" si="121"/>
        <v>130835.63</v>
      </c>
      <c r="W87" s="924">
        <f t="shared" si="121"/>
        <v>142631.34</v>
      </c>
      <c r="X87" s="924">
        <f t="shared" si="121"/>
        <v>174150.34999999998</v>
      </c>
      <c r="Y87" s="924">
        <f t="shared" si="121"/>
        <v>152899.40999999997</v>
      </c>
      <c r="Z87" s="1076">
        <f t="shared" ref="Z87:AE87" si="122">SUM(Z83:Z86)</f>
        <v>128059.48000000001</v>
      </c>
      <c r="AA87" s="1076">
        <f t="shared" si="122"/>
        <v>158334.04999999999</v>
      </c>
      <c r="AB87" s="1076">
        <f t="shared" si="122"/>
        <v>105815.01999999999</v>
      </c>
      <c r="AC87" s="1076">
        <f t="shared" si="122"/>
        <v>140026.57</v>
      </c>
      <c r="AD87" s="1076">
        <f t="shared" si="122"/>
        <v>68564.160000000003</v>
      </c>
      <c r="AE87" s="1155">
        <f t="shared" si="122"/>
        <v>153463.64000000001</v>
      </c>
      <c r="AF87" s="1155">
        <f t="shared" ref="AF87:AQ87" si="123">SUM(AF83:AF86)</f>
        <v>0</v>
      </c>
      <c r="AG87" s="1155">
        <f t="shared" ref="AG87:AL87" si="124">SUM(AG83:AG86)</f>
        <v>0</v>
      </c>
      <c r="AH87" s="1155">
        <f t="shared" si="124"/>
        <v>0</v>
      </c>
      <c r="AI87" s="1155">
        <f t="shared" si="124"/>
        <v>0</v>
      </c>
      <c r="AJ87" s="1155">
        <f t="shared" si="124"/>
        <v>0</v>
      </c>
      <c r="AK87" s="1155">
        <f t="shared" si="124"/>
        <v>0</v>
      </c>
      <c r="AL87" s="1155">
        <f t="shared" si="124"/>
        <v>0</v>
      </c>
      <c r="AM87" s="1155">
        <f t="shared" si="123"/>
        <v>0</v>
      </c>
      <c r="AN87" s="1155">
        <f t="shared" ref="AN87" si="125">SUM(AN83:AN86)</f>
        <v>0</v>
      </c>
      <c r="AO87" s="1155">
        <f t="shared" ref="AO87" si="126">SUM(AO83:AO86)</f>
        <v>0</v>
      </c>
      <c r="AP87" s="629">
        <f t="shared" si="123"/>
        <v>0</v>
      </c>
      <c r="AQ87" s="629">
        <f t="shared" si="123"/>
        <v>0</v>
      </c>
      <c r="AR87" s="618">
        <f t="shared" ref="AR87:BC87" si="127">SUM(AR83:AR86)</f>
        <v>0</v>
      </c>
      <c r="AS87" s="629">
        <f t="shared" si="127"/>
        <v>0</v>
      </c>
      <c r="AT87" s="629">
        <f t="shared" si="127"/>
        <v>0</v>
      </c>
      <c r="AU87" s="629">
        <f t="shared" si="127"/>
        <v>0</v>
      </c>
      <c r="AV87" s="629">
        <f t="shared" si="127"/>
        <v>0</v>
      </c>
      <c r="AW87" s="629">
        <f t="shared" si="127"/>
        <v>0</v>
      </c>
      <c r="AX87" s="629">
        <f t="shared" si="127"/>
        <v>0</v>
      </c>
      <c r="AY87" s="629">
        <f t="shared" si="127"/>
        <v>0</v>
      </c>
      <c r="AZ87" s="629">
        <f t="shared" si="127"/>
        <v>0</v>
      </c>
      <c r="BA87" s="629">
        <f t="shared" si="127"/>
        <v>0</v>
      </c>
      <c r="BB87" s="629">
        <f t="shared" si="127"/>
        <v>0</v>
      </c>
      <c r="BC87" s="629">
        <f t="shared" si="127"/>
        <v>0</v>
      </c>
      <c r="BE87" s="1189">
        <f t="shared" si="118"/>
        <v>1625659.31</v>
      </c>
      <c r="BF87" s="1240">
        <f t="shared" si="117"/>
        <v>0</v>
      </c>
      <c r="BG87" s="1189">
        <f t="shared" si="119"/>
        <v>1507383.67</v>
      </c>
    </row>
    <row r="88" spans="1:59" s="79" customFormat="1" ht="15.75" hidden="1" customHeight="1" outlineLevel="1" x14ac:dyDescent="0.3">
      <c r="A88" s="76"/>
      <c r="B88" s="76"/>
      <c r="C88" s="215" t="s">
        <v>33</v>
      </c>
      <c r="D88" s="76"/>
      <c r="E88" s="76"/>
      <c r="F88" s="63"/>
      <c r="G88" s="61"/>
      <c r="H88" s="618"/>
      <c r="I88" s="629"/>
      <c r="J88" s="629"/>
      <c r="K88" s="629"/>
      <c r="L88" s="629"/>
      <c r="M88" s="629"/>
      <c r="N88" s="629"/>
      <c r="O88" s="629"/>
      <c r="P88" s="629"/>
      <c r="Q88" s="629"/>
      <c r="R88" s="629"/>
      <c r="S88" s="629"/>
      <c r="T88" s="924"/>
      <c r="U88" s="924"/>
      <c r="V88" s="924"/>
      <c r="W88" s="924"/>
      <c r="X88" s="924"/>
      <c r="Y88" s="924"/>
      <c r="Z88" s="1076"/>
      <c r="AA88" s="1076"/>
      <c r="AB88" s="1076"/>
      <c r="AC88" s="1076"/>
      <c r="AD88" s="1076"/>
      <c r="AE88" s="1155"/>
      <c r="AF88" s="1155"/>
      <c r="AG88" s="1155"/>
      <c r="AH88" s="1155"/>
      <c r="AI88" s="1155"/>
      <c r="AJ88" s="1155"/>
      <c r="AK88" s="1155"/>
      <c r="AL88" s="1155"/>
      <c r="AM88" s="1155"/>
      <c r="AN88" s="1155"/>
      <c r="AO88" s="1155"/>
      <c r="AP88" s="629"/>
      <c r="AQ88" s="629"/>
      <c r="AR88" s="618"/>
      <c r="AS88" s="629"/>
      <c r="AT88" s="629"/>
      <c r="AU88" s="629"/>
      <c r="AV88" s="629"/>
      <c r="AW88" s="629"/>
      <c r="AX88" s="629"/>
      <c r="AY88" s="629"/>
      <c r="AZ88" s="629"/>
      <c r="BA88" s="629"/>
      <c r="BB88" s="629"/>
      <c r="BC88" s="629"/>
      <c r="BE88" s="1189">
        <f t="shared" si="118"/>
        <v>0</v>
      </c>
      <c r="BF88" s="1240"/>
      <c r="BG88" s="1189">
        <f t="shared" si="119"/>
        <v>0</v>
      </c>
    </row>
    <row r="89" spans="1:59" s="79" customFormat="1" ht="15.75" hidden="1" customHeight="1" outlineLevel="1" x14ac:dyDescent="0.3">
      <c r="A89" s="76"/>
      <c r="B89" s="76"/>
      <c r="C89" s="57" t="s">
        <v>205</v>
      </c>
      <c r="D89" s="76"/>
      <c r="E89" s="76"/>
      <c r="F89" s="63"/>
      <c r="G89" s="61">
        <v>61869.350000000006</v>
      </c>
      <c r="H89" s="618">
        <f>Operations!E18</f>
        <v>0</v>
      </c>
      <c r="I89" s="629">
        <f>Operations!H18</f>
        <v>0</v>
      </c>
      <c r="J89" s="629">
        <f>Operations!K18</f>
        <v>0</v>
      </c>
      <c r="K89" s="629">
        <f>Operations!N18</f>
        <v>0</v>
      </c>
      <c r="L89" s="629">
        <f>Operations!Q18</f>
        <v>0</v>
      </c>
      <c r="M89" s="629">
        <f>Operations!T18</f>
        <v>0</v>
      </c>
      <c r="N89" s="629">
        <f>Operations!W18</f>
        <v>0</v>
      </c>
      <c r="O89" s="629">
        <f>Operations!Z18</f>
        <v>0</v>
      </c>
      <c r="P89" s="629">
        <f>Operations!AC18</f>
        <v>0</v>
      </c>
      <c r="Q89" s="629">
        <f>Operations!AF18</f>
        <v>0</v>
      </c>
      <c r="R89" s="629">
        <f>Operations!AI18</f>
        <v>0</v>
      </c>
      <c r="S89" s="629">
        <f>Operations!AL18</f>
        <v>0</v>
      </c>
      <c r="T89" s="924"/>
      <c r="U89" s="924"/>
      <c r="V89" s="924"/>
      <c r="W89" s="924"/>
      <c r="X89" s="924"/>
      <c r="Y89" s="924">
        <f>Operations!AS18</f>
        <v>0</v>
      </c>
      <c r="Z89" s="1076">
        <f>Operations!AT18</f>
        <v>0</v>
      </c>
      <c r="AA89" s="1076">
        <f>Operations!AU18</f>
        <v>0</v>
      </c>
      <c r="AB89" s="1076">
        <f>Operations!AV18</f>
        <v>0</v>
      </c>
      <c r="AC89" s="1076">
        <f>Operations!AW18</f>
        <v>0</v>
      </c>
      <c r="AD89" s="1076">
        <f>Operations!AX18</f>
        <v>0</v>
      </c>
      <c r="AE89" s="1155">
        <f>Operations!AY18</f>
        <v>0</v>
      </c>
      <c r="AF89" s="1155">
        <v>0</v>
      </c>
      <c r="AG89" s="1155">
        <v>0</v>
      </c>
      <c r="AH89" s="1155">
        <v>0</v>
      </c>
      <c r="AI89" s="1155">
        <v>0</v>
      </c>
      <c r="AJ89" s="1155">
        <v>0</v>
      </c>
      <c r="AK89" s="1155">
        <v>0</v>
      </c>
      <c r="AL89" s="1155">
        <v>0</v>
      </c>
      <c r="AM89" s="1155">
        <v>0</v>
      </c>
      <c r="AN89" s="1155">
        <v>0</v>
      </c>
      <c r="AO89" s="1155">
        <v>0</v>
      </c>
      <c r="AP89" s="629">
        <v>0</v>
      </c>
      <c r="AQ89" s="629">
        <v>0</v>
      </c>
      <c r="AR89" s="618">
        <v>0</v>
      </c>
      <c r="AS89" s="629">
        <v>0</v>
      </c>
      <c r="AT89" s="629">
        <v>0</v>
      </c>
      <c r="AU89" s="629">
        <v>0</v>
      </c>
      <c r="AV89" s="629">
        <v>0</v>
      </c>
      <c r="AW89" s="629">
        <v>0</v>
      </c>
      <c r="AX89" s="629">
        <v>0</v>
      </c>
      <c r="AY89" s="629">
        <v>0</v>
      </c>
      <c r="AZ89" s="629">
        <v>0</v>
      </c>
      <c r="BA89" s="629">
        <v>0</v>
      </c>
      <c r="BB89" s="629">
        <v>0</v>
      </c>
      <c r="BC89" s="629">
        <v>0</v>
      </c>
      <c r="BE89" s="1189">
        <f t="shared" si="118"/>
        <v>0</v>
      </c>
      <c r="BF89" s="1240"/>
      <c r="BG89" s="1189">
        <f t="shared" si="119"/>
        <v>0</v>
      </c>
    </row>
    <row r="90" spans="1:59" s="79" customFormat="1" ht="15.75" hidden="1" customHeight="1" outlineLevel="1" x14ac:dyDescent="0.3">
      <c r="A90" s="76"/>
      <c r="B90" s="76"/>
      <c r="C90" s="57" t="s">
        <v>307</v>
      </c>
      <c r="D90" s="76"/>
      <c r="E90" s="76"/>
      <c r="F90" s="63"/>
      <c r="G90" s="61"/>
      <c r="H90" s="618"/>
      <c r="I90" s="629"/>
      <c r="J90" s="629"/>
      <c r="K90" s="629"/>
      <c r="L90" s="629"/>
      <c r="M90" s="629"/>
      <c r="N90" s="629"/>
      <c r="O90" s="629"/>
      <c r="P90" s="629"/>
      <c r="Q90" s="629"/>
      <c r="R90" s="629"/>
      <c r="S90" s="629"/>
      <c r="T90" s="924"/>
      <c r="U90" s="924"/>
      <c r="V90" s="924"/>
      <c r="W90" s="924"/>
      <c r="X90" s="924"/>
      <c r="Y90" s="924"/>
      <c r="Z90" s="1076"/>
      <c r="AA90" s="1076"/>
      <c r="AB90" s="1076"/>
      <c r="AC90" s="1076"/>
      <c r="AD90" s="1076"/>
      <c r="AE90" s="1155"/>
      <c r="AF90" s="1155">
        <v>0</v>
      </c>
      <c r="AG90" s="1155">
        <v>0</v>
      </c>
      <c r="AH90" s="1155">
        <v>0</v>
      </c>
      <c r="AI90" s="1155">
        <v>0</v>
      </c>
      <c r="AJ90" s="1155">
        <v>0</v>
      </c>
      <c r="AK90" s="1155">
        <v>0</v>
      </c>
      <c r="AL90" s="1155">
        <v>0</v>
      </c>
      <c r="AM90" s="1155">
        <v>0</v>
      </c>
      <c r="AN90" s="1155">
        <v>0</v>
      </c>
      <c r="AO90" s="1155">
        <v>0</v>
      </c>
      <c r="AP90" s="629">
        <v>0</v>
      </c>
      <c r="AQ90" s="629">
        <v>0</v>
      </c>
      <c r="AR90" s="618">
        <v>0</v>
      </c>
      <c r="AS90" s="629">
        <v>0</v>
      </c>
      <c r="AT90" s="629">
        <v>0</v>
      </c>
      <c r="AU90" s="629">
        <v>0</v>
      </c>
      <c r="AV90" s="629">
        <v>0</v>
      </c>
      <c r="AW90" s="629">
        <v>0</v>
      </c>
      <c r="AX90" s="629">
        <v>0</v>
      </c>
      <c r="AY90" s="629">
        <v>0</v>
      </c>
      <c r="AZ90" s="629">
        <v>0</v>
      </c>
      <c r="BA90" s="629">
        <v>0</v>
      </c>
      <c r="BB90" s="629">
        <v>0</v>
      </c>
      <c r="BC90" s="629">
        <v>0</v>
      </c>
      <c r="BE90" s="1189">
        <f t="shared" si="118"/>
        <v>0</v>
      </c>
      <c r="BF90" s="1240"/>
      <c r="BG90" s="1189">
        <f t="shared" si="119"/>
        <v>0</v>
      </c>
    </row>
    <row r="91" spans="1:59" s="79" customFormat="1" ht="15.75" hidden="1" customHeight="1" outlineLevel="1" x14ac:dyDescent="0.3">
      <c r="A91" s="76"/>
      <c r="B91" s="76"/>
      <c r="C91" s="57" t="s">
        <v>308</v>
      </c>
      <c r="D91" s="76"/>
      <c r="E91" s="76"/>
      <c r="F91" s="63"/>
      <c r="G91" s="61"/>
      <c r="H91" s="618"/>
      <c r="I91" s="629"/>
      <c r="J91" s="629"/>
      <c r="K91" s="629"/>
      <c r="L91" s="629"/>
      <c r="M91" s="629"/>
      <c r="N91" s="629"/>
      <c r="O91" s="629"/>
      <c r="P91" s="629"/>
      <c r="Q91" s="629"/>
      <c r="R91" s="629"/>
      <c r="S91" s="629"/>
      <c r="T91" s="924"/>
      <c r="U91" s="924"/>
      <c r="V91" s="924"/>
      <c r="W91" s="924"/>
      <c r="X91" s="924"/>
      <c r="Y91" s="924"/>
      <c r="Z91" s="1076"/>
      <c r="AA91" s="1076"/>
      <c r="AB91" s="1076"/>
      <c r="AC91" s="1076"/>
      <c r="AD91" s="1076"/>
      <c r="AE91" s="1155"/>
      <c r="AF91" s="1155">
        <v>0</v>
      </c>
      <c r="AG91" s="1155">
        <v>0</v>
      </c>
      <c r="AH91" s="1155">
        <v>0</v>
      </c>
      <c r="AI91" s="1155">
        <v>0</v>
      </c>
      <c r="AJ91" s="1155">
        <v>0</v>
      </c>
      <c r="AK91" s="1155">
        <v>0</v>
      </c>
      <c r="AL91" s="1155">
        <v>0</v>
      </c>
      <c r="AM91" s="1155">
        <v>0</v>
      </c>
      <c r="AN91" s="1155">
        <v>0</v>
      </c>
      <c r="AO91" s="1155">
        <v>0</v>
      </c>
      <c r="AP91" s="629">
        <v>0</v>
      </c>
      <c r="AQ91" s="629">
        <v>0</v>
      </c>
      <c r="AR91" s="618">
        <v>0</v>
      </c>
      <c r="AS91" s="629">
        <v>0</v>
      </c>
      <c r="AT91" s="629">
        <v>0</v>
      </c>
      <c r="AU91" s="629">
        <v>0</v>
      </c>
      <c r="AV91" s="629">
        <v>0</v>
      </c>
      <c r="AW91" s="629">
        <v>0</v>
      </c>
      <c r="AX91" s="629">
        <v>0</v>
      </c>
      <c r="AY91" s="629">
        <v>0</v>
      </c>
      <c r="AZ91" s="629">
        <v>0</v>
      </c>
      <c r="BA91" s="629">
        <v>0</v>
      </c>
      <c r="BB91" s="629">
        <v>0</v>
      </c>
      <c r="BC91" s="629">
        <v>0</v>
      </c>
      <c r="BE91" s="1189">
        <f t="shared" si="118"/>
        <v>0</v>
      </c>
      <c r="BF91" s="1240"/>
      <c r="BG91" s="1189">
        <f t="shared" si="119"/>
        <v>0</v>
      </c>
    </row>
    <row r="92" spans="1:59" s="79" customFormat="1" ht="15.75" hidden="1" customHeight="1" outlineLevel="1" x14ac:dyDescent="0.3">
      <c r="A92" s="76"/>
      <c r="B92" s="76"/>
      <c r="C92" s="57" t="s">
        <v>309</v>
      </c>
      <c r="D92" s="76"/>
      <c r="E92" s="76"/>
      <c r="F92" s="63"/>
      <c r="G92" s="61"/>
      <c r="H92" s="618"/>
      <c r="I92" s="629"/>
      <c r="J92" s="629"/>
      <c r="K92" s="629"/>
      <c r="L92" s="629"/>
      <c r="M92" s="629"/>
      <c r="N92" s="629"/>
      <c r="O92" s="629"/>
      <c r="P92" s="629"/>
      <c r="Q92" s="629"/>
      <c r="R92" s="629"/>
      <c r="S92" s="629"/>
      <c r="T92" s="924"/>
      <c r="U92" s="924"/>
      <c r="V92" s="924"/>
      <c r="W92" s="924"/>
      <c r="X92" s="924"/>
      <c r="Y92" s="924"/>
      <c r="Z92" s="1076"/>
      <c r="AA92" s="1076"/>
      <c r="AB92" s="1076"/>
      <c r="AC92" s="1076"/>
      <c r="AD92" s="1076"/>
      <c r="AE92" s="1155"/>
      <c r="AF92" s="1155">
        <v>0</v>
      </c>
      <c r="AG92" s="1155">
        <v>0</v>
      </c>
      <c r="AH92" s="1155">
        <v>0</v>
      </c>
      <c r="AI92" s="1155">
        <v>0</v>
      </c>
      <c r="AJ92" s="1155">
        <v>0</v>
      </c>
      <c r="AK92" s="1155">
        <v>0</v>
      </c>
      <c r="AL92" s="1155">
        <v>0</v>
      </c>
      <c r="AM92" s="1155">
        <v>0</v>
      </c>
      <c r="AN92" s="1155">
        <v>0</v>
      </c>
      <c r="AO92" s="1155">
        <v>0</v>
      </c>
      <c r="AP92" s="629">
        <v>0</v>
      </c>
      <c r="AQ92" s="629">
        <v>0</v>
      </c>
      <c r="AR92" s="618">
        <v>0</v>
      </c>
      <c r="AS92" s="629">
        <v>0</v>
      </c>
      <c r="AT92" s="629">
        <v>0</v>
      </c>
      <c r="AU92" s="629">
        <v>0</v>
      </c>
      <c r="AV92" s="629">
        <v>0</v>
      </c>
      <c r="AW92" s="629">
        <v>0</v>
      </c>
      <c r="AX92" s="629">
        <v>0</v>
      </c>
      <c r="AY92" s="629">
        <v>0</v>
      </c>
      <c r="AZ92" s="629">
        <v>0</v>
      </c>
      <c r="BA92" s="629">
        <v>0</v>
      </c>
      <c r="BB92" s="629">
        <v>0</v>
      </c>
      <c r="BC92" s="629">
        <v>0</v>
      </c>
      <c r="BE92" s="1189">
        <f t="shared" si="118"/>
        <v>0</v>
      </c>
      <c r="BF92" s="1240"/>
      <c r="BG92" s="1189">
        <f t="shared" si="119"/>
        <v>0</v>
      </c>
    </row>
    <row r="93" spans="1:59" s="79" customFormat="1" ht="15.75" hidden="1" customHeight="1" outlineLevel="1" x14ac:dyDescent="0.3">
      <c r="A93" s="76"/>
      <c r="B93" s="76"/>
      <c r="C93" s="64" t="s">
        <v>310</v>
      </c>
      <c r="D93" s="98"/>
      <c r="E93" s="98"/>
      <c r="F93" s="65"/>
      <c r="G93" s="66"/>
      <c r="H93" s="618"/>
      <c r="I93" s="629"/>
      <c r="J93" s="629"/>
      <c r="K93" s="629"/>
      <c r="L93" s="629"/>
      <c r="M93" s="629"/>
      <c r="N93" s="629"/>
      <c r="O93" s="629"/>
      <c r="P93" s="629"/>
      <c r="Q93" s="629"/>
      <c r="R93" s="629"/>
      <c r="S93" s="629"/>
      <c r="T93" s="925"/>
      <c r="U93" s="925"/>
      <c r="V93" s="925"/>
      <c r="W93" s="925"/>
      <c r="X93" s="925"/>
      <c r="Y93" s="925"/>
      <c r="Z93" s="1078"/>
      <c r="AA93" s="1078"/>
      <c r="AB93" s="1078"/>
      <c r="AC93" s="1078"/>
      <c r="AD93" s="1134"/>
      <c r="AE93" s="1156"/>
      <c r="AF93" s="1156">
        <v>0</v>
      </c>
      <c r="AG93" s="1156">
        <v>0</v>
      </c>
      <c r="AH93" s="1156">
        <v>0</v>
      </c>
      <c r="AI93" s="1156">
        <v>0</v>
      </c>
      <c r="AJ93" s="1156">
        <v>0</v>
      </c>
      <c r="AK93" s="1156">
        <v>0</v>
      </c>
      <c r="AL93" s="1156">
        <v>0</v>
      </c>
      <c r="AM93" s="1156">
        <v>0</v>
      </c>
      <c r="AN93" s="1156">
        <v>0</v>
      </c>
      <c r="AO93" s="1156">
        <v>0</v>
      </c>
      <c r="AP93" s="629">
        <v>0</v>
      </c>
      <c r="AQ93" s="629">
        <v>0</v>
      </c>
      <c r="AR93" s="618">
        <v>0</v>
      </c>
      <c r="AS93" s="629">
        <v>0</v>
      </c>
      <c r="AT93" s="629">
        <v>0</v>
      </c>
      <c r="AU93" s="629">
        <v>0</v>
      </c>
      <c r="AV93" s="629">
        <v>0</v>
      </c>
      <c r="AW93" s="629">
        <v>0</v>
      </c>
      <c r="AX93" s="629">
        <v>0</v>
      </c>
      <c r="AY93" s="629">
        <v>0</v>
      </c>
      <c r="AZ93" s="629">
        <v>0</v>
      </c>
      <c r="BA93" s="629">
        <v>0</v>
      </c>
      <c r="BB93" s="629">
        <v>0</v>
      </c>
      <c r="BC93" s="629">
        <v>0</v>
      </c>
      <c r="BE93" s="1190">
        <f t="shared" si="118"/>
        <v>0</v>
      </c>
      <c r="BF93" s="1548"/>
      <c r="BG93" s="1190">
        <f t="shared" si="119"/>
        <v>0</v>
      </c>
    </row>
    <row r="94" spans="1:59" s="79" customFormat="1" ht="15.75" hidden="1" customHeight="1" outlineLevel="1" x14ac:dyDescent="0.3">
      <c r="A94" s="76"/>
      <c r="B94" s="76"/>
      <c r="C94" s="57" t="s">
        <v>312</v>
      </c>
      <c r="D94" s="76"/>
      <c r="E94" s="76"/>
      <c r="F94" s="63"/>
      <c r="G94" s="61"/>
      <c r="H94" s="623">
        <f t="shared" ref="H94:R94" si="128">SUM(H89:H93)</f>
        <v>0</v>
      </c>
      <c r="I94" s="665">
        <f t="shared" si="128"/>
        <v>0</v>
      </c>
      <c r="J94" s="665">
        <f t="shared" si="128"/>
        <v>0</v>
      </c>
      <c r="K94" s="665">
        <f t="shared" si="128"/>
        <v>0</v>
      </c>
      <c r="L94" s="665">
        <f t="shared" si="128"/>
        <v>0</v>
      </c>
      <c r="M94" s="665">
        <f t="shared" si="128"/>
        <v>0</v>
      </c>
      <c r="N94" s="665">
        <f t="shared" si="128"/>
        <v>0</v>
      </c>
      <c r="O94" s="665">
        <f t="shared" si="128"/>
        <v>0</v>
      </c>
      <c r="P94" s="665">
        <f t="shared" si="128"/>
        <v>0</v>
      </c>
      <c r="Q94" s="665">
        <f t="shared" si="128"/>
        <v>0</v>
      </c>
      <c r="R94" s="665">
        <f t="shared" si="128"/>
        <v>0</v>
      </c>
      <c r="S94" s="665">
        <f t="shared" ref="S94:Y94" si="129">SUM(S89:S93)</f>
        <v>0</v>
      </c>
      <c r="T94" s="924">
        <f>SUM(T89:T93)</f>
        <v>0</v>
      </c>
      <c r="U94" s="924">
        <f t="shared" si="129"/>
        <v>0</v>
      </c>
      <c r="V94" s="924">
        <f t="shared" si="129"/>
        <v>0</v>
      </c>
      <c r="W94" s="924">
        <f t="shared" si="129"/>
        <v>0</v>
      </c>
      <c r="X94" s="924">
        <f t="shared" si="129"/>
        <v>0</v>
      </c>
      <c r="Y94" s="924">
        <f t="shared" si="129"/>
        <v>0</v>
      </c>
      <c r="Z94" s="1076">
        <f t="shared" ref="Z94:AI94" si="130">SUM(Z89:Z93)</f>
        <v>0</v>
      </c>
      <c r="AA94" s="1076">
        <f t="shared" si="130"/>
        <v>0</v>
      </c>
      <c r="AB94" s="1076">
        <f t="shared" si="130"/>
        <v>0</v>
      </c>
      <c r="AC94" s="1076">
        <f t="shared" si="130"/>
        <v>0</v>
      </c>
      <c r="AD94" s="1135">
        <f t="shared" si="130"/>
        <v>0</v>
      </c>
      <c r="AE94" s="1164">
        <f t="shared" si="130"/>
        <v>0</v>
      </c>
      <c r="AF94" s="1164">
        <f t="shared" si="130"/>
        <v>0</v>
      </c>
      <c r="AG94" s="1164">
        <f t="shared" si="130"/>
        <v>0</v>
      </c>
      <c r="AH94" s="1164">
        <f t="shared" si="130"/>
        <v>0</v>
      </c>
      <c r="AI94" s="1164">
        <f t="shared" si="130"/>
        <v>0</v>
      </c>
      <c r="AJ94" s="1164">
        <f t="shared" ref="AJ94:AL94" si="131">SUM(AJ89:AJ93)</f>
        <v>0</v>
      </c>
      <c r="AK94" s="1164">
        <f t="shared" si="131"/>
        <v>0</v>
      </c>
      <c r="AL94" s="1164">
        <f t="shared" si="131"/>
        <v>0</v>
      </c>
      <c r="AM94" s="1164"/>
      <c r="AN94" s="1164"/>
      <c r="AO94" s="1164"/>
      <c r="AP94" s="665"/>
      <c r="AQ94" s="665"/>
      <c r="AR94" s="623"/>
      <c r="AS94" s="665"/>
      <c r="AT94" s="665"/>
      <c r="AU94" s="665"/>
      <c r="AV94" s="665"/>
      <c r="AW94" s="665"/>
      <c r="AX94" s="665"/>
      <c r="AY94" s="665"/>
      <c r="AZ94" s="665"/>
      <c r="BA94" s="665"/>
      <c r="BB94" s="665"/>
      <c r="BC94" s="665"/>
      <c r="BE94" s="1184">
        <f t="shared" si="118"/>
        <v>0</v>
      </c>
      <c r="BF94" s="1240"/>
      <c r="BG94" s="1184">
        <f t="shared" si="119"/>
        <v>0</v>
      </c>
    </row>
    <row r="95" spans="1:59" s="79" customFormat="1" ht="15.75" hidden="1" customHeight="1" outlineLevel="1" x14ac:dyDescent="0.3">
      <c r="A95" s="76"/>
      <c r="B95" s="76"/>
      <c r="C95" s="57"/>
      <c r="D95" s="76"/>
      <c r="E95" s="76"/>
      <c r="F95" s="63"/>
      <c r="G95" s="61"/>
      <c r="H95" s="618"/>
      <c r="I95" s="629"/>
      <c r="J95" s="629"/>
      <c r="K95" s="629"/>
      <c r="L95" s="629"/>
      <c r="M95" s="629"/>
      <c r="N95" s="629"/>
      <c r="O95" s="629"/>
      <c r="P95" s="629"/>
      <c r="Q95" s="629"/>
      <c r="R95" s="629"/>
      <c r="S95" s="629"/>
      <c r="T95" s="924"/>
      <c r="U95" s="924"/>
      <c r="V95" s="924"/>
      <c r="W95" s="924"/>
      <c r="X95" s="924"/>
      <c r="Y95" s="924"/>
      <c r="Z95" s="1076"/>
      <c r="AA95" s="1076"/>
      <c r="AB95" s="1076"/>
      <c r="AC95" s="1076"/>
      <c r="AD95" s="1076"/>
      <c r="AE95" s="1155"/>
      <c r="AF95" s="1155"/>
      <c r="AG95" s="1155"/>
      <c r="AH95" s="1155"/>
      <c r="AI95" s="1155"/>
      <c r="AJ95" s="1155"/>
      <c r="AK95" s="1155"/>
      <c r="AL95" s="1155"/>
      <c r="AM95" s="1155"/>
      <c r="AN95" s="1155"/>
      <c r="AO95" s="1155"/>
      <c r="AP95" s="629"/>
      <c r="AQ95" s="629"/>
      <c r="AR95" s="618"/>
      <c r="AS95" s="629"/>
      <c r="AT95" s="629"/>
      <c r="AU95" s="629"/>
      <c r="AV95" s="629"/>
      <c r="AW95" s="629"/>
      <c r="AX95" s="629"/>
      <c r="AY95" s="629"/>
      <c r="AZ95" s="629"/>
      <c r="BA95" s="629"/>
      <c r="BB95" s="629"/>
      <c r="BC95" s="629"/>
      <c r="BE95" s="1184"/>
      <c r="BF95" s="1240"/>
      <c r="BG95" s="1184"/>
    </row>
    <row r="96" spans="1:59" s="79" customFormat="1" ht="15.75" hidden="1" customHeight="1" collapsed="1" x14ac:dyDescent="0.3">
      <c r="A96" s="76"/>
      <c r="B96" s="76"/>
      <c r="C96" s="1333" t="s">
        <v>1294</v>
      </c>
      <c r="D96" s="1334"/>
      <c r="E96" s="1334"/>
      <c r="F96" s="1335"/>
      <c r="G96" s="1336">
        <v>141544.54999999999</v>
      </c>
      <c r="H96" s="1416">
        <f>'Admin-Finance'!F60</f>
        <v>81042.55</v>
      </c>
      <c r="I96" s="1337">
        <f>'Admin-Finance'!J60</f>
        <v>87498.893299999967</v>
      </c>
      <c r="J96" s="1337">
        <f>'Admin-Finance'!N60</f>
        <v>62575.450000000004</v>
      </c>
      <c r="K96" s="1337">
        <f>'Admin-Finance'!R60</f>
        <v>104278.13000000002</v>
      </c>
      <c r="L96" s="1337">
        <f>'Admin-Finance'!V60</f>
        <v>43146.55</v>
      </c>
      <c r="M96" s="1337">
        <f>'Admin-Finance'!Z60</f>
        <v>56766.01999999999</v>
      </c>
      <c r="N96" s="1337">
        <f>'Admin-Finance'!AD60</f>
        <v>59345.191400000003</v>
      </c>
      <c r="O96" s="1337">
        <f>'Admin-Finance'!AH58</f>
        <v>56855.380000000005</v>
      </c>
      <c r="P96" s="1337">
        <f>'Admin-Finance'!AL60</f>
        <v>81376.320000000007</v>
      </c>
      <c r="Q96" s="1337">
        <f>'Admin-Finance'!AP60</f>
        <v>59102.819999999992</v>
      </c>
      <c r="R96" s="1337">
        <f>'Admin-Finance'!AT60</f>
        <v>118353.28999999995</v>
      </c>
      <c r="S96" s="1337">
        <f>'Admin-Finance'!AX60</f>
        <v>62297.039999999972</v>
      </c>
      <c r="T96" s="1236">
        <f>'Admin-Finance'!AY60</f>
        <v>111804.98</v>
      </c>
      <c r="U96" s="1236">
        <f>'Admin-Finance'!AZ60</f>
        <v>132012.37</v>
      </c>
      <c r="V96" s="1236">
        <f>'Admin-Finance'!BA60</f>
        <v>144752.30000000002</v>
      </c>
      <c r="W96" s="1236">
        <f>'Admin-Finance'!BB60</f>
        <v>147690.51000000004</v>
      </c>
      <c r="X96" s="1236">
        <f>'Admin-Finance'!BC60</f>
        <v>153370.39000000001</v>
      </c>
      <c r="Y96" s="1236">
        <f>'Admin-Finance'!BD60</f>
        <v>172238.65000000002</v>
      </c>
      <c r="Z96" s="1134">
        <f>'Admin-Finance'!BE60</f>
        <v>125770.30000000002</v>
      </c>
      <c r="AA96" s="1134">
        <f>'Admin-Finance'!BF60</f>
        <v>169884.26</v>
      </c>
      <c r="AB96" s="1134">
        <f>'Admin-Finance'!BG60</f>
        <v>150771.29000000004</v>
      </c>
      <c r="AC96" s="1134">
        <f>'Admin-Finance'!BH60</f>
        <v>146926.92000000004</v>
      </c>
      <c r="AD96" s="1134">
        <f>'Admin-Finance'!BI60</f>
        <v>121551.19999999998</v>
      </c>
      <c r="AE96" s="1338">
        <f>'Admin-Finance'!BJ60</f>
        <v>149953.78999999998</v>
      </c>
      <c r="AF96" s="1338">
        <f>'Admin-Finance'!BK60</f>
        <v>124680.14000000001</v>
      </c>
      <c r="AG96" s="1338">
        <f>'Admin-Finance'!BL60</f>
        <v>90707.94</v>
      </c>
      <c r="AH96" s="1338">
        <f>'Admin-Finance'!BM60</f>
        <v>146526.79999999999</v>
      </c>
      <c r="AI96" s="1338">
        <f>'Admin-Finance'!BN60</f>
        <v>135145.62</v>
      </c>
      <c r="AJ96" s="1338">
        <f>'Admin-Finance'!BO60</f>
        <v>277652.29000000004</v>
      </c>
      <c r="AK96" s="1338"/>
      <c r="AL96" s="1338"/>
      <c r="AM96" s="1338"/>
      <c r="AN96" s="1338"/>
      <c r="AO96" s="1338"/>
      <c r="AP96" s="1337"/>
      <c r="AQ96" s="1337"/>
      <c r="AR96" s="1416"/>
      <c r="AS96" s="1337"/>
      <c r="AT96" s="1337"/>
      <c r="AU96" s="1337"/>
      <c r="AV96" s="1337"/>
      <c r="AW96" s="1337"/>
      <c r="AX96" s="1337"/>
      <c r="AY96" s="1337"/>
      <c r="AZ96" s="1337"/>
      <c r="BA96" s="1337"/>
      <c r="BB96" s="1337"/>
      <c r="BC96" s="1337"/>
      <c r="BE96" s="1185">
        <f>SUM(T96:AE96)</f>
        <v>1726726.9600000002</v>
      </c>
      <c r="BF96" s="1548"/>
      <c r="BG96" s="1185">
        <f>SUM(U96:AF96)</f>
        <v>1739602.12</v>
      </c>
    </row>
    <row r="97" spans="1:59" s="79" customFormat="1" ht="15.75" customHeight="1" x14ac:dyDescent="0.3">
      <c r="A97" s="76"/>
      <c r="B97" s="76"/>
      <c r="C97" s="57" t="s">
        <v>1293</v>
      </c>
      <c r="D97" s="76"/>
      <c r="E97" s="76"/>
      <c r="F97" s="63"/>
      <c r="G97" s="61"/>
      <c r="H97" s="629"/>
      <c r="I97" s="629"/>
      <c r="J97" s="629"/>
      <c r="K97" s="629"/>
      <c r="L97" s="629"/>
      <c r="M97" s="629"/>
      <c r="N97" s="629"/>
      <c r="O97" s="629"/>
      <c r="P97" s="629"/>
      <c r="Q97" s="629"/>
      <c r="R97" s="629"/>
      <c r="S97" s="629"/>
      <c r="T97" s="1155">
        <f>'MXD P&amp;L'!B214</f>
        <v>228830.38</v>
      </c>
      <c r="U97" s="1155">
        <f>'MXD P&amp;L'!C214</f>
        <v>284616.82</v>
      </c>
      <c r="V97" s="1155">
        <f>'MXD P&amp;L'!D214</f>
        <v>276939.58</v>
      </c>
      <c r="W97" s="1155">
        <f>'MXD P&amp;L'!E214</f>
        <v>299104.64000000001</v>
      </c>
      <c r="X97" s="1155">
        <f>'MXD P&amp;L'!F214</f>
        <v>331324.49</v>
      </c>
      <c r="Y97" s="1155">
        <f>'MXD P&amp;L'!G214</f>
        <v>326421.77</v>
      </c>
      <c r="Z97" s="1155">
        <f>'MXD P&amp;L'!H214</f>
        <v>252579.78</v>
      </c>
      <c r="AA97" s="1155">
        <f>'MXD P&amp;L'!I214</f>
        <v>328218.31</v>
      </c>
      <c r="AB97" s="1155">
        <f>'MXD P&amp;L'!J214</f>
        <v>256586.31</v>
      </c>
      <c r="AC97" s="1155">
        <f>'MXD P&amp;L'!K214</f>
        <v>285703.49</v>
      </c>
      <c r="AD97" s="1155">
        <f>'MXD P&amp;L'!L214</f>
        <v>190114.36</v>
      </c>
      <c r="AE97" s="1155">
        <f>'MXD P&amp;L'!M214</f>
        <v>301669.02</v>
      </c>
      <c r="AF97" s="1155">
        <f>'MXD P&amp;L'!N214</f>
        <v>241202.11</v>
      </c>
      <c r="AG97" s="1155">
        <f>'MXD P&amp;L'!O214</f>
        <v>188858.69</v>
      </c>
      <c r="AH97" s="1155">
        <f>'MXD P&amp;L'!P214</f>
        <v>286151.28000000003</v>
      </c>
      <c r="AI97" s="1155">
        <f>'MXD P&amp;L'!Q214</f>
        <v>257136.45</v>
      </c>
      <c r="AJ97" s="1155">
        <f>'MXD P&amp;L'!R214</f>
        <v>500607.77</v>
      </c>
      <c r="AK97" s="1155">
        <f>'MXD P&amp;L'!S214</f>
        <v>345914.31</v>
      </c>
      <c r="AL97" s="1155">
        <f>'MXD P&amp;L'!T214</f>
        <v>349394.45</v>
      </c>
      <c r="AM97" s="1155">
        <f>'MXD P&amp;L'!U214</f>
        <v>309562.62</v>
      </c>
      <c r="AN97" s="1155">
        <f>'MXD P&amp;L'!V214</f>
        <v>274685.42</v>
      </c>
      <c r="AO97" s="1155">
        <f>'MXD P&amp;L'!W214</f>
        <v>486198.6</v>
      </c>
      <c r="AP97" s="629">
        <f t="shared" ref="AP97:AQ97" si="132">AVERAGE(AM97:AO97)</f>
        <v>356815.54666666669</v>
      </c>
      <c r="AQ97" s="629">
        <f t="shared" si="132"/>
        <v>372566.52222222224</v>
      </c>
      <c r="AR97" s="618">
        <f>AVERAGE(AO97:AQ97)*(1+$F$31/12)</f>
        <v>408570.16926543217</v>
      </c>
      <c r="AS97" s="629">
        <f t="shared" ref="AS97:BC97" si="133">AVERAGE(AP97:AR97)*(1+$F$31/12)</f>
        <v>382478.39115742454</v>
      </c>
      <c r="AT97" s="629">
        <f t="shared" si="133"/>
        <v>391103.95833348483</v>
      </c>
      <c r="AU97" s="629">
        <f t="shared" si="133"/>
        <v>397334.59658199258</v>
      </c>
      <c r="AV97" s="629">
        <f t="shared" si="133"/>
        <v>393558.19576339208</v>
      </c>
      <c r="AW97" s="629">
        <f t="shared" si="133"/>
        <v>397282.24120039778</v>
      </c>
      <c r="AX97" s="629">
        <f t="shared" si="133"/>
        <v>399358.83071955462</v>
      </c>
      <c r="AY97" s="629">
        <f t="shared" si="133"/>
        <v>400039.19830467965</v>
      </c>
      <c r="AZ97" s="629">
        <f t="shared" si="133"/>
        <v>402217.53526994574</v>
      </c>
      <c r="BA97" s="629">
        <f t="shared" si="133"/>
        <v>403876.34244332154</v>
      </c>
      <c r="BB97" s="629">
        <f t="shared" si="133"/>
        <v>405394.72832825436</v>
      </c>
      <c r="BC97" s="629">
        <f t="shared" si="133"/>
        <v>407194.78147506696</v>
      </c>
      <c r="BE97" s="1189"/>
      <c r="BF97" s="1240">
        <f>SUM(AF97:AQ97)</f>
        <v>3969093.7688888893</v>
      </c>
      <c r="BG97" s="1189">
        <f>SUM(AR97:BC97)</f>
        <v>4788408.9688429479</v>
      </c>
    </row>
    <row r="98" spans="1:59" s="1332" customFormat="1" ht="15.75" customHeight="1" x14ac:dyDescent="0.3">
      <c r="A98" s="1324"/>
      <c r="B98" s="1324"/>
      <c r="C98" s="1325" t="s">
        <v>1237</v>
      </c>
      <c r="D98" s="1325"/>
      <c r="E98" s="1326"/>
      <c r="F98" s="1326"/>
      <c r="G98" s="1327"/>
      <c r="H98" s="1327"/>
      <c r="I98" s="1327"/>
      <c r="J98" s="1327"/>
      <c r="K98" s="1327"/>
      <c r="L98" s="1327"/>
      <c r="M98" s="1327"/>
      <c r="N98" s="1327"/>
      <c r="O98" s="1327"/>
      <c r="P98" s="1327"/>
      <c r="Q98" s="1327"/>
      <c r="R98" s="1327"/>
      <c r="S98" s="1327"/>
      <c r="T98" s="1328"/>
      <c r="U98" s="1328"/>
      <c r="V98" s="1328"/>
      <c r="W98" s="1328"/>
      <c r="X98" s="1328"/>
      <c r="Y98" s="1328"/>
      <c r="Z98" s="1329"/>
      <c r="AA98" s="1329"/>
      <c r="AB98" s="1329"/>
      <c r="AC98" s="1329"/>
      <c r="AD98" s="1329"/>
      <c r="AE98" s="1330"/>
      <c r="AF98" s="1330"/>
      <c r="AG98" s="1330"/>
      <c r="AH98" s="1330"/>
      <c r="AI98" s="1330"/>
      <c r="AJ98" s="1330"/>
      <c r="AK98" s="1330">
        <f>'HEC Financials'!AZ75</f>
        <v>215163.46</v>
      </c>
      <c r="AL98" s="1330">
        <f>'HEC Financials'!BA75</f>
        <v>213954.19</v>
      </c>
      <c r="AM98" s="1330">
        <f>'HEC Financials'!BB75</f>
        <v>231174.5</v>
      </c>
      <c r="AN98" s="1330">
        <f>'HEC Financials'!BC75</f>
        <v>284505.69</v>
      </c>
      <c r="AO98" s="1330">
        <f>'HEC Financials'!BD75</f>
        <v>265884.43</v>
      </c>
      <c r="AP98" s="1327">
        <f t="shared" ref="AP98:AQ98" si="134">AVERAGE(AM98:AO98)</f>
        <v>260521.54</v>
      </c>
      <c r="AQ98" s="1327">
        <f t="shared" si="134"/>
        <v>270303.88666666666</v>
      </c>
      <c r="AR98" s="1328">
        <f>AVERAGE(AO98:AQ98)*(1+$F$31/12)</f>
        <v>267783.0351574074</v>
      </c>
      <c r="AS98" s="1327">
        <f t="shared" ref="AS98:BC98" si="135">AVERAGE(AP98:AR98)*(1+$F$31/12)</f>
        <v>268421.17744642484</v>
      </c>
      <c r="AT98" s="1327">
        <f t="shared" si="135"/>
        <v>271076.33336591773</v>
      </c>
      <c r="AU98" s="1327">
        <f t="shared" si="135"/>
        <v>271335.96128427709</v>
      </c>
      <c r="AV98" s="1327">
        <f t="shared" si="135"/>
        <v>272530.13923247496</v>
      </c>
      <c r="AW98" s="1327">
        <f t="shared" si="135"/>
        <v>273911.20694389736</v>
      </c>
      <c r="AX98" s="1327">
        <f t="shared" si="135"/>
        <v>274864.03945205163</v>
      </c>
      <c r="AY98" s="1327">
        <f t="shared" si="135"/>
        <v>276049.86572510918</v>
      </c>
      <c r="AZ98" s="1327">
        <f t="shared" si="135"/>
        <v>277232.88490735565</v>
      </c>
      <c r="BA98" s="1327">
        <f t="shared" si="135"/>
        <v>278349.33777840692</v>
      </c>
      <c r="BB98" s="1327">
        <f t="shared" si="135"/>
        <v>279520.7852714319</v>
      </c>
      <c r="BC98" s="1327">
        <f t="shared" si="135"/>
        <v>280687.39989672368</v>
      </c>
      <c r="BE98" s="1331"/>
      <c r="BF98" s="1329">
        <f>SUM(AF98:AQ98)</f>
        <v>1741507.6966666668</v>
      </c>
      <c r="BG98" s="1331">
        <f>SUM(AR98:BC98)</f>
        <v>3291762.166461478</v>
      </c>
    </row>
    <row r="99" spans="1:59" s="1769" customFormat="1" ht="15.75" customHeight="1" x14ac:dyDescent="0.3">
      <c r="A99" s="1499"/>
      <c r="B99" s="1499"/>
      <c r="C99" s="1500" t="s">
        <v>1514</v>
      </c>
      <c r="D99" s="1500"/>
      <c r="E99" s="1768"/>
      <c r="F99" s="1768"/>
      <c r="G99" s="1506"/>
      <c r="H99" s="1506"/>
      <c r="I99" s="1506"/>
      <c r="J99" s="1506"/>
      <c r="K99" s="1506"/>
      <c r="L99" s="1506"/>
      <c r="M99" s="1506"/>
      <c r="N99" s="1506"/>
      <c r="O99" s="1506"/>
      <c r="P99" s="1506"/>
      <c r="Q99" s="1506"/>
      <c r="R99" s="1506"/>
      <c r="S99" s="1506"/>
      <c r="T99" s="1504"/>
      <c r="U99" s="1504"/>
      <c r="V99" s="1504"/>
      <c r="W99" s="1504"/>
      <c r="X99" s="1504"/>
      <c r="Y99" s="1504"/>
      <c r="Z99" s="1505"/>
      <c r="AA99" s="1505"/>
      <c r="AB99" s="1505"/>
      <c r="AC99" s="1505"/>
      <c r="AD99" s="1505"/>
      <c r="AE99" s="1764"/>
      <c r="AF99" s="1764"/>
      <c r="AG99" s="1764"/>
      <c r="AH99" s="1764"/>
      <c r="AI99" s="1764"/>
      <c r="AJ99" s="1764"/>
      <c r="AK99" s="1764"/>
      <c r="AL99" s="1764"/>
      <c r="AM99" s="1764"/>
      <c r="AN99" s="1764"/>
      <c r="AO99" s="1764"/>
      <c r="AP99" s="1506"/>
      <c r="AQ99" s="1506"/>
      <c r="AR99" s="1504">
        <f>'Branch P&amp;L'!BJ51</f>
        <v>54004.64417</v>
      </c>
      <c r="AS99" s="1506">
        <f>'Branch P&amp;L'!BK51</f>
        <v>54004.64417</v>
      </c>
      <c r="AT99" s="1506">
        <f>'Branch P&amp;L'!BL51</f>
        <v>54004.64417</v>
      </c>
      <c r="AU99" s="1506">
        <f>'Branch P&amp;L'!BM51</f>
        <v>54004.64417</v>
      </c>
      <c r="AV99" s="1506">
        <f>'Branch P&amp;L'!BN51</f>
        <v>54004.64417</v>
      </c>
      <c r="AW99" s="1506">
        <f>'Branch P&amp;L'!BO51</f>
        <v>54004.64417</v>
      </c>
      <c r="AX99" s="1506">
        <f>'Branch P&amp;L'!BP51</f>
        <v>54004.64417</v>
      </c>
      <c r="AY99" s="1506">
        <f>'Branch P&amp;L'!BQ51</f>
        <v>54004.64417</v>
      </c>
      <c r="AZ99" s="1506">
        <f>'Branch P&amp;L'!BR51</f>
        <v>54004.64417</v>
      </c>
      <c r="BA99" s="1506">
        <f>'Branch P&amp;L'!BS51</f>
        <v>54004.64417</v>
      </c>
      <c r="BB99" s="1506">
        <f>'Branch P&amp;L'!BT51</f>
        <v>54004.64417</v>
      </c>
      <c r="BC99" s="1506">
        <f>'Branch P&amp;L'!BU51</f>
        <v>54004.64417</v>
      </c>
      <c r="BE99" s="1770"/>
      <c r="BF99" s="1505"/>
      <c r="BG99" s="1770">
        <f>SUM(AR99:BC99)</f>
        <v>648055.73003999994</v>
      </c>
    </row>
    <row r="100" spans="1:59" ht="15.75" customHeight="1" x14ac:dyDescent="0.3">
      <c r="A100" s="76"/>
      <c r="B100" s="76"/>
      <c r="C100" s="84"/>
      <c r="D100" s="93"/>
      <c r="E100" s="93"/>
      <c r="F100" s="93"/>
      <c r="G100" s="85"/>
      <c r="H100" s="630"/>
      <c r="I100" s="666"/>
      <c r="J100" s="666"/>
      <c r="K100" s="666"/>
      <c r="L100" s="666"/>
      <c r="M100" s="666"/>
      <c r="N100" s="666"/>
      <c r="O100" s="666"/>
      <c r="P100" s="666"/>
      <c r="Q100" s="666"/>
      <c r="R100" s="666"/>
      <c r="S100" s="666"/>
      <c r="T100" s="926"/>
      <c r="U100" s="926"/>
      <c r="V100" s="926"/>
      <c r="W100" s="926"/>
      <c r="X100" s="926"/>
      <c r="Y100" s="926"/>
      <c r="Z100" s="1079"/>
      <c r="AA100" s="1079"/>
      <c r="AB100" s="1079"/>
      <c r="AC100" s="1079"/>
      <c r="AD100" s="1079"/>
      <c r="AE100" s="1157"/>
      <c r="AF100" s="1157"/>
      <c r="AG100" s="1157"/>
      <c r="AH100" s="1157"/>
      <c r="AI100" s="1157"/>
      <c r="AJ100" s="1157"/>
      <c r="AK100" s="1157"/>
      <c r="AL100" s="1157"/>
      <c r="AM100" s="1157"/>
      <c r="AN100" s="1157"/>
      <c r="AO100" s="1157"/>
      <c r="AP100" s="667"/>
      <c r="AQ100" s="667"/>
      <c r="AR100" s="1614"/>
      <c r="AS100" s="667"/>
      <c r="AT100" s="667"/>
      <c r="AU100" s="667"/>
      <c r="AV100" s="667"/>
      <c r="AW100" s="667"/>
      <c r="AX100" s="667"/>
      <c r="AY100" s="667"/>
      <c r="AZ100" s="667"/>
      <c r="BA100" s="667"/>
      <c r="BB100" s="667"/>
      <c r="BC100" s="667"/>
      <c r="BE100" s="1194"/>
      <c r="BF100" s="1656">
        <f>SUM(BF97:BF98)/BF51</f>
        <v>0.28091599896319236</v>
      </c>
      <c r="BG100" s="1657">
        <f>SUM(BG97:BG98)/BG51</f>
        <v>0.25274378036112582</v>
      </c>
    </row>
    <row r="101" spans="1:59" x14ac:dyDescent="0.3">
      <c r="A101" s="76"/>
      <c r="B101" s="76"/>
      <c r="C101" s="84" t="s">
        <v>207</v>
      </c>
      <c r="D101" s="93"/>
      <c r="E101" s="93"/>
      <c r="F101" s="93"/>
      <c r="G101" s="85">
        <f>G78-G100</f>
        <v>0</v>
      </c>
      <c r="H101" s="631">
        <f t="shared" ref="H101:S101" si="136">H78-H96</f>
        <v>-96610.817352000115</v>
      </c>
      <c r="I101" s="667">
        <f t="shared" si="136"/>
        <v>27982.416120999987</v>
      </c>
      <c r="J101" s="667">
        <f t="shared" si="136"/>
        <v>390167.60000000003</v>
      </c>
      <c r="K101" s="667">
        <f t="shared" si="136"/>
        <v>58938.720000000074</v>
      </c>
      <c r="L101" s="667">
        <f t="shared" si="136"/>
        <v>141781.10000000015</v>
      </c>
      <c r="M101" s="667">
        <f t="shared" si="136"/>
        <v>225188.29999999984</v>
      </c>
      <c r="N101" s="667">
        <f t="shared" si="136"/>
        <v>402869.36860000005</v>
      </c>
      <c r="O101" s="667">
        <f t="shared" si="136"/>
        <v>277763.62999999989</v>
      </c>
      <c r="P101" s="667">
        <f t="shared" si="136"/>
        <v>369656.12999999995</v>
      </c>
      <c r="Q101" s="667">
        <f t="shared" si="136"/>
        <v>406453.98000000051</v>
      </c>
      <c r="R101" s="667">
        <f t="shared" si="136"/>
        <v>180827.18000000002</v>
      </c>
      <c r="S101" s="667">
        <f t="shared" si="136"/>
        <v>408634.1199999997</v>
      </c>
      <c r="T101" s="926">
        <f t="shared" ref="T101:AE101" si="137">T78-T98-T97</f>
        <v>60367.709999999846</v>
      </c>
      <c r="U101" s="926">
        <f t="shared" si="137"/>
        <v>215521.72000000003</v>
      </c>
      <c r="V101" s="926">
        <f t="shared" si="137"/>
        <v>45449.740000000049</v>
      </c>
      <c r="W101" s="926">
        <f t="shared" si="137"/>
        <v>-267558.75000000012</v>
      </c>
      <c r="X101" s="926">
        <f t="shared" si="137"/>
        <v>-129657.28000000003</v>
      </c>
      <c r="Y101" s="926">
        <f t="shared" si="137"/>
        <v>272402.87000000011</v>
      </c>
      <c r="Z101" s="1079">
        <f t="shared" si="137"/>
        <v>-21296.009999999864</v>
      </c>
      <c r="AA101" s="1079">
        <f t="shared" si="137"/>
        <v>503291.73999999982</v>
      </c>
      <c r="AB101" s="1079">
        <f t="shared" si="137"/>
        <v>229174.49000000017</v>
      </c>
      <c r="AC101" s="1079">
        <f t="shared" si="137"/>
        <v>131710.88</v>
      </c>
      <c r="AD101" s="1079">
        <f t="shared" si="137"/>
        <v>141785.92000000004</v>
      </c>
      <c r="AE101" s="1157">
        <f t="shared" si="137"/>
        <v>272679.06000000017</v>
      </c>
      <c r="AF101" s="1157">
        <f t="shared" ref="AF101:AK101" si="138">AF78-AF98-AF97</f>
        <v>-274522.69000000006</v>
      </c>
      <c r="AG101" s="1157">
        <f t="shared" si="138"/>
        <v>70480.610000000044</v>
      </c>
      <c r="AH101" s="1157">
        <f t="shared" si="138"/>
        <v>347362.27</v>
      </c>
      <c r="AI101" s="1157">
        <f t="shared" si="138"/>
        <v>203045.00999999995</v>
      </c>
      <c r="AJ101" s="1157">
        <f t="shared" si="138"/>
        <v>433407.77</v>
      </c>
      <c r="AK101" s="1157">
        <f t="shared" si="138"/>
        <v>198869.93</v>
      </c>
      <c r="AL101" s="1157">
        <f>AL78-AL98-AL97</f>
        <v>128786.09000000008</v>
      </c>
      <c r="AM101" s="1157">
        <f t="shared" ref="AM101:AQ101" si="139">AM78-AM98-AM97</f>
        <v>221706.43000000005</v>
      </c>
      <c r="AN101" s="1157">
        <f t="shared" ref="AN101" si="140">AN78-AN98-AN97</f>
        <v>222346.17999999982</v>
      </c>
      <c r="AO101" s="1157">
        <f t="shared" ref="AO101" si="141">AO78-AO98-AO97</f>
        <v>240211.76000000036</v>
      </c>
      <c r="AP101" s="667">
        <f t="shared" si="139"/>
        <v>377958.17718431604</v>
      </c>
      <c r="AQ101" s="667">
        <f t="shared" si="139"/>
        <v>463480.92267675936</v>
      </c>
      <c r="AR101" s="1614">
        <f>AR78-AR98-AR97-AR99</f>
        <v>315130.73042672046</v>
      </c>
      <c r="AS101" s="667">
        <f t="shared" ref="AS101:BC101" si="142">AS78-AS98-AS97-AS99</f>
        <v>545265.08665532467</v>
      </c>
      <c r="AT101" s="667">
        <f t="shared" si="142"/>
        <v>326491.0953301785</v>
      </c>
      <c r="AU101" s="667">
        <f t="shared" si="142"/>
        <v>502982.75868846884</v>
      </c>
      <c r="AV101" s="667">
        <f t="shared" si="142"/>
        <v>320898.7752803503</v>
      </c>
      <c r="AW101" s="667">
        <f t="shared" si="142"/>
        <v>315173.66919949505</v>
      </c>
      <c r="AX101" s="667">
        <f t="shared" si="142"/>
        <v>311621.98095497052</v>
      </c>
      <c r="AY101" s="667">
        <f t="shared" si="142"/>
        <v>561581.40215548431</v>
      </c>
      <c r="AZ101" s="667">
        <f t="shared" si="142"/>
        <v>351537.95097724302</v>
      </c>
      <c r="BA101" s="667">
        <f t="shared" si="142"/>
        <v>302443.24182173266</v>
      </c>
      <c r="BB101" s="667">
        <f t="shared" si="142"/>
        <v>299451.50646173261</v>
      </c>
      <c r="BC101" s="667">
        <f t="shared" si="142"/>
        <v>296215.0421299552</v>
      </c>
      <c r="BE101" s="1194">
        <f t="shared" ref="BE101" si="143">BE78-BE96</f>
        <v>3089254.08</v>
      </c>
      <c r="BF101" s="1549">
        <f>SUM(AF101:AQ101)</f>
        <v>2633132.459861075</v>
      </c>
      <c r="BG101" s="1194">
        <f>SUM(AR101:BC101)</f>
        <v>4448793.2400816558</v>
      </c>
    </row>
    <row r="102" spans="1:59" x14ac:dyDescent="0.3">
      <c r="A102" s="76"/>
      <c r="B102" s="76"/>
      <c r="C102" s="1452" t="s">
        <v>1310</v>
      </c>
      <c r="D102" s="93"/>
      <c r="E102" s="93"/>
      <c r="F102" s="93"/>
      <c r="G102" s="85"/>
      <c r="H102" s="631"/>
      <c r="I102" s="667"/>
      <c r="J102" s="667"/>
      <c r="K102" s="667"/>
      <c r="L102" s="667"/>
      <c r="M102" s="667"/>
      <c r="N102" s="667"/>
      <c r="O102" s="667"/>
      <c r="P102" s="667"/>
      <c r="Q102" s="667"/>
      <c r="R102" s="667"/>
      <c r="S102" s="667"/>
      <c r="T102" s="926"/>
      <c r="U102" s="926"/>
      <c r="V102" s="926"/>
      <c r="W102" s="926"/>
      <c r="X102" s="926"/>
      <c r="Y102" s="926"/>
      <c r="Z102" s="1079"/>
      <c r="AA102" s="1079"/>
      <c r="AB102" s="1079"/>
      <c r="AC102" s="1079"/>
      <c r="AD102" s="1079"/>
      <c r="AE102" s="1157"/>
      <c r="AF102" s="1155">
        <f>ROUND(AF101-('MXD P&amp;L'!N216-'MXD P&amp;L'!N108),3)</f>
        <v>0</v>
      </c>
      <c r="AG102" s="1155">
        <f>ROUND(AG101-('MXD P&amp;L'!O216-'MXD P&amp;L'!O108),3)</f>
        <v>0</v>
      </c>
      <c r="AH102" s="1155">
        <f>ROUND(AH101-('MXD P&amp;L'!P216-'MXD P&amp;L'!P108),3)</f>
        <v>0</v>
      </c>
      <c r="AI102" s="1155">
        <f>ROUND(AI101-('MXD P&amp;L'!Q216-'MXD P&amp;L'!Q108),3)</f>
        <v>0</v>
      </c>
      <c r="AJ102" s="1155">
        <f>ROUND(AJ101-('MXD P&amp;L'!R216-'MXD P&amp;L'!R108),3)</f>
        <v>0</v>
      </c>
      <c r="AK102" s="1155">
        <f>ROUND(AK101-'HEC Financials'!AZ76-('MXD P&amp;L'!S216-'MXD P&amp;L'!S108),3)</f>
        <v>0</v>
      </c>
      <c r="AL102" s="1155">
        <f>ROUND(AL101-'HEC Financials'!BA76-('MXD P&amp;L'!T216-'MXD P&amp;L'!T108),3)-(AL49-AL73)</f>
        <v>0</v>
      </c>
      <c r="AM102" s="1155">
        <f>ROUND(AM101-'HEC Financials'!BB76-('MXD P&amp;L'!U216-'MXD P&amp;L'!U108),3)-(AM49-AM73)</f>
        <v>0</v>
      </c>
      <c r="AN102" s="1155">
        <f>ROUND(AN101-'HEC Financials'!BC76-('MXD P&amp;L'!V216-'MXD P&amp;L'!V108),3)-(AN49-AN73)</f>
        <v>0</v>
      </c>
      <c r="AO102" s="1155">
        <f>ROUND(AO101-'HEC Financials'!BD76-('MXD P&amp;L'!W216-'MXD P&amp;L'!W108),3)-(AO49-AO73)</f>
        <v>0</v>
      </c>
      <c r="AP102" s="667">
        <f>ROUND(AP101-'HEC Financials'!BE76-('MXD P&amp;L'!X216-'MXD P&amp;L'!X108),2)</f>
        <v>221273.43</v>
      </c>
      <c r="AQ102" s="667">
        <f>ROUND(AQ101-'HEC Financials'!BF76-('MXD P&amp;L'!Y216-'MXD P&amp;L'!Y108),2)</f>
        <v>326221.87</v>
      </c>
      <c r="AR102" s="1614">
        <f>ROUND(AR101-'HEC Financials'!BG76-('MXD P&amp;L'!Z216-'MXD P&amp;L'!Z108),2)</f>
        <v>170082.64</v>
      </c>
      <c r="AS102" s="667">
        <f>ROUND(AS101-'HEC Financials'!BH76-('MXD P&amp;L'!AA216-'MXD P&amp;L'!AA108),2)</f>
        <v>401892.05</v>
      </c>
      <c r="AT102" s="667">
        <f>ROUND(AT101-'HEC Financials'!BI76-('MXD P&amp;L'!AB216-'MXD P&amp;L'!AB108),2)</f>
        <v>181114.75</v>
      </c>
      <c r="AU102" s="667">
        <f>ROUND(AU101-'HEC Financials'!BJ76-('MXD P&amp;L'!AC216-'MXD P&amp;L'!AC108),2)</f>
        <v>502982.76</v>
      </c>
      <c r="AV102" s="667">
        <f>ROUND(AV101-'HEC Financials'!BK76-('MXD P&amp;L'!AD216-'MXD P&amp;L'!AD108),2)</f>
        <v>320898.78000000003</v>
      </c>
      <c r="AW102" s="667">
        <f>ROUND(AW101-'HEC Financials'!BL76-('MXD P&amp;L'!AE216-'MXD P&amp;L'!AE108),2)</f>
        <v>315173.67</v>
      </c>
      <c r="AX102" s="667">
        <f>ROUND(AX101-'HEC Financials'!BM76-('MXD P&amp;L'!AF216-'MXD P&amp;L'!AF108),2)</f>
        <v>311621.98</v>
      </c>
      <c r="AY102" s="667">
        <f>ROUND(AY101-'HEC Financials'!BN76-('MXD P&amp;L'!AG216-'MXD P&amp;L'!AG108),2)</f>
        <v>561581.4</v>
      </c>
      <c r="AZ102" s="667">
        <f>ROUND(AZ101-'HEC Financials'!BO76-('MXD P&amp;L'!AH216-'MXD P&amp;L'!AH108),2)</f>
        <v>351537.95</v>
      </c>
      <c r="BA102" s="667">
        <f>ROUND(BA101-'HEC Financials'!BP76-('MXD P&amp;L'!AI216-'MXD P&amp;L'!AI108),2)</f>
        <v>302443.24</v>
      </c>
      <c r="BB102" s="667">
        <f>ROUND(BB101-'HEC Financials'!BQ76-('MXD P&amp;L'!AJ216-'MXD P&amp;L'!AJ108),2)</f>
        <v>299451.51</v>
      </c>
      <c r="BC102" s="667">
        <f>ROUND(BC101-'HEC Financials'!BR76-('MXD P&amp;L'!AK216-'MXD P&amp;L'!AK108),2)</f>
        <v>296215.03999999998</v>
      </c>
      <c r="BE102" s="1194"/>
      <c r="BF102" s="1554"/>
      <c r="BG102" s="1194"/>
    </row>
    <row r="103" spans="1:59" ht="15.75" customHeight="1" x14ac:dyDescent="0.3">
      <c r="A103" s="76"/>
      <c r="B103" s="76"/>
      <c r="C103" s="63" t="s">
        <v>181</v>
      </c>
      <c r="D103" s="76"/>
      <c r="E103" s="76"/>
      <c r="F103" s="76"/>
      <c r="G103" s="97"/>
      <c r="H103" s="618"/>
      <c r="I103" s="629"/>
      <c r="J103" s="629"/>
      <c r="K103" s="629"/>
      <c r="L103" s="629"/>
      <c r="M103" s="629"/>
      <c r="N103" s="629"/>
      <c r="O103" s="629"/>
      <c r="P103" s="629"/>
      <c r="Q103" s="629"/>
      <c r="R103" s="629"/>
      <c r="S103" s="629"/>
      <c r="T103" s="924"/>
      <c r="U103" s="924"/>
      <c r="V103" s="924"/>
      <c r="W103" s="924"/>
      <c r="X103" s="924"/>
      <c r="Y103" s="924"/>
      <c r="Z103" s="1076"/>
      <c r="AA103" s="1076"/>
      <c r="AB103" s="1076"/>
      <c r="AC103" s="1076"/>
      <c r="AD103" s="1076"/>
      <c r="AE103" s="1155"/>
      <c r="AF103" s="1155"/>
      <c r="AG103" s="1155"/>
      <c r="AH103" s="1155"/>
      <c r="AI103" s="1155"/>
      <c r="AJ103" s="1155"/>
      <c r="AK103" s="1155"/>
      <c r="AL103" s="1155"/>
      <c r="AM103" s="1155"/>
      <c r="AN103" s="1155"/>
      <c r="AO103" s="1155"/>
      <c r="AP103" s="629"/>
      <c r="AQ103" s="629"/>
      <c r="AR103" s="618"/>
      <c r="AS103" s="629"/>
      <c r="AT103" s="629"/>
      <c r="AU103" s="629"/>
      <c r="AV103" s="629"/>
      <c r="AW103" s="629"/>
      <c r="AX103" s="629"/>
      <c r="AY103" s="629"/>
      <c r="AZ103" s="629"/>
      <c r="BA103" s="629"/>
      <c r="BB103" s="629"/>
      <c r="BC103" s="629"/>
      <c r="BE103" s="1184"/>
      <c r="BF103" s="1240"/>
      <c r="BG103" s="1184"/>
    </row>
    <row r="104" spans="1:59" ht="15.6" customHeight="1" x14ac:dyDescent="0.3">
      <c r="C104" s="57" t="s">
        <v>181</v>
      </c>
      <c r="E104" s="59"/>
      <c r="F104" s="56"/>
      <c r="G104" s="61"/>
      <c r="H104" s="618">
        <f>'Rev and COGS'!E23</f>
        <v>56.07</v>
      </c>
      <c r="I104" s="629">
        <f>'Rev and COGS'!H23</f>
        <v>57.98</v>
      </c>
      <c r="J104" s="629">
        <f>'Rev and COGS'!K23</f>
        <v>21.58</v>
      </c>
      <c r="K104" s="629">
        <f>'Rev and COGS'!N23</f>
        <v>10.670000000000019</v>
      </c>
      <c r="L104" s="629">
        <f>'Rev and COGS'!Q23</f>
        <v>8.52</v>
      </c>
      <c r="M104" s="629">
        <f>'Rev and COGS'!T23</f>
        <v>13.240000000000011</v>
      </c>
      <c r="N104" s="629">
        <f>'Rev and COGS'!W23</f>
        <v>14.06</v>
      </c>
      <c r="O104" s="629">
        <f>'Rev and COGS'!Z23</f>
        <v>14.88</v>
      </c>
      <c r="P104" s="629">
        <f>'Rev and COGS'!AC23</f>
        <v>16.809999999999999</v>
      </c>
      <c r="Q104" s="629">
        <f>'Rev and COGS'!AF23</f>
        <v>17.050000000000011</v>
      </c>
      <c r="R104" s="629">
        <f>'Rev and COGS'!AI23</f>
        <v>19.30999999999997</v>
      </c>
      <c r="S104" s="629">
        <f>'Rev and COGS'!AL23</f>
        <v>19.430000000000039</v>
      </c>
      <c r="T104" s="924">
        <f>'Rev and COGS'!AN23</f>
        <v>66.650000000000006</v>
      </c>
      <c r="U104" s="924">
        <f>'Rev and COGS'!AO23</f>
        <v>80.06</v>
      </c>
      <c r="V104" s="929">
        <f>'Rev and COGS'!AP23</f>
        <v>56.01</v>
      </c>
      <c r="W104" s="929">
        <f>'Rev and COGS'!AQ23</f>
        <v>23.5</v>
      </c>
      <c r="X104" s="929">
        <f>'Rev and COGS'!AR23</f>
        <v>237.29</v>
      </c>
      <c r="Y104" s="929">
        <f>'Rev and COGS'!AS23</f>
        <v>407.24</v>
      </c>
      <c r="Z104" s="1077">
        <f>'Rev and COGS'!AT23</f>
        <v>239.07</v>
      </c>
      <c r="AA104" s="1076">
        <f>'Rev and COGS'!AU23</f>
        <v>1289.8399999999999</v>
      </c>
      <c r="AB104" s="1076">
        <f>'Rev and COGS'!AV23</f>
        <v>1423.24</v>
      </c>
      <c r="AC104" s="1076">
        <f>'Rev and COGS'!AW23</f>
        <v>2300.9</v>
      </c>
      <c r="AD104" s="1076">
        <f>'Rev and COGS'!AX23</f>
        <v>2219.6</v>
      </c>
      <c r="AE104" s="1155">
        <f>'Rev and COGS'!AY23</f>
        <v>2669.64</v>
      </c>
      <c r="AF104" s="1155">
        <f>'Rev and COGS'!AZ23+'Rev and COGS'!AZ24+'Rev and COGS'!AZ13</f>
        <v>2420.11</v>
      </c>
      <c r="AG104" s="1155">
        <f>'Rev and COGS'!BA23+'Rev and COGS'!BA24+'Rev and COGS'!BA13</f>
        <v>2142.6</v>
      </c>
      <c r="AH104" s="1155">
        <f>'Rev and COGS'!BB23+'Rev and COGS'!BB24+'Rev and COGS'!BB13</f>
        <v>0</v>
      </c>
      <c r="AI104" s="1155">
        <f>'Rev and COGS'!BC23+'Rev and COGS'!BC24+'Rev and COGS'!BC13</f>
        <v>0</v>
      </c>
      <c r="AJ104" s="1155">
        <f>'Rev and COGS'!BD23+'Rev and COGS'!BD24+'Rev and COGS'!BD13</f>
        <v>0</v>
      </c>
      <c r="AK104" s="1155">
        <f>'MXD P&amp;L'!S108+'HEC Financials'!AZ83</f>
        <v>2191.9899999999998</v>
      </c>
      <c r="AL104" s="1155">
        <f>'MXD P&amp;L'!T108+'HEC Financials'!BA83</f>
        <v>4561.93</v>
      </c>
      <c r="AM104" s="1155">
        <f>'MXD P&amp;L'!U108+'HEC Financials'!BB83</f>
        <v>10913.57</v>
      </c>
      <c r="AN104" s="1155">
        <f>'MXD P&amp;L'!V108+'HEC Financials'!BC83</f>
        <v>1205.79</v>
      </c>
      <c r="AO104" s="1155">
        <f>'MXD P&amp;L'!W108+'HEC Financials'!BD83</f>
        <v>10946.05</v>
      </c>
      <c r="AP104" s="629">
        <f t="shared" ref="AP104:AQ104" si="144">AVERAGE(AL104:AO104)</f>
        <v>6906.835</v>
      </c>
      <c r="AQ104" s="629">
        <f t="shared" si="144"/>
        <v>7493.0612499999997</v>
      </c>
      <c r="AR104" s="618">
        <f>AVERAGE(AF104:AQ104)</f>
        <v>4065.1613541666666</v>
      </c>
      <c r="AS104" s="629">
        <f t="shared" ref="AS104:BC104" si="145">AVERAGE(AG104:AR104)</f>
        <v>4202.2489670138884</v>
      </c>
      <c r="AT104" s="629">
        <f t="shared" si="145"/>
        <v>4373.8863809317127</v>
      </c>
      <c r="AU104" s="629">
        <f t="shared" si="145"/>
        <v>4738.3769126760226</v>
      </c>
      <c r="AV104" s="629">
        <f t="shared" si="145"/>
        <v>5133.2416553990242</v>
      </c>
      <c r="AW104" s="629">
        <f t="shared" si="145"/>
        <v>5561.0117933489428</v>
      </c>
      <c r="AX104" s="629">
        <f t="shared" si="145"/>
        <v>5841.7636094613554</v>
      </c>
      <c r="AY104" s="629">
        <f t="shared" si="145"/>
        <v>5948.4164102498007</v>
      </c>
      <c r="AZ104" s="629">
        <f t="shared" si="145"/>
        <v>5534.6536111039504</v>
      </c>
      <c r="BA104" s="629">
        <f t="shared" si="145"/>
        <v>5895.3922453626137</v>
      </c>
      <c r="BB104" s="629">
        <f t="shared" si="145"/>
        <v>5474.5040991428323</v>
      </c>
      <c r="BC104" s="629">
        <f t="shared" si="145"/>
        <v>5355.1431907380684</v>
      </c>
      <c r="BE104" s="1184">
        <f>SUM(T104:AE104)</f>
        <v>11013.039999999999</v>
      </c>
      <c r="BF104" s="1240">
        <f>SUM(AF104:AQ104)</f>
        <v>48781.936249999999</v>
      </c>
      <c r="BG104" s="1184">
        <f>SUM(AR104:BC104)</f>
        <v>62123.80022959489</v>
      </c>
    </row>
    <row r="105" spans="1:59" ht="15.75" customHeight="1" x14ac:dyDescent="0.3">
      <c r="C105" s="1431" t="s">
        <v>9</v>
      </c>
      <c r="D105" s="1432"/>
      <c r="E105" s="1433"/>
      <c r="F105" s="1434"/>
      <c r="G105" s="1435"/>
      <c r="H105" s="1436">
        <f>'Rev and COGS'!E25</f>
        <v>20.53</v>
      </c>
      <c r="I105" s="1437">
        <f>'Rev and COGS'!H25</f>
        <v>1.0000000000005119E-2</v>
      </c>
      <c r="J105" s="1437">
        <f>'Rev and COGS'!K25</f>
        <v>16000</v>
      </c>
      <c r="K105" s="1437">
        <f>'Rev and COGS'!N25</f>
        <v>1000.660000000002</v>
      </c>
      <c r="L105" s="1437">
        <f>'Rev and COGS'!Q25</f>
        <v>1000</v>
      </c>
      <c r="M105" s="1437">
        <f>'Rev and COGS'!T25</f>
        <v>1000</v>
      </c>
      <c r="N105" s="1437">
        <f>'Rev and COGS'!W25</f>
        <v>1000</v>
      </c>
      <c r="O105" s="1437">
        <f>'Rev and COGS'!Z25</f>
        <v>1000</v>
      </c>
      <c r="P105" s="1437">
        <f>'Rev and COGS'!AC25</f>
        <v>1000</v>
      </c>
      <c r="Q105" s="1437">
        <f>'Rev and COGS'!AF25</f>
        <v>1000</v>
      </c>
      <c r="R105" s="1437">
        <f>'Rev and COGS'!AI25</f>
        <v>1000</v>
      </c>
      <c r="S105" s="1437">
        <f>'Rev and COGS'!AL25</f>
        <v>1000</v>
      </c>
      <c r="T105" s="1438">
        <f>'Rev and COGS'!AN25</f>
        <v>0</v>
      </c>
      <c r="U105" s="1438">
        <f>'Rev and COGS'!AO25</f>
        <v>1000</v>
      </c>
      <c r="V105" s="1438">
        <f>'Rev and COGS'!AP25</f>
        <v>823.77</v>
      </c>
      <c r="W105" s="1438">
        <f>'Rev and COGS'!AQ25</f>
        <v>1992.43</v>
      </c>
      <c r="X105" s="1438">
        <f>'Rev and COGS'!AR25</f>
        <v>1027.26</v>
      </c>
      <c r="Y105" s="1438">
        <f>'Rev and COGS'!AS25</f>
        <v>6428.55</v>
      </c>
      <c r="Z105" s="1439">
        <f>'Rev and COGS'!AT25</f>
        <v>1203.96</v>
      </c>
      <c r="AA105" s="1439">
        <f>'Rev and COGS'!AU25</f>
        <v>96.41</v>
      </c>
      <c r="AB105" s="1439">
        <f>'Rev and COGS'!AV25</f>
        <v>1127.3399999999999</v>
      </c>
      <c r="AC105" s="1439">
        <f>'Rev and COGS'!AW25</f>
        <v>2065.04</v>
      </c>
      <c r="AD105" s="1439">
        <f>'Rev and COGS'!AX25</f>
        <v>1038.25</v>
      </c>
      <c r="AE105" s="1440">
        <f>'Rev and COGS'!AY25</f>
        <v>4205.42</v>
      </c>
      <c r="AF105" s="1440">
        <f>'Rev and COGS'!AZ25</f>
        <v>31.01</v>
      </c>
      <c r="AG105" s="1440">
        <f>'Rev and COGS'!BA25</f>
        <v>2067.4499999999998</v>
      </c>
      <c r="AH105" s="1440">
        <f>'Rev and COGS'!BB25</f>
        <v>-250.76</v>
      </c>
      <c r="AI105" s="1440">
        <f>'Rev and COGS'!BC25</f>
        <v>3020.88</v>
      </c>
      <c r="AJ105" s="1440">
        <f>'Rev and COGS'!BD25</f>
        <v>2805.83</v>
      </c>
      <c r="AK105" s="1440"/>
      <c r="AL105" s="1440"/>
      <c r="AM105" s="1440"/>
      <c r="AN105" s="1440"/>
      <c r="AO105" s="1440"/>
      <c r="AP105" s="1437"/>
      <c r="AQ105" s="1437"/>
      <c r="AR105" s="1436"/>
      <c r="AS105" s="1437"/>
      <c r="AT105" s="1437"/>
      <c r="AU105" s="1437"/>
      <c r="AV105" s="1437"/>
      <c r="AW105" s="1437"/>
      <c r="AX105" s="1437"/>
      <c r="AY105" s="1437"/>
      <c r="AZ105" s="1437"/>
      <c r="BA105" s="1437"/>
      <c r="BB105" s="1437"/>
      <c r="BC105" s="1437"/>
      <c r="BE105" s="1441">
        <f>SUM(T105:AE105)</f>
        <v>21008.43</v>
      </c>
      <c r="BF105" s="1555">
        <f>SUM(AF105:AQ105)</f>
        <v>7674.41</v>
      </c>
      <c r="BG105" s="1441">
        <f>SUM(AR105:BC105)</f>
        <v>0</v>
      </c>
    </row>
    <row r="106" spans="1:59" ht="15.75" customHeight="1" x14ac:dyDescent="0.3">
      <c r="C106" s="103" t="s">
        <v>857</v>
      </c>
      <c r="E106" s="63"/>
      <c r="F106" s="56"/>
      <c r="G106" s="61"/>
      <c r="H106" s="618">
        <f>SUM(H104:H105)</f>
        <v>76.599999999999994</v>
      </c>
      <c r="I106" s="629">
        <f t="shared" ref="I106:AQ106" si="146">SUM(I104:I105)</f>
        <v>57.99</v>
      </c>
      <c r="J106" s="629">
        <f t="shared" si="146"/>
        <v>16021.58</v>
      </c>
      <c r="K106" s="629">
        <f t="shared" si="146"/>
        <v>1011.3300000000021</v>
      </c>
      <c r="L106" s="629">
        <f t="shared" si="146"/>
        <v>1008.52</v>
      </c>
      <c r="M106" s="629">
        <f t="shared" si="146"/>
        <v>1013.24</v>
      </c>
      <c r="N106" s="629">
        <f t="shared" si="146"/>
        <v>1014.06</v>
      </c>
      <c r="O106" s="629">
        <f t="shared" si="146"/>
        <v>1014.88</v>
      </c>
      <c r="P106" s="629">
        <f t="shared" si="146"/>
        <v>1016.81</v>
      </c>
      <c r="Q106" s="629">
        <f t="shared" si="146"/>
        <v>1017.05</v>
      </c>
      <c r="R106" s="629">
        <f t="shared" si="146"/>
        <v>1019.31</v>
      </c>
      <c r="S106" s="629">
        <f t="shared" si="146"/>
        <v>1019.4300000000001</v>
      </c>
      <c r="T106" s="924">
        <f t="shared" si="146"/>
        <v>66.650000000000006</v>
      </c>
      <c r="U106" s="924">
        <f t="shared" si="146"/>
        <v>1080.06</v>
      </c>
      <c r="V106" s="924">
        <f t="shared" si="146"/>
        <v>879.78</v>
      </c>
      <c r="W106" s="924">
        <f t="shared" si="146"/>
        <v>2015.93</v>
      </c>
      <c r="X106" s="924">
        <f t="shared" si="146"/>
        <v>1264.55</v>
      </c>
      <c r="Y106" s="924">
        <f t="shared" si="146"/>
        <v>6835.79</v>
      </c>
      <c r="Z106" s="1076">
        <f t="shared" si="146"/>
        <v>1443.03</v>
      </c>
      <c r="AA106" s="1076">
        <f t="shared" si="146"/>
        <v>1386.25</v>
      </c>
      <c r="AB106" s="1076">
        <f t="shared" si="146"/>
        <v>2550.58</v>
      </c>
      <c r="AC106" s="1076">
        <f t="shared" si="146"/>
        <v>4365.9400000000005</v>
      </c>
      <c r="AD106" s="1076">
        <f t="shared" si="146"/>
        <v>3257.85</v>
      </c>
      <c r="AE106" s="1155">
        <f t="shared" si="146"/>
        <v>6875.0599999999995</v>
      </c>
      <c r="AF106" s="1155">
        <f t="shared" si="146"/>
        <v>2451.1200000000003</v>
      </c>
      <c r="AG106" s="1155">
        <f t="shared" si="146"/>
        <v>4210.0499999999993</v>
      </c>
      <c r="AH106" s="1155">
        <f t="shared" si="146"/>
        <v>-250.76</v>
      </c>
      <c r="AI106" s="1155">
        <f t="shared" si="146"/>
        <v>3020.88</v>
      </c>
      <c r="AJ106" s="1155">
        <f t="shared" si="146"/>
        <v>2805.83</v>
      </c>
      <c r="AK106" s="1155">
        <f t="shared" si="146"/>
        <v>2191.9899999999998</v>
      </c>
      <c r="AL106" s="1155">
        <f t="shared" si="146"/>
        <v>4561.93</v>
      </c>
      <c r="AM106" s="1155">
        <f t="shared" si="146"/>
        <v>10913.57</v>
      </c>
      <c r="AN106" s="1155">
        <f t="shared" ref="AN106" si="147">SUM(AN104:AN105)</f>
        <v>1205.79</v>
      </c>
      <c r="AO106" s="1155">
        <f t="shared" ref="AO106" si="148">SUM(AO104:AO105)</f>
        <v>10946.05</v>
      </c>
      <c r="AP106" s="629">
        <f t="shared" si="146"/>
        <v>6906.835</v>
      </c>
      <c r="AQ106" s="629">
        <f t="shared" si="146"/>
        <v>7493.0612499999997</v>
      </c>
      <c r="AR106" s="618">
        <f t="shared" ref="AR106:BC106" si="149">SUM(AR104:AR105)</f>
        <v>4065.1613541666666</v>
      </c>
      <c r="AS106" s="629">
        <f t="shared" si="149"/>
        <v>4202.2489670138884</v>
      </c>
      <c r="AT106" s="629">
        <f t="shared" si="149"/>
        <v>4373.8863809317127</v>
      </c>
      <c r="AU106" s="629">
        <f t="shared" si="149"/>
        <v>4738.3769126760226</v>
      </c>
      <c r="AV106" s="629">
        <f t="shared" si="149"/>
        <v>5133.2416553990242</v>
      </c>
      <c r="AW106" s="629">
        <f t="shared" si="149"/>
        <v>5561.0117933489428</v>
      </c>
      <c r="AX106" s="629">
        <f t="shared" si="149"/>
        <v>5841.7636094613554</v>
      </c>
      <c r="AY106" s="629">
        <f t="shared" si="149"/>
        <v>5948.4164102498007</v>
      </c>
      <c r="AZ106" s="629">
        <f t="shared" si="149"/>
        <v>5534.6536111039504</v>
      </c>
      <c r="BA106" s="629">
        <f t="shared" si="149"/>
        <v>5895.3922453626137</v>
      </c>
      <c r="BB106" s="629">
        <f t="shared" si="149"/>
        <v>5474.5040991428323</v>
      </c>
      <c r="BC106" s="629">
        <f t="shared" si="149"/>
        <v>5355.1431907380684</v>
      </c>
      <c r="BE106" s="1184"/>
      <c r="BF106" s="1240"/>
      <c r="BG106" s="1184">
        <f>SUM(AR106:BC106)</f>
        <v>62123.80022959489</v>
      </c>
    </row>
    <row r="107" spans="1:59" ht="15.75" customHeight="1" x14ac:dyDescent="0.3">
      <c r="C107" s="1429" t="s">
        <v>1047</v>
      </c>
      <c r="E107" s="63"/>
      <c r="F107" s="56"/>
      <c r="G107" s="61"/>
      <c r="H107" s="618"/>
      <c r="I107" s="629"/>
      <c r="J107" s="629"/>
      <c r="K107" s="629"/>
      <c r="L107" s="629"/>
      <c r="M107" s="629"/>
      <c r="N107" s="629"/>
      <c r="O107" s="629"/>
      <c r="P107" s="629"/>
      <c r="Q107" s="629"/>
      <c r="R107" s="629"/>
      <c r="S107" s="629"/>
      <c r="T107" s="924"/>
      <c r="U107" s="924"/>
      <c r="V107" s="924"/>
      <c r="W107" s="924"/>
      <c r="X107" s="924"/>
      <c r="Y107" s="924"/>
      <c r="Z107" s="1076"/>
      <c r="AA107" s="1076"/>
      <c r="AB107" s="1076"/>
      <c r="AC107" s="1076"/>
      <c r="AD107" s="1076"/>
      <c r="AE107" s="1155"/>
      <c r="AF107" s="1155"/>
      <c r="AG107" s="1155"/>
      <c r="AH107" s="1155"/>
      <c r="AI107" s="1155"/>
      <c r="AJ107" s="1155"/>
      <c r="AK107" s="1155"/>
      <c r="AL107" s="1155"/>
      <c r="AM107" s="1155"/>
      <c r="AN107" s="1155"/>
      <c r="AO107" s="1155"/>
      <c r="AP107" s="629"/>
      <c r="AQ107" s="629"/>
      <c r="AR107" s="618"/>
      <c r="AS107" s="629"/>
      <c r="AT107" s="629"/>
      <c r="AU107" s="629"/>
      <c r="AV107" s="629"/>
      <c r="AW107" s="629"/>
      <c r="AX107" s="629"/>
      <c r="AY107" s="629"/>
      <c r="AZ107" s="629"/>
      <c r="BA107" s="629"/>
      <c r="BB107" s="629"/>
      <c r="BC107" s="629"/>
      <c r="BE107" s="1184"/>
      <c r="BF107" s="1240"/>
      <c r="BG107" s="1184"/>
    </row>
    <row r="108" spans="1:59" ht="15.75" customHeight="1" x14ac:dyDescent="0.3">
      <c r="C108" s="57" t="s">
        <v>52</v>
      </c>
      <c r="E108" s="63"/>
      <c r="F108" s="56"/>
      <c r="G108" s="61"/>
      <c r="H108" s="618"/>
      <c r="I108" s="629"/>
      <c r="J108" s="629"/>
      <c r="K108" s="629"/>
      <c r="L108" s="629"/>
      <c r="M108" s="629"/>
      <c r="N108" s="629"/>
      <c r="O108" s="629"/>
      <c r="P108" s="629"/>
      <c r="Q108" s="629"/>
      <c r="R108" s="629"/>
      <c r="S108" s="629"/>
      <c r="T108" s="924"/>
      <c r="U108" s="924"/>
      <c r="V108" s="924"/>
      <c r="W108" s="924"/>
      <c r="X108" s="924"/>
      <c r="Y108" s="924"/>
      <c r="Z108" s="1076"/>
      <c r="AA108" s="1076"/>
      <c r="AB108" s="1076"/>
      <c r="AC108" s="1076"/>
      <c r="AD108" s="1076"/>
      <c r="AE108" s="1155"/>
      <c r="AF108" s="1155"/>
      <c r="AG108" s="1155"/>
      <c r="AH108" s="1155"/>
      <c r="AI108" s="1155"/>
      <c r="AJ108" s="1155"/>
      <c r="AK108" s="1155">
        <f>'HEC Financials'!AZ85</f>
        <v>0</v>
      </c>
      <c r="AL108" s="1155">
        <f>'HEC Financials'!BA85</f>
        <v>0</v>
      </c>
      <c r="AM108" s="1155">
        <f>'HEC Financials'!BB85</f>
        <v>247.75</v>
      </c>
      <c r="AN108" s="1155">
        <f>'HEC Financials'!BC85</f>
        <v>0</v>
      </c>
      <c r="AO108" s="1155">
        <f>'HEC Financials'!BD85</f>
        <v>0</v>
      </c>
      <c r="AP108" s="629"/>
      <c r="AQ108" s="629"/>
      <c r="AR108" s="618"/>
      <c r="AS108" s="629"/>
      <c r="AT108" s="629"/>
      <c r="AU108" s="629"/>
      <c r="AV108" s="629"/>
      <c r="AW108" s="629"/>
      <c r="AX108" s="629"/>
      <c r="AY108" s="629"/>
      <c r="AZ108" s="629"/>
      <c r="BA108" s="629"/>
      <c r="BB108" s="629"/>
      <c r="BC108" s="629"/>
      <c r="BE108" s="1184"/>
      <c r="BF108" s="1240">
        <f t="shared" ref="BF108:BF115" si="150">SUM(AF108:AQ108)</f>
        <v>247.75</v>
      </c>
      <c r="BG108" s="1184">
        <f>SUM(AR108:BC108)</f>
        <v>0</v>
      </c>
    </row>
    <row r="109" spans="1:59" s="79" customFormat="1" ht="15.75" customHeight="1" x14ac:dyDescent="0.3">
      <c r="A109" s="76"/>
      <c r="B109" s="76"/>
      <c r="C109" s="57" t="s">
        <v>1199</v>
      </c>
      <c r="D109" s="76"/>
      <c r="E109" s="76"/>
      <c r="F109" s="1265"/>
      <c r="G109" s="476"/>
      <c r="H109" s="1267"/>
      <c r="I109" s="1267"/>
      <c r="J109" s="1267"/>
      <c r="K109" s="1267"/>
      <c r="L109" s="1267"/>
      <c r="M109" s="1267"/>
      <c r="N109" s="1267"/>
      <c r="O109" s="1267"/>
      <c r="P109" s="1267"/>
      <c r="Q109" s="1267"/>
      <c r="R109" s="1267"/>
      <c r="S109" s="1267"/>
      <c r="T109" s="1268"/>
      <c r="U109" s="1268"/>
      <c r="V109" s="1268"/>
      <c r="W109" s="1268"/>
      <c r="X109" s="1268"/>
      <c r="Y109" s="1268"/>
      <c r="Z109" s="1269"/>
      <c r="AA109" s="1269"/>
      <c r="AB109" s="1269"/>
      <c r="AC109" s="1269"/>
      <c r="AD109" s="1269"/>
      <c r="AE109" s="1270"/>
      <c r="AF109" s="1155"/>
      <c r="AG109" s="1155"/>
      <c r="AH109" s="1155"/>
      <c r="AI109" s="1155"/>
      <c r="AJ109" s="1155"/>
      <c r="AK109" s="1155">
        <f>'HEC Financials'!AZ86</f>
        <v>13099.53</v>
      </c>
      <c r="AL109" s="1155">
        <f>'HEC Financials'!BA86</f>
        <v>13407.44</v>
      </c>
      <c r="AM109" s="1155">
        <f>'HEC Financials'!BB86</f>
        <v>12628.39</v>
      </c>
      <c r="AN109" s="1155">
        <f>'HEC Financials'!BC86</f>
        <v>10954.85</v>
      </c>
      <c r="AO109" s="1155">
        <f>'HEC Financials'!BD86</f>
        <v>11934.22</v>
      </c>
      <c r="AP109" s="1267">
        <f ca="1">'HEC 1L Debt'!Q31*1000</f>
        <v>9980</v>
      </c>
      <c r="AQ109" s="1267">
        <f ca="1">'HEC 1L Debt'!R31*1000</f>
        <v>9600</v>
      </c>
      <c r="AR109" s="1266">
        <f ca="1">'HEC 1L Debt'!S31*1000</f>
        <v>9850</v>
      </c>
      <c r="AS109" s="1267">
        <f ca="1">'HEC 1L Debt'!T31*1000</f>
        <v>9790</v>
      </c>
      <c r="AT109" s="1267">
        <f ca="1">'HEC 1L Debt'!U31*1000</f>
        <v>9100</v>
      </c>
      <c r="AU109" s="1267">
        <f ca="1">'HEC 1L Debt'!V31*1000</f>
        <v>9660</v>
      </c>
      <c r="AV109" s="1267">
        <f ca="1">'HEC 1L Debt'!W31*1000</f>
        <v>9290</v>
      </c>
      <c r="AW109" s="1267">
        <f ca="1">'HEC 1L Debt'!X31*1000</f>
        <v>9530</v>
      </c>
      <c r="AX109" s="1267">
        <f ca="1">'HEC 1L Debt'!Y31*1000</f>
        <v>9160</v>
      </c>
      <c r="AY109" s="1267">
        <f ca="1">'HEC 1L Debt'!Z31*1000</f>
        <v>9400</v>
      </c>
      <c r="AZ109" s="1267">
        <f ca="1">'HEC 1L Debt'!AA31*1000</f>
        <v>9330</v>
      </c>
      <c r="BA109" s="1267">
        <f ca="1">'HEC 1L Debt'!AB31*1000</f>
        <v>8970</v>
      </c>
      <c r="BB109" s="1267">
        <f ca="1">'HEC 1L Debt'!AC31*1000</f>
        <v>9200</v>
      </c>
      <c r="BC109" s="1267">
        <f ca="1">'HEC 1L Debt'!AD31*1000</f>
        <v>8840</v>
      </c>
      <c r="BE109" s="1262">
        <f>SUM(T109:AE109)</f>
        <v>0</v>
      </c>
      <c r="BF109" s="1261">
        <f t="shared" ca="1" si="150"/>
        <v>81604.429999999993</v>
      </c>
      <c r="BG109" s="1262">
        <f ca="1">SUM(AR109:BC109)</f>
        <v>112120</v>
      </c>
    </row>
    <row r="110" spans="1:59" s="79" customFormat="1" ht="15.75" customHeight="1" x14ac:dyDescent="0.3">
      <c r="A110" s="76"/>
      <c r="B110" s="76"/>
      <c r="C110" s="57" t="s">
        <v>1200</v>
      </c>
      <c r="D110" s="76"/>
      <c r="E110" s="76"/>
      <c r="F110" s="1265"/>
      <c r="G110" s="476"/>
      <c r="H110" s="1267"/>
      <c r="I110" s="1267"/>
      <c r="J110" s="1267"/>
      <c r="K110" s="1267"/>
      <c r="L110" s="1267"/>
      <c r="M110" s="1267"/>
      <c r="N110" s="1267"/>
      <c r="O110" s="1267"/>
      <c r="P110" s="1267"/>
      <c r="Q110" s="1267"/>
      <c r="R110" s="1267"/>
      <c r="S110" s="1267"/>
      <c r="T110" s="1268"/>
      <c r="U110" s="1268"/>
      <c r="V110" s="1268"/>
      <c r="W110" s="1268"/>
      <c r="X110" s="1268"/>
      <c r="Y110" s="1268"/>
      <c r="Z110" s="1269"/>
      <c r="AA110" s="1269"/>
      <c r="AB110" s="1269"/>
      <c r="AC110" s="1269"/>
      <c r="AD110" s="1269"/>
      <c r="AE110" s="1270"/>
      <c r="AF110" s="1157"/>
      <c r="AG110" s="1157"/>
      <c r="AH110" s="1157"/>
      <c r="AI110" s="1157"/>
      <c r="AJ110" s="1157"/>
      <c r="AK110" s="1157"/>
      <c r="AL110" s="1157"/>
      <c r="AM110" s="1157"/>
      <c r="AN110" s="1157"/>
      <c r="AO110" s="1157"/>
      <c r="AP110" s="1267">
        <f ca="1">'HEC Seller Debt'!Q31*1000</f>
        <v>2350</v>
      </c>
      <c r="AQ110" s="1267">
        <f ca="1">'HEC Seller Debt'!R31*1000</f>
        <v>2240</v>
      </c>
      <c r="AR110" s="1266">
        <f ca="1">'HEC Seller Debt'!S31*1000</f>
        <v>2280</v>
      </c>
      <c r="AS110" s="1267">
        <f ca="1">'HEC Seller Debt'!T31*1000</f>
        <v>2240</v>
      </c>
      <c r="AT110" s="1267">
        <f ca="1">'HEC Seller Debt'!U31*1000</f>
        <v>2060</v>
      </c>
      <c r="AU110" s="1267">
        <f ca="1">'HEC Seller Debt'!V31*1000</f>
        <v>2160</v>
      </c>
      <c r="AV110" s="1267">
        <f ca="1">'HEC Seller Debt'!W31*1000</f>
        <v>2060</v>
      </c>
      <c r="AW110" s="1267">
        <f ca="1">'HEC Seller Debt'!X31*1000</f>
        <v>2090</v>
      </c>
      <c r="AX110" s="1267">
        <f ca="1">'HEC Seller Debt'!Y31*1000</f>
        <v>1980</v>
      </c>
      <c r="AY110" s="1267">
        <f ca="1">'HEC Seller Debt'!Z31*1000</f>
        <v>2009.9999999999998</v>
      </c>
      <c r="AZ110" s="1267">
        <f ca="1">'HEC Seller Debt'!AA31*1000</f>
        <v>1970</v>
      </c>
      <c r="BA110" s="1267">
        <f ca="1">'HEC Seller Debt'!AB31*1000</f>
        <v>1870</v>
      </c>
      <c r="BB110" s="1267">
        <f ca="1">'HEC Seller Debt'!AC31*1000</f>
        <v>1890</v>
      </c>
      <c r="BC110" s="1267">
        <f ca="1">'HEC Seller Debt'!AD31*1000</f>
        <v>1790</v>
      </c>
      <c r="BE110" s="1262">
        <f>SUM(T110:AE110)</f>
        <v>0</v>
      </c>
      <c r="BF110" s="1261">
        <f t="shared" ca="1" si="150"/>
        <v>4590</v>
      </c>
      <c r="BG110" s="1262">
        <f ca="1">SUM(AR110:BC110)</f>
        <v>24400</v>
      </c>
    </row>
    <row r="111" spans="1:59" s="79" customFormat="1" ht="15.75" customHeight="1" x14ac:dyDescent="0.3">
      <c r="A111" s="76"/>
      <c r="B111" s="76"/>
      <c r="C111" s="57" t="s">
        <v>1515</v>
      </c>
      <c r="D111" s="76"/>
      <c r="E111" s="76"/>
      <c r="F111" s="1265"/>
      <c r="G111" s="476"/>
      <c r="H111" s="1267"/>
      <c r="I111" s="1267"/>
      <c r="J111" s="1267"/>
      <c r="K111" s="1267"/>
      <c r="L111" s="1267"/>
      <c r="M111" s="1267"/>
      <c r="N111" s="1267"/>
      <c r="O111" s="1267"/>
      <c r="P111" s="1267"/>
      <c r="Q111" s="1267"/>
      <c r="R111" s="1267"/>
      <c r="S111" s="1267"/>
      <c r="T111" s="1268"/>
      <c r="U111" s="1268"/>
      <c r="V111" s="1268"/>
      <c r="W111" s="1268"/>
      <c r="X111" s="1268"/>
      <c r="Y111" s="1268"/>
      <c r="Z111" s="1269"/>
      <c r="AA111" s="1269"/>
      <c r="AB111" s="1269"/>
      <c r="AC111" s="1269"/>
      <c r="AD111" s="1269"/>
      <c r="AE111" s="1270"/>
      <c r="AF111" s="1157"/>
      <c r="AG111" s="1157"/>
      <c r="AH111" s="1157"/>
      <c r="AI111" s="1157"/>
      <c r="AJ111" s="1157"/>
      <c r="AK111" s="1157"/>
      <c r="AL111" s="1157"/>
      <c r="AM111" s="1157"/>
      <c r="AN111" s="1157"/>
      <c r="AO111" s="1157"/>
      <c r="AP111" s="1267"/>
      <c r="AQ111" s="1267"/>
      <c r="AR111" s="1266">
        <f>'Brnch 1L Debt'!L31</f>
        <v>8092</v>
      </c>
      <c r="AS111" s="1267">
        <f ca="1">'Brnch 1L Debt'!M31</f>
        <v>7979.36</v>
      </c>
      <c r="AT111" s="1267">
        <f ca="1">'Brnch 1L Debt'!N31</f>
        <v>8708.81</v>
      </c>
      <c r="AU111" s="1267">
        <f ca="1">'Brnch 1L Debt'!O31</f>
        <v>8311.2999999999993</v>
      </c>
      <c r="AV111" s="1267">
        <f ca="1">'Brnch 1L Debt'!P31</f>
        <v>8465.15</v>
      </c>
      <c r="AW111" s="1267">
        <f ca="1">'Brnch 1L Debt'!Q31</f>
        <v>8073.88</v>
      </c>
      <c r="AX111" s="1267">
        <f ca="1">'Brnch 1L Debt'!R31</f>
        <v>8218.18</v>
      </c>
      <c r="AY111" s="1267">
        <f ca="1">'Brnch 1L Debt'!S31</f>
        <v>8094.34</v>
      </c>
      <c r="AZ111" s="1267">
        <f ca="1">'Brnch 1L Debt'!T31</f>
        <v>7712.56</v>
      </c>
      <c r="BA111" s="1267">
        <f ca="1">'Brnch 1L Debt'!U31</f>
        <v>7842.33</v>
      </c>
      <c r="BB111" s="1267">
        <f ca="1">'Brnch 1L Debt'!V31</f>
        <v>7467</v>
      </c>
      <c r="BC111" s="1267">
        <f ca="1">'Brnch 1L Debt'!W31</f>
        <v>7586.88</v>
      </c>
      <c r="BE111" s="1262"/>
      <c r="BF111" s="1261"/>
      <c r="BG111" s="1451">
        <f t="shared" ref="BG111:BG112" ca="1" si="151">SUM(AR111:BC111)</f>
        <v>96551.790000000008</v>
      </c>
    </row>
    <row r="112" spans="1:59" s="79" customFormat="1" ht="15.75" customHeight="1" x14ac:dyDescent="0.3">
      <c r="A112" s="76"/>
      <c r="B112" s="76"/>
      <c r="C112" s="57" t="s">
        <v>1516</v>
      </c>
      <c r="D112" s="76"/>
      <c r="E112" s="76"/>
      <c r="F112" s="1265"/>
      <c r="G112" s="476"/>
      <c r="H112" s="1267"/>
      <c r="I112" s="1267"/>
      <c r="J112" s="1267"/>
      <c r="K112" s="1267"/>
      <c r="L112" s="1267"/>
      <c r="M112" s="1267"/>
      <c r="N112" s="1267"/>
      <c r="O112" s="1267"/>
      <c r="P112" s="1267"/>
      <c r="Q112" s="1267"/>
      <c r="R112" s="1267"/>
      <c r="S112" s="1267"/>
      <c r="T112" s="1268"/>
      <c r="U112" s="1268"/>
      <c r="V112" s="1268"/>
      <c r="W112" s="1268"/>
      <c r="X112" s="1268"/>
      <c r="Y112" s="1268"/>
      <c r="Z112" s="1269"/>
      <c r="AA112" s="1269"/>
      <c r="AB112" s="1269"/>
      <c r="AC112" s="1269"/>
      <c r="AD112" s="1269"/>
      <c r="AE112" s="1270"/>
      <c r="AF112" s="1157"/>
      <c r="AG112" s="1157"/>
      <c r="AH112" s="1157"/>
      <c r="AI112" s="1157"/>
      <c r="AJ112" s="1157"/>
      <c r="AK112" s="1157"/>
      <c r="AL112" s="1157"/>
      <c r="AM112" s="1157"/>
      <c r="AN112" s="1157"/>
      <c r="AO112" s="1157"/>
      <c r="AP112" s="1267"/>
      <c r="AQ112" s="1267"/>
      <c r="AR112" s="1266">
        <f>'Brnch Seller Debt'!L31</f>
        <v>5753.42</v>
      </c>
      <c r="AS112" s="1267">
        <f ca="1">'Brnch Seller Debt'!M31</f>
        <v>5295.05</v>
      </c>
      <c r="AT112" s="1267">
        <f ca="1">'Brnch Seller Debt'!N31</f>
        <v>5776.81</v>
      </c>
      <c r="AU112" s="1267">
        <f ca="1">'Brnch Seller Debt'!O31</f>
        <v>5510.44</v>
      </c>
      <c r="AV112" s="1267">
        <f ca="1">'Brnch Seller Debt'!P31</f>
        <v>5609.84</v>
      </c>
      <c r="AW112" s="1267">
        <f ca="1">'Brnch Seller Debt'!Q31</f>
        <v>5347.89</v>
      </c>
      <c r="AX112" s="1267">
        <f ca="1">'Brnch Seller Debt'!R31</f>
        <v>5440.91</v>
      </c>
      <c r="AY112" s="1267">
        <f ca="1">'Brnch Seller Debt'!S31</f>
        <v>5356.21</v>
      </c>
      <c r="AZ112" s="1267">
        <f ca="1">'Brnch Seller Debt'!T31</f>
        <v>5100.9799999999996</v>
      </c>
      <c r="BA112" s="1267">
        <f ca="1">'Brnch Seller Debt'!U31</f>
        <v>5184.3</v>
      </c>
      <c r="BB112" s="1267">
        <f ca="1">'Brnch Seller Debt'!V31</f>
        <v>4933.63</v>
      </c>
      <c r="BC112" s="1267">
        <f ca="1">'Brnch Seller Debt'!W31</f>
        <v>5010.38</v>
      </c>
      <c r="BE112" s="1262"/>
      <c r="BF112" s="1261"/>
      <c r="BG112" s="1451">
        <f t="shared" ca="1" si="151"/>
        <v>64319.86</v>
      </c>
    </row>
    <row r="113" spans="1:60" ht="15.75" customHeight="1" x14ac:dyDescent="0.3">
      <c r="A113" s="76"/>
      <c r="B113" s="76"/>
      <c r="C113" s="1431" t="s">
        <v>1190</v>
      </c>
      <c r="D113" s="1442"/>
      <c r="E113" s="1442"/>
      <c r="F113" s="1442"/>
      <c r="G113" s="1443"/>
      <c r="H113" s="1444"/>
      <c r="I113" s="1445"/>
      <c r="J113" s="1445"/>
      <c r="K113" s="1445"/>
      <c r="L113" s="1445"/>
      <c r="M113" s="1445"/>
      <c r="N113" s="1445"/>
      <c r="O113" s="1445"/>
      <c r="P113" s="1445"/>
      <c r="Q113" s="1445"/>
      <c r="R113" s="1445"/>
      <c r="S113" s="1445"/>
      <c r="T113" s="1446"/>
      <c r="U113" s="1446"/>
      <c r="V113" s="1447"/>
      <c r="W113" s="1447"/>
      <c r="X113" s="1447"/>
      <c r="Y113" s="1447"/>
      <c r="Z113" s="1448"/>
      <c r="AA113" s="1449"/>
      <c r="AB113" s="1449"/>
      <c r="AC113" s="1449"/>
      <c r="AD113" s="1449"/>
      <c r="AE113" s="1450"/>
      <c r="AF113" s="1450"/>
      <c r="AG113" s="1450"/>
      <c r="AH113" s="1450"/>
      <c r="AI113" s="1450"/>
      <c r="AJ113" s="1450"/>
      <c r="AK113" s="1574">
        <f>'HEC Financials'!AZ87</f>
        <v>349651.5</v>
      </c>
      <c r="AL113" s="1450">
        <f>'HEC Financials'!BA87</f>
        <v>0</v>
      </c>
      <c r="AM113" s="1450">
        <f>'HEC Financials'!BB87</f>
        <v>0</v>
      </c>
      <c r="AN113" s="1450">
        <f>'HEC Financials'!BC87</f>
        <v>0</v>
      </c>
      <c r="AO113" s="1450">
        <f>'HEC Financials'!BD87</f>
        <v>0</v>
      </c>
      <c r="AP113" s="1445">
        <f>'HEC Financials'!BE87</f>
        <v>0</v>
      </c>
      <c r="AQ113" s="1509">
        <v>0</v>
      </c>
      <c r="AR113" s="1619">
        <f>SUM('Sources and Uses'!P6:P8)*1000</f>
        <v>150500</v>
      </c>
      <c r="AS113" s="1509">
        <v>0</v>
      </c>
      <c r="AT113" s="1509">
        <v>0</v>
      </c>
      <c r="AU113" s="1509">
        <v>0</v>
      </c>
      <c r="AV113" s="1509">
        <v>0</v>
      </c>
      <c r="AW113" s="1509">
        <v>0</v>
      </c>
      <c r="AX113" s="1509">
        <v>0</v>
      </c>
      <c r="AY113" s="1509">
        <v>0</v>
      </c>
      <c r="AZ113" s="1509">
        <v>0</v>
      </c>
      <c r="BA113" s="1509">
        <v>0</v>
      </c>
      <c r="BB113" s="1509">
        <v>0</v>
      </c>
      <c r="BC113" s="1509">
        <v>0</v>
      </c>
      <c r="BE113" s="1451"/>
      <c r="BF113" s="1556">
        <f t="shared" si="150"/>
        <v>349651.5</v>
      </c>
      <c r="BG113" s="1451">
        <f>SUM(AR113:BC113)</f>
        <v>150500</v>
      </c>
    </row>
    <row r="114" spans="1:60" ht="15.75" customHeight="1" x14ac:dyDescent="0.3">
      <c r="A114" s="76"/>
      <c r="B114" s="76"/>
      <c r="C114" s="103" t="s">
        <v>1051</v>
      </c>
      <c r="D114" s="76"/>
      <c r="E114" s="76"/>
      <c r="F114" s="76"/>
      <c r="G114" s="97"/>
      <c r="H114" s="1430">
        <f t="shared" ref="H114:AQ114" si="152">SUM(H108:H113)</f>
        <v>0</v>
      </c>
      <c r="I114" s="628">
        <f t="shared" si="152"/>
        <v>0</v>
      </c>
      <c r="J114" s="628">
        <f t="shared" si="152"/>
        <v>0</v>
      </c>
      <c r="K114" s="628">
        <f t="shared" si="152"/>
        <v>0</v>
      </c>
      <c r="L114" s="628">
        <f t="shared" si="152"/>
        <v>0</v>
      </c>
      <c r="M114" s="628">
        <f t="shared" si="152"/>
        <v>0</v>
      </c>
      <c r="N114" s="628">
        <f t="shared" si="152"/>
        <v>0</v>
      </c>
      <c r="O114" s="628">
        <f t="shared" si="152"/>
        <v>0</v>
      </c>
      <c r="P114" s="628">
        <f t="shared" si="152"/>
        <v>0</v>
      </c>
      <c r="Q114" s="628">
        <f t="shared" si="152"/>
        <v>0</v>
      </c>
      <c r="R114" s="628">
        <f t="shared" si="152"/>
        <v>0</v>
      </c>
      <c r="S114" s="628">
        <f t="shared" si="152"/>
        <v>0</v>
      </c>
      <c r="T114" s="931">
        <f t="shared" si="152"/>
        <v>0</v>
      </c>
      <c r="U114" s="931">
        <f t="shared" si="152"/>
        <v>0</v>
      </c>
      <c r="V114" s="964">
        <f t="shared" si="152"/>
        <v>0</v>
      </c>
      <c r="W114" s="964">
        <f t="shared" si="152"/>
        <v>0</v>
      </c>
      <c r="X114" s="964">
        <f t="shared" si="152"/>
        <v>0</v>
      </c>
      <c r="Y114" s="964">
        <f t="shared" si="152"/>
        <v>0</v>
      </c>
      <c r="Z114" s="1084">
        <f t="shared" si="152"/>
        <v>0</v>
      </c>
      <c r="AA114" s="1083">
        <f t="shared" si="152"/>
        <v>0</v>
      </c>
      <c r="AB114" s="1083">
        <f t="shared" si="152"/>
        <v>0</v>
      </c>
      <c r="AC114" s="1083">
        <f t="shared" si="152"/>
        <v>0</v>
      </c>
      <c r="AD114" s="1083">
        <f t="shared" si="152"/>
        <v>0</v>
      </c>
      <c r="AE114" s="1163">
        <f t="shared" si="152"/>
        <v>0</v>
      </c>
      <c r="AF114" s="1163">
        <f t="shared" si="152"/>
        <v>0</v>
      </c>
      <c r="AG114" s="1163">
        <f t="shared" si="152"/>
        <v>0</v>
      </c>
      <c r="AH114" s="1163">
        <f t="shared" si="152"/>
        <v>0</v>
      </c>
      <c r="AI114" s="1163">
        <f t="shared" si="152"/>
        <v>0</v>
      </c>
      <c r="AJ114" s="1163">
        <f t="shared" si="152"/>
        <v>0</v>
      </c>
      <c r="AK114" s="1163">
        <f t="shared" si="152"/>
        <v>362751.03</v>
      </c>
      <c r="AL114" s="1163">
        <f t="shared" si="152"/>
        <v>13407.44</v>
      </c>
      <c r="AM114" s="1163">
        <f t="shared" si="152"/>
        <v>12876.14</v>
      </c>
      <c r="AN114" s="1163">
        <f t="shared" si="152"/>
        <v>10954.85</v>
      </c>
      <c r="AO114" s="1163">
        <f t="shared" ref="AO114" si="153">SUM(AO108:AO113)</f>
        <v>11934.22</v>
      </c>
      <c r="AP114" s="628">
        <f t="shared" ca="1" si="152"/>
        <v>12330</v>
      </c>
      <c r="AQ114" s="628">
        <f t="shared" ca="1" si="152"/>
        <v>11840</v>
      </c>
      <c r="AR114" s="1771">
        <f ca="1">SUM(AR108:AR113)</f>
        <v>176475.41999999998</v>
      </c>
      <c r="AS114" s="628">
        <f t="shared" ref="AS114:BC114" ca="1" si="154">SUM(AS108:AS113)</f>
        <v>25304.41</v>
      </c>
      <c r="AT114" s="628">
        <f t="shared" ca="1" si="154"/>
        <v>25645.62</v>
      </c>
      <c r="AU114" s="628">
        <f t="shared" ca="1" si="154"/>
        <v>25641.739999999998</v>
      </c>
      <c r="AV114" s="628">
        <f t="shared" ca="1" si="154"/>
        <v>25424.99</v>
      </c>
      <c r="AW114" s="628">
        <f t="shared" ca="1" si="154"/>
        <v>25041.77</v>
      </c>
      <c r="AX114" s="628">
        <f t="shared" ca="1" si="154"/>
        <v>24799.09</v>
      </c>
      <c r="AY114" s="628">
        <f t="shared" ca="1" si="154"/>
        <v>24860.55</v>
      </c>
      <c r="AZ114" s="628">
        <f t="shared" ca="1" si="154"/>
        <v>24113.54</v>
      </c>
      <c r="BA114" s="628">
        <f t="shared" ca="1" si="154"/>
        <v>23866.63</v>
      </c>
      <c r="BB114" s="628">
        <f t="shared" ca="1" si="154"/>
        <v>23490.63</v>
      </c>
      <c r="BC114" s="628">
        <f t="shared" ca="1" si="154"/>
        <v>23227.260000000002</v>
      </c>
      <c r="BE114" s="1195"/>
      <c r="BF114" s="1553">
        <f t="shared" ca="1" si="150"/>
        <v>436093.68</v>
      </c>
      <c r="BG114" s="1195">
        <f ca="1">SUM(AR114:BC114)</f>
        <v>447891.65</v>
      </c>
    </row>
    <row r="115" spans="1:60" ht="15.75" customHeight="1" x14ac:dyDescent="0.3">
      <c r="A115" s="76"/>
      <c r="B115" s="76"/>
      <c r="C115" s="99" t="s">
        <v>210</v>
      </c>
      <c r="D115" s="100"/>
      <c r="E115" s="94"/>
      <c r="F115" s="95"/>
      <c r="G115" s="85">
        <v>28354</v>
      </c>
      <c r="H115" s="211">
        <f t="shared" ref="H115:AQ115" si="155">H101+H106-H114</f>
        <v>-96534.217352000109</v>
      </c>
      <c r="I115" s="211">
        <f t="shared" si="155"/>
        <v>28040.406120999989</v>
      </c>
      <c r="J115" s="211">
        <f t="shared" si="155"/>
        <v>406189.18000000005</v>
      </c>
      <c r="K115" s="211">
        <f t="shared" si="155"/>
        <v>59950.050000000076</v>
      </c>
      <c r="L115" s="211">
        <f t="shared" si="155"/>
        <v>142789.62000000014</v>
      </c>
      <c r="M115" s="211">
        <f t="shared" si="155"/>
        <v>226201.53999999983</v>
      </c>
      <c r="N115" s="211">
        <f t="shared" si="155"/>
        <v>403883.42860000004</v>
      </c>
      <c r="O115" s="211">
        <f t="shared" si="155"/>
        <v>278778.50999999989</v>
      </c>
      <c r="P115" s="211">
        <f t="shared" si="155"/>
        <v>370672.93999999994</v>
      </c>
      <c r="Q115" s="211">
        <f t="shared" si="155"/>
        <v>407471.03000000049</v>
      </c>
      <c r="R115" s="211">
        <f t="shared" si="155"/>
        <v>181846.49000000002</v>
      </c>
      <c r="S115" s="211">
        <f t="shared" si="155"/>
        <v>409653.5499999997</v>
      </c>
      <c r="T115" s="926">
        <f t="shared" si="155"/>
        <v>60434.359999999848</v>
      </c>
      <c r="U115" s="926">
        <f t="shared" si="155"/>
        <v>216601.78000000003</v>
      </c>
      <c r="V115" s="926">
        <f t="shared" si="155"/>
        <v>46329.520000000048</v>
      </c>
      <c r="W115" s="926">
        <f t="shared" si="155"/>
        <v>-265542.82000000012</v>
      </c>
      <c r="X115" s="926">
        <f t="shared" si="155"/>
        <v>-128392.73000000003</v>
      </c>
      <c r="Y115" s="926">
        <f t="shared" si="155"/>
        <v>279238.66000000009</v>
      </c>
      <c r="Z115" s="1079">
        <f t="shared" si="155"/>
        <v>-19852.979999999865</v>
      </c>
      <c r="AA115" s="1079">
        <f t="shared" si="155"/>
        <v>504677.98999999982</v>
      </c>
      <c r="AB115" s="1079">
        <f t="shared" si="155"/>
        <v>231725.07000000015</v>
      </c>
      <c r="AC115" s="1079">
        <f t="shared" si="155"/>
        <v>136076.82</v>
      </c>
      <c r="AD115" s="1079">
        <f t="shared" si="155"/>
        <v>145043.77000000005</v>
      </c>
      <c r="AE115" s="1157">
        <f t="shared" si="155"/>
        <v>279554.12000000017</v>
      </c>
      <c r="AF115" s="1157">
        <f t="shared" si="155"/>
        <v>-272071.57000000007</v>
      </c>
      <c r="AG115" s="1157">
        <f t="shared" si="155"/>
        <v>74690.660000000047</v>
      </c>
      <c r="AH115" s="1157">
        <f t="shared" si="155"/>
        <v>347111.51</v>
      </c>
      <c r="AI115" s="1157">
        <f t="shared" si="155"/>
        <v>206065.88999999996</v>
      </c>
      <c r="AJ115" s="1157">
        <f t="shared" si="155"/>
        <v>436213.60000000003</v>
      </c>
      <c r="AK115" s="1157">
        <f t="shared" si="155"/>
        <v>-161689.11000000004</v>
      </c>
      <c r="AL115" s="1157">
        <f t="shared" si="155"/>
        <v>119940.58000000007</v>
      </c>
      <c r="AM115" s="1157">
        <f t="shared" si="155"/>
        <v>219743.86000000004</v>
      </c>
      <c r="AN115" s="1157">
        <f t="shared" si="155"/>
        <v>212597.11999999982</v>
      </c>
      <c r="AO115" s="1157">
        <f t="shared" ref="AO115" si="156">AO101+AO106-AO114</f>
        <v>239223.59000000035</v>
      </c>
      <c r="AP115" s="211">
        <f t="shared" ca="1" si="155"/>
        <v>372535.01218431606</v>
      </c>
      <c r="AQ115" s="211">
        <f t="shared" ca="1" si="155"/>
        <v>459133.98392675939</v>
      </c>
      <c r="AR115" s="1620">
        <f t="shared" ref="AR115:BC115" ca="1" si="157">AR101+AR106-AR114</f>
        <v>142720.47178088716</v>
      </c>
      <c r="AS115" s="211">
        <f t="shared" ca="1" si="157"/>
        <v>524162.9256223386</v>
      </c>
      <c r="AT115" s="211">
        <f t="shared" ca="1" si="157"/>
        <v>305219.36171111022</v>
      </c>
      <c r="AU115" s="211">
        <f t="shared" ca="1" si="157"/>
        <v>482079.39560114488</v>
      </c>
      <c r="AV115" s="211">
        <f t="shared" ca="1" si="157"/>
        <v>300607.02693574934</v>
      </c>
      <c r="AW115" s="211">
        <f t="shared" ca="1" si="157"/>
        <v>295692.91099284397</v>
      </c>
      <c r="AX115" s="211">
        <f t="shared" ca="1" si="157"/>
        <v>292664.65456443187</v>
      </c>
      <c r="AY115" s="211">
        <f t="shared" ca="1" si="157"/>
        <v>542669.26856573403</v>
      </c>
      <c r="AZ115" s="211">
        <f t="shared" ca="1" si="157"/>
        <v>332959.06458834698</v>
      </c>
      <c r="BA115" s="211">
        <f t="shared" ca="1" si="157"/>
        <v>284472.00406709529</v>
      </c>
      <c r="BB115" s="211">
        <f t="shared" ca="1" si="157"/>
        <v>281435.38056087546</v>
      </c>
      <c r="BC115" s="211">
        <f t="shared" ca="1" si="157"/>
        <v>278342.92532069323</v>
      </c>
      <c r="BE115" s="1194">
        <f>BE101+BE106-BE114</f>
        <v>3089254.08</v>
      </c>
      <c r="BF115" s="1549">
        <f t="shared" ca="1" si="150"/>
        <v>2253495.1261110757</v>
      </c>
      <c r="BG115" s="1194">
        <f ca="1">BG101+BG106-BG114</f>
        <v>4063025.3903112509</v>
      </c>
      <c r="BH115" s="408"/>
    </row>
    <row r="116" spans="1:60" ht="15.75" customHeight="1" x14ac:dyDescent="0.3">
      <c r="A116" s="76"/>
      <c r="B116" s="76"/>
      <c r="C116" s="178" t="s">
        <v>400</v>
      </c>
      <c r="D116" s="76"/>
      <c r="E116" s="76"/>
      <c r="F116" s="89"/>
      <c r="G116" s="101" t="e">
        <f t="shared" ref="G116:AQ116" si="158">G115/G51</f>
        <v>#DIV/0!</v>
      </c>
      <c r="H116" s="632">
        <f t="shared" si="158"/>
        <v>-0.27137282259639289</v>
      </c>
      <c r="I116" s="668">
        <f t="shared" si="158"/>
        <v>4.1819988871163387E-2</v>
      </c>
      <c r="J116" s="668">
        <f t="shared" si="158"/>
        <v>0.36087878759906078</v>
      </c>
      <c r="K116" s="668">
        <f t="shared" si="158"/>
        <v>8.3056728335439492E-2</v>
      </c>
      <c r="L116" s="668">
        <f t="shared" si="158"/>
        <v>0.1585394647014369</v>
      </c>
      <c r="M116" s="668">
        <f t="shared" si="158"/>
        <v>0.23992455516598532</v>
      </c>
      <c r="N116" s="668">
        <f t="shared" si="158"/>
        <v>0.4369697749269893</v>
      </c>
      <c r="O116" s="668">
        <f t="shared" si="158"/>
        <v>0.23157105528086994</v>
      </c>
      <c r="P116" s="668">
        <f t="shared" si="158"/>
        <v>0.34095329904032806</v>
      </c>
      <c r="Q116" s="668">
        <f t="shared" si="158"/>
        <v>0.25720139844945727</v>
      </c>
      <c r="R116" s="668">
        <f t="shared" si="158"/>
        <v>0.17872504282898835</v>
      </c>
      <c r="S116" s="668">
        <f t="shared" si="158"/>
        <v>0.20520877832315562</v>
      </c>
      <c r="T116" s="932">
        <f t="shared" si="158"/>
        <v>5.787419708457079E-2</v>
      </c>
      <c r="U116" s="932">
        <f t="shared" si="158"/>
        <v>0.13113040185313948</v>
      </c>
      <c r="V116" s="932">
        <f t="shared" si="158"/>
        <v>2.9413644881722968E-2</v>
      </c>
      <c r="W116" s="932">
        <f t="shared" si="158"/>
        <v>-0.26802265674793535</v>
      </c>
      <c r="X116" s="932">
        <f t="shared" si="158"/>
        <v>-9.3002532890661627E-2</v>
      </c>
      <c r="Y116" s="932">
        <f t="shared" si="158"/>
        <v>0.18406460727721946</v>
      </c>
      <c r="Z116" s="1085">
        <f t="shared" si="158"/>
        <v>-1.6898211753217207E-2</v>
      </c>
      <c r="AA116" s="1085">
        <f t="shared" si="158"/>
        <v>0.31494777891910836</v>
      </c>
      <c r="AB116" s="1085">
        <f t="shared" si="158"/>
        <v>0.18323218342630007</v>
      </c>
      <c r="AC116" s="1085">
        <f t="shared" si="158"/>
        <v>0.12874736633198131</v>
      </c>
      <c r="AD116" s="1085">
        <f t="shared" si="158"/>
        <v>0.16254202166291298</v>
      </c>
      <c r="AE116" s="1165">
        <f t="shared" si="158"/>
        <v>0.19917324550318086</v>
      </c>
      <c r="AF116" s="1165">
        <f t="shared" si="158"/>
        <v>-0.38043030646352921</v>
      </c>
      <c r="AG116" s="1165">
        <f t="shared" si="158"/>
        <v>7.5465269485369135E-2</v>
      </c>
      <c r="AH116" s="1165">
        <f t="shared" si="158"/>
        <v>0.19117989437581226</v>
      </c>
      <c r="AI116" s="1165">
        <f t="shared" si="158"/>
        <v>0.15404003675117092</v>
      </c>
      <c r="AJ116" s="1165">
        <f t="shared" si="158"/>
        <v>0.33233092439017714</v>
      </c>
      <c r="AK116" s="1165">
        <f t="shared" si="158"/>
        <v>-8.5979920257266293E-2</v>
      </c>
      <c r="AL116" s="1165">
        <f t="shared" si="158"/>
        <v>7.7269111248782732E-2</v>
      </c>
      <c r="AM116" s="1165">
        <f t="shared" si="158"/>
        <v>0.14607240672836749</v>
      </c>
      <c r="AN116" s="1165">
        <f t="shared" si="158"/>
        <v>0.11477225714842576</v>
      </c>
      <c r="AO116" s="1165">
        <f t="shared" ref="AO116" si="159">AO115/AO51</f>
        <v>0.1015711688674783</v>
      </c>
      <c r="AP116" s="668">
        <f t="shared" ca="1" si="158"/>
        <v>0.15730833915818612</v>
      </c>
      <c r="AQ116" s="668">
        <f t="shared" ca="1" si="158"/>
        <v>0.17360216675924206</v>
      </c>
      <c r="AR116" s="1621">
        <f t="shared" ref="AR116:BC116" ca="1" si="160">AR115/AR51</f>
        <v>5.6970508583478699E-2</v>
      </c>
      <c r="AS116" s="668">
        <f t="shared" ca="1" si="160"/>
        <v>0.17051196793000367</v>
      </c>
      <c r="AT116" s="668">
        <f t="shared" ca="1" si="160"/>
        <v>0.12183607613701378</v>
      </c>
      <c r="AU116" s="668">
        <f t="shared" ca="1" si="160"/>
        <v>0.15970614358644625</v>
      </c>
      <c r="AV116" s="668">
        <f t="shared" ca="1" si="160"/>
        <v>0.11999494532634079</v>
      </c>
      <c r="AW116" s="668">
        <f t="shared" ca="1" si="160"/>
        <v>0.11803335088223532</v>
      </c>
      <c r="AX116" s="668">
        <f t="shared" ca="1" si="160"/>
        <v>0.11682454525894191</v>
      </c>
      <c r="AY116" s="668">
        <f t="shared" ca="1" si="160"/>
        <v>0.16945718163843554</v>
      </c>
      <c r="AZ116" s="668">
        <f t="shared" ca="1" si="160"/>
        <v>0.12643176111277848</v>
      </c>
      <c r="BA116" s="668">
        <f t="shared" ca="1" si="160"/>
        <v>0.11355424030790082</v>
      </c>
      <c r="BB116" s="668">
        <f t="shared" ca="1" si="160"/>
        <v>0.1123420947525562</v>
      </c>
      <c r="BC116" s="668">
        <f t="shared" ca="1" si="160"/>
        <v>0.11110766253966872</v>
      </c>
      <c r="BE116" s="1196">
        <f>BE115/$BE$51</f>
        <v>0.19861137858061728</v>
      </c>
      <c r="BF116" s="1557">
        <f ca="1">BF115/$BF$51</f>
        <v>0.11085396841794709</v>
      </c>
      <c r="BG116" s="1196">
        <f ca="1">BG115/$BG$51</f>
        <v>0.12708943655459037</v>
      </c>
    </row>
    <row r="117" spans="1:60" ht="15.75" customHeight="1" x14ac:dyDescent="0.3">
      <c r="A117" s="76"/>
      <c r="B117" s="76"/>
      <c r="C117" s="1454" t="s">
        <v>1312</v>
      </c>
      <c r="D117" s="76"/>
      <c r="E117" s="76"/>
      <c r="F117" s="89"/>
      <c r="G117" s="101"/>
      <c r="H117" s="1453"/>
      <c r="I117" s="668"/>
      <c r="J117" s="668"/>
      <c r="K117" s="668"/>
      <c r="L117" s="668"/>
      <c r="M117" s="668"/>
      <c r="N117" s="668"/>
      <c r="O117" s="668"/>
      <c r="P117" s="668"/>
      <c r="Q117" s="668"/>
      <c r="R117" s="668"/>
      <c r="S117" s="668"/>
      <c r="T117" s="932"/>
      <c r="U117" s="932"/>
      <c r="V117" s="932"/>
      <c r="W117" s="932"/>
      <c r="X117" s="932"/>
      <c r="Y117" s="932"/>
      <c r="Z117" s="1085"/>
      <c r="AA117" s="1085"/>
      <c r="AB117" s="1085"/>
      <c r="AC117" s="1085"/>
      <c r="AD117" s="1085"/>
      <c r="AE117" s="1165"/>
      <c r="AF117" s="1468">
        <f>ROUND(AF115-('MXD P&amp;L'!N216),0)</f>
        <v>0</v>
      </c>
      <c r="AG117" s="1468">
        <f>ROUND(AG115-('MXD P&amp;L'!O216),0)</f>
        <v>0</v>
      </c>
      <c r="AH117" s="1468">
        <f>ROUND(AH115-('MXD P&amp;L'!P216),0)</f>
        <v>0</v>
      </c>
      <c r="AI117" s="1468">
        <f>ROUND(AI115-('MXD P&amp;L'!Q216),0)</f>
        <v>0</v>
      </c>
      <c r="AJ117" s="1468">
        <f>ROUND(AJ115-('MXD P&amp;L'!R216),0)</f>
        <v>0</v>
      </c>
      <c r="AK117" s="1468">
        <f>ROUND(AK115-'HEC Financials'!AZ91-('MXD P&amp;L'!S216),0)</f>
        <v>0</v>
      </c>
      <c r="AL117" s="1468">
        <f>ROUND(AL115-'HEC Financials'!BA91-('MXD P&amp;L'!T216),0)-(AL49-AL73)</f>
        <v>0</v>
      </c>
      <c r="AM117" s="1468">
        <f>ROUND(AM115-'HEC Financials'!BB91-('MXD P&amp;L'!U216),0)-(AM49-AM73)</f>
        <v>0</v>
      </c>
      <c r="AN117" s="1468">
        <f>ROUND(AN115-'HEC Financials'!BC91-('MXD P&amp;L'!V216),0)-(AN49-AN73)</f>
        <v>0</v>
      </c>
      <c r="AO117" s="1468">
        <f>ROUND(AO115-'HEC Financials'!BD91-('MXD P&amp;L'!W216),0)-(AO49-AO73)</f>
        <v>-0.30000000000291038</v>
      </c>
      <c r="AP117" s="1541">
        <f ca="1">ROUND(AP115-'HEC Financials'!BE91-('MXD P&amp;L'!X216),0)</f>
        <v>215850</v>
      </c>
      <c r="AQ117" s="1541">
        <f ca="1">ROUND(AQ115-'HEC Financials'!BF91-('MXD P&amp;L'!Y216),0)</f>
        <v>321875</v>
      </c>
      <c r="AR117" s="1622">
        <f ca="1">ROUND(AR115-'HEC Financials'!BG91-('MXD P&amp;L'!Z216),0)</f>
        <v>-2328</v>
      </c>
      <c r="AS117" s="1541">
        <f ca="1">ROUND(AS115-'HEC Financials'!BH91-('MXD P&amp;L'!AA216),0)</f>
        <v>380790</v>
      </c>
      <c r="AT117" s="1541">
        <f ca="1">ROUND(AT115-'HEC Financials'!BI91-('MXD P&amp;L'!AB216),0)</f>
        <v>159843</v>
      </c>
      <c r="AU117" s="1541">
        <f ca="1">ROUND(AU115-'HEC Financials'!BJ91-('MXD P&amp;L'!AC216),0)</f>
        <v>482079</v>
      </c>
      <c r="AV117" s="1541">
        <f ca="1">ROUND(AV115-'HEC Financials'!BK91-('MXD P&amp;L'!AD216),0)</f>
        <v>300607</v>
      </c>
      <c r="AW117" s="1541">
        <f ca="1">ROUND(AW115-'HEC Financials'!BL91-('MXD P&amp;L'!AE216),0)</f>
        <v>295693</v>
      </c>
      <c r="AX117" s="1541">
        <f ca="1">ROUND(AX115-'HEC Financials'!BM91-('MXD P&amp;L'!AF216),0)</f>
        <v>292665</v>
      </c>
      <c r="AY117" s="1541">
        <f ca="1">ROUND(AY115-'HEC Financials'!BN91-('MXD P&amp;L'!AG216),0)</f>
        <v>542669</v>
      </c>
      <c r="AZ117" s="1541">
        <f ca="1">ROUND(AZ115-'HEC Financials'!BO91-('MXD P&amp;L'!AH216),0)</f>
        <v>332959</v>
      </c>
      <c r="BA117" s="1541">
        <f ca="1">ROUND(BA115-'HEC Financials'!BP91-('MXD P&amp;L'!AI216),0)</f>
        <v>284472</v>
      </c>
      <c r="BB117" s="1541">
        <f ca="1">ROUND(BB115-'HEC Financials'!BQ91-('MXD P&amp;L'!AJ216),0)</f>
        <v>281435</v>
      </c>
      <c r="BC117" s="1541">
        <f ca="1">ROUND(BC115-'HEC Financials'!BR91-('MXD P&amp;L'!AK216),0)</f>
        <v>278343</v>
      </c>
      <c r="BE117" s="1196"/>
      <c r="BF117" s="1557"/>
      <c r="BG117" s="1196"/>
    </row>
    <row r="118" spans="1:60" ht="15.75" customHeight="1" x14ac:dyDescent="0.3">
      <c r="A118" s="76"/>
      <c r="B118" s="76"/>
      <c r="C118" s="84" t="s">
        <v>211</v>
      </c>
      <c r="D118" s="76"/>
      <c r="E118" s="76"/>
      <c r="F118" s="76"/>
      <c r="G118" s="102"/>
      <c r="H118" s="633"/>
      <c r="I118" s="633"/>
      <c r="J118" s="633"/>
      <c r="K118" s="633"/>
      <c r="L118" s="633"/>
      <c r="M118" s="633"/>
      <c r="N118" s="633"/>
      <c r="O118" s="633"/>
      <c r="P118" s="633"/>
      <c r="Q118" s="633"/>
      <c r="R118" s="633"/>
      <c r="S118" s="633"/>
      <c r="T118" s="933"/>
      <c r="U118" s="933"/>
      <c r="V118" s="933"/>
      <c r="W118" s="933"/>
      <c r="X118" s="933"/>
      <c r="Y118" s="933"/>
      <c r="Z118" s="1086"/>
      <c r="AA118" s="1086"/>
      <c r="AB118" s="1086"/>
      <c r="AC118" s="1086"/>
      <c r="AD118" s="1086"/>
      <c r="AE118" s="1166"/>
      <c r="AF118" s="1166"/>
      <c r="AG118" s="1166"/>
      <c r="AH118" s="1166"/>
      <c r="AI118" s="1166"/>
      <c r="AJ118" s="1166"/>
      <c r="AK118" s="1166"/>
      <c r="AL118" s="1166"/>
      <c r="AM118" s="1166"/>
      <c r="AN118" s="1166"/>
      <c r="AO118" s="1166"/>
      <c r="AP118" s="633"/>
      <c r="AQ118" s="633"/>
      <c r="AR118" s="1623"/>
      <c r="AS118" s="633"/>
      <c r="AT118" s="633"/>
      <c r="AU118" s="633"/>
      <c r="AV118" s="633"/>
      <c r="AW118" s="633"/>
      <c r="AX118" s="633"/>
      <c r="AY118" s="633"/>
      <c r="AZ118" s="633"/>
      <c r="BA118" s="633"/>
      <c r="BB118" s="633"/>
      <c r="BC118" s="633"/>
      <c r="BE118" s="1182"/>
      <c r="BF118" s="1558"/>
      <c r="BG118" s="1182"/>
    </row>
    <row r="119" spans="1:60" ht="15.75" customHeight="1" x14ac:dyDescent="0.3">
      <c r="A119" s="76"/>
      <c r="B119" s="76"/>
      <c r="C119" s="103" t="s">
        <v>52</v>
      </c>
      <c r="D119" s="76"/>
      <c r="E119" s="76"/>
      <c r="F119" s="76"/>
      <c r="G119" s="104">
        <f>G129</f>
        <v>0</v>
      </c>
      <c r="H119" s="634">
        <f>H129</f>
        <v>0</v>
      </c>
      <c r="I119" s="634">
        <f>I129</f>
        <v>0</v>
      </c>
      <c r="J119" s="634">
        <f>J129</f>
        <v>0</v>
      </c>
      <c r="K119" s="634">
        <v>0</v>
      </c>
      <c r="L119" s="634">
        <f t="shared" ref="L119:R119" si="161">L129</f>
        <v>0</v>
      </c>
      <c r="M119" s="634">
        <f t="shared" si="161"/>
        <v>0</v>
      </c>
      <c r="N119" s="634">
        <f t="shared" si="161"/>
        <v>0</v>
      </c>
      <c r="O119" s="634">
        <f t="shared" si="161"/>
        <v>0</v>
      </c>
      <c r="P119" s="634">
        <f t="shared" si="161"/>
        <v>0</v>
      </c>
      <c r="Q119" s="634">
        <f t="shared" si="161"/>
        <v>0</v>
      </c>
      <c r="R119" s="634">
        <f t="shared" si="161"/>
        <v>0</v>
      </c>
      <c r="S119" s="634">
        <f t="shared" ref="S119:Y119" si="162">S129</f>
        <v>0</v>
      </c>
      <c r="T119" s="934">
        <f t="shared" si="162"/>
        <v>0</v>
      </c>
      <c r="U119" s="934">
        <f t="shared" si="162"/>
        <v>0</v>
      </c>
      <c r="V119" s="934">
        <f t="shared" si="162"/>
        <v>0</v>
      </c>
      <c r="W119" s="934">
        <f t="shared" si="162"/>
        <v>0</v>
      </c>
      <c r="X119" s="934">
        <f t="shared" si="162"/>
        <v>0</v>
      </c>
      <c r="Y119" s="934">
        <f t="shared" si="162"/>
        <v>0</v>
      </c>
      <c r="Z119" s="1087">
        <f t="shared" ref="Z119:AE119" si="163">Z129</f>
        <v>0</v>
      </c>
      <c r="AA119" s="1087">
        <f t="shared" si="163"/>
        <v>0</v>
      </c>
      <c r="AB119" s="1087">
        <f t="shared" si="163"/>
        <v>0</v>
      </c>
      <c r="AC119" s="1087">
        <f t="shared" si="163"/>
        <v>0</v>
      </c>
      <c r="AD119" s="1087">
        <f t="shared" si="163"/>
        <v>0</v>
      </c>
      <c r="AE119" s="1167">
        <f t="shared" si="163"/>
        <v>0</v>
      </c>
      <c r="AF119" s="1167">
        <v>0</v>
      </c>
      <c r="AG119" s="1167">
        <v>0</v>
      </c>
      <c r="AH119" s="1167">
        <v>0</v>
      </c>
      <c r="AI119" s="1167">
        <v>0</v>
      </c>
      <c r="AJ119" s="1167">
        <v>0</v>
      </c>
      <c r="AK119" s="1167">
        <v>0</v>
      </c>
      <c r="AL119" s="1167">
        <v>0</v>
      </c>
      <c r="AM119" s="1167">
        <v>0</v>
      </c>
      <c r="AN119" s="1167">
        <v>0</v>
      </c>
      <c r="AO119" s="1167">
        <v>0</v>
      </c>
      <c r="AP119" s="634">
        <v>0</v>
      </c>
      <c r="AQ119" s="634">
        <v>0</v>
      </c>
      <c r="AR119" s="1624">
        <v>0</v>
      </c>
      <c r="AS119" s="634">
        <v>0</v>
      </c>
      <c r="AT119" s="634">
        <v>0</v>
      </c>
      <c r="AU119" s="634">
        <v>0</v>
      </c>
      <c r="AV119" s="634">
        <v>0</v>
      </c>
      <c r="AW119" s="634">
        <v>0</v>
      </c>
      <c r="AX119" s="634">
        <v>0</v>
      </c>
      <c r="AY119" s="634">
        <v>0</v>
      </c>
      <c r="AZ119" s="634">
        <v>0</v>
      </c>
      <c r="BA119" s="634">
        <v>0</v>
      </c>
      <c r="BB119" s="634">
        <v>0</v>
      </c>
      <c r="BC119" s="634">
        <v>0</v>
      </c>
      <c r="BE119" s="1182"/>
      <c r="BF119" s="1559"/>
      <c r="BG119" s="1182"/>
    </row>
    <row r="120" spans="1:60" ht="15.75" customHeight="1" x14ac:dyDescent="0.3">
      <c r="A120" s="76"/>
      <c r="B120" s="76"/>
      <c r="C120" s="103" t="s">
        <v>212</v>
      </c>
      <c r="D120" s="76"/>
      <c r="E120" s="76"/>
      <c r="F120" s="76"/>
      <c r="G120" s="104">
        <v>0</v>
      </c>
      <c r="H120" s="634">
        <v>0</v>
      </c>
      <c r="I120" s="634">
        <v>0</v>
      </c>
      <c r="J120" s="634">
        <v>0</v>
      </c>
      <c r="K120" s="634">
        <v>0</v>
      </c>
      <c r="L120" s="634">
        <v>0</v>
      </c>
      <c r="M120" s="634">
        <v>0</v>
      </c>
      <c r="N120" s="634"/>
      <c r="O120" s="634">
        <v>0</v>
      </c>
      <c r="P120" s="634">
        <v>0</v>
      </c>
      <c r="Q120" s="634">
        <v>0</v>
      </c>
      <c r="R120" s="634">
        <v>0</v>
      </c>
      <c r="S120" s="634">
        <v>0</v>
      </c>
      <c r="T120" s="934">
        <v>0</v>
      </c>
      <c r="U120" s="934">
        <v>0</v>
      </c>
      <c r="V120" s="934">
        <v>0</v>
      </c>
      <c r="W120" s="934">
        <v>0</v>
      </c>
      <c r="X120" s="934">
        <v>0</v>
      </c>
      <c r="Y120" s="934">
        <v>0</v>
      </c>
      <c r="Z120" s="1087">
        <v>0</v>
      </c>
      <c r="AA120" s="1087">
        <v>0</v>
      </c>
      <c r="AB120" s="1087">
        <v>0</v>
      </c>
      <c r="AC120" s="1087">
        <v>0</v>
      </c>
      <c r="AD120" s="1087">
        <v>0</v>
      </c>
      <c r="AE120" s="1167">
        <v>0</v>
      </c>
      <c r="AF120" s="1167">
        <v>0</v>
      </c>
      <c r="AG120" s="1167">
        <v>0</v>
      </c>
      <c r="AH120" s="1167">
        <v>0</v>
      </c>
      <c r="AI120" s="1167">
        <v>0</v>
      </c>
      <c r="AJ120" s="1167">
        <v>0</v>
      </c>
      <c r="AK120" s="1167">
        <v>0</v>
      </c>
      <c r="AL120" s="1167">
        <v>0</v>
      </c>
      <c r="AM120" s="1167">
        <v>0</v>
      </c>
      <c r="AN120" s="1167">
        <v>0</v>
      </c>
      <c r="AO120" s="1167">
        <v>0</v>
      </c>
      <c r="AP120" s="634">
        <v>0</v>
      </c>
      <c r="AQ120" s="634">
        <v>0</v>
      </c>
      <c r="AR120" s="1624">
        <v>0</v>
      </c>
      <c r="AS120" s="634">
        <v>0</v>
      </c>
      <c r="AT120" s="634">
        <v>0</v>
      </c>
      <c r="AU120" s="634">
        <v>0</v>
      </c>
      <c r="AV120" s="634">
        <v>0</v>
      </c>
      <c r="AW120" s="634">
        <v>0</v>
      </c>
      <c r="AX120" s="634">
        <v>0</v>
      </c>
      <c r="AY120" s="634">
        <v>0</v>
      </c>
      <c r="AZ120" s="634">
        <v>0</v>
      </c>
      <c r="BA120" s="634">
        <v>0</v>
      </c>
      <c r="BB120" s="634">
        <v>0</v>
      </c>
      <c r="BC120" s="634">
        <v>0</v>
      </c>
      <c r="BE120" s="1182"/>
      <c r="BF120" s="1559"/>
      <c r="BG120" s="1182"/>
    </row>
    <row r="121" spans="1:60" x14ac:dyDescent="0.3">
      <c r="C121" s="106" t="s">
        <v>213</v>
      </c>
      <c r="D121" s="42"/>
      <c r="E121" s="42"/>
      <c r="F121" s="42"/>
      <c r="G121" s="107">
        <v>0</v>
      </c>
      <c r="H121" s="635">
        <v>0</v>
      </c>
      <c r="I121" s="669">
        <v>0</v>
      </c>
      <c r="J121" s="669">
        <v>0</v>
      </c>
      <c r="K121" s="669">
        <v>44000</v>
      </c>
      <c r="L121" s="669">
        <v>33640</v>
      </c>
      <c r="M121" s="669">
        <v>0</v>
      </c>
      <c r="N121" s="669">
        <v>0</v>
      </c>
      <c r="O121" s="669">
        <f>O131</f>
        <v>0</v>
      </c>
      <c r="P121" s="669">
        <v>0</v>
      </c>
      <c r="Q121" s="669">
        <v>0</v>
      </c>
      <c r="R121" s="669">
        <v>0</v>
      </c>
      <c r="S121" s="669">
        <v>0</v>
      </c>
      <c r="T121" s="935">
        <v>0</v>
      </c>
      <c r="U121" s="935">
        <v>0</v>
      </c>
      <c r="V121" s="935">
        <v>0</v>
      </c>
      <c r="W121" s="935">
        <v>0</v>
      </c>
      <c r="X121" s="935">
        <v>0</v>
      </c>
      <c r="Y121" s="935">
        <v>0</v>
      </c>
      <c r="Z121" s="1088">
        <v>0</v>
      </c>
      <c r="AA121" s="1088">
        <v>0</v>
      </c>
      <c r="AB121" s="1088">
        <v>0</v>
      </c>
      <c r="AC121" s="1116">
        <v>43200</v>
      </c>
      <c r="AD121" s="1136">
        <v>0</v>
      </c>
      <c r="AE121" s="1168">
        <v>0</v>
      </c>
      <c r="AF121" s="1168">
        <v>0</v>
      </c>
      <c r="AG121" s="1168">
        <v>0</v>
      </c>
      <c r="AH121" s="1168">
        <v>0</v>
      </c>
      <c r="AI121" s="1168">
        <v>0</v>
      </c>
      <c r="AJ121" s="1168">
        <v>0</v>
      </c>
      <c r="AK121" s="1575">
        <f>AK113</f>
        <v>349651.5</v>
      </c>
      <c r="AL121" s="1168">
        <v>0</v>
      </c>
      <c r="AM121" s="1168">
        <v>0</v>
      </c>
      <c r="AN121" s="1168">
        <v>0</v>
      </c>
      <c r="AO121" s="1168">
        <v>0</v>
      </c>
      <c r="AP121" s="669">
        <v>0</v>
      </c>
      <c r="AQ121" s="669">
        <f>AQ113</f>
        <v>0</v>
      </c>
      <c r="AR121" s="1625">
        <f>AR113</f>
        <v>150500</v>
      </c>
      <c r="AS121" s="669">
        <v>0</v>
      </c>
      <c r="AT121" s="669">
        <v>0</v>
      </c>
      <c r="AU121" s="669">
        <v>0</v>
      </c>
      <c r="AV121" s="669">
        <v>0</v>
      </c>
      <c r="AW121" s="669">
        <v>0</v>
      </c>
      <c r="AX121" s="669">
        <v>0</v>
      </c>
      <c r="AY121" s="669">
        <v>0</v>
      </c>
      <c r="AZ121" s="669">
        <v>0</v>
      </c>
      <c r="BA121" s="669">
        <v>0</v>
      </c>
      <c r="BB121" s="669">
        <v>0</v>
      </c>
      <c r="BC121" s="669">
        <v>0</v>
      </c>
      <c r="BE121" s="1197"/>
      <c r="BF121" s="1560"/>
      <c r="BG121" s="1197"/>
    </row>
    <row r="122" spans="1:60" ht="15.75" customHeight="1" x14ac:dyDescent="0.3">
      <c r="A122" s="76"/>
      <c r="B122" s="76"/>
      <c r="C122" s="84" t="s">
        <v>214</v>
      </c>
      <c r="D122" s="76"/>
      <c r="E122" s="109"/>
      <c r="F122" s="110"/>
      <c r="G122" s="61">
        <f t="shared" ref="G122:R122" si="164">G115+SUM(G119:G121)</f>
        <v>28354</v>
      </c>
      <c r="H122" s="622">
        <f t="shared" si="164"/>
        <v>-96534.217352000109</v>
      </c>
      <c r="I122" s="629">
        <f t="shared" si="164"/>
        <v>28040.406120999989</v>
      </c>
      <c r="J122" s="629">
        <f t="shared" si="164"/>
        <v>406189.18000000005</v>
      </c>
      <c r="K122" s="629">
        <f t="shared" si="164"/>
        <v>103950.05000000008</v>
      </c>
      <c r="L122" s="629">
        <f t="shared" si="164"/>
        <v>176429.62000000014</v>
      </c>
      <c r="M122" s="629">
        <f t="shared" si="164"/>
        <v>226201.53999999983</v>
      </c>
      <c r="N122" s="629">
        <f t="shared" si="164"/>
        <v>403883.42860000004</v>
      </c>
      <c r="O122" s="629">
        <f t="shared" si="164"/>
        <v>278778.50999999989</v>
      </c>
      <c r="P122" s="629">
        <f t="shared" si="164"/>
        <v>370672.93999999994</v>
      </c>
      <c r="Q122" s="629">
        <f t="shared" si="164"/>
        <v>407471.03000000049</v>
      </c>
      <c r="R122" s="629">
        <f t="shared" si="164"/>
        <v>181846.49000000002</v>
      </c>
      <c r="S122" s="629">
        <f t="shared" ref="S122:Y122" si="165">S115+SUM(S119:S121)</f>
        <v>409653.5499999997</v>
      </c>
      <c r="T122" s="924">
        <f t="shared" si="165"/>
        <v>60434.359999999848</v>
      </c>
      <c r="U122" s="924">
        <f t="shared" si="165"/>
        <v>216601.78000000003</v>
      </c>
      <c r="V122" s="924">
        <f t="shared" si="165"/>
        <v>46329.520000000048</v>
      </c>
      <c r="W122" s="924">
        <f t="shared" si="165"/>
        <v>-265542.82000000012</v>
      </c>
      <c r="X122" s="924">
        <f t="shared" si="165"/>
        <v>-128392.73000000003</v>
      </c>
      <c r="Y122" s="924">
        <f t="shared" si="165"/>
        <v>279238.66000000009</v>
      </c>
      <c r="Z122" s="1076">
        <f t="shared" ref="Z122:AE122" si="166">Z115+SUM(Z119:Z121)</f>
        <v>-19852.979999999865</v>
      </c>
      <c r="AA122" s="1076">
        <f t="shared" si="166"/>
        <v>504677.98999999982</v>
      </c>
      <c r="AB122" s="1076">
        <f t="shared" si="166"/>
        <v>231725.07000000015</v>
      </c>
      <c r="AC122" s="1076">
        <f t="shared" si="166"/>
        <v>179276.82</v>
      </c>
      <c r="AD122" s="1076">
        <f t="shared" si="166"/>
        <v>145043.77000000005</v>
      </c>
      <c r="AE122" s="1169">
        <f t="shared" si="166"/>
        <v>279554.12000000017</v>
      </c>
      <c r="AF122" s="1237">
        <f t="shared" ref="AF122:AQ122" si="167">AF115+SUM(AF119:AF121)</f>
        <v>-272071.57000000007</v>
      </c>
      <c r="AG122" s="1237">
        <f>AG115+SUM(AG119:AG121)</f>
        <v>74690.660000000047</v>
      </c>
      <c r="AH122" s="1237">
        <f>AH115+SUM(AH119:AH121)</f>
        <v>347111.51</v>
      </c>
      <c r="AI122" s="1237">
        <f>AI115+SUM(AI119:AI121)</f>
        <v>206065.88999999996</v>
      </c>
      <c r="AJ122" s="1237">
        <f t="shared" si="167"/>
        <v>436213.60000000003</v>
      </c>
      <c r="AK122" s="1237">
        <f t="shared" si="167"/>
        <v>187962.38999999996</v>
      </c>
      <c r="AL122" s="1237">
        <f t="shared" si="167"/>
        <v>119940.58000000007</v>
      </c>
      <c r="AM122" s="1237">
        <f t="shared" si="167"/>
        <v>219743.86000000004</v>
      </c>
      <c r="AN122" s="1237">
        <f t="shared" ref="AN122" si="168">AN115+SUM(AN119:AN121)</f>
        <v>212597.11999999982</v>
      </c>
      <c r="AO122" s="1237">
        <f t="shared" ref="AO122" si="169">AO115+SUM(AO119:AO121)</f>
        <v>239223.59000000035</v>
      </c>
      <c r="AP122" s="629">
        <f t="shared" ca="1" si="167"/>
        <v>372535.01218431606</v>
      </c>
      <c r="AQ122" s="629">
        <f t="shared" ca="1" si="167"/>
        <v>459133.98392675939</v>
      </c>
      <c r="AR122" s="618">
        <f t="shared" ref="AR122:BC122" ca="1" si="170">AR115+SUM(AR119:AR121)</f>
        <v>293220.47178088716</v>
      </c>
      <c r="AS122" s="629">
        <f t="shared" ca="1" si="170"/>
        <v>524162.9256223386</v>
      </c>
      <c r="AT122" s="629">
        <f t="shared" ca="1" si="170"/>
        <v>305219.36171111022</v>
      </c>
      <c r="AU122" s="629">
        <f t="shared" ca="1" si="170"/>
        <v>482079.39560114488</v>
      </c>
      <c r="AV122" s="629">
        <f t="shared" ca="1" si="170"/>
        <v>300607.02693574934</v>
      </c>
      <c r="AW122" s="629">
        <f t="shared" ca="1" si="170"/>
        <v>295692.91099284397</v>
      </c>
      <c r="AX122" s="629">
        <f t="shared" ca="1" si="170"/>
        <v>292664.65456443187</v>
      </c>
      <c r="AY122" s="629">
        <f t="shared" ca="1" si="170"/>
        <v>542669.26856573403</v>
      </c>
      <c r="AZ122" s="629">
        <f t="shared" ca="1" si="170"/>
        <v>332959.06458834698</v>
      </c>
      <c r="BA122" s="629">
        <f t="shared" ca="1" si="170"/>
        <v>284472.00406709529</v>
      </c>
      <c r="BB122" s="629">
        <f t="shared" ca="1" si="170"/>
        <v>281435.38056087546</v>
      </c>
      <c r="BC122" s="629">
        <f t="shared" ca="1" si="170"/>
        <v>278342.92532069323</v>
      </c>
      <c r="BE122" s="1184">
        <f>SUM(T122:AE122)</f>
        <v>1529093.56</v>
      </c>
      <c r="BF122" s="1561">
        <f ca="1">SUM(AF122:AQ122)</f>
        <v>2603146.6261110757</v>
      </c>
      <c r="BG122" s="1184">
        <f ca="1">SUM(AR122:BC122)</f>
        <v>4213525.3903112505</v>
      </c>
    </row>
    <row r="123" spans="1:60" ht="15.75" customHeight="1" x14ac:dyDescent="0.3">
      <c r="A123" s="76"/>
      <c r="B123" s="76"/>
      <c r="C123" s="63"/>
      <c r="D123" s="76"/>
      <c r="E123" s="109"/>
      <c r="F123" s="109"/>
      <c r="G123" s="78"/>
      <c r="H123" s="636"/>
      <c r="I123" s="670"/>
      <c r="J123" s="670"/>
      <c r="K123" s="670"/>
      <c r="L123" s="670"/>
      <c r="M123" s="670"/>
      <c r="N123" s="670"/>
      <c r="O123" s="670"/>
      <c r="P123" s="670"/>
      <c r="Q123" s="670"/>
      <c r="R123" s="670"/>
      <c r="S123" s="670"/>
      <c r="T123" s="929"/>
      <c r="U123" s="929"/>
      <c r="V123" s="929"/>
      <c r="W123" s="929"/>
      <c r="X123" s="929"/>
      <c r="Y123" s="929"/>
      <c r="Z123" s="1077"/>
      <c r="AA123" s="1077"/>
      <c r="AB123" s="1077"/>
      <c r="AC123" s="1077"/>
      <c r="AD123" s="1077"/>
      <c r="AE123" s="1170"/>
      <c r="AF123" s="1238"/>
      <c r="AG123" s="1238"/>
      <c r="AH123" s="1238"/>
      <c r="AI123" s="1238"/>
      <c r="AJ123" s="1238"/>
      <c r="AK123" s="1238"/>
      <c r="AL123" s="1238"/>
      <c r="AM123" s="1238"/>
      <c r="AN123" s="1238"/>
      <c r="AO123" s="1238"/>
      <c r="AP123" s="670"/>
      <c r="AQ123" s="670"/>
      <c r="AR123" s="1626"/>
      <c r="AS123" s="670"/>
      <c r="AT123" s="670"/>
      <c r="AU123" s="670"/>
      <c r="AV123" s="670"/>
      <c r="AW123" s="670"/>
      <c r="AX123" s="670"/>
      <c r="AY123" s="670"/>
      <c r="AZ123" s="670"/>
      <c r="BA123" s="670"/>
      <c r="BB123" s="670"/>
      <c r="BC123" s="670"/>
      <c r="BE123" s="1198"/>
      <c r="BF123" s="1658">
        <f ca="1">BF122/$BE$51</f>
        <v>0.16735902152127399</v>
      </c>
      <c r="BG123" s="1659">
        <f ca="1">BG122/$BE$51</f>
        <v>0.27089195798817267</v>
      </c>
    </row>
    <row r="124" spans="1:60" ht="15.75" customHeight="1" x14ac:dyDescent="0.3">
      <c r="A124" s="76"/>
      <c r="B124" s="76"/>
      <c r="C124" s="63"/>
      <c r="D124" s="76"/>
      <c r="E124" s="109"/>
      <c r="F124" s="109"/>
      <c r="G124" s="78"/>
      <c r="H124" s="626"/>
      <c r="I124" s="679"/>
      <c r="J124" s="679"/>
      <c r="K124" s="679"/>
      <c r="L124" s="679"/>
      <c r="M124" s="679"/>
      <c r="N124" s="679"/>
      <c r="O124" s="679"/>
      <c r="P124" s="679"/>
      <c r="Q124" s="679"/>
      <c r="R124" s="679"/>
      <c r="S124" s="679"/>
      <c r="T124" s="930"/>
      <c r="U124" s="930"/>
      <c r="V124" s="930"/>
      <c r="W124" s="930"/>
      <c r="X124" s="930"/>
      <c r="Y124" s="930"/>
      <c r="Z124" s="1082"/>
      <c r="AA124" s="1082"/>
      <c r="AB124" s="1082"/>
      <c r="AC124" s="1082"/>
      <c r="AD124" s="1082"/>
      <c r="AE124" s="1209"/>
      <c r="AF124" s="1239"/>
      <c r="AG124" s="1239"/>
      <c r="AH124" s="1239"/>
      <c r="AI124" s="1239"/>
      <c r="AJ124" s="1239"/>
      <c r="AK124" s="1239"/>
      <c r="AL124" s="1239"/>
      <c r="AM124" s="1239"/>
      <c r="AN124" s="1239"/>
      <c r="AO124" s="1239"/>
      <c r="AP124" s="679"/>
      <c r="AQ124" s="679"/>
      <c r="AR124" s="1617"/>
      <c r="AS124" s="679"/>
      <c r="AT124" s="679"/>
      <c r="AU124" s="679"/>
      <c r="AV124" s="679"/>
      <c r="AW124" s="679"/>
      <c r="AX124" s="679"/>
      <c r="AY124" s="679"/>
      <c r="AZ124" s="679"/>
      <c r="BA124" s="679"/>
      <c r="BB124" s="679"/>
      <c r="BC124" s="679"/>
      <c r="BE124" s="1196"/>
      <c r="BF124" s="1562"/>
      <c r="BG124" s="1196"/>
    </row>
    <row r="125" spans="1:60" s="79" customFormat="1" ht="15.75" customHeight="1" x14ac:dyDescent="0.3">
      <c r="A125" s="76"/>
      <c r="B125" s="76"/>
      <c r="C125" s="57" t="s">
        <v>53</v>
      </c>
      <c r="D125" s="76"/>
      <c r="E125" s="89" t="s">
        <v>215</v>
      </c>
      <c r="F125" s="313">
        <v>0.03</v>
      </c>
      <c r="G125" s="61">
        <v>2708.3333333333335</v>
      </c>
      <c r="H125" s="622">
        <v>7048.96</v>
      </c>
      <c r="I125" s="629">
        <v>145.8100000000004</v>
      </c>
      <c r="J125" s="629">
        <v>2573.35</v>
      </c>
      <c r="K125" s="629">
        <v>6404.3899999999994</v>
      </c>
      <c r="L125" s="629">
        <v>135.40999999999991</v>
      </c>
      <c r="M125" s="629">
        <v>131.92739050852367</v>
      </c>
      <c r="N125" s="629">
        <v>4390.2819833283111</v>
      </c>
      <c r="O125" s="629">
        <v>124.92719680549672</v>
      </c>
      <c r="P125" s="629">
        <v>121.41300577218023</v>
      </c>
      <c r="Q125" s="629">
        <v>4508.119999999999</v>
      </c>
      <c r="R125" s="629">
        <v>300.17000000000189</v>
      </c>
      <c r="S125" s="629">
        <v>110.81375291609118</v>
      </c>
      <c r="T125" s="924">
        <v>4861.8216908083386</v>
      </c>
      <c r="U125" s="924">
        <v>600.47009733392929</v>
      </c>
      <c r="V125" s="924">
        <v>541.8789469170307</v>
      </c>
      <c r="W125" s="924">
        <v>4699.9782139131803</v>
      </c>
      <c r="X125" s="924">
        <v>551.18787260910267</v>
      </c>
      <c r="Y125" s="924">
        <v>555.05789722252587</v>
      </c>
      <c r="Z125" s="1076">
        <v>4530.6382619019951</v>
      </c>
      <c r="AA125" s="1076">
        <v>532.19894072668751</v>
      </c>
      <c r="AB125" s="1076">
        <v>520.73990770622629</v>
      </c>
      <c r="AC125" s="1076">
        <v>4371.9911367804934</v>
      </c>
      <c r="AD125" s="1076">
        <v>497.68260181944322</v>
      </c>
      <c r="AE125" s="1169">
        <v>472.62427662291407</v>
      </c>
      <c r="AF125" s="1240">
        <f>'MXD P&amp;L'!N173</f>
        <v>4451.6099999999997</v>
      </c>
      <c r="AG125" s="1240">
        <f>'MXD P&amp;L'!O173</f>
        <v>711.45</v>
      </c>
      <c r="AH125" s="1240">
        <f>'MXD P&amp;L'!P173</f>
        <v>739.19</v>
      </c>
      <c r="AI125" s="1240">
        <f>'MXD P&amp;L'!Q173</f>
        <v>852.13</v>
      </c>
      <c r="AJ125" s="1240">
        <f>'MXD P&amp;L'!R173</f>
        <v>693.63</v>
      </c>
      <c r="AK125" s="1240">
        <f>AK109+AK110+'MXD P&amp;L'!S219</f>
        <v>11120.35</v>
      </c>
      <c r="AL125" s="1240">
        <f t="shared" ref="AL125:AQ125" si="171">AL109+AL110</f>
        <v>13407.44</v>
      </c>
      <c r="AM125" s="1240">
        <f t="shared" si="171"/>
        <v>12628.39</v>
      </c>
      <c r="AN125" s="1240">
        <f t="shared" ref="AN125" si="172">AN109+AN110</f>
        <v>10954.85</v>
      </c>
      <c r="AO125" s="1240">
        <f t="shared" ref="AO125" si="173">AO109+AO110</f>
        <v>11934.22</v>
      </c>
      <c r="AP125" s="629">
        <f t="shared" ca="1" si="171"/>
        <v>12330</v>
      </c>
      <c r="AQ125" s="629">
        <f t="shared" ca="1" si="171"/>
        <v>11840</v>
      </c>
      <c r="AR125" s="618">
        <f t="shared" ref="AR125:BC125" ca="1" si="174">AR109+AR110</f>
        <v>12130</v>
      </c>
      <c r="AS125" s="629">
        <f t="shared" ca="1" si="174"/>
        <v>12030</v>
      </c>
      <c r="AT125" s="629">
        <f t="shared" ca="1" si="174"/>
        <v>11160</v>
      </c>
      <c r="AU125" s="629">
        <f t="shared" ca="1" si="174"/>
        <v>11820</v>
      </c>
      <c r="AV125" s="629">
        <f t="shared" ca="1" si="174"/>
        <v>11350</v>
      </c>
      <c r="AW125" s="629">
        <f t="shared" ca="1" si="174"/>
        <v>11620</v>
      </c>
      <c r="AX125" s="629">
        <f t="shared" ca="1" si="174"/>
        <v>11140</v>
      </c>
      <c r="AY125" s="629">
        <f t="shared" ca="1" si="174"/>
        <v>11410</v>
      </c>
      <c r="AZ125" s="629">
        <f t="shared" ca="1" si="174"/>
        <v>11300</v>
      </c>
      <c r="BA125" s="629">
        <f t="shared" ca="1" si="174"/>
        <v>10840</v>
      </c>
      <c r="BB125" s="629">
        <f t="shared" ca="1" si="174"/>
        <v>11090</v>
      </c>
      <c r="BC125" s="629">
        <f t="shared" ca="1" si="174"/>
        <v>10630</v>
      </c>
      <c r="BE125" s="1184">
        <f>SUM(T125:AE125)</f>
        <v>22736.269844361868</v>
      </c>
      <c r="BF125" s="1561">
        <f ca="1">SUM(AF125:AQ125)</f>
        <v>91663.26</v>
      </c>
      <c r="BG125" s="1184">
        <f t="shared" ref="BG125:BG131" ca="1" si="175">SUM(AR125:BC125)</f>
        <v>136520</v>
      </c>
    </row>
    <row r="126" spans="1:60" s="79" customFormat="1" ht="15.75" customHeight="1" x14ac:dyDescent="0.3">
      <c r="A126" s="76"/>
      <c r="B126" s="76"/>
      <c r="C126" s="57" t="s">
        <v>208</v>
      </c>
      <c r="D126" s="76"/>
      <c r="E126" s="76" t="s">
        <v>209</v>
      </c>
      <c r="F126" s="1265">
        <v>0.03</v>
      </c>
      <c r="G126" s="476">
        <v>0</v>
      </c>
      <c r="H126" s="1266">
        <v>0</v>
      </c>
      <c r="I126" s="1267">
        <v>0</v>
      </c>
      <c r="J126" s="1267">
        <f>'Admin-Finance'!N63</f>
        <v>5620.67</v>
      </c>
      <c r="K126" s="1267">
        <f>'Admin-Finance'!R63</f>
        <v>10749.47</v>
      </c>
      <c r="L126" s="1267">
        <v>0</v>
      </c>
      <c r="M126" s="1267">
        <f>MAX(SUM(K101:M101)*0.12*$F$126,0)</f>
        <v>1533.2692320000003</v>
      </c>
      <c r="N126" s="1267">
        <v>0</v>
      </c>
      <c r="O126" s="1267">
        <v>0</v>
      </c>
      <c r="P126" s="1267">
        <v>0</v>
      </c>
      <c r="Q126" s="1267">
        <v>0</v>
      </c>
      <c r="R126" s="1267">
        <v>0</v>
      </c>
      <c r="S126" s="1267">
        <v>0</v>
      </c>
      <c r="T126" s="1268">
        <f>'MXD P&amp;L'!B209</f>
        <v>0</v>
      </c>
      <c r="U126" s="1268">
        <f>'MXD P&amp;L'!C209</f>
        <v>0</v>
      </c>
      <c r="V126" s="1268">
        <f>'MXD P&amp;L'!D209</f>
        <v>1351.47</v>
      </c>
      <c r="W126" s="1268">
        <f>'MXD P&amp;L'!E209</f>
        <v>8782.85</v>
      </c>
      <c r="X126" s="1268">
        <f>'MXD P&amp;L'!F209</f>
        <v>5053.46</v>
      </c>
      <c r="Y126" s="1268">
        <f>'MXD P&amp;L'!G209</f>
        <v>1283.71</v>
      </c>
      <c r="Z126" s="1269">
        <f>'MXD P&amp;L'!H209</f>
        <v>0</v>
      </c>
      <c r="AA126" s="1269">
        <f>'MXD P&amp;L'!I209</f>
        <v>2535.5</v>
      </c>
      <c r="AB126" s="1269">
        <f>'MXD P&amp;L'!J209</f>
        <v>4792.3500000000004</v>
      </c>
      <c r="AC126" s="1269">
        <f>'MXD P&amp;L'!K209</f>
        <v>-22796.31</v>
      </c>
      <c r="AD126" s="1269">
        <f>'MXD P&amp;L'!L209</f>
        <v>0</v>
      </c>
      <c r="AE126" s="1270">
        <f>'MXD P&amp;L'!M209</f>
        <v>-33067.949999999997</v>
      </c>
      <c r="AF126" s="1155">
        <f>'MXD P&amp;L'!N209</f>
        <v>1258.3900000000001</v>
      </c>
      <c r="AG126" s="1155">
        <f>'MXD P&amp;L'!O209</f>
        <v>53.83</v>
      </c>
      <c r="AH126" s="1155">
        <f>'MXD P&amp;L'!P209</f>
        <v>4900</v>
      </c>
      <c r="AI126" s="1155">
        <f>'MXD P&amp;L'!Q209</f>
        <v>26675</v>
      </c>
      <c r="AJ126" s="1155">
        <f>'MXD P&amp;L'!R209</f>
        <v>0</v>
      </c>
      <c r="AK126" s="1157">
        <f>'MXD P&amp;L'!S209</f>
        <v>5300</v>
      </c>
      <c r="AL126" s="1157">
        <f>'MXD P&amp;L'!T209</f>
        <v>0</v>
      </c>
      <c r="AM126" s="1157">
        <f>'MXD P&amp;L'!U209</f>
        <v>0</v>
      </c>
      <c r="AN126" s="1157">
        <f>'MXD P&amp;L'!V209</f>
        <v>35420</v>
      </c>
      <c r="AO126" s="1157">
        <f>'MXD P&amp;L'!W209</f>
        <v>37854</v>
      </c>
      <c r="AP126" s="1267"/>
      <c r="AQ126" s="1267"/>
      <c r="AR126" s="1266"/>
      <c r="AS126" s="1267"/>
      <c r="AT126" s="1267"/>
      <c r="AU126" s="1267"/>
      <c r="AV126" s="1267"/>
      <c r="AW126" s="1267"/>
      <c r="AX126" s="1267"/>
      <c r="AY126" s="1267"/>
      <c r="AZ126" s="1267"/>
      <c r="BA126" s="1267"/>
      <c r="BB126" s="1267"/>
      <c r="BC126" s="1267"/>
      <c r="BE126" s="1262">
        <f>SUM(T126:AE126)</f>
        <v>-32064.920000000002</v>
      </c>
      <c r="BF126" s="1261">
        <f>SUM(AF126:AQ126)</f>
        <v>111461.22</v>
      </c>
      <c r="BG126" s="1262">
        <f t="shared" si="175"/>
        <v>0</v>
      </c>
    </row>
    <row r="127" spans="1:60" s="79" customFormat="1" ht="15.75" customHeight="1" x14ac:dyDescent="0.3">
      <c r="A127" s="76"/>
      <c r="B127" s="76"/>
      <c r="C127" s="57" t="s">
        <v>216</v>
      </c>
      <c r="D127" s="76"/>
      <c r="E127" s="89"/>
      <c r="F127" s="113"/>
      <c r="G127" s="114">
        <v>11383.68</v>
      </c>
      <c r="H127" s="622">
        <v>41459.21</v>
      </c>
      <c r="I127" s="629">
        <v>58261.953300000001</v>
      </c>
      <c r="J127" s="629">
        <v>66537.41</v>
      </c>
      <c r="K127" s="629">
        <v>109884.68</v>
      </c>
      <c r="L127" s="629">
        <v>51803.14</v>
      </c>
      <c r="M127" s="629">
        <v>65126.749999999985</v>
      </c>
      <c r="N127" s="629">
        <v>60659.329999999994</v>
      </c>
      <c r="O127" s="629">
        <v>63072.100000000006</v>
      </c>
      <c r="P127" s="629">
        <v>90273.720000000016</v>
      </c>
      <c r="Q127" s="629">
        <v>56321.679999999993</v>
      </c>
      <c r="R127" s="629">
        <v>15384.400000000003</v>
      </c>
      <c r="S127" s="629">
        <v>62429.26999999999</v>
      </c>
      <c r="T127" s="924">
        <v>15384.400000000001</v>
      </c>
      <c r="U127" s="924">
        <v>15384.400000000001</v>
      </c>
      <c r="V127" s="924">
        <v>15384.400000000001</v>
      </c>
      <c r="W127" s="924">
        <v>15384.400000000001</v>
      </c>
      <c r="X127" s="924">
        <v>15384.400000000001</v>
      </c>
      <c r="Y127" s="924">
        <v>15384.400000000001</v>
      </c>
      <c r="Z127" s="1076">
        <v>15384.400000000001</v>
      </c>
      <c r="AA127" s="1076">
        <v>15384.400000000001</v>
      </c>
      <c r="AB127" s="1076">
        <v>15384.400000000001</v>
      </c>
      <c r="AC127" s="1076">
        <v>18738.310000000001</v>
      </c>
      <c r="AD127" s="1240">
        <f>'MXD P&amp;L'!L57+'MXD P&amp;L'!L58+'MXD P&amp;L'!L178+'MXD P&amp;L'!L179+'MXD P&amp;L'!L180+'MXD P&amp;L'!L181</f>
        <v>18738.310000000001</v>
      </c>
      <c r="AE127" s="1240">
        <f>'MXD P&amp;L'!M57+'MXD P&amp;L'!M58+'MXD P&amp;L'!M178+'MXD P&amp;L'!M179+'MXD P&amp;L'!M180+'MXD P&amp;L'!M181</f>
        <v>28467.49</v>
      </c>
      <c r="AF127" s="1240">
        <f>'MXD P&amp;L'!N57+'MXD P&amp;L'!N58+'MXD P&amp;L'!N178+'MXD P&amp;L'!N179+'MXD P&amp;L'!N180+'MXD P&amp;L'!N181</f>
        <v>18738.310000000001</v>
      </c>
      <c r="AG127" s="1240">
        <f>'MXD P&amp;L'!O57+'MXD P&amp;L'!O58+'MXD P&amp;L'!O178+'MXD P&amp;L'!O179+'MXD P&amp;L'!O180+'MXD P&amp;L'!O181</f>
        <v>21500.000000000004</v>
      </c>
      <c r="AH127" s="1240">
        <f>'MXD P&amp;L'!P57+'MXD P&amp;L'!P58+'MXD P&amp;L'!P178+'MXD P&amp;L'!P179+'MXD P&amp;L'!P180+'MXD P&amp;L'!P181</f>
        <v>21500.000000000004</v>
      </c>
      <c r="AI127" s="1240">
        <f>'MXD P&amp;L'!Q57+'MXD P&amp;L'!Q58+'MXD P&amp;L'!Q178+'MXD P&amp;L'!Q179+'MXD P&amp;L'!Q180+'MXD P&amp;L'!Q181</f>
        <v>21500.000000000004</v>
      </c>
      <c r="AJ127" s="1240">
        <f>'MXD P&amp;L'!R57+'MXD P&amp;L'!R58+'MXD P&amp;L'!R178+'MXD P&amp;L'!R179+'MXD P&amp;L'!R180+'MXD P&amp;L'!R181</f>
        <v>21500.000000000004</v>
      </c>
      <c r="AK127" s="1240">
        <f>'MXD P&amp;L'!S221+'HEC Financials'!AZ69</f>
        <v>21500.000000000004</v>
      </c>
      <c r="AL127" s="1240">
        <f>'MXD P&amp;L'!T221+'HEC Financials'!BA69</f>
        <v>21500.000000000004</v>
      </c>
      <c r="AM127" s="1240">
        <f>'MXD P&amp;L'!U221+'HEC Financials'!BB69</f>
        <v>21500.000000000004</v>
      </c>
      <c r="AN127" s="1240">
        <f>'MXD P&amp;L'!V221+'HEC Financials'!BC69</f>
        <v>21500.000000000004</v>
      </c>
      <c r="AO127" s="1240">
        <f>'MXD P&amp;L'!W221+'HEC Financials'!BD69</f>
        <v>23329.460000000003</v>
      </c>
      <c r="AP127" s="629">
        <f>$AJ$127+'HEC Financials'!BC69</f>
        <v>21500.000000000004</v>
      </c>
      <c r="AQ127" s="629">
        <f>$AJ$127+'HEC Financials'!BD69</f>
        <v>21500.000000000004</v>
      </c>
      <c r="AR127" s="618">
        <f>$AJ$127+'HEC Financials'!BE69</f>
        <v>21500.000000000004</v>
      </c>
      <c r="AS127" s="629">
        <f>$AJ$127+'HEC Financials'!BF69</f>
        <v>21500.000000000004</v>
      </c>
      <c r="AT127" s="629">
        <f>$AJ$127+'HEC Financials'!BG69</f>
        <v>21500.000000000004</v>
      </c>
      <c r="AU127" s="629">
        <f>$AJ$127+'HEC Financials'!BH69</f>
        <v>21500.000000000004</v>
      </c>
      <c r="AV127" s="629">
        <f>$AJ$127+'HEC Financials'!BI69</f>
        <v>21500.000000000004</v>
      </c>
      <c r="AW127" s="629">
        <f>$AJ$127+'HEC Financials'!BJ69</f>
        <v>21500.000000000004</v>
      </c>
      <c r="AX127" s="629">
        <f>$AJ$127+'HEC Financials'!BK69</f>
        <v>21500.000000000004</v>
      </c>
      <c r="AY127" s="629">
        <f>$AJ$127+'HEC Financials'!BL69</f>
        <v>21500.000000000004</v>
      </c>
      <c r="AZ127" s="629">
        <f>$AJ$127+'HEC Financials'!BM69</f>
        <v>21500.000000000004</v>
      </c>
      <c r="BA127" s="629">
        <f>$AJ$127+'HEC Financials'!BN69</f>
        <v>21500.000000000004</v>
      </c>
      <c r="BB127" s="629">
        <f>$AJ$127+'HEC Financials'!BO69</f>
        <v>21500.000000000004</v>
      </c>
      <c r="BC127" s="629">
        <f>$AJ$127+'HEC Financials'!BP69</f>
        <v>21500.000000000004</v>
      </c>
      <c r="BE127" s="1184">
        <f>SUM(T127:AE127)</f>
        <v>204403.70999999996</v>
      </c>
      <c r="BF127" s="1561">
        <f>SUM(AF127:AQ127)</f>
        <v>257067.77000000002</v>
      </c>
      <c r="BG127" s="1184">
        <f t="shared" si="175"/>
        <v>258000.00000000003</v>
      </c>
    </row>
    <row r="128" spans="1:60" s="79" customFormat="1" ht="15.75" customHeight="1" x14ac:dyDescent="0.3">
      <c r="A128" s="76"/>
      <c r="B128" s="76"/>
      <c r="C128" s="57" t="s">
        <v>217</v>
      </c>
      <c r="D128" s="76"/>
      <c r="E128" s="76"/>
      <c r="F128" s="113"/>
      <c r="G128" s="114">
        <v>2262.1799999999998</v>
      </c>
      <c r="H128" s="622">
        <v>3513.3</v>
      </c>
      <c r="I128" s="629">
        <v>3513.3</v>
      </c>
      <c r="J128" s="629">
        <v>3513.3</v>
      </c>
      <c r="K128" s="629">
        <v>5724.3899999999994</v>
      </c>
      <c r="L128" s="629">
        <v>4066.0899999999992</v>
      </c>
      <c r="M128" s="629">
        <v>4066.0900000000011</v>
      </c>
      <c r="N128" s="629">
        <v>4066.0899999999997</v>
      </c>
      <c r="O128" s="629">
        <v>4066.0900000000006</v>
      </c>
      <c r="P128" s="629">
        <v>4066.0900000000011</v>
      </c>
      <c r="Q128" s="629">
        <v>4066.0900000000011</v>
      </c>
      <c r="R128" s="629">
        <v>4066.0899999999992</v>
      </c>
      <c r="S128" s="629">
        <v>4066.0900000000011</v>
      </c>
      <c r="T128" s="924">
        <v>3487.79</v>
      </c>
      <c r="U128" s="924">
        <v>3487.79</v>
      </c>
      <c r="V128" s="924">
        <v>3487.79</v>
      </c>
      <c r="W128" s="924">
        <v>3487.79</v>
      </c>
      <c r="X128" s="924">
        <v>3487.79</v>
      </c>
      <c r="Y128" s="924">
        <v>1658.33</v>
      </c>
      <c r="Z128" s="1076">
        <v>2815.33</v>
      </c>
      <c r="AA128" s="1076">
        <v>2236.6299999999997</v>
      </c>
      <c r="AB128" s="1076">
        <v>1658.33</v>
      </c>
      <c r="AC128" s="1076">
        <v>1658.33</v>
      </c>
      <c r="AD128" s="1076">
        <v>2815.33</v>
      </c>
      <c r="AE128" s="1169">
        <v>2236.63</v>
      </c>
      <c r="AF128" s="1240">
        <f>'MXD P&amp;L'!N182+'MXD P&amp;L'!N123+'MXD P&amp;L'!N101</f>
        <v>3487.79</v>
      </c>
      <c r="AG128" s="1240">
        <f>'MXD P&amp;L'!O182+'MXD P&amp;L'!O123+'MXD P&amp;L'!O101</f>
        <v>3487.79</v>
      </c>
      <c r="AH128" s="1240">
        <f>'MXD P&amp;L'!P182+'MXD P&amp;L'!P123+'MXD P&amp;L'!P101</f>
        <v>3487.79</v>
      </c>
      <c r="AI128" s="1240">
        <f>'MXD P&amp;L'!Q182+'MXD P&amp;L'!Q123+'MXD P&amp;L'!Q101</f>
        <v>3487.79</v>
      </c>
      <c r="AJ128" s="1240">
        <f>'MXD P&amp;L'!R182+'MXD P&amp;L'!R123+'MXD P&amp;L'!R101</f>
        <v>3487.79</v>
      </c>
      <c r="AK128" s="1240">
        <f>'MXD P&amp;L'!S222+'HEC Financials'!AZ96</f>
        <v>3487.79</v>
      </c>
      <c r="AL128" s="1240">
        <f>'MXD P&amp;L'!T222+'HEC Financials'!BA96</f>
        <v>3487.79</v>
      </c>
      <c r="AM128" s="1240">
        <f>'MXD P&amp;L'!U222+'HEC Financials'!BB96</f>
        <v>3487.79</v>
      </c>
      <c r="AN128" s="1240">
        <f>'MXD P&amp;L'!V222+'HEC Financials'!BC96</f>
        <v>3487.79</v>
      </c>
      <c r="AO128" s="1240">
        <f>'MXD P&amp;L'!W222+'HEC Financials'!BD96</f>
        <v>1658.33</v>
      </c>
      <c r="AP128" s="629">
        <f t="shared" ref="AP128:BC128" si="176">AO128</f>
        <v>1658.33</v>
      </c>
      <c r="AQ128" s="629">
        <f t="shared" si="176"/>
        <v>1658.33</v>
      </c>
      <c r="AR128" s="618">
        <f t="shared" si="176"/>
        <v>1658.33</v>
      </c>
      <c r="AS128" s="629">
        <f t="shared" si="176"/>
        <v>1658.33</v>
      </c>
      <c r="AT128" s="629">
        <f t="shared" si="176"/>
        <v>1658.33</v>
      </c>
      <c r="AU128" s="629">
        <f t="shared" si="176"/>
        <v>1658.33</v>
      </c>
      <c r="AV128" s="629">
        <f t="shared" si="176"/>
        <v>1658.33</v>
      </c>
      <c r="AW128" s="629">
        <f t="shared" si="176"/>
        <v>1658.33</v>
      </c>
      <c r="AX128" s="629">
        <f t="shared" si="176"/>
        <v>1658.33</v>
      </c>
      <c r="AY128" s="629">
        <f t="shared" si="176"/>
        <v>1658.33</v>
      </c>
      <c r="AZ128" s="629">
        <f t="shared" si="176"/>
        <v>1658.33</v>
      </c>
      <c r="BA128" s="629">
        <f t="shared" si="176"/>
        <v>1658.33</v>
      </c>
      <c r="BB128" s="629">
        <f t="shared" si="176"/>
        <v>1658.33</v>
      </c>
      <c r="BC128" s="629">
        <f t="shared" si="176"/>
        <v>1658.33</v>
      </c>
      <c r="BE128" s="1184">
        <f>SUM(T128:AE128)</f>
        <v>32517.860000000004</v>
      </c>
      <c r="BF128" s="1561">
        <f>SUM(AF128:AQ128)</f>
        <v>36365.100000000006</v>
      </c>
      <c r="BG128" s="1184">
        <f t="shared" si="175"/>
        <v>19899.96</v>
      </c>
    </row>
    <row r="129" spans="1:61" s="79" customFormat="1" ht="15.75" customHeight="1" x14ac:dyDescent="0.3">
      <c r="A129" s="76"/>
      <c r="B129" s="76"/>
      <c r="C129" s="57" t="s">
        <v>52</v>
      </c>
      <c r="D129" s="76"/>
      <c r="E129" s="76"/>
      <c r="F129" s="63"/>
      <c r="G129" s="114"/>
      <c r="H129" s="622">
        <v>0</v>
      </c>
      <c r="I129" s="629">
        <v>0</v>
      </c>
      <c r="J129" s="629">
        <v>0</v>
      </c>
      <c r="K129" s="629">
        <v>0</v>
      </c>
      <c r="L129" s="629">
        <v>0</v>
      </c>
      <c r="M129" s="629">
        <v>0</v>
      </c>
      <c r="N129" s="629">
        <v>0</v>
      </c>
      <c r="O129" s="629">
        <v>0</v>
      </c>
      <c r="P129" s="629">
        <v>0</v>
      </c>
      <c r="Q129" s="629">
        <v>0</v>
      </c>
      <c r="R129" s="629">
        <v>0</v>
      </c>
      <c r="S129" s="629">
        <v>0</v>
      </c>
      <c r="T129" s="924">
        <v>0</v>
      </c>
      <c r="U129" s="924">
        <v>0</v>
      </c>
      <c r="V129" s="924">
        <v>0</v>
      </c>
      <c r="W129" s="924">
        <v>0</v>
      </c>
      <c r="X129" s="924">
        <v>0</v>
      </c>
      <c r="Y129" s="924">
        <v>0</v>
      </c>
      <c r="Z129" s="1076">
        <v>0</v>
      </c>
      <c r="AA129" s="1076">
        <v>0</v>
      </c>
      <c r="AB129" s="1076">
        <v>0</v>
      </c>
      <c r="AC129" s="1076">
        <v>0</v>
      </c>
      <c r="AD129" s="1076">
        <v>0</v>
      </c>
      <c r="AE129" s="1169">
        <v>0</v>
      </c>
      <c r="AF129" s="1240">
        <v>0</v>
      </c>
      <c r="AG129" s="1240">
        <v>0</v>
      </c>
      <c r="AH129" s="1240">
        <v>0</v>
      </c>
      <c r="AI129" s="1240">
        <v>0</v>
      </c>
      <c r="AJ129" s="1240"/>
      <c r="AK129" s="1240"/>
      <c r="AL129" s="1240"/>
      <c r="AM129" s="1240"/>
      <c r="AN129" s="1240"/>
      <c r="AO129" s="1240"/>
      <c r="AP129" s="629"/>
      <c r="AQ129" s="629"/>
      <c r="AR129" s="618"/>
      <c r="AS129" s="629"/>
      <c r="AT129" s="629"/>
      <c r="AU129" s="629"/>
      <c r="AV129" s="629"/>
      <c r="AW129" s="629"/>
      <c r="AX129" s="629"/>
      <c r="AY129" s="629"/>
      <c r="AZ129" s="629"/>
      <c r="BA129" s="629"/>
      <c r="BB129" s="629"/>
      <c r="BC129" s="629"/>
      <c r="BE129" s="1184">
        <f>SUM(T129:AE129)</f>
        <v>0</v>
      </c>
      <c r="BF129" s="1561"/>
      <c r="BG129" s="1184">
        <f t="shared" si="175"/>
        <v>0</v>
      </c>
    </row>
    <row r="130" spans="1:61" s="79" customFormat="1" ht="15.75" customHeight="1" x14ac:dyDescent="0.3">
      <c r="A130" s="76"/>
      <c r="B130" s="76"/>
      <c r="C130" s="57" t="s">
        <v>399</v>
      </c>
      <c r="D130" s="76"/>
      <c r="E130" s="76"/>
      <c r="F130" s="63"/>
      <c r="G130" s="61">
        <v>6294.75</v>
      </c>
      <c r="H130" s="622"/>
      <c r="I130" s="629"/>
      <c r="J130" s="629"/>
      <c r="K130" s="629"/>
      <c r="L130" s="629"/>
      <c r="M130" s="629"/>
      <c r="N130" s="629"/>
      <c r="O130" s="629"/>
      <c r="P130" s="629"/>
      <c r="Q130" s="629"/>
      <c r="R130" s="629"/>
      <c r="S130" s="629"/>
      <c r="T130" s="924"/>
      <c r="U130" s="924"/>
      <c r="V130" s="924"/>
      <c r="W130" s="924"/>
      <c r="X130" s="924"/>
      <c r="Y130" s="924"/>
      <c r="Z130" s="1076"/>
      <c r="AA130" s="1076"/>
      <c r="AB130" s="1076"/>
      <c r="AC130" s="1076"/>
      <c r="AD130" s="1076"/>
      <c r="AE130" s="1169"/>
      <c r="AF130" s="1240"/>
      <c r="AG130" s="1240"/>
      <c r="AH130" s="1240"/>
      <c r="AI130" s="1240"/>
      <c r="AJ130" s="1240"/>
      <c r="AK130" s="1240"/>
      <c r="AL130" s="1240"/>
      <c r="AM130" s="1240"/>
      <c r="AN130" s="1240"/>
      <c r="AO130" s="1240"/>
      <c r="AP130" s="629"/>
      <c r="AQ130" s="629"/>
      <c r="AR130" s="618"/>
      <c r="AS130" s="629"/>
      <c r="AT130" s="629"/>
      <c r="AU130" s="629"/>
      <c r="AV130" s="629"/>
      <c r="AW130" s="629"/>
      <c r="AX130" s="629"/>
      <c r="AY130" s="629"/>
      <c r="AZ130" s="629"/>
      <c r="BA130" s="629"/>
      <c r="BB130" s="629"/>
      <c r="BC130" s="629"/>
      <c r="BE130" s="1184"/>
      <c r="BF130" s="1561"/>
      <c r="BG130" s="1184">
        <f t="shared" si="175"/>
        <v>0</v>
      </c>
    </row>
    <row r="131" spans="1:61" s="79" customFormat="1" ht="15.75" customHeight="1" x14ac:dyDescent="0.3">
      <c r="A131" s="76"/>
      <c r="B131" s="76"/>
      <c r="C131" s="57" t="s">
        <v>218</v>
      </c>
      <c r="D131" s="76"/>
      <c r="E131" s="76"/>
      <c r="F131" s="63"/>
      <c r="G131" s="61"/>
      <c r="H131" s="622"/>
      <c r="I131" s="629">
        <v>0</v>
      </c>
      <c r="J131" s="629">
        <v>0</v>
      </c>
      <c r="K131" s="629">
        <v>0</v>
      </c>
      <c r="L131" s="629">
        <v>0</v>
      </c>
      <c r="M131" s="629">
        <v>0</v>
      </c>
      <c r="N131" s="629">
        <v>0</v>
      </c>
      <c r="O131" s="629"/>
      <c r="P131" s="629"/>
      <c r="Q131" s="629">
        <v>0</v>
      </c>
      <c r="R131" s="629"/>
      <c r="S131" s="629"/>
      <c r="T131" s="924"/>
      <c r="U131" s="924"/>
      <c r="V131" s="924"/>
      <c r="W131" s="924"/>
      <c r="X131" s="924"/>
      <c r="Y131" s="924"/>
      <c r="Z131" s="1076"/>
      <c r="AA131" s="1076"/>
      <c r="AB131" s="1076"/>
      <c r="AC131" s="1076"/>
      <c r="AD131" s="1076"/>
      <c r="AE131" s="1169"/>
      <c r="AF131" s="1240"/>
      <c r="AG131" s="1240"/>
      <c r="AH131" s="1240"/>
      <c r="AI131" s="1240"/>
      <c r="AJ131" s="1240"/>
      <c r="AK131" s="1240"/>
      <c r="AL131" s="1240"/>
      <c r="AM131" s="1240"/>
      <c r="AN131" s="1240"/>
      <c r="AO131" s="1240"/>
      <c r="AP131" s="629"/>
      <c r="AQ131" s="629"/>
      <c r="AR131" s="618"/>
      <c r="AS131" s="629"/>
      <c r="AT131" s="629"/>
      <c r="AU131" s="629"/>
      <c r="AV131" s="629"/>
      <c r="AW131" s="629"/>
      <c r="AX131" s="629"/>
      <c r="AY131" s="629"/>
      <c r="AZ131" s="629"/>
      <c r="BA131" s="629"/>
      <c r="BB131" s="629"/>
      <c r="BC131" s="629"/>
      <c r="BE131" s="1184"/>
      <c r="BF131" s="1561"/>
      <c r="BG131" s="1184">
        <f t="shared" si="175"/>
        <v>0</v>
      </c>
    </row>
    <row r="132" spans="1:61" s="79" customFormat="1" ht="15.75" customHeight="1" x14ac:dyDescent="0.3">
      <c r="A132" s="76"/>
      <c r="B132" s="76"/>
      <c r="C132" s="57"/>
      <c r="D132" s="76"/>
      <c r="E132" s="76"/>
      <c r="F132" s="63"/>
      <c r="G132" s="61"/>
      <c r="H132" s="622"/>
      <c r="I132" s="629"/>
      <c r="J132" s="629"/>
      <c r="K132" s="629"/>
      <c r="L132" s="629"/>
      <c r="M132" s="629"/>
      <c r="N132" s="629"/>
      <c r="O132" s="629"/>
      <c r="P132" s="629"/>
      <c r="Q132" s="629"/>
      <c r="R132" s="629"/>
      <c r="S132" s="629"/>
      <c r="T132" s="924"/>
      <c r="U132" s="924"/>
      <c r="V132" s="924"/>
      <c r="W132" s="924"/>
      <c r="X132" s="924"/>
      <c r="Y132" s="924"/>
      <c r="Z132" s="1076"/>
      <c r="AA132" s="1076"/>
      <c r="AB132" s="1076"/>
      <c r="AC132" s="1076"/>
      <c r="AD132" s="1076"/>
      <c r="AE132" s="1169"/>
      <c r="AF132" s="1240"/>
      <c r="AG132" s="1240"/>
      <c r="AH132" s="1240"/>
      <c r="AI132" s="1240"/>
      <c r="AJ132" s="1240"/>
      <c r="AK132" s="1240"/>
      <c r="AL132" s="1240"/>
      <c r="AM132" s="1240"/>
      <c r="AN132" s="1240"/>
      <c r="AO132" s="1240"/>
      <c r="AP132" s="629"/>
      <c r="AQ132" s="629"/>
      <c r="AR132" s="618"/>
      <c r="AS132" s="629"/>
      <c r="AT132" s="629"/>
      <c r="AU132" s="629"/>
      <c r="AV132" s="629"/>
      <c r="AW132" s="629"/>
      <c r="AX132" s="629"/>
      <c r="AY132" s="629"/>
      <c r="AZ132" s="629"/>
      <c r="BA132" s="629"/>
      <c r="BB132" s="629"/>
      <c r="BC132" s="629"/>
      <c r="BE132" s="1184"/>
      <c r="BF132" s="1561"/>
      <c r="BG132" s="1184"/>
      <c r="BH132" s="1531"/>
    </row>
    <row r="133" spans="1:61" ht="15.75" customHeight="1" x14ac:dyDescent="0.3">
      <c r="A133" s="76"/>
      <c r="B133" s="76"/>
      <c r="C133" s="115" t="s">
        <v>219</v>
      </c>
      <c r="D133" s="76"/>
      <c r="E133" s="76"/>
      <c r="F133" s="76"/>
      <c r="G133" s="116"/>
      <c r="H133" s="637"/>
      <c r="I133" s="671"/>
      <c r="J133" s="671"/>
      <c r="K133" s="671"/>
      <c r="L133" s="671"/>
      <c r="M133" s="671"/>
      <c r="N133" s="671"/>
      <c r="O133" s="671"/>
      <c r="P133" s="671"/>
      <c r="Q133" s="671"/>
      <c r="R133" s="671"/>
      <c r="S133" s="671"/>
      <c r="T133" s="936"/>
      <c r="U133" s="936"/>
      <c r="V133" s="936"/>
      <c r="W133" s="936"/>
      <c r="X133" s="936"/>
      <c r="Y133" s="936"/>
      <c r="Z133" s="1089"/>
      <c r="AA133" s="1089"/>
      <c r="AB133" s="1089"/>
      <c r="AC133" s="1089"/>
      <c r="AD133" s="1089"/>
      <c r="AE133" s="1171"/>
      <c r="AF133" s="1241"/>
      <c r="AG133" s="1241"/>
      <c r="AH133" s="1241"/>
      <c r="AI133" s="1241"/>
      <c r="AJ133" s="1241"/>
      <c r="AK133" s="1241"/>
      <c r="AL133" s="1241"/>
      <c r="AM133" s="1241"/>
      <c r="AN133" s="1241"/>
      <c r="AO133" s="1241"/>
      <c r="AP133" s="671"/>
      <c r="AQ133" s="671"/>
      <c r="AR133" s="1627"/>
      <c r="AS133" s="671"/>
      <c r="AT133" s="671"/>
      <c r="AU133" s="671"/>
      <c r="AV133" s="671"/>
      <c r="AW133" s="671"/>
      <c r="AX133" s="671"/>
      <c r="AY133" s="671"/>
      <c r="AZ133" s="671"/>
      <c r="BA133" s="671"/>
      <c r="BB133" s="671"/>
      <c r="BC133" s="671"/>
      <c r="BE133" s="1182"/>
      <c r="BF133" s="1563"/>
      <c r="BG133" s="1182"/>
      <c r="BH133" s="1532"/>
    </row>
    <row r="134" spans="1:61" ht="15.75" customHeight="1" x14ac:dyDescent="0.3">
      <c r="A134" s="76"/>
      <c r="B134" s="76"/>
      <c r="C134" s="1210" t="s">
        <v>220</v>
      </c>
      <c r="F134" s="118"/>
      <c r="G134" s="119">
        <v>710020.61000000034</v>
      </c>
      <c r="H134" s="638">
        <f>H122+H125+H126+H127+H128</f>
        <v>-44512.7473520001</v>
      </c>
      <c r="I134" s="672">
        <f>I122+I125+I126+I127+I128</f>
        <v>89961.469421000002</v>
      </c>
      <c r="J134" s="672">
        <f>J122+J125+J126+J127+J128</f>
        <v>484433.91</v>
      </c>
      <c r="K134" s="672">
        <f>K115+K125+K126+K127+K128</f>
        <v>192712.9800000001</v>
      </c>
      <c r="L134" s="672">
        <f>L122+L125+L126+L127+L128</f>
        <v>232434.26000000015</v>
      </c>
      <c r="M134" s="672">
        <f>M122+M125+M126+M127+M128</f>
        <v>297059.57662250835</v>
      </c>
      <c r="N134" s="672">
        <f>N122+N125+N126+N127+N128</f>
        <v>472999.13058332837</v>
      </c>
      <c r="O134" s="672">
        <f>O115+O125+O126+O127+O128</f>
        <v>346041.62719680538</v>
      </c>
      <c r="P134" s="672">
        <f t="shared" ref="P134:S134" si="177">P122+P125+P126+P127+P128</f>
        <v>465134.16300577216</v>
      </c>
      <c r="Q134" s="672">
        <f t="shared" si="177"/>
        <v>472366.92000000051</v>
      </c>
      <c r="R134" s="672">
        <f t="shared" si="177"/>
        <v>201597.15000000002</v>
      </c>
      <c r="S134" s="672">
        <f t="shared" si="177"/>
        <v>476259.7237529158</v>
      </c>
      <c r="T134" s="937">
        <f t="shared" ref="T134:AE134" si="178">T115+T125+T126+T127+T128</f>
        <v>84168.371690808184</v>
      </c>
      <c r="U134" s="937">
        <f t="shared" si="178"/>
        <v>236074.44009733395</v>
      </c>
      <c r="V134" s="937">
        <f t="shared" si="178"/>
        <v>67095.058946917081</v>
      </c>
      <c r="W134" s="937">
        <f t="shared" si="178"/>
        <v>-233187.80178608693</v>
      </c>
      <c r="X134" s="937">
        <f t="shared" si="178"/>
        <v>-103915.89212739091</v>
      </c>
      <c r="Y134" s="937">
        <f t="shared" si="178"/>
        <v>298120.15789722267</v>
      </c>
      <c r="Z134" s="1090">
        <f t="shared" si="178"/>
        <v>2877.3882619021315</v>
      </c>
      <c r="AA134" s="1090">
        <f t="shared" si="178"/>
        <v>525366.71894072648</v>
      </c>
      <c r="AB134" s="1090">
        <f t="shared" si="178"/>
        <v>254080.88990770635</v>
      </c>
      <c r="AC134" s="1090">
        <f t="shared" si="178"/>
        <v>138049.1411367805</v>
      </c>
      <c r="AD134" s="1090">
        <f t="shared" si="178"/>
        <v>167095.09260181949</v>
      </c>
      <c r="AE134" s="1172">
        <f t="shared" si="178"/>
        <v>277662.91427662305</v>
      </c>
      <c r="AF134" s="1242">
        <f>AF115+AF125+AF126+AF127+AF128</f>
        <v>-244135.47000000006</v>
      </c>
      <c r="AG134" s="1242">
        <f t="shared" ref="AG134:AQ134" si="179">AG115+AG125+AG126+AG127+AG128</f>
        <v>100443.73000000004</v>
      </c>
      <c r="AH134" s="1242">
        <f t="shared" si="179"/>
        <v>377738.49</v>
      </c>
      <c r="AI134" s="1242">
        <f t="shared" si="179"/>
        <v>258580.80999999997</v>
      </c>
      <c r="AJ134" s="1242">
        <f t="shared" si="179"/>
        <v>461895.02</v>
      </c>
      <c r="AK134" s="1242">
        <f t="shared" si="179"/>
        <v>-120280.97000000004</v>
      </c>
      <c r="AL134" s="1242">
        <f t="shared" si="179"/>
        <v>158335.81000000008</v>
      </c>
      <c r="AM134" s="1242">
        <f t="shared" si="179"/>
        <v>257360.04000000007</v>
      </c>
      <c r="AN134" s="1242">
        <f t="shared" si="179"/>
        <v>283959.75999999983</v>
      </c>
      <c r="AO134" s="1242">
        <f t="shared" ref="AO134" si="180">AO115+AO125+AO126+AO127+AO128</f>
        <v>313999.60000000038</v>
      </c>
      <c r="AP134" s="672">
        <f t="shared" ca="1" si="179"/>
        <v>408023.34218431608</v>
      </c>
      <c r="AQ134" s="672">
        <f t="shared" ca="1" si="179"/>
        <v>494132.31392675941</v>
      </c>
      <c r="AR134" s="1628">
        <f t="shared" ref="AR134:BC134" ca="1" si="181">AR115+AR125+AR126+AR127+AR128</f>
        <v>178008.80178088715</v>
      </c>
      <c r="AS134" s="672">
        <f t="shared" ca="1" si="181"/>
        <v>559351.25562233862</v>
      </c>
      <c r="AT134" s="672">
        <f t="shared" ca="1" si="181"/>
        <v>339537.69171111024</v>
      </c>
      <c r="AU134" s="672">
        <f t="shared" ca="1" si="181"/>
        <v>517057.72560114489</v>
      </c>
      <c r="AV134" s="672">
        <f t="shared" ca="1" si="181"/>
        <v>335115.35693574935</v>
      </c>
      <c r="AW134" s="672">
        <f t="shared" ca="1" si="181"/>
        <v>330471.24099284399</v>
      </c>
      <c r="AX134" s="672">
        <f t="shared" ca="1" si="181"/>
        <v>326962.98456443188</v>
      </c>
      <c r="AY134" s="672">
        <f t="shared" ca="1" si="181"/>
        <v>577237.59856573399</v>
      </c>
      <c r="AZ134" s="672">
        <f t="shared" ca="1" si="181"/>
        <v>367417.394588347</v>
      </c>
      <c r="BA134" s="672">
        <f t="shared" ca="1" si="181"/>
        <v>318470.3340670953</v>
      </c>
      <c r="BB134" s="672">
        <f t="shared" ca="1" si="181"/>
        <v>315683.71056087548</v>
      </c>
      <c r="BC134" s="672">
        <f t="shared" ca="1" si="181"/>
        <v>312131.25532069325</v>
      </c>
      <c r="BE134" s="1199">
        <f>BE122+BE125+BE126+BE127+BE128</f>
        <v>1756686.479844362</v>
      </c>
      <c r="BF134" s="1564">
        <f ca="1">SUM(AF134:AQ134)</f>
        <v>2750052.4761110758</v>
      </c>
      <c r="BG134" s="1199">
        <f ca="1">SUM(AR134:BC134)</f>
        <v>4477445.3503112504</v>
      </c>
      <c r="BH134" s="1533">
        <f ca="1">BF134*0.05</f>
        <v>137502.6238055538</v>
      </c>
      <c r="BI134" s="1533">
        <f ca="1">BG134*0.05</f>
        <v>223872.26751556253</v>
      </c>
    </row>
    <row r="135" spans="1:61" ht="15.75" customHeight="1" x14ac:dyDescent="0.3">
      <c r="C135" s="120" t="s">
        <v>221</v>
      </c>
      <c r="D135" s="76"/>
      <c r="E135" s="76"/>
      <c r="F135" s="76"/>
      <c r="G135" s="121">
        <v>0.37768701081642941</v>
      </c>
      <c r="H135" s="639">
        <f>H134/$H$51</f>
        <v>-0.12513231289156043</v>
      </c>
      <c r="I135" s="673">
        <f t="shared" ref="I135:R135" si="182">I134/I$51</f>
        <v>0.13417022684283278</v>
      </c>
      <c r="J135" s="673">
        <f t="shared" si="182"/>
        <v>0.43039532001485736</v>
      </c>
      <c r="K135" s="673">
        <f t="shared" si="182"/>
        <v>0.26699076358690232</v>
      </c>
      <c r="L135" s="673">
        <f t="shared" si="182"/>
        <v>0.25807200242338763</v>
      </c>
      <c r="M135" s="673">
        <f t="shared" si="182"/>
        <v>0.31508135081198518</v>
      </c>
      <c r="N135" s="673">
        <f t="shared" si="182"/>
        <v>0.51174747215577787</v>
      </c>
      <c r="O135" s="673">
        <f t="shared" si="182"/>
        <v>0.28744405291883379</v>
      </c>
      <c r="P135" s="673">
        <f t="shared" si="182"/>
        <v>0.42784085445562808</v>
      </c>
      <c r="Q135" s="673">
        <f t="shared" si="182"/>
        <v>0.29816458952986891</v>
      </c>
      <c r="R135" s="673">
        <f t="shared" si="182"/>
        <v>0.19813667708379737</v>
      </c>
      <c r="S135" s="673">
        <f t="shared" ref="S135:Y135" si="183">S134/S$51</f>
        <v>0.23857397568227959</v>
      </c>
      <c r="T135" s="938">
        <f t="shared" si="183"/>
        <v>8.0602771858943392E-2</v>
      </c>
      <c r="U135" s="938">
        <f t="shared" si="183"/>
        <v>0.14291912188911052</v>
      </c>
      <c r="V135" s="938">
        <f t="shared" si="183"/>
        <v>4.2597251972023159E-2</v>
      </c>
      <c r="W135" s="938">
        <f t="shared" si="183"/>
        <v>-0.23536548326148654</v>
      </c>
      <c r="X135" s="938">
        <f t="shared" si="183"/>
        <v>-7.5272495377581863E-2</v>
      </c>
      <c r="Y135" s="938">
        <f t="shared" si="183"/>
        <v>0.19651064714597516</v>
      </c>
      <c r="Z135" s="1091">
        <f t="shared" ref="Z135:AE135" si="184">Z134/Z$51</f>
        <v>2.4491394312513366E-3</v>
      </c>
      <c r="AA135" s="1091">
        <f t="shared" si="184"/>
        <v>0.3278587228430575</v>
      </c>
      <c r="AB135" s="1091">
        <f t="shared" si="184"/>
        <v>0.20090962201321752</v>
      </c>
      <c r="AC135" s="1091">
        <f t="shared" si="184"/>
        <v>0.13061345309033873</v>
      </c>
      <c r="AD135" s="1091">
        <f t="shared" si="184"/>
        <v>0.18725364185894636</v>
      </c>
      <c r="AE135" s="1173">
        <f t="shared" si="184"/>
        <v>0.19782582275069482</v>
      </c>
      <c r="AF135" s="1243">
        <f t="shared" ref="AF135:AQ135" si="185">AF134/AF$51</f>
        <v>-0.34136801456586496</v>
      </c>
      <c r="AG135" s="1243">
        <f>AG134/AG$51</f>
        <v>0.10148542204026119</v>
      </c>
      <c r="AH135" s="1243">
        <f>AH134/AH$51</f>
        <v>0.20804842979674978</v>
      </c>
      <c r="AI135" s="1243">
        <f>AI134/AI$51</f>
        <v>0.19329641347021359</v>
      </c>
      <c r="AJ135" s="1243">
        <f t="shared" si="185"/>
        <v>0.35189640801620892</v>
      </c>
      <c r="AK135" s="1243">
        <f t="shared" si="185"/>
        <v>-6.3960697223620314E-2</v>
      </c>
      <c r="AL135" s="1243">
        <f t="shared" si="185"/>
        <v>0.10200440349343087</v>
      </c>
      <c r="AM135" s="1243">
        <f t="shared" si="185"/>
        <v>0.17107736452116992</v>
      </c>
      <c r="AN135" s="1243">
        <f t="shared" ref="AN135" si="186">AN134/AN$51</f>
        <v>0.15329794963603116</v>
      </c>
      <c r="AO135" s="1243">
        <f t="shared" ref="AO135" si="187">AO134/AO$51</f>
        <v>0.13332007263966164</v>
      </c>
      <c r="AP135" s="673">
        <f t="shared" ca="1" si="185"/>
        <v>0.17229380379697173</v>
      </c>
      <c r="AQ135" s="673">
        <f t="shared" ca="1" si="185"/>
        <v>0.18683531031570813</v>
      </c>
      <c r="AR135" s="1629">
        <f t="shared" ref="AR135:BC135" ca="1" si="188">AR134/AR$51</f>
        <v>7.1056743599910696E-2</v>
      </c>
      <c r="AS135" s="673">
        <f t="shared" ca="1" si="188"/>
        <v>0.18195885038424547</v>
      </c>
      <c r="AT135" s="673">
        <f t="shared" ca="1" si="188"/>
        <v>0.13553511096670023</v>
      </c>
      <c r="AU135" s="673">
        <f t="shared" ca="1" si="188"/>
        <v>0.17129397381600447</v>
      </c>
      <c r="AV135" s="673">
        <f t="shared" ca="1" si="188"/>
        <v>0.13376982349157535</v>
      </c>
      <c r="AW135" s="673">
        <f t="shared" ca="1" si="188"/>
        <v>0.13191600641903822</v>
      </c>
      <c r="AX135" s="673">
        <f t="shared" ca="1" si="188"/>
        <v>0.13051559657962331</v>
      </c>
      <c r="AY135" s="673">
        <f t="shared" ca="1" si="188"/>
        <v>0.1802516970367915</v>
      </c>
      <c r="AZ135" s="673">
        <f t="shared" ca="1" si="188"/>
        <v>0.13951633459418106</v>
      </c>
      <c r="BA135" s="673">
        <f t="shared" ca="1" si="188"/>
        <v>0.12712553899350626</v>
      </c>
      <c r="BB135" s="673">
        <f t="shared" ca="1" si="188"/>
        <v>0.12601318730072492</v>
      </c>
      <c r="BC135" s="673">
        <f t="shared" ca="1" si="188"/>
        <v>0.12459513438072099</v>
      </c>
      <c r="BE135" s="1200">
        <f>BE134/BE$51</f>
        <v>0.11293921265803443</v>
      </c>
      <c r="BF135" s="1565">
        <f ca="1">BF134/BF$51</f>
        <v>0.1352806255501473</v>
      </c>
      <c r="BG135" s="1200">
        <f ca="1">BG134/BG$51</f>
        <v>0.14005228914689011</v>
      </c>
      <c r="BH135" s="1532"/>
    </row>
    <row r="136" spans="1:61" ht="15.75" customHeight="1" x14ac:dyDescent="0.3">
      <c r="A136" s="76"/>
      <c r="B136" s="76"/>
      <c r="C136" s="122" t="s">
        <v>222</v>
      </c>
      <c r="D136" s="76"/>
      <c r="E136" s="76"/>
      <c r="F136" s="76"/>
      <c r="G136" s="123">
        <v>211665.04000000033</v>
      </c>
      <c r="H136" s="640">
        <f t="shared" ref="H136:R136" si="189">H134+SUM(H119:H121)</f>
        <v>-44512.7473520001</v>
      </c>
      <c r="I136" s="674">
        <f t="shared" si="189"/>
        <v>89961.469421000002</v>
      </c>
      <c r="J136" s="674">
        <f t="shared" si="189"/>
        <v>484433.91</v>
      </c>
      <c r="K136" s="674">
        <f t="shared" si="189"/>
        <v>236712.9800000001</v>
      </c>
      <c r="L136" s="674">
        <f t="shared" si="189"/>
        <v>266074.26000000013</v>
      </c>
      <c r="M136" s="674">
        <f t="shared" si="189"/>
        <v>297059.57662250835</v>
      </c>
      <c r="N136" s="674">
        <f t="shared" si="189"/>
        <v>472999.13058332837</v>
      </c>
      <c r="O136" s="674">
        <f t="shared" si="189"/>
        <v>346041.62719680538</v>
      </c>
      <c r="P136" s="674">
        <f t="shared" si="189"/>
        <v>465134.16300577216</v>
      </c>
      <c r="Q136" s="674">
        <f t="shared" si="189"/>
        <v>472366.92000000051</v>
      </c>
      <c r="R136" s="674">
        <f t="shared" si="189"/>
        <v>201597.15000000002</v>
      </c>
      <c r="S136" s="674">
        <f t="shared" ref="S136:Y136" si="190">S134+SUM(S119:S121)</f>
        <v>476259.7237529158</v>
      </c>
      <c r="T136" s="937">
        <f>T134+T129</f>
        <v>84168.371690808184</v>
      </c>
      <c r="U136" s="937">
        <f t="shared" si="190"/>
        <v>236074.44009733395</v>
      </c>
      <c r="V136" s="937">
        <f t="shared" si="190"/>
        <v>67095.058946917081</v>
      </c>
      <c r="W136" s="937">
        <f t="shared" si="190"/>
        <v>-233187.80178608693</v>
      </c>
      <c r="X136" s="937">
        <f t="shared" si="190"/>
        <v>-103915.89212739091</v>
      </c>
      <c r="Y136" s="937">
        <f t="shared" si="190"/>
        <v>298120.15789722267</v>
      </c>
      <c r="Z136" s="1090">
        <f t="shared" ref="Z136:AE136" si="191">Z134+SUM(Z119:Z121)</f>
        <v>2877.3882619021315</v>
      </c>
      <c r="AA136" s="1090">
        <f t="shared" si="191"/>
        <v>525366.71894072648</v>
      </c>
      <c r="AB136" s="1090">
        <f t="shared" si="191"/>
        <v>254080.88990770635</v>
      </c>
      <c r="AC136" s="1090">
        <f t="shared" si="191"/>
        <v>181249.1411367805</v>
      </c>
      <c r="AD136" s="1090">
        <f t="shared" si="191"/>
        <v>167095.09260181949</v>
      </c>
      <c r="AE136" s="1172">
        <f t="shared" si="191"/>
        <v>277662.91427662305</v>
      </c>
      <c r="AF136" s="1242">
        <f t="shared" ref="AF136:AQ136" si="192">AF134+SUM(AF119:AF121)</f>
        <v>-244135.47000000006</v>
      </c>
      <c r="AG136" s="1242">
        <f>AG134+SUM(AG119:AG121)</f>
        <v>100443.73000000004</v>
      </c>
      <c r="AH136" s="1242">
        <f>AH134+SUM(AH119:AH121)</f>
        <v>377738.49</v>
      </c>
      <c r="AI136" s="1242">
        <f>AI134+SUM(AI119:AI121)</f>
        <v>258580.80999999997</v>
      </c>
      <c r="AJ136" s="1242">
        <f>AJ134+SUM(AJ119:AJ121)+AJ113</f>
        <v>461895.02</v>
      </c>
      <c r="AK136" s="1242">
        <f t="shared" si="192"/>
        <v>229370.52999999997</v>
      </c>
      <c r="AL136" s="1242">
        <f t="shared" si="192"/>
        <v>158335.81000000008</v>
      </c>
      <c r="AM136" s="1242">
        <f t="shared" si="192"/>
        <v>257360.04000000007</v>
      </c>
      <c r="AN136" s="1242">
        <f t="shared" ref="AN136" si="193">AN134+SUM(AN119:AN121)</f>
        <v>283959.75999999983</v>
      </c>
      <c r="AO136" s="1242">
        <f t="shared" ref="AO136" si="194">AO134+SUM(AO119:AO121)</f>
        <v>313999.60000000038</v>
      </c>
      <c r="AP136" s="674">
        <f t="shared" ca="1" si="192"/>
        <v>408023.34218431608</v>
      </c>
      <c r="AQ136" s="674">
        <f t="shared" ca="1" si="192"/>
        <v>494132.31392675941</v>
      </c>
      <c r="AR136" s="1630">
        <f t="shared" ref="AR136:BC136" ca="1" si="195">AR134+SUM(AR119:AR121)</f>
        <v>328508.80178088718</v>
      </c>
      <c r="AS136" s="674">
        <f t="shared" ca="1" si="195"/>
        <v>559351.25562233862</v>
      </c>
      <c r="AT136" s="674">
        <f t="shared" ca="1" si="195"/>
        <v>339537.69171111024</v>
      </c>
      <c r="AU136" s="674">
        <f t="shared" ca="1" si="195"/>
        <v>517057.72560114489</v>
      </c>
      <c r="AV136" s="674">
        <f t="shared" ca="1" si="195"/>
        <v>335115.35693574935</v>
      </c>
      <c r="AW136" s="674">
        <f t="shared" ca="1" si="195"/>
        <v>330471.24099284399</v>
      </c>
      <c r="AX136" s="674">
        <f t="shared" ca="1" si="195"/>
        <v>326962.98456443188</v>
      </c>
      <c r="AY136" s="674">
        <f t="shared" ca="1" si="195"/>
        <v>577237.59856573399</v>
      </c>
      <c r="AZ136" s="674">
        <f t="shared" ca="1" si="195"/>
        <v>367417.394588347</v>
      </c>
      <c r="BA136" s="674">
        <f t="shared" ca="1" si="195"/>
        <v>318470.3340670953</v>
      </c>
      <c r="BB136" s="674">
        <f t="shared" ca="1" si="195"/>
        <v>315683.71056087548</v>
      </c>
      <c r="BC136" s="674">
        <f t="shared" ca="1" si="195"/>
        <v>312131.25532069325</v>
      </c>
      <c r="BE136" s="1199">
        <f>BE134+SUM(BE119:BE121)</f>
        <v>1756686.479844362</v>
      </c>
      <c r="BF136" s="1564">
        <f ca="1">SUM(AF136:AQ136)</f>
        <v>3099703.9761110758</v>
      </c>
      <c r="BG136" s="1199">
        <f ca="1">SUM(AR136:BC136)</f>
        <v>4627945.3503112504</v>
      </c>
      <c r="BH136" s="1533"/>
    </row>
    <row r="137" spans="1:61" ht="15.75" customHeight="1" x14ac:dyDescent="0.3">
      <c r="A137" s="76"/>
      <c r="B137" s="76"/>
      <c r="C137" s="120" t="s">
        <v>221</v>
      </c>
      <c r="D137" s="76"/>
      <c r="E137" s="76"/>
      <c r="F137" s="76"/>
      <c r="G137" s="121">
        <v>0.11259269819215537</v>
      </c>
      <c r="H137" s="639" t="e">
        <f>H136/$G$51</f>
        <v>#DIV/0!</v>
      </c>
      <c r="I137" s="673">
        <f t="shared" ref="I137:R137" si="196">I136/I$51</f>
        <v>0.13417022684283278</v>
      </c>
      <c r="J137" s="673">
        <f t="shared" si="196"/>
        <v>0.43039532001485736</v>
      </c>
      <c r="K137" s="673">
        <f t="shared" si="196"/>
        <v>0.3279497794135669</v>
      </c>
      <c r="L137" s="673">
        <f t="shared" si="196"/>
        <v>0.29542252967149102</v>
      </c>
      <c r="M137" s="673">
        <f t="shared" si="196"/>
        <v>0.31508135081198518</v>
      </c>
      <c r="N137" s="673">
        <f t="shared" si="196"/>
        <v>0.51174747215577787</v>
      </c>
      <c r="O137" s="673">
        <f t="shared" si="196"/>
        <v>0.28744405291883379</v>
      </c>
      <c r="P137" s="673">
        <f t="shared" si="196"/>
        <v>0.42784085445562808</v>
      </c>
      <c r="Q137" s="673">
        <f t="shared" si="196"/>
        <v>0.29816458952986891</v>
      </c>
      <c r="R137" s="673">
        <f t="shared" si="196"/>
        <v>0.19813667708379737</v>
      </c>
      <c r="S137" s="673">
        <f t="shared" ref="S137:Y137" si="197">S136/S$51</f>
        <v>0.23857397568227959</v>
      </c>
      <c r="T137" s="938">
        <f t="shared" si="197"/>
        <v>8.0602771858943392E-2</v>
      </c>
      <c r="U137" s="938">
        <f t="shared" si="197"/>
        <v>0.14291912188911052</v>
      </c>
      <c r="V137" s="938">
        <f t="shared" si="197"/>
        <v>4.2597251972023159E-2</v>
      </c>
      <c r="W137" s="938">
        <f t="shared" si="197"/>
        <v>-0.23536548326148654</v>
      </c>
      <c r="X137" s="938">
        <f t="shared" si="197"/>
        <v>-7.5272495377581863E-2</v>
      </c>
      <c r="Y137" s="938">
        <f t="shared" si="197"/>
        <v>0.19651064714597516</v>
      </c>
      <c r="Z137" s="1091">
        <f t="shared" ref="Z137:AE137" si="198">Z136/Z$51</f>
        <v>2.4491394312513366E-3</v>
      </c>
      <c r="AA137" s="1091">
        <f t="shared" si="198"/>
        <v>0.3278587228430575</v>
      </c>
      <c r="AB137" s="1091">
        <f t="shared" si="198"/>
        <v>0.20090962201321752</v>
      </c>
      <c r="AC137" s="1091">
        <f t="shared" si="198"/>
        <v>0.17148658802648431</v>
      </c>
      <c r="AD137" s="1091">
        <f t="shared" si="198"/>
        <v>0.18725364185894636</v>
      </c>
      <c r="AE137" s="1173">
        <f t="shared" si="198"/>
        <v>0.19782582275069482</v>
      </c>
      <c r="AF137" s="1243">
        <f t="shared" ref="AF137:AQ137" si="199">AF136/AF$51</f>
        <v>-0.34136801456586496</v>
      </c>
      <c r="AG137" s="1243">
        <f>AG136/AG$51</f>
        <v>0.10148542204026119</v>
      </c>
      <c r="AH137" s="1243">
        <f>AH136/AH$51</f>
        <v>0.20804842979674978</v>
      </c>
      <c r="AI137" s="1243">
        <f>AI136/AI$51</f>
        <v>0.19329641347021359</v>
      </c>
      <c r="AJ137" s="1243">
        <f t="shared" si="199"/>
        <v>0.35189640801620892</v>
      </c>
      <c r="AK137" s="1243">
        <f t="shared" si="199"/>
        <v>0.12197024202042363</v>
      </c>
      <c r="AL137" s="1243">
        <f t="shared" si="199"/>
        <v>0.10200440349343087</v>
      </c>
      <c r="AM137" s="1243">
        <f t="shared" si="199"/>
        <v>0.17107736452116992</v>
      </c>
      <c r="AN137" s="1243">
        <f t="shared" ref="AN137" si="200">AN136/AN$51</f>
        <v>0.15329794963603116</v>
      </c>
      <c r="AO137" s="1243">
        <f t="shared" ref="AO137" si="201">AO136/AO$51</f>
        <v>0.13332007263966164</v>
      </c>
      <c r="AP137" s="673">
        <f t="shared" ca="1" si="199"/>
        <v>0.17229380379697173</v>
      </c>
      <c r="AQ137" s="673">
        <f t="shared" ca="1" si="199"/>
        <v>0.18683531031570813</v>
      </c>
      <c r="AR137" s="1629">
        <f t="shared" ref="AR137:BC137" ca="1" si="202">AR136/AR$51</f>
        <v>0.1311326488630109</v>
      </c>
      <c r="AS137" s="673">
        <f t="shared" ca="1" si="202"/>
        <v>0.18195885038424547</v>
      </c>
      <c r="AT137" s="673">
        <f t="shared" ca="1" si="202"/>
        <v>0.13553511096670023</v>
      </c>
      <c r="AU137" s="673">
        <f t="shared" ca="1" si="202"/>
        <v>0.17129397381600447</v>
      </c>
      <c r="AV137" s="673">
        <f t="shared" ca="1" si="202"/>
        <v>0.13376982349157535</v>
      </c>
      <c r="AW137" s="673">
        <f t="shared" ca="1" si="202"/>
        <v>0.13191600641903822</v>
      </c>
      <c r="AX137" s="673">
        <f t="shared" ca="1" si="202"/>
        <v>0.13051559657962331</v>
      </c>
      <c r="AY137" s="673">
        <f t="shared" ca="1" si="202"/>
        <v>0.1802516970367915</v>
      </c>
      <c r="AZ137" s="673">
        <f t="shared" ca="1" si="202"/>
        <v>0.13951633459418106</v>
      </c>
      <c r="BA137" s="673">
        <f t="shared" ca="1" si="202"/>
        <v>0.12712553899350626</v>
      </c>
      <c r="BB137" s="673">
        <f t="shared" ca="1" si="202"/>
        <v>0.12601318730072492</v>
      </c>
      <c r="BC137" s="673">
        <f t="shared" ca="1" si="202"/>
        <v>0.12459513438072099</v>
      </c>
      <c r="BE137" s="1200">
        <f>BE136/BE$51</f>
        <v>0.11293921265803443</v>
      </c>
      <c r="BF137" s="1565">
        <f ca="1">BF136/BF$51</f>
        <v>0.1524806877509374</v>
      </c>
      <c r="BG137" s="1200">
        <f ca="1">BG136/BG$51</f>
        <v>0.14475985515104955</v>
      </c>
    </row>
    <row r="138" spans="1:61" ht="15.75" customHeight="1" x14ac:dyDescent="0.3">
      <c r="A138" s="76"/>
      <c r="B138" s="76"/>
      <c r="C138" s="117" t="s">
        <v>223</v>
      </c>
      <c r="G138" s="124">
        <v>12109.3</v>
      </c>
      <c r="H138" s="641">
        <f t="shared" ref="H138:R138" si="203">H127</f>
        <v>41459.21</v>
      </c>
      <c r="I138" s="675">
        <f t="shared" si="203"/>
        <v>58261.953300000001</v>
      </c>
      <c r="J138" s="675">
        <f t="shared" si="203"/>
        <v>66537.41</v>
      </c>
      <c r="K138" s="675">
        <f t="shared" si="203"/>
        <v>109884.68</v>
      </c>
      <c r="L138" s="675">
        <f t="shared" si="203"/>
        <v>51803.14</v>
      </c>
      <c r="M138" s="675">
        <f t="shared" si="203"/>
        <v>65126.749999999985</v>
      </c>
      <c r="N138" s="675">
        <f t="shared" si="203"/>
        <v>60659.329999999994</v>
      </c>
      <c r="O138" s="675">
        <f t="shared" si="203"/>
        <v>63072.100000000006</v>
      </c>
      <c r="P138" s="675">
        <f t="shared" si="203"/>
        <v>90273.720000000016</v>
      </c>
      <c r="Q138" s="675">
        <f t="shared" si="203"/>
        <v>56321.679999999993</v>
      </c>
      <c r="R138" s="675">
        <f t="shared" si="203"/>
        <v>15384.400000000003</v>
      </c>
      <c r="S138" s="675">
        <f t="shared" ref="S138:Y138" si="204">S127</f>
        <v>62429.26999999999</v>
      </c>
      <c r="T138" s="1117">
        <f>T127</f>
        <v>15384.400000000001</v>
      </c>
      <c r="U138" s="1117">
        <f t="shared" si="204"/>
        <v>15384.400000000001</v>
      </c>
      <c r="V138" s="1117">
        <f t="shared" si="204"/>
        <v>15384.400000000001</v>
      </c>
      <c r="W138" s="1117">
        <f t="shared" si="204"/>
        <v>15384.400000000001</v>
      </c>
      <c r="X138" s="1117">
        <f t="shared" si="204"/>
        <v>15384.400000000001</v>
      </c>
      <c r="Y138" s="1117">
        <f t="shared" si="204"/>
        <v>15384.400000000001</v>
      </c>
      <c r="Z138" s="1118">
        <f t="shared" ref="Z138:AE138" si="205">Z127</f>
        <v>15384.400000000001</v>
      </c>
      <c r="AA138" s="1118">
        <f t="shared" si="205"/>
        <v>15384.400000000001</v>
      </c>
      <c r="AB138" s="1118">
        <f t="shared" si="205"/>
        <v>15384.400000000001</v>
      </c>
      <c r="AC138" s="1118">
        <f t="shared" si="205"/>
        <v>18738.310000000001</v>
      </c>
      <c r="AD138" s="1118">
        <f t="shared" si="205"/>
        <v>18738.310000000001</v>
      </c>
      <c r="AE138" s="1174">
        <f t="shared" si="205"/>
        <v>28467.49</v>
      </c>
      <c r="AF138" s="1244">
        <f t="shared" ref="AF138:AQ138" si="206">AF127</f>
        <v>18738.310000000001</v>
      </c>
      <c r="AG138" s="1244">
        <f>AG127</f>
        <v>21500.000000000004</v>
      </c>
      <c r="AH138" s="1244">
        <f>AH127</f>
        <v>21500.000000000004</v>
      </c>
      <c r="AI138" s="1244">
        <f>AI127</f>
        <v>21500.000000000004</v>
      </c>
      <c r="AJ138" s="1244">
        <f t="shared" si="206"/>
        <v>21500.000000000004</v>
      </c>
      <c r="AK138" s="1244">
        <f t="shared" si="206"/>
        <v>21500.000000000004</v>
      </c>
      <c r="AL138" s="1244">
        <f t="shared" si="206"/>
        <v>21500.000000000004</v>
      </c>
      <c r="AM138" s="1244">
        <f t="shared" si="206"/>
        <v>21500.000000000004</v>
      </c>
      <c r="AN138" s="1244">
        <f t="shared" ref="AN138" si="207">AN127</f>
        <v>21500.000000000004</v>
      </c>
      <c r="AO138" s="1244">
        <f t="shared" ref="AO138" si="208">AO127</f>
        <v>23329.460000000003</v>
      </c>
      <c r="AP138" s="675">
        <f t="shared" si="206"/>
        <v>21500.000000000004</v>
      </c>
      <c r="AQ138" s="675">
        <f t="shared" si="206"/>
        <v>21500.000000000004</v>
      </c>
      <c r="AR138" s="1631">
        <f t="shared" ref="AR138:BC138" si="209">AR127</f>
        <v>21500.000000000004</v>
      </c>
      <c r="AS138" s="675">
        <f t="shared" si="209"/>
        <v>21500.000000000004</v>
      </c>
      <c r="AT138" s="675">
        <f t="shared" si="209"/>
        <v>21500.000000000004</v>
      </c>
      <c r="AU138" s="675">
        <f t="shared" si="209"/>
        <v>21500.000000000004</v>
      </c>
      <c r="AV138" s="675">
        <f t="shared" si="209"/>
        <v>21500.000000000004</v>
      </c>
      <c r="AW138" s="675">
        <f t="shared" si="209"/>
        <v>21500.000000000004</v>
      </c>
      <c r="AX138" s="675">
        <f t="shared" si="209"/>
        <v>21500.000000000004</v>
      </c>
      <c r="AY138" s="675">
        <f t="shared" si="209"/>
        <v>21500.000000000004</v>
      </c>
      <c r="AZ138" s="675">
        <f t="shared" si="209"/>
        <v>21500.000000000004</v>
      </c>
      <c r="BA138" s="675">
        <f t="shared" si="209"/>
        <v>21500.000000000004</v>
      </c>
      <c r="BB138" s="675">
        <f t="shared" si="209"/>
        <v>21500.000000000004</v>
      </c>
      <c r="BC138" s="675">
        <f t="shared" si="209"/>
        <v>21500.000000000004</v>
      </c>
      <c r="BE138" s="1201">
        <f>BE127</f>
        <v>204403.70999999996</v>
      </c>
      <c r="BF138" s="1566">
        <f>SUM(AF138:AQ138)</f>
        <v>257067.77000000002</v>
      </c>
      <c r="BG138" s="1201">
        <f>SUM(AR138:BC138)</f>
        <v>258000.00000000003</v>
      </c>
    </row>
    <row r="139" spans="1:61" ht="15.6" customHeight="1" x14ac:dyDescent="0.3">
      <c r="C139" s="120" t="s">
        <v>221</v>
      </c>
      <c r="D139" s="76"/>
      <c r="E139" s="76"/>
      <c r="F139" s="76"/>
      <c r="G139" s="121">
        <v>6.4413979758691595E-3</v>
      </c>
      <c r="H139" s="639" t="e">
        <f>H138/$G$51</f>
        <v>#DIV/0!</v>
      </c>
      <c r="I139" s="673">
        <f t="shared" ref="I139:R139" si="210">I138/I$51</f>
        <v>8.6892972523443218E-2</v>
      </c>
      <c r="J139" s="673">
        <f t="shared" si="210"/>
        <v>5.9115163655471134E-2</v>
      </c>
      <c r="K139" s="673">
        <f t="shared" si="210"/>
        <v>0.15223777152790849</v>
      </c>
      <c r="L139" s="673">
        <f t="shared" si="210"/>
        <v>5.7517080621501661E-2</v>
      </c>
      <c r="M139" s="673">
        <f t="shared" si="210"/>
        <v>6.9077807883873577E-2</v>
      </c>
      <c r="N139" s="673">
        <f t="shared" si="210"/>
        <v>6.5628574733065853E-2</v>
      </c>
      <c r="O139" s="673">
        <f t="shared" si="210"/>
        <v>5.2391673790711357E-2</v>
      </c>
      <c r="P139" s="673">
        <f t="shared" si="210"/>
        <v>8.3035796059574396E-2</v>
      </c>
      <c r="Q139" s="673">
        <f t="shared" si="210"/>
        <v>3.5551030116233805E-2</v>
      </c>
      <c r="R139" s="673">
        <f t="shared" si="210"/>
        <v>1.5120322360350692E-2</v>
      </c>
      <c r="S139" s="673">
        <f t="shared" ref="S139:Y139" si="211">S138/S$51</f>
        <v>3.1272850505766246E-2</v>
      </c>
      <c r="T139" s="938">
        <f t="shared" si="211"/>
        <v>1.4732675213700835E-2</v>
      </c>
      <c r="U139" s="938">
        <f t="shared" si="211"/>
        <v>9.313693332849985E-3</v>
      </c>
      <c r="V139" s="938">
        <f t="shared" si="211"/>
        <v>9.7672343317689973E-3</v>
      </c>
      <c r="W139" s="938">
        <f t="shared" si="211"/>
        <v>1.5528070992365505E-2</v>
      </c>
      <c r="X139" s="938">
        <f t="shared" si="211"/>
        <v>1.114384098697095E-2</v>
      </c>
      <c r="Y139" s="938">
        <f t="shared" si="211"/>
        <v>1.014087212779081E-2</v>
      </c>
      <c r="Z139" s="1091">
        <f t="shared" ref="Z139:AE139" si="212">Z138/Z$51</f>
        <v>1.3094701596243818E-2</v>
      </c>
      <c r="AA139" s="1091">
        <f t="shared" si="212"/>
        <v>9.6007408803445802E-3</v>
      </c>
      <c r="AB139" s="1091">
        <f t="shared" si="212"/>
        <v>1.216492113996802E-2</v>
      </c>
      <c r="AC139" s="1091">
        <f t="shared" si="212"/>
        <v>1.7729015581141802E-2</v>
      </c>
      <c r="AD139" s="1091">
        <f t="shared" si="212"/>
        <v>2.099892184232648E-2</v>
      </c>
      <c r="AE139" s="1173">
        <f t="shared" si="212"/>
        <v>2.0282163520356427E-2</v>
      </c>
      <c r="AF139" s="1243">
        <f t="shared" ref="AF139:AQ139" si="213">AF138/AF$51</f>
        <v>2.6201271290155797E-2</v>
      </c>
      <c r="AG139" s="1243">
        <f>AG138/AG$51</f>
        <v>2.1722974384420165E-2</v>
      </c>
      <c r="AH139" s="1243">
        <f>AH138/AH$51</f>
        <v>1.184163477920961E-2</v>
      </c>
      <c r="AI139" s="1243">
        <f>AI138/AI$51</f>
        <v>1.6071853474391985E-2</v>
      </c>
      <c r="AJ139" s="1243">
        <f t="shared" si="213"/>
        <v>1.6379853526778645E-2</v>
      </c>
      <c r="AK139" s="1243">
        <f t="shared" si="213"/>
        <v>1.143285584002055E-2</v>
      </c>
      <c r="AL139" s="1243">
        <f t="shared" si="213"/>
        <v>1.3850907606490047E-2</v>
      </c>
      <c r="AM139" s="1243">
        <f t="shared" si="213"/>
        <v>1.4291897596865282E-2</v>
      </c>
      <c r="AN139" s="1243">
        <f t="shared" ref="AN139" si="214">AN138/AN$51</f>
        <v>1.1606947115234469E-2</v>
      </c>
      <c r="AO139" s="1243">
        <f t="shared" ref="AO139" si="215">AO138/AO$51</f>
        <v>9.9053798216433304E-3</v>
      </c>
      <c r="AP139" s="673">
        <f t="shared" si="213"/>
        <v>9.0786883951397678E-3</v>
      </c>
      <c r="AQ139" s="673">
        <f t="shared" si="213"/>
        <v>8.1293189264750685E-3</v>
      </c>
      <c r="AR139" s="1629">
        <f t="shared" ref="AR139:BC139" si="216">AR138/AR$51</f>
        <v>8.5822721804428882E-3</v>
      </c>
      <c r="AS139" s="673">
        <f t="shared" si="216"/>
        <v>6.9940225286678369E-3</v>
      </c>
      <c r="AT139" s="673">
        <f t="shared" si="216"/>
        <v>8.5822721804428882E-3</v>
      </c>
      <c r="AU139" s="673">
        <f t="shared" si="216"/>
        <v>7.1226485065325213E-3</v>
      </c>
      <c r="AV139" s="673">
        <f t="shared" si="216"/>
        <v>8.5822721804428882E-3</v>
      </c>
      <c r="AW139" s="673">
        <f t="shared" si="216"/>
        <v>8.5822721804428882E-3</v>
      </c>
      <c r="AX139" s="673">
        <f t="shared" si="216"/>
        <v>8.5822721804428882E-3</v>
      </c>
      <c r="AY139" s="673">
        <f t="shared" si="216"/>
        <v>6.7137197852674144E-3</v>
      </c>
      <c r="AZ139" s="673">
        <f t="shared" si="216"/>
        <v>8.1640151989418874E-3</v>
      </c>
      <c r="BA139" s="673">
        <f t="shared" si="216"/>
        <v>8.5822721804428882E-3</v>
      </c>
      <c r="BB139" s="673">
        <f t="shared" si="216"/>
        <v>8.5822721804428882E-3</v>
      </c>
      <c r="BC139" s="673">
        <f t="shared" si="216"/>
        <v>8.5822721804428882E-3</v>
      </c>
      <c r="BE139" s="1200">
        <f>BE138/BE$51</f>
        <v>1.3141328482146959E-2</v>
      </c>
      <c r="BF139" s="1565">
        <f>BF138/BF$51</f>
        <v>1.2645681868427286E-2</v>
      </c>
      <c r="BG139" s="1200">
        <f>BG138/BG$51</f>
        <v>8.070113149987599E-3</v>
      </c>
    </row>
    <row r="140" spans="1:61" ht="15.75" customHeight="1" x14ac:dyDescent="0.3">
      <c r="A140" s="76"/>
      <c r="B140" s="76"/>
      <c r="C140" s="117" t="s">
        <v>224</v>
      </c>
      <c r="D140" s="125"/>
      <c r="G140" s="123">
        <v>9579.92</v>
      </c>
      <c r="H140" s="640">
        <f t="shared" ref="H140:R140" si="217">H128</f>
        <v>3513.3</v>
      </c>
      <c r="I140" s="674">
        <f t="shared" si="217"/>
        <v>3513.3</v>
      </c>
      <c r="J140" s="674">
        <f t="shared" si="217"/>
        <v>3513.3</v>
      </c>
      <c r="K140" s="674">
        <f t="shared" si="217"/>
        <v>5724.3899999999994</v>
      </c>
      <c r="L140" s="674">
        <f t="shared" si="217"/>
        <v>4066.0899999999992</v>
      </c>
      <c r="M140" s="674">
        <f t="shared" si="217"/>
        <v>4066.0900000000011</v>
      </c>
      <c r="N140" s="674">
        <f t="shared" si="217"/>
        <v>4066.0899999999997</v>
      </c>
      <c r="O140" s="674">
        <f t="shared" si="217"/>
        <v>4066.0900000000006</v>
      </c>
      <c r="P140" s="674">
        <f t="shared" si="217"/>
        <v>4066.0900000000011</v>
      </c>
      <c r="Q140" s="674">
        <f t="shared" si="217"/>
        <v>4066.0900000000011</v>
      </c>
      <c r="R140" s="674">
        <f t="shared" si="217"/>
        <v>4066.0899999999992</v>
      </c>
      <c r="S140" s="674">
        <f t="shared" ref="S140:Y140" si="218">S128</f>
        <v>4066.0900000000011</v>
      </c>
      <c r="T140" s="937">
        <f>T128</f>
        <v>3487.79</v>
      </c>
      <c r="U140" s="937">
        <f t="shared" si="218"/>
        <v>3487.79</v>
      </c>
      <c r="V140" s="937">
        <f t="shared" si="218"/>
        <v>3487.79</v>
      </c>
      <c r="W140" s="937">
        <f t="shared" si="218"/>
        <v>3487.79</v>
      </c>
      <c r="X140" s="937">
        <f t="shared" si="218"/>
        <v>3487.79</v>
      </c>
      <c r="Y140" s="937">
        <f t="shared" si="218"/>
        <v>1658.33</v>
      </c>
      <c r="Z140" s="1090">
        <f t="shared" ref="Z140:AE140" si="219">Z128</f>
        <v>2815.33</v>
      </c>
      <c r="AA140" s="1090">
        <f t="shared" si="219"/>
        <v>2236.6299999999997</v>
      </c>
      <c r="AB140" s="1090">
        <f t="shared" si="219"/>
        <v>1658.33</v>
      </c>
      <c r="AC140" s="1090">
        <f t="shared" si="219"/>
        <v>1658.33</v>
      </c>
      <c r="AD140" s="1090">
        <f t="shared" si="219"/>
        <v>2815.33</v>
      </c>
      <c r="AE140" s="1172">
        <f t="shared" si="219"/>
        <v>2236.63</v>
      </c>
      <c r="AF140" s="1242">
        <f t="shared" ref="AF140:AQ140" si="220">AF128</f>
        <v>3487.79</v>
      </c>
      <c r="AG140" s="1242">
        <f>AG128</f>
        <v>3487.79</v>
      </c>
      <c r="AH140" s="1242">
        <f>AH128</f>
        <v>3487.79</v>
      </c>
      <c r="AI140" s="1242">
        <f>AI128</f>
        <v>3487.79</v>
      </c>
      <c r="AJ140" s="1242">
        <f t="shared" si="220"/>
        <v>3487.79</v>
      </c>
      <c r="AK140" s="1242">
        <f t="shared" si="220"/>
        <v>3487.79</v>
      </c>
      <c r="AL140" s="1242">
        <f t="shared" si="220"/>
        <v>3487.79</v>
      </c>
      <c r="AM140" s="1242">
        <f t="shared" si="220"/>
        <v>3487.79</v>
      </c>
      <c r="AN140" s="1242">
        <f t="shared" ref="AN140" si="221">AN128</f>
        <v>3487.79</v>
      </c>
      <c r="AO140" s="1242">
        <f t="shared" ref="AO140" si="222">AO128</f>
        <v>1658.33</v>
      </c>
      <c r="AP140" s="674">
        <f t="shared" si="220"/>
        <v>1658.33</v>
      </c>
      <c r="AQ140" s="674">
        <f t="shared" si="220"/>
        <v>1658.33</v>
      </c>
      <c r="AR140" s="1630">
        <f t="shared" ref="AR140:BC140" si="223">AR128</f>
        <v>1658.33</v>
      </c>
      <c r="AS140" s="674">
        <f t="shared" si="223"/>
        <v>1658.33</v>
      </c>
      <c r="AT140" s="674">
        <f t="shared" si="223"/>
        <v>1658.33</v>
      </c>
      <c r="AU140" s="674">
        <f t="shared" si="223"/>
        <v>1658.33</v>
      </c>
      <c r="AV140" s="674">
        <f t="shared" si="223"/>
        <v>1658.33</v>
      </c>
      <c r="AW140" s="674">
        <f t="shared" si="223"/>
        <v>1658.33</v>
      </c>
      <c r="AX140" s="674">
        <f t="shared" si="223"/>
        <v>1658.33</v>
      </c>
      <c r="AY140" s="674">
        <f t="shared" si="223"/>
        <v>1658.33</v>
      </c>
      <c r="AZ140" s="674">
        <f t="shared" si="223"/>
        <v>1658.33</v>
      </c>
      <c r="BA140" s="674">
        <f t="shared" si="223"/>
        <v>1658.33</v>
      </c>
      <c r="BB140" s="674">
        <f t="shared" si="223"/>
        <v>1658.33</v>
      </c>
      <c r="BC140" s="674">
        <f t="shared" si="223"/>
        <v>1658.33</v>
      </c>
      <c r="BE140" s="1199">
        <f>BE128</f>
        <v>32517.860000000004</v>
      </c>
      <c r="BF140" s="1564">
        <f>SUM(AF140:AQ140)</f>
        <v>36365.100000000006</v>
      </c>
      <c r="BG140" s="1199">
        <f>SUM(AR140:BC140)</f>
        <v>19899.96</v>
      </c>
    </row>
    <row r="141" spans="1:61" ht="15.75" customHeight="1" x14ac:dyDescent="0.3">
      <c r="C141" s="120" t="s">
        <v>221</v>
      </c>
      <c r="D141" s="76"/>
      <c r="E141" s="76"/>
      <c r="F141" s="76"/>
      <c r="G141" s="121">
        <v>5.0959243967024096E-3</v>
      </c>
      <c r="H141" s="639" t="e">
        <f>H140/$G$51</f>
        <v>#DIV/0!</v>
      </c>
      <c r="I141" s="673">
        <f t="shared" ref="I141:R141" si="224">I140/I$51</f>
        <v>5.2398016728802859E-3</v>
      </c>
      <c r="J141" s="673">
        <f t="shared" si="224"/>
        <v>3.1213914769265398E-3</v>
      </c>
      <c r="K141" s="673">
        <f t="shared" si="224"/>
        <v>7.9307541047272823E-3</v>
      </c>
      <c r="L141" s="673">
        <f t="shared" si="224"/>
        <v>4.5145839874625683E-3</v>
      </c>
      <c r="M141" s="673">
        <f t="shared" si="224"/>
        <v>4.3127683149940636E-3</v>
      </c>
      <c r="N141" s="673">
        <f t="shared" si="224"/>
        <v>4.3991862659276283E-3</v>
      </c>
      <c r="O141" s="673">
        <f t="shared" si="224"/>
        <v>3.3775514194655568E-3</v>
      </c>
      <c r="P141" s="673">
        <f t="shared" si="224"/>
        <v>3.7400809449292093E-3</v>
      </c>
      <c r="Q141" s="673">
        <f t="shared" si="224"/>
        <v>2.5665727308794265E-3</v>
      </c>
      <c r="R141" s="673">
        <f t="shared" si="224"/>
        <v>3.9962943986244712E-3</v>
      </c>
      <c r="S141" s="673">
        <f t="shared" ref="S141:Y141" si="225">S140/S$51</f>
        <v>2.0368366426996684E-3</v>
      </c>
      <c r="T141" s="938">
        <f t="shared" si="225"/>
        <v>3.3400377839625612E-3</v>
      </c>
      <c r="U141" s="938">
        <f t="shared" si="225"/>
        <v>2.1115029815514967E-3</v>
      </c>
      <c r="V141" s="938">
        <f t="shared" si="225"/>
        <v>2.2143250455006753E-3</v>
      </c>
      <c r="W141" s="938">
        <f t="shared" si="225"/>
        <v>3.5203615822822134E-3</v>
      </c>
      <c r="X141" s="938">
        <f t="shared" si="225"/>
        <v>2.5264148849449704E-3</v>
      </c>
      <c r="Y141" s="938">
        <f t="shared" si="225"/>
        <v>1.0931146145237599E-3</v>
      </c>
      <c r="Z141" s="1091">
        <f t="shared" ref="Z141:AE141" si="226">Z140/Z$51</f>
        <v>2.396317454366313E-3</v>
      </c>
      <c r="AA141" s="1091">
        <f t="shared" si="226"/>
        <v>1.3957843708695232E-3</v>
      </c>
      <c r="AB141" s="1091">
        <f t="shared" si="226"/>
        <v>1.3112928469126623E-3</v>
      </c>
      <c r="AC141" s="1091">
        <f t="shared" si="226"/>
        <v>1.5690080059874601E-3</v>
      </c>
      <c r="AD141" s="1091">
        <f t="shared" si="226"/>
        <v>3.1549747352006136E-3</v>
      </c>
      <c r="AE141" s="1173">
        <f t="shared" si="226"/>
        <v>1.5935263486361036E-3</v>
      </c>
      <c r="AF141" s="1243">
        <f t="shared" ref="AF141:AQ141" si="227">AF140/AF$51</f>
        <v>4.8768822798370016E-3</v>
      </c>
      <c r="AG141" s="1243">
        <f>AG140/AG$51</f>
        <v>3.5239615268947344E-3</v>
      </c>
      <c r="AH141" s="1243">
        <f>AH140/AH$51</f>
        <v>1.9209830403060222E-3</v>
      </c>
      <c r="AI141" s="1243">
        <f>AI140/AI$51</f>
        <v>2.6072209222999815E-3</v>
      </c>
      <c r="AJ141" s="1243">
        <f t="shared" si="227"/>
        <v>2.6571855503331756E-3</v>
      </c>
      <c r="AK141" s="1243">
        <f t="shared" si="227"/>
        <v>1.8546697800123379E-3</v>
      </c>
      <c r="AL141" s="1243">
        <f t="shared" si="227"/>
        <v>2.2469328856204612E-3</v>
      </c>
      <c r="AM141" s="1243">
        <f t="shared" si="227"/>
        <v>2.3184715125288721E-3</v>
      </c>
      <c r="AN141" s="1243">
        <f t="shared" ref="AN141" si="228">AN140/AN$51</f>
        <v>1.8829113525136569E-3</v>
      </c>
      <c r="AO141" s="1243">
        <f t="shared" ref="AO141" si="229">AO140/AO$51</f>
        <v>7.0410496083603226E-4</v>
      </c>
      <c r="AP141" s="673">
        <f t="shared" si="227"/>
        <v>7.0025401517730828E-4</v>
      </c>
      <c r="AQ141" s="673">
        <f t="shared" si="227"/>
        <v>6.2702760257401851E-4</v>
      </c>
      <c r="AR141" s="1629">
        <f t="shared" ref="AR141:BC141" si="230">AR140/AR$51</f>
        <v>6.6196462441831872E-4</v>
      </c>
      <c r="AS141" s="673">
        <f t="shared" si="230"/>
        <v>5.3946034325422004E-4</v>
      </c>
      <c r="AT141" s="673">
        <f t="shared" si="230"/>
        <v>6.6196462441831872E-4</v>
      </c>
      <c r="AU141" s="673">
        <f t="shared" si="230"/>
        <v>5.4938147431804994E-4</v>
      </c>
      <c r="AV141" s="673">
        <f t="shared" si="230"/>
        <v>6.6196462441831872E-4</v>
      </c>
      <c r="AW141" s="673">
        <f t="shared" si="230"/>
        <v>6.6196462441831872E-4</v>
      </c>
      <c r="AX141" s="673">
        <f t="shared" si="230"/>
        <v>6.6196462441831872E-4</v>
      </c>
      <c r="AY141" s="673">
        <f t="shared" si="230"/>
        <v>5.1784013634895393E-4</v>
      </c>
      <c r="AZ141" s="673">
        <f t="shared" si="230"/>
        <v>6.2970378255168818E-4</v>
      </c>
      <c r="BA141" s="673">
        <f t="shared" si="230"/>
        <v>6.6196462441831872E-4</v>
      </c>
      <c r="BB141" s="673">
        <f t="shared" si="230"/>
        <v>6.6196462441831872E-4</v>
      </c>
      <c r="BC141" s="673">
        <f t="shared" si="230"/>
        <v>6.6196462441831872E-4</v>
      </c>
      <c r="BE141" s="1200">
        <f>BE140/BE$51</f>
        <v>2.0906072585300307E-3</v>
      </c>
      <c r="BF141" s="1565">
        <f>BF140/BF$51</f>
        <v>1.788872582951745E-3</v>
      </c>
      <c r="BG141" s="1200">
        <f>BG140/BG$51</f>
        <v>6.2246096465204338E-4</v>
      </c>
    </row>
    <row r="142" spans="1:61" ht="15.75" customHeight="1" x14ac:dyDescent="0.3">
      <c r="A142" s="76"/>
      <c r="B142" s="76"/>
      <c r="C142" s="117" t="s">
        <v>225</v>
      </c>
      <c r="E142" s="32"/>
      <c r="F142" s="56"/>
      <c r="G142" s="123">
        <v>-5079.3599999999997</v>
      </c>
      <c r="H142" s="640">
        <v>0</v>
      </c>
      <c r="I142" s="674">
        <v>0</v>
      </c>
      <c r="J142" s="674">
        <v>0</v>
      </c>
      <c r="K142" s="674">
        <v>0</v>
      </c>
      <c r="L142" s="674">
        <v>6386.7799999999988</v>
      </c>
      <c r="M142" s="674">
        <f>M245</f>
        <v>-15898.95</v>
      </c>
      <c r="N142" s="674">
        <f>N245</f>
        <v>0</v>
      </c>
      <c r="O142" s="674">
        <v>0</v>
      </c>
      <c r="P142" s="674">
        <v>0</v>
      </c>
      <c r="Q142" s="674">
        <v>0</v>
      </c>
      <c r="R142" s="674">
        <v>0</v>
      </c>
      <c r="S142" s="674">
        <v>0</v>
      </c>
      <c r="T142" s="937">
        <f>T245</f>
        <v>3.7289282772690058E-11</v>
      </c>
      <c r="U142" s="937">
        <f>U245</f>
        <v>-4.283720045350492E-10</v>
      </c>
      <c r="V142" s="937">
        <f>V245</f>
        <v>5.0295057008042932E-10</v>
      </c>
      <c r="W142" s="937">
        <f>W245</f>
        <v>-16688.84000000028</v>
      </c>
      <c r="X142" s="937">
        <f>X245</f>
        <v>-85842.550000000236</v>
      </c>
      <c r="Y142" s="937">
        <f t="shared" ref="Y142:AE142" si="231">Y245</f>
        <v>-95790.910000000076</v>
      </c>
      <c r="Z142" s="1090">
        <f t="shared" si="231"/>
        <v>-17284.949999999648</v>
      </c>
      <c r="AA142" s="1090">
        <f t="shared" si="231"/>
        <v>-41438.19999999983</v>
      </c>
      <c r="AB142" s="1090">
        <f t="shared" si="231"/>
        <v>-148774.03000000017</v>
      </c>
      <c r="AC142" s="1090">
        <f>AC245</f>
        <v>356.1900000000187</v>
      </c>
      <c r="AD142" s="1090">
        <f t="shared" si="231"/>
        <v>-131933.01000000015</v>
      </c>
      <c r="AE142" s="1172">
        <f t="shared" si="231"/>
        <v>-1118183.5399999996</v>
      </c>
      <c r="AF142" s="1242">
        <f t="shared" ref="AF142:AN142" si="232">AF245</f>
        <v>-52556.760000000206</v>
      </c>
      <c r="AG142" s="1242">
        <f t="shared" si="232"/>
        <v>-73680.940000000366</v>
      </c>
      <c r="AH142" s="1242">
        <f t="shared" si="232"/>
        <v>-143102.38999999964</v>
      </c>
      <c r="AI142" s="1242">
        <f t="shared" si="232"/>
        <v>55336.410000000185</v>
      </c>
      <c r="AJ142" s="1242">
        <f t="shared" si="232"/>
        <v>-119039.8000000007</v>
      </c>
      <c r="AK142" s="1242">
        <f t="shared" si="232"/>
        <v>-46896.759999999776</v>
      </c>
      <c r="AL142" s="1242">
        <f t="shared" si="232"/>
        <v>-50248.269999999553</v>
      </c>
      <c r="AM142" s="1242">
        <f t="shared" si="232"/>
        <v>442536.78999999957</v>
      </c>
      <c r="AN142" s="1242">
        <f t="shared" si="232"/>
        <v>-74062.209999999497</v>
      </c>
      <c r="AO142" s="1242">
        <f t="shared" ref="AO142" si="233">AO245</f>
        <v>-51022.820000000298</v>
      </c>
      <c r="AP142" s="674">
        <v>-20000</v>
      </c>
      <c r="AQ142" s="674">
        <v>-20000</v>
      </c>
      <c r="AR142" s="1630">
        <v>-20000</v>
      </c>
      <c r="AS142" s="674">
        <v>-20000</v>
      </c>
      <c r="AT142" s="674">
        <v>-20000</v>
      </c>
      <c r="AU142" s="674">
        <v>-20000</v>
      </c>
      <c r="AV142" s="674">
        <v>-20000</v>
      </c>
      <c r="AW142" s="674">
        <v>-20000</v>
      </c>
      <c r="AX142" s="674">
        <v>-20000</v>
      </c>
      <c r="AY142" s="674">
        <v>-20000</v>
      </c>
      <c r="AZ142" s="674">
        <v>-20000</v>
      </c>
      <c r="BA142" s="674">
        <v>-20000</v>
      </c>
      <c r="BB142" s="674">
        <v>-20000</v>
      </c>
      <c r="BC142" s="674">
        <v>-20000</v>
      </c>
      <c r="BE142" s="1199">
        <f>SUM(T142:AE142)</f>
        <v>-1655579.8399999999</v>
      </c>
      <c r="BF142" s="1564">
        <f>SUM(AF142:AQ142)</f>
        <v>-152736.75000000029</v>
      </c>
      <c r="BG142" s="1199">
        <f>SUM(AR142:BC142)</f>
        <v>-240000</v>
      </c>
    </row>
    <row r="143" spans="1:61" ht="15.75" customHeight="1" x14ac:dyDescent="0.3">
      <c r="C143" s="120" t="s">
        <v>221</v>
      </c>
      <c r="D143" s="76"/>
      <c r="E143" s="126"/>
      <c r="F143" s="126"/>
      <c r="G143" s="121">
        <v>-4.1521084435221451E-3</v>
      </c>
      <c r="H143" s="639">
        <f t="shared" ref="H143:R143" si="234">H142/H$51</f>
        <v>0</v>
      </c>
      <c r="I143" s="673">
        <f t="shared" si="234"/>
        <v>0</v>
      </c>
      <c r="J143" s="673">
        <f t="shared" si="234"/>
        <v>0</v>
      </c>
      <c r="K143" s="673">
        <f t="shared" si="234"/>
        <v>0</v>
      </c>
      <c r="L143" s="673">
        <f t="shared" si="234"/>
        <v>7.0912485260892352E-3</v>
      </c>
      <c r="M143" s="673">
        <f t="shared" si="234"/>
        <v>-1.6863494856649716E-2</v>
      </c>
      <c r="N143" s="673">
        <f t="shared" si="234"/>
        <v>0</v>
      </c>
      <c r="O143" s="673">
        <f t="shared" si="234"/>
        <v>0</v>
      </c>
      <c r="P143" s="673">
        <f t="shared" si="234"/>
        <v>0</v>
      </c>
      <c r="Q143" s="673">
        <f t="shared" si="234"/>
        <v>0</v>
      </c>
      <c r="R143" s="673">
        <f t="shared" si="234"/>
        <v>0</v>
      </c>
      <c r="S143" s="673">
        <f t="shared" ref="S143:Y143" si="235">S142/S$51</f>
        <v>0</v>
      </c>
      <c r="T143" s="938">
        <f t="shared" si="235"/>
        <v>3.5709607917233841E-17</v>
      </c>
      <c r="U143" s="938">
        <f t="shared" si="235"/>
        <v>-2.5933578707116758E-16</v>
      </c>
      <c r="V143" s="938">
        <f t="shared" si="235"/>
        <v>3.1931281527211707E-16</v>
      </c>
      <c r="W143" s="938">
        <f t="shared" si="235"/>
        <v>-1.6844692825214728E-2</v>
      </c>
      <c r="X143" s="938">
        <f t="shared" si="235"/>
        <v>-6.2180892795045996E-2</v>
      </c>
      <c r="Y143" s="938">
        <f t="shared" si="235"/>
        <v>-6.3142102994898641E-2</v>
      </c>
      <c r="Z143" s="1091">
        <f t="shared" ref="Z143:AE143" si="236">Z142/Z$51</f>
        <v>-1.4712388026571719E-2</v>
      </c>
      <c r="AA143" s="1091">
        <f t="shared" si="236"/>
        <v>-2.5859794385734453E-2</v>
      </c>
      <c r="AB143" s="1091">
        <f t="shared" si="236"/>
        <v>-0.11764022923384976</v>
      </c>
      <c r="AC143" s="1091">
        <f t="shared" si="236"/>
        <v>3.3700467437283461E-4</v>
      </c>
      <c r="AD143" s="1091">
        <f t="shared" si="236"/>
        <v>-0.14784956409691596</v>
      </c>
      <c r="AE143" s="1173">
        <f t="shared" si="236"/>
        <v>-0.79666951333085567</v>
      </c>
      <c r="AF143" s="1243">
        <f t="shared" ref="AF143:AQ143" si="237">AF142/AF$51</f>
        <v>-7.3488693851879588E-2</v>
      </c>
      <c r="AG143" s="1243">
        <f>AG142/AG$51</f>
        <v>-7.4445077778604971E-2</v>
      </c>
      <c r="AH143" s="1243">
        <f>AH142/AH$51</f>
        <v>-7.8817034344744782E-2</v>
      </c>
      <c r="AI143" s="1243">
        <f>AI142/AI$51</f>
        <v>4.1365519689250334E-2</v>
      </c>
      <c r="AJ143" s="1243">
        <f t="shared" si="237"/>
        <v>-9.0690906411955138E-2</v>
      </c>
      <c r="AK143" s="1243">
        <f t="shared" si="237"/>
        <v>-2.4937855648559975E-2</v>
      </c>
      <c r="AL143" s="1243">
        <f t="shared" si="237"/>
        <v>-3.2371355588649273E-2</v>
      </c>
      <c r="AM143" s="1243">
        <f t="shared" si="237"/>
        <v>0.29417165048955668</v>
      </c>
      <c r="AN143" s="1243">
        <f t="shared" ref="AN143" si="238">AN142/AN$51</f>
        <v>-3.998307696313412E-2</v>
      </c>
      <c r="AO143" s="1243">
        <f t="shared" ref="AO143" si="239">AO142/AO$51</f>
        <v>-2.1663613802948831E-2</v>
      </c>
      <c r="AP143" s="673">
        <f t="shared" si="237"/>
        <v>-8.4452915303625739E-3</v>
      </c>
      <c r="AQ143" s="673">
        <f t="shared" si="237"/>
        <v>-7.5621571409070394E-3</v>
      </c>
      <c r="AR143" s="1629">
        <f t="shared" ref="AR143:BC143" si="240">AR142/AR$51</f>
        <v>-7.983509005063151E-3</v>
      </c>
      <c r="AS143" s="673">
        <f t="shared" si="240"/>
        <v>-6.5060674685282188E-3</v>
      </c>
      <c r="AT143" s="673">
        <f t="shared" si="240"/>
        <v>-7.983509005063151E-3</v>
      </c>
      <c r="AU143" s="673">
        <f t="shared" si="240"/>
        <v>-6.6257195409604843E-3</v>
      </c>
      <c r="AV143" s="673">
        <f t="shared" si="240"/>
        <v>-7.983509005063151E-3</v>
      </c>
      <c r="AW143" s="673">
        <f t="shared" si="240"/>
        <v>-7.983509005063151E-3</v>
      </c>
      <c r="AX143" s="673">
        <f t="shared" si="240"/>
        <v>-7.983509005063151E-3</v>
      </c>
      <c r="AY143" s="673">
        <f t="shared" si="240"/>
        <v>-6.2453207304813147E-3</v>
      </c>
      <c r="AZ143" s="673">
        <f t="shared" si="240"/>
        <v>-7.5944327432017535E-3</v>
      </c>
      <c r="BA143" s="673">
        <f t="shared" si="240"/>
        <v>-7.983509005063151E-3</v>
      </c>
      <c r="BB143" s="673">
        <f t="shared" si="240"/>
        <v>-7.983509005063151E-3</v>
      </c>
      <c r="BC143" s="673">
        <f t="shared" si="240"/>
        <v>-7.983509005063151E-3</v>
      </c>
      <c r="BE143" s="1200">
        <f>BE142/BE$51</f>
        <v>-0.10643896094576907</v>
      </c>
      <c r="BF143" s="1565">
        <f>BF142/BF$51</f>
        <v>-7.5134286578107971E-3</v>
      </c>
      <c r="BG143" s="1200">
        <f>BG142/BG$51</f>
        <v>-7.5070819999884632E-3</v>
      </c>
    </row>
    <row r="144" spans="1:61" ht="15.75" customHeight="1" x14ac:dyDescent="0.3">
      <c r="A144" s="76"/>
      <c r="B144" s="76"/>
      <c r="C144" s="117" t="s">
        <v>226</v>
      </c>
      <c r="F144" s="56"/>
      <c r="G144" s="123">
        <v>296397.16999999993</v>
      </c>
      <c r="H144" s="640">
        <f t="shared" ref="H144:V144" si="241">H150-G150</f>
        <v>-492635.65000000084</v>
      </c>
      <c r="I144" s="674">
        <f t="shared" si="241"/>
        <v>-5448.7100000004284</v>
      </c>
      <c r="J144" s="674">
        <f t="shared" si="241"/>
        <v>237972.28000000049</v>
      </c>
      <c r="K144" s="674">
        <f t="shared" si="241"/>
        <v>108745.18999999831</v>
      </c>
      <c r="L144" s="674">
        <f t="shared" si="241"/>
        <v>82968.390000005951</v>
      </c>
      <c r="M144" s="674">
        <f t="shared" si="241"/>
        <v>-583783.40000000643</v>
      </c>
      <c r="N144" s="674">
        <f t="shared" si="241"/>
        <v>370769.27000000398</v>
      </c>
      <c r="O144" s="674">
        <f t="shared" si="241"/>
        <v>-88217.490000001621</v>
      </c>
      <c r="P144" s="674">
        <f t="shared" si="241"/>
        <v>32556.840000002179</v>
      </c>
      <c r="Q144" s="674">
        <f t="shared" si="241"/>
        <v>20843.940000000875</v>
      </c>
      <c r="R144" s="674">
        <f t="shared" si="241"/>
        <v>172357.47999999369</v>
      </c>
      <c r="S144" s="674">
        <f t="shared" si="241"/>
        <v>-2023336.769999997</v>
      </c>
      <c r="T144" s="937">
        <f t="shared" si="241"/>
        <v>661665.54000000143</v>
      </c>
      <c r="U144" s="937">
        <f t="shared" si="241"/>
        <v>788924.7200000002</v>
      </c>
      <c r="V144" s="937">
        <f t="shared" si="241"/>
        <v>599672.87999999942</v>
      </c>
      <c r="W144" s="937">
        <f t="shared" ref="W144:AC144" si="242">W150-V150</f>
        <v>-879521.24999999837</v>
      </c>
      <c r="X144" s="937">
        <f t="shared" si="242"/>
        <v>-187903.86000000359</v>
      </c>
      <c r="Y144" s="937">
        <f t="shared" si="242"/>
        <v>848480.81000000215</v>
      </c>
      <c r="Z144" s="1090">
        <f t="shared" si="242"/>
        <v>-57282.710000000428</v>
      </c>
      <c r="AA144" s="1090">
        <f t="shared" si="242"/>
        <v>158246.26000000141</v>
      </c>
      <c r="AB144" s="1090">
        <f t="shared" si="242"/>
        <v>140224.17999999993</v>
      </c>
      <c r="AC144" s="1090">
        <f t="shared" si="242"/>
        <v>-67599.820000001229</v>
      </c>
      <c r="AD144" s="1090">
        <f t="shared" ref="AD144:BC144" si="243">AD150-AC150</f>
        <v>-48929.200000000652</v>
      </c>
      <c r="AE144" s="1172">
        <f t="shared" si="243"/>
        <v>209314.35000000009</v>
      </c>
      <c r="AF144" s="1242">
        <f t="shared" si="243"/>
        <v>-240034.58999999985</v>
      </c>
      <c r="AG144" s="1242">
        <f t="shared" si="243"/>
        <v>-334747.53000000003</v>
      </c>
      <c r="AH144" s="1242">
        <f t="shared" si="243"/>
        <v>-120425.2500000007</v>
      </c>
      <c r="AI144" s="1242">
        <f t="shared" si="243"/>
        <v>310072.08999999892</v>
      </c>
      <c r="AJ144" s="1242">
        <f t="shared" si="243"/>
        <v>111592.07000000309</v>
      </c>
      <c r="AK144" s="1242">
        <f t="shared" si="243"/>
        <v>1941026.3599999994</v>
      </c>
      <c r="AL144" s="1242">
        <f t="shared" si="243"/>
        <v>-358639.21999999881</v>
      </c>
      <c r="AM144" s="1242">
        <f t="shared" si="243"/>
        <v>669325.99999999674</v>
      </c>
      <c r="AN144" s="1242">
        <f t="shared" si="243"/>
        <v>500317.08000000194</v>
      </c>
      <c r="AO144" s="1242">
        <f t="shared" si="243"/>
        <v>-158726.82000000123</v>
      </c>
      <c r="AP144" s="674">
        <f t="shared" ca="1" si="243"/>
        <v>146309.71319524525</v>
      </c>
      <c r="AQ144" s="674">
        <f t="shared" ca="1" si="243"/>
        <v>-421683.68199435156</v>
      </c>
      <c r="AR144" s="1630">
        <f t="shared" ca="1" si="243"/>
        <v>-563761.0875084335</v>
      </c>
      <c r="AS144" s="674">
        <f t="shared" ca="1" si="243"/>
        <v>418018.95728889387</v>
      </c>
      <c r="AT144" s="674">
        <f t="shared" ca="1" si="243"/>
        <v>-159546.37683602981</v>
      </c>
      <c r="AU144" s="674">
        <f t="shared" ca="1" si="243"/>
        <v>1167.345157051459</v>
      </c>
      <c r="AV144" s="674">
        <f t="shared" ca="1" si="243"/>
        <v>75721.243632801343</v>
      </c>
      <c r="AW144" s="674">
        <f t="shared" ca="1" si="243"/>
        <v>-42121.203032668214</v>
      </c>
      <c r="AX144" s="674">
        <f t="shared" ca="1" si="243"/>
        <v>-4608.5598752484657</v>
      </c>
      <c r="AY144" s="674">
        <f t="shared" ca="1" si="243"/>
        <v>15151.335611554794</v>
      </c>
      <c r="AZ144" s="674">
        <f t="shared" ca="1" si="243"/>
        <v>-3788.0479634720832</v>
      </c>
      <c r="BA144" s="674">
        <f t="shared" ca="1" si="243"/>
        <v>5929.374362854287</v>
      </c>
      <c r="BB144" s="674">
        <f t="shared" ca="1" si="243"/>
        <v>1366.9224762306549</v>
      </c>
      <c r="BC144" s="674">
        <f t="shared" ca="1" si="243"/>
        <v>-1735.8978880271316</v>
      </c>
      <c r="BE144" s="1199">
        <f>SUM(T144:AE144)</f>
        <v>2165291.9000000004</v>
      </c>
      <c r="BF144" s="1564">
        <f ca="1">SUM(AF144:AQ144)</f>
        <v>2044386.2212008932</v>
      </c>
      <c r="BG144" s="1199">
        <f ca="1">SUM(AR144:BC144)</f>
        <v>-258205.9945744928</v>
      </c>
    </row>
    <row r="145" spans="1:59" ht="15.75" customHeight="1" x14ac:dyDescent="0.3">
      <c r="C145" s="120" t="s">
        <v>221</v>
      </c>
      <c r="D145" s="76"/>
      <c r="E145" s="76"/>
      <c r="F145" s="76"/>
      <c r="G145" s="121">
        <v>0.15766494602424144</v>
      </c>
      <c r="H145" s="639" t="e">
        <f>H144/$G$51</f>
        <v>#DIV/0!</v>
      </c>
      <c r="I145" s="673">
        <f t="shared" ref="I145:R145" si="244">I144/I$51</f>
        <v>-8.126308534153583E-3</v>
      </c>
      <c r="J145" s="673">
        <f t="shared" si="244"/>
        <v>0.21142647839261594</v>
      </c>
      <c r="K145" s="673">
        <f t="shared" si="244"/>
        <v>0.1506590854155351</v>
      </c>
      <c r="L145" s="673">
        <f t="shared" si="244"/>
        <v>9.2119890351560443E-2</v>
      </c>
      <c r="M145" s="673">
        <f t="shared" si="244"/>
        <v>-0.61919990711950113</v>
      </c>
      <c r="N145" s="673">
        <f t="shared" si="244"/>
        <v>0.40114288675657206</v>
      </c>
      <c r="O145" s="673">
        <f t="shared" si="244"/>
        <v>-7.3279024461139319E-2</v>
      </c>
      <c r="P145" s="673">
        <f t="shared" si="244"/>
        <v>2.9946512967277458E-2</v>
      </c>
      <c r="Q145" s="673">
        <f t="shared" si="244"/>
        <v>1.3156985705699861E-2</v>
      </c>
      <c r="R145" s="673">
        <f t="shared" si="244"/>
        <v>0.1693989144079458</v>
      </c>
      <c r="S145" s="673">
        <f t="shared" ref="S145:Y145" si="245">S144/S$51</f>
        <v>-1.0135551533924689</v>
      </c>
      <c r="T145" s="938">
        <f t="shared" si="245"/>
        <v>0.63363559845804829</v>
      </c>
      <c r="U145" s="938">
        <f t="shared" si="245"/>
        <v>0.47761387540525091</v>
      </c>
      <c r="V145" s="938">
        <f t="shared" si="245"/>
        <v>0.38071979026590469</v>
      </c>
      <c r="W145" s="938">
        <f t="shared" si="245"/>
        <v>-0.88773487489236003</v>
      </c>
      <c r="X145" s="938">
        <f t="shared" si="245"/>
        <v>-0.13611000342412385</v>
      </c>
      <c r="Y145" s="938">
        <f t="shared" si="245"/>
        <v>0.5592896308659675</v>
      </c>
      <c r="Z145" s="1091">
        <f t="shared" ref="Z145:AE145" si="246">Z144/Z$51</f>
        <v>-4.8757182215372535E-2</v>
      </c>
      <c r="AA145" s="1091">
        <f t="shared" si="246"/>
        <v>9.875466950571038E-2</v>
      </c>
      <c r="AB145" s="1091">
        <f t="shared" si="246"/>
        <v>0.11087959826945996</v>
      </c>
      <c r="AC145" s="1091">
        <f t="shared" si="246"/>
        <v>-6.3958716771277832E-2</v>
      </c>
      <c r="AD145" s="1091">
        <f t="shared" si="246"/>
        <v>-5.4832076457672782E-2</v>
      </c>
      <c r="AE145" s="1173">
        <f t="shared" si="246"/>
        <v>0.14912968701691365</v>
      </c>
      <c r="AF145" s="1243">
        <f t="shared" ref="AF145:AQ145" si="247">AF144/AF$51</f>
        <v>-0.33563386514639332</v>
      </c>
      <c r="AG145" s="1243">
        <f>AG144/AG$51</f>
        <v>-0.338219163694787</v>
      </c>
      <c r="AH145" s="1243">
        <f>AH144/AH$51</f>
        <v>-6.6327061799768383E-2</v>
      </c>
      <c r="AI145" s="1243">
        <f>AI144/AI$51</f>
        <v>0.23178759055713793</v>
      </c>
      <c r="AJ145" s="1243">
        <f t="shared" si="247"/>
        <v>8.5016826109306026E-2</v>
      </c>
      <c r="AK145" s="1243">
        <f t="shared" si="247"/>
        <v>1.0321616072353406</v>
      </c>
      <c r="AL145" s="1243">
        <f t="shared" si="247"/>
        <v>-0.23104552094342512</v>
      </c>
      <c r="AM145" s="1243">
        <f t="shared" si="247"/>
        <v>0.44492737911253039</v>
      </c>
      <c r="AN145" s="1243">
        <f t="shared" ref="AN145" si="248">AN144/AN$51</f>
        <v>0.27010018085621185</v>
      </c>
      <c r="AO145" s="1243">
        <f t="shared" ref="AO145" si="249">AO144/AO$51</f>
        <v>-6.7393306145175455E-2</v>
      </c>
      <c r="AP145" s="673">
        <f t="shared" ca="1" si="247"/>
        <v>6.1781409082879102E-2</v>
      </c>
      <c r="AQ145" s="673">
        <f t="shared" ca="1" si="247"/>
        <v>-0.15944191334987792</v>
      </c>
      <c r="AR145" s="1629">
        <f t="shared" ref="AR145:BC145" ca="1" si="250">AR144/AR$51</f>
        <v>-0.22503958594138868</v>
      </c>
      <c r="AS145" s="673">
        <f t="shared" ca="1" si="250"/>
        <v>0.13598297696226797</v>
      </c>
      <c r="AT145" s="673">
        <f t="shared" ca="1" si="250"/>
        <v>-6.368699680978214E-2</v>
      </c>
      <c r="AU145" s="673">
        <f t="shared" ca="1" si="250"/>
        <v>3.8672508090607181E-4</v>
      </c>
      <c r="AV145" s="673">
        <f t="shared" ca="1" si="250"/>
        <v>3.0226061520852512E-2</v>
      </c>
      <c r="AW145" s="673">
        <f t="shared" ca="1" si="250"/>
        <v>-1.6813750185769999E-2</v>
      </c>
      <c r="AX145" s="673">
        <f t="shared" ca="1" si="250"/>
        <v>-1.8396239632209417E-3</v>
      </c>
      <c r="AY145" s="673">
        <f t="shared" ca="1" si="250"/>
        <v>4.7312475194661472E-3</v>
      </c>
      <c r="AZ145" s="673">
        <f t="shared" ca="1" si="250"/>
        <v>-1.4384037743305556E-3</v>
      </c>
      <c r="BA145" s="673">
        <f t="shared" ca="1" si="250"/>
        <v>2.366860681011889E-3</v>
      </c>
      <c r="BB145" s="673">
        <f t="shared" ca="1" si="250"/>
        <v>5.4564189491053264E-4</v>
      </c>
      <c r="BC145" s="673">
        <f t="shared" ca="1" si="250"/>
        <v>-6.9292782104673546E-4</v>
      </c>
      <c r="BE145" s="1200">
        <f>BE144/BE$51</f>
        <v>0.13920888284088442</v>
      </c>
      <c r="BF145" s="1565">
        <f ca="1">BF144/BF$51</f>
        <v>0.10056747981087907</v>
      </c>
      <c r="BG145" s="1200">
        <f ca="1">BG144/BG$51</f>
        <v>-8.0765565589970573E-3</v>
      </c>
    </row>
    <row r="146" spans="1:59" ht="15.75" customHeight="1" x14ac:dyDescent="0.3">
      <c r="A146" s="76"/>
      <c r="B146" s="76"/>
      <c r="C146" s="117" t="s">
        <v>227</v>
      </c>
      <c r="G146" s="123">
        <v>0</v>
      </c>
      <c r="H146" s="640">
        <v>0</v>
      </c>
      <c r="I146" s="674">
        <v>0</v>
      </c>
      <c r="J146" s="674">
        <v>0</v>
      </c>
      <c r="K146" s="674">
        <v>0</v>
      </c>
      <c r="L146" s="674">
        <v>0</v>
      </c>
      <c r="M146" s="674">
        <v>0</v>
      </c>
      <c r="N146" s="674">
        <v>0</v>
      </c>
      <c r="O146" s="674">
        <v>0</v>
      </c>
      <c r="P146" s="674">
        <v>0</v>
      </c>
      <c r="Q146" s="674">
        <v>0</v>
      </c>
      <c r="R146" s="674">
        <v>0</v>
      </c>
      <c r="S146" s="674">
        <v>0</v>
      </c>
      <c r="T146" s="937">
        <v>0</v>
      </c>
      <c r="U146" s="937">
        <v>0</v>
      </c>
      <c r="V146" s="937">
        <v>0</v>
      </c>
      <c r="W146" s="937">
        <v>0</v>
      </c>
      <c r="X146" s="937">
        <v>0</v>
      </c>
      <c r="Y146" s="937">
        <v>0</v>
      </c>
      <c r="Z146" s="1090">
        <v>0</v>
      </c>
      <c r="AA146" s="1090">
        <v>0</v>
      </c>
      <c r="AB146" s="1090">
        <v>0</v>
      </c>
      <c r="AC146" s="1090">
        <v>0</v>
      </c>
      <c r="AD146" s="1090">
        <v>0</v>
      </c>
      <c r="AE146" s="1172">
        <v>0</v>
      </c>
      <c r="AF146" s="1242">
        <v>0</v>
      </c>
      <c r="AG146" s="1242">
        <v>0</v>
      </c>
      <c r="AH146" s="1242">
        <v>0</v>
      </c>
      <c r="AI146" s="1242">
        <v>0</v>
      </c>
      <c r="AJ146" s="1242">
        <v>0</v>
      </c>
      <c r="AK146" s="1242">
        <v>0</v>
      </c>
      <c r="AL146" s="1242">
        <v>0</v>
      </c>
      <c r="AM146" s="1242">
        <v>0</v>
      </c>
      <c r="AN146" s="1242">
        <v>0</v>
      </c>
      <c r="AO146" s="1242">
        <v>0</v>
      </c>
      <c r="AP146" s="674">
        <v>0</v>
      </c>
      <c r="AQ146" s="674">
        <v>0</v>
      </c>
      <c r="AR146" s="1630">
        <v>0</v>
      </c>
      <c r="AS146" s="674">
        <v>0</v>
      </c>
      <c r="AT146" s="674">
        <v>0</v>
      </c>
      <c r="AU146" s="674">
        <v>0</v>
      </c>
      <c r="AV146" s="674">
        <v>0</v>
      </c>
      <c r="AW146" s="674">
        <v>0</v>
      </c>
      <c r="AX146" s="674">
        <v>0</v>
      </c>
      <c r="AY146" s="674">
        <v>0</v>
      </c>
      <c r="AZ146" s="674">
        <v>0</v>
      </c>
      <c r="BA146" s="674">
        <v>0</v>
      </c>
      <c r="BB146" s="674">
        <v>0</v>
      </c>
      <c r="BC146" s="674">
        <v>0</v>
      </c>
      <c r="BE146" s="1199">
        <v>0</v>
      </c>
      <c r="BF146" s="1564">
        <f>SUM(AF146:AQ146)</f>
        <v>0</v>
      </c>
      <c r="BG146" s="1199">
        <f>SUM(AR146:BC146)</f>
        <v>0</v>
      </c>
    </row>
    <row r="147" spans="1:59" ht="15.75" customHeight="1" x14ac:dyDescent="0.3">
      <c r="C147" s="120" t="s">
        <v>221</v>
      </c>
      <c r="D147" s="76"/>
      <c r="E147" s="76"/>
      <c r="F147" s="76"/>
      <c r="G147" s="127">
        <v>0</v>
      </c>
      <c r="H147" s="642" t="e">
        <f>H146/$G$51</f>
        <v>#DIV/0!</v>
      </c>
      <c r="I147" s="676">
        <f t="shared" ref="I147:R147" si="251">I146/I$51</f>
        <v>0</v>
      </c>
      <c r="J147" s="676">
        <f t="shared" si="251"/>
        <v>0</v>
      </c>
      <c r="K147" s="676">
        <f t="shared" si="251"/>
        <v>0</v>
      </c>
      <c r="L147" s="676">
        <f t="shared" si="251"/>
        <v>0</v>
      </c>
      <c r="M147" s="676">
        <f t="shared" si="251"/>
        <v>0</v>
      </c>
      <c r="N147" s="676">
        <f t="shared" si="251"/>
        <v>0</v>
      </c>
      <c r="O147" s="676">
        <f t="shared" si="251"/>
        <v>0</v>
      </c>
      <c r="P147" s="676">
        <f t="shared" si="251"/>
        <v>0</v>
      </c>
      <c r="Q147" s="676">
        <f t="shared" si="251"/>
        <v>0</v>
      </c>
      <c r="R147" s="676">
        <f t="shared" si="251"/>
        <v>0</v>
      </c>
      <c r="S147" s="676">
        <f t="shared" ref="S147:Y147" si="252">S146/S$51</f>
        <v>0</v>
      </c>
      <c r="T147" s="939">
        <f t="shared" si="252"/>
        <v>0</v>
      </c>
      <c r="U147" s="939">
        <f t="shared" si="252"/>
        <v>0</v>
      </c>
      <c r="V147" s="939">
        <f t="shared" si="252"/>
        <v>0</v>
      </c>
      <c r="W147" s="939">
        <f t="shared" si="252"/>
        <v>0</v>
      </c>
      <c r="X147" s="939">
        <f t="shared" si="252"/>
        <v>0</v>
      </c>
      <c r="Y147" s="939">
        <f t="shared" si="252"/>
        <v>0</v>
      </c>
      <c r="Z147" s="1092">
        <f t="shared" ref="Z147:AE147" si="253">Z146/Z$51</f>
        <v>0</v>
      </c>
      <c r="AA147" s="1092">
        <f t="shared" si="253"/>
        <v>0</v>
      </c>
      <c r="AB147" s="1092">
        <f t="shared" si="253"/>
        <v>0</v>
      </c>
      <c r="AC147" s="1092">
        <f t="shared" si="253"/>
        <v>0</v>
      </c>
      <c r="AD147" s="1232">
        <f t="shared" si="253"/>
        <v>0</v>
      </c>
      <c r="AE147" s="1234">
        <f t="shared" si="253"/>
        <v>0</v>
      </c>
      <c r="AF147" s="1245">
        <f t="shared" ref="AF147:AQ147" si="254">AF146/AF$51</f>
        <v>0</v>
      </c>
      <c r="AG147" s="1245">
        <f>AG146/AG$51</f>
        <v>0</v>
      </c>
      <c r="AH147" s="1245">
        <f>AH146/AH$51</f>
        <v>0</v>
      </c>
      <c r="AI147" s="1245">
        <f>AI146/AI$51</f>
        <v>0</v>
      </c>
      <c r="AJ147" s="1245">
        <f t="shared" si="254"/>
        <v>0</v>
      </c>
      <c r="AK147" s="1245">
        <f t="shared" si="254"/>
        <v>0</v>
      </c>
      <c r="AL147" s="1245">
        <f t="shared" si="254"/>
        <v>0</v>
      </c>
      <c r="AM147" s="1245">
        <f t="shared" si="254"/>
        <v>0</v>
      </c>
      <c r="AN147" s="1245">
        <f t="shared" ref="AN147" si="255">AN146/AN$51</f>
        <v>0</v>
      </c>
      <c r="AO147" s="1245">
        <f t="shared" ref="AO147" si="256">AO146/AO$51</f>
        <v>0</v>
      </c>
      <c r="AP147" s="676">
        <f t="shared" si="254"/>
        <v>0</v>
      </c>
      <c r="AQ147" s="676">
        <f t="shared" si="254"/>
        <v>0</v>
      </c>
      <c r="AR147" s="1632">
        <f t="shared" ref="AR147:BC147" si="257">AR146/AR$51</f>
        <v>0</v>
      </c>
      <c r="AS147" s="676">
        <f t="shared" si="257"/>
        <v>0</v>
      </c>
      <c r="AT147" s="676">
        <f t="shared" si="257"/>
        <v>0</v>
      </c>
      <c r="AU147" s="676">
        <f t="shared" si="257"/>
        <v>0</v>
      </c>
      <c r="AV147" s="676">
        <f t="shared" si="257"/>
        <v>0</v>
      </c>
      <c r="AW147" s="676">
        <f t="shared" si="257"/>
        <v>0</v>
      </c>
      <c r="AX147" s="676">
        <f t="shared" si="257"/>
        <v>0</v>
      </c>
      <c r="AY147" s="676">
        <f t="shared" si="257"/>
        <v>0</v>
      </c>
      <c r="AZ147" s="676">
        <f t="shared" si="257"/>
        <v>0</v>
      </c>
      <c r="BA147" s="676">
        <f t="shared" si="257"/>
        <v>0</v>
      </c>
      <c r="BB147" s="676">
        <f t="shared" si="257"/>
        <v>0</v>
      </c>
      <c r="BC147" s="676">
        <f t="shared" si="257"/>
        <v>0</v>
      </c>
      <c r="BE147" s="1202">
        <f>BE146/BE$51</f>
        <v>0</v>
      </c>
      <c r="BF147" s="1245">
        <f>BF146/BF$51</f>
        <v>0</v>
      </c>
      <c r="BG147" s="1202">
        <f>BG146/BG$51</f>
        <v>0</v>
      </c>
    </row>
    <row r="148" spans="1:59" ht="15.75" customHeight="1" collapsed="1" x14ac:dyDescent="0.3">
      <c r="A148" s="76"/>
      <c r="B148" s="76"/>
      <c r="C148" s="128" t="s">
        <v>228</v>
      </c>
      <c r="D148" s="128"/>
      <c r="E148" s="128"/>
      <c r="F148" s="129"/>
      <c r="G148" s="78">
        <v>401677.57000000041</v>
      </c>
      <c r="H148" s="636">
        <f t="shared" ref="H148:N148" si="258">H115+H138+H140+H142+-H144+H146</f>
        <v>441073.94264800072</v>
      </c>
      <c r="I148" s="670">
        <f t="shared" si="258"/>
        <v>95264.369421000418</v>
      </c>
      <c r="J148" s="670">
        <f t="shared" si="258"/>
        <v>238267.60999999958</v>
      </c>
      <c r="K148" s="670">
        <f t="shared" si="258"/>
        <v>66813.930000001739</v>
      </c>
      <c r="L148" s="670">
        <f t="shared" si="258"/>
        <v>122077.23999999417</v>
      </c>
      <c r="M148" s="670">
        <f t="shared" si="258"/>
        <v>863278.83000000624</v>
      </c>
      <c r="N148" s="670">
        <f t="shared" si="258"/>
        <v>97839.578599996108</v>
      </c>
      <c r="O148" s="670">
        <f>O122+O138+O140+O142+-O144+O146</f>
        <v>434134.19000000152</v>
      </c>
      <c r="P148" s="670">
        <f>P115+P138+P140+P142+-P144+P146</f>
        <v>432455.90999999782</v>
      </c>
      <c r="Q148" s="670">
        <f>Q115+Q138+Q140+Q142+-Q144+Q146</f>
        <v>447014.85999999964</v>
      </c>
      <c r="R148" s="670">
        <f>R115+R138+R140+R142+-R144+R146</f>
        <v>28939.500000006316</v>
      </c>
      <c r="S148" s="670">
        <f t="shared" ref="S148:X148" si="259">S115+S138+S140+S142+-S144+S146</f>
        <v>2499485.6799999969</v>
      </c>
      <c r="T148" s="924">
        <f>T115+T138+T140+T142+-T144+T146</f>
        <v>-582358.9900000015</v>
      </c>
      <c r="U148" s="924">
        <f t="shared" si="259"/>
        <v>-553450.75000000058</v>
      </c>
      <c r="V148" s="1119">
        <f t="shared" si="259"/>
        <v>-534471.16999999888</v>
      </c>
      <c r="W148" s="1120">
        <f t="shared" si="259"/>
        <v>616161.77999999793</v>
      </c>
      <c r="X148" s="1119">
        <f t="shared" si="259"/>
        <v>-7459.2299999966635</v>
      </c>
      <c r="Y148" s="1119">
        <f t="shared" ref="Y148:AE148" si="260">Y115+Y138+Y140+Y142+-Y144+Y146</f>
        <v>-647990.33000000217</v>
      </c>
      <c r="Z148" s="1076">
        <f t="shared" si="260"/>
        <v>38344.510000000919</v>
      </c>
      <c r="AA148" s="1076">
        <f t="shared" si="260"/>
        <v>322614.5599999986</v>
      </c>
      <c r="AB148" s="1076">
        <f t="shared" si="260"/>
        <v>-40230.409999999974</v>
      </c>
      <c r="AC148" s="1076">
        <f t="shared" si="260"/>
        <v>224429.47000000125</v>
      </c>
      <c r="AD148" s="1076">
        <f t="shared" si="260"/>
        <v>83593.60000000053</v>
      </c>
      <c r="AE148" s="1169">
        <f t="shared" si="260"/>
        <v>-1017239.6499999994</v>
      </c>
      <c r="AF148" s="1240">
        <f t="shared" ref="AF148:AQ148" si="261">AF115+AF138+AF140+AF142+-AF144+AF146</f>
        <v>-62367.640000000421</v>
      </c>
      <c r="AG148" s="1240">
        <f>AG115+AG138+AG140+AG142+-AG144+AG146</f>
        <v>360745.03999999969</v>
      </c>
      <c r="AH148" s="1240">
        <f>AH115+AH138+AH140+AH142+-AH144+AH146</f>
        <v>349422.16000000108</v>
      </c>
      <c r="AI148" s="1240">
        <f>AI115+AI138+AI140+AI142+-AI144+AI146</f>
        <v>-23681.999999998778</v>
      </c>
      <c r="AJ148" s="1240">
        <f t="shared" si="261"/>
        <v>230569.51999999624</v>
      </c>
      <c r="AK148" s="1540">
        <f>AK115+AK138+AK140+AK142+-AK144+AK146+AK144</f>
        <v>-183598.07999999961</v>
      </c>
      <c r="AL148" s="1240">
        <f t="shared" si="261"/>
        <v>453319.31999999937</v>
      </c>
      <c r="AM148" s="1240">
        <f t="shared" si="261"/>
        <v>17942.440000002855</v>
      </c>
      <c r="AN148" s="1240">
        <f t="shared" ref="AN148" si="262">AN115+AN138+AN140+AN142+-AN144+AN146</f>
        <v>-336794.38000000163</v>
      </c>
      <c r="AO148" s="1240">
        <f t="shared" ref="AO148" si="263">AO115+AO138+AO140+AO142+-AO144+AO146</f>
        <v>371915.38000000129</v>
      </c>
      <c r="AP148" s="670">
        <f t="shared" ca="1" si="261"/>
        <v>229383.62898907083</v>
      </c>
      <c r="AQ148" s="670">
        <f t="shared" ca="1" si="261"/>
        <v>883975.99592111097</v>
      </c>
      <c r="AR148" s="1626">
        <f t="shared" ref="AR148:BC148" ca="1" si="264">AR115+AR138+AR140+AR142+-AR144+AR146</f>
        <v>709639.88928932068</v>
      </c>
      <c r="AS148" s="670">
        <f t="shared" ca="1" si="264"/>
        <v>109302.29833344475</v>
      </c>
      <c r="AT148" s="670">
        <f t="shared" ca="1" si="264"/>
        <v>467924.06854714005</v>
      </c>
      <c r="AU148" s="670">
        <f t="shared" ca="1" si="264"/>
        <v>484070.38044409343</v>
      </c>
      <c r="AV148" s="670">
        <f t="shared" ca="1" si="264"/>
        <v>228044.11330294801</v>
      </c>
      <c r="AW148" s="670">
        <f t="shared" ca="1" si="264"/>
        <v>340972.4440255122</v>
      </c>
      <c r="AX148" s="670">
        <f t="shared" ca="1" si="264"/>
        <v>300431.54443968035</v>
      </c>
      <c r="AY148" s="670">
        <f t="shared" ca="1" si="264"/>
        <v>530676.2629541792</v>
      </c>
      <c r="AZ148" s="670">
        <f t="shared" ca="1" si="264"/>
        <v>339905.44255181908</v>
      </c>
      <c r="BA148" s="670">
        <f t="shared" ca="1" si="264"/>
        <v>281700.95970424102</v>
      </c>
      <c r="BB148" s="670">
        <f t="shared" ca="1" si="264"/>
        <v>283226.78808464482</v>
      </c>
      <c r="BC148" s="670">
        <f t="shared" ca="1" si="264"/>
        <v>283237.15320872038</v>
      </c>
      <c r="BE148" s="1203">
        <f>BE115+BE138+BE140+BE142+-BE144+BE146</f>
        <v>-494696.09000000032</v>
      </c>
      <c r="BF148" s="1561">
        <f ca="1">SUM(AF148:AQ148)</f>
        <v>2290831.3849101816</v>
      </c>
      <c r="BG148" s="1203">
        <f ca="1">BG115+BG138+BG140+BG142+-BG144+BG146</f>
        <v>4359131.3448857442</v>
      </c>
    </row>
    <row r="149" spans="1:59" ht="15.75" customHeight="1" x14ac:dyDescent="0.3">
      <c r="C149" s="130" t="s">
        <v>221</v>
      </c>
      <c r="D149" s="131"/>
      <c r="E149" s="131"/>
      <c r="F149" s="131"/>
      <c r="G149" s="132">
        <v>0.21366760145921279</v>
      </c>
      <c r="H149" s="643" t="e">
        <f>H148/$G$51</f>
        <v>#DIV/0!</v>
      </c>
      <c r="I149" s="676">
        <f t="shared" ref="I149:BE149" si="265">I148/I51</f>
        <v>0.14207907160164046</v>
      </c>
      <c r="J149" s="676">
        <f t="shared" si="265"/>
        <v>0.21168886433884254</v>
      </c>
      <c r="K149" s="676">
        <f t="shared" si="265"/>
        <v>9.2566168552540129E-2</v>
      </c>
      <c r="L149" s="676">
        <f t="shared" si="265"/>
        <v>0.13554248748492992</v>
      </c>
      <c r="M149" s="676">
        <f t="shared" si="265"/>
        <v>0.9156515436277044</v>
      </c>
      <c r="N149" s="676">
        <f t="shared" si="265"/>
        <v>0.1058546491694108</v>
      </c>
      <c r="O149" s="676">
        <f t="shared" si="265"/>
        <v>0.36061930495218619</v>
      </c>
      <c r="P149" s="676">
        <f t="shared" si="265"/>
        <v>0.39778266307755422</v>
      </c>
      <c r="Q149" s="676">
        <f t="shared" si="265"/>
        <v>0.28216201559087067</v>
      </c>
      <c r="R149" s="676">
        <f t="shared" si="265"/>
        <v>2.8442745180017697E-2</v>
      </c>
      <c r="S149" s="676">
        <f t="shared" si="265"/>
        <v>1.2520736188640904</v>
      </c>
      <c r="T149" s="940">
        <f t="shared" si="265"/>
        <v>-0.55768868837581409</v>
      </c>
      <c r="U149" s="940">
        <f t="shared" si="265"/>
        <v>-0.3350582772377102</v>
      </c>
      <c r="V149" s="940">
        <f t="shared" si="265"/>
        <v>-0.33932458600691173</v>
      </c>
      <c r="W149" s="940">
        <f t="shared" si="265"/>
        <v>0.62191595789385767</v>
      </c>
      <c r="X149" s="940">
        <f t="shared" si="265"/>
        <v>-5.4031663896678536E-3</v>
      </c>
      <c r="Y149" s="940">
        <f t="shared" si="265"/>
        <v>-0.42713313984133217</v>
      </c>
      <c r="Z149" s="1093">
        <f t="shared" si="265"/>
        <v>3.2637601486193747E-2</v>
      </c>
      <c r="AA149" s="1093">
        <f t="shared" si="265"/>
        <v>0.20132984027887768</v>
      </c>
      <c r="AB149" s="1093">
        <f t="shared" si="265"/>
        <v>-3.1811430090128989E-2</v>
      </c>
      <c r="AC149" s="1093">
        <f t="shared" si="265"/>
        <v>0.21234111136476122</v>
      </c>
      <c r="AD149" s="1138">
        <f t="shared" si="265"/>
        <v>9.3678430601196905E-2</v>
      </c>
      <c r="AE149" s="1235">
        <f t="shared" si="265"/>
        <v>-0.72475026497559591</v>
      </c>
      <c r="AF149" s="1251">
        <f t="shared" si="265"/>
        <v>-8.7206981599022709E-2</v>
      </c>
      <c r="AG149" s="1251">
        <f t="shared" si="265"/>
        <v>0.36448629131286603</v>
      </c>
      <c r="AH149" s="1251">
        <f t="shared" si="265"/>
        <v>0.1924525396503515</v>
      </c>
      <c r="AI149" s="1283">
        <f t="shared" si="265"/>
        <v>-1.7702959720024707E-2</v>
      </c>
      <c r="AJ149" s="1283">
        <f t="shared" si="265"/>
        <v>0.17566023094602776</v>
      </c>
      <c r="AK149" s="1283">
        <f t="shared" si="265"/>
        <v>-9.7630250285793266E-2</v>
      </c>
      <c r="AL149" s="1283">
        <f t="shared" si="265"/>
        <v>0.2920411170956691</v>
      </c>
      <c r="AM149" s="1283">
        <f t="shared" si="265"/>
        <v>1.192704721478792E-2</v>
      </c>
      <c r="AN149" s="1283">
        <f t="shared" si="265"/>
        <v>-0.18182114220317211</v>
      </c>
      <c r="AO149" s="1283">
        <f t="shared" ref="AO149" si="266">AO148/AO51</f>
        <v>0.15791034599218429</v>
      </c>
      <c r="AP149" s="676">
        <f t="shared" ca="1" si="265"/>
        <v>9.6860580955261538E-2</v>
      </c>
      <c r="AQ149" s="676">
        <f t="shared" ca="1" si="265"/>
        <v>0.33423826949726204</v>
      </c>
      <c r="AR149" s="1632">
        <f t="shared" ref="AR149:BC149" ca="1" si="267">AR148/AR51</f>
        <v>0.28327082232466544</v>
      </c>
      <c r="AS149" s="676">
        <f t="shared" ca="1" si="267"/>
        <v>3.5556406371129549E-2</v>
      </c>
      <c r="AT149" s="676">
        <f t="shared" ca="1" si="267"/>
        <v>0.18678380074659398</v>
      </c>
      <c r="AU149" s="676">
        <f t="shared" ca="1" si="267"/>
        <v>0.16036572894543027</v>
      </c>
      <c r="AV149" s="676">
        <f t="shared" ca="1" si="267"/>
        <v>9.1029611605286345E-2</v>
      </c>
      <c r="AW149" s="676">
        <f t="shared" ca="1" si="267"/>
        <v>0.1361078288678034</v>
      </c>
      <c r="AX149" s="676">
        <f t="shared" ca="1" si="267"/>
        <v>0.11992489702196091</v>
      </c>
      <c r="AY149" s="676">
        <f t="shared" ca="1" si="267"/>
        <v>0.16571217331010443</v>
      </c>
      <c r="AZ149" s="676">
        <f t="shared" ca="1" si="267"/>
        <v>0.12906945112540089</v>
      </c>
      <c r="BA149" s="676">
        <f t="shared" ca="1" si="267"/>
        <v>0.112448107426687</v>
      </c>
      <c r="BB149" s="676">
        <f t="shared" ca="1" si="267"/>
        <v>0.11305718065744373</v>
      </c>
      <c r="BC149" s="676">
        <f t="shared" ca="1" si="267"/>
        <v>0.11306131816051351</v>
      </c>
      <c r="BE149" s="1204">
        <f t="shared" si="265"/>
        <v>-3.1804529465359214E-2</v>
      </c>
      <c r="BF149" s="1283">
        <f ca="1">BF148/BF51</f>
        <v>0.11269061426013401</v>
      </c>
      <c r="BG149" s="1204">
        <f t="shared" ref="BG149" ca="1" si="268">BG148/BG51</f>
        <v>0.13635148522823864</v>
      </c>
    </row>
    <row r="150" spans="1:59" ht="15.75" customHeight="1" x14ac:dyDescent="0.3">
      <c r="A150" s="76"/>
      <c r="B150" s="76"/>
      <c r="C150" s="117" t="s">
        <v>229</v>
      </c>
      <c r="G150" s="123">
        <v>506118.31000000006</v>
      </c>
      <c r="H150" s="640">
        <f t="shared" ref="H150:BE150" si="269">H175-H202-H158+H190</f>
        <v>13482.659999999218</v>
      </c>
      <c r="I150" s="674">
        <f t="shared" si="269"/>
        <v>8033.9499999987893</v>
      </c>
      <c r="J150" s="674">
        <f t="shared" si="269"/>
        <v>246006.22999999928</v>
      </c>
      <c r="K150" s="674">
        <f t="shared" si="269"/>
        <v>354751.4199999976</v>
      </c>
      <c r="L150" s="674">
        <f t="shared" si="269"/>
        <v>437719.81000000355</v>
      </c>
      <c r="M150" s="674">
        <f t="shared" si="269"/>
        <v>-146063.59000000288</v>
      </c>
      <c r="N150" s="674">
        <f t="shared" si="269"/>
        <v>224705.6800000011</v>
      </c>
      <c r="O150" s="674">
        <f t="shared" si="269"/>
        <v>136488.18999999948</v>
      </c>
      <c r="P150" s="674">
        <f t="shared" si="269"/>
        <v>169045.03000000166</v>
      </c>
      <c r="Q150" s="674">
        <f t="shared" si="269"/>
        <v>189888.97000000253</v>
      </c>
      <c r="R150" s="674">
        <f t="shared" si="269"/>
        <v>362246.44999999623</v>
      </c>
      <c r="S150" s="674">
        <f t="shared" si="269"/>
        <v>-1661090.3200000008</v>
      </c>
      <c r="T150" s="937">
        <f t="shared" si="269"/>
        <v>-999424.77999999933</v>
      </c>
      <c r="U150" s="937">
        <f t="shared" si="269"/>
        <v>-210500.05999999912</v>
      </c>
      <c r="V150" s="937">
        <f t="shared" si="269"/>
        <v>389172.8200000003</v>
      </c>
      <c r="W150" s="937">
        <f t="shared" si="269"/>
        <v>-490348.42999999807</v>
      </c>
      <c r="X150" s="937">
        <f t="shared" si="269"/>
        <v>-678252.29000000167</v>
      </c>
      <c r="Y150" s="937">
        <f t="shared" si="269"/>
        <v>170228.52000000048</v>
      </c>
      <c r="Z150" s="1090">
        <f t="shared" si="269"/>
        <v>112945.81000000006</v>
      </c>
      <c r="AA150" s="1090">
        <f t="shared" si="269"/>
        <v>271192.07000000146</v>
      </c>
      <c r="AB150" s="1090">
        <f t="shared" si="269"/>
        <v>411416.2500000014</v>
      </c>
      <c r="AC150" s="1090">
        <f t="shared" si="269"/>
        <v>343816.43000000017</v>
      </c>
      <c r="AD150" s="1090">
        <f t="shared" si="269"/>
        <v>294887.22999999952</v>
      </c>
      <c r="AE150" s="1172">
        <f t="shared" si="269"/>
        <v>504201.57999999961</v>
      </c>
      <c r="AF150" s="1242">
        <f t="shared" ref="AF150:AN150" si="270">AF175-AF202-AF158+AF190-AF159</f>
        <v>264166.98999999976</v>
      </c>
      <c r="AG150" s="1242">
        <f t="shared" si="270"/>
        <v>-70580.54000000027</v>
      </c>
      <c r="AH150" s="1242">
        <f t="shared" si="270"/>
        <v>-191005.79000000097</v>
      </c>
      <c r="AI150" s="1242">
        <f t="shared" si="270"/>
        <v>119066.29999999795</v>
      </c>
      <c r="AJ150" s="1242">
        <f t="shared" si="270"/>
        <v>230658.37000000104</v>
      </c>
      <c r="AK150" s="1242">
        <f t="shared" si="270"/>
        <v>2171684.7300000004</v>
      </c>
      <c r="AL150" s="1242">
        <f t="shared" si="270"/>
        <v>1813045.5100000016</v>
      </c>
      <c r="AM150" s="1242">
        <f t="shared" si="270"/>
        <v>2482371.5099999984</v>
      </c>
      <c r="AN150" s="1242">
        <f t="shared" si="270"/>
        <v>2982688.5900000003</v>
      </c>
      <c r="AO150" s="1242">
        <f>AO175-AO202-AO158+AO190-AO159</f>
        <v>2823961.7699999991</v>
      </c>
      <c r="AP150" s="674">
        <f t="shared" ca="1" si="269"/>
        <v>2970271.4831952443</v>
      </c>
      <c r="AQ150" s="674">
        <f t="shared" ca="1" si="269"/>
        <v>2548587.8012008928</v>
      </c>
      <c r="AR150" s="1630">
        <f t="shared" ref="AR150:BC150" ca="1" si="271">AR175-AR202-AR158+AR190</f>
        <v>1984826.7136924593</v>
      </c>
      <c r="AS150" s="674">
        <f t="shared" ca="1" si="271"/>
        <v>2402845.6709813531</v>
      </c>
      <c r="AT150" s="674">
        <f t="shared" ca="1" si="271"/>
        <v>2243299.2941453233</v>
      </c>
      <c r="AU150" s="674">
        <f t="shared" ca="1" si="271"/>
        <v>2244466.6393023748</v>
      </c>
      <c r="AV150" s="674">
        <f t="shared" ca="1" si="271"/>
        <v>2320187.8829351761</v>
      </c>
      <c r="AW150" s="674">
        <f t="shared" ca="1" si="271"/>
        <v>2278066.6799025079</v>
      </c>
      <c r="AX150" s="674">
        <f t="shared" ca="1" si="271"/>
        <v>2273458.1200272595</v>
      </c>
      <c r="AY150" s="674">
        <f t="shared" ca="1" si="271"/>
        <v>2288609.4556388143</v>
      </c>
      <c r="AZ150" s="674">
        <f t="shared" ca="1" si="271"/>
        <v>2284821.4076753422</v>
      </c>
      <c r="BA150" s="674">
        <f t="shared" ca="1" si="271"/>
        <v>2290750.7820381965</v>
      </c>
      <c r="BB150" s="674">
        <f t="shared" ca="1" si="271"/>
        <v>2292117.7045144271</v>
      </c>
      <c r="BC150" s="674">
        <f t="shared" ca="1" si="271"/>
        <v>2290381.8066264</v>
      </c>
      <c r="BE150" s="1205">
        <f t="shared" si="269"/>
        <v>3969227.8299999996</v>
      </c>
      <c r="BF150" s="1564">
        <f ca="1">BF175-BF202-BF158+BF190</f>
        <v>2548587.8012008928</v>
      </c>
      <c r="BG150" s="1205">
        <f t="shared" ref="BG150" ca="1" si="272">BG175-BG202-BG158+BG190</f>
        <v>2290381.8066264</v>
      </c>
    </row>
    <row r="151" spans="1:59" ht="15.75" customHeight="1" x14ac:dyDescent="0.3">
      <c r="C151" s="133" t="s">
        <v>221</v>
      </c>
      <c r="D151" s="134"/>
      <c r="E151" s="134"/>
      <c r="F151" s="134"/>
      <c r="G151" s="127">
        <v>0.26922360975319137</v>
      </c>
      <c r="H151" s="642" t="e">
        <f>H150/$G$51</f>
        <v>#DIV/0!</v>
      </c>
      <c r="I151" s="676">
        <f t="shared" ref="I151:BE151" si="273">I150/I51</f>
        <v>1.1981984074753144E-2</v>
      </c>
      <c r="J151" s="676">
        <f t="shared" si="273"/>
        <v>0.21856424148032558</v>
      </c>
      <c r="K151" s="676">
        <f t="shared" si="273"/>
        <v>0.4914840324161725</v>
      </c>
      <c r="L151" s="676">
        <f t="shared" si="273"/>
        <v>0.48600076368727058</v>
      </c>
      <c r="M151" s="676">
        <f t="shared" si="273"/>
        <v>-0.15492485973657641</v>
      </c>
      <c r="N151" s="676">
        <f t="shared" si="273"/>
        <v>0.24311368939987393</v>
      </c>
      <c r="O151" s="676">
        <f t="shared" si="273"/>
        <v>0.11337571964092846</v>
      </c>
      <c r="P151" s="676">
        <f t="shared" si="273"/>
        <v>0.15549141694797522</v>
      </c>
      <c r="Q151" s="676">
        <f t="shared" si="273"/>
        <v>0.11986056685828102</v>
      </c>
      <c r="R151" s="676">
        <f t="shared" si="273"/>
        <v>0.35602838576041967</v>
      </c>
      <c r="S151" s="676">
        <f t="shared" si="273"/>
        <v>-0.83209413235066576</v>
      </c>
      <c r="T151" s="939">
        <f t="shared" si="273"/>
        <v>-0.95708644368739748</v>
      </c>
      <c r="U151" s="939">
        <f t="shared" si="273"/>
        <v>-0.12743642946013581</v>
      </c>
      <c r="V151" s="939">
        <f t="shared" si="273"/>
        <v>0.24707769743996247</v>
      </c>
      <c r="W151" s="939">
        <f t="shared" si="273"/>
        <v>-0.49492766906963787</v>
      </c>
      <c r="X151" s="939">
        <f t="shared" si="273"/>
        <v>-0.49129869665433323</v>
      </c>
      <c r="Y151" s="939">
        <f t="shared" si="273"/>
        <v>0.11220883842223844</v>
      </c>
      <c r="Z151" s="1092">
        <f t="shared" si="273"/>
        <v>9.6135805003513403E-2</v>
      </c>
      <c r="AA151" s="1092">
        <f t="shared" si="273"/>
        <v>0.1692392808867608</v>
      </c>
      <c r="AB151" s="1092">
        <f t="shared" si="273"/>
        <v>0.32531955987567823</v>
      </c>
      <c r="AC151" s="1092">
        <f t="shared" si="273"/>
        <v>0.32529757723735775</v>
      </c>
      <c r="AD151" s="1137">
        <f t="shared" si="273"/>
        <v>0.33046277359431786</v>
      </c>
      <c r="AE151" s="1233">
        <f t="shared" si="273"/>
        <v>0.35922727619407485</v>
      </c>
      <c r="AF151" s="1234">
        <f t="shared" si="273"/>
        <v>0.36937754636858217</v>
      </c>
      <c r="AG151" s="1234">
        <f t="shared" si="273"/>
        <v>-7.1312523835281319E-2</v>
      </c>
      <c r="AH151" s="1234">
        <f t="shared" si="273"/>
        <v>-0.10520096771601946</v>
      </c>
      <c r="AI151" s="1245">
        <f t="shared" si="273"/>
        <v>8.9005401271533252E-2</v>
      </c>
      <c r="AJ151" s="1245">
        <f t="shared" si="273"/>
        <v>0.1757279216430479</v>
      </c>
      <c r="AK151" s="1245">
        <f t="shared" si="273"/>
        <v>1.1548166720029744</v>
      </c>
      <c r="AL151" s="1245">
        <f t="shared" si="273"/>
        <v>1.1680151555986811</v>
      </c>
      <c r="AM151" s="1245">
        <f t="shared" si="273"/>
        <v>1.6501302055021307</v>
      </c>
      <c r="AN151" s="1245">
        <f t="shared" si="273"/>
        <v>1.6102283128066635</v>
      </c>
      <c r="AO151" s="1245">
        <f t="shared" ref="AO151" si="274">AO150/AO51</f>
        <v>1.1990167767985274</v>
      </c>
      <c r="AP151" s="676">
        <f t="shared" ca="1" si="273"/>
        <v>1.2542404299953138</v>
      </c>
      <c r="AQ151" s="676">
        <f t="shared" ca="1" si="273"/>
        <v>0.96364107200399507</v>
      </c>
      <c r="AR151" s="1632">
        <f t="shared" ref="AR151:BC151" ca="1" si="275">AR150/AR51</f>
        <v>0.79229409711268239</v>
      </c>
      <c r="AS151" s="676">
        <f t="shared" ca="1" si="275"/>
        <v>0.7816538025932821</v>
      </c>
      <c r="AT151" s="676">
        <f t="shared" ca="1" si="275"/>
        <v>0.89547000579304992</v>
      </c>
      <c r="AU151" s="676">
        <f t="shared" ca="1" si="275"/>
        <v>0.74356032355298252</v>
      </c>
      <c r="AV151" s="676">
        <f t="shared" ca="1" si="275"/>
        <v>0.92616204284256931</v>
      </c>
      <c r="AW151" s="676">
        <f t="shared" ca="1" si="275"/>
        <v>0.90934829265679928</v>
      </c>
      <c r="AX151" s="676">
        <f t="shared" ca="1" si="275"/>
        <v>0.90750866869357838</v>
      </c>
      <c r="AY151" s="676">
        <f t="shared" ca="1" si="275"/>
        <v>0.71465500386383218</v>
      </c>
      <c r="AZ151" s="676">
        <f t="shared" ca="1" si="275"/>
        <v>0.86759612554089705</v>
      </c>
      <c r="BA151" s="676">
        <f t="shared" ca="1" si="275"/>
        <v>0.91441147483786978</v>
      </c>
      <c r="BB151" s="676">
        <f t="shared" ca="1" si="275"/>
        <v>0.91495711673278035</v>
      </c>
      <c r="BC151" s="676">
        <f t="shared" ca="1" si="275"/>
        <v>0.91426418891173356</v>
      </c>
      <c r="BE151" s="1202">
        <f t="shared" si="273"/>
        <v>0.255185812109327</v>
      </c>
      <c r="BF151" s="1245">
        <f ca="1">BF150/BF51</f>
        <v>0.12537017202794848</v>
      </c>
      <c r="BG151" s="1202">
        <f t="shared" ref="BG151" ca="1" si="276">BG150/BG51</f>
        <v>7.1642016806775441E-2</v>
      </c>
    </row>
    <row r="152" spans="1:59" ht="15.75" customHeight="1" x14ac:dyDescent="0.3">
      <c r="A152" s="76"/>
      <c r="B152" s="76"/>
      <c r="C152" s="120" t="s">
        <v>230</v>
      </c>
      <c r="D152" s="76"/>
      <c r="E152" s="76"/>
      <c r="F152" s="76"/>
      <c r="G152" s="135">
        <v>1697943.0300000003</v>
      </c>
      <c r="H152" s="644">
        <f t="shared" ref="H152:R152" si="277">H175-H202</f>
        <v>1333679.5499999993</v>
      </c>
      <c r="I152" s="677">
        <f t="shared" si="277"/>
        <v>1277799.419999999</v>
      </c>
      <c r="J152" s="677">
        <f t="shared" si="277"/>
        <v>1551233.2399999993</v>
      </c>
      <c r="K152" s="677">
        <f t="shared" si="277"/>
        <v>1448191.5599999982</v>
      </c>
      <c r="L152" s="677">
        <f t="shared" si="277"/>
        <v>1434670.7600000026</v>
      </c>
      <c r="M152" s="677">
        <f t="shared" si="277"/>
        <v>1514353.5899999985</v>
      </c>
      <c r="N152" s="677">
        <f t="shared" si="277"/>
        <v>1739949.2000000007</v>
      </c>
      <c r="O152" s="677">
        <f t="shared" si="277"/>
        <v>1875574.9199999981</v>
      </c>
      <c r="P152" s="677">
        <f t="shared" si="277"/>
        <v>2083490.2200000044</v>
      </c>
      <c r="Q152" s="677">
        <f t="shared" si="277"/>
        <v>2109607.3300000019</v>
      </c>
      <c r="R152" s="677">
        <f t="shared" si="277"/>
        <v>2159326.5699999947</v>
      </c>
      <c r="S152" s="677">
        <f t="shared" ref="S152:Y152" si="278">S175-S202</f>
        <v>2131836.5799999991</v>
      </c>
      <c r="T152" s="1121">
        <f>T175-T202</f>
        <v>2186879.1000000006</v>
      </c>
      <c r="U152" s="1121">
        <f t="shared" si="278"/>
        <v>2421022.2100000009</v>
      </c>
      <c r="V152" s="1121">
        <f t="shared" si="278"/>
        <v>2484889.4900000002</v>
      </c>
      <c r="W152" s="1121">
        <f t="shared" si="278"/>
        <v>1318017.5400000019</v>
      </c>
      <c r="X152" s="1121">
        <f t="shared" si="278"/>
        <v>1176435.5299999984</v>
      </c>
      <c r="Y152" s="1121">
        <f t="shared" si="278"/>
        <v>1345968.7300000004</v>
      </c>
      <c r="Z152" s="1122">
        <f t="shared" ref="Z152:AE152" si="279">Z175-Z202</f>
        <v>1321705.5</v>
      </c>
      <c r="AA152" s="1122">
        <f t="shared" si="279"/>
        <v>1802928.3900000015</v>
      </c>
      <c r="AB152" s="1122">
        <f t="shared" si="279"/>
        <v>1889637.9400000013</v>
      </c>
      <c r="AC152" s="1122">
        <f t="shared" si="279"/>
        <v>1947822.37</v>
      </c>
      <c r="AD152" s="1122">
        <f t="shared" si="279"/>
        <v>2012124.7299999995</v>
      </c>
      <c r="AE152" s="1175">
        <f t="shared" si="279"/>
        <v>2326244.5599999996</v>
      </c>
      <c r="AF152" s="1246">
        <f t="shared" ref="AF152:AQ152" si="280">AF175-AF202</f>
        <v>1502149.8899999997</v>
      </c>
      <c r="AG152" s="1246">
        <f>AG175-AG202</f>
        <v>1526295.3499999996</v>
      </c>
      <c r="AH152" s="1246">
        <f>AH175-AH202</f>
        <v>1761989.669999999</v>
      </c>
      <c r="AI152" s="1246">
        <f>AI175-AI202</f>
        <v>1544366.1699999981</v>
      </c>
      <c r="AJ152" s="1246">
        <f t="shared" si="280"/>
        <v>1888256.0000000009</v>
      </c>
      <c r="AK152" s="1246">
        <f t="shared" si="280"/>
        <v>3075340.6500000004</v>
      </c>
      <c r="AL152" s="1246">
        <f t="shared" si="280"/>
        <v>3155008.2600000016</v>
      </c>
      <c r="AM152" s="1246">
        <f t="shared" si="280"/>
        <v>3427536.4799999986</v>
      </c>
      <c r="AN152" s="1246">
        <f t="shared" ref="AN152" si="281">AN175-AN202</f>
        <v>3575046.3900000006</v>
      </c>
      <c r="AO152" s="1246">
        <f t="shared" ref="AO152" si="282">AO175-AO202</f>
        <v>3850042.1999999993</v>
      </c>
      <c r="AP152" s="677">
        <f t="shared" ca="1" si="280"/>
        <v>4206552.5806871373</v>
      </c>
      <c r="AQ152" s="677">
        <f t="shared" ca="1" si="280"/>
        <v>4220814.5086722858</v>
      </c>
      <c r="AR152" s="1633">
        <f t="shared" ref="AR152:BC152" ca="1" si="283">AR175-AR202</f>
        <v>4580774.1988762319</v>
      </c>
      <c r="AS152" s="677">
        <f t="shared" ca="1" si="283"/>
        <v>5056005.3329216335</v>
      </c>
      <c r="AT152" s="677">
        <f t="shared" ca="1" si="283"/>
        <v>5001561.2301392145</v>
      </c>
      <c r="AU152" s="677">
        <f t="shared" ca="1" si="283"/>
        <v>5435046.16416342</v>
      </c>
      <c r="AV152" s="677">
        <f t="shared" ca="1" si="283"/>
        <v>5686841.979522232</v>
      </c>
      <c r="AW152" s="677">
        <f t="shared" ca="1" si="283"/>
        <v>5588259.0722086169</v>
      </c>
      <c r="AX152" s="677">
        <f t="shared" ca="1" si="283"/>
        <v>5831486.6151961107</v>
      </c>
      <c r="AY152" s="677">
        <f t="shared" ca="1" si="283"/>
        <v>6324780.2321849037</v>
      </c>
      <c r="AZ152" s="677">
        <f t="shared" ca="1" si="283"/>
        <v>6233762.8791263867</v>
      </c>
      <c r="BA152" s="677">
        <f t="shared" ca="1" si="283"/>
        <v>6467865.3116165437</v>
      </c>
      <c r="BB152" s="677">
        <f t="shared" ca="1" si="283"/>
        <v>6698555.1206004769</v>
      </c>
      <c r="BC152" s="677">
        <f t="shared" ca="1" si="283"/>
        <v>6655729.0051606596</v>
      </c>
      <c r="BE152" s="1206">
        <f>BE175-BE202</f>
        <v>5791270.8099999996</v>
      </c>
      <c r="BF152" s="1567">
        <f ca="1">BF175-BF202</f>
        <v>4220814.5086722858</v>
      </c>
      <c r="BG152" s="1206">
        <f ca="1">BG175-BG202</f>
        <v>6655729.0051606596</v>
      </c>
    </row>
    <row r="153" spans="1:59" ht="15.75" customHeight="1" x14ac:dyDescent="0.3">
      <c r="A153" s="76"/>
      <c r="B153" s="76"/>
      <c r="C153" s="120" t="s">
        <v>221</v>
      </c>
      <c r="D153" s="76"/>
      <c r="E153" s="76"/>
      <c r="F153" s="76"/>
      <c r="G153" s="121">
        <v>0.90320058108917534</v>
      </c>
      <c r="H153" s="639" t="e">
        <f>H152/$G$51</f>
        <v>#DIV/0!</v>
      </c>
      <c r="I153" s="673">
        <f t="shared" ref="I153:R153" si="284">I152/I$51</f>
        <v>1.905734078650116</v>
      </c>
      <c r="J153" s="673">
        <f t="shared" si="284"/>
        <v>1.3781932126664787</v>
      </c>
      <c r="K153" s="673">
        <f t="shared" si="284"/>
        <v>2.0063711869564083</v>
      </c>
      <c r="L153" s="673">
        <f t="shared" si="284"/>
        <v>1.5929164480807767</v>
      </c>
      <c r="M153" s="673">
        <f t="shared" si="284"/>
        <v>1.606225189469368</v>
      </c>
      <c r="N153" s="673">
        <f t="shared" si="284"/>
        <v>1.8824867683823443</v>
      </c>
      <c r="O153" s="673">
        <f t="shared" si="284"/>
        <v>1.5579711057453207</v>
      </c>
      <c r="P153" s="673">
        <f t="shared" si="284"/>
        <v>1.9164411192984858</v>
      </c>
      <c r="Q153" s="673">
        <f t="shared" si="284"/>
        <v>1.3316135761976147</v>
      </c>
      <c r="R153" s="673">
        <f t="shared" si="284"/>
        <v>2.1222611099341071</v>
      </c>
      <c r="S153" s="673">
        <f t="shared" ref="S153:Y153" si="285">S152/S$51</f>
        <v>1.067906234832859</v>
      </c>
      <c r="T153" s="938">
        <f t="shared" si="285"/>
        <v>2.0942369875933018</v>
      </c>
      <c r="U153" s="938">
        <f t="shared" si="285"/>
        <v>1.4656833166037506</v>
      </c>
      <c r="V153" s="938">
        <f t="shared" si="285"/>
        <v>1.5776044523920305</v>
      </c>
      <c r="W153" s="938">
        <f t="shared" si="285"/>
        <v>1.3303261700360736</v>
      </c>
      <c r="X153" s="938">
        <f t="shared" si="285"/>
        <v>0.85216261132984539</v>
      </c>
      <c r="Y153" s="938">
        <f t="shared" si="285"/>
        <v>0.88721671166473814</v>
      </c>
      <c r="Z153" s="1091">
        <f t="shared" ref="Z153:AE153" si="286">Z152/Z$51</f>
        <v>1.1249927927390235</v>
      </c>
      <c r="AA153" s="1091">
        <f t="shared" si="286"/>
        <v>1.1251298912019221</v>
      </c>
      <c r="AB153" s="1091">
        <f t="shared" si="286"/>
        <v>1.4941951927401547</v>
      </c>
      <c r="AC153" s="1091">
        <f t="shared" si="286"/>
        <v>1.8429075592743718</v>
      </c>
      <c r="AD153" s="1091">
        <f t="shared" si="286"/>
        <v>2.2548698331003307</v>
      </c>
      <c r="AE153" s="1173">
        <f t="shared" si="286"/>
        <v>1.6573738167383065</v>
      </c>
      <c r="AF153" s="1243">
        <f t="shared" ref="AF153:AQ153" si="287">AF152/AF$51</f>
        <v>2.1004155009906271</v>
      </c>
      <c r="AG153" s="1243">
        <f>AG152/AG$51</f>
        <v>1.5421244088888184</v>
      </c>
      <c r="AH153" s="1243">
        <f>AH152/AH$51</f>
        <v>0.97045758869209531</v>
      </c>
      <c r="AI153" s="1243">
        <f>AI152/AI$51</f>
        <v>1.1544570602347863</v>
      </c>
      <c r="AJ153" s="1243">
        <f t="shared" si="287"/>
        <v>1.4385747302819045</v>
      </c>
      <c r="AK153" s="1243">
        <f t="shared" si="287"/>
        <v>1.6353454097862834</v>
      </c>
      <c r="AL153" s="1243">
        <f t="shared" si="287"/>
        <v>2.032545484045253</v>
      </c>
      <c r="AM153" s="1243">
        <f t="shared" si="287"/>
        <v>2.2784186224037235</v>
      </c>
      <c r="AN153" s="1243">
        <f t="shared" ref="AN153" si="288">AN152/AN$51</f>
        <v>1.9300174131739491</v>
      </c>
      <c r="AO153" s="1243">
        <f t="shared" ref="AO153" si="289">AO152/AO$51</f>
        <v>1.6346769415303777</v>
      </c>
      <c r="AP153" s="673">
        <f t="shared" ca="1" si="287"/>
        <v>1.7762781440850954</v>
      </c>
      <c r="AQ153" s="673">
        <f t="shared" ca="1" si="287"/>
        <v>1.5959231288600082</v>
      </c>
      <c r="AR153" s="1629">
        <f t="shared" ref="AR153:BC153" ca="1" si="290">AR152/AR$51</f>
        <v>1.8285326033444669</v>
      </c>
      <c r="AS153" s="673">
        <f t="shared" ca="1" si="290"/>
        <v>1.6447355908613313</v>
      </c>
      <c r="AT153" s="673">
        <f t="shared" ca="1" si="290"/>
        <v>1.9965004560095574</v>
      </c>
      <c r="AU153" s="673">
        <f t="shared" ca="1" si="290"/>
        <v>1.8005545787959947</v>
      </c>
      <c r="AV153" s="673">
        <f t="shared" ca="1" si="290"/>
        <v>2.2700477076943444</v>
      </c>
      <c r="AW153" s="673">
        <f t="shared" ca="1" si="290"/>
        <v>2.2306958312801668</v>
      </c>
      <c r="AX153" s="673">
        <f t="shared" ca="1" si="290"/>
        <v>2.327786295266169</v>
      </c>
      <c r="AY153" s="673">
        <f t="shared" ca="1" si="290"/>
        <v>1.9750140549901403</v>
      </c>
      <c r="AZ153" s="673">
        <f t="shared" ca="1" si="290"/>
        <v>2.3670946461296536</v>
      </c>
      <c r="BA153" s="673">
        <f t="shared" ca="1" si="290"/>
        <v>2.5818130479413126</v>
      </c>
      <c r="BB153" s="673">
        <f t="shared" ca="1" si="290"/>
        <v>2.673898756311289</v>
      </c>
      <c r="BC153" s="673">
        <f t="shared" ca="1" si="290"/>
        <v>2.6568036223980065</v>
      </c>
      <c r="BE153" s="1200">
        <f>BE152/BE$51</f>
        <v>0.37232686257641456</v>
      </c>
      <c r="BF153" s="1565">
        <f ca="1">BF152/BF$51</f>
        <v>0.20763037506534537</v>
      </c>
      <c r="BG153" s="1200">
        <f ca="1">BG152/BG$51</f>
        <v>0.20818793088101128</v>
      </c>
    </row>
    <row r="154" spans="1:59" ht="15.75" customHeight="1" x14ac:dyDescent="0.3">
      <c r="A154" s="76"/>
      <c r="B154" s="76"/>
      <c r="C154" s="137"/>
      <c r="D154" s="76"/>
      <c r="E154" s="76"/>
      <c r="F154" s="76"/>
      <c r="G154" s="138"/>
      <c r="H154" s="645"/>
      <c r="I154" s="678"/>
      <c r="J154" s="678"/>
      <c r="K154" s="678"/>
      <c r="L154" s="678"/>
      <c r="M154" s="678"/>
      <c r="N154" s="678"/>
      <c r="O154" s="678"/>
      <c r="P154" s="678"/>
      <c r="Q154" s="678"/>
      <c r="R154" s="678"/>
      <c r="S154" s="678"/>
      <c r="T154" s="918"/>
      <c r="U154" s="918"/>
      <c r="V154" s="918"/>
      <c r="W154" s="918"/>
      <c r="X154" s="918"/>
      <c r="Y154" s="918"/>
      <c r="Z154" s="1070"/>
      <c r="AA154" s="1070"/>
      <c r="AB154" s="1070"/>
      <c r="AC154" s="1070"/>
      <c r="AD154" s="1070"/>
      <c r="AE154" s="1152"/>
      <c r="AF154" s="1285"/>
      <c r="AG154" s="1285"/>
      <c r="AH154" s="1285"/>
      <c r="AI154" s="1247"/>
      <c r="AJ154" s="1247"/>
      <c r="AK154" s="1247"/>
      <c r="AL154" s="1247"/>
      <c r="AM154" s="1247"/>
      <c r="AN154" s="1247"/>
      <c r="AO154" s="1247"/>
      <c r="AP154" s="678"/>
      <c r="AQ154" s="678"/>
      <c r="AR154" s="1634"/>
      <c r="AS154" s="678"/>
      <c r="AT154" s="678"/>
      <c r="AU154" s="678"/>
      <c r="AV154" s="678"/>
      <c r="AW154" s="678"/>
      <c r="AX154" s="678"/>
      <c r="AY154" s="678"/>
      <c r="AZ154" s="678"/>
      <c r="BA154" s="678"/>
      <c r="BB154" s="678"/>
      <c r="BC154" s="678"/>
      <c r="BE154" s="1182"/>
      <c r="BF154" s="1568"/>
      <c r="BG154" s="1182"/>
    </row>
    <row r="155" spans="1:59" ht="15.75" customHeight="1" x14ac:dyDescent="0.3">
      <c r="A155" s="76"/>
      <c r="B155" s="76"/>
      <c r="C155" s="139"/>
      <c r="D155" s="76"/>
      <c r="E155" s="76"/>
      <c r="F155" s="140"/>
      <c r="G155" s="140"/>
      <c r="H155" s="646"/>
      <c r="I155" s="671"/>
      <c r="J155" s="671"/>
      <c r="K155" s="671"/>
      <c r="L155" s="671"/>
      <c r="M155" s="671"/>
      <c r="N155" s="671"/>
      <c r="O155" s="671">
        <f>'2020 Financials'!S102-'All Statements'!O150</f>
        <v>369630.12000000058</v>
      </c>
      <c r="P155" s="671"/>
      <c r="Q155" s="671"/>
      <c r="R155" s="671"/>
      <c r="S155" s="671"/>
      <c r="T155" s="918"/>
      <c r="U155" s="918"/>
      <c r="V155" s="918"/>
      <c r="W155" s="918"/>
      <c r="X155" s="918"/>
      <c r="Y155" s="918"/>
      <c r="Z155" s="1070"/>
      <c r="AA155" s="1070"/>
      <c r="AB155" s="1070"/>
      <c r="AC155" s="1070"/>
      <c r="AD155" s="1070"/>
      <c r="AE155" s="1152"/>
      <c r="AF155" s="1247"/>
      <c r="AG155" s="1247"/>
      <c r="AH155" s="1247"/>
      <c r="AI155" s="1247"/>
      <c r="AJ155" s="1247"/>
      <c r="AK155" s="1247"/>
      <c r="AL155" s="1247"/>
      <c r="AM155" s="1247"/>
      <c r="AN155" s="1247"/>
      <c r="AO155" s="1247"/>
      <c r="AP155" s="671"/>
      <c r="AQ155" s="671"/>
      <c r="AR155" s="1627"/>
      <c r="AS155" s="671"/>
      <c r="AT155" s="671"/>
      <c r="AU155" s="671"/>
      <c r="AV155" s="671"/>
      <c r="AW155" s="671"/>
      <c r="AX155" s="671"/>
      <c r="AY155" s="671"/>
      <c r="AZ155" s="671"/>
      <c r="BA155" s="671"/>
      <c r="BB155" s="671"/>
      <c r="BC155" s="671"/>
      <c r="BE155" s="1182"/>
      <c r="BF155" s="1568"/>
      <c r="BG155" s="1182"/>
    </row>
    <row r="156" spans="1:59" ht="21" x14ac:dyDescent="0.4">
      <c r="C156" s="806" t="s">
        <v>231</v>
      </c>
      <c r="D156" s="801"/>
      <c r="E156" s="801"/>
      <c r="F156" s="801"/>
      <c r="G156" s="801"/>
      <c r="H156" s="802"/>
      <c r="I156" s="803"/>
      <c r="J156" s="803"/>
      <c r="K156" s="803"/>
      <c r="L156" s="803"/>
      <c r="M156" s="804"/>
      <c r="N156" s="804"/>
      <c r="O156" s="804"/>
      <c r="P156" s="804"/>
      <c r="Q156" s="804"/>
      <c r="R156" s="804"/>
      <c r="S156" s="804"/>
      <c r="T156" s="803"/>
      <c r="U156" s="803"/>
      <c r="V156" s="803"/>
      <c r="W156" s="803"/>
      <c r="X156" s="803"/>
      <c r="Y156" s="803"/>
      <c r="Z156" s="1094"/>
      <c r="AA156" s="1073"/>
      <c r="AB156" s="1073"/>
      <c r="AC156" s="1073"/>
      <c r="AD156" s="802"/>
      <c r="AE156" s="802"/>
      <c r="AF156" s="1073"/>
      <c r="AG156" s="1073"/>
      <c r="AH156" s="1073"/>
      <c r="AI156" s="1073"/>
      <c r="AJ156" s="1073"/>
      <c r="AK156" s="1073"/>
      <c r="AL156" s="1073"/>
      <c r="AM156" s="1073"/>
      <c r="AN156" s="1073"/>
      <c r="AO156" s="1073"/>
      <c r="AP156" s="804"/>
      <c r="AQ156" s="804"/>
      <c r="AR156" s="1635"/>
      <c r="AS156" s="804"/>
      <c r="AT156" s="804"/>
      <c r="AU156" s="804"/>
      <c r="AV156" s="804"/>
      <c r="AW156" s="804"/>
      <c r="AX156" s="804"/>
      <c r="AY156" s="804"/>
      <c r="AZ156" s="804"/>
      <c r="BA156" s="804"/>
      <c r="BB156" s="804"/>
      <c r="BC156" s="804"/>
      <c r="BE156" s="802"/>
      <c r="BF156" s="805"/>
      <c r="BG156" s="802"/>
    </row>
    <row r="157" spans="1:59" ht="15.75" customHeight="1" x14ac:dyDescent="0.3">
      <c r="A157" s="76"/>
      <c r="B157" s="76"/>
      <c r="C157" s="84" t="s">
        <v>232</v>
      </c>
      <c r="D157" s="63"/>
      <c r="E157" s="63"/>
      <c r="F157" s="141"/>
      <c r="G157" s="142"/>
      <c r="H157" s="626"/>
      <c r="I157" s="679"/>
      <c r="J157" s="679"/>
      <c r="K157" s="679"/>
      <c r="L157" s="679"/>
      <c r="M157" s="729"/>
      <c r="N157" s="729"/>
      <c r="O157" s="729"/>
      <c r="P157" s="729"/>
      <c r="Q157" s="729"/>
      <c r="R157" s="729"/>
      <c r="S157" s="954"/>
      <c r="T157" s="954"/>
      <c r="U157" s="954">
        <v>0</v>
      </c>
      <c r="V157" s="954"/>
      <c r="W157" s="954"/>
      <c r="X157" s="954"/>
      <c r="Y157" s="954"/>
      <c r="Z157" s="1095"/>
      <c r="AA157" s="1095"/>
      <c r="AB157" s="1083"/>
      <c r="AC157" s="1083"/>
      <c r="AD157" s="1083"/>
      <c r="AE157" s="1145"/>
      <c r="AF157" s="1095"/>
      <c r="AG157" s="1083"/>
      <c r="AH157" s="1083"/>
      <c r="AI157" s="1083"/>
      <c r="AJ157" s="1095"/>
      <c r="AK157" s="1095"/>
      <c r="AL157" s="1095"/>
      <c r="AM157" s="1095"/>
      <c r="AN157" s="1095"/>
      <c r="AO157" s="1095"/>
      <c r="AP157" s="729"/>
      <c r="AQ157" s="729"/>
      <c r="AR157" s="1636"/>
      <c r="AS157" s="729"/>
      <c r="AT157" s="729"/>
      <c r="AU157" s="729"/>
      <c r="AV157" s="729"/>
      <c r="AW157" s="729"/>
      <c r="AX157" s="729"/>
      <c r="AY157" s="729"/>
      <c r="AZ157" s="729"/>
      <c r="BA157" s="729"/>
      <c r="BB157" s="729"/>
      <c r="BC157" s="729"/>
      <c r="BE157" s="1182"/>
      <c r="BF157" s="931"/>
      <c r="BG157" s="1182"/>
    </row>
    <row r="158" spans="1:59" ht="15.75" customHeight="1" x14ac:dyDescent="0.3">
      <c r="A158" s="76"/>
      <c r="B158" s="76"/>
      <c r="C158" s="57" t="s">
        <v>233</v>
      </c>
      <c r="D158" s="63" t="s">
        <v>234</v>
      </c>
      <c r="E158" s="63"/>
      <c r="F158" s="143"/>
      <c r="G158" s="144">
        <v>2191824.7200000002</v>
      </c>
      <c r="H158" s="647">
        <v>2320196.89</v>
      </c>
      <c r="I158" s="629">
        <v>2269765.4700000002</v>
      </c>
      <c r="J158" s="629">
        <v>1305227.01</v>
      </c>
      <c r="K158" s="629">
        <v>1093440.1400000006</v>
      </c>
      <c r="L158" s="629">
        <v>996950.94999999902</v>
      </c>
      <c r="M158" s="629">
        <v>1660417.1800000013</v>
      </c>
      <c r="N158" s="629">
        <v>1515243.5199999996</v>
      </c>
      <c r="O158" s="629">
        <v>1739086.7299999986</v>
      </c>
      <c r="P158" s="629">
        <v>1914445.1900000027</v>
      </c>
      <c r="Q158" s="629">
        <v>1919718.3599999994</v>
      </c>
      <c r="R158" s="629">
        <v>1797080.1199999985</v>
      </c>
      <c r="S158" s="924">
        <f>'MXD BS'!B5</f>
        <v>3792926.9</v>
      </c>
      <c r="T158" s="1076">
        <f>'MXD BS'!C5</f>
        <v>3186303.88</v>
      </c>
      <c r="U158" s="1076">
        <f>'MXD BS'!D5</f>
        <v>2631522.27</v>
      </c>
      <c r="V158" s="1076">
        <f>'MXD BS'!E5</f>
        <v>2095716.67</v>
      </c>
      <c r="W158" s="1076">
        <f>'MXD BS'!F5</f>
        <v>1808365.97</v>
      </c>
      <c r="X158" s="1076">
        <f>'MXD BS'!G5</f>
        <v>1854687.82</v>
      </c>
      <c r="Y158" s="1076">
        <f>'MXD BS'!H5</f>
        <v>1175740.21</v>
      </c>
      <c r="Z158" s="1076">
        <f>'MXD BS'!I5</f>
        <v>1208759.69</v>
      </c>
      <c r="AA158" s="1076">
        <f>'MXD BS'!J5</f>
        <v>1531736.32</v>
      </c>
      <c r="AB158" s="1076">
        <f>'MXD BS'!K5</f>
        <v>1478221.69</v>
      </c>
      <c r="AC158" s="1076">
        <f>'MXD BS'!L5</f>
        <v>1604005.94</v>
      </c>
      <c r="AD158" s="1076">
        <f>'MXD BS'!M5</f>
        <v>1717237.5</v>
      </c>
      <c r="AE158" s="1076">
        <f>'MXD BS'!N5</f>
        <v>1822042.98</v>
      </c>
      <c r="AF158" s="1076">
        <f>'MXD BS'!O5</f>
        <v>1237982.8999999999</v>
      </c>
      <c r="AG158" s="1076">
        <f>'MXD BS'!P5</f>
        <v>1596875.89</v>
      </c>
      <c r="AH158" s="1076">
        <f>'MXD BS'!Q5</f>
        <v>1952995.46</v>
      </c>
      <c r="AI158" s="1076">
        <f>'MXD BS'!R5</f>
        <v>1425299.87</v>
      </c>
      <c r="AJ158" s="1076">
        <f>'MXD BS'!S5</f>
        <v>1657597.63</v>
      </c>
      <c r="AK158" s="1076">
        <f>'MXD BS'!T5</f>
        <v>888939.67</v>
      </c>
      <c r="AL158" s="1076">
        <f>'MXD BS'!U5</f>
        <v>1180231.03</v>
      </c>
      <c r="AM158" s="1076">
        <f>'MXD BS'!V5</f>
        <v>871172.78</v>
      </c>
      <c r="AN158" s="1076">
        <f>'MXD BS'!W5</f>
        <v>604115.91</v>
      </c>
      <c r="AO158" s="1076">
        <f>'MXD BS'!X5</f>
        <v>593351</v>
      </c>
      <c r="AP158" s="629">
        <f t="shared" ref="AP158:AQ158" ca="1" si="291">AP265-AP159</f>
        <v>1236281.0974918932</v>
      </c>
      <c r="AQ158" s="629">
        <f t="shared" ca="1" si="291"/>
        <v>1672226.7074713928</v>
      </c>
      <c r="AR158" s="618">
        <f t="shared" ref="AR158:BC158" ca="1" si="292">AR265-AR159</f>
        <v>2595947.4851837726</v>
      </c>
      <c r="AS158" s="629">
        <f t="shared" ca="1" si="292"/>
        <v>2653159.6619402803</v>
      </c>
      <c r="AT158" s="629">
        <f t="shared" ca="1" si="292"/>
        <v>2758261.9359938912</v>
      </c>
      <c r="AU158" s="629">
        <f t="shared" ca="1" si="292"/>
        <v>3190579.5248610452</v>
      </c>
      <c r="AV158" s="629">
        <f t="shared" ca="1" si="292"/>
        <v>3366654.0965870558</v>
      </c>
      <c r="AW158" s="629">
        <f t="shared" ca="1" si="292"/>
        <v>3310192.392306109</v>
      </c>
      <c r="AX158" s="629">
        <f t="shared" ca="1" si="292"/>
        <v>3558028.4951688512</v>
      </c>
      <c r="AY158" s="629">
        <f t="shared" ca="1" si="292"/>
        <v>4036170.7765460894</v>
      </c>
      <c r="AZ158" s="629">
        <f t="shared" ca="1" si="292"/>
        <v>3948941.4714510445</v>
      </c>
      <c r="BA158" s="629">
        <f t="shared" ca="1" si="292"/>
        <v>4177114.5295783472</v>
      </c>
      <c r="BB158" s="629">
        <f t="shared" ca="1" si="292"/>
        <v>4406437.4160860498</v>
      </c>
      <c r="BC158" s="629">
        <f t="shared" ca="1" si="292"/>
        <v>4365347.1985342596</v>
      </c>
      <c r="BE158" s="1195">
        <v>1822042.98</v>
      </c>
      <c r="BF158" s="924">
        <f t="shared" ref="BF158:BF174" ca="1" si="293">AQ158</f>
        <v>1672226.7074713928</v>
      </c>
      <c r="BG158" s="1195">
        <f ca="1">BC158</f>
        <v>4365347.1985342596</v>
      </c>
    </row>
    <row r="159" spans="1:59" s="1312" customFormat="1" ht="15.75" customHeight="1" x14ac:dyDescent="0.3">
      <c r="A159" s="1324"/>
      <c r="B159" s="1324"/>
      <c r="C159" s="1325" t="s">
        <v>1307</v>
      </c>
      <c r="D159" s="1364"/>
      <c r="E159" s="1364"/>
      <c r="F159" s="1373"/>
      <c r="G159" s="1370"/>
      <c r="H159" s="1327"/>
      <c r="I159" s="1327"/>
      <c r="J159" s="1327"/>
      <c r="K159" s="1327"/>
      <c r="L159" s="1327"/>
      <c r="M159" s="1327"/>
      <c r="N159" s="1327"/>
      <c r="O159" s="1327"/>
      <c r="P159" s="1327"/>
      <c r="Q159" s="1327"/>
      <c r="R159" s="1327"/>
      <c r="S159" s="1328"/>
      <c r="T159" s="1329"/>
      <c r="U159" s="1329"/>
      <c r="V159" s="1329"/>
      <c r="W159" s="1329"/>
      <c r="X159" s="1329"/>
      <c r="Y159" s="1329"/>
      <c r="Z159" s="1329"/>
      <c r="AA159" s="1329"/>
      <c r="AB159" s="1329"/>
      <c r="AC159" s="1329"/>
      <c r="AD159" s="1329"/>
      <c r="AE159" s="1329"/>
      <c r="AF159" s="1329"/>
      <c r="AG159" s="1329"/>
      <c r="AH159" s="1329"/>
      <c r="AI159" s="1329"/>
      <c r="AJ159" s="1329"/>
      <c r="AK159" s="1329">
        <f>'HEC Financials'!AZ106</f>
        <v>14716.25</v>
      </c>
      <c r="AL159" s="1329">
        <f>'HEC Financials'!BA106</f>
        <v>161731.72</v>
      </c>
      <c r="AM159" s="1329">
        <f>'HEC Financials'!BB106</f>
        <v>73992.19</v>
      </c>
      <c r="AN159" s="1329">
        <f>'HEC Financials'!BC106</f>
        <v>-11758.11</v>
      </c>
      <c r="AO159" s="1329">
        <f>'HEC Financials'!BD106</f>
        <v>432729.43</v>
      </c>
      <c r="AP159" s="1327">
        <f t="shared" ref="AP159:BC159" si="294">AO159</f>
        <v>432729.43</v>
      </c>
      <c r="AQ159" s="1327">
        <f t="shared" si="294"/>
        <v>432729.43</v>
      </c>
      <c r="AR159" s="1328">
        <f t="shared" si="294"/>
        <v>432729.43</v>
      </c>
      <c r="AS159" s="1327">
        <f t="shared" si="294"/>
        <v>432729.43</v>
      </c>
      <c r="AT159" s="1327">
        <f t="shared" si="294"/>
        <v>432729.43</v>
      </c>
      <c r="AU159" s="1327">
        <f t="shared" si="294"/>
        <v>432729.43</v>
      </c>
      <c r="AV159" s="1327">
        <f t="shared" si="294"/>
        <v>432729.43</v>
      </c>
      <c r="AW159" s="1327">
        <f t="shared" si="294"/>
        <v>432729.43</v>
      </c>
      <c r="AX159" s="1327">
        <f t="shared" si="294"/>
        <v>432729.43</v>
      </c>
      <c r="AY159" s="1327">
        <f t="shared" si="294"/>
        <v>432729.43</v>
      </c>
      <c r="AZ159" s="1327">
        <f t="shared" si="294"/>
        <v>432729.43</v>
      </c>
      <c r="BA159" s="1327">
        <f t="shared" si="294"/>
        <v>432729.43</v>
      </c>
      <c r="BB159" s="1327">
        <f t="shared" si="294"/>
        <v>432729.43</v>
      </c>
      <c r="BC159" s="1327">
        <f t="shared" si="294"/>
        <v>432729.43</v>
      </c>
      <c r="BE159" s="1372">
        <v>1469833.16</v>
      </c>
      <c r="BF159" s="1328">
        <f t="shared" si="293"/>
        <v>432729.43</v>
      </c>
      <c r="BG159" s="1372">
        <f t="shared" ref="BG159:BG175" si="295">BC159</f>
        <v>432729.43</v>
      </c>
    </row>
    <row r="160" spans="1:59" ht="15.75" customHeight="1" x14ac:dyDescent="0.3">
      <c r="A160" s="76"/>
      <c r="B160" s="76"/>
      <c r="C160" s="57" t="s">
        <v>235</v>
      </c>
      <c r="D160" s="63"/>
      <c r="E160" s="63" t="s">
        <v>236</v>
      </c>
      <c r="F160" s="147"/>
      <c r="G160" s="144">
        <v>1033360.49</v>
      </c>
      <c r="H160" s="629">
        <v>843543.50999999989</v>
      </c>
      <c r="I160" s="629">
        <v>1069439.44</v>
      </c>
      <c r="J160" s="629">
        <v>1485511.73</v>
      </c>
      <c r="K160" s="629">
        <v>1690415.57</v>
      </c>
      <c r="L160" s="629">
        <v>1850137.55</v>
      </c>
      <c r="M160" s="629">
        <v>1497417.9</v>
      </c>
      <c r="N160" s="629">
        <v>1338996.3399999989</v>
      </c>
      <c r="O160" s="629">
        <v>1762633.900000002</v>
      </c>
      <c r="P160" s="629">
        <v>1149682.439999999</v>
      </c>
      <c r="Q160" s="629">
        <v>1107945.19</v>
      </c>
      <c r="R160" s="629">
        <v>2191907.9300000002</v>
      </c>
      <c r="S160" s="924">
        <f>'MXD BS'!B12</f>
        <v>1146210.0900000001</v>
      </c>
      <c r="T160" s="1076">
        <f>'MXD BS'!C14</f>
        <v>643544</v>
      </c>
      <c r="U160" s="1076">
        <f>'MXD BS'!D14</f>
        <v>1216725.8500000001</v>
      </c>
      <c r="V160" s="1076">
        <f>'MXD BS'!E14</f>
        <v>1476056.61</v>
      </c>
      <c r="W160" s="1076">
        <f>'MXD BS'!F14</f>
        <v>1106906.3400000001</v>
      </c>
      <c r="X160" s="1076">
        <f>'MXD BS'!G14</f>
        <v>1138520.06</v>
      </c>
      <c r="Y160" s="1076">
        <f>'MXD BS'!H14</f>
        <v>1206688.22</v>
      </c>
      <c r="Z160" s="1076">
        <f>'MXD BS'!I14</f>
        <v>1162319.57</v>
      </c>
      <c r="AA160" s="1076">
        <f>'MXD BS'!J14</f>
        <v>1594406.5</v>
      </c>
      <c r="AB160" s="1076">
        <f>'MXD BS'!K14</f>
        <v>1687920.15</v>
      </c>
      <c r="AC160" s="1076">
        <f>'MXD BS'!L14</f>
        <v>1551292.52</v>
      </c>
      <c r="AD160" s="1076">
        <f>'MXD BS'!M14</f>
        <v>1346543.52</v>
      </c>
      <c r="AE160" s="1076">
        <f>'MXD BS'!N14</f>
        <v>1469833.16</v>
      </c>
      <c r="AF160" s="1076">
        <f>'MXD BS'!O14</f>
        <v>1141367.58</v>
      </c>
      <c r="AG160" s="1076">
        <f>'MXD BS'!P14</f>
        <v>919816.87</v>
      </c>
      <c r="AH160" s="1076">
        <f>'MXD BS'!Q14</f>
        <v>1026767.05</v>
      </c>
      <c r="AI160" s="1076">
        <f>'MXD BS'!R14</f>
        <v>903183.35999999999</v>
      </c>
      <c r="AJ160" s="1076">
        <f>'MXD BS'!S14</f>
        <v>960893.17</v>
      </c>
      <c r="AK160" s="1076">
        <f>'MXD BS'!T14</f>
        <v>1185083.73</v>
      </c>
      <c r="AL160" s="1076">
        <f>'MXD BS'!U14</f>
        <v>683915.19</v>
      </c>
      <c r="AM160" s="1076">
        <f>'MXD BS'!V14</f>
        <v>891234.62</v>
      </c>
      <c r="AN160" s="1076">
        <f>'MXD BS'!W14</f>
        <v>953765.73</v>
      </c>
      <c r="AO160" s="1076">
        <f>'MXD BS'!X14</f>
        <v>1199303.8400000001</v>
      </c>
      <c r="AP160" s="629">
        <f t="shared" ref="AP160:AQ160" si="296">AP47/AP11</f>
        <v>795473.889747523</v>
      </c>
      <c r="AQ160" s="629">
        <f t="shared" si="296"/>
        <v>894531.89368074678</v>
      </c>
      <c r="AR160" s="618">
        <f t="shared" ref="AR160:BC160" si="297">AR47/AR11</f>
        <v>826127.90650984459</v>
      </c>
      <c r="AS160" s="629">
        <f t="shared" si="297"/>
        <v>851659.80816152296</v>
      </c>
      <c r="AT160" s="629">
        <f t="shared" si="297"/>
        <v>838329.33134817285</v>
      </c>
      <c r="AU160" s="629">
        <f t="shared" si="297"/>
        <v>841770.45927146322</v>
      </c>
      <c r="AV160" s="629">
        <f t="shared" si="297"/>
        <v>847452.28015256289</v>
      </c>
      <c r="AW160" s="629">
        <f t="shared" si="297"/>
        <v>842026.85793415923</v>
      </c>
      <c r="AX160" s="629">
        <f t="shared" si="297"/>
        <v>841151.01018985768</v>
      </c>
      <c r="AY160" s="629">
        <f t="shared" si="297"/>
        <v>843708.14345678163</v>
      </c>
      <c r="AZ160" s="629">
        <f t="shared" si="297"/>
        <v>842397.27953145443</v>
      </c>
      <c r="BA160" s="629">
        <f t="shared" si="297"/>
        <v>843079.11223823344</v>
      </c>
      <c r="BB160" s="629">
        <f t="shared" si="297"/>
        <v>843297.61676360469</v>
      </c>
      <c r="BC160" s="629">
        <f t="shared" si="297"/>
        <v>842609.13014982059</v>
      </c>
      <c r="BE160" s="1195">
        <v>1469833.16</v>
      </c>
      <c r="BF160" s="924">
        <f t="shared" si="293"/>
        <v>894531.89368074678</v>
      </c>
      <c r="BG160" s="1195">
        <f t="shared" si="295"/>
        <v>842609.13014982059</v>
      </c>
    </row>
    <row r="161" spans="1:1201" ht="15.75" customHeight="1" x14ac:dyDescent="0.3">
      <c r="A161" s="76"/>
      <c r="B161" s="76"/>
      <c r="C161" s="57" t="s">
        <v>237</v>
      </c>
      <c r="D161" s="63"/>
      <c r="E161" s="63"/>
      <c r="F161" s="147"/>
      <c r="G161" s="144">
        <v>-1030.3000000000002</v>
      </c>
      <c r="H161" s="629">
        <v>-557.75999999999988</v>
      </c>
      <c r="I161" s="629">
        <v>3115.6500000000005</v>
      </c>
      <c r="J161" s="629">
        <v>2851.22</v>
      </c>
      <c r="K161" s="629">
        <v>5207.7800000000007</v>
      </c>
      <c r="L161" s="629">
        <v>1149.5100000000007</v>
      </c>
      <c r="M161" s="629">
        <v>2156.6600000000021</v>
      </c>
      <c r="N161" s="629">
        <v>-4458.4600000000019</v>
      </c>
      <c r="O161" s="629">
        <v>-3577.5100000000029</v>
      </c>
      <c r="P161" s="629">
        <v>-3753.9599999999969</v>
      </c>
      <c r="Q161" s="629">
        <v>1984.1899999999864</v>
      </c>
      <c r="R161" s="629">
        <v>2554.050000000012</v>
      </c>
      <c r="S161" s="924">
        <f>SUM('MXD BS'!B16:B22,'MXD BS'!B25:B30,'MXD BS'!B33)</f>
        <v>-532764.94000000006</v>
      </c>
      <c r="T161" s="1076">
        <f>SUM('MXD BS'!C16:C23,'MXD BS'!C25:C30,'MXD BS'!C32:C33)</f>
        <v>-418729.43999999994</v>
      </c>
      <c r="U161" s="1076">
        <f>SUM('MXD BS'!D16:D23,'MXD BS'!D25:D30,'MXD BS'!D32:D33)</f>
        <v>-515546.81999999995</v>
      </c>
      <c r="V161" s="1076">
        <f>SUM('MXD BS'!E16:E23,'MXD BS'!E25:E30,'MXD BS'!E32:E33)</f>
        <v>-401460.35000000009</v>
      </c>
      <c r="W161" s="1076">
        <f>SUM('MXD BS'!F16:F23,'MXD BS'!F25:F30,'MXD BS'!F32:F33)</f>
        <v>-325627.81000000006</v>
      </c>
      <c r="X161" s="1076">
        <f>SUM('MXD BS'!G16:G23,'MXD BS'!G25:G30,'MXD BS'!G32:G33)</f>
        <v>-384910.35000000009</v>
      </c>
      <c r="Y161" s="1076">
        <f>SUM('MXD BS'!H16:H23,'MXD BS'!H25:H30,'MXD BS'!H32:H33)</f>
        <v>-361334.13000000012</v>
      </c>
      <c r="Z161" s="1076">
        <f>SUM('MXD BS'!I16:I23,'MXD BS'!I25:I30,'MXD BS'!I32:I33)</f>
        <v>-465215.04999999993</v>
      </c>
      <c r="AA161" s="1076">
        <f>SUM('MXD BS'!J16:J23,'MXD BS'!J25:J30,'MXD BS'!J32:J33)</f>
        <v>-496802.61000000004</v>
      </c>
      <c r="AB161" s="1076">
        <f>SUM('MXD BS'!K16:K23,'MXD BS'!K25:K30,'MXD BS'!K32:K33)</f>
        <v>-509070.23</v>
      </c>
      <c r="AC161" s="1076">
        <f>SUM('MXD BS'!L16:L23,'MXD BS'!L25:L30,'MXD BS'!L32:L33)</f>
        <v>-343644.59000000008</v>
      </c>
      <c r="AD161" s="1076">
        <f>SUM('MXD BS'!M16:M23,'MXD BS'!M25:M30,'MXD BS'!M32:M33)</f>
        <v>-320913.25000000006</v>
      </c>
      <c r="AE161" s="1076">
        <f>SUM('MXD BS'!N16:N23,'MXD BS'!N25:N30,'MXD BS'!N32:N33)</f>
        <v>-306783.23</v>
      </c>
      <c r="AF161" s="1076">
        <f>SUM('MXD BS'!O16:O23,'MXD BS'!O25:O30,'MXD BS'!O32:O33)</f>
        <v>-392950.0199999999</v>
      </c>
      <c r="AG161" s="1076">
        <f>SUM('MXD BS'!P16:P23,'MXD BS'!P25:P30,'MXD BS'!P32:P33)</f>
        <v>-432864.41</v>
      </c>
      <c r="AH161" s="1076">
        <f>SUM('MXD BS'!Q16:Q23,'MXD BS'!Q25:Q30,'MXD BS'!Q32:Q33)</f>
        <v>-492679.53</v>
      </c>
      <c r="AI161" s="1076">
        <f>SUM('MXD BS'!R16:R23,'MXD BS'!R25:R30,'MXD BS'!R32:R33)</f>
        <v>-487764.86999999994</v>
      </c>
      <c r="AJ161" s="1076">
        <f>SUM('MXD BS'!S16:S23,'MXD BS'!S25:S30,'MXD BS'!S32:S33)</f>
        <v>-426411.80999999994</v>
      </c>
      <c r="AK161" s="1076">
        <f>SUM('MXD BS'!T16:T23,'MXD BS'!T25:T30,'MXD BS'!T32:T33)</f>
        <v>-304049.19000000012</v>
      </c>
      <c r="AL161" s="1076">
        <f>SUM('MXD BS'!U16:U23,'MXD BS'!U25:U30,'MXD BS'!U32:U33)</f>
        <v>-309372.66000000003</v>
      </c>
      <c r="AM161" s="1076">
        <f>SUM('MXD BS'!V16:V23,'MXD BS'!V25:V30,'MXD BS'!V32:V33)</f>
        <v>-475045.81</v>
      </c>
      <c r="AN161" s="1076">
        <f>SUM('MXD BS'!W16:W23,'MXD BS'!W25:W30,'MXD BS'!W32:W33)</f>
        <v>-470799.66</v>
      </c>
      <c r="AO161" s="1076">
        <f>SUM('MXD BS'!X16:X23,'MXD BS'!X25:X30,'MXD BS'!X32:X33)</f>
        <v>-361246.73999999993</v>
      </c>
      <c r="AP161" s="629">
        <f t="shared" ref="AP161:BC161" si="298">AVERAGE(AM161:AO161)</f>
        <v>-435697.40333333332</v>
      </c>
      <c r="AQ161" s="629">
        <f t="shared" si="298"/>
        <v>-422581.26777777774</v>
      </c>
      <c r="AR161" s="618">
        <f t="shared" si="298"/>
        <v>-406508.47037037037</v>
      </c>
      <c r="AS161" s="629">
        <f t="shared" si="298"/>
        <v>-421595.71382716048</v>
      </c>
      <c r="AT161" s="629">
        <f t="shared" si="298"/>
        <v>-416895.15065843618</v>
      </c>
      <c r="AU161" s="629">
        <f t="shared" si="298"/>
        <v>-414999.7782853223</v>
      </c>
      <c r="AV161" s="629">
        <f t="shared" si="298"/>
        <v>-417830.21425697301</v>
      </c>
      <c r="AW161" s="629">
        <f t="shared" si="298"/>
        <v>-416575.04773357714</v>
      </c>
      <c r="AX161" s="629">
        <f t="shared" si="298"/>
        <v>-416468.34675862413</v>
      </c>
      <c r="AY161" s="629">
        <f t="shared" si="298"/>
        <v>-416957.86958305811</v>
      </c>
      <c r="AZ161" s="629">
        <f t="shared" si="298"/>
        <v>-416667.0880250865</v>
      </c>
      <c r="BA161" s="629">
        <f t="shared" si="298"/>
        <v>-416697.76812225627</v>
      </c>
      <c r="BB161" s="629">
        <f t="shared" si="298"/>
        <v>-416774.24191013369</v>
      </c>
      <c r="BC161" s="629">
        <f t="shared" si="298"/>
        <v>-416713.03268582554</v>
      </c>
      <c r="BE161" s="1195">
        <v>1469833.16</v>
      </c>
      <c r="BF161" s="924">
        <f t="shared" si="293"/>
        <v>-422581.26777777774</v>
      </c>
      <c r="BG161" s="1195">
        <f t="shared" si="295"/>
        <v>-416713.03268582554</v>
      </c>
    </row>
    <row r="162" spans="1:1201" s="1312" customFormat="1" ht="15.75" customHeight="1" x14ac:dyDescent="0.3">
      <c r="A162" s="1324"/>
      <c r="B162" s="1324"/>
      <c r="C162" s="1325" t="s">
        <v>1203</v>
      </c>
      <c r="D162" s="1364"/>
      <c r="E162" s="1364"/>
      <c r="F162" s="1373"/>
      <c r="G162" s="1370"/>
      <c r="H162" s="1327"/>
      <c r="I162" s="1327"/>
      <c r="J162" s="1327"/>
      <c r="K162" s="1327"/>
      <c r="L162" s="1327"/>
      <c r="M162" s="1327"/>
      <c r="N162" s="1327"/>
      <c r="O162" s="1327"/>
      <c r="P162" s="1327"/>
      <c r="Q162" s="1327"/>
      <c r="R162" s="1327"/>
      <c r="S162" s="1328"/>
      <c r="T162" s="1329"/>
      <c r="U162" s="1329"/>
      <c r="V162" s="1329"/>
      <c r="W162" s="1329"/>
      <c r="X162" s="1329"/>
      <c r="Y162" s="1329"/>
      <c r="Z162" s="1329"/>
      <c r="AA162" s="1329"/>
      <c r="AB162" s="1329"/>
      <c r="AC162" s="1329"/>
      <c r="AD162" s="1329"/>
      <c r="AE162" s="1329"/>
      <c r="AF162" s="1329"/>
      <c r="AG162" s="1329"/>
      <c r="AH162" s="1329"/>
      <c r="AI162" s="1329"/>
      <c r="AJ162" s="1329"/>
      <c r="AK162" s="1329">
        <f>'HEC Financials'!AZ108</f>
        <v>496255.65</v>
      </c>
      <c r="AL162" s="1329">
        <f>'HEC Financials'!BA108</f>
        <v>455093.49</v>
      </c>
      <c r="AM162" s="1329">
        <f>'HEC Financials'!BB108</f>
        <v>605929.97</v>
      </c>
      <c r="AN162" s="1329">
        <f>'HEC Financials'!BC108</f>
        <v>590711.06999999995</v>
      </c>
      <c r="AO162" s="1329">
        <f>'HEC Financials'!BD108</f>
        <v>698848.88</v>
      </c>
      <c r="AP162" s="1327">
        <f t="shared" ref="AP162:BC162" si="299">AP48/AP18</f>
        <v>717247.107055492</v>
      </c>
      <c r="AQ162" s="1327">
        <f t="shared" si="299"/>
        <v>737738.88583848742</v>
      </c>
      <c r="AR162" s="1328">
        <f t="shared" si="299"/>
        <v>698667.24925385928</v>
      </c>
      <c r="AS162" s="1327">
        <f t="shared" si="299"/>
        <v>698959.07802391343</v>
      </c>
      <c r="AT162" s="1327">
        <f t="shared" si="299"/>
        <v>701954.30231935205</v>
      </c>
      <c r="AU162" s="1327">
        <f t="shared" si="299"/>
        <v>702567.75167618145</v>
      </c>
      <c r="AV162" s="1327">
        <f t="shared" si="299"/>
        <v>700703.8471746014</v>
      </c>
      <c r="AW162" s="1327">
        <f t="shared" si="299"/>
        <v>700272.3090075088</v>
      </c>
      <c r="AX162" s="1327">
        <f t="shared" si="299"/>
        <v>700517.85056129983</v>
      </c>
      <c r="AY162" s="1327">
        <f t="shared" si="299"/>
        <v>700827.23766073573</v>
      </c>
      <c r="AZ162" s="1327">
        <f t="shared" si="299"/>
        <v>701139.5689267643</v>
      </c>
      <c r="BA162" s="1327">
        <f t="shared" si="299"/>
        <v>701003.96386534022</v>
      </c>
      <c r="BB162" s="1327">
        <f t="shared" si="299"/>
        <v>700744.00911664334</v>
      </c>
      <c r="BC162" s="1327">
        <f t="shared" si="299"/>
        <v>700750.7032212551</v>
      </c>
      <c r="BE162" s="1372">
        <v>1469833.16</v>
      </c>
      <c r="BF162" s="1328">
        <f t="shared" si="293"/>
        <v>737738.88583848742</v>
      </c>
      <c r="BG162" s="1372">
        <f t="shared" si="295"/>
        <v>700750.7032212551</v>
      </c>
    </row>
    <row r="163" spans="1:1201" ht="15.75" customHeight="1" x14ac:dyDescent="0.3">
      <c r="A163" s="76"/>
      <c r="B163" s="76"/>
      <c r="C163" s="57" t="s">
        <v>238</v>
      </c>
      <c r="D163" s="63"/>
      <c r="E163" s="63" t="s">
        <v>236</v>
      </c>
      <c r="F163" s="148">
        <f>AVERAGE(AF163:AM163)/AVERAGE($AF$47:$AM$47)</f>
        <v>1.2743827326506887</v>
      </c>
      <c r="G163" s="144">
        <v>366023.1</v>
      </c>
      <c r="H163" s="629">
        <v>349674.1</v>
      </c>
      <c r="I163" s="629">
        <v>309825.40000000002</v>
      </c>
      <c r="J163" s="629">
        <v>96993.900000000081</v>
      </c>
      <c r="K163" s="629">
        <v>64070.099999999948</v>
      </c>
      <c r="L163" s="629">
        <v>62202.510000000031</v>
      </c>
      <c r="M163" s="629">
        <v>293553</v>
      </c>
      <c r="N163" s="629">
        <v>390240.67999999988</v>
      </c>
      <c r="O163" s="629">
        <v>536773.67999999993</v>
      </c>
      <c r="P163" s="629">
        <v>764179.13</v>
      </c>
      <c r="Q163" s="629">
        <v>1261532.540000001</v>
      </c>
      <c r="R163" s="629">
        <v>1577702.67</v>
      </c>
      <c r="S163" s="924">
        <f>'MXD BS'!B24+'MXD BS'!B36</f>
        <v>2542608.7200000002</v>
      </c>
      <c r="T163" s="1076">
        <f>'MXD BS'!C24+'MXD BS'!C36</f>
        <v>2491026.7799999998</v>
      </c>
      <c r="U163" s="1076">
        <f>'MXD BS'!D24+'MXD BS'!D36</f>
        <v>3429016.79</v>
      </c>
      <c r="V163" s="1076">
        <f>'MXD BS'!E24+'MXD BS'!E36</f>
        <v>3746442.65</v>
      </c>
      <c r="W163" s="1076">
        <f>'MXD BS'!F24+'MXD BS'!F36</f>
        <v>3147522.95</v>
      </c>
      <c r="X163" s="1076">
        <f>'MXD BS'!G24+'MXD BS'!G36</f>
        <v>3265246.41</v>
      </c>
      <c r="Y163" s="1076">
        <f>'MXD BS'!H24+'MXD BS'!H36</f>
        <v>1913763</v>
      </c>
      <c r="Z163" s="1076">
        <f>'MXD BS'!I24+'MXD BS'!I36</f>
        <v>270391.05000000005</v>
      </c>
      <c r="AA163" s="1076">
        <f>'MXD BS'!J24+'MXD BS'!J36</f>
        <v>631831.05000000005</v>
      </c>
      <c r="AB163" s="1076">
        <f>'MXD BS'!K24+'MXD BS'!K36</f>
        <v>589401.57000000007</v>
      </c>
      <c r="AC163" s="1076">
        <f>'MXD BS'!L24+'MXD BS'!L36</f>
        <v>713758.84</v>
      </c>
      <c r="AD163" s="1076">
        <f>'MXD BS'!M24+'MXD BS'!M36</f>
        <v>866185.8</v>
      </c>
      <c r="AE163" s="1076">
        <f>'MXD BS'!N24+'MXD BS'!N36</f>
        <v>1155556.25</v>
      </c>
      <c r="AF163" s="1076">
        <f>'MXD BS'!O24+'MXD BS'!O36</f>
        <v>1092037.25</v>
      </c>
      <c r="AG163" s="1076">
        <f>'MXD BS'!P24+'MXD BS'!P36</f>
        <v>1349125.2500000002</v>
      </c>
      <c r="AH163" s="1076">
        <f>'MXD BS'!Q24+'MXD BS'!Q36</f>
        <v>1837375.2500000002</v>
      </c>
      <c r="AI163" s="1076">
        <f>'MXD BS'!R24+'MXD BS'!R36</f>
        <v>1960484.61</v>
      </c>
      <c r="AJ163" s="1076">
        <f>'MXD BS'!S24+'MXD BS'!S36</f>
        <v>1621565.84</v>
      </c>
      <c r="AK163" s="1076">
        <f>'MXD BS'!T24+'MXD BS'!T36</f>
        <v>1404014.51</v>
      </c>
      <c r="AL163" s="1076">
        <f>'MXD BS'!U24+'MXD BS'!U36</f>
        <v>1451569.11</v>
      </c>
      <c r="AM163" s="1076">
        <f>'MXD BS'!V24+'MXD BS'!V36</f>
        <v>1516314.66</v>
      </c>
      <c r="AN163" s="1076">
        <f>'MXD BS'!W24+'MXD BS'!W36</f>
        <v>1815706.0499999998</v>
      </c>
      <c r="AO163" s="1076">
        <f>'MXD BS'!X24+'MXD BS'!X36</f>
        <v>2131443.94</v>
      </c>
      <c r="AP163" s="629">
        <f t="shared" ref="AP163:BC163" si="300">$F163*AP$47</f>
        <v>1827499.8440031793</v>
      </c>
      <c r="AQ163" s="629">
        <f t="shared" si="300"/>
        <v>2138049.0282999426</v>
      </c>
      <c r="AR163" s="618">
        <f t="shared" si="300"/>
        <v>2025207.5518063344</v>
      </c>
      <c r="AS163" s="629">
        <f t="shared" si="300"/>
        <v>2025207.5518063344</v>
      </c>
      <c r="AT163" s="629">
        <f t="shared" si="300"/>
        <v>2025207.5518063344</v>
      </c>
      <c r="AU163" s="629">
        <f t="shared" si="300"/>
        <v>2025207.5518063344</v>
      </c>
      <c r="AV163" s="629">
        <f t="shared" si="300"/>
        <v>2025207.5518063344</v>
      </c>
      <c r="AW163" s="629">
        <f t="shared" si="300"/>
        <v>2025207.5518063344</v>
      </c>
      <c r="AX163" s="629">
        <f t="shared" si="300"/>
        <v>2025207.5518063344</v>
      </c>
      <c r="AY163" s="629">
        <f t="shared" si="300"/>
        <v>2025207.5518063344</v>
      </c>
      <c r="AZ163" s="629">
        <f t="shared" si="300"/>
        <v>2025207.5518063344</v>
      </c>
      <c r="BA163" s="629">
        <f t="shared" si="300"/>
        <v>2025207.5518063344</v>
      </c>
      <c r="BB163" s="629">
        <f t="shared" si="300"/>
        <v>2025207.5518063344</v>
      </c>
      <c r="BC163" s="629">
        <f t="shared" si="300"/>
        <v>2025207.5518063344</v>
      </c>
      <c r="BE163" s="1271">
        <v>1469833.16</v>
      </c>
      <c r="BF163" s="924">
        <f t="shared" si="293"/>
        <v>2138049.0282999426</v>
      </c>
      <c r="BG163" s="1271">
        <f t="shared" si="295"/>
        <v>2025207.5518063344</v>
      </c>
    </row>
    <row r="164" spans="1:1201" ht="15.75" customHeight="1" x14ac:dyDescent="0.3">
      <c r="A164" s="76"/>
      <c r="B164" s="76"/>
      <c r="C164" s="57" t="s">
        <v>239</v>
      </c>
      <c r="D164" s="63"/>
      <c r="E164" s="63" t="s">
        <v>236</v>
      </c>
      <c r="F164" s="148">
        <f>SUM(AF164:AM164)/SUM($AF$47:$AM$47)</f>
        <v>0.38765878375819629</v>
      </c>
      <c r="G164" s="149">
        <v>118484.54</v>
      </c>
      <c r="H164" s="629">
        <v>130272.17</v>
      </c>
      <c r="I164" s="629">
        <v>145343.79999999999</v>
      </c>
      <c r="J164" s="629">
        <v>137248.37</v>
      </c>
      <c r="K164" s="629">
        <v>162969.16</v>
      </c>
      <c r="L164" s="629">
        <v>199661.38999999998</v>
      </c>
      <c r="M164" s="629">
        <v>238086.99</v>
      </c>
      <c r="N164" s="629">
        <v>301338.74999999994</v>
      </c>
      <c r="O164" s="629">
        <v>367936.37000000005</v>
      </c>
      <c r="P164" s="629">
        <v>389445.34</v>
      </c>
      <c r="Q164" s="629">
        <v>188413.98</v>
      </c>
      <c r="R164" s="629">
        <v>250241.13999999998</v>
      </c>
      <c r="S164" s="924">
        <f>'MXD BS'!B31+'MXD BS'!B32</f>
        <v>324131.57</v>
      </c>
      <c r="T164" s="1076">
        <f>'MXD BS'!C31</f>
        <v>466807.09</v>
      </c>
      <c r="U164" s="1076">
        <f>'MXD BS'!D31</f>
        <v>524125.85</v>
      </c>
      <c r="V164" s="1076">
        <f>'MXD BS'!E31</f>
        <v>398675.88</v>
      </c>
      <c r="W164" s="1076">
        <f>'MXD BS'!F31</f>
        <v>405600.94</v>
      </c>
      <c r="X164" s="1076">
        <f>'MXD BS'!G31</f>
        <v>423911.56</v>
      </c>
      <c r="Y164" s="1076">
        <f>'MXD BS'!H31</f>
        <v>453155.06</v>
      </c>
      <c r="Z164" s="1076">
        <f>'MXD BS'!I31</f>
        <v>322400.07</v>
      </c>
      <c r="AA164" s="1076">
        <f>'MXD BS'!J31</f>
        <v>301769.75</v>
      </c>
      <c r="AB164" s="1076">
        <f>'MXD BS'!K31</f>
        <v>280018.36</v>
      </c>
      <c r="AC164" s="1076">
        <f>'MXD BS'!L31</f>
        <v>394990.53</v>
      </c>
      <c r="AD164" s="1076">
        <f>'MXD BS'!M31</f>
        <v>338626.19</v>
      </c>
      <c r="AE164" s="1076">
        <f>'MXD BS'!N31</f>
        <v>556022.4</v>
      </c>
      <c r="AF164" s="1076">
        <f>'MXD BS'!O31</f>
        <v>544410.85</v>
      </c>
      <c r="AG164" s="1076">
        <f>'MXD BS'!P31</f>
        <v>530417.06000000006</v>
      </c>
      <c r="AH164" s="1076">
        <f>'MXD BS'!Q31</f>
        <v>448156.96</v>
      </c>
      <c r="AI164" s="1076">
        <f>'MXD BS'!R31</f>
        <v>378074.15</v>
      </c>
      <c r="AJ164" s="1076">
        <f>'MXD BS'!S31</f>
        <v>383724.05</v>
      </c>
      <c r="AK164" s="1076">
        <f>'MXD BS'!T31</f>
        <v>442640.06</v>
      </c>
      <c r="AL164" s="1076">
        <f>'MXD BS'!U31</f>
        <v>502619.68</v>
      </c>
      <c r="AM164" s="1076">
        <f>'MXD BS'!V31</f>
        <v>490998.53</v>
      </c>
      <c r="AN164" s="1076">
        <f>'MXD BS'!W31</f>
        <v>419308.27</v>
      </c>
      <c r="AO164" s="1076">
        <f>'MXD BS'!X31</f>
        <v>305373.06</v>
      </c>
      <c r="AP164" s="629">
        <f t="shared" ref="AP164:BC164" si="301">$F164*AP$48</f>
        <v>362133.78849189123</v>
      </c>
      <c r="AQ164" s="629">
        <f t="shared" si="301"/>
        <v>374879.44574290386</v>
      </c>
      <c r="AR164" s="618">
        <f t="shared" si="301"/>
        <v>355094.14166202839</v>
      </c>
      <c r="AS164" s="629">
        <f t="shared" si="301"/>
        <v>355094.14166202839</v>
      </c>
      <c r="AT164" s="629">
        <f t="shared" si="301"/>
        <v>355094.14166202839</v>
      </c>
      <c r="AU164" s="629">
        <f t="shared" si="301"/>
        <v>355094.14166202839</v>
      </c>
      <c r="AV164" s="629">
        <f t="shared" si="301"/>
        <v>355094.14166202839</v>
      </c>
      <c r="AW164" s="629">
        <f t="shared" si="301"/>
        <v>355094.14166202839</v>
      </c>
      <c r="AX164" s="629">
        <f t="shared" si="301"/>
        <v>355094.14166202839</v>
      </c>
      <c r="AY164" s="629">
        <f t="shared" si="301"/>
        <v>355094.14166202839</v>
      </c>
      <c r="AZ164" s="629">
        <f t="shared" si="301"/>
        <v>355094.14166202839</v>
      </c>
      <c r="BA164" s="629">
        <f t="shared" si="301"/>
        <v>355094.14166202839</v>
      </c>
      <c r="BB164" s="629">
        <f t="shared" si="301"/>
        <v>355094.14166202839</v>
      </c>
      <c r="BC164" s="629">
        <f t="shared" si="301"/>
        <v>355094.14166202839</v>
      </c>
      <c r="BE164" s="1195">
        <v>1469833.16</v>
      </c>
      <c r="BF164" s="924">
        <f t="shared" si="293"/>
        <v>374879.44574290386</v>
      </c>
      <c r="BG164" s="1195">
        <f t="shared" si="295"/>
        <v>355094.14166202839</v>
      </c>
    </row>
    <row r="165" spans="1:1201" s="34" customFormat="1" ht="15.75" customHeight="1" x14ac:dyDescent="0.3">
      <c r="A165" s="76"/>
      <c r="B165" s="76"/>
      <c r="C165" s="57" t="s">
        <v>728</v>
      </c>
      <c r="D165" s="63"/>
      <c r="E165" s="63" t="s">
        <v>240</v>
      </c>
      <c r="F165" s="148"/>
      <c r="G165" s="149">
        <v>799148.38</v>
      </c>
      <c r="H165" s="629">
        <v>1442361.5899999999</v>
      </c>
      <c r="I165" s="629">
        <v>1598316.8599999996</v>
      </c>
      <c r="J165" s="629">
        <v>1899008.6199999996</v>
      </c>
      <c r="K165" s="629">
        <v>2149678.81</v>
      </c>
      <c r="L165" s="629">
        <v>2122926.8300000019</v>
      </c>
      <c r="M165" s="629">
        <v>1391502.5099999981</v>
      </c>
      <c r="N165" s="629">
        <v>1616051.0600000026</v>
      </c>
      <c r="O165" s="629">
        <v>1954775.9599999958</v>
      </c>
      <c r="P165" s="629">
        <v>2190601.430000003</v>
      </c>
      <c r="Q165" s="629">
        <v>1901622.46</v>
      </c>
      <c r="R165" s="629">
        <v>2182274.4399999967</v>
      </c>
      <c r="S165" s="924">
        <f>'MXD BS'!B34</f>
        <v>963686.78</v>
      </c>
      <c r="T165" s="1076">
        <f>'MXD BS'!C34</f>
        <v>1360655.01</v>
      </c>
      <c r="U165" s="1076">
        <f>'MXD BS'!D34</f>
        <v>1553694.29</v>
      </c>
      <c r="V165" s="1076">
        <f>'MXD BS'!E34</f>
        <v>1475196.85</v>
      </c>
      <c r="W165" s="1076">
        <f>'MXD BS'!F34</f>
        <v>1426765.43</v>
      </c>
      <c r="X165" s="1076">
        <f>'MXD BS'!G34</f>
        <v>1612574.15</v>
      </c>
      <c r="Y165" s="1076">
        <f>'MXD BS'!H34</f>
        <v>2527431.39</v>
      </c>
      <c r="Z165" s="1076">
        <f>'MXD BS'!I34</f>
        <v>2680281.08</v>
      </c>
      <c r="AA165" s="1076">
        <f>'MXD BS'!J34</f>
        <v>2721305.49</v>
      </c>
      <c r="AB165" s="1076">
        <f>'MXD BS'!K34</f>
        <v>2498895.29</v>
      </c>
      <c r="AC165" s="1076">
        <f>'MXD BS'!L34</f>
        <v>2749534.34</v>
      </c>
      <c r="AD165" s="1076">
        <f>'MXD BS'!M34</f>
        <v>3006847.27</v>
      </c>
      <c r="AE165" s="1076">
        <f>'MXD BS'!N34</f>
        <v>3024023.76</v>
      </c>
      <c r="AF165" s="1076">
        <f>'MXD BS'!O34</f>
        <v>2978884.03</v>
      </c>
      <c r="AG165" s="1076">
        <f>'MXD BS'!P34</f>
        <v>3346588.52</v>
      </c>
      <c r="AH165" s="1076">
        <f>'MXD BS'!Q34</f>
        <v>3761501.46</v>
      </c>
      <c r="AI165" s="1076">
        <f>'MXD BS'!R34</f>
        <v>4045399.98</v>
      </c>
      <c r="AJ165" s="1076">
        <f>'MXD BS'!S34</f>
        <v>3634199.67</v>
      </c>
      <c r="AK165" s="1076">
        <f>'MXD BS'!T34</f>
        <v>3485868.26</v>
      </c>
      <c r="AL165" s="1076">
        <f>'MXD BS'!U34</f>
        <v>3364569.24</v>
      </c>
      <c r="AM165" s="1076">
        <f>'MXD BS'!V34</f>
        <v>3587608.18</v>
      </c>
      <c r="AN165" s="1076">
        <f>'MXD BS'!W34</f>
        <v>3616755.14</v>
      </c>
      <c r="AO165" s="1076">
        <f>'MXD BS'!X34</f>
        <v>3299307</v>
      </c>
      <c r="AP165" s="629">
        <f t="shared" ref="AP165:BC165" si="302">AP$71/AP$13</f>
        <v>4975872.3990032393</v>
      </c>
      <c r="AQ165" s="629">
        <f t="shared" si="302"/>
        <v>5241690.8489842275</v>
      </c>
      <c r="AR165" s="618">
        <f t="shared" si="302"/>
        <v>4641403.095377462</v>
      </c>
      <c r="AS165" s="629">
        <f t="shared" si="302"/>
        <v>5014956.9792608693</v>
      </c>
      <c r="AT165" s="629">
        <f t="shared" si="302"/>
        <v>4868046.7522759903</v>
      </c>
      <c r="AU165" s="629">
        <f t="shared" si="302"/>
        <v>4836550.4337749621</v>
      </c>
      <c r="AV165" s="629">
        <f t="shared" si="302"/>
        <v>4905298.0253999084</v>
      </c>
      <c r="AW165" s="629">
        <f t="shared" si="302"/>
        <v>4869803.0378491422</v>
      </c>
      <c r="AX165" s="629">
        <f t="shared" si="302"/>
        <v>4870388.7480205977</v>
      </c>
      <c r="AY165" s="629">
        <f t="shared" si="302"/>
        <v>4881773.6522813132</v>
      </c>
      <c r="AZ165" s="629">
        <f t="shared" si="302"/>
        <v>4873982.2549971081</v>
      </c>
      <c r="BA165" s="629">
        <f t="shared" si="302"/>
        <v>4875376.9218639396</v>
      </c>
      <c r="BB165" s="629">
        <f t="shared" si="302"/>
        <v>4877041.9178349031</v>
      </c>
      <c r="BC165" s="629">
        <f t="shared" si="302"/>
        <v>4875466.710719577</v>
      </c>
      <c r="BE165" s="1195">
        <v>1469833.16</v>
      </c>
      <c r="BF165" s="924">
        <f t="shared" si="293"/>
        <v>5241690.8489842275</v>
      </c>
      <c r="BG165" s="1195">
        <f t="shared" si="295"/>
        <v>4875466.710719577</v>
      </c>
      <c r="BH165" s="31"/>
      <c r="BI165" s="31"/>
      <c r="BJ165" s="31"/>
      <c r="BK165" s="31"/>
      <c r="BL165" s="31"/>
      <c r="BM165" s="31"/>
      <c r="BN165" s="31"/>
      <c r="BO165" s="31"/>
      <c r="BP165" s="31"/>
      <c r="BQ165" s="31"/>
      <c r="BR165" s="31"/>
      <c r="BS165" s="31"/>
      <c r="BT165" s="31"/>
      <c r="BU165" s="31"/>
      <c r="BV165" s="31"/>
      <c r="BW165" s="31"/>
      <c r="BX165" s="31"/>
      <c r="BY165" s="31"/>
      <c r="BZ165" s="31"/>
      <c r="CA165" s="31"/>
      <c r="CB165" s="31"/>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c r="EX165" s="31"/>
      <c r="EY165" s="31"/>
      <c r="EZ165" s="31"/>
      <c r="FA165" s="31"/>
      <c r="FB165" s="31"/>
      <c r="FC165" s="31"/>
      <c r="FD165" s="31"/>
      <c r="FE165" s="31"/>
      <c r="FF165" s="31"/>
      <c r="FG165" s="31"/>
      <c r="FH165" s="31"/>
      <c r="FI165" s="31"/>
      <c r="FJ165" s="31"/>
      <c r="FK165" s="31"/>
      <c r="FL165" s="31"/>
      <c r="FM165" s="31"/>
      <c r="FN165" s="31"/>
      <c r="FO165" s="31"/>
      <c r="FP165" s="31"/>
      <c r="FQ165" s="31"/>
      <c r="FR165" s="31"/>
      <c r="FS165" s="31"/>
      <c r="FT165" s="31"/>
      <c r="FU165" s="31"/>
      <c r="FV165" s="31"/>
      <c r="FW165" s="31"/>
      <c r="FX165" s="31"/>
      <c r="FY165" s="31"/>
      <c r="FZ165" s="31"/>
      <c r="GA165" s="31"/>
      <c r="GB165" s="31"/>
      <c r="GC165" s="31"/>
      <c r="GD165" s="31"/>
      <c r="GE165" s="31"/>
      <c r="GF165" s="31"/>
      <c r="GG165" s="31"/>
      <c r="GH165" s="31"/>
      <c r="GI165" s="31"/>
      <c r="GJ165" s="31"/>
      <c r="GK165" s="31"/>
      <c r="GL165" s="31"/>
      <c r="GM165" s="31"/>
      <c r="GN165" s="31"/>
      <c r="GO165" s="31"/>
      <c r="GP165" s="31"/>
      <c r="GQ165" s="31"/>
      <c r="GR165" s="31"/>
      <c r="GS165" s="31"/>
      <c r="GT165" s="31"/>
      <c r="GU165" s="31"/>
      <c r="GV165" s="31"/>
      <c r="GW165" s="31"/>
      <c r="GX165" s="31"/>
      <c r="GY165" s="31"/>
      <c r="GZ165" s="31"/>
      <c r="HA165" s="31"/>
      <c r="HB165" s="31"/>
      <c r="HC165" s="31"/>
      <c r="HD165" s="31"/>
      <c r="HE165" s="31"/>
      <c r="HF165" s="31"/>
      <c r="HG165" s="31"/>
      <c r="HH165" s="31"/>
      <c r="HI165" s="31"/>
      <c r="HJ165" s="31"/>
      <c r="HK165" s="31"/>
      <c r="HL165" s="31"/>
      <c r="HM165" s="31"/>
      <c r="HN165" s="31"/>
      <c r="HO165" s="31"/>
      <c r="HP165" s="31"/>
      <c r="HQ165" s="31"/>
      <c r="HR165" s="31"/>
      <c r="HS165" s="31"/>
      <c r="HT165" s="31"/>
      <c r="HU165" s="31"/>
      <c r="HV165" s="31"/>
      <c r="HW165" s="31"/>
      <c r="HX165" s="31"/>
      <c r="HY165" s="31"/>
      <c r="HZ165" s="31"/>
      <c r="IA165" s="31"/>
      <c r="IB165" s="31"/>
      <c r="IC165" s="31"/>
      <c r="ID165" s="31"/>
      <c r="IE165" s="31"/>
      <c r="IF165" s="31"/>
      <c r="IG165" s="31"/>
      <c r="IH165" s="31"/>
      <c r="II165" s="31"/>
      <c r="IJ165" s="31"/>
      <c r="IK165" s="31"/>
      <c r="IL165" s="31"/>
      <c r="IM165" s="31"/>
      <c r="IN165" s="31"/>
      <c r="IO165" s="31"/>
      <c r="IP165" s="31"/>
      <c r="IQ165" s="31"/>
      <c r="IR165" s="31"/>
      <c r="IS165" s="31"/>
      <c r="IT165" s="31"/>
      <c r="IU165" s="31"/>
      <c r="IV165" s="31"/>
      <c r="IW165" s="31"/>
      <c r="IX165" s="31"/>
      <c r="IY165" s="31"/>
      <c r="IZ165" s="31"/>
      <c r="JA165" s="31"/>
      <c r="JB165" s="31"/>
      <c r="JC165" s="31"/>
      <c r="JD165" s="31"/>
      <c r="JE165" s="31"/>
      <c r="JF165" s="31"/>
      <c r="JG165" s="31"/>
      <c r="JH165" s="31"/>
      <c r="JI165" s="31"/>
      <c r="JJ165" s="31"/>
      <c r="JK165" s="31"/>
      <c r="JL165" s="31"/>
      <c r="JM165" s="31"/>
      <c r="JN165" s="31"/>
      <c r="JO165" s="31"/>
      <c r="JP165" s="31"/>
      <c r="JQ165" s="31"/>
      <c r="JR165" s="31"/>
      <c r="JS165" s="31"/>
      <c r="JT165" s="31"/>
      <c r="JU165" s="31"/>
      <c r="JV165" s="31"/>
      <c r="JW165" s="31"/>
      <c r="JX165" s="31"/>
      <c r="JY165" s="31"/>
      <c r="JZ165" s="31"/>
      <c r="KA165" s="31"/>
      <c r="KB165" s="31"/>
      <c r="KC165" s="31"/>
      <c r="KD165" s="31"/>
      <c r="KE165" s="31"/>
      <c r="KF165" s="31"/>
      <c r="KG165" s="31"/>
      <c r="KH165" s="31"/>
      <c r="KI165" s="31"/>
      <c r="KJ165" s="31"/>
      <c r="KK165" s="31"/>
      <c r="KL165" s="31"/>
      <c r="KM165" s="31"/>
      <c r="KN165" s="31"/>
      <c r="KO165" s="31"/>
      <c r="KP165" s="31"/>
      <c r="KQ165" s="31"/>
      <c r="KR165" s="31"/>
      <c r="KS165" s="31"/>
      <c r="KT165" s="31"/>
      <c r="KU165" s="31"/>
      <c r="KV165" s="31"/>
      <c r="KW165" s="31"/>
      <c r="KX165" s="31"/>
      <c r="KY165" s="31"/>
      <c r="KZ165" s="31"/>
      <c r="LA165" s="31"/>
      <c r="LB165" s="31"/>
      <c r="LC165" s="31"/>
      <c r="LD165" s="31"/>
      <c r="LE165" s="31"/>
      <c r="LF165" s="31"/>
      <c r="LG165" s="31"/>
      <c r="LH165" s="31"/>
      <c r="LI165" s="31"/>
      <c r="LJ165" s="31"/>
      <c r="LK165" s="31"/>
      <c r="LL165" s="31"/>
      <c r="LM165" s="31"/>
      <c r="LN165" s="31"/>
      <c r="LO165" s="31"/>
      <c r="LP165" s="31"/>
      <c r="LQ165" s="31"/>
      <c r="LR165" s="31"/>
      <c r="LS165" s="31"/>
      <c r="LT165" s="31"/>
      <c r="LU165" s="31"/>
      <c r="LV165" s="31"/>
      <c r="LW165" s="31"/>
      <c r="LX165" s="31"/>
      <c r="LY165" s="31"/>
      <c r="LZ165" s="31"/>
      <c r="MA165" s="31"/>
      <c r="MB165" s="31"/>
      <c r="MC165" s="31"/>
      <c r="MD165" s="31"/>
      <c r="ME165" s="31"/>
      <c r="MF165" s="31"/>
      <c r="MG165" s="31"/>
      <c r="MH165" s="31"/>
      <c r="MI165" s="31"/>
      <c r="MJ165" s="31"/>
      <c r="MK165" s="31"/>
      <c r="ML165" s="31"/>
      <c r="MM165" s="31"/>
      <c r="MN165" s="31"/>
      <c r="MO165" s="31"/>
      <c r="MP165" s="31"/>
      <c r="MQ165" s="31"/>
      <c r="MR165" s="31"/>
      <c r="MS165" s="31"/>
      <c r="MT165" s="31"/>
      <c r="MU165" s="31"/>
      <c r="MV165" s="31"/>
      <c r="MW165" s="31"/>
      <c r="MX165" s="31"/>
      <c r="MY165" s="31"/>
      <c r="MZ165" s="31"/>
      <c r="NA165" s="31"/>
      <c r="NB165" s="31"/>
      <c r="NC165" s="31"/>
      <c r="ND165" s="31"/>
      <c r="NE165" s="31"/>
      <c r="NF165" s="31"/>
      <c r="NG165" s="31"/>
      <c r="NH165" s="31"/>
      <c r="NI165" s="31"/>
      <c r="NJ165" s="31"/>
      <c r="NK165" s="31"/>
      <c r="NL165" s="31"/>
      <c r="NM165" s="31"/>
      <c r="NN165" s="31"/>
      <c r="NO165" s="31"/>
      <c r="NP165" s="31"/>
      <c r="NQ165" s="31"/>
      <c r="NR165" s="31"/>
      <c r="NS165" s="31"/>
      <c r="NT165" s="31"/>
      <c r="NU165" s="31"/>
      <c r="NV165" s="31"/>
      <c r="NW165" s="31"/>
      <c r="NX165" s="31"/>
      <c r="NY165" s="31"/>
      <c r="NZ165" s="31"/>
      <c r="OA165" s="31"/>
      <c r="OB165" s="31"/>
      <c r="OC165" s="31"/>
      <c r="OD165" s="31"/>
      <c r="OE165" s="31"/>
      <c r="OF165" s="31"/>
      <c r="OG165" s="31"/>
      <c r="OH165" s="31"/>
      <c r="OI165" s="31"/>
      <c r="OJ165" s="31"/>
      <c r="OK165" s="31"/>
      <c r="OL165" s="31"/>
      <c r="OM165" s="31"/>
      <c r="ON165" s="31"/>
      <c r="OO165" s="31"/>
      <c r="OP165" s="31"/>
      <c r="OQ165" s="31"/>
      <c r="OR165" s="31"/>
      <c r="OS165" s="31"/>
      <c r="OT165" s="31"/>
      <c r="OU165" s="31"/>
      <c r="OV165" s="31"/>
      <c r="OW165" s="31"/>
      <c r="OX165" s="31"/>
      <c r="OY165" s="31"/>
      <c r="OZ165" s="31"/>
      <c r="PA165" s="31"/>
      <c r="PB165" s="31"/>
      <c r="PC165" s="31"/>
      <c r="PD165" s="31"/>
      <c r="PE165" s="31"/>
      <c r="PF165" s="31"/>
      <c r="PG165" s="31"/>
      <c r="PH165" s="31"/>
      <c r="PI165" s="31"/>
      <c r="PJ165" s="31"/>
      <c r="PK165" s="31"/>
      <c r="PL165" s="31"/>
      <c r="PM165" s="31"/>
      <c r="PN165" s="31"/>
      <c r="PO165" s="31"/>
      <c r="PP165" s="31"/>
      <c r="PQ165" s="31"/>
      <c r="PR165" s="31"/>
      <c r="PS165" s="31"/>
      <c r="PT165" s="31"/>
      <c r="PU165" s="31"/>
      <c r="PV165" s="31"/>
      <c r="PW165" s="31"/>
      <c r="PX165" s="31"/>
      <c r="PY165" s="31"/>
      <c r="PZ165" s="31"/>
      <c r="QA165" s="31"/>
      <c r="QB165" s="31"/>
      <c r="QC165" s="31"/>
      <c r="QD165" s="31"/>
      <c r="QE165" s="31"/>
      <c r="QF165" s="31"/>
      <c r="QG165" s="31"/>
      <c r="QH165" s="31"/>
      <c r="QI165" s="31"/>
      <c r="QJ165" s="31"/>
      <c r="QK165" s="31"/>
      <c r="QL165" s="31"/>
      <c r="QM165" s="31"/>
      <c r="QN165" s="31"/>
      <c r="QO165" s="31"/>
      <c r="QP165" s="31"/>
      <c r="QQ165" s="31"/>
      <c r="QR165" s="31"/>
      <c r="QS165" s="31"/>
      <c r="QT165" s="31"/>
      <c r="QU165" s="31"/>
      <c r="QV165" s="31"/>
      <c r="QW165" s="31"/>
      <c r="QX165" s="31"/>
      <c r="QY165" s="31"/>
      <c r="QZ165" s="31"/>
      <c r="RA165" s="31"/>
      <c r="RB165" s="31"/>
      <c r="RC165" s="31"/>
      <c r="RD165" s="31"/>
      <c r="RE165" s="31"/>
      <c r="RF165" s="31"/>
      <c r="RG165" s="31"/>
      <c r="RH165" s="31"/>
      <c r="RI165" s="31"/>
      <c r="RJ165" s="31"/>
      <c r="RK165" s="31"/>
      <c r="RL165" s="31"/>
      <c r="RM165" s="31"/>
      <c r="RN165" s="31"/>
      <c r="RO165" s="31"/>
      <c r="RP165" s="31"/>
      <c r="RQ165" s="31"/>
      <c r="RR165" s="31"/>
      <c r="RS165" s="31"/>
      <c r="RT165" s="31"/>
      <c r="RU165" s="31"/>
      <c r="RV165" s="31"/>
      <c r="RW165" s="31"/>
      <c r="RX165" s="31"/>
      <c r="RY165" s="31"/>
      <c r="RZ165" s="31"/>
      <c r="SA165" s="31"/>
      <c r="SB165" s="31"/>
      <c r="SC165" s="31"/>
      <c r="SD165" s="31"/>
      <c r="SE165" s="31"/>
      <c r="SF165" s="31"/>
      <c r="SG165" s="31"/>
      <c r="SH165" s="31"/>
      <c r="SI165" s="31"/>
      <c r="SJ165" s="31"/>
      <c r="SK165" s="31"/>
      <c r="SL165" s="31"/>
      <c r="SM165" s="31"/>
      <c r="SN165" s="31"/>
      <c r="SO165" s="31"/>
      <c r="SP165" s="31"/>
      <c r="SQ165" s="31"/>
      <c r="SR165" s="31"/>
      <c r="SS165" s="31"/>
      <c r="ST165" s="31"/>
      <c r="SU165" s="31"/>
      <c r="SV165" s="31"/>
      <c r="SW165" s="31"/>
      <c r="SX165" s="31"/>
      <c r="SY165" s="31"/>
      <c r="SZ165" s="31"/>
      <c r="TA165" s="31"/>
      <c r="TB165" s="31"/>
      <c r="TC165" s="31"/>
      <c r="TD165" s="31"/>
      <c r="TE165" s="31"/>
      <c r="TF165" s="31"/>
      <c r="TG165" s="31"/>
      <c r="TH165" s="31"/>
      <c r="TI165" s="31"/>
      <c r="TJ165" s="31"/>
      <c r="TK165" s="31"/>
      <c r="TL165" s="31"/>
      <c r="TM165" s="31"/>
      <c r="TN165" s="31"/>
      <c r="TO165" s="31"/>
      <c r="TP165" s="31"/>
      <c r="TQ165" s="31"/>
      <c r="TR165" s="31"/>
      <c r="TS165" s="31"/>
      <c r="TT165" s="31"/>
      <c r="TU165" s="31"/>
      <c r="TV165" s="31"/>
      <c r="TW165" s="31"/>
      <c r="TX165" s="31"/>
      <c r="TY165" s="31"/>
      <c r="TZ165" s="31"/>
      <c r="UA165" s="31"/>
      <c r="UB165" s="31"/>
      <c r="UC165" s="31"/>
      <c r="UD165" s="31"/>
      <c r="UE165" s="31"/>
      <c r="UF165" s="31"/>
      <c r="UG165" s="31"/>
      <c r="UH165" s="31"/>
      <c r="UI165" s="31"/>
      <c r="UJ165" s="31"/>
      <c r="UK165" s="31"/>
      <c r="UL165" s="31"/>
      <c r="UM165" s="31"/>
      <c r="UN165" s="31"/>
      <c r="UO165" s="31"/>
      <c r="UP165" s="31"/>
      <c r="UQ165" s="31"/>
      <c r="UR165" s="31"/>
      <c r="US165" s="31"/>
      <c r="UT165" s="31"/>
      <c r="UU165" s="31"/>
      <c r="UV165" s="31"/>
      <c r="UW165" s="31"/>
      <c r="UX165" s="31"/>
      <c r="UY165" s="31"/>
      <c r="UZ165" s="31"/>
      <c r="VA165" s="31"/>
      <c r="VB165" s="31"/>
      <c r="VC165" s="31"/>
      <c r="VD165" s="31"/>
      <c r="VE165" s="31"/>
      <c r="VF165" s="31"/>
      <c r="VG165" s="31"/>
      <c r="VH165" s="31"/>
      <c r="VI165" s="31"/>
      <c r="VJ165" s="31"/>
      <c r="VK165" s="31"/>
      <c r="VL165" s="31"/>
      <c r="VM165" s="31"/>
      <c r="VN165" s="31"/>
      <c r="VO165" s="31"/>
      <c r="VP165" s="31"/>
      <c r="VQ165" s="31"/>
      <c r="VR165" s="31"/>
      <c r="VS165" s="31"/>
      <c r="VT165" s="31"/>
      <c r="VU165" s="31"/>
      <c r="VV165" s="31"/>
      <c r="VW165" s="31"/>
      <c r="VX165" s="31"/>
      <c r="VY165" s="31"/>
      <c r="VZ165" s="31"/>
      <c r="WA165" s="31"/>
      <c r="WB165" s="31"/>
      <c r="WC165" s="31"/>
      <c r="WD165" s="31"/>
      <c r="WE165" s="31"/>
      <c r="WF165" s="31"/>
      <c r="WG165" s="31"/>
      <c r="WH165" s="31"/>
      <c r="WI165" s="31"/>
      <c r="WJ165" s="31"/>
      <c r="WK165" s="31"/>
      <c r="WL165" s="31"/>
      <c r="WM165" s="31"/>
      <c r="WN165" s="31"/>
      <c r="WO165" s="31"/>
      <c r="WP165" s="31"/>
      <c r="WQ165" s="31"/>
      <c r="WR165" s="31"/>
      <c r="WS165" s="31"/>
      <c r="WT165" s="31"/>
      <c r="WU165" s="31"/>
      <c r="WV165" s="31"/>
      <c r="WW165" s="31"/>
      <c r="WX165" s="31"/>
      <c r="WY165" s="31"/>
      <c r="WZ165" s="31"/>
      <c r="XA165" s="31"/>
      <c r="XB165" s="31"/>
      <c r="XC165" s="31"/>
      <c r="XD165" s="31"/>
      <c r="XE165" s="31"/>
      <c r="XF165" s="31"/>
      <c r="XG165" s="31"/>
      <c r="XH165" s="31"/>
      <c r="XI165" s="31"/>
      <c r="XJ165" s="31"/>
      <c r="XK165" s="31"/>
      <c r="XL165" s="31"/>
      <c r="XM165" s="31"/>
      <c r="XN165" s="31"/>
      <c r="XO165" s="31"/>
      <c r="XP165" s="31"/>
      <c r="XQ165" s="31"/>
      <c r="XR165" s="31"/>
      <c r="XS165" s="31"/>
      <c r="XT165" s="31"/>
      <c r="XU165" s="31"/>
      <c r="XV165" s="31"/>
      <c r="XW165" s="31"/>
      <c r="XX165" s="31"/>
      <c r="XY165" s="31"/>
      <c r="XZ165" s="31"/>
      <c r="YA165" s="31"/>
      <c r="YB165" s="31"/>
      <c r="YC165" s="31"/>
      <c r="YD165" s="31"/>
      <c r="YE165" s="31"/>
      <c r="YF165" s="31"/>
      <c r="YG165" s="31"/>
      <c r="YH165" s="31"/>
      <c r="YI165" s="31"/>
      <c r="YJ165" s="31"/>
      <c r="YK165" s="31"/>
      <c r="YL165" s="31"/>
      <c r="YM165" s="31"/>
      <c r="YN165" s="31"/>
      <c r="YO165" s="31"/>
      <c r="YP165" s="31"/>
      <c r="YQ165" s="31"/>
      <c r="YR165" s="31"/>
      <c r="YS165" s="31"/>
      <c r="YT165" s="31"/>
      <c r="YU165" s="31"/>
      <c r="YV165" s="31"/>
      <c r="YW165" s="31"/>
      <c r="YX165" s="31"/>
      <c r="YY165" s="31"/>
      <c r="YZ165" s="31"/>
      <c r="ZA165" s="31"/>
      <c r="ZB165" s="31"/>
      <c r="ZC165" s="31"/>
      <c r="ZD165" s="31"/>
      <c r="ZE165" s="31"/>
      <c r="ZF165" s="31"/>
      <c r="ZG165" s="31"/>
      <c r="ZH165" s="31"/>
      <c r="ZI165" s="31"/>
      <c r="ZJ165" s="31"/>
      <c r="ZK165" s="31"/>
      <c r="ZL165" s="31"/>
      <c r="ZM165" s="31"/>
      <c r="ZN165" s="31"/>
      <c r="ZO165" s="31"/>
      <c r="ZP165" s="31"/>
      <c r="ZQ165" s="31"/>
      <c r="ZR165" s="31"/>
      <c r="ZS165" s="31"/>
      <c r="ZT165" s="31"/>
      <c r="ZU165" s="31"/>
      <c r="ZV165" s="31"/>
      <c r="ZW165" s="31"/>
      <c r="ZX165" s="31"/>
      <c r="ZY165" s="31"/>
      <c r="ZZ165" s="31"/>
      <c r="AAA165" s="31"/>
      <c r="AAB165" s="31"/>
      <c r="AAC165" s="31"/>
      <c r="AAD165" s="31"/>
      <c r="AAE165" s="31"/>
      <c r="AAF165" s="31"/>
      <c r="AAG165" s="31"/>
      <c r="AAH165" s="31"/>
      <c r="AAI165" s="31"/>
      <c r="AAJ165" s="31"/>
      <c r="AAK165" s="31"/>
      <c r="AAL165" s="31"/>
      <c r="AAM165" s="31"/>
      <c r="AAN165" s="31"/>
      <c r="AAO165" s="31"/>
      <c r="AAP165" s="31"/>
      <c r="AAQ165" s="31"/>
      <c r="AAR165" s="31"/>
      <c r="AAS165" s="31"/>
      <c r="AAT165" s="31"/>
      <c r="AAU165" s="31"/>
      <c r="AAV165" s="31"/>
      <c r="AAW165" s="31"/>
      <c r="AAX165" s="31"/>
      <c r="AAY165" s="31"/>
      <c r="AAZ165" s="31"/>
      <c r="ABA165" s="31"/>
      <c r="ABB165" s="31"/>
      <c r="ABC165" s="31"/>
      <c r="ABD165" s="31"/>
      <c r="ABE165" s="31"/>
      <c r="ABF165" s="31"/>
      <c r="ABG165" s="31"/>
      <c r="ABH165" s="31"/>
      <c r="ABI165" s="31"/>
      <c r="ABJ165" s="31"/>
      <c r="ABK165" s="31"/>
      <c r="ABL165" s="31"/>
      <c r="ABM165" s="31"/>
      <c r="ABN165" s="31"/>
      <c r="ABO165" s="31"/>
      <c r="ABP165" s="31"/>
      <c r="ABQ165" s="31"/>
      <c r="ABR165" s="31"/>
      <c r="ABS165" s="31"/>
      <c r="ABT165" s="31"/>
      <c r="ABU165" s="31"/>
      <c r="ABV165" s="31"/>
      <c r="ABW165" s="31"/>
      <c r="ABX165" s="31"/>
      <c r="ABY165" s="31"/>
      <c r="ABZ165" s="31"/>
      <c r="ACA165" s="31"/>
      <c r="ACB165" s="31"/>
      <c r="ACC165" s="31"/>
      <c r="ACD165" s="31"/>
      <c r="ACE165" s="31"/>
      <c r="ACF165" s="31"/>
      <c r="ACG165" s="31"/>
      <c r="ACH165" s="31"/>
      <c r="ACI165" s="31"/>
      <c r="ACJ165" s="31"/>
      <c r="ACK165" s="31"/>
      <c r="ACL165" s="31"/>
      <c r="ACM165" s="31"/>
      <c r="ACN165" s="31"/>
      <c r="ACO165" s="31"/>
      <c r="ACP165" s="31"/>
      <c r="ACQ165" s="31"/>
      <c r="ACR165" s="31"/>
      <c r="ACS165" s="31"/>
      <c r="ACT165" s="31"/>
      <c r="ACU165" s="31"/>
      <c r="ACV165" s="31"/>
      <c r="ACW165" s="31"/>
      <c r="ACX165" s="31"/>
      <c r="ACY165" s="31"/>
      <c r="ACZ165" s="31"/>
      <c r="ADA165" s="31"/>
      <c r="ADB165" s="31"/>
      <c r="ADC165" s="31"/>
      <c r="ADD165" s="31"/>
      <c r="ADE165" s="31"/>
      <c r="ADF165" s="31"/>
      <c r="ADG165" s="31"/>
      <c r="ADH165" s="31"/>
      <c r="ADI165" s="31"/>
      <c r="ADJ165" s="31"/>
      <c r="ADK165" s="31"/>
      <c r="ADL165" s="31"/>
      <c r="ADM165" s="31"/>
      <c r="ADN165" s="31"/>
      <c r="ADO165" s="31"/>
      <c r="ADP165" s="31"/>
      <c r="ADQ165" s="31"/>
      <c r="ADR165" s="31"/>
      <c r="ADS165" s="31"/>
      <c r="ADT165" s="31"/>
      <c r="ADU165" s="31"/>
      <c r="ADV165" s="31"/>
      <c r="ADW165" s="31"/>
      <c r="ADX165" s="31"/>
      <c r="ADY165" s="31"/>
      <c r="ADZ165" s="31"/>
      <c r="AEA165" s="31"/>
      <c r="AEB165" s="31"/>
      <c r="AEC165" s="31"/>
      <c r="AED165" s="31"/>
      <c r="AEE165" s="31"/>
      <c r="AEF165" s="31"/>
      <c r="AEG165" s="31"/>
      <c r="AEH165" s="31"/>
      <c r="AEI165" s="31"/>
      <c r="AEJ165" s="31"/>
      <c r="AEK165" s="31"/>
      <c r="AEL165" s="31"/>
      <c r="AEM165" s="31"/>
      <c r="AEN165" s="31"/>
      <c r="AEO165" s="31"/>
      <c r="AEP165" s="31"/>
      <c r="AEQ165" s="31"/>
      <c r="AER165" s="31"/>
      <c r="AES165" s="31"/>
      <c r="AET165" s="31"/>
      <c r="AEU165" s="31"/>
      <c r="AEV165" s="31"/>
      <c r="AEW165" s="31"/>
      <c r="AEX165" s="31"/>
      <c r="AEY165" s="31"/>
      <c r="AEZ165" s="31"/>
      <c r="AFA165" s="31"/>
      <c r="AFB165" s="31"/>
      <c r="AFC165" s="31"/>
      <c r="AFD165" s="31"/>
      <c r="AFE165" s="31"/>
      <c r="AFF165" s="31"/>
      <c r="AFG165" s="31"/>
      <c r="AFH165" s="31"/>
      <c r="AFI165" s="31"/>
      <c r="AFJ165" s="31"/>
      <c r="AFK165" s="31"/>
      <c r="AFL165" s="31"/>
      <c r="AFM165" s="31"/>
      <c r="AFN165" s="31"/>
      <c r="AFO165" s="31"/>
      <c r="AFP165" s="31"/>
      <c r="AFQ165" s="31"/>
      <c r="AFR165" s="31"/>
      <c r="AFS165" s="31"/>
      <c r="AFT165" s="31"/>
      <c r="AFU165" s="31"/>
      <c r="AFV165" s="31"/>
      <c r="AFW165" s="31"/>
      <c r="AFX165" s="31"/>
      <c r="AFY165" s="31"/>
      <c r="AFZ165" s="31"/>
      <c r="AGA165" s="31"/>
      <c r="AGB165" s="31"/>
      <c r="AGC165" s="31"/>
      <c r="AGD165" s="31"/>
      <c r="AGE165" s="31"/>
      <c r="AGF165" s="31"/>
      <c r="AGG165" s="31"/>
      <c r="AGH165" s="31"/>
      <c r="AGI165" s="31"/>
      <c r="AGJ165" s="31"/>
      <c r="AGK165" s="31"/>
      <c r="AGL165" s="31"/>
      <c r="AGM165" s="31"/>
      <c r="AGN165" s="31"/>
      <c r="AGO165" s="31"/>
      <c r="AGP165" s="31"/>
      <c r="AGQ165" s="31"/>
      <c r="AGR165" s="31"/>
      <c r="AGS165" s="31"/>
      <c r="AGT165" s="31"/>
      <c r="AGU165" s="31"/>
      <c r="AGV165" s="31"/>
      <c r="AGW165" s="31"/>
      <c r="AGX165" s="31"/>
      <c r="AGY165" s="31"/>
      <c r="AGZ165" s="31"/>
      <c r="AHA165" s="31"/>
      <c r="AHB165" s="31"/>
      <c r="AHC165" s="31"/>
      <c r="AHD165" s="31"/>
      <c r="AHE165" s="31"/>
      <c r="AHF165" s="31"/>
      <c r="AHG165" s="31"/>
      <c r="AHH165" s="31"/>
      <c r="AHI165" s="31"/>
      <c r="AHJ165" s="31"/>
      <c r="AHK165" s="31"/>
      <c r="AHL165" s="31"/>
      <c r="AHM165" s="31"/>
      <c r="AHN165" s="31"/>
      <c r="AHO165" s="31"/>
      <c r="AHP165" s="31"/>
      <c r="AHQ165" s="31"/>
      <c r="AHR165" s="31"/>
      <c r="AHS165" s="31"/>
      <c r="AHT165" s="31"/>
      <c r="AHU165" s="31"/>
      <c r="AHV165" s="31"/>
      <c r="AHW165" s="31"/>
      <c r="AHX165" s="31"/>
      <c r="AHY165" s="31"/>
      <c r="AHZ165" s="31"/>
      <c r="AIA165" s="31"/>
      <c r="AIB165" s="31"/>
      <c r="AIC165" s="31"/>
      <c r="AID165" s="31"/>
      <c r="AIE165" s="31"/>
      <c r="AIF165" s="31"/>
      <c r="AIG165" s="31"/>
      <c r="AIH165" s="31"/>
      <c r="AII165" s="31"/>
      <c r="AIJ165" s="31"/>
      <c r="AIK165" s="31"/>
      <c r="AIL165" s="31"/>
      <c r="AIM165" s="31"/>
      <c r="AIN165" s="31"/>
      <c r="AIO165" s="31"/>
      <c r="AIP165" s="31"/>
      <c r="AIQ165" s="31"/>
      <c r="AIR165" s="31"/>
      <c r="AIS165" s="31"/>
      <c r="AIT165" s="31"/>
      <c r="AIU165" s="31"/>
      <c r="AIV165" s="31"/>
      <c r="AIW165" s="31"/>
      <c r="AIX165" s="31"/>
      <c r="AIY165" s="31"/>
      <c r="AIZ165" s="31"/>
      <c r="AJA165" s="31"/>
      <c r="AJB165" s="31"/>
      <c r="AJC165" s="31"/>
      <c r="AJD165" s="31"/>
      <c r="AJE165" s="31"/>
      <c r="AJF165" s="31"/>
      <c r="AJG165" s="31"/>
      <c r="AJH165" s="31"/>
      <c r="AJI165" s="31"/>
      <c r="AJJ165" s="31"/>
      <c r="AJK165" s="31"/>
      <c r="AJL165" s="31"/>
      <c r="AJM165" s="31"/>
      <c r="AJN165" s="31"/>
      <c r="AJO165" s="31"/>
      <c r="AJP165" s="31"/>
      <c r="AJQ165" s="31"/>
      <c r="AJR165" s="31"/>
      <c r="AJS165" s="31"/>
      <c r="AJT165" s="31"/>
      <c r="AJU165" s="31"/>
      <c r="AJV165" s="31"/>
      <c r="AJW165" s="31"/>
      <c r="AJX165" s="31"/>
      <c r="AJY165" s="31"/>
      <c r="AJZ165" s="31"/>
      <c r="AKA165" s="31"/>
      <c r="AKB165" s="31"/>
      <c r="AKC165" s="31"/>
      <c r="AKD165" s="31"/>
      <c r="AKE165" s="31"/>
      <c r="AKF165" s="31"/>
      <c r="AKG165" s="31"/>
      <c r="AKH165" s="31"/>
      <c r="AKI165" s="31"/>
      <c r="AKJ165" s="31"/>
      <c r="AKK165" s="31"/>
      <c r="AKL165" s="31"/>
      <c r="AKM165" s="31"/>
      <c r="AKN165" s="31"/>
      <c r="AKO165" s="31"/>
      <c r="AKP165" s="31"/>
      <c r="AKQ165" s="31"/>
      <c r="AKR165" s="31"/>
      <c r="AKS165" s="31"/>
      <c r="AKT165" s="31"/>
      <c r="AKU165" s="31"/>
      <c r="AKV165" s="31"/>
      <c r="AKW165" s="31"/>
      <c r="AKX165" s="31"/>
      <c r="AKY165" s="31"/>
      <c r="AKZ165" s="31"/>
      <c r="ALA165" s="31"/>
      <c r="ALB165" s="31"/>
      <c r="ALC165" s="31"/>
      <c r="ALD165" s="31"/>
      <c r="ALE165" s="31"/>
      <c r="ALF165" s="31"/>
      <c r="ALG165" s="31"/>
      <c r="ALH165" s="31"/>
      <c r="ALI165" s="31"/>
      <c r="ALJ165" s="31"/>
      <c r="ALK165" s="31"/>
      <c r="ALL165" s="31"/>
      <c r="ALM165" s="31"/>
      <c r="ALN165" s="31"/>
      <c r="ALO165" s="31"/>
      <c r="ALP165" s="31"/>
      <c r="ALQ165" s="31"/>
      <c r="ALR165" s="31"/>
      <c r="ALS165" s="31"/>
      <c r="ALT165" s="31"/>
      <c r="ALU165" s="31"/>
      <c r="ALV165" s="31"/>
      <c r="ALW165" s="31"/>
      <c r="ALX165" s="31"/>
      <c r="ALY165" s="31"/>
      <c r="ALZ165" s="31"/>
      <c r="AMA165" s="31"/>
      <c r="AMB165" s="31"/>
      <c r="AMC165" s="31"/>
      <c r="AMD165" s="31"/>
      <c r="AME165" s="31"/>
      <c r="AMF165" s="31"/>
      <c r="AMG165" s="31"/>
      <c r="AMH165" s="31"/>
      <c r="AMI165" s="31"/>
      <c r="AMJ165" s="31"/>
      <c r="AMK165" s="31"/>
      <c r="AML165" s="31"/>
      <c r="AMM165" s="31"/>
      <c r="AMN165" s="31"/>
      <c r="AMO165" s="31"/>
      <c r="AMP165" s="31"/>
      <c r="AMQ165" s="31"/>
      <c r="AMR165" s="31"/>
      <c r="AMS165" s="31"/>
      <c r="AMT165" s="31"/>
      <c r="AMU165" s="31"/>
      <c r="AMV165" s="31"/>
      <c r="AMW165" s="31"/>
      <c r="AMX165" s="31"/>
      <c r="AMY165" s="31"/>
      <c r="AMZ165" s="31"/>
      <c r="ANA165" s="31"/>
      <c r="ANB165" s="31"/>
      <c r="ANC165" s="31"/>
      <c r="AND165" s="31"/>
      <c r="ANE165" s="31"/>
      <c r="ANF165" s="31"/>
      <c r="ANG165" s="31"/>
      <c r="ANH165" s="31"/>
      <c r="ANI165" s="31"/>
      <c r="ANJ165" s="31"/>
      <c r="ANK165" s="31"/>
      <c r="ANL165" s="31"/>
      <c r="ANM165" s="31"/>
      <c r="ANN165" s="31"/>
      <c r="ANO165" s="31"/>
      <c r="ANP165" s="31"/>
      <c r="ANQ165" s="31"/>
      <c r="ANR165" s="31"/>
      <c r="ANS165" s="31"/>
      <c r="ANT165" s="31"/>
      <c r="ANU165" s="31"/>
      <c r="ANV165" s="31"/>
      <c r="ANW165" s="31"/>
      <c r="ANX165" s="31"/>
      <c r="ANY165" s="31"/>
      <c r="ANZ165" s="31"/>
      <c r="AOA165" s="31"/>
      <c r="AOB165" s="31"/>
      <c r="AOC165" s="31"/>
      <c r="AOD165" s="31"/>
      <c r="AOE165" s="31"/>
      <c r="AOF165" s="31"/>
      <c r="AOG165" s="31"/>
      <c r="AOH165" s="31"/>
      <c r="AOI165" s="31"/>
      <c r="AOJ165" s="31"/>
      <c r="AOK165" s="31"/>
      <c r="AOL165" s="31"/>
      <c r="AOM165" s="31"/>
      <c r="AON165" s="31"/>
      <c r="AOO165" s="31"/>
      <c r="AOP165" s="31"/>
      <c r="AOQ165" s="31"/>
      <c r="AOR165" s="31"/>
      <c r="AOS165" s="31"/>
      <c r="AOT165" s="31"/>
      <c r="AOU165" s="31"/>
      <c r="AOV165" s="31"/>
      <c r="AOW165" s="31"/>
      <c r="AOX165" s="31"/>
      <c r="AOY165" s="31"/>
      <c r="AOZ165" s="31"/>
      <c r="APA165" s="31"/>
      <c r="APB165" s="31"/>
      <c r="APC165" s="31"/>
      <c r="APD165" s="31"/>
      <c r="APE165" s="31"/>
      <c r="APF165" s="31"/>
      <c r="APG165" s="31"/>
      <c r="APH165" s="31"/>
      <c r="API165" s="31"/>
      <c r="APJ165" s="31"/>
      <c r="APK165" s="31"/>
      <c r="APL165" s="31"/>
      <c r="APM165" s="31"/>
      <c r="APN165" s="31"/>
      <c r="APO165" s="31"/>
      <c r="APP165" s="31"/>
      <c r="APQ165" s="31"/>
      <c r="APR165" s="31"/>
      <c r="APS165" s="31"/>
      <c r="APT165" s="31"/>
      <c r="APU165" s="31"/>
      <c r="APV165" s="31"/>
      <c r="APW165" s="31"/>
      <c r="APX165" s="31"/>
      <c r="APY165" s="31"/>
      <c r="APZ165" s="31"/>
      <c r="AQA165" s="31"/>
      <c r="AQB165" s="31"/>
      <c r="AQC165" s="31"/>
      <c r="AQD165" s="31"/>
      <c r="AQE165" s="31"/>
      <c r="AQF165" s="31"/>
      <c r="AQG165" s="31"/>
      <c r="AQH165" s="31"/>
      <c r="AQI165" s="31"/>
      <c r="AQJ165" s="31"/>
      <c r="AQK165" s="31"/>
      <c r="AQL165" s="31"/>
      <c r="AQM165" s="31"/>
      <c r="AQN165" s="31"/>
      <c r="AQO165" s="31"/>
      <c r="AQP165" s="31"/>
      <c r="AQQ165" s="31"/>
      <c r="AQR165" s="31"/>
      <c r="AQS165" s="31"/>
      <c r="AQT165" s="31"/>
      <c r="AQU165" s="31"/>
      <c r="AQV165" s="31"/>
      <c r="AQW165" s="31"/>
      <c r="AQX165" s="31"/>
      <c r="AQY165" s="31"/>
      <c r="AQZ165" s="31"/>
      <c r="ARA165" s="31"/>
      <c r="ARB165" s="31"/>
      <c r="ARC165" s="31"/>
      <c r="ARD165" s="31"/>
      <c r="ARE165" s="31"/>
      <c r="ARF165" s="31"/>
      <c r="ARG165" s="31"/>
      <c r="ARH165" s="31"/>
      <c r="ARI165" s="31"/>
      <c r="ARJ165" s="31"/>
      <c r="ARK165" s="31"/>
      <c r="ARL165" s="31"/>
      <c r="ARM165" s="31"/>
      <c r="ARN165" s="31"/>
      <c r="ARO165" s="31"/>
      <c r="ARP165" s="31"/>
      <c r="ARQ165" s="31"/>
      <c r="ARR165" s="31"/>
      <c r="ARS165" s="31"/>
      <c r="ART165" s="31"/>
      <c r="ARU165" s="31"/>
      <c r="ARV165" s="31"/>
      <c r="ARW165" s="31"/>
      <c r="ARX165" s="31"/>
      <c r="ARY165" s="31"/>
      <c r="ARZ165" s="31"/>
      <c r="ASA165" s="31"/>
      <c r="ASB165" s="31"/>
      <c r="ASC165" s="31"/>
      <c r="ASD165" s="31"/>
      <c r="ASE165" s="31"/>
      <c r="ASF165" s="31"/>
      <c r="ASG165" s="31"/>
      <c r="ASH165" s="31"/>
      <c r="ASI165" s="31"/>
      <c r="ASJ165" s="31"/>
      <c r="ASK165" s="31"/>
      <c r="ASL165" s="31"/>
      <c r="ASM165" s="31"/>
      <c r="ASN165" s="31"/>
      <c r="ASO165" s="31"/>
      <c r="ASP165" s="31"/>
      <c r="ASQ165" s="31"/>
      <c r="ASR165" s="31"/>
      <c r="ASS165" s="31"/>
      <c r="AST165" s="31"/>
      <c r="ASU165" s="31"/>
      <c r="ASV165" s="31"/>
      <c r="ASW165" s="31"/>
      <c r="ASX165" s="31"/>
      <c r="ASY165" s="31"/>
      <c r="ASZ165" s="31"/>
      <c r="ATA165" s="31"/>
      <c r="ATB165" s="31"/>
      <c r="ATC165" s="31"/>
      <c r="ATD165" s="31"/>
      <c r="ATE165" s="31"/>
    </row>
    <row r="166" spans="1:1201" s="34" customFormat="1" ht="15.75" customHeight="1" x14ac:dyDescent="0.3">
      <c r="A166" s="76"/>
      <c r="B166" s="76"/>
      <c r="C166" s="57" t="s">
        <v>729</v>
      </c>
      <c r="D166" s="63"/>
      <c r="E166" s="63" t="s">
        <v>240</v>
      </c>
      <c r="F166" s="148"/>
      <c r="G166" s="149">
        <v>48526.34</v>
      </c>
      <c r="H166" s="629"/>
      <c r="I166" s="629"/>
      <c r="J166" s="629"/>
      <c r="K166" s="629"/>
      <c r="L166" s="629"/>
      <c r="M166" s="629"/>
      <c r="N166" s="629"/>
      <c r="O166" s="629"/>
      <c r="P166" s="629"/>
      <c r="Q166" s="629"/>
      <c r="R166" s="629"/>
      <c r="S166" s="924">
        <f>'MXD BS'!B38</f>
        <v>608755.99</v>
      </c>
      <c r="T166" s="1076">
        <f>'MXD BS'!C38</f>
        <v>643994.27</v>
      </c>
      <c r="U166" s="1076">
        <f>'MXD BS'!D38</f>
        <v>705068.7</v>
      </c>
      <c r="V166" s="1076">
        <f>'MXD BS'!E38</f>
        <v>995275.17</v>
      </c>
      <c r="W166" s="1076">
        <f>'MXD BS'!F38</f>
        <v>1031079.71</v>
      </c>
      <c r="X166" s="1076">
        <f>'MXD BS'!G38</f>
        <v>1009102.02</v>
      </c>
      <c r="Y166" s="1076">
        <f>'MXD BS'!H38</f>
        <v>1147743.07</v>
      </c>
      <c r="Z166" s="1076">
        <f>'MXD BS'!I38</f>
        <v>185374.79</v>
      </c>
      <c r="AA166" s="1076">
        <f>'MXD BS'!J38</f>
        <v>248689.91</v>
      </c>
      <c r="AB166" s="1076">
        <f>'MXD BS'!K38</f>
        <v>196087.45</v>
      </c>
      <c r="AC166" s="1076">
        <f>'MXD BS'!L38</f>
        <v>197515.13</v>
      </c>
      <c r="AD166" s="1076">
        <f>'MXD BS'!M38</f>
        <v>186235.75</v>
      </c>
      <c r="AE166" s="1076">
        <f>'MXD BS'!N38</f>
        <v>280364.42</v>
      </c>
      <c r="AF166" s="1076">
        <f>'MXD BS'!O38</f>
        <v>150381.95000000001</v>
      </c>
      <c r="AG166" s="1076">
        <f>'MXD BS'!P38</f>
        <v>171648.34</v>
      </c>
      <c r="AH166" s="1076">
        <f>'MXD BS'!Q38</f>
        <v>205563.31</v>
      </c>
      <c r="AI166" s="1076">
        <f>SUM('MXD BS'!R37:R38)</f>
        <v>204231.94</v>
      </c>
      <c r="AJ166" s="1076">
        <f>SUM('MXD BS'!S37:S38)</f>
        <v>330947.65000000002</v>
      </c>
      <c r="AK166" s="1076">
        <f>SUM('MXD BS'!T37:T38)</f>
        <v>265218.09000000003</v>
      </c>
      <c r="AL166" s="1076">
        <f>SUM('MXD BS'!U37:U38)</f>
        <v>394535.05</v>
      </c>
      <c r="AM166" s="1076">
        <f>SUM('MXD BS'!V37:V38)</f>
        <v>494304.93</v>
      </c>
      <c r="AN166" s="1076">
        <f>SUM('MXD BS'!W37:W38)</f>
        <v>574108.94999999995</v>
      </c>
      <c r="AO166" s="1076">
        <f>SUM('MXD BS'!X37:X38)</f>
        <v>465184.95</v>
      </c>
      <c r="AP166" s="629"/>
      <c r="AQ166" s="629"/>
      <c r="AR166" s="618"/>
      <c r="AS166" s="629"/>
      <c r="AT166" s="629"/>
      <c r="AU166" s="629"/>
      <c r="AV166" s="629"/>
      <c r="AW166" s="629"/>
      <c r="AX166" s="629"/>
      <c r="AY166" s="629"/>
      <c r="AZ166" s="629"/>
      <c r="BA166" s="629"/>
      <c r="BB166" s="629"/>
      <c r="BC166" s="629"/>
      <c r="BE166" s="1195">
        <v>1469833.16</v>
      </c>
      <c r="BF166" s="924">
        <f t="shared" si="293"/>
        <v>0</v>
      </c>
      <c r="BG166" s="1195">
        <f t="shared" si="295"/>
        <v>0</v>
      </c>
      <c r="BH166" s="31"/>
      <c r="BI166" s="31"/>
      <c r="BJ166" s="31"/>
      <c r="BK166" s="31"/>
      <c r="BL166" s="31"/>
      <c r="BM166" s="31"/>
      <c r="BN166" s="31"/>
      <c r="BO166" s="31"/>
      <c r="BP166" s="31"/>
      <c r="BQ166" s="31"/>
      <c r="BR166" s="31"/>
      <c r="BS166" s="31"/>
      <c r="BT166" s="31"/>
      <c r="BU166" s="31"/>
      <c r="BV166" s="31"/>
      <c r="BW166" s="31"/>
      <c r="BX166" s="31"/>
      <c r="BY166" s="31"/>
      <c r="BZ166" s="31"/>
      <c r="CA166" s="31"/>
      <c r="CB166" s="31"/>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c r="EX166" s="31"/>
      <c r="EY166" s="31"/>
      <c r="EZ166" s="31"/>
      <c r="FA166" s="31"/>
      <c r="FB166" s="31"/>
      <c r="FC166" s="31"/>
      <c r="FD166" s="31"/>
      <c r="FE166" s="31"/>
      <c r="FF166" s="31"/>
      <c r="FG166" s="31"/>
      <c r="FH166" s="31"/>
      <c r="FI166" s="31"/>
      <c r="FJ166" s="31"/>
      <c r="FK166" s="31"/>
      <c r="FL166" s="31"/>
      <c r="FM166" s="31"/>
      <c r="FN166" s="31"/>
      <c r="FO166" s="31"/>
      <c r="FP166" s="31"/>
      <c r="FQ166" s="31"/>
      <c r="FR166" s="31"/>
      <c r="FS166" s="31"/>
      <c r="FT166" s="31"/>
      <c r="FU166" s="31"/>
      <c r="FV166" s="31"/>
      <c r="FW166" s="31"/>
      <c r="FX166" s="31"/>
      <c r="FY166" s="31"/>
      <c r="FZ166" s="31"/>
      <c r="GA166" s="31"/>
      <c r="GB166" s="31"/>
      <c r="GC166" s="31"/>
      <c r="GD166" s="31"/>
      <c r="GE166" s="31"/>
      <c r="GF166" s="31"/>
      <c r="GG166" s="31"/>
      <c r="GH166" s="31"/>
      <c r="GI166" s="31"/>
      <c r="GJ166" s="31"/>
      <c r="GK166" s="31"/>
      <c r="GL166" s="31"/>
      <c r="GM166" s="31"/>
      <c r="GN166" s="31"/>
      <c r="GO166" s="31"/>
      <c r="GP166" s="31"/>
      <c r="GQ166" s="31"/>
      <c r="GR166" s="31"/>
      <c r="GS166" s="31"/>
      <c r="GT166" s="31"/>
      <c r="GU166" s="31"/>
      <c r="GV166" s="31"/>
      <c r="GW166" s="31"/>
      <c r="GX166" s="31"/>
      <c r="GY166" s="31"/>
      <c r="GZ166" s="31"/>
      <c r="HA166" s="31"/>
      <c r="HB166" s="31"/>
      <c r="HC166" s="31"/>
      <c r="HD166" s="31"/>
      <c r="HE166" s="31"/>
      <c r="HF166" s="31"/>
      <c r="HG166" s="31"/>
      <c r="HH166" s="31"/>
      <c r="HI166" s="31"/>
      <c r="HJ166" s="31"/>
      <c r="HK166" s="31"/>
      <c r="HL166" s="31"/>
      <c r="HM166" s="31"/>
      <c r="HN166" s="31"/>
      <c r="HO166" s="31"/>
      <c r="HP166" s="31"/>
      <c r="HQ166" s="31"/>
      <c r="HR166" s="31"/>
      <c r="HS166" s="31"/>
      <c r="HT166" s="31"/>
      <c r="HU166" s="31"/>
      <c r="HV166" s="31"/>
      <c r="HW166" s="31"/>
      <c r="HX166" s="31"/>
      <c r="HY166" s="31"/>
      <c r="HZ166" s="31"/>
      <c r="IA166" s="31"/>
      <c r="IB166" s="31"/>
      <c r="IC166" s="31"/>
      <c r="ID166" s="31"/>
      <c r="IE166" s="31"/>
      <c r="IF166" s="31"/>
      <c r="IG166" s="31"/>
      <c r="IH166" s="31"/>
      <c r="II166" s="31"/>
      <c r="IJ166" s="31"/>
      <c r="IK166" s="31"/>
      <c r="IL166" s="31"/>
      <c r="IM166" s="31"/>
      <c r="IN166" s="31"/>
      <c r="IO166" s="31"/>
      <c r="IP166" s="31"/>
      <c r="IQ166" s="31"/>
      <c r="IR166" s="31"/>
      <c r="IS166" s="31"/>
      <c r="IT166" s="31"/>
      <c r="IU166" s="31"/>
      <c r="IV166" s="31"/>
      <c r="IW166" s="31"/>
      <c r="IX166" s="31"/>
      <c r="IY166" s="31"/>
      <c r="IZ166" s="31"/>
      <c r="JA166" s="31"/>
      <c r="JB166" s="31"/>
      <c r="JC166" s="31"/>
      <c r="JD166" s="31"/>
      <c r="JE166" s="31"/>
      <c r="JF166" s="31"/>
      <c r="JG166" s="31"/>
      <c r="JH166" s="31"/>
      <c r="JI166" s="31"/>
      <c r="JJ166" s="31"/>
      <c r="JK166" s="31"/>
      <c r="JL166" s="31"/>
      <c r="JM166" s="31"/>
      <c r="JN166" s="31"/>
      <c r="JO166" s="31"/>
      <c r="JP166" s="31"/>
      <c r="JQ166" s="31"/>
      <c r="JR166" s="31"/>
      <c r="JS166" s="31"/>
      <c r="JT166" s="31"/>
      <c r="JU166" s="31"/>
      <c r="JV166" s="31"/>
      <c r="JW166" s="31"/>
      <c r="JX166" s="31"/>
      <c r="JY166" s="31"/>
      <c r="JZ166" s="31"/>
      <c r="KA166" s="31"/>
      <c r="KB166" s="31"/>
      <c r="KC166" s="31"/>
      <c r="KD166" s="31"/>
      <c r="KE166" s="31"/>
      <c r="KF166" s="31"/>
      <c r="KG166" s="31"/>
      <c r="KH166" s="31"/>
      <c r="KI166" s="31"/>
      <c r="KJ166" s="31"/>
      <c r="KK166" s="31"/>
      <c r="KL166" s="31"/>
      <c r="KM166" s="31"/>
      <c r="KN166" s="31"/>
      <c r="KO166" s="31"/>
      <c r="KP166" s="31"/>
      <c r="KQ166" s="31"/>
      <c r="KR166" s="31"/>
      <c r="KS166" s="31"/>
      <c r="KT166" s="31"/>
      <c r="KU166" s="31"/>
      <c r="KV166" s="31"/>
      <c r="KW166" s="31"/>
      <c r="KX166" s="31"/>
      <c r="KY166" s="31"/>
      <c r="KZ166" s="31"/>
      <c r="LA166" s="31"/>
      <c r="LB166" s="31"/>
      <c r="LC166" s="31"/>
      <c r="LD166" s="31"/>
      <c r="LE166" s="31"/>
      <c r="LF166" s="31"/>
      <c r="LG166" s="31"/>
      <c r="LH166" s="31"/>
      <c r="LI166" s="31"/>
      <c r="LJ166" s="31"/>
      <c r="LK166" s="31"/>
      <c r="LL166" s="31"/>
      <c r="LM166" s="31"/>
      <c r="LN166" s="31"/>
      <c r="LO166" s="31"/>
      <c r="LP166" s="31"/>
      <c r="LQ166" s="31"/>
      <c r="LR166" s="31"/>
      <c r="LS166" s="31"/>
      <c r="LT166" s="31"/>
      <c r="LU166" s="31"/>
      <c r="LV166" s="31"/>
      <c r="LW166" s="31"/>
      <c r="LX166" s="31"/>
      <c r="LY166" s="31"/>
      <c r="LZ166" s="31"/>
      <c r="MA166" s="31"/>
      <c r="MB166" s="31"/>
      <c r="MC166" s="31"/>
      <c r="MD166" s="31"/>
      <c r="ME166" s="31"/>
      <c r="MF166" s="31"/>
      <c r="MG166" s="31"/>
      <c r="MH166" s="31"/>
      <c r="MI166" s="31"/>
      <c r="MJ166" s="31"/>
      <c r="MK166" s="31"/>
      <c r="ML166" s="31"/>
      <c r="MM166" s="31"/>
      <c r="MN166" s="31"/>
      <c r="MO166" s="31"/>
      <c r="MP166" s="31"/>
      <c r="MQ166" s="31"/>
      <c r="MR166" s="31"/>
      <c r="MS166" s="31"/>
      <c r="MT166" s="31"/>
      <c r="MU166" s="31"/>
      <c r="MV166" s="31"/>
      <c r="MW166" s="31"/>
      <c r="MX166" s="31"/>
      <c r="MY166" s="31"/>
      <c r="MZ166" s="31"/>
      <c r="NA166" s="31"/>
      <c r="NB166" s="31"/>
      <c r="NC166" s="31"/>
      <c r="ND166" s="31"/>
      <c r="NE166" s="31"/>
      <c r="NF166" s="31"/>
      <c r="NG166" s="31"/>
      <c r="NH166" s="31"/>
      <c r="NI166" s="31"/>
      <c r="NJ166" s="31"/>
      <c r="NK166" s="31"/>
      <c r="NL166" s="31"/>
      <c r="NM166" s="31"/>
      <c r="NN166" s="31"/>
      <c r="NO166" s="31"/>
      <c r="NP166" s="31"/>
      <c r="NQ166" s="31"/>
      <c r="NR166" s="31"/>
      <c r="NS166" s="31"/>
      <c r="NT166" s="31"/>
      <c r="NU166" s="31"/>
      <c r="NV166" s="31"/>
      <c r="NW166" s="31"/>
      <c r="NX166" s="31"/>
      <c r="NY166" s="31"/>
      <c r="NZ166" s="31"/>
      <c r="OA166" s="31"/>
      <c r="OB166" s="31"/>
      <c r="OC166" s="31"/>
      <c r="OD166" s="31"/>
      <c r="OE166" s="31"/>
      <c r="OF166" s="31"/>
      <c r="OG166" s="31"/>
      <c r="OH166" s="31"/>
      <c r="OI166" s="31"/>
      <c r="OJ166" s="31"/>
      <c r="OK166" s="31"/>
      <c r="OL166" s="31"/>
      <c r="OM166" s="31"/>
      <c r="ON166" s="31"/>
      <c r="OO166" s="31"/>
      <c r="OP166" s="31"/>
      <c r="OQ166" s="31"/>
      <c r="OR166" s="31"/>
      <c r="OS166" s="31"/>
      <c r="OT166" s="31"/>
      <c r="OU166" s="31"/>
      <c r="OV166" s="31"/>
      <c r="OW166" s="31"/>
      <c r="OX166" s="31"/>
      <c r="OY166" s="31"/>
      <c r="OZ166" s="31"/>
      <c r="PA166" s="31"/>
      <c r="PB166" s="31"/>
      <c r="PC166" s="31"/>
      <c r="PD166" s="31"/>
      <c r="PE166" s="31"/>
      <c r="PF166" s="31"/>
      <c r="PG166" s="31"/>
      <c r="PH166" s="31"/>
      <c r="PI166" s="31"/>
      <c r="PJ166" s="31"/>
      <c r="PK166" s="31"/>
      <c r="PL166" s="31"/>
      <c r="PM166" s="31"/>
      <c r="PN166" s="31"/>
      <c r="PO166" s="31"/>
      <c r="PP166" s="31"/>
      <c r="PQ166" s="31"/>
      <c r="PR166" s="31"/>
      <c r="PS166" s="31"/>
      <c r="PT166" s="31"/>
      <c r="PU166" s="31"/>
      <c r="PV166" s="31"/>
      <c r="PW166" s="31"/>
      <c r="PX166" s="31"/>
      <c r="PY166" s="31"/>
      <c r="PZ166" s="31"/>
      <c r="QA166" s="31"/>
      <c r="QB166" s="31"/>
      <c r="QC166" s="31"/>
      <c r="QD166" s="31"/>
      <c r="QE166" s="31"/>
      <c r="QF166" s="31"/>
      <c r="QG166" s="31"/>
      <c r="QH166" s="31"/>
      <c r="QI166" s="31"/>
      <c r="QJ166" s="31"/>
      <c r="QK166" s="31"/>
      <c r="QL166" s="31"/>
      <c r="QM166" s="31"/>
      <c r="QN166" s="31"/>
      <c r="QO166" s="31"/>
      <c r="QP166" s="31"/>
      <c r="QQ166" s="31"/>
      <c r="QR166" s="31"/>
      <c r="QS166" s="31"/>
      <c r="QT166" s="31"/>
      <c r="QU166" s="31"/>
      <c r="QV166" s="31"/>
      <c r="QW166" s="31"/>
      <c r="QX166" s="31"/>
      <c r="QY166" s="31"/>
      <c r="QZ166" s="31"/>
      <c r="RA166" s="31"/>
      <c r="RB166" s="31"/>
      <c r="RC166" s="31"/>
      <c r="RD166" s="31"/>
      <c r="RE166" s="31"/>
      <c r="RF166" s="31"/>
      <c r="RG166" s="31"/>
      <c r="RH166" s="31"/>
      <c r="RI166" s="31"/>
      <c r="RJ166" s="31"/>
      <c r="RK166" s="31"/>
      <c r="RL166" s="31"/>
      <c r="RM166" s="31"/>
      <c r="RN166" s="31"/>
      <c r="RO166" s="31"/>
      <c r="RP166" s="31"/>
      <c r="RQ166" s="31"/>
      <c r="RR166" s="31"/>
      <c r="RS166" s="31"/>
      <c r="RT166" s="31"/>
      <c r="RU166" s="31"/>
      <c r="RV166" s="31"/>
      <c r="RW166" s="31"/>
      <c r="RX166" s="31"/>
      <c r="RY166" s="31"/>
      <c r="RZ166" s="31"/>
      <c r="SA166" s="31"/>
      <c r="SB166" s="31"/>
      <c r="SC166" s="31"/>
      <c r="SD166" s="31"/>
      <c r="SE166" s="31"/>
      <c r="SF166" s="31"/>
      <c r="SG166" s="31"/>
      <c r="SH166" s="31"/>
      <c r="SI166" s="31"/>
      <c r="SJ166" s="31"/>
      <c r="SK166" s="31"/>
      <c r="SL166" s="31"/>
      <c r="SM166" s="31"/>
      <c r="SN166" s="31"/>
      <c r="SO166" s="31"/>
      <c r="SP166" s="31"/>
      <c r="SQ166" s="31"/>
      <c r="SR166" s="31"/>
      <c r="SS166" s="31"/>
      <c r="ST166" s="31"/>
      <c r="SU166" s="31"/>
      <c r="SV166" s="31"/>
      <c r="SW166" s="31"/>
      <c r="SX166" s="31"/>
      <c r="SY166" s="31"/>
      <c r="SZ166" s="31"/>
      <c r="TA166" s="31"/>
      <c r="TB166" s="31"/>
      <c r="TC166" s="31"/>
      <c r="TD166" s="31"/>
      <c r="TE166" s="31"/>
      <c r="TF166" s="31"/>
      <c r="TG166" s="31"/>
      <c r="TH166" s="31"/>
      <c r="TI166" s="31"/>
      <c r="TJ166" s="31"/>
      <c r="TK166" s="31"/>
      <c r="TL166" s="31"/>
      <c r="TM166" s="31"/>
      <c r="TN166" s="31"/>
      <c r="TO166" s="31"/>
      <c r="TP166" s="31"/>
      <c r="TQ166" s="31"/>
      <c r="TR166" s="31"/>
      <c r="TS166" s="31"/>
      <c r="TT166" s="31"/>
      <c r="TU166" s="31"/>
      <c r="TV166" s="31"/>
      <c r="TW166" s="31"/>
      <c r="TX166" s="31"/>
      <c r="TY166" s="31"/>
      <c r="TZ166" s="31"/>
      <c r="UA166" s="31"/>
      <c r="UB166" s="31"/>
      <c r="UC166" s="31"/>
      <c r="UD166" s="31"/>
      <c r="UE166" s="31"/>
      <c r="UF166" s="31"/>
      <c r="UG166" s="31"/>
      <c r="UH166" s="31"/>
      <c r="UI166" s="31"/>
      <c r="UJ166" s="31"/>
      <c r="UK166" s="31"/>
      <c r="UL166" s="31"/>
      <c r="UM166" s="31"/>
      <c r="UN166" s="31"/>
      <c r="UO166" s="31"/>
      <c r="UP166" s="31"/>
      <c r="UQ166" s="31"/>
      <c r="UR166" s="31"/>
      <c r="US166" s="31"/>
      <c r="UT166" s="31"/>
      <c r="UU166" s="31"/>
      <c r="UV166" s="31"/>
      <c r="UW166" s="31"/>
      <c r="UX166" s="31"/>
      <c r="UY166" s="31"/>
      <c r="UZ166" s="31"/>
      <c r="VA166" s="31"/>
      <c r="VB166" s="31"/>
      <c r="VC166" s="31"/>
      <c r="VD166" s="31"/>
      <c r="VE166" s="31"/>
      <c r="VF166" s="31"/>
      <c r="VG166" s="31"/>
      <c r="VH166" s="31"/>
      <c r="VI166" s="31"/>
      <c r="VJ166" s="31"/>
      <c r="VK166" s="31"/>
      <c r="VL166" s="31"/>
      <c r="VM166" s="31"/>
      <c r="VN166" s="31"/>
      <c r="VO166" s="31"/>
      <c r="VP166" s="31"/>
      <c r="VQ166" s="31"/>
      <c r="VR166" s="31"/>
      <c r="VS166" s="31"/>
      <c r="VT166" s="31"/>
      <c r="VU166" s="31"/>
      <c r="VV166" s="31"/>
      <c r="VW166" s="31"/>
      <c r="VX166" s="31"/>
      <c r="VY166" s="31"/>
      <c r="VZ166" s="31"/>
      <c r="WA166" s="31"/>
      <c r="WB166" s="31"/>
      <c r="WC166" s="31"/>
      <c r="WD166" s="31"/>
      <c r="WE166" s="31"/>
      <c r="WF166" s="31"/>
      <c r="WG166" s="31"/>
      <c r="WH166" s="31"/>
      <c r="WI166" s="31"/>
      <c r="WJ166" s="31"/>
      <c r="WK166" s="31"/>
      <c r="WL166" s="31"/>
      <c r="WM166" s="31"/>
      <c r="WN166" s="31"/>
      <c r="WO166" s="31"/>
      <c r="WP166" s="31"/>
      <c r="WQ166" s="31"/>
      <c r="WR166" s="31"/>
      <c r="WS166" s="31"/>
      <c r="WT166" s="31"/>
      <c r="WU166" s="31"/>
      <c r="WV166" s="31"/>
      <c r="WW166" s="31"/>
      <c r="WX166" s="31"/>
      <c r="WY166" s="31"/>
      <c r="WZ166" s="31"/>
      <c r="XA166" s="31"/>
      <c r="XB166" s="31"/>
      <c r="XC166" s="31"/>
      <c r="XD166" s="31"/>
      <c r="XE166" s="31"/>
      <c r="XF166" s="31"/>
      <c r="XG166" s="31"/>
      <c r="XH166" s="31"/>
      <c r="XI166" s="31"/>
      <c r="XJ166" s="31"/>
      <c r="XK166" s="31"/>
      <c r="XL166" s="31"/>
      <c r="XM166" s="31"/>
      <c r="XN166" s="31"/>
      <c r="XO166" s="31"/>
      <c r="XP166" s="31"/>
      <c r="XQ166" s="31"/>
      <c r="XR166" s="31"/>
      <c r="XS166" s="31"/>
      <c r="XT166" s="31"/>
      <c r="XU166" s="31"/>
      <c r="XV166" s="31"/>
      <c r="XW166" s="31"/>
      <c r="XX166" s="31"/>
      <c r="XY166" s="31"/>
      <c r="XZ166" s="31"/>
      <c r="YA166" s="31"/>
      <c r="YB166" s="31"/>
      <c r="YC166" s="31"/>
      <c r="YD166" s="31"/>
      <c r="YE166" s="31"/>
      <c r="YF166" s="31"/>
      <c r="YG166" s="31"/>
      <c r="YH166" s="31"/>
      <c r="YI166" s="31"/>
      <c r="YJ166" s="31"/>
      <c r="YK166" s="31"/>
      <c r="YL166" s="31"/>
      <c r="YM166" s="31"/>
      <c r="YN166" s="31"/>
      <c r="YO166" s="31"/>
      <c r="YP166" s="31"/>
      <c r="YQ166" s="31"/>
      <c r="YR166" s="31"/>
      <c r="YS166" s="31"/>
      <c r="YT166" s="31"/>
      <c r="YU166" s="31"/>
      <c r="YV166" s="31"/>
      <c r="YW166" s="31"/>
      <c r="YX166" s="31"/>
      <c r="YY166" s="31"/>
      <c r="YZ166" s="31"/>
      <c r="ZA166" s="31"/>
      <c r="ZB166" s="31"/>
      <c r="ZC166" s="31"/>
      <c r="ZD166" s="31"/>
      <c r="ZE166" s="31"/>
      <c r="ZF166" s="31"/>
      <c r="ZG166" s="31"/>
      <c r="ZH166" s="31"/>
      <c r="ZI166" s="31"/>
      <c r="ZJ166" s="31"/>
      <c r="ZK166" s="31"/>
      <c r="ZL166" s="31"/>
      <c r="ZM166" s="31"/>
      <c r="ZN166" s="31"/>
      <c r="ZO166" s="31"/>
      <c r="ZP166" s="31"/>
      <c r="ZQ166" s="31"/>
      <c r="ZR166" s="31"/>
      <c r="ZS166" s="31"/>
      <c r="ZT166" s="31"/>
      <c r="ZU166" s="31"/>
      <c r="ZV166" s="31"/>
      <c r="ZW166" s="31"/>
      <c r="ZX166" s="31"/>
      <c r="ZY166" s="31"/>
      <c r="ZZ166" s="31"/>
      <c r="AAA166" s="31"/>
      <c r="AAB166" s="31"/>
      <c r="AAC166" s="31"/>
      <c r="AAD166" s="31"/>
      <c r="AAE166" s="31"/>
      <c r="AAF166" s="31"/>
      <c r="AAG166" s="31"/>
      <c r="AAH166" s="31"/>
      <c r="AAI166" s="31"/>
      <c r="AAJ166" s="31"/>
      <c r="AAK166" s="31"/>
      <c r="AAL166" s="31"/>
      <c r="AAM166" s="31"/>
      <c r="AAN166" s="31"/>
      <c r="AAO166" s="31"/>
      <c r="AAP166" s="31"/>
      <c r="AAQ166" s="31"/>
      <c r="AAR166" s="31"/>
      <c r="AAS166" s="31"/>
      <c r="AAT166" s="31"/>
      <c r="AAU166" s="31"/>
      <c r="AAV166" s="31"/>
      <c r="AAW166" s="31"/>
      <c r="AAX166" s="31"/>
      <c r="AAY166" s="31"/>
      <c r="AAZ166" s="31"/>
      <c r="ABA166" s="31"/>
      <c r="ABB166" s="31"/>
      <c r="ABC166" s="31"/>
      <c r="ABD166" s="31"/>
      <c r="ABE166" s="31"/>
      <c r="ABF166" s="31"/>
      <c r="ABG166" s="31"/>
      <c r="ABH166" s="31"/>
      <c r="ABI166" s="31"/>
      <c r="ABJ166" s="31"/>
      <c r="ABK166" s="31"/>
      <c r="ABL166" s="31"/>
      <c r="ABM166" s="31"/>
      <c r="ABN166" s="31"/>
      <c r="ABO166" s="31"/>
      <c r="ABP166" s="31"/>
      <c r="ABQ166" s="31"/>
      <c r="ABR166" s="31"/>
      <c r="ABS166" s="31"/>
      <c r="ABT166" s="31"/>
      <c r="ABU166" s="31"/>
      <c r="ABV166" s="31"/>
      <c r="ABW166" s="31"/>
      <c r="ABX166" s="31"/>
      <c r="ABY166" s="31"/>
      <c r="ABZ166" s="31"/>
      <c r="ACA166" s="31"/>
      <c r="ACB166" s="31"/>
      <c r="ACC166" s="31"/>
      <c r="ACD166" s="31"/>
      <c r="ACE166" s="31"/>
      <c r="ACF166" s="31"/>
      <c r="ACG166" s="31"/>
      <c r="ACH166" s="31"/>
      <c r="ACI166" s="31"/>
      <c r="ACJ166" s="31"/>
      <c r="ACK166" s="31"/>
      <c r="ACL166" s="31"/>
      <c r="ACM166" s="31"/>
      <c r="ACN166" s="31"/>
      <c r="ACO166" s="31"/>
      <c r="ACP166" s="31"/>
      <c r="ACQ166" s="31"/>
      <c r="ACR166" s="31"/>
      <c r="ACS166" s="31"/>
      <c r="ACT166" s="31"/>
      <c r="ACU166" s="31"/>
      <c r="ACV166" s="31"/>
      <c r="ACW166" s="31"/>
      <c r="ACX166" s="31"/>
      <c r="ACY166" s="31"/>
      <c r="ACZ166" s="31"/>
      <c r="ADA166" s="31"/>
      <c r="ADB166" s="31"/>
      <c r="ADC166" s="31"/>
      <c r="ADD166" s="31"/>
      <c r="ADE166" s="31"/>
      <c r="ADF166" s="31"/>
      <c r="ADG166" s="31"/>
      <c r="ADH166" s="31"/>
      <c r="ADI166" s="31"/>
      <c r="ADJ166" s="31"/>
      <c r="ADK166" s="31"/>
      <c r="ADL166" s="31"/>
      <c r="ADM166" s="31"/>
      <c r="ADN166" s="31"/>
      <c r="ADO166" s="31"/>
      <c r="ADP166" s="31"/>
      <c r="ADQ166" s="31"/>
      <c r="ADR166" s="31"/>
      <c r="ADS166" s="31"/>
      <c r="ADT166" s="31"/>
      <c r="ADU166" s="31"/>
      <c r="ADV166" s="31"/>
      <c r="ADW166" s="31"/>
      <c r="ADX166" s="31"/>
      <c r="ADY166" s="31"/>
      <c r="ADZ166" s="31"/>
      <c r="AEA166" s="31"/>
      <c r="AEB166" s="31"/>
      <c r="AEC166" s="31"/>
      <c r="AED166" s="31"/>
      <c r="AEE166" s="31"/>
      <c r="AEF166" s="31"/>
      <c r="AEG166" s="31"/>
      <c r="AEH166" s="31"/>
      <c r="AEI166" s="31"/>
      <c r="AEJ166" s="31"/>
      <c r="AEK166" s="31"/>
      <c r="AEL166" s="31"/>
      <c r="AEM166" s="31"/>
      <c r="AEN166" s="31"/>
      <c r="AEO166" s="31"/>
      <c r="AEP166" s="31"/>
      <c r="AEQ166" s="31"/>
      <c r="AER166" s="31"/>
      <c r="AES166" s="31"/>
      <c r="AET166" s="31"/>
      <c r="AEU166" s="31"/>
      <c r="AEV166" s="31"/>
      <c r="AEW166" s="31"/>
      <c r="AEX166" s="31"/>
      <c r="AEY166" s="31"/>
      <c r="AEZ166" s="31"/>
      <c r="AFA166" s="31"/>
      <c r="AFB166" s="31"/>
      <c r="AFC166" s="31"/>
      <c r="AFD166" s="31"/>
      <c r="AFE166" s="31"/>
      <c r="AFF166" s="31"/>
      <c r="AFG166" s="31"/>
      <c r="AFH166" s="31"/>
      <c r="AFI166" s="31"/>
      <c r="AFJ166" s="31"/>
      <c r="AFK166" s="31"/>
      <c r="AFL166" s="31"/>
      <c r="AFM166" s="31"/>
      <c r="AFN166" s="31"/>
      <c r="AFO166" s="31"/>
      <c r="AFP166" s="31"/>
      <c r="AFQ166" s="31"/>
      <c r="AFR166" s="31"/>
      <c r="AFS166" s="31"/>
      <c r="AFT166" s="31"/>
      <c r="AFU166" s="31"/>
      <c r="AFV166" s="31"/>
      <c r="AFW166" s="31"/>
      <c r="AFX166" s="31"/>
      <c r="AFY166" s="31"/>
      <c r="AFZ166" s="31"/>
      <c r="AGA166" s="31"/>
      <c r="AGB166" s="31"/>
      <c r="AGC166" s="31"/>
      <c r="AGD166" s="31"/>
      <c r="AGE166" s="31"/>
      <c r="AGF166" s="31"/>
      <c r="AGG166" s="31"/>
      <c r="AGH166" s="31"/>
      <c r="AGI166" s="31"/>
      <c r="AGJ166" s="31"/>
      <c r="AGK166" s="31"/>
      <c r="AGL166" s="31"/>
      <c r="AGM166" s="31"/>
      <c r="AGN166" s="31"/>
      <c r="AGO166" s="31"/>
      <c r="AGP166" s="31"/>
      <c r="AGQ166" s="31"/>
      <c r="AGR166" s="31"/>
      <c r="AGS166" s="31"/>
      <c r="AGT166" s="31"/>
      <c r="AGU166" s="31"/>
      <c r="AGV166" s="31"/>
      <c r="AGW166" s="31"/>
      <c r="AGX166" s="31"/>
      <c r="AGY166" s="31"/>
      <c r="AGZ166" s="31"/>
      <c r="AHA166" s="31"/>
      <c r="AHB166" s="31"/>
      <c r="AHC166" s="31"/>
      <c r="AHD166" s="31"/>
      <c r="AHE166" s="31"/>
      <c r="AHF166" s="31"/>
      <c r="AHG166" s="31"/>
      <c r="AHH166" s="31"/>
      <c r="AHI166" s="31"/>
      <c r="AHJ166" s="31"/>
      <c r="AHK166" s="31"/>
      <c r="AHL166" s="31"/>
      <c r="AHM166" s="31"/>
      <c r="AHN166" s="31"/>
      <c r="AHO166" s="31"/>
      <c r="AHP166" s="31"/>
      <c r="AHQ166" s="31"/>
      <c r="AHR166" s="31"/>
      <c r="AHS166" s="31"/>
      <c r="AHT166" s="31"/>
      <c r="AHU166" s="31"/>
      <c r="AHV166" s="31"/>
      <c r="AHW166" s="31"/>
      <c r="AHX166" s="31"/>
      <c r="AHY166" s="31"/>
      <c r="AHZ166" s="31"/>
      <c r="AIA166" s="31"/>
      <c r="AIB166" s="31"/>
      <c r="AIC166" s="31"/>
      <c r="AID166" s="31"/>
      <c r="AIE166" s="31"/>
      <c r="AIF166" s="31"/>
      <c r="AIG166" s="31"/>
      <c r="AIH166" s="31"/>
      <c r="AII166" s="31"/>
      <c r="AIJ166" s="31"/>
      <c r="AIK166" s="31"/>
      <c r="AIL166" s="31"/>
      <c r="AIM166" s="31"/>
      <c r="AIN166" s="31"/>
      <c r="AIO166" s="31"/>
      <c r="AIP166" s="31"/>
      <c r="AIQ166" s="31"/>
      <c r="AIR166" s="31"/>
      <c r="AIS166" s="31"/>
      <c r="AIT166" s="31"/>
      <c r="AIU166" s="31"/>
      <c r="AIV166" s="31"/>
      <c r="AIW166" s="31"/>
      <c r="AIX166" s="31"/>
      <c r="AIY166" s="31"/>
      <c r="AIZ166" s="31"/>
      <c r="AJA166" s="31"/>
      <c r="AJB166" s="31"/>
      <c r="AJC166" s="31"/>
      <c r="AJD166" s="31"/>
      <c r="AJE166" s="31"/>
      <c r="AJF166" s="31"/>
      <c r="AJG166" s="31"/>
      <c r="AJH166" s="31"/>
      <c r="AJI166" s="31"/>
      <c r="AJJ166" s="31"/>
      <c r="AJK166" s="31"/>
      <c r="AJL166" s="31"/>
      <c r="AJM166" s="31"/>
      <c r="AJN166" s="31"/>
      <c r="AJO166" s="31"/>
      <c r="AJP166" s="31"/>
      <c r="AJQ166" s="31"/>
      <c r="AJR166" s="31"/>
      <c r="AJS166" s="31"/>
      <c r="AJT166" s="31"/>
      <c r="AJU166" s="31"/>
      <c r="AJV166" s="31"/>
      <c r="AJW166" s="31"/>
      <c r="AJX166" s="31"/>
      <c r="AJY166" s="31"/>
      <c r="AJZ166" s="31"/>
      <c r="AKA166" s="31"/>
      <c r="AKB166" s="31"/>
      <c r="AKC166" s="31"/>
      <c r="AKD166" s="31"/>
      <c r="AKE166" s="31"/>
      <c r="AKF166" s="31"/>
      <c r="AKG166" s="31"/>
      <c r="AKH166" s="31"/>
      <c r="AKI166" s="31"/>
      <c r="AKJ166" s="31"/>
      <c r="AKK166" s="31"/>
      <c r="AKL166" s="31"/>
      <c r="AKM166" s="31"/>
      <c r="AKN166" s="31"/>
      <c r="AKO166" s="31"/>
      <c r="AKP166" s="31"/>
      <c r="AKQ166" s="31"/>
      <c r="AKR166" s="31"/>
      <c r="AKS166" s="31"/>
      <c r="AKT166" s="31"/>
      <c r="AKU166" s="31"/>
      <c r="AKV166" s="31"/>
      <c r="AKW166" s="31"/>
      <c r="AKX166" s="31"/>
      <c r="AKY166" s="31"/>
      <c r="AKZ166" s="31"/>
      <c r="ALA166" s="31"/>
      <c r="ALB166" s="31"/>
      <c r="ALC166" s="31"/>
      <c r="ALD166" s="31"/>
      <c r="ALE166" s="31"/>
      <c r="ALF166" s="31"/>
      <c r="ALG166" s="31"/>
      <c r="ALH166" s="31"/>
      <c r="ALI166" s="31"/>
      <c r="ALJ166" s="31"/>
      <c r="ALK166" s="31"/>
      <c r="ALL166" s="31"/>
      <c r="ALM166" s="31"/>
      <c r="ALN166" s="31"/>
      <c r="ALO166" s="31"/>
      <c r="ALP166" s="31"/>
      <c r="ALQ166" s="31"/>
      <c r="ALR166" s="31"/>
      <c r="ALS166" s="31"/>
      <c r="ALT166" s="31"/>
      <c r="ALU166" s="31"/>
      <c r="ALV166" s="31"/>
      <c r="ALW166" s="31"/>
      <c r="ALX166" s="31"/>
      <c r="ALY166" s="31"/>
      <c r="ALZ166" s="31"/>
      <c r="AMA166" s="31"/>
      <c r="AMB166" s="31"/>
      <c r="AMC166" s="31"/>
      <c r="AMD166" s="31"/>
      <c r="AME166" s="31"/>
      <c r="AMF166" s="31"/>
      <c r="AMG166" s="31"/>
      <c r="AMH166" s="31"/>
      <c r="AMI166" s="31"/>
      <c r="AMJ166" s="31"/>
      <c r="AMK166" s="31"/>
      <c r="AML166" s="31"/>
      <c r="AMM166" s="31"/>
      <c r="AMN166" s="31"/>
      <c r="AMO166" s="31"/>
      <c r="AMP166" s="31"/>
      <c r="AMQ166" s="31"/>
      <c r="AMR166" s="31"/>
      <c r="AMS166" s="31"/>
      <c r="AMT166" s="31"/>
      <c r="AMU166" s="31"/>
      <c r="AMV166" s="31"/>
      <c r="AMW166" s="31"/>
      <c r="AMX166" s="31"/>
      <c r="AMY166" s="31"/>
      <c r="AMZ166" s="31"/>
      <c r="ANA166" s="31"/>
      <c r="ANB166" s="31"/>
      <c r="ANC166" s="31"/>
      <c r="AND166" s="31"/>
      <c r="ANE166" s="31"/>
      <c r="ANF166" s="31"/>
      <c r="ANG166" s="31"/>
      <c r="ANH166" s="31"/>
      <c r="ANI166" s="31"/>
      <c r="ANJ166" s="31"/>
      <c r="ANK166" s="31"/>
      <c r="ANL166" s="31"/>
      <c r="ANM166" s="31"/>
      <c r="ANN166" s="31"/>
      <c r="ANO166" s="31"/>
      <c r="ANP166" s="31"/>
      <c r="ANQ166" s="31"/>
      <c r="ANR166" s="31"/>
      <c r="ANS166" s="31"/>
      <c r="ANT166" s="31"/>
      <c r="ANU166" s="31"/>
      <c r="ANV166" s="31"/>
      <c r="ANW166" s="31"/>
      <c r="ANX166" s="31"/>
      <c r="ANY166" s="31"/>
      <c r="ANZ166" s="31"/>
      <c r="AOA166" s="31"/>
      <c r="AOB166" s="31"/>
      <c r="AOC166" s="31"/>
      <c r="AOD166" s="31"/>
      <c r="AOE166" s="31"/>
      <c r="AOF166" s="31"/>
      <c r="AOG166" s="31"/>
      <c r="AOH166" s="31"/>
      <c r="AOI166" s="31"/>
      <c r="AOJ166" s="31"/>
      <c r="AOK166" s="31"/>
      <c r="AOL166" s="31"/>
      <c r="AOM166" s="31"/>
      <c r="AON166" s="31"/>
      <c r="AOO166" s="31"/>
      <c r="AOP166" s="31"/>
      <c r="AOQ166" s="31"/>
      <c r="AOR166" s="31"/>
      <c r="AOS166" s="31"/>
      <c r="AOT166" s="31"/>
      <c r="AOU166" s="31"/>
      <c r="AOV166" s="31"/>
      <c r="AOW166" s="31"/>
      <c r="AOX166" s="31"/>
      <c r="AOY166" s="31"/>
      <c r="AOZ166" s="31"/>
      <c r="APA166" s="31"/>
      <c r="APB166" s="31"/>
      <c r="APC166" s="31"/>
      <c r="APD166" s="31"/>
      <c r="APE166" s="31"/>
      <c r="APF166" s="31"/>
      <c r="APG166" s="31"/>
      <c r="APH166" s="31"/>
      <c r="API166" s="31"/>
      <c r="APJ166" s="31"/>
      <c r="APK166" s="31"/>
      <c r="APL166" s="31"/>
      <c r="APM166" s="31"/>
      <c r="APN166" s="31"/>
      <c r="APO166" s="31"/>
      <c r="APP166" s="31"/>
      <c r="APQ166" s="31"/>
      <c r="APR166" s="31"/>
      <c r="APS166" s="31"/>
      <c r="APT166" s="31"/>
      <c r="APU166" s="31"/>
      <c r="APV166" s="31"/>
      <c r="APW166" s="31"/>
      <c r="APX166" s="31"/>
      <c r="APY166" s="31"/>
      <c r="APZ166" s="31"/>
      <c r="AQA166" s="31"/>
      <c r="AQB166" s="31"/>
      <c r="AQC166" s="31"/>
      <c r="AQD166" s="31"/>
      <c r="AQE166" s="31"/>
      <c r="AQF166" s="31"/>
      <c r="AQG166" s="31"/>
      <c r="AQH166" s="31"/>
      <c r="AQI166" s="31"/>
      <c r="AQJ166" s="31"/>
      <c r="AQK166" s="31"/>
      <c r="AQL166" s="31"/>
      <c r="AQM166" s="31"/>
      <c r="AQN166" s="31"/>
      <c r="AQO166" s="31"/>
      <c r="AQP166" s="31"/>
      <c r="AQQ166" s="31"/>
      <c r="AQR166" s="31"/>
      <c r="AQS166" s="31"/>
      <c r="AQT166" s="31"/>
      <c r="AQU166" s="31"/>
      <c r="AQV166" s="31"/>
      <c r="AQW166" s="31"/>
      <c r="AQX166" s="31"/>
      <c r="AQY166" s="31"/>
      <c r="AQZ166" s="31"/>
      <c r="ARA166" s="31"/>
      <c r="ARB166" s="31"/>
      <c r="ARC166" s="31"/>
      <c r="ARD166" s="31"/>
      <c r="ARE166" s="31"/>
      <c r="ARF166" s="31"/>
      <c r="ARG166" s="31"/>
      <c r="ARH166" s="31"/>
      <c r="ARI166" s="31"/>
      <c r="ARJ166" s="31"/>
      <c r="ARK166" s="31"/>
      <c r="ARL166" s="31"/>
      <c r="ARM166" s="31"/>
      <c r="ARN166" s="31"/>
      <c r="ARO166" s="31"/>
      <c r="ARP166" s="31"/>
      <c r="ARQ166" s="31"/>
      <c r="ARR166" s="31"/>
      <c r="ARS166" s="31"/>
      <c r="ART166" s="31"/>
      <c r="ARU166" s="31"/>
      <c r="ARV166" s="31"/>
      <c r="ARW166" s="31"/>
      <c r="ARX166" s="31"/>
      <c r="ARY166" s="31"/>
      <c r="ARZ166" s="31"/>
      <c r="ASA166" s="31"/>
      <c r="ASB166" s="31"/>
      <c r="ASC166" s="31"/>
      <c r="ASD166" s="31"/>
      <c r="ASE166" s="31"/>
      <c r="ASF166" s="31"/>
      <c r="ASG166" s="31"/>
      <c r="ASH166" s="31"/>
      <c r="ASI166" s="31"/>
      <c r="ASJ166" s="31"/>
      <c r="ASK166" s="31"/>
      <c r="ASL166" s="31"/>
      <c r="ASM166" s="31"/>
      <c r="ASN166" s="31"/>
      <c r="ASO166" s="31"/>
      <c r="ASP166" s="31"/>
      <c r="ASQ166" s="31"/>
      <c r="ASR166" s="31"/>
      <c r="ASS166" s="31"/>
      <c r="AST166" s="31"/>
      <c r="ASU166" s="31"/>
      <c r="ASV166" s="31"/>
      <c r="ASW166" s="31"/>
      <c r="ASX166" s="31"/>
      <c r="ASY166" s="31"/>
      <c r="ASZ166" s="31"/>
      <c r="ATA166" s="31"/>
      <c r="ATB166" s="31"/>
      <c r="ATC166" s="31"/>
      <c r="ATD166" s="31"/>
      <c r="ATE166" s="31"/>
    </row>
    <row r="167" spans="1:1201" s="34" customFormat="1" ht="15.75" customHeight="1" x14ac:dyDescent="0.3">
      <c r="A167" s="76"/>
      <c r="B167" s="76"/>
      <c r="C167" s="57" t="s">
        <v>730</v>
      </c>
      <c r="D167" s="63"/>
      <c r="E167" s="63"/>
      <c r="F167" s="148"/>
      <c r="G167" s="149"/>
      <c r="H167" s="629"/>
      <c r="I167" s="629"/>
      <c r="J167" s="629"/>
      <c r="K167" s="629"/>
      <c r="L167" s="629"/>
      <c r="M167" s="629"/>
      <c r="N167" s="629"/>
      <c r="O167" s="629"/>
      <c r="P167" s="629"/>
      <c r="Q167" s="629"/>
      <c r="R167" s="629"/>
      <c r="S167" s="924">
        <f>'MXD BS'!B35+'MXD BS'!B37</f>
        <v>0</v>
      </c>
      <c r="T167" s="1076">
        <f>'MXD BS'!C35+'MXD BS'!C37</f>
        <v>0</v>
      </c>
      <c r="U167" s="1076">
        <f>'MXD BS'!D35+'MXD BS'!D37</f>
        <v>-1242.69</v>
      </c>
      <c r="V167" s="1076">
        <f>'MXD BS'!E35+'MXD BS'!E37</f>
        <v>-2023.98</v>
      </c>
      <c r="W167" s="1076">
        <f>'MXD BS'!F35+'MXD BS'!F37</f>
        <v>0</v>
      </c>
      <c r="X167" s="1076">
        <f>'MXD BS'!G35+'MXD BS'!G37</f>
        <v>0</v>
      </c>
      <c r="Y167" s="1076">
        <f>'MXD BS'!H35+'MXD BS'!H37</f>
        <v>0</v>
      </c>
      <c r="Z167" s="1076">
        <f>'MXD BS'!I35+'MXD BS'!I37</f>
        <v>0</v>
      </c>
      <c r="AA167" s="1076">
        <f>'MXD BS'!J35+'MXD BS'!J37</f>
        <v>0</v>
      </c>
      <c r="AB167" s="1076">
        <f>'MXD BS'!K35+'MXD BS'!K37</f>
        <v>0</v>
      </c>
      <c r="AC167" s="1076">
        <f>'MXD BS'!L35+'MXD BS'!L37</f>
        <v>0</v>
      </c>
      <c r="AD167" s="1076">
        <f>'MXD BS'!M35+'MXD BS'!M37</f>
        <v>-527.62</v>
      </c>
      <c r="AE167" s="1076">
        <f>'MXD BS'!N35+'MXD BS'!N37</f>
        <v>0</v>
      </c>
      <c r="AF167" s="1076">
        <f>'MXD BS'!O35+'MXD BS'!O37</f>
        <v>0</v>
      </c>
      <c r="AG167" s="1076">
        <f>'MXD BS'!P35+'MXD BS'!P37</f>
        <v>0</v>
      </c>
      <c r="AH167" s="1076">
        <f>'MXD BS'!Q35+'MXD BS'!Q37</f>
        <v>0</v>
      </c>
      <c r="AI167" s="1076">
        <f>'MXD BS'!R35+'MXD BS'!R37</f>
        <v>0</v>
      </c>
      <c r="AJ167" s="1076">
        <f>'MXD BS'!S35+'MXD BS'!S37</f>
        <v>0</v>
      </c>
      <c r="AK167" s="1076">
        <f>'MXD BS'!T35+'MXD BS'!T37</f>
        <v>0</v>
      </c>
      <c r="AL167" s="1076">
        <f>'MXD BS'!U35+'MXD BS'!U37</f>
        <v>0</v>
      </c>
      <c r="AM167" s="1076">
        <f>'MXD BS'!V35+'MXD BS'!V37</f>
        <v>0</v>
      </c>
      <c r="AN167" s="1076">
        <f>'MXD BS'!W35+'MXD BS'!W37</f>
        <v>0</v>
      </c>
      <c r="AO167" s="1076">
        <v>0</v>
      </c>
      <c r="AP167" s="629"/>
      <c r="AQ167" s="629"/>
      <c r="AR167" s="618"/>
      <c r="AS167" s="629"/>
      <c r="AT167" s="629"/>
      <c r="AU167" s="629"/>
      <c r="AV167" s="629"/>
      <c r="AW167" s="629"/>
      <c r="AX167" s="629"/>
      <c r="AY167" s="629"/>
      <c r="AZ167" s="629"/>
      <c r="BA167" s="629"/>
      <c r="BB167" s="629"/>
      <c r="BC167" s="629"/>
      <c r="BE167" s="1195">
        <v>1469833.16</v>
      </c>
      <c r="BF167" s="924">
        <f t="shared" si="293"/>
        <v>0</v>
      </c>
      <c r="BG167" s="1195">
        <f t="shared" si="295"/>
        <v>0</v>
      </c>
      <c r="BH167" s="31"/>
      <c r="BI167" s="31"/>
      <c r="BJ167" s="31"/>
      <c r="BK167" s="31"/>
      <c r="BL167" s="31"/>
      <c r="BM167" s="31"/>
      <c r="BN167" s="31"/>
      <c r="BO167" s="31"/>
      <c r="BP167" s="31"/>
      <c r="BQ167" s="31"/>
      <c r="BR167" s="31"/>
      <c r="BS167" s="31"/>
      <c r="BT167" s="31"/>
      <c r="BU167" s="31"/>
      <c r="BV167" s="31"/>
      <c r="BW167" s="31"/>
      <c r="BX167" s="31"/>
      <c r="BY167" s="31"/>
      <c r="BZ167" s="31"/>
      <c r="CA167" s="31"/>
      <c r="CB167" s="31"/>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c r="EX167" s="31"/>
      <c r="EY167" s="31"/>
      <c r="EZ167" s="31"/>
      <c r="FA167" s="31"/>
      <c r="FB167" s="31"/>
      <c r="FC167" s="31"/>
      <c r="FD167" s="31"/>
      <c r="FE167" s="31"/>
      <c r="FF167" s="31"/>
      <c r="FG167" s="31"/>
      <c r="FH167" s="31"/>
      <c r="FI167" s="31"/>
      <c r="FJ167" s="31"/>
      <c r="FK167" s="31"/>
      <c r="FL167" s="31"/>
      <c r="FM167" s="31"/>
      <c r="FN167" s="31"/>
      <c r="FO167" s="31"/>
      <c r="FP167" s="31"/>
      <c r="FQ167" s="31"/>
      <c r="FR167" s="31"/>
      <c r="FS167" s="31"/>
      <c r="FT167" s="31"/>
      <c r="FU167" s="31"/>
      <c r="FV167" s="31"/>
      <c r="FW167" s="31"/>
      <c r="FX167" s="31"/>
      <c r="FY167" s="31"/>
      <c r="FZ167" s="31"/>
      <c r="GA167" s="31"/>
      <c r="GB167" s="31"/>
      <c r="GC167" s="31"/>
      <c r="GD167" s="31"/>
      <c r="GE167" s="31"/>
      <c r="GF167" s="31"/>
      <c r="GG167" s="31"/>
      <c r="GH167" s="31"/>
      <c r="GI167" s="31"/>
      <c r="GJ167" s="31"/>
      <c r="GK167" s="31"/>
      <c r="GL167" s="31"/>
      <c r="GM167" s="31"/>
      <c r="GN167" s="31"/>
      <c r="GO167" s="31"/>
      <c r="GP167" s="31"/>
      <c r="GQ167" s="31"/>
      <c r="GR167" s="31"/>
      <c r="GS167" s="31"/>
      <c r="GT167" s="31"/>
      <c r="GU167" s="31"/>
      <c r="GV167" s="31"/>
      <c r="GW167" s="31"/>
      <c r="GX167" s="31"/>
      <c r="GY167" s="31"/>
      <c r="GZ167" s="31"/>
      <c r="HA167" s="31"/>
      <c r="HB167" s="31"/>
      <c r="HC167" s="31"/>
      <c r="HD167" s="31"/>
      <c r="HE167" s="31"/>
      <c r="HF167" s="31"/>
      <c r="HG167" s="31"/>
      <c r="HH167" s="31"/>
      <c r="HI167" s="31"/>
      <c r="HJ167" s="31"/>
      <c r="HK167" s="31"/>
      <c r="HL167" s="31"/>
      <c r="HM167" s="31"/>
      <c r="HN167" s="31"/>
      <c r="HO167" s="31"/>
      <c r="HP167" s="31"/>
      <c r="HQ167" s="31"/>
      <c r="HR167" s="31"/>
      <c r="HS167" s="31"/>
      <c r="HT167" s="31"/>
      <c r="HU167" s="31"/>
      <c r="HV167" s="31"/>
      <c r="HW167" s="31"/>
      <c r="HX167" s="31"/>
      <c r="HY167" s="31"/>
      <c r="HZ167" s="31"/>
      <c r="IA167" s="31"/>
      <c r="IB167" s="31"/>
      <c r="IC167" s="31"/>
      <c r="ID167" s="31"/>
      <c r="IE167" s="31"/>
      <c r="IF167" s="31"/>
      <c r="IG167" s="31"/>
      <c r="IH167" s="31"/>
      <c r="II167" s="31"/>
      <c r="IJ167" s="31"/>
      <c r="IK167" s="31"/>
      <c r="IL167" s="31"/>
      <c r="IM167" s="31"/>
      <c r="IN167" s="31"/>
      <c r="IO167" s="31"/>
      <c r="IP167" s="31"/>
      <c r="IQ167" s="31"/>
      <c r="IR167" s="31"/>
      <c r="IS167" s="31"/>
      <c r="IT167" s="31"/>
      <c r="IU167" s="31"/>
      <c r="IV167" s="31"/>
      <c r="IW167" s="31"/>
      <c r="IX167" s="31"/>
      <c r="IY167" s="31"/>
      <c r="IZ167" s="31"/>
      <c r="JA167" s="31"/>
      <c r="JB167" s="31"/>
      <c r="JC167" s="31"/>
      <c r="JD167" s="31"/>
      <c r="JE167" s="31"/>
      <c r="JF167" s="31"/>
      <c r="JG167" s="31"/>
      <c r="JH167" s="31"/>
      <c r="JI167" s="31"/>
      <c r="JJ167" s="31"/>
      <c r="JK167" s="31"/>
      <c r="JL167" s="31"/>
      <c r="JM167" s="31"/>
      <c r="JN167" s="31"/>
      <c r="JO167" s="31"/>
      <c r="JP167" s="31"/>
      <c r="JQ167" s="31"/>
      <c r="JR167" s="31"/>
      <c r="JS167" s="31"/>
      <c r="JT167" s="31"/>
      <c r="JU167" s="31"/>
      <c r="JV167" s="31"/>
      <c r="JW167" s="31"/>
      <c r="JX167" s="31"/>
      <c r="JY167" s="31"/>
      <c r="JZ167" s="31"/>
      <c r="KA167" s="31"/>
      <c r="KB167" s="31"/>
      <c r="KC167" s="31"/>
      <c r="KD167" s="31"/>
      <c r="KE167" s="31"/>
      <c r="KF167" s="31"/>
      <c r="KG167" s="31"/>
      <c r="KH167" s="31"/>
      <c r="KI167" s="31"/>
      <c r="KJ167" s="31"/>
      <c r="KK167" s="31"/>
      <c r="KL167" s="31"/>
      <c r="KM167" s="31"/>
      <c r="KN167" s="31"/>
      <c r="KO167" s="31"/>
      <c r="KP167" s="31"/>
      <c r="KQ167" s="31"/>
      <c r="KR167" s="31"/>
      <c r="KS167" s="31"/>
      <c r="KT167" s="31"/>
      <c r="KU167" s="31"/>
      <c r="KV167" s="31"/>
      <c r="KW167" s="31"/>
      <c r="KX167" s="31"/>
      <c r="KY167" s="31"/>
      <c r="KZ167" s="31"/>
      <c r="LA167" s="31"/>
      <c r="LB167" s="31"/>
      <c r="LC167" s="31"/>
      <c r="LD167" s="31"/>
      <c r="LE167" s="31"/>
      <c r="LF167" s="31"/>
      <c r="LG167" s="31"/>
      <c r="LH167" s="31"/>
      <c r="LI167" s="31"/>
      <c r="LJ167" s="31"/>
      <c r="LK167" s="31"/>
      <c r="LL167" s="31"/>
      <c r="LM167" s="31"/>
      <c r="LN167" s="31"/>
      <c r="LO167" s="31"/>
      <c r="LP167" s="31"/>
      <c r="LQ167" s="31"/>
      <c r="LR167" s="31"/>
      <c r="LS167" s="31"/>
      <c r="LT167" s="31"/>
      <c r="LU167" s="31"/>
      <c r="LV167" s="31"/>
      <c r="LW167" s="31"/>
      <c r="LX167" s="31"/>
      <c r="LY167" s="31"/>
      <c r="LZ167" s="31"/>
      <c r="MA167" s="31"/>
      <c r="MB167" s="31"/>
      <c r="MC167" s="31"/>
      <c r="MD167" s="31"/>
      <c r="ME167" s="31"/>
      <c r="MF167" s="31"/>
      <c r="MG167" s="31"/>
      <c r="MH167" s="31"/>
      <c r="MI167" s="31"/>
      <c r="MJ167" s="31"/>
      <c r="MK167" s="31"/>
      <c r="ML167" s="31"/>
      <c r="MM167" s="31"/>
      <c r="MN167" s="31"/>
      <c r="MO167" s="31"/>
      <c r="MP167" s="31"/>
      <c r="MQ167" s="31"/>
      <c r="MR167" s="31"/>
      <c r="MS167" s="31"/>
      <c r="MT167" s="31"/>
      <c r="MU167" s="31"/>
      <c r="MV167" s="31"/>
      <c r="MW167" s="31"/>
      <c r="MX167" s="31"/>
      <c r="MY167" s="31"/>
      <c r="MZ167" s="31"/>
      <c r="NA167" s="31"/>
      <c r="NB167" s="31"/>
      <c r="NC167" s="31"/>
      <c r="ND167" s="31"/>
      <c r="NE167" s="31"/>
      <c r="NF167" s="31"/>
      <c r="NG167" s="31"/>
      <c r="NH167" s="31"/>
      <c r="NI167" s="31"/>
      <c r="NJ167" s="31"/>
      <c r="NK167" s="31"/>
      <c r="NL167" s="31"/>
      <c r="NM167" s="31"/>
      <c r="NN167" s="31"/>
      <c r="NO167" s="31"/>
      <c r="NP167" s="31"/>
      <c r="NQ167" s="31"/>
      <c r="NR167" s="31"/>
      <c r="NS167" s="31"/>
      <c r="NT167" s="31"/>
      <c r="NU167" s="31"/>
      <c r="NV167" s="31"/>
      <c r="NW167" s="31"/>
      <c r="NX167" s="31"/>
      <c r="NY167" s="31"/>
      <c r="NZ167" s="31"/>
      <c r="OA167" s="31"/>
      <c r="OB167" s="31"/>
      <c r="OC167" s="31"/>
      <c r="OD167" s="31"/>
      <c r="OE167" s="31"/>
      <c r="OF167" s="31"/>
      <c r="OG167" s="31"/>
      <c r="OH167" s="31"/>
      <c r="OI167" s="31"/>
      <c r="OJ167" s="31"/>
      <c r="OK167" s="31"/>
      <c r="OL167" s="31"/>
      <c r="OM167" s="31"/>
      <c r="ON167" s="31"/>
      <c r="OO167" s="31"/>
      <c r="OP167" s="31"/>
      <c r="OQ167" s="31"/>
      <c r="OR167" s="31"/>
      <c r="OS167" s="31"/>
      <c r="OT167" s="31"/>
      <c r="OU167" s="31"/>
      <c r="OV167" s="31"/>
      <c r="OW167" s="31"/>
      <c r="OX167" s="31"/>
      <c r="OY167" s="31"/>
      <c r="OZ167" s="31"/>
      <c r="PA167" s="31"/>
      <c r="PB167" s="31"/>
      <c r="PC167" s="31"/>
      <c r="PD167" s="31"/>
      <c r="PE167" s="31"/>
      <c r="PF167" s="31"/>
      <c r="PG167" s="31"/>
      <c r="PH167" s="31"/>
      <c r="PI167" s="31"/>
      <c r="PJ167" s="31"/>
      <c r="PK167" s="31"/>
      <c r="PL167" s="31"/>
      <c r="PM167" s="31"/>
      <c r="PN167" s="31"/>
      <c r="PO167" s="31"/>
      <c r="PP167" s="31"/>
      <c r="PQ167" s="31"/>
      <c r="PR167" s="31"/>
      <c r="PS167" s="31"/>
      <c r="PT167" s="31"/>
      <c r="PU167" s="31"/>
      <c r="PV167" s="31"/>
      <c r="PW167" s="31"/>
      <c r="PX167" s="31"/>
      <c r="PY167" s="31"/>
      <c r="PZ167" s="31"/>
      <c r="QA167" s="31"/>
      <c r="QB167" s="31"/>
      <c r="QC167" s="31"/>
      <c r="QD167" s="31"/>
      <c r="QE167" s="31"/>
      <c r="QF167" s="31"/>
      <c r="QG167" s="31"/>
      <c r="QH167" s="31"/>
      <c r="QI167" s="31"/>
      <c r="QJ167" s="31"/>
      <c r="QK167" s="31"/>
      <c r="QL167" s="31"/>
      <c r="QM167" s="31"/>
      <c r="QN167" s="31"/>
      <c r="QO167" s="31"/>
      <c r="QP167" s="31"/>
      <c r="QQ167" s="31"/>
      <c r="QR167" s="31"/>
      <c r="QS167" s="31"/>
      <c r="QT167" s="31"/>
      <c r="QU167" s="31"/>
      <c r="QV167" s="31"/>
      <c r="QW167" s="31"/>
      <c r="QX167" s="31"/>
      <c r="QY167" s="31"/>
      <c r="QZ167" s="31"/>
      <c r="RA167" s="31"/>
      <c r="RB167" s="31"/>
      <c r="RC167" s="31"/>
      <c r="RD167" s="31"/>
      <c r="RE167" s="31"/>
      <c r="RF167" s="31"/>
      <c r="RG167" s="31"/>
      <c r="RH167" s="31"/>
      <c r="RI167" s="31"/>
      <c r="RJ167" s="31"/>
      <c r="RK167" s="31"/>
      <c r="RL167" s="31"/>
      <c r="RM167" s="31"/>
      <c r="RN167" s="31"/>
      <c r="RO167" s="31"/>
      <c r="RP167" s="31"/>
      <c r="RQ167" s="31"/>
      <c r="RR167" s="31"/>
      <c r="RS167" s="31"/>
      <c r="RT167" s="31"/>
      <c r="RU167" s="31"/>
      <c r="RV167" s="31"/>
      <c r="RW167" s="31"/>
      <c r="RX167" s="31"/>
      <c r="RY167" s="31"/>
      <c r="RZ167" s="31"/>
      <c r="SA167" s="31"/>
      <c r="SB167" s="31"/>
      <c r="SC167" s="31"/>
      <c r="SD167" s="31"/>
      <c r="SE167" s="31"/>
      <c r="SF167" s="31"/>
      <c r="SG167" s="31"/>
      <c r="SH167" s="31"/>
      <c r="SI167" s="31"/>
      <c r="SJ167" s="31"/>
      <c r="SK167" s="31"/>
      <c r="SL167" s="31"/>
      <c r="SM167" s="31"/>
      <c r="SN167" s="31"/>
      <c r="SO167" s="31"/>
      <c r="SP167" s="31"/>
      <c r="SQ167" s="31"/>
      <c r="SR167" s="31"/>
      <c r="SS167" s="31"/>
      <c r="ST167" s="31"/>
      <c r="SU167" s="31"/>
      <c r="SV167" s="31"/>
      <c r="SW167" s="31"/>
      <c r="SX167" s="31"/>
      <c r="SY167" s="31"/>
      <c r="SZ167" s="31"/>
      <c r="TA167" s="31"/>
      <c r="TB167" s="31"/>
      <c r="TC167" s="31"/>
      <c r="TD167" s="31"/>
      <c r="TE167" s="31"/>
      <c r="TF167" s="31"/>
      <c r="TG167" s="31"/>
      <c r="TH167" s="31"/>
      <c r="TI167" s="31"/>
      <c r="TJ167" s="31"/>
      <c r="TK167" s="31"/>
      <c r="TL167" s="31"/>
      <c r="TM167" s="31"/>
      <c r="TN167" s="31"/>
      <c r="TO167" s="31"/>
      <c r="TP167" s="31"/>
      <c r="TQ167" s="31"/>
      <c r="TR167" s="31"/>
      <c r="TS167" s="31"/>
      <c r="TT167" s="31"/>
      <c r="TU167" s="31"/>
      <c r="TV167" s="31"/>
      <c r="TW167" s="31"/>
      <c r="TX167" s="31"/>
      <c r="TY167" s="31"/>
      <c r="TZ167" s="31"/>
      <c r="UA167" s="31"/>
      <c r="UB167" s="31"/>
      <c r="UC167" s="31"/>
      <c r="UD167" s="31"/>
      <c r="UE167" s="31"/>
      <c r="UF167" s="31"/>
      <c r="UG167" s="31"/>
      <c r="UH167" s="31"/>
      <c r="UI167" s="31"/>
      <c r="UJ167" s="31"/>
      <c r="UK167" s="31"/>
      <c r="UL167" s="31"/>
      <c r="UM167" s="31"/>
      <c r="UN167" s="31"/>
      <c r="UO167" s="31"/>
      <c r="UP167" s="31"/>
      <c r="UQ167" s="31"/>
      <c r="UR167" s="31"/>
      <c r="US167" s="31"/>
      <c r="UT167" s="31"/>
      <c r="UU167" s="31"/>
      <c r="UV167" s="31"/>
      <c r="UW167" s="31"/>
      <c r="UX167" s="31"/>
      <c r="UY167" s="31"/>
      <c r="UZ167" s="31"/>
      <c r="VA167" s="31"/>
      <c r="VB167" s="31"/>
      <c r="VC167" s="31"/>
      <c r="VD167" s="31"/>
      <c r="VE167" s="31"/>
      <c r="VF167" s="31"/>
      <c r="VG167" s="31"/>
      <c r="VH167" s="31"/>
      <c r="VI167" s="31"/>
      <c r="VJ167" s="31"/>
      <c r="VK167" s="31"/>
      <c r="VL167" s="31"/>
      <c r="VM167" s="31"/>
      <c r="VN167" s="31"/>
      <c r="VO167" s="31"/>
      <c r="VP167" s="31"/>
      <c r="VQ167" s="31"/>
      <c r="VR167" s="31"/>
      <c r="VS167" s="31"/>
      <c r="VT167" s="31"/>
      <c r="VU167" s="31"/>
      <c r="VV167" s="31"/>
      <c r="VW167" s="31"/>
      <c r="VX167" s="31"/>
      <c r="VY167" s="31"/>
      <c r="VZ167" s="31"/>
      <c r="WA167" s="31"/>
      <c r="WB167" s="31"/>
      <c r="WC167" s="31"/>
      <c r="WD167" s="31"/>
      <c r="WE167" s="31"/>
      <c r="WF167" s="31"/>
      <c r="WG167" s="31"/>
      <c r="WH167" s="31"/>
      <c r="WI167" s="31"/>
      <c r="WJ167" s="31"/>
      <c r="WK167" s="31"/>
      <c r="WL167" s="31"/>
      <c r="WM167" s="31"/>
      <c r="WN167" s="31"/>
      <c r="WO167" s="31"/>
      <c r="WP167" s="31"/>
      <c r="WQ167" s="31"/>
      <c r="WR167" s="31"/>
      <c r="WS167" s="31"/>
      <c r="WT167" s="31"/>
      <c r="WU167" s="31"/>
      <c r="WV167" s="31"/>
      <c r="WW167" s="31"/>
      <c r="WX167" s="31"/>
      <c r="WY167" s="31"/>
      <c r="WZ167" s="31"/>
      <c r="XA167" s="31"/>
      <c r="XB167" s="31"/>
      <c r="XC167" s="31"/>
      <c r="XD167" s="31"/>
      <c r="XE167" s="31"/>
      <c r="XF167" s="31"/>
      <c r="XG167" s="31"/>
      <c r="XH167" s="31"/>
      <c r="XI167" s="31"/>
      <c r="XJ167" s="31"/>
      <c r="XK167" s="31"/>
      <c r="XL167" s="31"/>
      <c r="XM167" s="31"/>
      <c r="XN167" s="31"/>
      <c r="XO167" s="31"/>
      <c r="XP167" s="31"/>
      <c r="XQ167" s="31"/>
      <c r="XR167" s="31"/>
      <c r="XS167" s="31"/>
      <c r="XT167" s="31"/>
      <c r="XU167" s="31"/>
      <c r="XV167" s="31"/>
      <c r="XW167" s="31"/>
      <c r="XX167" s="31"/>
      <c r="XY167" s="31"/>
      <c r="XZ167" s="31"/>
      <c r="YA167" s="31"/>
      <c r="YB167" s="31"/>
      <c r="YC167" s="31"/>
      <c r="YD167" s="31"/>
      <c r="YE167" s="31"/>
      <c r="YF167" s="31"/>
      <c r="YG167" s="31"/>
      <c r="YH167" s="31"/>
      <c r="YI167" s="31"/>
      <c r="YJ167" s="31"/>
      <c r="YK167" s="31"/>
      <c r="YL167" s="31"/>
      <c r="YM167" s="31"/>
      <c r="YN167" s="31"/>
      <c r="YO167" s="31"/>
      <c r="YP167" s="31"/>
      <c r="YQ167" s="31"/>
      <c r="YR167" s="31"/>
      <c r="YS167" s="31"/>
      <c r="YT167" s="31"/>
      <c r="YU167" s="31"/>
      <c r="YV167" s="31"/>
      <c r="YW167" s="31"/>
      <c r="YX167" s="31"/>
      <c r="YY167" s="31"/>
      <c r="YZ167" s="31"/>
      <c r="ZA167" s="31"/>
      <c r="ZB167" s="31"/>
      <c r="ZC167" s="31"/>
      <c r="ZD167" s="31"/>
      <c r="ZE167" s="31"/>
      <c r="ZF167" s="31"/>
      <c r="ZG167" s="31"/>
      <c r="ZH167" s="31"/>
      <c r="ZI167" s="31"/>
      <c r="ZJ167" s="31"/>
      <c r="ZK167" s="31"/>
      <c r="ZL167" s="31"/>
      <c r="ZM167" s="31"/>
      <c r="ZN167" s="31"/>
      <c r="ZO167" s="31"/>
      <c r="ZP167" s="31"/>
      <c r="ZQ167" s="31"/>
      <c r="ZR167" s="31"/>
      <c r="ZS167" s="31"/>
      <c r="ZT167" s="31"/>
      <c r="ZU167" s="31"/>
      <c r="ZV167" s="31"/>
      <c r="ZW167" s="31"/>
      <c r="ZX167" s="31"/>
      <c r="ZY167" s="31"/>
      <c r="ZZ167" s="31"/>
      <c r="AAA167" s="31"/>
      <c r="AAB167" s="31"/>
      <c r="AAC167" s="31"/>
      <c r="AAD167" s="31"/>
      <c r="AAE167" s="31"/>
      <c r="AAF167" s="31"/>
      <c r="AAG167" s="31"/>
      <c r="AAH167" s="31"/>
      <c r="AAI167" s="31"/>
      <c r="AAJ167" s="31"/>
      <c r="AAK167" s="31"/>
      <c r="AAL167" s="31"/>
      <c r="AAM167" s="31"/>
      <c r="AAN167" s="31"/>
      <c r="AAO167" s="31"/>
      <c r="AAP167" s="31"/>
      <c r="AAQ167" s="31"/>
      <c r="AAR167" s="31"/>
      <c r="AAS167" s="31"/>
      <c r="AAT167" s="31"/>
      <c r="AAU167" s="31"/>
      <c r="AAV167" s="31"/>
      <c r="AAW167" s="31"/>
      <c r="AAX167" s="31"/>
      <c r="AAY167" s="31"/>
      <c r="AAZ167" s="31"/>
      <c r="ABA167" s="31"/>
      <c r="ABB167" s="31"/>
      <c r="ABC167" s="31"/>
      <c r="ABD167" s="31"/>
      <c r="ABE167" s="31"/>
      <c r="ABF167" s="31"/>
      <c r="ABG167" s="31"/>
      <c r="ABH167" s="31"/>
      <c r="ABI167" s="31"/>
      <c r="ABJ167" s="31"/>
      <c r="ABK167" s="31"/>
      <c r="ABL167" s="31"/>
      <c r="ABM167" s="31"/>
      <c r="ABN167" s="31"/>
      <c r="ABO167" s="31"/>
      <c r="ABP167" s="31"/>
      <c r="ABQ167" s="31"/>
      <c r="ABR167" s="31"/>
      <c r="ABS167" s="31"/>
      <c r="ABT167" s="31"/>
      <c r="ABU167" s="31"/>
      <c r="ABV167" s="31"/>
      <c r="ABW167" s="31"/>
      <c r="ABX167" s="31"/>
      <c r="ABY167" s="31"/>
      <c r="ABZ167" s="31"/>
      <c r="ACA167" s="31"/>
      <c r="ACB167" s="31"/>
      <c r="ACC167" s="31"/>
      <c r="ACD167" s="31"/>
      <c r="ACE167" s="31"/>
      <c r="ACF167" s="31"/>
      <c r="ACG167" s="31"/>
      <c r="ACH167" s="31"/>
      <c r="ACI167" s="31"/>
      <c r="ACJ167" s="31"/>
      <c r="ACK167" s="31"/>
      <c r="ACL167" s="31"/>
      <c r="ACM167" s="31"/>
      <c r="ACN167" s="31"/>
      <c r="ACO167" s="31"/>
      <c r="ACP167" s="31"/>
      <c r="ACQ167" s="31"/>
      <c r="ACR167" s="31"/>
      <c r="ACS167" s="31"/>
      <c r="ACT167" s="31"/>
      <c r="ACU167" s="31"/>
      <c r="ACV167" s="31"/>
      <c r="ACW167" s="31"/>
      <c r="ACX167" s="31"/>
      <c r="ACY167" s="31"/>
      <c r="ACZ167" s="31"/>
      <c r="ADA167" s="31"/>
      <c r="ADB167" s="31"/>
      <c r="ADC167" s="31"/>
      <c r="ADD167" s="31"/>
      <c r="ADE167" s="31"/>
      <c r="ADF167" s="31"/>
      <c r="ADG167" s="31"/>
      <c r="ADH167" s="31"/>
      <c r="ADI167" s="31"/>
      <c r="ADJ167" s="31"/>
      <c r="ADK167" s="31"/>
      <c r="ADL167" s="31"/>
      <c r="ADM167" s="31"/>
      <c r="ADN167" s="31"/>
      <c r="ADO167" s="31"/>
      <c r="ADP167" s="31"/>
      <c r="ADQ167" s="31"/>
      <c r="ADR167" s="31"/>
      <c r="ADS167" s="31"/>
      <c r="ADT167" s="31"/>
      <c r="ADU167" s="31"/>
      <c r="ADV167" s="31"/>
      <c r="ADW167" s="31"/>
      <c r="ADX167" s="31"/>
      <c r="ADY167" s="31"/>
      <c r="ADZ167" s="31"/>
      <c r="AEA167" s="31"/>
      <c r="AEB167" s="31"/>
      <c r="AEC167" s="31"/>
      <c r="AED167" s="31"/>
      <c r="AEE167" s="31"/>
      <c r="AEF167" s="31"/>
      <c r="AEG167" s="31"/>
      <c r="AEH167" s="31"/>
      <c r="AEI167" s="31"/>
      <c r="AEJ167" s="31"/>
      <c r="AEK167" s="31"/>
      <c r="AEL167" s="31"/>
      <c r="AEM167" s="31"/>
      <c r="AEN167" s="31"/>
      <c r="AEO167" s="31"/>
      <c r="AEP167" s="31"/>
      <c r="AEQ167" s="31"/>
      <c r="AER167" s="31"/>
      <c r="AES167" s="31"/>
      <c r="AET167" s="31"/>
      <c r="AEU167" s="31"/>
      <c r="AEV167" s="31"/>
      <c r="AEW167" s="31"/>
      <c r="AEX167" s="31"/>
      <c r="AEY167" s="31"/>
      <c r="AEZ167" s="31"/>
      <c r="AFA167" s="31"/>
      <c r="AFB167" s="31"/>
      <c r="AFC167" s="31"/>
      <c r="AFD167" s="31"/>
      <c r="AFE167" s="31"/>
      <c r="AFF167" s="31"/>
      <c r="AFG167" s="31"/>
      <c r="AFH167" s="31"/>
      <c r="AFI167" s="31"/>
      <c r="AFJ167" s="31"/>
      <c r="AFK167" s="31"/>
      <c r="AFL167" s="31"/>
      <c r="AFM167" s="31"/>
      <c r="AFN167" s="31"/>
      <c r="AFO167" s="31"/>
      <c r="AFP167" s="31"/>
      <c r="AFQ167" s="31"/>
      <c r="AFR167" s="31"/>
      <c r="AFS167" s="31"/>
      <c r="AFT167" s="31"/>
      <c r="AFU167" s="31"/>
      <c r="AFV167" s="31"/>
      <c r="AFW167" s="31"/>
      <c r="AFX167" s="31"/>
      <c r="AFY167" s="31"/>
      <c r="AFZ167" s="31"/>
      <c r="AGA167" s="31"/>
      <c r="AGB167" s="31"/>
      <c r="AGC167" s="31"/>
      <c r="AGD167" s="31"/>
      <c r="AGE167" s="31"/>
      <c r="AGF167" s="31"/>
      <c r="AGG167" s="31"/>
      <c r="AGH167" s="31"/>
      <c r="AGI167" s="31"/>
      <c r="AGJ167" s="31"/>
      <c r="AGK167" s="31"/>
      <c r="AGL167" s="31"/>
      <c r="AGM167" s="31"/>
      <c r="AGN167" s="31"/>
      <c r="AGO167" s="31"/>
      <c r="AGP167" s="31"/>
      <c r="AGQ167" s="31"/>
      <c r="AGR167" s="31"/>
      <c r="AGS167" s="31"/>
      <c r="AGT167" s="31"/>
      <c r="AGU167" s="31"/>
      <c r="AGV167" s="31"/>
      <c r="AGW167" s="31"/>
      <c r="AGX167" s="31"/>
      <c r="AGY167" s="31"/>
      <c r="AGZ167" s="31"/>
      <c r="AHA167" s="31"/>
      <c r="AHB167" s="31"/>
      <c r="AHC167" s="31"/>
      <c r="AHD167" s="31"/>
      <c r="AHE167" s="31"/>
      <c r="AHF167" s="31"/>
      <c r="AHG167" s="31"/>
      <c r="AHH167" s="31"/>
      <c r="AHI167" s="31"/>
      <c r="AHJ167" s="31"/>
      <c r="AHK167" s="31"/>
      <c r="AHL167" s="31"/>
      <c r="AHM167" s="31"/>
      <c r="AHN167" s="31"/>
      <c r="AHO167" s="31"/>
      <c r="AHP167" s="31"/>
      <c r="AHQ167" s="31"/>
      <c r="AHR167" s="31"/>
      <c r="AHS167" s="31"/>
      <c r="AHT167" s="31"/>
      <c r="AHU167" s="31"/>
      <c r="AHV167" s="31"/>
      <c r="AHW167" s="31"/>
      <c r="AHX167" s="31"/>
      <c r="AHY167" s="31"/>
      <c r="AHZ167" s="31"/>
      <c r="AIA167" s="31"/>
      <c r="AIB167" s="31"/>
      <c r="AIC167" s="31"/>
      <c r="AID167" s="31"/>
      <c r="AIE167" s="31"/>
      <c r="AIF167" s="31"/>
      <c r="AIG167" s="31"/>
      <c r="AIH167" s="31"/>
      <c r="AII167" s="31"/>
      <c r="AIJ167" s="31"/>
      <c r="AIK167" s="31"/>
      <c r="AIL167" s="31"/>
      <c r="AIM167" s="31"/>
      <c r="AIN167" s="31"/>
      <c r="AIO167" s="31"/>
      <c r="AIP167" s="31"/>
      <c r="AIQ167" s="31"/>
      <c r="AIR167" s="31"/>
      <c r="AIS167" s="31"/>
      <c r="AIT167" s="31"/>
      <c r="AIU167" s="31"/>
      <c r="AIV167" s="31"/>
      <c r="AIW167" s="31"/>
      <c r="AIX167" s="31"/>
      <c r="AIY167" s="31"/>
      <c r="AIZ167" s="31"/>
      <c r="AJA167" s="31"/>
      <c r="AJB167" s="31"/>
      <c r="AJC167" s="31"/>
      <c r="AJD167" s="31"/>
      <c r="AJE167" s="31"/>
      <c r="AJF167" s="31"/>
      <c r="AJG167" s="31"/>
      <c r="AJH167" s="31"/>
      <c r="AJI167" s="31"/>
      <c r="AJJ167" s="31"/>
      <c r="AJK167" s="31"/>
      <c r="AJL167" s="31"/>
      <c r="AJM167" s="31"/>
      <c r="AJN167" s="31"/>
      <c r="AJO167" s="31"/>
      <c r="AJP167" s="31"/>
      <c r="AJQ167" s="31"/>
      <c r="AJR167" s="31"/>
      <c r="AJS167" s="31"/>
      <c r="AJT167" s="31"/>
      <c r="AJU167" s="31"/>
      <c r="AJV167" s="31"/>
      <c r="AJW167" s="31"/>
      <c r="AJX167" s="31"/>
      <c r="AJY167" s="31"/>
      <c r="AJZ167" s="31"/>
      <c r="AKA167" s="31"/>
      <c r="AKB167" s="31"/>
      <c r="AKC167" s="31"/>
      <c r="AKD167" s="31"/>
      <c r="AKE167" s="31"/>
      <c r="AKF167" s="31"/>
      <c r="AKG167" s="31"/>
      <c r="AKH167" s="31"/>
      <c r="AKI167" s="31"/>
      <c r="AKJ167" s="31"/>
      <c r="AKK167" s="31"/>
      <c r="AKL167" s="31"/>
      <c r="AKM167" s="31"/>
      <c r="AKN167" s="31"/>
      <c r="AKO167" s="31"/>
      <c r="AKP167" s="31"/>
      <c r="AKQ167" s="31"/>
      <c r="AKR167" s="31"/>
      <c r="AKS167" s="31"/>
      <c r="AKT167" s="31"/>
      <c r="AKU167" s="31"/>
      <c r="AKV167" s="31"/>
      <c r="AKW167" s="31"/>
      <c r="AKX167" s="31"/>
      <c r="AKY167" s="31"/>
      <c r="AKZ167" s="31"/>
      <c r="ALA167" s="31"/>
      <c r="ALB167" s="31"/>
      <c r="ALC167" s="31"/>
      <c r="ALD167" s="31"/>
      <c r="ALE167" s="31"/>
      <c r="ALF167" s="31"/>
      <c r="ALG167" s="31"/>
      <c r="ALH167" s="31"/>
      <c r="ALI167" s="31"/>
      <c r="ALJ167" s="31"/>
      <c r="ALK167" s="31"/>
      <c r="ALL167" s="31"/>
      <c r="ALM167" s="31"/>
      <c r="ALN167" s="31"/>
      <c r="ALO167" s="31"/>
      <c r="ALP167" s="31"/>
      <c r="ALQ167" s="31"/>
      <c r="ALR167" s="31"/>
      <c r="ALS167" s="31"/>
      <c r="ALT167" s="31"/>
      <c r="ALU167" s="31"/>
      <c r="ALV167" s="31"/>
      <c r="ALW167" s="31"/>
      <c r="ALX167" s="31"/>
      <c r="ALY167" s="31"/>
      <c r="ALZ167" s="31"/>
      <c r="AMA167" s="31"/>
      <c r="AMB167" s="31"/>
      <c r="AMC167" s="31"/>
      <c r="AMD167" s="31"/>
      <c r="AME167" s="31"/>
      <c r="AMF167" s="31"/>
      <c r="AMG167" s="31"/>
      <c r="AMH167" s="31"/>
      <c r="AMI167" s="31"/>
      <c r="AMJ167" s="31"/>
      <c r="AMK167" s="31"/>
      <c r="AML167" s="31"/>
      <c r="AMM167" s="31"/>
      <c r="AMN167" s="31"/>
      <c r="AMO167" s="31"/>
      <c r="AMP167" s="31"/>
      <c r="AMQ167" s="31"/>
      <c r="AMR167" s="31"/>
      <c r="AMS167" s="31"/>
      <c r="AMT167" s="31"/>
      <c r="AMU167" s="31"/>
      <c r="AMV167" s="31"/>
      <c r="AMW167" s="31"/>
      <c r="AMX167" s="31"/>
      <c r="AMY167" s="31"/>
      <c r="AMZ167" s="31"/>
      <c r="ANA167" s="31"/>
      <c r="ANB167" s="31"/>
      <c r="ANC167" s="31"/>
      <c r="AND167" s="31"/>
      <c r="ANE167" s="31"/>
      <c r="ANF167" s="31"/>
      <c r="ANG167" s="31"/>
      <c r="ANH167" s="31"/>
      <c r="ANI167" s="31"/>
      <c r="ANJ167" s="31"/>
      <c r="ANK167" s="31"/>
      <c r="ANL167" s="31"/>
      <c r="ANM167" s="31"/>
      <c r="ANN167" s="31"/>
      <c r="ANO167" s="31"/>
      <c r="ANP167" s="31"/>
      <c r="ANQ167" s="31"/>
      <c r="ANR167" s="31"/>
      <c r="ANS167" s="31"/>
      <c r="ANT167" s="31"/>
      <c r="ANU167" s="31"/>
      <c r="ANV167" s="31"/>
      <c r="ANW167" s="31"/>
      <c r="ANX167" s="31"/>
      <c r="ANY167" s="31"/>
      <c r="ANZ167" s="31"/>
      <c r="AOA167" s="31"/>
      <c r="AOB167" s="31"/>
      <c r="AOC167" s="31"/>
      <c r="AOD167" s="31"/>
      <c r="AOE167" s="31"/>
      <c r="AOF167" s="31"/>
      <c r="AOG167" s="31"/>
      <c r="AOH167" s="31"/>
      <c r="AOI167" s="31"/>
      <c r="AOJ167" s="31"/>
      <c r="AOK167" s="31"/>
      <c r="AOL167" s="31"/>
      <c r="AOM167" s="31"/>
      <c r="AON167" s="31"/>
      <c r="AOO167" s="31"/>
      <c r="AOP167" s="31"/>
      <c r="AOQ167" s="31"/>
      <c r="AOR167" s="31"/>
      <c r="AOS167" s="31"/>
      <c r="AOT167" s="31"/>
      <c r="AOU167" s="31"/>
      <c r="AOV167" s="31"/>
      <c r="AOW167" s="31"/>
      <c r="AOX167" s="31"/>
      <c r="AOY167" s="31"/>
      <c r="AOZ167" s="31"/>
      <c r="APA167" s="31"/>
      <c r="APB167" s="31"/>
      <c r="APC167" s="31"/>
      <c r="APD167" s="31"/>
      <c r="APE167" s="31"/>
      <c r="APF167" s="31"/>
      <c r="APG167" s="31"/>
      <c r="APH167" s="31"/>
      <c r="API167" s="31"/>
      <c r="APJ167" s="31"/>
      <c r="APK167" s="31"/>
      <c r="APL167" s="31"/>
      <c r="APM167" s="31"/>
      <c r="APN167" s="31"/>
      <c r="APO167" s="31"/>
      <c r="APP167" s="31"/>
      <c r="APQ167" s="31"/>
      <c r="APR167" s="31"/>
      <c r="APS167" s="31"/>
      <c r="APT167" s="31"/>
      <c r="APU167" s="31"/>
      <c r="APV167" s="31"/>
      <c r="APW167" s="31"/>
      <c r="APX167" s="31"/>
      <c r="APY167" s="31"/>
      <c r="APZ167" s="31"/>
      <c r="AQA167" s="31"/>
      <c r="AQB167" s="31"/>
      <c r="AQC167" s="31"/>
      <c r="AQD167" s="31"/>
      <c r="AQE167" s="31"/>
      <c r="AQF167" s="31"/>
      <c r="AQG167" s="31"/>
      <c r="AQH167" s="31"/>
      <c r="AQI167" s="31"/>
      <c r="AQJ167" s="31"/>
      <c r="AQK167" s="31"/>
      <c r="AQL167" s="31"/>
      <c r="AQM167" s="31"/>
      <c r="AQN167" s="31"/>
      <c r="AQO167" s="31"/>
      <c r="AQP167" s="31"/>
      <c r="AQQ167" s="31"/>
      <c r="AQR167" s="31"/>
      <c r="AQS167" s="31"/>
      <c r="AQT167" s="31"/>
      <c r="AQU167" s="31"/>
      <c r="AQV167" s="31"/>
      <c r="AQW167" s="31"/>
      <c r="AQX167" s="31"/>
      <c r="AQY167" s="31"/>
      <c r="AQZ167" s="31"/>
      <c r="ARA167" s="31"/>
      <c r="ARB167" s="31"/>
      <c r="ARC167" s="31"/>
      <c r="ARD167" s="31"/>
      <c r="ARE167" s="31"/>
      <c r="ARF167" s="31"/>
      <c r="ARG167" s="31"/>
      <c r="ARH167" s="31"/>
      <c r="ARI167" s="31"/>
      <c r="ARJ167" s="31"/>
      <c r="ARK167" s="31"/>
      <c r="ARL167" s="31"/>
      <c r="ARM167" s="31"/>
      <c r="ARN167" s="31"/>
      <c r="ARO167" s="31"/>
      <c r="ARP167" s="31"/>
      <c r="ARQ167" s="31"/>
      <c r="ARR167" s="31"/>
      <c r="ARS167" s="31"/>
      <c r="ART167" s="31"/>
      <c r="ARU167" s="31"/>
      <c r="ARV167" s="31"/>
      <c r="ARW167" s="31"/>
      <c r="ARX167" s="31"/>
      <c r="ARY167" s="31"/>
      <c r="ARZ167" s="31"/>
      <c r="ASA167" s="31"/>
      <c r="ASB167" s="31"/>
      <c r="ASC167" s="31"/>
      <c r="ASD167" s="31"/>
      <c r="ASE167" s="31"/>
      <c r="ASF167" s="31"/>
      <c r="ASG167" s="31"/>
      <c r="ASH167" s="31"/>
      <c r="ASI167" s="31"/>
      <c r="ASJ167" s="31"/>
      <c r="ASK167" s="31"/>
      <c r="ASL167" s="31"/>
      <c r="ASM167" s="31"/>
      <c r="ASN167" s="31"/>
      <c r="ASO167" s="31"/>
      <c r="ASP167" s="31"/>
      <c r="ASQ167" s="31"/>
      <c r="ASR167" s="31"/>
      <c r="ASS167" s="31"/>
      <c r="AST167" s="31"/>
      <c r="ASU167" s="31"/>
      <c r="ASV167" s="31"/>
      <c r="ASW167" s="31"/>
      <c r="ASX167" s="31"/>
      <c r="ASY167" s="31"/>
      <c r="ASZ167" s="31"/>
      <c r="ATA167" s="31"/>
      <c r="ATB167" s="31"/>
      <c r="ATC167" s="31"/>
      <c r="ATD167" s="31"/>
      <c r="ATE167" s="31"/>
    </row>
    <row r="168" spans="1:1201" s="34" customFormat="1" ht="15.75" customHeight="1" x14ac:dyDescent="0.3">
      <c r="A168" s="76"/>
      <c r="B168" s="76"/>
      <c r="C168" s="57" t="s">
        <v>245</v>
      </c>
      <c r="D168" s="63"/>
      <c r="E168" s="63" t="s">
        <v>246</v>
      </c>
      <c r="F168" s="148"/>
      <c r="G168" s="149">
        <v>403560.29000000004</v>
      </c>
      <c r="H168" s="629"/>
      <c r="I168" s="629"/>
      <c r="J168" s="629"/>
      <c r="K168" s="629"/>
      <c r="L168" s="629"/>
      <c r="M168" s="629"/>
      <c r="N168" s="629"/>
      <c r="O168" s="629"/>
      <c r="P168" s="629"/>
      <c r="Q168" s="629"/>
      <c r="R168" s="629"/>
      <c r="S168" s="924"/>
      <c r="T168" s="1076"/>
      <c r="U168" s="1076"/>
      <c r="V168" s="1076"/>
      <c r="W168" s="1076"/>
      <c r="X168" s="1076"/>
      <c r="Y168" s="1076"/>
      <c r="Z168" s="1076"/>
      <c r="AA168" s="1076"/>
      <c r="AB168" s="1076"/>
      <c r="AC168" s="1076"/>
      <c r="AD168" s="1076"/>
      <c r="AE168" s="1076"/>
      <c r="AF168" s="1076"/>
      <c r="AG168" s="1076"/>
      <c r="AH168" s="1076"/>
      <c r="AI168" s="1076">
        <f>'MXD BS'!R35</f>
        <v>0</v>
      </c>
      <c r="AJ168" s="1076">
        <f>'MXD BS'!S35</f>
        <v>0</v>
      </c>
      <c r="AK168" s="1076">
        <f>'MXD BS'!T35</f>
        <v>0</v>
      </c>
      <c r="AL168" s="1076">
        <f>'MXD BS'!U35</f>
        <v>0</v>
      </c>
      <c r="AM168" s="1076">
        <f>'MXD BS'!V35</f>
        <v>0</v>
      </c>
      <c r="AN168" s="1076">
        <f>'MXD BS'!W35</f>
        <v>0</v>
      </c>
      <c r="AO168" s="1076">
        <f>'MXD BS'!X35</f>
        <v>196125</v>
      </c>
      <c r="AP168" s="629"/>
      <c r="AQ168" s="629"/>
      <c r="AR168" s="618"/>
      <c r="AS168" s="629"/>
      <c r="AT168" s="629"/>
      <c r="AU168" s="629"/>
      <c r="AV168" s="629"/>
      <c r="AW168" s="629"/>
      <c r="AX168" s="629"/>
      <c r="AY168" s="629"/>
      <c r="AZ168" s="629"/>
      <c r="BA168" s="629"/>
      <c r="BB168" s="629"/>
      <c r="BC168" s="629"/>
      <c r="BE168" s="1195">
        <v>1469833.16</v>
      </c>
      <c r="BF168" s="924">
        <f t="shared" si="293"/>
        <v>0</v>
      </c>
      <c r="BG168" s="1195">
        <f t="shared" si="295"/>
        <v>0</v>
      </c>
      <c r="BH168" s="31"/>
      <c r="BI168" s="31"/>
      <c r="BJ168" s="31"/>
      <c r="BK168" s="31"/>
      <c r="BL168" s="31"/>
      <c r="BM168" s="31"/>
      <c r="BN168" s="31"/>
      <c r="BO168" s="31"/>
      <c r="BP168" s="31"/>
      <c r="BQ168" s="31"/>
      <c r="BR168" s="31"/>
      <c r="BS168" s="31"/>
      <c r="BT168" s="31"/>
      <c r="BU168" s="31"/>
      <c r="BV168" s="31"/>
      <c r="BW168" s="31"/>
      <c r="BX168" s="31"/>
      <c r="BY168" s="31"/>
      <c r="BZ168" s="31"/>
      <c r="CA168" s="31"/>
      <c r="CB168" s="31"/>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c r="EX168" s="31"/>
      <c r="EY168" s="31"/>
      <c r="EZ168" s="31"/>
      <c r="FA168" s="31"/>
      <c r="FB168" s="31"/>
      <c r="FC168" s="31"/>
      <c r="FD168" s="31"/>
      <c r="FE168" s="31"/>
      <c r="FF168" s="31"/>
      <c r="FG168" s="31"/>
      <c r="FH168" s="31"/>
      <c r="FI168" s="31"/>
      <c r="FJ168" s="31"/>
      <c r="FK168" s="31"/>
      <c r="FL168" s="31"/>
      <c r="FM168" s="31"/>
      <c r="FN168" s="31"/>
      <c r="FO168" s="31"/>
      <c r="FP168" s="31"/>
      <c r="FQ168" s="31"/>
      <c r="FR168" s="31"/>
      <c r="FS168" s="31"/>
      <c r="FT168" s="31"/>
      <c r="FU168" s="31"/>
      <c r="FV168" s="31"/>
      <c r="FW168" s="31"/>
      <c r="FX168" s="31"/>
      <c r="FY168" s="31"/>
      <c r="FZ168" s="31"/>
      <c r="GA168" s="31"/>
      <c r="GB168" s="31"/>
      <c r="GC168" s="31"/>
      <c r="GD168" s="31"/>
      <c r="GE168" s="31"/>
      <c r="GF168" s="31"/>
      <c r="GG168" s="31"/>
      <c r="GH168" s="31"/>
      <c r="GI168" s="31"/>
      <c r="GJ168" s="31"/>
      <c r="GK168" s="31"/>
      <c r="GL168" s="31"/>
      <c r="GM168" s="31"/>
      <c r="GN168" s="31"/>
      <c r="GO168" s="31"/>
      <c r="GP168" s="31"/>
      <c r="GQ168" s="31"/>
      <c r="GR168" s="31"/>
      <c r="GS168" s="31"/>
      <c r="GT168" s="31"/>
      <c r="GU168" s="31"/>
      <c r="GV168" s="31"/>
      <c r="GW168" s="31"/>
      <c r="GX168" s="31"/>
      <c r="GY168" s="31"/>
      <c r="GZ168" s="31"/>
      <c r="HA168" s="31"/>
      <c r="HB168" s="31"/>
      <c r="HC168" s="31"/>
      <c r="HD168" s="31"/>
      <c r="HE168" s="31"/>
      <c r="HF168" s="31"/>
      <c r="HG168" s="31"/>
      <c r="HH168" s="31"/>
      <c r="HI168" s="31"/>
      <c r="HJ168" s="31"/>
      <c r="HK168" s="31"/>
      <c r="HL168" s="31"/>
      <c r="HM168" s="31"/>
      <c r="HN168" s="31"/>
      <c r="HO168" s="31"/>
      <c r="HP168" s="31"/>
      <c r="HQ168" s="31"/>
      <c r="HR168" s="31"/>
      <c r="HS168" s="31"/>
      <c r="HT168" s="31"/>
      <c r="HU168" s="31"/>
      <c r="HV168" s="31"/>
      <c r="HW168" s="31"/>
      <c r="HX168" s="31"/>
      <c r="HY168" s="31"/>
      <c r="HZ168" s="31"/>
      <c r="IA168" s="31"/>
      <c r="IB168" s="31"/>
      <c r="IC168" s="31"/>
      <c r="ID168" s="31"/>
      <c r="IE168" s="31"/>
      <c r="IF168" s="31"/>
      <c r="IG168" s="31"/>
      <c r="IH168" s="31"/>
      <c r="II168" s="31"/>
      <c r="IJ168" s="31"/>
      <c r="IK168" s="31"/>
      <c r="IL168" s="31"/>
      <c r="IM168" s="31"/>
      <c r="IN168" s="31"/>
      <c r="IO168" s="31"/>
      <c r="IP168" s="31"/>
      <c r="IQ168" s="31"/>
      <c r="IR168" s="31"/>
      <c r="IS168" s="31"/>
      <c r="IT168" s="31"/>
      <c r="IU168" s="31"/>
      <c r="IV168" s="31"/>
      <c r="IW168" s="31"/>
      <c r="IX168" s="31"/>
      <c r="IY168" s="31"/>
      <c r="IZ168" s="31"/>
      <c r="JA168" s="31"/>
      <c r="JB168" s="31"/>
      <c r="JC168" s="31"/>
      <c r="JD168" s="31"/>
      <c r="JE168" s="31"/>
      <c r="JF168" s="31"/>
      <c r="JG168" s="31"/>
      <c r="JH168" s="31"/>
      <c r="JI168" s="31"/>
      <c r="JJ168" s="31"/>
      <c r="JK168" s="31"/>
      <c r="JL168" s="31"/>
      <c r="JM168" s="31"/>
      <c r="JN168" s="31"/>
      <c r="JO168" s="31"/>
      <c r="JP168" s="31"/>
      <c r="JQ168" s="31"/>
      <c r="JR168" s="31"/>
      <c r="JS168" s="31"/>
      <c r="JT168" s="31"/>
      <c r="JU168" s="31"/>
      <c r="JV168" s="31"/>
      <c r="JW168" s="31"/>
      <c r="JX168" s="31"/>
      <c r="JY168" s="31"/>
      <c r="JZ168" s="31"/>
      <c r="KA168" s="31"/>
      <c r="KB168" s="31"/>
      <c r="KC168" s="31"/>
      <c r="KD168" s="31"/>
      <c r="KE168" s="31"/>
      <c r="KF168" s="31"/>
      <c r="KG168" s="31"/>
      <c r="KH168" s="31"/>
      <c r="KI168" s="31"/>
      <c r="KJ168" s="31"/>
      <c r="KK168" s="31"/>
      <c r="KL168" s="31"/>
      <c r="KM168" s="31"/>
      <c r="KN168" s="31"/>
      <c r="KO168" s="31"/>
      <c r="KP168" s="31"/>
      <c r="KQ168" s="31"/>
      <c r="KR168" s="31"/>
      <c r="KS168" s="31"/>
      <c r="KT168" s="31"/>
      <c r="KU168" s="31"/>
      <c r="KV168" s="31"/>
      <c r="KW168" s="31"/>
      <c r="KX168" s="31"/>
      <c r="KY168" s="31"/>
      <c r="KZ168" s="31"/>
      <c r="LA168" s="31"/>
      <c r="LB168" s="31"/>
      <c r="LC168" s="31"/>
      <c r="LD168" s="31"/>
      <c r="LE168" s="31"/>
      <c r="LF168" s="31"/>
      <c r="LG168" s="31"/>
      <c r="LH168" s="31"/>
      <c r="LI168" s="31"/>
      <c r="LJ168" s="31"/>
      <c r="LK168" s="31"/>
      <c r="LL168" s="31"/>
      <c r="LM168" s="31"/>
      <c r="LN168" s="31"/>
      <c r="LO168" s="31"/>
      <c r="LP168" s="31"/>
      <c r="LQ168" s="31"/>
      <c r="LR168" s="31"/>
      <c r="LS168" s="31"/>
      <c r="LT168" s="31"/>
      <c r="LU168" s="31"/>
      <c r="LV168" s="31"/>
      <c r="LW168" s="31"/>
      <c r="LX168" s="31"/>
      <c r="LY168" s="31"/>
      <c r="LZ168" s="31"/>
      <c r="MA168" s="31"/>
      <c r="MB168" s="31"/>
      <c r="MC168" s="31"/>
      <c r="MD168" s="31"/>
      <c r="ME168" s="31"/>
      <c r="MF168" s="31"/>
      <c r="MG168" s="31"/>
      <c r="MH168" s="31"/>
      <c r="MI168" s="31"/>
      <c r="MJ168" s="31"/>
      <c r="MK168" s="31"/>
      <c r="ML168" s="31"/>
      <c r="MM168" s="31"/>
      <c r="MN168" s="31"/>
      <c r="MO168" s="31"/>
      <c r="MP168" s="31"/>
      <c r="MQ168" s="31"/>
      <c r="MR168" s="31"/>
      <c r="MS168" s="31"/>
      <c r="MT168" s="31"/>
      <c r="MU168" s="31"/>
      <c r="MV168" s="31"/>
      <c r="MW168" s="31"/>
      <c r="MX168" s="31"/>
      <c r="MY168" s="31"/>
      <c r="MZ168" s="31"/>
      <c r="NA168" s="31"/>
      <c r="NB168" s="31"/>
      <c r="NC168" s="31"/>
      <c r="ND168" s="31"/>
      <c r="NE168" s="31"/>
      <c r="NF168" s="31"/>
      <c r="NG168" s="31"/>
      <c r="NH168" s="31"/>
      <c r="NI168" s="31"/>
      <c r="NJ168" s="31"/>
      <c r="NK168" s="31"/>
      <c r="NL168" s="31"/>
      <c r="NM168" s="31"/>
      <c r="NN168" s="31"/>
      <c r="NO168" s="31"/>
      <c r="NP168" s="31"/>
      <c r="NQ168" s="31"/>
      <c r="NR168" s="31"/>
      <c r="NS168" s="31"/>
      <c r="NT168" s="31"/>
      <c r="NU168" s="31"/>
      <c r="NV168" s="31"/>
      <c r="NW168" s="31"/>
      <c r="NX168" s="31"/>
      <c r="NY168" s="31"/>
      <c r="NZ168" s="31"/>
      <c r="OA168" s="31"/>
      <c r="OB168" s="31"/>
      <c r="OC168" s="31"/>
      <c r="OD168" s="31"/>
      <c r="OE168" s="31"/>
      <c r="OF168" s="31"/>
      <c r="OG168" s="31"/>
      <c r="OH168" s="31"/>
      <c r="OI168" s="31"/>
      <c r="OJ168" s="31"/>
      <c r="OK168" s="31"/>
      <c r="OL168" s="31"/>
      <c r="OM168" s="31"/>
      <c r="ON168" s="31"/>
      <c r="OO168" s="31"/>
      <c r="OP168" s="31"/>
      <c r="OQ168" s="31"/>
      <c r="OR168" s="31"/>
      <c r="OS168" s="31"/>
      <c r="OT168" s="31"/>
      <c r="OU168" s="31"/>
      <c r="OV168" s="31"/>
      <c r="OW168" s="31"/>
      <c r="OX168" s="31"/>
      <c r="OY168" s="31"/>
      <c r="OZ168" s="31"/>
      <c r="PA168" s="31"/>
      <c r="PB168" s="31"/>
      <c r="PC168" s="31"/>
      <c r="PD168" s="31"/>
      <c r="PE168" s="31"/>
      <c r="PF168" s="31"/>
      <c r="PG168" s="31"/>
      <c r="PH168" s="31"/>
      <c r="PI168" s="31"/>
      <c r="PJ168" s="31"/>
      <c r="PK168" s="31"/>
      <c r="PL168" s="31"/>
      <c r="PM168" s="31"/>
      <c r="PN168" s="31"/>
      <c r="PO168" s="31"/>
      <c r="PP168" s="31"/>
      <c r="PQ168" s="31"/>
      <c r="PR168" s="31"/>
      <c r="PS168" s="31"/>
      <c r="PT168" s="31"/>
      <c r="PU168" s="31"/>
      <c r="PV168" s="31"/>
      <c r="PW168" s="31"/>
      <c r="PX168" s="31"/>
      <c r="PY168" s="31"/>
      <c r="PZ168" s="31"/>
      <c r="QA168" s="31"/>
      <c r="QB168" s="31"/>
      <c r="QC168" s="31"/>
      <c r="QD168" s="31"/>
      <c r="QE168" s="31"/>
      <c r="QF168" s="31"/>
      <c r="QG168" s="31"/>
      <c r="QH168" s="31"/>
      <c r="QI168" s="31"/>
      <c r="QJ168" s="31"/>
      <c r="QK168" s="31"/>
      <c r="QL168" s="31"/>
      <c r="QM168" s="31"/>
      <c r="QN168" s="31"/>
      <c r="QO168" s="31"/>
      <c r="QP168" s="31"/>
      <c r="QQ168" s="31"/>
      <c r="QR168" s="31"/>
      <c r="QS168" s="31"/>
      <c r="QT168" s="31"/>
      <c r="QU168" s="31"/>
      <c r="QV168" s="31"/>
      <c r="QW168" s="31"/>
      <c r="QX168" s="31"/>
      <c r="QY168" s="31"/>
      <c r="QZ168" s="31"/>
      <c r="RA168" s="31"/>
      <c r="RB168" s="31"/>
      <c r="RC168" s="31"/>
      <c r="RD168" s="31"/>
      <c r="RE168" s="31"/>
      <c r="RF168" s="31"/>
      <c r="RG168" s="31"/>
      <c r="RH168" s="31"/>
      <c r="RI168" s="31"/>
      <c r="RJ168" s="31"/>
      <c r="RK168" s="31"/>
      <c r="RL168" s="31"/>
      <c r="RM168" s="31"/>
      <c r="RN168" s="31"/>
      <c r="RO168" s="31"/>
      <c r="RP168" s="31"/>
      <c r="RQ168" s="31"/>
      <c r="RR168" s="31"/>
      <c r="RS168" s="31"/>
      <c r="RT168" s="31"/>
      <c r="RU168" s="31"/>
      <c r="RV168" s="31"/>
      <c r="RW168" s="31"/>
      <c r="RX168" s="31"/>
      <c r="RY168" s="31"/>
      <c r="RZ168" s="31"/>
      <c r="SA168" s="31"/>
      <c r="SB168" s="31"/>
      <c r="SC168" s="31"/>
      <c r="SD168" s="31"/>
      <c r="SE168" s="31"/>
      <c r="SF168" s="31"/>
      <c r="SG168" s="31"/>
      <c r="SH168" s="31"/>
      <c r="SI168" s="31"/>
      <c r="SJ168" s="31"/>
      <c r="SK168" s="31"/>
      <c r="SL168" s="31"/>
      <c r="SM168" s="31"/>
      <c r="SN168" s="31"/>
      <c r="SO168" s="31"/>
      <c r="SP168" s="31"/>
      <c r="SQ168" s="31"/>
      <c r="SR168" s="31"/>
      <c r="SS168" s="31"/>
      <c r="ST168" s="31"/>
      <c r="SU168" s="31"/>
      <c r="SV168" s="31"/>
      <c r="SW168" s="31"/>
      <c r="SX168" s="31"/>
      <c r="SY168" s="31"/>
      <c r="SZ168" s="31"/>
      <c r="TA168" s="31"/>
      <c r="TB168" s="31"/>
      <c r="TC168" s="31"/>
      <c r="TD168" s="31"/>
      <c r="TE168" s="31"/>
      <c r="TF168" s="31"/>
      <c r="TG168" s="31"/>
      <c r="TH168" s="31"/>
      <c r="TI168" s="31"/>
      <c r="TJ168" s="31"/>
      <c r="TK168" s="31"/>
      <c r="TL168" s="31"/>
      <c r="TM168" s="31"/>
      <c r="TN168" s="31"/>
      <c r="TO168" s="31"/>
      <c r="TP168" s="31"/>
      <c r="TQ168" s="31"/>
      <c r="TR168" s="31"/>
      <c r="TS168" s="31"/>
      <c r="TT168" s="31"/>
      <c r="TU168" s="31"/>
      <c r="TV168" s="31"/>
      <c r="TW168" s="31"/>
      <c r="TX168" s="31"/>
      <c r="TY168" s="31"/>
      <c r="TZ168" s="31"/>
      <c r="UA168" s="31"/>
      <c r="UB168" s="31"/>
      <c r="UC168" s="31"/>
      <c r="UD168" s="31"/>
      <c r="UE168" s="31"/>
      <c r="UF168" s="31"/>
      <c r="UG168" s="31"/>
      <c r="UH168" s="31"/>
      <c r="UI168" s="31"/>
      <c r="UJ168" s="31"/>
      <c r="UK168" s="31"/>
      <c r="UL168" s="31"/>
      <c r="UM168" s="31"/>
      <c r="UN168" s="31"/>
      <c r="UO168" s="31"/>
      <c r="UP168" s="31"/>
      <c r="UQ168" s="31"/>
      <c r="UR168" s="31"/>
      <c r="US168" s="31"/>
      <c r="UT168" s="31"/>
      <c r="UU168" s="31"/>
      <c r="UV168" s="31"/>
      <c r="UW168" s="31"/>
      <c r="UX168" s="31"/>
      <c r="UY168" s="31"/>
      <c r="UZ168" s="31"/>
      <c r="VA168" s="31"/>
      <c r="VB168" s="31"/>
      <c r="VC168" s="31"/>
      <c r="VD168" s="31"/>
      <c r="VE168" s="31"/>
      <c r="VF168" s="31"/>
      <c r="VG168" s="31"/>
      <c r="VH168" s="31"/>
      <c r="VI168" s="31"/>
      <c r="VJ168" s="31"/>
      <c r="VK168" s="31"/>
      <c r="VL168" s="31"/>
      <c r="VM168" s="31"/>
      <c r="VN168" s="31"/>
      <c r="VO168" s="31"/>
      <c r="VP168" s="31"/>
      <c r="VQ168" s="31"/>
      <c r="VR168" s="31"/>
      <c r="VS168" s="31"/>
      <c r="VT168" s="31"/>
      <c r="VU168" s="31"/>
      <c r="VV168" s="31"/>
      <c r="VW168" s="31"/>
      <c r="VX168" s="31"/>
      <c r="VY168" s="31"/>
      <c r="VZ168" s="31"/>
      <c r="WA168" s="31"/>
      <c r="WB168" s="31"/>
      <c r="WC168" s="31"/>
      <c r="WD168" s="31"/>
      <c r="WE168" s="31"/>
      <c r="WF168" s="31"/>
      <c r="WG168" s="31"/>
      <c r="WH168" s="31"/>
      <c r="WI168" s="31"/>
      <c r="WJ168" s="31"/>
      <c r="WK168" s="31"/>
      <c r="WL168" s="31"/>
      <c r="WM168" s="31"/>
      <c r="WN168" s="31"/>
      <c r="WO168" s="31"/>
      <c r="WP168" s="31"/>
      <c r="WQ168" s="31"/>
      <c r="WR168" s="31"/>
      <c r="WS168" s="31"/>
      <c r="WT168" s="31"/>
      <c r="WU168" s="31"/>
      <c r="WV168" s="31"/>
      <c r="WW168" s="31"/>
      <c r="WX168" s="31"/>
      <c r="WY168" s="31"/>
      <c r="WZ168" s="31"/>
      <c r="XA168" s="31"/>
      <c r="XB168" s="31"/>
      <c r="XC168" s="31"/>
      <c r="XD168" s="31"/>
      <c r="XE168" s="31"/>
      <c r="XF168" s="31"/>
      <c r="XG168" s="31"/>
      <c r="XH168" s="31"/>
      <c r="XI168" s="31"/>
      <c r="XJ168" s="31"/>
      <c r="XK168" s="31"/>
      <c r="XL168" s="31"/>
      <c r="XM168" s="31"/>
      <c r="XN168" s="31"/>
      <c r="XO168" s="31"/>
      <c r="XP168" s="31"/>
      <c r="XQ168" s="31"/>
      <c r="XR168" s="31"/>
      <c r="XS168" s="31"/>
      <c r="XT168" s="31"/>
      <c r="XU168" s="31"/>
      <c r="XV168" s="31"/>
      <c r="XW168" s="31"/>
      <c r="XX168" s="31"/>
      <c r="XY168" s="31"/>
      <c r="XZ168" s="31"/>
      <c r="YA168" s="31"/>
      <c r="YB168" s="31"/>
      <c r="YC168" s="31"/>
      <c r="YD168" s="31"/>
      <c r="YE168" s="31"/>
      <c r="YF168" s="31"/>
      <c r="YG168" s="31"/>
      <c r="YH168" s="31"/>
      <c r="YI168" s="31"/>
      <c r="YJ168" s="31"/>
      <c r="YK168" s="31"/>
      <c r="YL168" s="31"/>
      <c r="YM168" s="31"/>
      <c r="YN168" s="31"/>
      <c r="YO168" s="31"/>
      <c r="YP168" s="31"/>
      <c r="YQ168" s="31"/>
      <c r="YR168" s="31"/>
      <c r="YS168" s="31"/>
      <c r="YT168" s="31"/>
      <c r="YU168" s="31"/>
      <c r="YV168" s="31"/>
      <c r="YW168" s="31"/>
      <c r="YX168" s="31"/>
      <c r="YY168" s="31"/>
      <c r="YZ168" s="31"/>
      <c r="ZA168" s="31"/>
      <c r="ZB168" s="31"/>
      <c r="ZC168" s="31"/>
      <c r="ZD168" s="31"/>
      <c r="ZE168" s="31"/>
      <c r="ZF168" s="31"/>
      <c r="ZG168" s="31"/>
      <c r="ZH168" s="31"/>
      <c r="ZI168" s="31"/>
      <c r="ZJ168" s="31"/>
      <c r="ZK168" s="31"/>
      <c r="ZL168" s="31"/>
      <c r="ZM168" s="31"/>
      <c r="ZN168" s="31"/>
      <c r="ZO168" s="31"/>
      <c r="ZP168" s="31"/>
      <c r="ZQ168" s="31"/>
      <c r="ZR168" s="31"/>
      <c r="ZS168" s="31"/>
      <c r="ZT168" s="31"/>
      <c r="ZU168" s="31"/>
      <c r="ZV168" s="31"/>
      <c r="ZW168" s="31"/>
      <c r="ZX168" s="31"/>
      <c r="ZY168" s="31"/>
      <c r="ZZ168" s="31"/>
      <c r="AAA168" s="31"/>
      <c r="AAB168" s="31"/>
      <c r="AAC168" s="31"/>
      <c r="AAD168" s="31"/>
      <c r="AAE168" s="31"/>
      <c r="AAF168" s="31"/>
      <c r="AAG168" s="31"/>
      <c r="AAH168" s="31"/>
      <c r="AAI168" s="31"/>
      <c r="AAJ168" s="31"/>
      <c r="AAK168" s="31"/>
      <c r="AAL168" s="31"/>
      <c r="AAM168" s="31"/>
      <c r="AAN168" s="31"/>
      <c r="AAO168" s="31"/>
      <c r="AAP168" s="31"/>
      <c r="AAQ168" s="31"/>
      <c r="AAR168" s="31"/>
      <c r="AAS168" s="31"/>
      <c r="AAT168" s="31"/>
      <c r="AAU168" s="31"/>
      <c r="AAV168" s="31"/>
      <c r="AAW168" s="31"/>
      <c r="AAX168" s="31"/>
      <c r="AAY168" s="31"/>
      <c r="AAZ168" s="31"/>
      <c r="ABA168" s="31"/>
      <c r="ABB168" s="31"/>
      <c r="ABC168" s="31"/>
      <c r="ABD168" s="31"/>
      <c r="ABE168" s="31"/>
      <c r="ABF168" s="31"/>
      <c r="ABG168" s="31"/>
      <c r="ABH168" s="31"/>
      <c r="ABI168" s="31"/>
      <c r="ABJ168" s="31"/>
      <c r="ABK168" s="31"/>
      <c r="ABL168" s="31"/>
      <c r="ABM168" s="31"/>
      <c r="ABN168" s="31"/>
      <c r="ABO168" s="31"/>
      <c r="ABP168" s="31"/>
      <c r="ABQ168" s="31"/>
      <c r="ABR168" s="31"/>
      <c r="ABS168" s="31"/>
      <c r="ABT168" s="31"/>
      <c r="ABU168" s="31"/>
      <c r="ABV168" s="31"/>
      <c r="ABW168" s="31"/>
      <c r="ABX168" s="31"/>
      <c r="ABY168" s="31"/>
      <c r="ABZ168" s="31"/>
      <c r="ACA168" s="31"/>
      <c r="ACB168" s="31"/>
      <c r="ACC168" s="31"/>
      <c r="ACD168" s="31"/>
      <c r="ACE168" s="31"/>
      <c r="ACF168" s="31"/>
      <c r="ACG168" s="31"/>
      <c r="ACH168" s="31"/>
      <c r="ACI168" s="31"/>
      <c r="ACJ168" s="31"/>
      <c r="ACK168" s="31"/>
      <c r="ACL168" s="31"/>
      <c r="ACM168" s="31"/>
      <c r="ACN168" s="31"/>
      <c r="ACO168" s="31"/>
      <c r="ACP168" s="31"/>
      <c r="ACQ168" s="31"/>
      <c r="ACR168" s="31"/>
      <c r="ACS168" s="31"/>
      <c r="ACT168" s="31"/>
      <c r="ACU168" s="31"/>
      <c r="ACV168" s="31"/>
      <c r="ACW168" s="31"/>
      <c r="ACX168" s="31"/>
      <c r="ACY168" s="31"/>
      <c r="ACZ168" s="31"/>
      <c r="ADA168" s="31"/>
      <c r="ADB168" s="31"/>
      <c r="ADC168" s="31"/>
      <c r="ADD168" s="31"/>
      <c r="ADE168" s="31"/>
      <c r="ADF168" s="31"/>
      <c r="ADG168" s="31"/>
      <c r="ADH168" s="31"/>
      <c r="ADI168" s="31"/>
      <c r="ADJ168" s="31"/>
      <c r="ADK168" s="31"/>
      <c r="ADL168" s="31"/>
      <c r="ADM168" s="31"/>
      <c r="ADN168" s="31"/>
      <c r="ADO168" s="31"/>
      <c r="ADP168" s="31"/>
      <c r="ADQ168" s="31"/>
      <c r="ADR168" s="31"/>
      <c r="ADS168" s="31"/>
      <c r="ADT168" s="31"/>
      <c r="ADU168" s="31"/>
      <c r="ADV168" s="31"/>
      <c r="ADW168" s="31"/>
      <c r="ADX168" s="31"/>
      <c r="ADY168" s="31"/>
      <c r="ADZ168" s="31"/>
      <c r="AEA168" s="31"/>
      <c r="AEB168" s="31"/>
      <c r="AEC168" s="31"/>
      <c r="AED168" s="31"/>
      <c r="AEE168" s="31"/>
      <c r="AEF168" s="31"/>
      <c r="AEG168" s="31"/>
      <c r="AEH168" s="31"/>
      <c r="AEI168" s="31"/>
      <c r="AEJ168" s="31"/>
      <c r="AEK168" s="31"/>
      <c r="AEL168" s="31"/>
      <c r="AEM168" s="31"/>
      <c r="AEN168" s="31"/>
      <c r="AEO168" s="31"/>
      <c r="AEP168" s="31"/>
      <c r="AEQ168" s="31"/>
      <c r="AER168" s="31"/>
      <c r="AES168" s="31"/>
      <c r="AET168" s="31"/>
      <c r="AEU168" s="31"/>
      <c r="AEV168" s="31"/>
      <c r="AEW168" s="31"/>
      <c r="AEX168" s="31"/>
      <c r="AEY168" s="31"/>
      <c r="AEZ168" s="31"/>
      <c r="AFA168" s="31"/>
      <c r="AFB168" s="31"/>
      <c r="AFC168" s="31"/>
      <c r="AFD168" s="31"/>
      <c r="AFE168" s="31"/>
      <c r="AFF168" s="31"/>
      <c r="AFG168" s="31"/>
      <c r="AFH168" s="31"/>
      <c r="AFI168" s="31"/>
      <c r="AFJ168" s="31"/>
      <c r="AFK168" s="31"/>
      <c r="AFL168" s="31"/>
      <c r="AFM168" s="31"/>
      <c r="AFN168" s="31"/>
      <c r="AFO168" s="31"/>
      <c r="AFP168" s="31"/>
      <c r="AFQ168" s="31"/>
      <c r="AFR168" s="31"/>
      <c r="AFS168" s="31"/>
      <c r="AFT168" s="31"/>
      <c r="AFU168" s="31"/>
      <c r="AFV168" s="31"/>
      <c r="AFW168" s="31"/>
      <c r="AFX168" s="31"/>
      <c r="AFY168" s="31"/>
      <c r="AFZ168" s="31"/>
      <c r="AGA168" s="31"/>
      <c r="AGB168" s="31"/>
      <c r="AGC168" s="31"/>
      <c r="AGD168" s="31"/>
      <c r="AGE168" s="31"/>
      <c r="AGF168" s="31"/>
      <c r="AGG168" s="31"/>
      <c r="AGH168" s="31"/>
      <c r="AGI168" s="31"/>
      <c r="AGJ168" s="31"/>
      <c r="AGK168" s="31"/>
      <c r="AGL168" s="31"/>
      <c r="AGM168" s="31"/>
      <c r="AGN168" s="31"/>
      <c r="AGO168" s="31"/>
      <c r="AGP168" s="31"/>
      <c r="AGQ168" s="31"/>
      <c r="AGR168" s="31"/>
      <c r="AGS168" s="31"/>
      <c r="AGT168" s="31"/>
      <c r="AGU168" s="31"/>
      <c r="AGV168" s="31"/>
      <c r="AGW168" s="31"/>
      <c r="AGX168" s="31"/>
      <c r="AGY168" s="31"/>
      <c r="AGZ168" s="31"/>
      <c r="AHA168" s="31"/>
      <c r="AHB168" s="31"/>
      <c r="AHC168" s="31"/>
      <c r="AHD168" s="31"/>
      <c r="AHE168" s="31"/>
      <c r="AHF168" s="31"/>
      <c r="AHG168" s="31"/>
      <c r="AHH168" s="31"/>
      <c r="AHI168" s="31"/>
      <c r="AHJ168" s="31"/>
      <c r="AHK168" s="31"/>
      <c r="AHL168" s="31"/>
      <c r="AHM168" s="31"/>
      <c r="AHN168" s="31"/>
      <c r="AHO168" s="31"/>
      <c r="AHP168" s="31"/>
      <c r="AHQ168" s="31"/>
      <c r="AHR168" s="31"/>
      <c r="AHS168" s="31"/>
      <c r="AHT168" s="31"/>
      <c r="AHU168" s="31"/>
      <c r="AHV168" s="31"/>
      <c r="AHW168" s="31"/>
      <c r="AHX168" s="31"/>
      <c r="AHY168" s="31"/>
      <c r="AHZ168" s="31"/>
      <c r="AIA168" s="31"/>
      <c r="AIB168" s="31"/>
      <c r="AIC168" s="31"/>
      <c r="AID168" s="31"/>
      <c r="AIE168" s="31"/>
      <c r="AIF168" s="31"/>
      <c r="AIG168" s="31"/>
      <c r="AIH168" s="31"/>
      <c r="AII168" s="31"/>
      <c r="AIJ168" s="31"/>
      <c r="AIK168" s="31"/>
      <c r="AIL168" s="31"/>
      <c r="AIM168" s="31"/>
      <c r="AIN168" s="31"/>
      <c r="AIO168" s="31"/>
      <c r="AIP168" s="31"/>
      <c r="AIQ168" s="31"/>
      <c r="AIR168" s="31"/>
      <c r="AIS168" s="31"/>
      <c r="AIT168" s="31"/>
      <c r="AIU168" s="31"/>
      <c r="AIV168" s="31"/>
      <c r="AIW168" s="31"/>
      <c r="AIX168" s="31"/>
      <c r="AIY168" s="31"/>
      <c r="AIZ168" s="31"/>
      <c r="AJA168" s="31"/>
      <c r="AJB168" s="31"/>
      <c r="AJC168" s="31"/>
      <c r="AJD168" s="31"/>
      <c r="AJE168" s="31"/>
      <c r="AJF168" s="31"/>
      <c r="AJG168" s="31"/>
      <c r="AJH168" s="31"/>
      <c r="AJI168" s="31"/>
      <c r="AJJ168" s="31"/>
      <c r="AJK168" s="31"/>
      <c r="AJL168" s="31"/>
      <c r="AJM168" s="31"/>
      <c r="AJN168" s="31"/>
      <c r="AJO168" s="31"/>
      <c r="AJP168" s="31"/>
      <c r="AJQ168" s="31"/>
      <c r="AJR168" s="31"/>
      <c r="AJS168" s="31"/>
      <c r="AJT168" s="31"/>
      <c r="AJU168" s="31"/>
      <c r="AJV168" s="31"/>
      <c r="AJW168" s="31"/>
      <c r="AJX168" s="31"/>
      <c r="AJY168" s="31"/>
      <c r="AJZ168" s="31"/>
      <c r="AKA168" s="31"/>
      <c r="AKB168" s="31"/>
      <c r="AKC168" s="31"/>
      <c r="AKD168" s="31"/>
      <c r="AKE168" s="31"/>
      <c r="AKF168" s="31"/>
      <c r="AKG168" s="31"/>
      <c r="AKH168" s="31"/>
      <c r="AKI168" s="31"/>
      <c r="AKJ168" s="31"/>
      <c r="AKK168" s="31"/>
      <c r="AKL168" s="31"/>
      <c r="AKM168" s="31"/>
      <c r="AKN168" s="31"/>
      <c r="AKO168" s="31"/>
      <c r="AKP168" s="31"/>
      <c r="AKQ168" s="31"/>
      <c r="AKR168" s="31"/>
      <c r="AKS168" s="31"/>
      <c r="AKT168" s="31"/>
      <c r="AKU168" s="31"/>
      <c r="AKV168" s="31"/>
      <c r="AKW168" s="31"/>
      <c r="AKX168" s="31"/>
      <c r="AKY168" s="31"/>
      <c r="AKZ168" s="31"/>
      <c r="ALA168" s="31"/>
      <c r="ALB168" s="31"/>
      <c r="ALC168" s="31"/>
      <c r="ALD168" s="31"/>
      <c r="ALE168" s="31"/>
      <c r="ALF168" s="31"/>
      <c r="ALG168" s="31"/>
      <c r="ALH168" s="31"/>
      <c r="ALI168" s="31"/>
      <c r="ALJ168" s="31"/>
      <c r="ALK168" s="31"/>
      <c r="ALL168" s="31"/>
      <c r="ALM168" s="31"/>
      <c r="ALN168" s="31"/>
      <c r="ALO168" s="31"/>
      <c r="ALP168" s="31"/>
      <c r="ALQ168" s="31"/>
      <c r="ALR168" s="31"/>
      <c r="ALS168" s="31"/>
      <c r="ALT168" s="31"/>
      <c r="ALU168" s="31"/>
      <c r="ALV168" s="31"/>
      <c r="ALW168" s="31"/>
      <c r="ALX168" s="31"/>
      <c r="ALY168" s="31"/>
      <c r="ALZ168" s="31"/>
      <c r="AMA168" s="31"/>
      <c r="AMB168" s="31"/>
      <c r="AMC168" s="31"/>
      <c r="AMD168" s="31"/>
      <c r="AME168" s="31"/>
      <c r="AMF168" s="31"/>
      <c r="AMG168" s="31"/>
      <c r="AMH168" s="31"/>
      <c r="AMI168" s="31"/>
      <c r="AMJ168" s="31"/>
      <c r="AMK168" s="31"/>
      <c r="AML168" s="31"/>
      <c r="AMM168" s="31"/>
      <c r="AMN168" s="31"/>
      <c r="AMO168" s="31"/>
      <c r="AMP168" s="31"/>
      <c r="AMQ168" s="31"/>
      <c r="AMR168" s="31"/>
      <c r="AMS168" s="31"/>
      <c r="AMT168" s="31"/>
      <c r="AMU168" s="31"/>
      <c r="AMV168" s="31"/>
      <c r="AMW168" s="31"/>
      <c r="AMX168" s="31"/>
      <c r="AMY168" s="31"/>
      <c r="AMZ168" s="31"/>
      <c r="ANA168" s="31"/>
      <c r="ANB168" s="31"/>
      <c r="ANC168" s="31"/>
      <c r="AND168" s="31"/>
      <c r="ANE168" s="31"/>
      <c r="ANF168" s="31"/>
      <c r="ANG168" s="31"/>
      <c r="ANH168" s="31"/>
      <c r="ANI168" s="31"/>
      <c r="ANJ168" s="31"/>
      <c r="ANK168" s="31"/>
      <c r="ANL168" s="31"/>
      <c r="ANM168" s="31"/>
      <c r="ANN168" s="31"/>
      <c r="ANO168" s="31"/>
      <c r="ANP168" s="31"/>
      <c r="ANQ168" s="31"/>
      <c r="ANR168" s="31"/>
      <c r="ANS168" s="31"/>
      <c r="ANT168" s="31"/>
      <c r="ANU168" s="31"/>
      <c r="ANV168" s="31"/>
      <c r="ANW168" s="31"/>
      <c r="ANX168" s="31"/>
      <c r="ANY168" s="31"/>
      <c r="ANZ168" s="31"/>
      <c r="AOA168" s="31"/>
      <c r="AOB168" s="31"/>
      <c r="AOC168" s="31"/>
      <c r="AOD168" s="31"/>
      <c r="AOE168" s="31"/>
      <c r="AOF168" s="31"/>
      <c r="AOG168" s="31"/>
      <c r="AOH168" s="31"/>
      <c r="AOI168" s="31"/>
      <c r="AOJ168" s="31"/>
      <c r="AOK168" s="31"/>
      <c r="AOL168" s="31"/>
      <c r="AOM168" s="31"/>
      <c r="AON168" s="31"/>
      <c r="AOO168" s="31"/>
      <c r="AOP168" s="31"/>
      <c r="AOQ168" s="31"/>
      <c r="AOR168" s="31"/>
      <c r="AOS168" s="31"/>
      <c r="AOT168" s="31"/>
      <c r="AOU168" s="31"/>
      <c r="AOV168" s="31"/>
      <c r="AOW168" s="31"/>
      <c r="AOX168" s="31"/>
      <c r="AOY168" s="31"/>
      <c r="AOZ168" s="31"/>
      <c r="APA168" s="31"/>
      <c r="APB168" s="31"/>
      <c r="APC168" s="31"/>
      <c r="APD168" s="31"/>
      <c r="APE168" s="31"/>
      <c r="APF168" s="31"/>
      <c r="APG168" s="31"/>
      <c r="APH168" s="31"/>
      <c r="API168" s="31"/>
      <c r="APJ168" s="31"/>
      <c r="APK168" s="31"/>
      <c r="APL168" s="31"/>
      <c r="APM168" s="31"/>
      <c r="APN168" s="31"/>
      <c r="APO168" s="31"/>
      <c r="APP168" s="31"/>
      <c r="APQ168" s="31"/>
      <c r="APR168" s="31"/>
      <c r="APS168" s="31"/>
      <c r="APT168" s="31"/>
      <c r="APU168" s="31"/>
      <c r="APV168" s="31"/>
      <c r="APW168" s="31"/>
      <c r="APX168" s="31"/>
      <c r="APY168" s="31"/>
      <c r="APZ168" s="31"/>
      <c r="AQA168" s="31"/>
      <c r="AQB168" s="31"/>
      <c r="AQC168" s="31"/>
      <c r="AQD168" s="31"/>
      <c r="AQE168" s="31"/>
      <c r="AQF168" s="31"/>
      <c r="AQG168" s="31"/>
      <c r="AQH168" s="31"/>
      <c r="AQI168" s="31"/>
      <c r="AQJ168" s="31"/>
      <c r="AQK168" s="31"/>
      <c r="AQL168" s="31"/>
      <c r="AQM168" s="31"/>
      <c r="AQN168" s="31"/>
      <c r="AQO168" s="31"/>
      <c r="AQP168" s="31"/>
      <c r="AQQ168" s="31"/>
      <c r="AQR168" s="31"/>
      <c r="AQS168" s="31"/>
      <c r="AQT168" s="31"/>
      <c r="AQU168" s="31"/>
      <c r="AQV168" s="31"/>
      <c r="AQW168" s="31"/>
      <c r="AQX168" s="31"/>
      <c r="AQY168" s="31"/>
      <c r="AQZ168" s="31"/>
      <c r="ARA168" s="31"/>
      <c r="ARB168" s="31"/>
      <c r="ARC168" s="31"/>
      <c r="ARD168" s="31"/>
      <c r="ARE168" s="31"/>
      <c r="ARF168" s="31"/>
      <c r="ARG168" s="31"/>
      <c r="ARH168" s="31"/>
      <c r="ARI168" s="31"/>
      <c r="ARJ168" s="31"/>
      <c r="ARK168" s="31"/>
      <c r="ARL168" s="31"/>
      <c r="ARM168" s="31"/>
      <c r="ARN168" s="31"/>
      <c r="ARO168" s="31"/>
      <c r="ARP168" s="31"/>
      <c r="ARQ168" s="31"/>
      <c r="ARR168" s="31"/>
      <c r="ARS168" s="31"/>
      <c r="ART168" s="31"/>
      <c r="ARU168" s="31"/>
      <c r="ARV168" s="31"/>
      <c r="ARW168" s="31"/>
      <c r="ARX168" s="31"/>
      <c r="ARY168" s="31"/>
      <c r="ARZ168" s="31"/>
      <c r="ASA168" s="31"/>
      <c r="ASB168" s="31"/>
      <c r="ASC168" s="31"/>
      <c r="ASD168" s="31"/>
      <c r="ASE168" s="31"/>
      <c r="ASF168" s="31"/>
      <c r="ASG168" s="31"/>
      <c r="ASH168" s="31"/>
      <c r="ASI168" s="31"/>
      <c r="ASJ168" s="31"/>
      <c r="ASK168" s="31"/>
      <c r="ASL168" s="31"/>
      <c r="ASM168" s="31"/>
      <c r="ASN168" s="31"/>
      <c r="ASO168" s="31"/>
      <c r="ASP168" s="31"/>
      <c r="ASQ168" s="31"/>
      <c r="ASR168" s="31"/>
      <c r="ASS168" s="31"/>
      <c r="AST168" s="31"/>
      <c r="ASU168" s="31"/>
      <c r="ASV168" s="31"/>
      <c r="ASW168" s="31"/>
      <c r="ASX168" s="31"/>
      <c r="ASY168" s="31"/>
      <c r="ASZ168" s="31"/>
      <c r="ATA168" s="31"/>
      <c r="ATB168" s="31"/>
      <c r="ATC168" s="31"/>
      <c r="ATD168" s="31"/>
      <c r="ATE168" s="31"/>
    </row>
    <row r="169" spans="1:1201" s="34" customFormat="1" ht="15.75" customHeight="1" x14ac:dyDescent="0.3">
      <c r="A169" s="76"/>
      <c r="B169" s="76"/>
      <c r="C169" s="57" t="s">
        <v>244</v>
      </c>
      <c r="D169" s="63"/>
      <c r="E169" s="63" t="s">
        <v>240</v>
      </c>
      <c r="F169" s="148"/>
      <c r="G169" s="149">
        <v>0</v>
      </c>
      <c r="H169" s="629"/>
      <c r="I169" s="629"/>
      <c r="J169" s="629"/>
      <c r="K169" s="629"/>
      <c r="L169" s="629"/>
      <c r="M169" s="629"/>
      <c r="N169" s="629"/>
      <c r="O169" s="629"/>
      <c r="P169" s="629"/>
      <c r="Q169" s="629"/>
      <c r="R169" s="629"/>
      <c r="S169" s="924"/>
      <c r="T169" s="1076"/>
      <c r="U169" s="1076"/>
      <c r="V169" s="1076"/>
      <c r="W169" s="1076"/>
      <c r="X169" s="1076"/>
      <c r="Y169" s="1076"/>
      <c r="Z169" s="1076"/>
      <c r="AA169" s="1076"/>
      <c r="AB169" s="1076"/>
      <c r="AC169" s="1076"/>
      <c r="AD169" s="1076"/>
      <c r="AE169" s="1076"/>
      <c r="AF169" s="1076"/>
      <c r="AG169" s="1076"/>
      <c r="AH169" s="1076"/>
      <c r="AI169" s="1076"/>
      <c r="AJ169" s="1076"/>
      <c r="AK169" s="1076"/>
      <c r="AL169" s="1076"/>
      <c r="AM169" s="1076"/>
      <c r="AN169" s="1076"/>
      <c r="AO169" s="1076">
        <v>0</v>
      </c>
      <c r="AP169" s="629"/>
      <c r="AQ169" s="629"/>
      <c r="AR169" s="618"/>
      <c r="AS169" s="629"/>
      <c r="AT169" s="629"/>
      <c r="AU169" s="629"/>
      <c r="AV169" s="629"/>
      <c r="AW169" s="629"/>
      <c r="AX169" s="629"/>
      <c r="AY169" s="629"/>
      <c r="AZ169" s="629"/>
      <c r="BA169" s="629"/>
      <c r="BB169" s="629"/>
      <c r="BC169" s="629"/>
      <c r="BE169" s="1195">
        <v>1469833.16</v>
      </c>
      <c r="BF169" s="924">
        <f t="shared" si="293"/>
        <v>0</v>
      </c>
      <c r="BG169" s="1195">
        <f t="shared" si="295"/>
        <v>0</v>
      </c>
      <c r="BH169" s="31"/>
      <c r="BI169" s="31"/>
      <c r="BJ169" s="31"/>
      <c r="BK169" s="31"/>
      <c r="BL169" s="31"/>
      <c r="BM169" s="31"/>
      <c r="BN169" s="31"/>
      <c r="BO169" s="31"/>
      <c r="BP169" s="31"/>
      <c r="BQ169" s="31"/>
      <c r="BR169" s="31"/>
      <c r="BS169" s="31"/>
      <c r="BT169" s="31"/>
      <c r="BU169" s="31"/>
      <c r="BV169" s="31"/>
      <c r="BW169" s="31"/>
      <c r="BX169" s="31"/>
      <c r="BY169" s="31"/>
      <c r="BZ169" s="31"/>
      <c r="CA169" s="31"/>
      <c r="CB169" s="31"/>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c r="EX169" s="31"/>
      <c r="EY169" s="31"/>
      <c r="EZ169" s="31"/>
      <c r="FA169" s="31"/>
      <c r="FB169" s="31"/>
      <c r="FC169" s="31"/>
      <c r="FD169" s="31"/>
      <c r="FE169" s="31"/>
      <c r="FF169" s="31"/>
      <c r="FG169" s="31"/>
      <c r="FH169" s="31"/>
      <c r="FI169" s="31"/>
      <c r="FJ169" s="31"/>
      <c r="FK169" s="31"/>
      <c r="FL169" s="31"/>
      <c r="FM169" s="31"/>
      <c r="FN169" s="31"/>
      <c r="FO169" s="31"/>
      <c r="FP169" s="31"/>
      <c r="FQ169" s="31"/>
      <c r="FR169" s="31"/>
      <c r="FS169" s="31"/>
      <c r="FT169" s="31"/>
      <c r="FU169" s="31"/>
      <c r="FV169" s="31"/>
      <c r="FW169" s="31"/>
      <c r="FX169" s="31"/>
      <c r="FY169" s="31"/>
      <c r="FZ169" s="31"/>
      <c r="GA169" s="31"/>
      <c r="GB169" s="31"/>
      <c r="GC169" s="31"/>
      <c r="GD169" s="31"/>
      <c r="GE169" s="31"/>
      <c r="GF169" s="31"/>
      <c r="GG169" s="31"/>
      <c r="GH169" s="31"/>
      <c r="GI169" s="31"/>
      <c r="GJ169" s="31"/>
      <c r="GK169" s="31"/>
      <c r="GL169" s="31"/>
      <c r="GM169" s="31"/>
      <c r="GN169" s="31"/>
      <c r="GO169" s="31"/>
      <c r="GP169" s="31"/>
      <c r="GQ169" s="31"/>
      <c r="GR169" s="31"/>
      <c r="GS169" s="31"/>
      <c r="GT169" s="31"/>
      <c r="GU169" s="31"/>
      <c r="GV169" s="31"/>
      <c r="GW169" s="31"/>
      <c r="GX169" s="31"/>
      <c r="GY169" s="31"/>
      <c r="GZ169" s="31"/>
      <c r="HA169" s="31"/>
      <c r="HB169" s="31"/>
      <c r="HC169" s="31"/>
      <c r="HD169" s="31"/>
      <c r="HE169" s="31"/>
      <c r="HF169" s="31"/>
      <c r="HG169" s="31"/>
      <c r="HH169" s="31"/>
      <c r="HI169" s="31"/>
      <c r="HJ169" s="31"/>
      <c r="HK169" s="31"/>
      <c r="HL169" s="31"/>
      <c r="HM169" s="31"/>
      <c r="HN169" s="31"/>
      <c r="HO169" s="31"/>
      <c r="HP169" s="31"/>
      <c r="HQ169" s="31"/>
      <c r="HR169" s="31"/>
      <c r="HS169" s="31"/>
      <c r="HT169" s="31"/>
      <c r="HU169" s="31"/>
      <c r="HV169" s="31"/>
      <c r="HW169" s="31"/>
      <c r="HX169" s="31"/>
      <c r="HY169" s="31"/>
      <c r="HZ169" s="31"/>
      <c r="IA169" s="31"/>
      <c r="IB169" s="31"/>
      <c r="IC169" s="31"/>
      <c r="ID169" s="31"/>
      <c r="IE169" s="31"/>
      <c r="IF169" s="31"/>
      <c r="IG169" s="31"/>
      <c r="IH169" s="31"/>
      <c r="II169" s="31"/>
      <c r="IJ169" s="31"/>
      <c r="IK169" s="31"/>
      <c r="IL169" s="31"/>
      <c r="IM169" s="31"/>
      <c r="IN169" s="31"/>
      <c r="IO169" s="31"/>
      <c r="IP169" s="31"/>
      <c r="IQ169" s="31"/>
      <c r="IR169" s="31"/>
      <c r="IS169" s="31"/>
      <c r="IT169" s="31"/>
      <c r="IU169" s="31"/>
      <c r="IV169" s="31"/>
      <c r="IW169" s="31"/>
      <c r="IX169" s="31"/>
      <c r="IY169" s="31"/>
      <c r="IZ169" s="31"/>
      <c r="JA169" s="31"/>
      <c r="JB169" s="31"/>
      <c r="JC169" s="31"/>
      <c r="JD169" s="31"/>
      <c r="JE169" s="31"/>
      <c r="JF169" s="31"/>
      <c r="JG169" s="31"/>
      <c r="JH169" s="31"/>
      <c r="JI169" s="31"/>
      <c r="JJ169" s="31"/>
      <c r="JK169" s="31"/>
      <c r="JL169" s="31"/>
      <c r="JM169" s="31"/>
      <c r="JN169" s="31"/>
      <c r="JO169" s="31"/>
      <c r="JP169" s="31"/>
      <c r="JQ169" s="31"/>
      <c r="JR169" s="31"/>
      <c r="JS169" s="31"/>
      <c r="JT169" s="31"/>
      <c r="JU169" s="31"/>
      <c r="JV169" s="31"/>
      <c r="JW169" s="31"/>
      <c r="JX169" s="31"/>
      <c r="JY169" s="31"/>
      <c r="JZ169" s="31"/>
      <c r="KA169" s="31"/>
      <c r="KB169" s="31"/>
      <c r="KC169" s="31"/>
      <c r="KD169" s="31"/>
      <c r="KE169" s="31"/>
      <c r="KF169" s="31"/>
      <c r="KG169" s="31"/>
      <c r="KH169" s="31"/>
      <c r="KI169" s="31"/>
      <c r="KJ169" s="31"/>
      <c r="KK169" s="31"/>
      <c r="KL169" s="31"/>
      <c r="KM169" s="31"/>
      <c r="KN169" s="31"/>
      <c r="KO169" s="31"/>
      <c r="KP169" s="31"/>
      <c r="KQ169" s="31"/>
      <c r="KR169" s="31"/>
      <c r="KS169" s="31"/>
      <c r="KT169" s="31"/>
      <c r="KU169" s="31"/>
      <c r="KV169" s="31"/>
      <c r="KW169" s="31"/>
      <c r="KX169" s="31"/>
      <c r="KY169" s="31"/>
      <c r="KZ169" s="31"/>
      <c r="LA169" s="31"/>
      <c r="LB169" s="31"/>
      <c r="LC169" s="31"/>
      <c r="LD169" s="31"/>
      <c r="LE169" s="31"/>
      <c r="LF169" s="31"/>
      <c r="LG169" s="31"/>
      <c r="LH169" s="31"/>
      <c r="LI169" s="31"/>
      <c r="LJ169" s="31"/>
      <c r="LK169" s="31"/>
      <c r="LL169" s="31"/>
      <c r="LM169" s="31"/>
      <c r="LN169" s="31"/>
      <c r="LO169" s="31"/>
      <c r="LP169" s="31"/>
      <c r="LQ169" s="31"/>
      <c r="LR169" s="31"/>
      <c r="LS169" s="31"/>
      <c r="LT169" s="31"/>
      <c r="LU169" s="31"/>
      <c r="LV169" s="31"/>
      <c r="LW169" s="31"/>
      <c r="LX169" s="31"/>
      <c r="LY169" s="31"/>
      <c r="LZ169" s="31"/>
      <c r="MA169" s="31"/>
      <c r="MB169" s="31"/>
      <c r="MC169" s="31"/>
      <c r="MD169" s="31"/>
      <c r="ME169" s="31"/>
      <c r="MF169" s="31"/>
      <c r="MG169" s="31"/>
      <c r="MH169" s="31"/>
      <c r="MI169" s="31"/>
      <c r="MJ169" s="31"/>
      <c r="MK169" s="31"/>
      <c r="ML169" s="31"/>
      <c r="MM169" s="31"/>
      <c r="MN169" s="31"/>
      <c r="MO169" s="31"/>
      <c r="MP169" s="31"/>
      <c r="MQ169" s="31"/>
      <c r="MR169" s="31"/>
      <c r="MS169" s="31"/>
      <c r="MT169" s="31"/>
      <c r="MU169" s="31"/>
      <c r="MV169" s="31"/>
      <c r="MW169" s="31"/>
      <c r="MX169" s="31"/>
      <c r="MY169" s="31"/>
      <c r="MZ169" s="31"/>
      <c r="NA169" s="31"/>
      <c r="NB169" s="31"/>
      <c r="NC169" s="31"/>
      <c r="ND169" s="31"/>
      <c r="NE169" s="31"/>
      <c r="NF169" s="31"/>
      <c r="NG169" s="31"/>
      <c r="NH169" s="31"/>
      <c r="NI169" s="31"/>
      <c r="NJ169" s="31"/>
      <c r="NK169" s="31"/>
      <c r="NL169" s="31"/>
      <c r="NM169" s="31"/>
      <c r="NN169" s="31"/>
      <c r="NO169" s="31"/>
      <c r="NP169" s="31"/>
      <c r="NQ169" s="31"/>
      <c r="NR169" s="31"/>
      <c r="NS169" s="31"/>
      <c r="NT169" s="31"/>
      <c r="NU169" s="31"/>
      <c r="NV169" s="31"/>
      <c r="NW169" s="31"/>
      <c r="NX169" s="31"/>
      <c r="NY169" s="31"/>
      <c r="NZ169" s="31"/>
      <c r="OA169" s="31"/>
      <c r="OB169" s="31"/>
      <c r="OC169" s="31"/>
      <c r="OD169" s="31"/>
      <c r="OE169" s="31"/>
      <c r="OF169" s="31"/>
      <c r="OG169" s="31"/>
      <c r="OH169" s="31"/>
      <c r="OI169" s="31"/>
      <c r="OJ169" s="31"/>
      <c r="OK169" s="31"/>
      <c r="OL169" s="31"/>
      <c r="OM169" s="31"/>
      <c r="ON169" s="31"/>
      <c r="OO169" s="31"/>
      <c r="OP169" s="31"/>
      <c r="OQ169" s="31"/>
      <c r="OR169" s="31"/>
      <c r="OS169" s="31"/>
      <c r="OT169" s="31"/>
      <c r="OU169" s="31"/>
      <c r="OV169" s="31"/>
      <c r="OW169" s="31"/>
      <c r="OX169" s="31"/>
      <c r="OY169" s="31"/>
      <c r="OZ169" s="31"/>
      <c r="PA169" s="31"/>
      <c r="PB169" s="31"/>
      <c r="PC169" s="31"/>
      <c r="PD169" s="31"/>
      <c r="PE169" s="31"/>
      <c r="PF169" s="31"/>
      <c r="PG169" s="31"/>
      <c r="PH169" s="31"/>
      <c r="PI169" s="31"/>
      <c r="PJ169" s="31"/>
      <c r="PK169" s="31"/>
      <c r="PL169" s="31"/>
      <c r="PM169" s="31"/>
      <c r="PN169" s="31"/>
      <c r="PO169" s="31"/>
      <c r="PP169" s="31"/>
      <c r="PQ169" s="31"/>
      <c r="PR169" s="31"/>
      <c r="PS169" s="31"/>
      <c r="PT169" s="31"/>
      <c r="PU169" s="31"/>
      <c r="PV169" s="31"/>
      <c r="PW169" s="31"/>
      <c r="PX169" s="31"/>
      <c r="PY169" s="31"/>
      <c r="PZ169" s="31"/>
      <c r="QA169" s="31"/>
      <c r="QB169" s="31"/>
      <c r="QC169" s="31"/>
      <c r="QD169" s="31"/>
      <c r="QE169" s="31"/>
      <c r="QF169" s="31"/>
      <c r="QG169" s="31"/>
      <c r="QH169" s="31"/>
      <c r="QI169" s="31"/>
      <c r="QJ169" s="31"/>
      <c r="QK169" s="31"/>
      <c r="QL169" s="31"/>
      <c r="QM169" s="31"/>
      <c r="QN169" s="31"/>
      <c r="QO169" s="31"/>
      <c r="QP169" s="31"/>
      <c r="QQ169" s="31"/>
      <c r="QR169" s="31"/>
      <c r="QS169" s="31"/>
      <c r="QT169" s="31"/>
      <c r="QU169" s="31"/>
      <c r="QV169" s="31"/>
      <c r="QW169" s="31"/>
      <c r="QX169" s="31"/>
      <c r="QY169" s="31"/>
      <c r="QZ169" s="31"/>
      <c r="RA169" s="31"/>
      <c r="RB169" s="31"/>
      <c r="RC169" s="31"/>
      <c r="RD169" s="31"/>
      <c r="RE169" s="31"/>
      <c r="RF169" s="31"/>
      <c r="RG169" s="31"/>
      <c r="RH169" s="31"/>
      <c r="RI169" s="31"/>
      <c r="RJ169" s="31"/>
      <c r="RK169" s="31"/>
      <c r="RL169" s="31"/>
      <c r="RM169" s="31"/>
      <c r="RN169" s="31"/>
      <c r="RO169" s="31"/>
      <c r="RP169" s="31"/>
      <c r="RQ169" s="31"/>
      <c r="RR169" s="31"/>
      <c r="RS169" s="31"/>
      <c r="RT169" s="31"/>
      <c r="RU169" s="31"/>
      <c r="RV169" s="31"/>
      <c r="RW169" s="31"/>
      <c r="RX169" s="31"/>
      <c r="RY169" s="31"/>
      <c r="RZ169" s="31"/>
      <c r="SA169" s="31"/>
      <c r="SB169" s="31"/>
      <c r="SC169" s="31"/>
      <c r="SD169" s="31"/>
      <c r="SE169" s="31"/>
      <c r="SF169" s="31"/>
      <c r="SG169" s="31"/>
      <c r="SH169" s="31"/>
      <c r="SI169" s="31"/>
      <c r="SJ169" s="31"/>
      <c r="SK169" s="31"/>
      <c r="SL169" s="31"/>
      <c r="SM169" s="31"/>
      <c r="SN169" s="31"/>
      <c r="SO169" s="31"/>
      <c r="SP169" s="31"/>
      <c r="SQ169" s="31"/>
      <c r="SR169" s="31"/>
      <c r="SS169" s="31"/>
      <c r="ST169" s="31"/>
      <c r="SU169" s="31"/>
      <c r="SV169" s="31"/>
      <c r="SW169" s="31"/>
      <c r="SX169" s="31"/>
      <c r="SY169" s="31"/>
      <c r="SZ169" s="31"/>
      <c r="TA169" s="31"/>
      <c r="TB169" s="31"/>
      <c r="TC169" s="31"/>
      <c r="TD169" s="31"/>
      <c r="TE169" s="31"/>
      <c r="TF169" s="31"/>
      <c r="TG169" s="31"/>
      <c r="TH169" s="31"/>
      <c r="TI169" s="31"/>
      <c r="TJ169" s="31"/>
      <c r="TK169" s="31"/>
      <c r="TL169" s="31"/>
      <c r="TM169" s="31"/>
      <c r="TN169" s="31"/>
      <c r="TO169" s="31"/>
      <c r="TP169" s="31"/>
      <c r="TQ169" s="31"/>
      <c r="TR169" s="31"/>
      <c r="TS169" s="31"/>
      <c r="TT169" s="31"/>
      <c r="TU169" s="31"/>
      <c r="TV169" s="31"/>
      <c r="TW169" s="31"/>
      <c r="TX169" s="31"/>
      <c r="TY169" s="31"/>
      <c r="TZ169" s="31"/>
      <c r="UA169" s="31"/>
      <c r="UB169" s="31"/>
      <c r="UC169" s="31"/>
      <c r="UD169" s="31"/>
      <c r="UE169" s="31"/>
      <c r="UF169" s="31"/>
      <c r="UG169" s="31"/>
      <c r="UH169" s="31"/>
      <c r="UI169" s="31"/>
      <c r="UJ169" s="31"/>
      <c r="UK169" s="31"/>
      <c r="UL169" s="31"/>
      <c r="UM169" s="31"/>
      <c r="UN169" s="31"/>
      <c r="UO169" s="31"/>
      <c r="UP169" s="31"/>
      <c r="UQ169" s="31"/>
      <c r="UR169" s="31"/>
      <c r="US169" s="31"/>
      <c r="UT169" s="31"/>
      <c r="UU169" s="31"/>
      <c r="UV169" s="31"/>
      <c r="UW169" s="31"/>
      <c r="UX169" s="31"/>
      <c r="UY169" s="31"/>
      <c r="UZ169" s="31"/>
      <c r="VA169" s="31"/>
      <c r="VB169" s="31"/>
      <c r="VC169" s="31"/>
      <c r="VD169" s="31"/>
      <c r="VE169" s="31"/>
      <c r="VF169" s="31"/>
      <c r="VG169" s="31"/>
      <c r="VH169" s="31"/>
      <c r="VI169" s="31"/>
      <c r="VJ169" s="31"/>
      <c r="VK169" s="31"/>
      <c r="VL169" s="31"/>
      <c r="VM169" s="31"/>
      <c r="VN169" s="31"/>
      <c r="VO169" s="31"/>
      <c r="VP169" s="31"/>
      <c r="VQ169" s="31"/>
      <c r="VR169" s="31"/>
      <c r="VS169" s="31"/>
      <c r="VT169" s="31"/>
      <c r="VU169" s="31"/>
      <c r="VV169" s="31"/>
      <c r="VW169" s="31"/>
      <c r="VX169" s="31"/>
      <c r="VY169" s="31"/>
      <c r="VZ169" s="31"/>
      <c r="WA169" s="31"/>
      <c r="WB169" s="31"/>
      <c r="WC169" s="31"/>
      <c r="WD169" s="31"/>
      <c r="WE169" s="31"/>
      <c r="WF169" s="31"/>
      <c r="WG169" s="31"/>
      <c r="WH169" s="31"/>
      <c r="WI169" s="31"/>
      <c r="WJ169" s="31"/>
      <c r="WK169" s="31"/>
      <c r="WL169" s="31"/>
      <c r="WM169" s="31"/>
      <c r="WN169" s="31"/>
      <c r="WO169" s="31"/>
      <c r="WP169" s="31"/>
      <c r="WQ169" s="31"/>
      <c r="WR169" s="31"/>
      <c r="WS169" s="31"/>
      <c r="WT169" s="31"/>
      <c r="WU169" s="31"/>
      <c r="WV169" s="31"/>
      <c r="WW169" s="31"/>
      <c r="WX169" s="31"/>
      <c r="WY169" s="31"/>
      <c r="WZ169" s="31"/>
      <c r="XA169" s="31"/>
      <c r="XB169" s="31"/>
      <c r="XC169" s="31"/>
      <c r="XD169" s="31"/>
      <c r="XE169" s="31"/>
      <c r="XF169" s="31"/>
      <c r="XG169" s="31"/>
      <c r="XH169" s="31"/>
      <c r="XI169" s="31"/>
      <c r="XJ169" s="31"/>
      <c r="XK169" s="31"/>
      <c r="XL169" s="31"/>
      <c r="XM169" s="31"/>
      <c r="XN169" s="31"/>
      <c r="XO169" s="31"/>
      <c r="XP169" s="31"/>
      <c r="XQ169" s="31"/>
      <c r="XR169" s="31"/>
      <c r="XS169" s="31"/>
      <c r="XT169" s="31"/>
      <c r="XU169" s="31"/>
      <c r="XV169" s="31"/>
      <c r="XW169" s="31"/>
      <c r="XX169" s="31"/>
      <c r="XY169" s="31"/>
      <c r="XZ169" s="31"/>
      <c r="YA169" s="31"/>
      <c r="YB169" s="31"/>
      <c r="YC169" s="31"/>
      <c r="YD169" s="31"/>
      <c r="YE169" s="31"/>
      <c r="YF169" s="31"/>
      <c r="YG169" s="31"/>
      <c r="YH169" s="31"/>
      <c r="YI169" s="31"/>
      <c r="YJ169" s="31"/>
      <c r="YK169" s="31"/>
      <c r="YL169" s="31"/>
      <c r="YM169" s="31"/>
      <c r="YN169" s="31"/>
      <c r="YO169" s="31"/>
      <c r="YP169" s="31"/>
      <c r="YQ169" s="31"/>
      <c r="YR169" s="31"/>
      <c r="YS169" s="31"/>
      <c r="YT169" s="31"/>
      <c r="YU169" s="31"/>
      <c r="YV169" s="31"/>
      <c r="YW169" s="31"/>
      <c r="YX169" s="31"/>
      <c r="YY169" s="31"/>
      <c r="YZ169" s="31"/>
      <c r="ZA169" s="31"/>
      <c r="ZB169" s="31"/>
      <c r="ZC169" s="31"/>
      <c r="ZD169" s="31"/>
      <c r="ZE169" s="31"/>
      <c r="ZF169" s="31"/>
      <c r="ZG169" s="31"/>
      <c r="ZH169" s="31"/>
      <c r="ZI169" s="31"/>
      <c r="ZJ169" s="31"/>
      <c r="ZK169" s="31"/>
      <c r="ZL169" s="31"/>
      <c r="ZM169" s="31"/>
      <c r="ZN169" s="31"/>
      <c r="ZO169" s="31"/>
      <c r="ZP169" s="31"/>
      <c r="ZQ169" s="31"/>
      <c r="ZR169" s="31"/>
      <c r="ZS169" s="31"/>
      <c r="ZT169" s="31"/>
      <c r="ZU169" s="31"/>
      <c r="ZV169" s="31"/>
      <c r="ZW169" s="31"/>
      <c r="ZX169" s="31"/>
      <c r="ZY169" s="31"/>
      <c r="ZZ169" s="31"/>
      <c r="AAA169" s="31"/>
      <c r="AAB169" s="31"/>
      <c r="AAC169" s="31"/>
      <c r="AAD169" s="31"/>
      <c r="AAE169" s="31"/>
      <c r="AAF169" s="31"/>
      <c r="AAG169" s="31"/>
      <c r="AAH169" s="31"/>
      <c r="AAI169" s="31"/>
      <c r="AAJ169" s="31"/>
      <c r="AAK169" s="31"/>
      <c r="AAL169" s="31"/>
      <c r="AAM169" s="31"/>
      <c r="AAN169" s="31"/>
      <c r="AAO169" s="31"/>
      <c r="AAP169" s="31"/>
      <c r="AAQ169" s="31"/>
      <c r="AAR169" s="31"/>
      <c r="AAS169" s="31"/>
      <c r="AAT169" s="31"/>
      <c r="AAU169" s="31"/>
      <c r="AAV169" s="31"/>
      <c r="AAW169" s="31"/>
      <c r="AAX169" s="31"/>
      <c r="AAY169" s="31"/>
      <c r="AAZ169" s="31"/>
      <c r="ABA169" s="31"/>
      <c r="ABB169" s="31"/>
      <c r="ABC169" s="31"/>
      <c r="ABD169" s="31"/>
      <c r="ABE169" s="31"/>
      <c r="ABF169" s="31"/>
      <c r="ABG169" s="31"/>
      <c r="ABH169" s="31"/>
      <c r="ABI169" s="31"/>
      <c r="ABJ169" s="31"/>
      <c r="ABK169" s="31"/>
      <c r="ABL169" s="31"/>
      <c r="ABM169" s="31"/>
      <c r="ABN169" s="31"/>
      <c r="ABO169" s="31"/>
      <c r="ABP169" s="31"/>
      <c r="ABQ169" s="31"/>
      <c r="ABR169" s="31"/>
      <c r="ABS169" s="31"/>
      <c r="ABT169" s="31"/>
      <c r="ABU169" s="31"/>
      <c r="ABV169" s="31"/>
      <c r="ABW169" s="31"/>
      <c r="ABX169" s="31"/>
      <c r="ABY169" s="31"/>
      <c r="ABZ169" s="31"/>
      <c r="ACA169" s="31"/>
      <c r="ACB169" s="31"/>
      <c r="ACC169" s="31"/>
      <c r="ACD169" s="31"/>
      <c r="ACE169" s="31"/>
      <c r="ACF169" s="31"/>
      <c r="ACG169" s="31"/>
      <c r="ACH169" s="31"/>
      <c r="ACI169" s="31"/>
      <c r="ACJ169" s="31"/>
      <c r="ACK169" s="31"/>
      <c r="ACL169" s="31"/>
      <c r="ACM169" s="31"/>
      <c r="ACN169" s="31"/>
      <c r="ACO169" s="31"/>
      <c r="ACP169" s="31"/>
      <c r="ACQ169" s="31"/>
      <c r="ACR169" s="31"/>
      <c r="ACS169" s="31"/>
      <c r="ACT169" s="31"/>
      <c r="ACU169" s="31"/>
      <c r="ACV169" s="31"/>
      <c r="ACW169" s="31"/>
      <c r="ACX169" s="31"/>
      <c r="ACY169" s="31"/>
      <c r="ACZ169" s="31"/>
      <c r="ADA169" s="31"/>
      <c r="ADB169" s="31"/>
      <c r="ADC169" s="31"/>
      <c r="ADD169" s="31"/>
      <c r="ADE169" s="31"/>
      <c r="ADF169" s="31"/>
      <c r="ADG169" s="31"/>
      <c r="ADH169" s="31"/>
      <c r="ADI169" s="31"/>
      <c r="ADJ169" s="31"/>
      <c r="ADK169" s="31"/>
      <c r="ADL169" s="31"/>
      <c r="ADM169" s="31"/>
      <c r="ADN169" s="31"/>
      <c r="ADO169" s="31"/>
      <c r="ADP169" s="31"/>
      <c r="ADQ169" s="31"/>
      <c r="ADR169" s="31"/>
      <c r="ADS169" s="31"/>
      <c r="ADT169" s="31"/>
      <c r="ADU169" s="31"/>
      <c r="ADV169" s="31"/>
      <c r="ADW169" s="31"/>
      <c r="ADX169" s="31"/>
      <c r="ADY169" s="31"/>
      <c r="ADZ169" s="31"/>
      <c r="AEA169" s="31"/>
      <c r="AEB169" s="31"/>
      <c r="AEC169" s="31"/>
      <c r="AED169" s="31"/>
      <c r="AEE169" s="31"/>
      <c r="AEF169" s="31"/>
      <c r="AEG169" s="31"/>
      <c r="AEH169" s="31"/>
      <c r="AEI169" s="31"/>
      <c r="AEJ169" s="31"/>
      <c r="AEK169" s="31"/>
      <c r="AEL169" s="31"/>
      <c r="AEM169" s="31"/>
      <c r="AEN169" s="31"/>
      <c r="AEO169" s="31"/>
      <c r="AEP169" s="31"/>
      <c r="AEQ169" s="31"/>
      <c r="AER169" s="31"/>
      <c r="AES169" s="31"/>
      <c r="AET169" s="31"/>
      <c r="AEU169" s="31"/>
      <c r="AEV169" s="31"/>
      <c r="AEW169" s="31"/>
      <c r="AEX169" s="31"/>
      <c r="AEY169" s="31"/>
      <c r="AEZ169" s="31"/>
      <c r="AFA169" s="31"/>
      <c r="AFB169" s="31"/>
      <c r="AFC169" s="31"/>
      <c r="AFD169" s="31"/>
      <c r="AFE169" s="31"/>
      <c r="AFF169" s="31"/>
      <c r="AFG169" s="31"/>
      <c r="AFH169" s="31"/>
      <c r="AFI169" s="31"/>
      <c r="AFJ169" s="31"/>
      <c r="AFK169" s="31"/>
      <c r="AFL169" s="31"/>
      <c r="AFM169" s="31"/>
      <c r="AFN169" s="31"/>
      <c r="AFO169" s="31"/>
      <c r="AFP169" s="31"/>
      <c r="AFQ169" s="31"/>
      <c r="AFR169" s="31"/>
      <c r="AFS169" s="31"/>
      <c r="AFT169" s="31"/>
      <c r="AFU169" s="31"/>
      <c r="AFV169" s="31"/>
      <c r="AFW169" s="31"/>
      <c r="AFX169" s="31"/>
      <c r="AFY169" s="31"/>
      <c r="AFZ169" s="31"/>
      <c r="AGA169" s="31"/>
      <c r="AGB169" s="31"/>
      <c r="AGC169" s="31"/>
      <c r="AGD169" s="31"/>
      <c r="AGE169" s="31"/>
      <c r="AGF169" s="31"/>
      <c r="AGG169" s="31"/>
      <c r="AGH169" s="31"/>
      <c r="AGI169" s="31"/>
      <c r="AGJ169" s="31"/>
      <c r="AGK169" s="31"/>
      <c r="AGL169" s="31"/>
      <c r="AGM169" s="31"/>
      <c r="AGN169" s="31"/>
      <c r="AGO169" s="31"/>
      <c r="AGP169" s="31"/>
      <c r="AGQ169" s="31"/>
      <c r="AGR169" s="31"/>
      <c r="AGS169" s="31"/>
      <c r="AGT169" s="31"/>
      <c r="AGU169" s="31"/>
      <c r="AGV169" s="31"/>
      <c r="AGW169" s="31"/>
      <c r="AGX169" s="31"/>
      <c r="AGY169" s="31"/>
      <c r="AGZ169" s="31"/>
      <c r="AHA169" s="31"/>
      <c r="AHB169" s="31"/>
      <c r="AHC169" s="31"/>
      <c r="AHD169" s="31"/>
      <c r="AHE169" s="31"/>
      <c r="AHF169" s="31"/>
      <c r="AHG169" s="31"/>
      <c r="AHH169" s="31"/>
      <c r="AHI169" s="31"/>
      <c r="AHJ169" s="31"/>
      <c r="AHK169" s="31"/>
      <c r="AHL169" s="31"/>
      <c r="AHM169" s="31"/>
      <c r="AHN169" s="31"/>
      <c r="AHO169" s="31"/>
      <c r="AHP169" s="31"/>
      <c r="AHQ169" s="31"/>
      <c r="AHR169" s="31"/>
      <c r="AHS169" s="31"/>
      <c r="AHT169" s="31"/>
      <c r="AHU169" s="31"/>
      <c r="AHV169" s="31"/>
      <c r="AHW169" s="31"/>
      <c r="AHX169" s="31"/>
      <c r="AHY169" s="31"/>
      <c r="AHZ169" s="31"/>
      <c r="AIA169" s="31"/>
      <c r="AIB169" s="31"/>
      <c r="AIC169" s="31"/>
      <c r="AID169" s="31"/>
      <c r="AIE169" s="31"/>
      <c r="AIF169" s="31"/>
      <c r="AIG169" s="31"/>
      <c r="AIH169" s="31"/>
      <c r="AII169" s="31"/>
      <c r="AIJ169" s="31"/>
      <c r="AIK169" s="31"/>
      <c r="AIL169" s="31"/>
      <c r="AIM169" s="31"/>
      <c r="AIN169" s="31"/>
      <c r="AIO169" s="31"/>
      <c r="AIP169" s="31"/>
      <c r="AIQ169" s="31"/>
      <c r="AIR169" s="31"/>
      <c r="AIS169" s="31"/>
      <c r="AIT169" s="31"/>
      <c r="AIU169" s="31"/>
      <c r="AIV169" s="31"/>
      <c r="AIW169" s="31"/>
      <c r="AIX169" s="31"/>
      <c r="AIY169" s="31"/>
      <c r="AIZ169" s="31"/>
      <c r="AJA169" s="31"/>
      <c r="AJB169" s="31"/>
      <c r="AJC169" s="31"/>
      <c r="AJD169" s="31"/>
      <c r="AJE169" s="31"/>
      <c r="AJF169" s="31"/>
      <c r="AJG169" s="31"/>
      <c r="AJH169" s="31"/>
      <c r="AJI169" s="31"/>
      <c r="AJJ169" s="31"/>
      <c r="AJK169" s="31"/>
      <c r="AJL169" s="31"/>
      <c r="AJM169" s="31"/>
      <c r="AJN169" s="31"/>
      <c r="AJO169" s="31"/>
      <c r="AJP169" s="31"/>
      <c r="AJQ169" s="31"/>
      <c r="AJR169" s="31"/>
      <c r="AJS169" s="31"/>
      <c r="AJT169" s="31"/>
      <c r="AJU169" s="31"/>
      <c r="AJV169" s="31"/>
      <c r="AJW169" s="31"/>
      <c r="AJX169" s="31"/>
      <c r="AJY169" s="31"/>
      <c r="AJZ169" s="31"/>
      <c r="AKA169" s="31"/>
      <c r="AKB169" s="31"/>
      <c r="AKC169" s="31"/>
      <c r="AKD169" s="31"/>
      <c r="AKE169" s="31"/>
      <c r="AKF169" s="31"/>
      <c r="AKG169" s="31"/>
      <c r="AKH169" s="31"/>
      <c r="AKI169" s="31"/>
      <c r="AKJ169" s="31"/>
      <c r="AKK169" s="31"/>
      <c r="AKL169" s="31"/>
      <c r="AKM169" s="31"/>
      <c r="AKN169" s="31"/>
      <c r="AKO169" s="31"/>
      <c r="AKP169" s="31"/>
      <c r="AKQ169" s="31"/>
      <c r="AKR169" s="31"/>
      <c r="AKS169" s="31"/>
      <c r="AKT169" s="31"/>
      <c r="AKU169" s="31"/>
      <c r="AKV169" s="31"/>
      <c r="AKW169" s="31"/>
      <c r="AKX169" s="31"/>
      <c r="AKY169" s="31"/>
      <c r="AKZ169" s="31"/>
      <c r="ALA169" s="31"/>
      <c r="ALB169" s="31"/>
      <c r="ALC169" s="31"/>
      <c r="ALD169" s="31"/>
      <c r="ALE169" s="31"/>
      <c r="ALF169" s="31"/>
      <c r="ALG169" s="31"/>
      <c r="ALH169" s="31"/>
      <c r="ALI169" s="31"/>
      <c r="ALJ169" s="31"/>
      <c r="ALK169" s="31"/>
      <c r="ALL169" s="31"/>
      <c r="ALM169" s="31"/>
      <c r="ALN169" s="31"/>
      <c r="ALO169" s="31"/>
      <c r="ALP169" s="31"/>
      <c r="ALQ169" s="31"/>
      <c r="ALR169" s="31"/>
      <c r="ALS169" s="31"/>
      <c r="ALT169" s="31"/>
      <c r="ALU169" s="31"/>
      <c r="ALV169" s="31"/>
      <c r="ALW169" s="31"/>
      <c r="ALX169" s="31"/>
      <c r="ALY169" s="31"/>
      <c r="ALZ169" s="31"/>
      <c r="AMA169" s="31"/>
      <c r="AMB169" s="31"/>
      <c r="AMC169" s="31"/>
      <c r="AMD169" s="31"/>
      <c r="AME169" s="31"/>
      <c r="AMF169" s="31"/>
      <c r="AMG169" s="31"/>
      <c r="AMH169" s="31"/>
      <c r="AMI169" s="31"/>
      <c r="AMJ169" s="31"/>
      <c r="AMK169" s="31"/>
      <c r="AML169" s="31"/>
      <c r="AMM169" s="31"/>
      <c r="AMN169" s="31"/>
      <c r="AMO169" s="31"/>
      <c r="AMP169" s="31"/>
      <c r="AMQ169" s="31"/>
      <c r="AMR169" s="31"/>
      <c r="AMS169" s="31"/>
      <c r="AMT169" s="31"/>
      <c r="AMU169" s="31"/>
      <c r="AMV169" s="31"/>
      <c r="AMW169" s="31"/>
      <c r="AMX169" s="31"/>
      <c r="AMY169" s="31"/>
      <c r="AMZ169" s="31"/>
      <c r="ANA169" s="31"/>
      <c r="ANB169" s="31"/>
      <c r="ANC169" s="31"/>
      <c r="AND169" s="31"/>
      <c r="ANE169" s="31"/>
      <c r="ANF169" s="31"/>
      <c r="ANG169" s="31"/>
      <c r="ANH169" s="31"/>
      <c r="ANI169" s="31"/>
      <c r="ANJ169" s="31"/>
      <c r="ANK169" s="31"/>
      <c r="ANL169" s="31"/>
      <c r="ANM169" s="31"/>
      <c r="ANN169" s="31"/>
      <c r="ANO169" s="31"/>
      <c r="ANP169" s="31"/>
      <c r="ANQ169" s="31"/>
      <c r="ANR169" s="31"/>
      <c r="ANS169" s="31"/>
      <c r="ANT169" s="31"/>
      <c r="ANU169" s="31"/>
      <c r="ANV169" s="31"/>
      <c r="ANW169" s="31"/>
      <c r="ANX169" s="31"/>
      <c r="ANY169" s="31"/>
      <c r="ANZ169" s="31"/>
      <c r="AOA169" s="31"/>
      <c r="AOB169" s="31"/>
      <c r="AOC169" s="31"/>
      <c r="AOD169" s="31"/>
      <c r="AOE169" s="31"/>
      <c r="AOF169" s="31"/>
      <c r="AOG169" s="31"/>
      <c r="AOH169" s="31"/>
      <c r="AOI169" s="31"/>
      <c r="AOJ169" s="31"/>
      <c r="AOK169" s="31"/>
      <c r="AOL169" s="31"/>
      <c r="AOM169" s="31"/>
      <c r="AON169" s="31"/>
      <c r="AOO169" s="31"/>
      <c r="AOP169" s="31"/>
      <c r="AOQ169" s="31"/>
      <c r="AOR169" s="31"/>
      <c r="AOS169" s="31"/>
      <c r="AOT169" s="31"/>
      <c r="AOU169" s="31"/>
      <c r="AOV169" s="31"/>
      <c r="AOW169" s="31"/>
      <c r="AOX169" s="31"/>
      <c r="AOY169" s="31"/>
      <c r="AOZ169" s="31"/>
      <c r="APA169" s="31"/>
      <c r="APB169" s="31"/>
      <c r="APC169" s="31"/>
      <c r="APD169" s="31"/>
      <c r="APE169" s="31"/>
      <c r="APF169" s="31"/>
      <c r="APG169" s="31"/>
      <c r="APH169" s="31"/>
      <c r="API169" s="31"/>
      <c r="APJ169" s="31"/>
      <c r="APK169" s="31"/>
      <c r="APL169" s="31"/>
      <c r="APM169" s="31"/>
      <c r="APN169" s="31"/>
      <c r="APO169" s="31"/>
      <c r="APP169" s="31"/>
      <c r="APQ169" s="31"/>
      <c r="APR169" s="31"/>
      <c r="APS169" s="31"/>
      <c r="APT169" s="31"/>
      <c r="APU169" s="31"/>
      <c r="APV169" s="31"/>
      <c r="APW169" s="31"/>
      <c r="APX169" s="31"/>
      <c r="APY169" s="31"/>
      <c r="APZ169" s="31"/>
      <c r="AQA169" s="31"/>
      <c r="AQB169" s="31"/>
      <c r="AQC169" s="31"/>
      <c r="AQD169" s="31"/>
      <c r="AQE169" s="31"/>
      <c r="AQF169" s="31"/>
      <c r="AQG169" s="31"/>
      <c r="AQH169" s="31"/>
      <c r="AQI169" s="31"/>
      <c r="AQJ169" s="31"/>
      <c r="AQK169" s="31"/>
      <c r="AQL169" s="31"/>
      <c r="AQM169" s="31"/>
      <c r="AQN169" s="31"/>
      <c r="AQO169" s="31"/>
      <c r="AQP169" s="31"/>
      <c r="AQQ169" s="31"/>
      <c r="AQR169" s="31"/>
      <c r="AQS169" s="31"/>
      <c r="AQT169" s="31"/>
      <c r="AQU169" s="31"/>
      <c r="AQV169" s="31"/>
      <c r="AQW169" s="31"/>
      <c r="AQX169" s="31"/>
      <c r="AQY169" s="31"/>
      <c r="AQZ169" s="31"/>
      <c r="ARA169" s="31"/>
      <c r="ARB169" s="31"/>
      <c r="ARC169" s="31"/>
      <c r="ARD169" s="31"/>
      <c r="ARE169" s="31"/>
      <c r="ARF169" s="31"/>
      <c r="ARG169" s="31"/>
      <c r="ARH169" s="31"/>
      <c r="ARI169" s="31"/>
      <c r="ARJ169" s="31"/>
      <c r="ARK169" s="31"/>
      <c r="ARL169" s="31"/>
      <c r="ARM169" s="31"/>
      <c r="ARN169" s="31"/>
      <c r="ARO169" s="31"/>
      <c r="ARP169" s="31"/>
      <c r="ARQ169" s="31"/>
      <c r="ARR169" s="31"/>
      <c r="ARS169" s="31"/>
      <c r="ART169" s="31"/>
      <c r="ARU169" s="31"/>
      <c r="ARV169" s="31"/>
      <c r="ARW169" s="31"/>
      <c r="ARX169" s="31"/>
      <c r="ARY169" s="31"/>
      <c r="ARZ169" s="31"/>
      <c r="ASA169" s="31"/>
      <c r="ASB169" s="31"/>
      <c r="ASC169" s="31"/>
      <c r="ASD169" s="31"/>
      <c r="ASE169" s="31"/>
      <c r="ASF169" s="31"/>
      <c r="ASG169" s="31"/>
      <c r="ASH169" s="31"/>
      <c r="ASI169" s="31"/>
      <c r="ASJ169" s="31"/>
      <c r="ASK169" s="31"/>
      <c r="ASL169" s="31"/>
      <c r="ASM169" s="31"/>
      <c r="ASN169" s="31"/>
      <c r="ASO169" s="31"/>
      <c r="ASP169" s="31"/>
      <c r="ASQ169" s="31"/>
      <c r="ASR169" s="31"/>
      <c r="ASS169" s="31"/>
      <c r="AST169" s="31"/>
      <c r="ASU169" s="31"/>
      <c r="ASV169" s="31"/>
      <c r="ASW169" s="31"/>
      <c r="ASX169" s="31"/>
      <c r="ASY169" s="31"/>
      <c r="ASZ169" s="31"/>
      <c r="ATA169" s="31"/>
      <c r="ATB169" s="31"/>
      <c r="ATC169" s="31"/>
      <c r="ATD169" s="31"/>
      <c r="ATE169" s="31"/>
    </row>
    <row r="170" spans="1:1201" s="34" customFormat="1" ht="15.75" customHeight="1" x14ac:dyDescent="0.3">
      <c r="A170" s="76"/>
      <c r="B170" s="76"/>
      <c r="C170" s="57" t="s">
        <v>1100</v>
      </c>
      <c r="D170" s="63"/>
      <c r="E170" s="63"/>
      <c r="F170" s="148"/>
      <c r="G170" s="149"/>
      <c r="H170" s="629"/>
      <c r="I170" s="629"/>
      <c r="J170" s="629"/>
      <c r="K170" s="629"/>
      <c r="L170" s="629"/>
      <c r="M170" s="629"/>
      <c r="N170" s="629"/>
      <c r="O170" s="629"/>
      <c r="P170" s="629"/>
      <c r="Q170" s="629"/>
      <c r="R170" s="629"/>
      <c r="S170" s="924"/>
      <c r="T170" s="1076">
        <f>SUM('MXD BS'!C39:C40)</f>
        <v>0</v>
      </c>
      <c r="U170" s="1076">
        <f>SUM('MXD BS'!D39:D40)</f>
        <v>0</v>
      </c>
      <c r="V170" s="1076">
        <f>SUM('MXD BS'!E39:E40)</f>
        <v>0</v>
      </c>
      <c r="W170" s="1076">
        <f>SUM('MXD BS'!F39:F40)</f>
        <v>0</v>
      </c>
      <c r="X170" s="1076">
        <f>SUM('MXD BS'!G39:G40)</f>
        <v>0</v>
      </c>
      <c r="Y170" s="1076">
        <f>SUM('MXD BS'!H39:H40)</f>
        <v>0</v>
      </c>
      <c r="Z170" s="1076">
        <f>SUM('MXD BS'!I39:I40)</f>
        <v>0</v>
      </c>
      <c r="AA170" s="1076">
        <f>SUM('MXD BS'!J39:J40)</f>
        <v>0</v>
      </c>
      <c r="AB170" s="1076">
        <f>SUM('MXD BS'!K39:K40)</f>
        <v>0</v>
      </c>
      <c r="AC170" s="1076">
        <f>SUM('MXD BS'!L39:L40)</f>
        <v>0</v>
      </c>
      <c r="AD170" s="1076">
        <f>SUM('MXD BS'!M39:M40)</f>
        <v>0</v>
      </c>
      <c r="AE170" s="1076">
        <f>SUM('MXD BS'!N39:N40)</f>
        <v>18838.27</v>
      </c>
      <c r="AF170" s="1076">
        <f>SUM('MXD BS'!O39:O40)</f>
        <v>18838.27</v>
      </c>
      <c r="AG170" s="1076">
        <f>SUM('MXD BS'!P39:P40)</f>
        <v>18838.27</v>
      </c>
      <c r="AH170" s="1076">
        <f>SUM('MXD BS'!Q39:Q40)</f>
        <v>18838.27</v>
      </c>
      <c r="AI170" s="1076">
        <f>SUM('MXD BS'!R39:R40)</f>
        <v>18838.27</v>
      </c>
      <c r="AJ170" s="1076">
        <f>SUM('MXD BS'!S39:S40)</f>
        <v>18838.27</v>
      </c>
      <c r="AK170" s="1076">
        <f>SUM('MXD BS'!T39:T40)</f>
        <v>18838.27</v>
      </c>
      <c r="AL170" s="1076">
        <f>SUM('MXD BS'!U39:U40)</f>
        <v>18838.27</v>
      </c>
      <c r="AM170" s="1076">
        <f>SUM('MXD BS'!V39:V40)</f>
        <v>18838.27</v>
      </c>
      <c r="AN170" s="1076">
        <f>SUM('MXD BS'!W39:W40)</f>
        <v>28766.27</v>
      </c>
      <c r="AO170" s="1076">
        <f>SUM('MXD BS'!X39:X40)</f>
        <v>62973.270000000004</v>
      </c>
      <c r="AP170" s="629">
        <f t="shared" ref="AP170:BC170" si="303">AO170</f>
        <v>62973.270000000004</v>
      </c>
      <c r="AQ170" s="629">
        <f t="shared" si="303"/>
        <v>62973.270000000004</v>
      </c>
      <c r="AR170" s="618">
        <f t="shared" si="303"/>
        <v>62973.270000000004</v>
      </c>
      <c r="AS170" s="629">
        <f t="shared" si="303"/>
        <v>62973.270000000004</v>
      </c>
      <c r="AT170" s="629">
        <f t="shared" si="303"/>
        <v>62973.270000000004</v>
      </c>
      <c r="AU170" s="629">
        <f t="shared" si="303"/>
        <v>62973.270000000004</v>
      </c>
      <c r="AV170" s="629">
        <f t="shared" si="303"/>
        <v>62973.270000000004</v>
      </c>
      <c r="AW170" s="629">
        <f t="shared" si="303"/>
        <v>62973.270000000004</v>
      </c>
      <c r="AX170" s="629">
        <f t="shared" si="303"/>
        <v>62973.270000000004</v>
      </c>
      <c r="AY170" s="629">
        <f t="shared" si="303"/>
        <v>62973.270000000004</v>
      </c>
      <c r="AZ170" s="629">
        <f t="shared" si="303"/>
        <v>62973.270000000004</v>
      </c>
      <c r="BA170" s="629">
        <f t="shared" si="303"/>
        <v>62973.270000000004</v>
      </c>
      <c r="BB170" s="629">
        <f t="shared" si="303"/>
        <v>62973.270000000004</v>
      </c>
      <c r="BC170" s="629">
        <f t="shared" si="303"/>
        <v>62973.270000000004</v>
      </c>
      <c r="BE170" s="1195"/>
      <c r="BF170" s="924">
        <f t="shared" si="293"/>
        <v>62973.270000000004</v>
      </c>
      <c r="BG170" s="1195">
        <f t="shared" si="295"/>
        <v>62973.270000000004</v>
      </c>
      <c r="BH170" s="31"/>
      <c r="BI170" s="31"/>
      <c r="BJ170" s="31"/>
      <c r="BK170" s="31"/>
      <c r="BL170" s="31"/>
      <c r="BM170" s="31"/>
      <c r="BN170" s="31"/>
      <c r="BO170" s="31"/>
      <c r="BP170" s="31"/>
      <c r="BQ170" s="31"/>
      <c r="BR170" s="31"/>
      <c r="BS170" s="31"/>
      <c r="BT170" s="31"/>
      <c r="BU170" s="31"/>
      <c r="BV170" s="31"/>
      <c r="BW170" s="31"/>
      <c r="BX170" s="31"/>
      <c r="BY170" s="31"/>
      <c r="BZ170" s="31"/>
      <c r="CA170" s="31"/>
      <c r="CB170" s="31"/>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c r="EX170" s="31"/>
      <c r="EY170" s="31"/>
      <c r="EZ170" s="31"/>
      <c r="FA170" s="31"/>
      <c r="FB170" s="31"/>
      <c r="FC170" s="31"/>
      <c r="FD170" s="31"/>
      <c r="FE170" s="31"/>
      <c r="FF170" s="31"/>
      <c r="FG170" s="31"/>
      <c r="FH170" s="31"/>
      <c r="FI170" s="31"/>
      <c r="FJ170" s="31"/>
      <c r="FK170" s="31"/>
      <c r="FL170" s="31"/>
      <c r="FM170" s="31"/>
      <c r="FN170" s="31"/>
      <c r="FO170" s="31"/>
      <c r="FP170" s="31"/>
      <c r="FQ170" s="31"/>
      <c r="FR170" s="31"/>
      <c r="FS170" s="31"/>
      <c r="FT170" s="31"/>
      <c r="FU170" s="31"/>
      <c r="FV170" s="31"/>
      <c r="FW170" s="31"/>
      <c r="FX170" s="31"/>
      <c r="FY170" s="31"/>
      <c r="FZ170" s="31"/>
      <c r="GA170" s="31"/>
      <c r="GB170" s="31"/>
      <c r="GC170" s="31"/>
      <c r="GD170" s="31"/>
      <c r="GE170" s="31"/>
      <c r="GF170" s="31"/>
      <c r="GG170" s="31"/>
      <c r="GH170" s="31"/>
      <c r="GI170" s="31"/>
      <c r="GJ170" s="31"/>
      <c r="GK170" s="31"/>
      <c r="GL170" s="31"/>
      <c r="GM170" s="31"/>
      <c r="GN170" s="31"/>
      <c r="GO170" s="31"/>
      <c r="GP170" s="31"/>
      <c r="GQ170" s="31"/>
      <c r="GR170" s="31"/>
      <c r="GS170" s="31"/>
      <c r="GT170" s="31"/>
      <c r="GU170" s="31"/>
      <c r="GV170" s="31"/>
      <c r="GW170" s="31"/>
      <c r="GX170" s="31"/>
      <c r="GY170" s="31"/>
      <c r="GZ170" s="31"/>
      <c r="HA170" s="31"/>
      <c r="HB170" s="31"/>
      <c r="HC170" s="31"/>
      <c r="HD170" s="31"/>
      <c r="HE170" s="31"/>
      <c r="HF170" s="31"/>
      <c r="HG170" s="31"/>
      <c r="HH170" s="31"/>
      <c r="HI170" s="31"/>
      <c r="HJ170" s="31"/>
      <c r="HK170" s="31"/>
      <c r="HL170" s="31"/>
      <c r="HM170" s="31"/>
      <c r="HN170" s="31"/>
      <c r="HO170" s="31"/>
      <c r="HP170" s="31"/>
      <c r="HQ170" s="31"/>
      <c r="HR170" s="31"/>
      <c r="HS170" s="31"/>
      <c r="HT170" s="31"/>
      <c r="HU170" s="31"/>
      <c r="HV170" s="31"/>
      <c r="HW170" s="31"/>
      <c r="HX170" s="31"/>
      <c r="HY170" s="31"/>
      <c r="HZ170" s="31"/>
      <c r="IA170" s="31"/>
      <c r="IB170" s="31"/>
      <c r="IC170" s="31"/>
      <c r="ID170" s="31"/>
      <c r="IE170" s="31"/>
      <c r="IF170" s="31"/>
      <c r="IG170" s="31"/>
      <c r="IH170" s="31"/>
      <c r="II170" s="31"/>
      <c r="IJ170" s="31"/>
      <c r="IK170" s="31"/>
      <c r="IL170" s="31"/>
      <c r="IM170" s="31"/>
      <c r="IN170" s="31"/>
      <c r="IO170" s="31"/>
      <c r="IP170" s="31"/>
      <c r="IQ170" s="31"/>
      <c r="IR170" s="31"/>
      <c r="IS170" s="31"/>
      <c r="IT170" s="31"/>
      <c r="IU170" s="31"/>
      <c r="IV170" s="31"/>
      <c r="IW170" s="31"/>
      <c r="IX170" s="31"/>
      <c r="IY170" s="31"/>
      <c r="IZ170" s="31"/>
      <c r="JA170" s="31"/>
      <c r="JB170" s="31"/>
      <c r="JC170" s="31"/>
      <c r="JD170" s="31"/>
      <c r="JE170" s="31"/>
      <c r="JF170" s="31"/>
      <c r="JG170" s="31"/>
      <c r="JH170" s="31"/>
      <c r="JI170" s="31"/>
      <c r="JJ170" s="31"/>
      <c r="JK170" s="31"/>
      <c r="JL170" s="31"/>
      <c r="JM170" s="31"/>
      <c r="JN170" s="31"/>
      <c r="JO170" s="31"/>
      <c r="JP170" s="31"/>
      <c r="JQ170" s="31"/>
      <c r="JR170" s="31"/>
      <c r="JS170" s="31"/>
      <c r="JT170" s="31"/>
      <c r="JU170" s="31"/>
      <c r="JV170" s="31"/>
      <c r="JW170" s="31"/>
      <c r="JX170" s="31"/>
      <c r="JY170" s="31"/>
      <c r="JZ170" s="31"/>
      <c r="KA170" s="31"/>
      <c r="KB170" s="31"/>
      <c r="KC170" s="31"/>
      <c r="KD170" s="31"/>
      <c r="KE170" s="31"/>
      <c r="KF170" s="31"/>
      <c r="KG170" s="31"/>
      <c r="KH170" s="31"/>
      <c r="KI170" s="31"/>
      <c r="KJ170" s="31"/>
      <c r="KK170" s="31"/>
      <c r="KL170" s="31"/>
      <c r="KM170" s="31"/>
      <c r="KN170" s="31"/>
      <c r="KO170" s="31"/>
      <c r="KP170" s="31"/>
      <c r="KQ170" s="31"/>
      <c r="KR170" s="31"/>
      <c r="KS170" s="31"/>
      <c r="KT170" s="31"/>
      <c r="KU170" s="31"/>
      <c r="KV170" s="31"/>
      <c r="KW170" s="31"/>
      <c r="KX170" s="31"/>
      <c r="KY170" s="31"/>
      <c r="KZ170" s="31"/>
      <c r="LA170" s="31"/>
      <c r="LB170" s="31"/>
      <c r="LC170" s="31"/>
      <c r="LD170" s="31"/>
      <c r="LE170" s="31"/>
      <c r="LF170" s="31"/>
      <c r="LG170" s="31"/>
      <c r="LH170" s="31"/>
      <c r="LI170" s="31"/>
      <c r="LJ170" s="31"/>
      <c r="LK170" s="31"/>
      <c r="LL170" s="31"/>
      <c r="LM170" s="31"/>
      <c r="LN170" s="31"/>
      <c r="LO170" s="31"/>
      <c r="LP170" s="31"/>
      <c r="LQ170" s="31"/>
      <c r="LR170" s="31"/>
      <c r="LS170" s="31"/>
      <c r="LT170" s="31"/>
      <c r="LU170" s="31"/>
      <c r="LV170" s="31"/>
      <c r="LW170" s="31"/>
      <c r="LX170" s="31"/>
      <c r="LY170" s="31"/>
      <c r="LZ170" s="31"/>
      <c r="MA170" s="31"/>
      <c r="MB170" s="31"/>
      <c r="MC170" s="31"/>
      <c r="MD170" s="31"/>
      <c r="ME170" s="31"/>
      <c r="MF170" s="31"/>
      <c r="MG170" s="31"/>
      <c r="MH170" s="31"/>
      <c r="MI170" s="31"/>
      <c r="MJ170" s="31"/>
      <c r="MK170" s="31"/>
      <c r="ML170" s="31"/>
      <c r="MM170" s="31"/>
      <c r="MN170" s="31"/>
      <c r="MO170" s="31"/>
      <c r="MP170" s="31"/>
      <c r="MQ170" s="31"/>
      <c r="MR170" s="31"/>
      <c r="MS170" s="31"/>
      <c r="MT170" s="31"/>
      <c r="MU170" s="31"/>
      <c r="MV170" s="31"/>
      <c r="MW170" s="31"/>
      <c r="MX170" s="31"/>
      <c r="MY170" s="31"/>
      <c r="MZ170" s="31"/>
      <c r="NA170" s="31"/>
      <c r="NB170" s="31"/>
      <c r="NC170" s="31"/>
      <c r="ND170" s="31"/>
      <c r="NE170" s="31"/>
      <c r="NF170" s="31"/>
      <c r="NG170" s="31"/>
      <c r="NH170" s="31"/>
      <c r="NI170" s="31"/>
      <c r="NJ170" s="31"/>
      <c r="NK170" s="31"/>
      <c r="NL170" s="31"/>
      <c r="NM170" s="31"/>
      <c r="NN170" s="31"/>
      <c r="NO170" s="31"/>
      <c r="NP170" s="31"/>
      <c r="NQ170" s="31"/>
      <c r="NR170" s="31"/>
      <c r="NS170" s="31"/>
      <c r="NT170" s="31"/>
      <c r="NU170" s="31"/>
      <c r="NV170" s="31"/>
      <c r="NW170" s="31"/>
      <c r="NX170" s="31"/>
      <c r="NY170" s="31"/>
      <c r="NZ170" s="31"/>
      <c r="OA170" s="31"/>
      <c r="OB170" s="31"/>
      <c r="OC170" s="31"/>
      <c r="OD170" s="31"/>
      <c r="OE170" s="31"/>
      <c r="OF170" s="31"/>
      <c r="OG170" s="31"/>
      <c r="OH170" s="31"/>
      <c r="OI170" s="31"/>
      <c r="OJ170" s="31"/>
      <c r="OK170" s="31"/>
      <c r="OL170" s="31"/>
      <c r="OM170" s="31"/>
      <c r="ON170" s="31"/>
      <c r="OO170" s="31"/>
      <c r="OP170" s="31"/>
      <c r="OQ170" s="31"/>
      <c r="OR170" s="31"/>
      <c r="OS170" s="31"/>
      <c r="OT170" s="31"/>
      <c r="OU170" s="31"/>
      <c r="OV170" s="31"/>
      <c r="OW170" s="31"/>
      <c r="OX170" s="31"/>
      <c r="OY170" s="31"/>
      <c r="OZ170" s="31"/>
      <c r="PA170" s="31"/>
      <c r="PB170" s="31"/>
      <c r="PC170" s="31"/>
      <c r="PD170" s="31"/>
      <c r="PE170" s="31"/>
      <c r="PF170" s="31"/>
      <c r="PG170" s="31"/>
      <c r="PH170" s="31"/>
      <c r="PI170" s="31"/>
      <c r="PJ170" s="31"/>
      <c r="PK170" s="31"/>
      <c r="PL170" s="31"/>
      <c r="PM170" s="31"/>
      <c r="PN170" s="31"/>
      <c r="PO170" s="31"/>
      <c r="PP170" s="31"/>
      <c r="PQ170" s="31"/>
      <c r="PR170" s="31"/>
      <c r="PS170" s="31"/>
      <c r="PT170" s="31"/>
      <c r="PU170" s="31"/>
      <c r="PV170" s="31"/>
      <c r="PW170" s="31"/>
      <c r="PX170" s="31"/>
      <c r="PY170" s="31"/>
      <c r="PZ170" s="31"/>
      <c r="QA170" s="31"/>
      <c r="QB170" s="31"/>
      <c r="QC170" s="31"/>
      <c r="QD170" s="31"/>
      <c r="QE170" s="31"/>
      <c r="QF170" s="31"/>
      <c r="QG170" s="31"/>
      <c r="QH170" s="31"/>
      <c r="QI170" s="31"/>
      <c r="QJ170" s="31"/>
      <c r="QK170" s="31"/>
      <c r="QL170" s="31"/>
      <c r="QM170" s="31"/>
      <c r="QN170" s="31"/>
      <c r="QO170" s="31"/>
      <c r="QP170" s="31"/>
      <c r="QQ170" s="31"/>
      <c r="QR170" s="31"/>
      <c r="QS170" s="31"/>
      <c r="QT170" s="31"/>
      <c r="QU170" s="31"/>
      <c r="QV170" s="31"/>
      <c r="QW170" s="31"/>
      <c r="QX170" s="31"/>
      <c r="QY170" s="31"/>
      <c r="QZ170" s="31"/>
      <c r="RA170" s="31"/>
      <c r="RB170" s="31"/>
      <c r="RC170" s="31"/>
      <c r="RD170" s="31"/>
      <c r="RE170" s="31"/>
      <c r="RF170" s="31"/>
      <c r="RG170" s="31"/>
      <c r="RH170" s="31"/>
      <c r="RI170" s="31"/>
      <c r="RJ170" s="31"/>
      <c r="RK170" s="31"/>
      <c r="RL170" s="31"/>
      <c r="RM170" s="31"/>
      <c r="RN170" s="31"/>
      <c r="RO170" s="31"/>
      <c r="RP170" s="31"/>
      <c r="RQ170" s="31"/>
      <c r="RR170" s="31"/>
      <c r="RS170" s="31"/>
      <c r="RT170" s="31"/>
      <c r="RU170" s="31"/>
      <c r="RV170" s="31"/>
      <c r="RW170" s="31"/>
      <c r="RX170" s="31"/>
      <c r="RY170" s="31"/>
      <c r="RZ170" s="31"/>
      <c r="SA170" s="31"/>
      <c r="SB170" s="31"/>
      <c r="SC170" s="31"/>
      <c r="SD170" s="31"/>
      <c r="SE170" s="31"/>
      <c r="SF170" s="31"/>
      <c r="SG170" s="31"/>
      <c r="SH170" s="31"/>
      <c r="SI170" s="31"/>
      <c r="SJ170" s="31"/>
      <c r="SK170" s="31"/>
      <c r="SL170" s="31"/>
      <c r="SM170" s="31"/>
      <c r="SN170" s="31"/>
      <c r="SO170" s="31"/>
      <c r="SP170" s="31"/>
      <c r="SQ170" s="31"/>
      <c r="SR170" s="31"/>
      <c r="SS170" s="31"/>
      <c r="ST170" s="31"/>
      <c r="SU170" s="31"/>
      <c r="SV170" s="31"/>
      <c r="SW170" s="31"/>
      <c r="SX170" s="31"/>
      <c r="SY170" s="31"/>
      <c r="SZ170" s="31"/>
      <c r="TA170" s="31"/>
      <c r="TB170" s="31"/>
      <c r="TC170" s="31"/>
      <c r="TD170" s="31"/>
      <c r="TE170" s="31"/>
      <c r="TF170" s="31"/>
      <c r="TG170" s="31"/>
      <c r="TH170" s="31"/>
      <c r="TI170" s="31"/>
      <c r="TJ170" s="31"/>
      <c r="TK170" s="31"/>
      <c r="TL170" s="31"/>
      <c r="TM170" s="31"/>
      <c r="TN170" s="31"/>
      <c r="TO170" s="31"/>
      <c r="TP170" s="31"/>
      <c r="TQ170" s="31"/>
      <c r="TR170" s="31"/>
      <c r="TS170" s="31"/>
      <c r="TT170" s="31"/>
      <c r="TU170" s="31"/>
      <c r="TV170" s="31"/>
      <c r="TW170" s="31"/>
      <c r="TX170" s="31"/>
      <c r="TY170" s="31"/>
      <c r="TZ170" s="31"/>
      <c r="UA170" s="31"/>
      <c r="UB170" s="31"/>
      <c r="UC170" s="31"/>
      <c r="UD170" s="31"/>
      <c r="UE170" s="31"/>
      <c r="UF170" s="31"/>
      <c r="UG170" s="31"/>
      <c r="UH170" s="31"/>
      <c r="UI170" s="31"/>
      <c r="UJ170" s="31"/>
      <c r="UK170" s="31"/>
      <c r="UL170" s="31"/>
      <c r="UM170" s="31"/>
      <c r="UN170" s="31"/>
      <c r="UO170" s="31"/>
      <c r="UP170" s="31"/>
      <c r="UQ170" s="31"/>
      <c r="UR170" s="31"/>
      <c r="US170" s="31"/>
      <c r="UT170" s="31"/>
      <c r="UU170" s="31"/>
      <c r="UV170" s="31"/>
      <c r="UW170" s="31"/>
      <c r="UX170" s="31"/>
      <c r="UY170" s="31"/>
      <c r="UZ170" s="31"/>
      <c r="VA170" s="31"/>
      <c r="VB170" s="31"/>
      <c r="VC170" s="31"/>
      <c r="VD170" s="31"/>
      <c r="VE170" s="31"/>
      <c r="VF170" s="31"/>
      <c r="VG170" s="31"/>
      <c r="VH170" s="31"/>
      <c r="VI170" s="31"/>
      <c r="VJ170" s="31"/>
      <c r="VK170" s="31"/>
      <c r="VL170" s="31"/>
      <c r="VM170" s="31"/>
      <c r="VN170" s="31"/>
      <c r="VO170" s="31"/>
      <c r="VP170" s="31"/>
      <c r="VQ170" s="31"/>
      <c r="VR170" s="31"/>
      <c r="VS170" s="31"/>
      <c r="VT170" s="31"/>
      <c r="VU170" s="31"/>
      <c r="VV170" s="31"/>
      <c r="VW170" s="31"/>
      <c r="VX170" s="31"/>
      <c r="VY170" s="31"/>
      <c r="VZ170" s="31"/>
      <c r="WA170" s="31"/>
      <c r="WB170" s="31"/>
      <c r="WC170" s="31"/>
      <c r="WD170" s="31"/>
      <c r="WE170" s="31"/>
      <c r="WF170" s="31"/>
      <c r="WG170" s="31"/>
      <c r="WH170" s="31"/>
      <c r="WI170" s="31"/>
      <c r="WJ170" s="31"/>
      <c r="WK170" s="31"/>
      <c r="WL170" s="31"/>
      <c r="WM170" s="31"/>
      <c r="WN170" s="31"/>
      <c r="WO170" s="31"/>
      <c r="WP170" s="31"/>
      <c r="WQ170" s="31"/>
      <c r="WR170" s="31"/>
      <c r="WS170" s="31"/>
      <c r="WT170" s="31"/>
      <c r="WU170" s="31"/>
      <c r="WV170" s="31"/>
      <c r="WW170" s="31"/>
      <c r="WX170" s="31"/>
      <c r="WY170" s="31"/>
      <c r="WZ170" s="31"/>
      <c r="XA170" s="31"/>
      <c r="XB170" s="31"/>
      <c r="XC170" s="31"/>
      <c r="XD170" s="31"/>
      <c r="XE170" s="31"/>
      <c r="XF170" s="31"/>
      <c r="XG170" s="31"/>
      <c r="XH170" s="31"/>
      <c r="XI170" s="31"/>
      <c r="XJ170" s="31"/>
      <c r="XK170" s="31"/>
      <c r="XL170" s="31"/>
      <c r="XM170" s="31"/>
      <c r="XN170" s="31"/>
      <c r="XO170" s="31"/>
      <c r="XP170" s="31"/>
      <c r="XQ170" s="31"/>
      <c r="XR170" s="31"/>
      <c r="XS170" s="31"/>
      <c r="XT170" s="31"/>
      <c r="XU170" s="31"/>
      <c r="XV170" s="31"/>
      <c r="XW170" s="31"/>
      <c r="XX170" s="31"/>
      <c r="XY170" s="31"/>
      <c r="XZ170" s="31"/>
      <c r="YA170" s="31"/>
      <c r="YB170" s="31"/>
      <c r="YC170" s="31"/>
      <c r="YD170" s="31"/>
      <c r="YE170" s="31"/>
      <c r="YF170" s="31"/>
      <c r="YG170" s="31"/>
      <c r="YH170" s="31"/>
      <c r="YI170" s="31"/>
      <c r="YJ170" s="31"/>
      <c r="YK170" s="31"/>
      <c r="YL170" s="31"/>
      <c r="YM170" s="31"/>
      <c r="YN170" s="31"/>
      <c r="YO170" s="31"/>
      <c r="YP170" s="31"/>
      <c r="YQ170" s="31"/>
      <c r="YR170" s="31"/>
      <c r="YS170" s="31"/>
      <c r="YT170" s="31"/>
      <c r="YU170" s="31"/>
      <c r="YV170" s="31"/>
      <c r="YW170" s="31"/>
      <c r="YX170" s="31"/>
      <c r="YY170" s="31"/>
      <c r="YZ170" s="31"/>
      <c r="ZA170" s="31"/>
      <c r="ZB170" s="31"/>
      <c r="ZC170" s="31"/>
      <c r="ZD170" s="31"/>
      <c r="ZE170" s="31"/>
      <c r="ZF170" s="31"/>
      <c r="ZG170" s="31"/>
      <c r="ZH170" s="31"/>
      <c r="ZI170" s="31"/>
      <c r="ZJ170" s="31"/>
      <c r="ZK170" s="31"/>
      <c r="ZL170" s="31"/>
      <c r="ZM170" s="31"/>
      <c r="ZN170" s="31"/>
      <c r="ZO170" s="31"/>
      <c r="ZP170" s="31"/>
      <c r="ZQ170" s="31"/>
      <c r="ZR170" s="31"/>
      <c r="ZS170" s="31"/>
      <c r="ZT170" s="31"/>
      <c r="ZU170" s="31"/>
      <c r="ZV170" s="31"/>
      <c r="ZW170" s="31"/>
      <c r="ZX170" s="31"/>
      <c r="ZY170" s="31"/>
      <c r="ZZ170" s="31"/>
      <c r="AAA170" s="31"/>
      <c r="AAB170" s="31"/>
      <c r="AAC170" s="31"/>
      <c r="AAD170" s="31"/>
      <c r="AAE170" s="31"/>
      <c r="AAF170" s="31"/>
      <c r="AAG170" s="31"/>
      <c r="AAH170" s="31"/>
      <c r="AAI170" s="31"/>
      <c r="AAJ170" s="31"/>
      <c r="AAK170" s="31"/>
      <c r="AAL170" s="31"/>
      <c r="AAM170" s="31"/>
      <c r="AAN170" s="31"/>
      <c r="AAO170" s="31"/>
      <c r="AAP170" s="31"/>
      <c r="AAQ170" s="31"/>
      <c r="AAR170" s="31"/>
      <c r="AAS170" s="31"/>
      <c r="AAT170" s="31"/>
      <c r="AAU170" s="31"/>
      <c r="AAV170" s="31"/>
      <c r="AAW170" s="31"/>
      <c r="AAX170" s="31"/>
      <c r="AAY170" s="31"/>
      <c r="AAZ170" s="31"/>
      <c r="ABA170" s="31"/>
      <c r="ABB170" s="31"/>
      <c r="ABC170" s="31"/>
      <c r="ABD170" s="31"/>
      <c r="ABE170" s="31"/>
      <c r="ABF170" s="31"/>
      <c r="ABG170" s="31"/>
      <c r="ABH170" s="31"/>
      <c r="ABI170" s="31"/>
      <c r="ABJ170" s="31"/>
      <c r="ABK170" s="31"/>
      <c r="ABL170" s="31"/>
      <c r="ABM170" s="31"/>
      <c r="ABN170" s="31"/>
      <c r="ABO170" s="31"/>
      <c r="ABP170" s="31"/>
      <c r="ABQ170" s="31"/>
      <c r="ABR170" s="31"/>
      <c r="ABS170" s="31"/>
      <c r="ABT170" s="31"/>
      <c r="ABU170" s="31"/>
      <c r="ABV170" s="31"/>
      <c r="ABW170" s="31"/>
      <c r="ABX170" s="31"/>
      <c r="ABY170" s="31"/>
      <c r="ABZ170" s="31"/>
      <c r="ACA170" s="31"/>
      <c r="ACB170" s="31"/>
      <c r="ACC170" s="31"/>
      <c r="ACD170" s="31"/>
      <c r="ACE170" s="31"/>
      <c r="ACF170" s="31"/>
      <c r="ACG170" s="31"/>
      <c r="ACH170" s="31"/>
      <c r="ACI170" s="31"/>
      <c r="ACJ170" s="31"/>
      <c r="ACK170" s="31"/>
      <c r="ACL170" s="31"/>
      <c r="ACM170" s="31"/>
      <c r="ACN170" s="31"/>
      <c r="ACO170" s="31"/>
      <c r="ACP170" s="31"/>
      <c r="ACQ170" s="31"/>
      <c r="ACR170" s="31"/>
      <c r="ACS170" s="31"/>
      <c r="ACT170" s="31"/>
      <c r="ACU170" s="31"/>
      <c r="ACV170" s="31"/>
      <c r="ACW170" s="31"/>
      <c r="ACX170" s="31"/>
      <c r="ACY170" s="31"/>
      <c r="ACZ170" s="31"/>
      <c r="ADA170" s="31"/>
      <c r="ADB170" s="31"/>
      <c r="ADC170" s="31"/>
      <c r="ADD170" s="31"/>
      <c r="ADE170" s="31"/>
      <c r="ADF170" s="31"/>
      <c r="ADG170" s="31"/>
      <c r="ADH170" s="31"/>
      <c r="ADI170" s="31"/>
      <c r="ADJ170" s="31"/>
      <c r="ADK170" s="31"/>
      <c r="ADL170" s="31"/>
      <c r="ADM170" s="31"/>
      <c r="ADN170" s="31"/>
      <c r="ADO170" s="31"/>
      <c r="ADP170" s="31"/>
      <c r="ADQ170" s="31"/>
      <c r="ADR170" s="31"/>
      <c r="ADS170" s="31"/>
      <c r="ADT170" s="31"/>
      <c r="ADU170" s="31"/>
      <c r="ADV170" s="31"/>
      <c r="ADW170" s="31"/>
      <c r="ADX170" s="31"/>
      <c r="ADY170" s="31"/>
      <c r="ADZ170" s="31"/>
      <c r="AEA170" s="31"/>
      <c r="AEB170" s="31"/>
      <c r="AEC170" s="31"/>
      <c r="AED170" s="31"/>
      <c r="AEE170" s="31"/>
      <c r="AEF170" s="31"/>
      <c r="AEG170" s="31"/>
      <c r="AEH170" s="31"/>
      <c r="AEI170" s="31"/>
      <c r="AEJ170" s="31"/>
      <c r="AEK170" s="31"/>
      <c r="AEL170" s="31"/>
      <c r="AEM170" s="31"/>
      <c r="AEN170" s="31"/>
      <c r="AEO170" s="31"/>
      <c r="AEP170" s="31"/>
      <c r="AEQ170" s="31"/>
      <c r="AER170" s="31"/>
      <c r="AES170" s="31"/>
      <c r="AET170" s="31"/>
      <c r="AEU170" s="31"/>
      <c r="AEV170" s="31"/>
      <c r="AEW170" s="31"/>
      <c r="AEX170" s="31"/>
      <c r="AEY170" s="31"/>
      <c r="AEZ170" s="31"/>
      <c r="AFA170" s="31"/>
      <c r="AFB170" s="31"/>
      <c r="AFC170" s="31"/>
      <c r="AFD170" s="31"/>
      <c r="AFE170" s="31"/>
      <c r="AFF170" s="31"/>
      <c r="AFG170" s="31"/>
      <c r="AFH170" s="31"/>
      <c r="AFI170" s="31"/>
      <c r="AFJ170" s="31"/>
      <c r="AFK170" s="31"/>
      <c r="AFL170" s="31"/>
      <c r="AFM170" s="31"/>
      <c r="AFN170" s="31"/>
      <c r="AFO170" s="31"/>
      <c r="AFP170" s="31"/>
      <c r="AFQ170" s="31"/>
      <c r="AFR170" s="31"/>
      <c r="AFS170" s="31"/>
      <c r="AFT170" s="31"/>
      <c r="AFU170" s="31"/>
      <c r="AFV170" s="31"/>
      <c r="AFW170" s="31"/>
      <c r="AFX170" s="31"/>
      <c r="AFY170" s="31"/>
      <c r="AFZ170" s="31"/>
      <c r="AGA170" s="31"/>
      <c r="AGB170" s="31"/>
      <c r="AGC170" s="31"/>
      <c r="AGD170" s="31"/>
      <c r="AGE170" s="31"/>
      <c r="AGF170" s="31"/>
      <c r="AGG170" s="31"/>
      <c r="AGH170" s="31"/>
      <c r="AGI170" s="31"/>
      <c r="AGJ170" s="31"/>
      <c r="AGK170" s="31"/>
      <c r="AGL170" s="31"/>
      <c r="AGM170" s="31"/>
      <c r="AGN170" s="31"/>
      <c r="AGO170" s="31"/>
      <c r="AGP170" s="31"/>
      <c r="AGQ170" s="31"/>
      <c r="AGR170" s="31"/>
      <c r="AGS170" s="31"/>
      <c r="AGT170" s="31"/>
      <c r="AGU170" s="31"/>
      <c r="AGV170" s="31"/>
      <c r="AGW170" s="31"/>
      <c r="AGX170" s="31"/>
      <c r="AGY170" s="31"/>
      <c r="AGZ170" s="31"/>
      <c r="AHA170" s="31"/>
      <c r="AHB170" s="31"/>
      <c r="AHC170" s="31"/>
      <c r="AHD170" s="31"/>
      <c r="AHE170" s="31"/>
      <c r="AHF170" s="31"/>
      <c r="AHG170" s="31"/>
      <c r="AHH170" s="31"/>
      <c r="AHI170" s="31"/>
      <c r="AHJ170" s="31"/>
      <c r="AHK170" s="31"/>
      <c r="AHL170" s="31"/>
      <c r="AHM170" s="31"/>
      <c r="AHN170" s="31"/>
      <c r="AHO170" s="31"/>
      <c r="AHP170" s="31"/>
      <c r="AHQ170" s="31"/>
      <c r="AHR170" s="31"/>
      <c r="AHS170" s="31"/>
      <c r="AHT170" s="31"/>
      <c r="AHU170" s="31"/>
      <c r="AHV170" s="31"/>
      <c r="AHW170" s="31"/>
      <c r="AHX170" s="31"/>
      <c r="AHY170" s="31"/>
      <c r="AHZ170" s="31"/>
      <c r="AIA170" s="31"/>
      <c r="AIB170" s="31"/>
      <c r="AIC170" s="31"/>
      <c r="AID170" s="31"/>
      <c r="AIE170" s="31"/>
      <c r="AIF170" s="31"/>
      <c r="AIG170" s="31"/>
      <c r="AIH170" s="31"/>
      <c r="AII170" s="31"/>
      <c r="AIJ170" s="31"/>
      <c r="AIK170" s="31"/>
      <c r="AIL170" s="31"/>
      <c r="AIM170" s="31"/>
      <c r="AIN170" s="31"/>
      <c r="AIO170" s="31"/>
      <c r="AIP170" s="31"/>
      <c r="AIQ170" s="31"/>
      <c r="AIR170" s="31"/>
      <c r="AIS170" s="31"/>
      <c r="AIT170" s="31"/>
      <c r="AIU170" s="31"/>
      <c r="AIV170" s="31"/>
      <c r="AIW170" s="31"/>
      <c r="AIX170" s="31"/>
      <c r="AIY170" s="31"/>
      <c r="AIZ170" s="31"/>
      <c r="AJA170" s="31"/>
      <c r="AJB170" s="31"/>
      <c r="AJC170" s="31"/>
      <c r="AJD170" s="31"/>
      <c r="AJE170" s="31"/>
      <c r="AJF170" s="31"/>
      <c r="AJG170" s="31"/>
      <c r="AJH170" s="31"/>
      <c r="AJI170" s="31"/>
      <c r="AJJ170" s="31"/>
      <c r="AJK170" s="31"/>
      <c r="AJL170" s="31"/>
      <c r="AJM170" s="31"/>
      <c r="AJN170" s="31"/>
      <c r="AJO170" s="31"/>
      <c r="AJP170" s="31"/>
      <c r="AJQ170" s="31"/>
      <c r="AJR170" s="31"/>
      <c r="AJS170" s="31"/>
      <c r="AJT170" s="31"/>
      <c r="AJU170" s="31"/>
      <c r="AJV170" s="31"/>
      <c r="AJW170" s="31"/>
      <c r="AJX170" s="31"/>
      <c r="AJY170" s="31"/>
      <c r="AJZ170" s="31"/>
      <c r="AKA170" s="31"/>
      <c r="AKB170" s="31"/>
      <c r="AKC170" s="31"/>
      <c r="AKD170" s="31"/>
      <c r="AKE170" s="31"/>
      <c r="AKF170" s="31"/>
      <c r="AKG170" s="31"/>
      <c r="AKH170" s="31"/>
      <c r="AKI170" s="31"/>
      <c r="AKJ170" s="31"/>
      <c r="AKK170" s="31"/>
      <c r="AKL170" s="31"/>
      <c r="AKM170" s="31"/>
      <c r="AKN170" s="31"/>
      <c r="AKO170" s="31"/>
      <c r="AKP170" s="31"/>
      <c r="AKQ170" s="31"/>
      <c r="AKR170" s="31"/>
      <c r="AKS170" s="31"/>
      <c r="AKT170" s="31"/>
      <c r="AKU170" s="31"/>
      <c r="AKV170" s="31"/>
      <c r="AKW170" s="31"/>
      <c r="AKX170" s="31"/>
      <c r="AKY170" s="31"/>
      <c r="AKZ170" s="31"/>
      <c r="ALA170" s="31"/>
      <c r="ALB170" s="31"/>
      <c r="ALC170" s="31"/>
      <c r="ALD170" s="31"/>
      <c r="ALE170" s="31"/>
      <c r="ALF170" s="31"/>
      <c r="ALG170" s="31"/>
      <c r="ALH170" s="31"/>
      <c r="ALI170" s="31"/>
      <c r="ALJ170" s="31"/>
      <c r="ALK170" s="31"/>
      <c r="ALL170" s="31"/>
      <c r="ALM170" s="31"/>
      <c r="ALN170" s="31"/>
      <c r="ALO170" s="31"/>
      <c r="ALP170" s="31"/>
      <c r="ALQ170" s="31"/>
      <c r="ALR170" s="31"/>
      <c r="ALS170" s="31"/>
      <c r="ALT170" s="31"/>
      <c r="ALU170" s="31"/>
      <c r="ALV170" s="31"/>
      <c r="ALW170" s="31"/>
      <c r="ALX170" s="31"/>
      <c r="ALY170" s="31"/>
      <c r="ALZ170" s="31"/>
      <c r="AMA170" s="31"/>
      <c r="AMB170" s="31"/>
      <c r="AMC170" s="31"/>
      <c r="AMD170" s="31"/>
      <c r="AME170" s="31"/>
      <c r="AMF170" s="31"/>
      <c r="AMG170" s="31"/>
      <c r="AMH170" s="31"/>
      <c r="AMI170" s="31"/>
      <c r="AMJ170" s="31"/>
      <c r="AMK170" s="31"/>
      <c r="AML170" s="31"/>
      <c r="AMM170" s="31"/>
      <c r="AMN170" s="31"/>
      <c r="AMO170" s="31"/>
      <c r="AMP170" s="31"/>
      <c r="AMQ170" s="31"/>
      <c r="AMR170" s="31"/>
      <c r="AMS170" s="31"/>
      <c r="AMT170" s="31"/>
      <c r="AMU170" s="31"/>
      <c r="AMV170" s="31"/>
      <c r="AMW170" s="31"/>
      <c r="AMX170" s="31"/>
      <c r="AMY170" s="31"/>
      <c r="AMZ170" s="31"/>
      <c r="ANA170" s="31"/>
      <c r="ANB170" s="31"/>
      <c r="ANC170" s="31"/>
      <c r="AND170" s="31"/>
      <c r="ANE170" s="31"/>
      <c r="ANF170" s="31"/>
      <c r="ANG170" s="31"/>
      <c r="ANH170" s="31"/>
      <c r="ANI170" s="31"/>
      <c r="ANJ170" s="31"/>
      <c r="ANK170" s="31"/>
      <c r="ANL170" s="31"/>
      <c r="ANM170" s="31"/>
      <c r="ANN170" s="31"/>
      <c r="ANO170" s="31"/>
      <c r="ANP170" s="31"/>
      <c r="ANQ170" s="31"/>
      <c r="ANR170" s="31"/>
      <c r="ANS170" s="31"/>
      <c r="ANT170" s="31"/>
      <c r="ANU170" s="31"/>
      <c r="ANV170" s="31"/>
      <c r="ANW170" s="31"/>
      <c r="ANX170" s="31"/>
      <c r="ANY170" s="31"/>
      <c r="ANZ170" s="31"/>
      <c r="AOA170" s="31"/>
      <c r="AOB170" s="31"/>
      <c r="AOC170" s="31"/>
      <c r="AOD170" s="31"/>
      <c r="AOE170" s="31"/>
      <c r="AOF170" s="31"/>
      <c r="AOG170" s="31"/>
      <c r="AOH170" s="31"/>
      <c r="AOI170" s="31"/>
      <c r="AOJ170" s="31"/>
      <c r="AOK170" s="31"/>
      <c r="AOL170" s="31"/>
      <c r="AOM170" s="31"/>
      <c r="AON170" s="31"/>
      <c r="AOO170" s="31"/>
      <c r="AOP170" s="31"/>
      <c r="AOQ170" s="31"/>
      <c r="AOR170" s="31"/>
      <c r="AOS170" s="31"/>
      <c r="AOT170" s="31"/>
      <c r="AOU170" s="31"/>
      <c r="AOV170" s="31"/>
      <c r="AOW170" s="31"/>
      <c r="AOX170" s="31"/>
      <c r="AOY170" s="31"/>
      <c r="AOZ170" s="31"/>
      <c r="APA170" s="31"/>
      <c r="APB170" s="31"/>
      <c r="APC170" s="31"/>
      <c r="APD170" s="31"/>
      <c r="APE170" s="31"/>
      <c r="APF170" s="31"/>
      <c r="APG170" s="31"/>
      <c r="APH170" s="31"/>
      <c r="API170" s="31"/>
      <c r="APJ170" s="31"/>
      <c r="APK170" s="31"/>
      <c r="APL170" s="31"/>
      <c r="APM170" s="31"/>
      <c r="APN170" s="31"/>
      <c r="APO170" s="31"/>
      <c r="APP170" s="31"/>
      <c r="APQ170" s="31"/>
      <c r="APR170" s="31"/>
      <c r="APS170" s="31"/>
      <c r="APT170" s="31"/>
      <c r="APU170" s="31"/>
      <c r="APV170" s="31"/>
      <c r="APW170" s="31"/>
      <c r="APX170" s="31"/>
      <c r="APY170" s="31"/>
      <c r="APZ170" s="31"/>
      <c r="AQA170" s="31"/>
      <c r="AQB170" s="31"/>
      <c r="AQC170" s="31"/>
      <c r="AQD170" s="31"/>
      <c r="AQE170" s="31"/>
      <c r="AQF170" s="31"/>
      <c r="AQG170" s="31"/>
      <c r="AQH170" s="31"/>
      <c r="AQI170" s="31"/>
      <c r="AQJ170" s="31"/>
      <c r="AQK170" s="31"/>
      <c r="AQL170" s="31"/>
      <c r="AQM170" s="31"/>
      <c r="AQN170" s="31"/>
      <c r="AQO170" s="31"/>
      <c r="AQP170" s="31"/>
      <c r="AQQ170" s="31"/>
      <c r="AQR170" s="31"/>
      <c r="AQS170" s="31"/>
      <c r="AQT170" s="31"/>
      <c r="AQU170" s="31"/>
      <c r="AQV170" s="31"/>
      <c r="AQW170" s="31"/>
      <c r="AQX170" s="31"/>
      <c r="AQY170" s="31"/>
      <c r="AQZ170" s="31"/>
      <c r="ARA170" s="31"/>
      <c r="ARB170" s="31"/>
      <c r="ARC170" s="31"/>
      <c r="ARD170" s="31"/>
      <c r="ARE170" s="31"/>
      <c r="ARF170" s="31"/>
      <c r="ARG170" s="31"/>
      <c r="ARH170" s="31"/>
      <c r="ARI170" s="31"/>
      <c r="ARJ170" s="31"/>
      <c r="ARK170" s="31"/>
      <c r="ARL170" s="31"/>
      <c r="ARM170" s="31"/>
      <c r="ARN170" s="31"/>
      <c r="ARO170" s="31"/>
      <c r="ARP170" s="31"/>
      <c r="ARQ170" s="31"/>
      <c r="ARR170" s="31"/>
      <c r="ARS170" s="31"/>
      <c r="ART170" s="31"/>
      <c r="ARU170" s="31"/>
      <c r="ARV170" s="31"/>
      <c r="ARW170" s="31"/>
      <c r="ARX170" s="31"/>
      <c r="ARY170" s="31"/>
      <c r="ARZ170" s="31"/>
      <c r="ASA170" s="31"/>
      <c r="ASB170" s="31"/>
      <c r="ASC170" s="31"/>
      <c r="ASD170" s="31"/>
      <c r="ASE170" s="31"/>
      <c r="ASF170" s="31"/>
      <c r="ASG170" s="31"/>
      <c r="ASH170" s="31"/>
      <c r="ASI170" s="31"/>
      <c r="ASJ170" s="31"/>
      <c r="ASK170" s="31"/>
      <c r="ASL170" s="31"/>
      <c r="ASM170" s="31"/>
      <c r="ASN170" s="31"/>
      <c r="ASO170" s="31"/>
      <c r="ASP170" s="31"/>
      <c r="ASQ170" s="31"/>
      <c r="ASR170" s="31"/>
      <c r="ASS170" s="31"/>
      <c r="AST170" s="31"/>
      <c r="ASU170" s="31"/>
      <c r="ASV170" s="31"/>
      <c r="ASW170" s="31"/>
      <c r="ASX170" s="31"/>
      <c r="ASY170" s="31"/>
      <c r="ASZ170" s="31"/>
      <c r="ATA170" s="31"/>
      <c r="ATB170" s="31"/>
      <c r="ATC170" s="31"/>
      <c r="ATD170" s="31"/>
      <c r="ATE170" s="31"/>
    </row>
    <row r="171" spans="1:1201" s="1376" customFormat="1" ht="15.75" customHeight="1" x14ac:dyDescent="0.3">
      <c r="A171" s="1324"/>
      <c r="B171" s="1324"/>
      <c r="C171" s="1325" t="s">
        <v>1204</v>
      </c>
      <c r="D171" s="1364"/>
      <c r="E171" s="1364"/>
      <c r="F171" s="1374"/>
      <c r="G171" s="1375"/>
      <c r="H171" s="1327"/>
      <c r="I171" s="1327"/>
      <c r="J171" s="1327"/>
      <c r="K171" s="1327"/>
      <c r="L171" s="1327"/>
      <c r="M171" s="1327"/>
      <c r="N171" s="1327"/>
      <c r="O171" s="1327"/>
      <c r="P171" s="1327"/>
      <c r="Q171" s="1327"/>
      <c r="R171" s="1327"/>
      <c r="S171" s="1328"/>
      <c r="T171" s="1329"/>
      <c r="U171" s="1329"/>
      <c r="V171" s="1329"/>
      <c r="W171" s="1329"/>
      <c r="X171" s="1329"/>
      <c r="Y171" s="1329"/>
      <c r="Z171" s="1329"/>
      <c r="AA171" s="1329"/>
      <c r="AB171" s="1329"/>
      <c r="AC171" s="1329"/>
      <c r="AD171" s="1329"/>
      <c r="AE171" s="1329"/>
      <c r="AF171" s="1329"/>
      <c r="AG171" s="1329"/>
      <c r="AH171" s="1329"/>
      <c r="AI171" s="1329"/>
      <c r="AJ171" s="1329"/>
      <c r="AK171" s="1329">
        <f>'HEC Financials'!AZ122</f>
        <v>2064101.79</v>
      </c>
      <c r="AL171" s="1329">
        <f>'HEC Financials'!BA122</f>
        <v>2064131.9500000002</v>
      </c>
      <c r="AM171" s="1329">
        <f>'HEC Financials'!BB122</f>
        <v>2214080.7599999998</v>
      </c>
      <c r="AN171" s="1329">
        <f>'HEC Financials'!BC122</f>
        <v>2198897.34</v>
      </c>
      <c r="AO171" s="1329">
        <f>'HEC Financials'!BD122</f>
        <v>2035431.18</v>
      </c>
      <c r="AP171" s="1327">
        <f t="shared" ref="AP171:BC171" si="304">AP72/AP20</f>
        <v>2617747.5058081122</v>
      </c>
      <c r="AQ171" s="1327">
        <f t="shared" si="304"/>
        <v>2600861.8570715459</v>
      </c>
      <c r="AR171" s="1328">
        <f t="shared" si="304"/>
        <v>2460396.6944302879</v>
      </c>
      <c r="AS171" s="1327">
        <f t="shared" si="304"/>
        <v>2516728.6268955707</v>
      </c>
      <c r="AT171" s="1327">
        <f t="shared" si="304"/>
        <v>2494680.275307857</v>
      </c>
      <c r="AU171" s="1327">
        <f t="shared" si="304"/>
        <v>2501159.181804542</v>
      </c>
      <c r="AV171" s="1327">
        <f t="shared" si="304"/>
        <v>2512555.9662664006</v>
      </c>
      <c r="AW171" s="1327">
        <f t="shared" si="304"/>
        <v>2509563.2050415138</v>
      </c>
      <c r="AX171" s="1327">
        <f t="shared" si="304"/>
        <v>2513370.5166341816</v>
      </c>
      <c r="AY171" s="1327">
        <f t="shared" si="304"/>
        <v>2516576.6681738649</v>
      </c>
      <c r="AZ171" s="1327">
        <f t="shared" si="304"/>
        <v>2517243.2496123672</v>
      </c>
      <c r="BA171" s="1327">
        <f t="shared" si="304"/>
        <v>2519275.1008620285</v>
      </c>
      <c r="BB171" s="1327">
        <f t="shared" si="304"/>
        <v>2520816.9802070544</v>
      </c>
      <c r="BC171" s="1327">
        <f t="shared" si="304"/>
        <v>2521880.6171421446</v>
      </c>
      <c r="BE171" s="1372">
        <v>1469833.16</v>
      </c>
      <c r="BF171" s="1328">
        <f t="shared" si="293"/>
        <v>2600861.8570715459</v>
      </c>
      <c r="BG171" s="1372">
        <f t="shared" si="295"/>
        <v>2521880.6171421446</v>
      </c>
      <c r="BH171" s="1312"/>
      <c r="BI171" s="1312"/>
      <c r="BJ171" s="1312"/>
      <c r="BK171" s="1312"/>
      <c r="BL171" s="1312"/>
      <c r="BM171" s="1312"/>
      <c r="BN171" s="1312"/>
      <c r="BO171" s="1312"/>
      <c r="BP171" s="1312"/>
      <c r="BQ171" s="1312"/>
      <c r="BR171" s="1312"/>
      <c r="BS171" s="1312"/>
      <c r="BT171" s="1312"/>
      <c r="BU171" s="1312"/>
      <c r="BV171" s="1312"/>
      <c r="BW171" s="1312"/>
      <c r="BX171" s="1312"/>
      <c r="BY171" s="1312"/>
      <c r="BZ171" s="1312"/>
      <c r="CA171" s="1312"/>
      <c r="CB171" s="1312"/>
      <c r="CC171" s="1312"/>
      <c r="CD171" s="1312"/>
      <c r="CE171" s="1312"/>
      <c r="CF171" s="1312"/>
      <c r="CG171" s="1312"/>
      <c r="CH171" s="1312"/>
      <c r="CI171" s="1312"/>
      <c r="CJ171" s="1312"/>
      <c r="CK171" s="1312"/>
      <c r="CL171" s="1312"/>
      <c r="CM171" s="1312"/>
      <c r="CN171" s="1312"/>
      <c r="CO171" s="1312"/>
      <c r="CP171" s="1312"/>
      <c r="CQ171" s="1312"/>
      <c r="CR171" s="1312"/>
      <c r="CS171" s="1312"/>
      <c r="CT171" s="1312"/>
      <c r="CU171" s="1312"/>
      <c r="CV171" s="1312"/>
      <c r="CW171" s="1312"/>
      <c r="CX171" s="1312"/>
      <c r="CY171" s="1312"/>
      <c r="CZ171" s="1312"/>
      <c r="DA171" s="1312"/>
      <c r="DB171" s="1312"/>
      <c r="DC171" s="1312"/>
      <c r="DD171" s="1312"/>
      <c r="DE171" s="1312"/>
      <c r="DF171" s="1312"/>
      <c r="DG171" s="1312"/>
      <c r="DH171" s="1312"/>
      <c r="DI171" s="1312"/>
      <c r="DJ171" s="1312"/>
      <c r="DK171" s="1312"/>
      <c r="DL171" s="1312"/>
      <c r="DM171" s="1312"/>
      <c r="DN171" s="1312"/>
      <c r="DO171" s="1312"/>
      <c r="DP171" s="1312"/>
      <c r="DQ171" s="1312"/>
      <c r="DR171" s="1312"/>
      <c r="DS171" s="1312"/>
      <c r="DT171" s="1312"/>
      <c r="DU171" s="1312"/>
      <c r="DV171" s="1312"/>
      <c r="DW171" s="1312"/>
      <c r="DX171" s="1312"/>
      <c r="DY171" s="1312"/>
      <c r="DZ171" s="1312"/>
      <c r="EA171" s="1312"/>
      <c r="EB171" s="1312"/>
      <c r="EC171" s="1312"/>
      <c r="ED171" s="1312"/>
      <c r="EE171" s="1312"/>
      <c r="EF171" s="1312"/>
      <c r="EG171" s="1312"/>
      <c r="EH171" s="1312"/>
      <c r="EI171" s="1312"/>
      <c r="EJ171" s="1312"/>
      <c r="EK171" s="1312"/>
      <c r="EL171" s="1312"/>
      <c r="EM171" s="1312"/>
      <c r="EN171" s="1312"/>
      <c r="EO171" s="1312"/>
      <c r="EP171" s="1312"/>
      <c r="EQ171" s="1312"/>
      <c r="ER171" s="1312"/>
      <c r="ES171" s="1312"/>
      <c r="ET171" s="1312"/>
      <c r="EU171" s="1312"/>
      <c r="EV171" s="1312"/>
      <c r="EW171" s="1312"/>
      <c r="EX171" s="1312"/>
      <c r="EY171" s="1312"/>
      <c r="EZ171" s="1312"/>
      <c r="FA171" s="1312"/>
      <c r="FB171" s="1312"/>
      <c r="FC171" s="1312"/>
      <c r="FD171" s="1312"/>
      <c r="FE171" s="1312"/>
      <c r="FF171" s="1312"/>
      <c r="FG171" s="1312"/>
      <c r="FH171" s="1312"/>
      <c r="FI171" s="1312"/>
      <c r="FJ171" s="1312"/>
      <c r="FK171" s="1312"/>
      <c r="FL171" s="1312"/>
      <c r="FM171" s="1312"/>
      <c r="FN171" s="1312"/>
      <c r="FO171" s="1312"/>
      <c r="FP171" s="1312"/>
      <c r="FQ171" s="1312"/>
      <c r="FR171" s="1312"/>
      <c r="FS171" s="1312"/>
      <c r="FT171" s="1312"/>
      <c r="FU171" s="1312"/>
      <c r="FV171" s="1312"/>
      <c r="FW171" s="1312"/>
      <c r="FX171" s="1312"/>
      <c r="FY171" s="1312"/>
      <c r="FZ171" s="1312"/>
      <c r="GA171" s="1312"/>
      <c r="GB171" s="1312"/>
      <c r="GC171" s="1312"/>
      <c r="GD171" s="1312"/>
      <c r="GE171" s="1312"/>
      <c r="GF171" s="1312"/>
      <c r="GG171" s="1312"/>
      <c r="GH171" s="1312"/>
      <c r="GI171" s="1312"/>
      <c r="GJ171" s="1312"/>
      <c r="GK171" s="1312"/>
      <c r="GL171" s="1312"/>
      <c r="GM171" s="1312"/>
      <c r="GN171" s="1312"/>
      <c r="GO171" s="1312"/>
      <c r="GP171" s="1312"/>
      <c r="GQ171" s="1312"/>
      <c r="GR171" s="1312"/>
      <c r="GS171" s="1312"/>
      <c r="GT171" s="1312"/>
      <c r="GU171" s="1312"/>
      <c r="GV171" s="1312"/>
      <c r="GW171" s="1312"/>
      <c r="GX171" s="1312"/>
      <c r="GY171" s="1312"/>
      <c r="GZ171" s="1312"/>
      <c r="HA171" s="1312"/>
      <c r="HB171" s="1312"/>
      <c r="HC171" s="1312"/>
      <c r="HD171" s="1312"/>
      <c r="HE171" s="1312"/>
      <c r="HF171" s="1312"/>
      <c r="HG171" s="1312"/>
      <c r="HH171" s="1312"/>
      <c r="HI171" s="1312"/>
      <c r="HJ171" s="1312"/>
      <c r="HK171" s="1312"/>
      <c r="HL171" s="1312"/>
      <c r="HM171" s="1312"/>
      <c r="HN171" s="1312"/>
      <c r="HO171" s="1312"/>
      <c r="HP171" s="1312"/>
      <c r="HQ171" s="1312"/>
      <c r="HR171" s="1312"/>
      <c r="HS171" s="1312"/>
      <c r="HT171" s="1312"/>
      <c r="HU171" s="1312"/>
      <c r="HV171" s="1312"/>
      <c r="HW171" s="1312"/>
      <c r="HX171" s="1312"/>
      <c r="HY171" s="1312"/>
      <c r="HZ171" s="1312"/>
      <c r="IA171" s="1312"/>
      <c r="IB171" s="1312"/>
      <c r="IC171" s="1312"/>
      <c r="ID171" s="1312"/>
      <c r="IE171" s="1312"/>
      <c r="IF171" s="1312"/>
      <c r="IG171" s="1312"/>
      <c r="IH171" s="1312"/>
      <c r="II171" s="1312"/>
      <c r="IJ171" s="1312"/>
      <c r="IK171" s="1312"/>
      <c r="IL171" s="1312"/>
      <c r="IM171" s="1312"/>
      <c r="IN171" s="1312"/>
      <c r="IO171" s="1312"/>
      <c r="IP171" s="1312"/>
      <c r="IQ171" s="1312"/>
      <c r="IR171" s="1312"/>
      <c r="IS171" s="1312"/>
      <c r="IT171" s="1312"/>
      <c r="IU171" s="1312"/>
      <c r="IV171" s="1312"/>
      <c r="IW171" s="1312"/>
      <c r="IX171" s="1312"/>
      <c r="IY171" s="1312"/>
      <c r="IZ171" s="1312"/>
      <c r="JA171" s="1312"/>
      <c r="JB171" s="1312"/>
      <c r="JC171" s="1312"/>
      <c r="JD171" s="1312"/>
      <c r="JE171" s="1312"/>
      <c r="JF171" s="1312"/>
      <c r="JG171" s="1312"/>
      <c r="JH171" s="1312"/>
      <c r="JI171" s="1312"/>
      <c r="JJ171" s="1312"/>
      <c r="JK171" s="1312"/>
      <c r="JL171" s="1312"/>
      <c r="JM171" s="1312"/>
      <c r="JN171" s="1312"/>
      <c r="JO171" s="1312"/>
      <c r="JP171" s="1312"/>
      <c r="JQ171" s="1312"/>
      <c r="JR171" s="1312"/>
      <c r="JS171" s="1312"/>
      <c r="JT171" s="1312"/>
      <c r="JU171" s="1312"/>
      <c r="JV171" s="1312"/>
      <c r="JW171" s="1312"/>
      <c r="JX171" s="1312"/>
      <c r="JY171" s="1312"/>
      <c r="JZ171" s="1312"/>
      <c r="KA171" s="1312"/>
      <c r="KB171" s="1312"/>
      <c r="KC171" s="1312"/>
      <c r="KD171" s="1312"/>
      <c r="KE171" s="1312"/>
      <c r="KF171" s="1312"/>
      <c r="KG171" s="1312"/>
      <c r="KH171" s="1312"/>
      <c r="KI171" s="1312"/>
      <c r="KJ171" s="1312"/>
      <c r="KK171" s="1312"/>
      <c r="KL171" s="1312"/>
      <c r="KM171" s="1312"/>
      <c r="KN171" s="1312"/>
      <c r="KO171" s="1312"/>
      <c r="KP171" s="1312"/>
      <c r="KQ171" s="1312"/>
      <c r="KR171" s="1312"/>
      <c r="KS171" s="1312"/>
      <c r="KT171" s="1312"/>
      <c r="KU171" s="1312"/>
      <c r="KV171" s="1312"/>
      <c r="KW171" s="1312"/>
      <c r="KX171" s="1312"/>
      <c r="KY171" s="1312"/>
      <c r="KZ171" s="1312"/>
      <c r="LA171" s="1312"/>
      <c r="LB171" s="1312"/>
      <c r="LC171" s="1312"/>
      <c r="LD171" s="1312"/>
      <c r="LE171" s="1312"/>
      <c r="LF171" s="1312"/>
      <c r="LG171" s="1312"/>
      <c r="LH171" s="1312"/>
      <c r="LI171" s="1312"/>
      <c r="LJ171" s="1312"/>
      <c r="LK171" s="1312"/>
      <c r="LL171" s="1312"/>
      <c r="LM171" s="1312"/>
      <c r="LN171" s="1312"/>
      <c r="LO171" s="1312"/>
      <c r="LP171" s="1312"/>
      <c r="LQ171" s="1312"/>
      <c r="LR171" s="1312"/>
      <c r="LS171" s="1312"/>
      <c r="LT171" s="1312"/>
      <c r="LU171" s="1312"/>
      <c r="LV171" s="1312"/>
      <c r="LW171" s="1312"/>
      <c r="LX171" s="1312"/>
      <c r="LY171" s="1312"/>
      <c r="LZ171" s="1312"/>
      <c r="MA171" s="1312"/>
      <c r="MB171" s="1312"/>
      <c r="MC171" s="1312"/>
      <c r="MD171" s="1312"/>
      <c r="ME171" s="1312"/>
      <c r="MF171" s="1312"/>
      <c r="MG171" s="1312"/>
      <c r="MH171" s="1312"/>
      <c r="MI171" s="1312"/>
      <c r="MJ171" s="1312"/>
      <c r="MK171" s="1312"/>
      <c r="ML171" s="1312"/>
      <c r="MM171" s="1312"/>
      <c r="MN171" s="1312"/>
      <c r="MO171" s="1312"/>
      <c r="MP171" s="1312"/>
      <c r="MQ171" s="1312"/>
      <c r="MR171" s="1312"/>
      <c r="MS171" s="1312"/>
      <c r="MT171" s="1312"/>
      <c r="MU171" s="1312"/>
      <c r="MV171" s="1312"/>
      <c r="MW171" s="1312"/>
      <c r="MX171" s="1312"/>
      <c r="MY171" s="1312"/>
      <c r="MZ171" s="1312"/>
      <c r="NA171" s="1312"/>
      <c r="NB171" s="1312"/>
      <c r="NC171" s="1312"/>
      <c r="ND171" s="1312"/>
      <c r="NE171" s="1312"/>
      <c r="NF171" s="1312"/>
      <c r="NG171" s="1312"/>
      <c r="NH171" s="1312"/>
      <c r="NI171" s="1312"/>
      <c r="NJ171" s="1312"/>
      <c r="NK171" s="1312"/>
      <c r="NL171" s="1312"/>
      <c r="NM171" s="1312"/>
      <c r="NN171" s="1312"/>
      <c r="NO171" s="1312"/>
      <c r="NP171" s="1312"/>
      <c r="NQ171" s="1312"/>
      <c r="NR171" s="1312"/>
      <c r="NS171" s="1312"/>
      <c r="NT171" s="1312"/>
      <c r="NU171" s="1312"/>
      <c r="NV171" s="1312"/>
      <c r="NW171" s="1312"/>
      <c r="NX171" s="1312"/>
      <c r="NY171" s="1312"/>
      <c r="NZ171" s="1312"/>
      <c r="OA171" s="1312"/>
      <c r="OB171" s="1312"/>
      <c r="OC171" s="1312"/>
      <c r="OD171" s="1312"/>
      <c r="OE171" s="1312"/>
      <c r="OF171" s="1312"/>
      <c r="OG171" s="1312"/>
      <c r="OH171" s="1312"/>
      <c r="OI171" s="1312"/>
      <c r="OJ171" s="1312"/>
      <c r="OK171" s="1312"/>
      <c r="OL171" s="1312"/>
      <c r="OM171" s="1312"/>
      <c r="ON171" s="1312"/>
      <c r="OO171" s="1312"/>
      <c r="OP171" s="1312"/>
      <c r="OQ171" s="1312"/>
      <c r="OR171" s="1312"/>
      <c r="OS171" s="1312"/>
      <c r="OT171" s="1312"/>
      <c r="OU171" s="1312"/>
      <c r="OV171" s="1312"/>
      <c r="OW171" s="1312"/>
      <c r="OX171" s="1312"/>
      <c r="OY171" s="1312"/>
      <c r="OZ171" s="1312"/>
      <c r="PA171" s="1312"/>
      <c r="PB171" s="1312"/>
      <c r="PC171" s="1312"/>
      <c r="PD171" s="1312"/>
      <c r="PE171" s="1312"/>
      <c r="PF171" s="1312"/>
      <c r="PG171" s="1312"/>
      <c r="PH171" s="1312"/>
      <c r="PI171" s="1312"/>
      <c r="PJ171" s="1312"/>
      <c r="PK171" s="1312"/>
      <c r="PL171" s="1312"/>
      <c r="PM171" s="1312"/>
      <c r="PN171" s="1312"/>
      <c r="PO171" s="1312"/>
      <c r="PP171" s="1312"/>
      <c r="PQ171" s="1312"/>
      <c r="PR171" s="1312"/>
      <c r="PS171" s="1312"/>
      <c r="PT171" s="1312"/>
      <c r="PU171" s="1312"/>
      <c r="PV171" s="1312"/>
      <c r="PW171" s="1312"/>
      <c r="PX171" s="1312"/>
      <c r="PY171" s="1312"/>
      <c r="PZ171" s="1312"/>
      <c r="QA171" s="1312"/>
      <c r="QB171" s="1312"/>
      <c r="QC171" s="1312"/>
      <c r="QD171" s="1312"/>
      <c r="QE171" s="1312"/>
      <c r="QF171" s="1312"/>
      <c r="QG171" s="1312"/>
      <c r="QH171" s="1312"/>
      <c r="QI171" s="1312"/>
      <c r="QJ171" s="1312"/>
      <c r="QK171" s="1312"/>
      <c r="QL171" s="1312"/>
      <c r="QM171" s="1312"/>
      <c r="QN171" s="1312"/>
      <c r="QO171" s="1312"/>
      <c r="QP171" s="1312"/>
      <c r="QQ171" s="1312"/>
      <c r="QR171" s="1312"/>
      <c r="QS171" s="1312"/>
      <c r="QT171" s="1312"/>
      <c r="QU171" s="1312"/>
      <c r="QV171" s="1312"/>
      <c r="QW171" s="1312"/>
      <c r="QX171" s="1312"/>
      <c r="QY171" s="1312"/>
      <c r="QZ171" s="1312"/>
      <c r="RA171" s="1312"/>
      <c r="RB171" s="1312"/>
      <c r="RC171" s="1312"/>
      <c r="RD171" s="1312"/>
      <c r="RE171" s="1312"/>
      <c r="RF171" s="1312"/>
      <c r="RG171" s="1312"/>
      <c r="RH171" s="1312"/>
      <c r="RI171" s="1312"/>
      <c r="RJ171" s="1312"/>
      <c r="RK171" s="1312"/>
      <c r="RL171" s="1312"/>
      <c r="RM171" s="1312"/>
      <c r="RN171" s="1312"/>
      <c r="RO171" s="1312"/>
      <c r="RP171" s="1312"/>
      <c r="RQ171" s="1312"/>
      <c r="RR171" s="1312"/>
      <c r="RS171" s="1312"/>
      <c r="RT171" s="1312"/>
      <c r="RU171" s="1312"/>
      <c r="RV171" s="1312"/>
      <c r="RW171" s="1312"/>
      <c r="RX171" s="1312"/>
      <c r="RY171" s="1312"/>
      <c r="RZ171" s="1312"/>
      <c r="SA171" s="1312"/>
      <c r="SB171" s="1312"/>
      <c r="SC171" s="1312"/>
      <c r="SD171" s="1312"/>
      <c r="SE171" s="1312"/>
      <c r="SF171" s="1312"/>
      <c r="SG171" s="1312"/>
      <c r="SH171" s="1312"/>
      <c r="SI171" s="1312"/>
      <c r="SJ171" s="1312"/>
      <c r="SK171" s="1312"/>
      <c r="SL171" s="1312"/>
      <c r="SM171" s="1312"/>
      <c r="SN171" s="1312"/>
      <c r="SO171" s="1312"/>
      <c r="SP171" s="1312"/>
      <c r="SQ171" s="1312"/>
      <c r="SR171" s="1312"/>
      <c r="SS171" s="1312"/>
      <c r="ST171" s="1312"/>
      <c r="SU171" s="1312"/>
      <c r="SV171" s="1312"/>
      <c r="SW171" s="1312"/>
      <c r="SX171" s="1312"/>
      <c r="SY171" s="1312"/>
      <c r="SZ171" s="1312"/>
      <c r="TA171" s="1312"/>
      <c r="TB171" s="1312"/>
      <c r="TC171" s="1312"/>
      <c r="TD171" s="1312"/>
      <c r="TE171" s="1312"/>
      <c r="TF171" s="1312"/>
      <c r="TG171" s="1312"/>
      <c r="TH171" s="1312"/>
      <c r="TI171" s="1312"/>
      <c r="TJ171" s="1312"/>
      <c r="TK171" s="1312"/>
      <c r="TL171" s="1312"/>
      <c r="TM171" s="1312"/>
      <c r="TN171" s="1312"/>
      <c r="TO171" s="1312"/>
      <c r="TP171" s="1312"/>
      <c r="TQ171" s="1312"/>
      <c r="TR171" s="1312"/>
      <c r="TS171" s="1312"/>
      <c r="TT171" s="1312"/>
      <c r="TU171" s="1312"/>
      <c r="TV171" s="1312"/>
      <c r="TW171" s="1312"/>
      <c r="TX171" s="1312"/>
      <c r="TY171" s="1312"/>
      <c r="TZ171" s="1312"/>
      <c r="UA171" s="1312"/>
      <c r="UB171" s="1312"/>
      <c r="UC171" s="1312"/>
      <c r="UD171" s="1312"/>
      <c r="UE171" s="1312"/>
      <c r="UF171" s="1312"/>
      <c r="UG171" s="1312"/>
      <c r="UH171" s="1312"/>
      <c r="UI171" s="1312"/>
      <c r="UJ171" s="1312"/>
      <c r="UK171" s="1312"/>
      <c r="UL171" s="1312"/>
      <c r="UM171" s="1312"/>
      <c r="UN171" s="1312"/>
      <c r="UO171" s="1312"/>
      <c r="UP171" s="1312"/>
      <c r="UQ171" s="1312"/>
      <c r="UR171" s="1312"/>
      <c r="US171" s="1312"/>
      <c r="UT171" s="1312"/>
      <c r="UU171" s="1312"/>
      <c r="UV171" s="1312"/>
      <c r="UW171" s="1312"/>
      <c r="UX171" s="1312"/>
      <c r="UY171" s="1312"/>
      <c r="UZ171" s="1312"/>
      <c r="VA171" s="1312"/>
      <c r="VB171" s="1312"/>
      <c r="VC171" s="1312"/>
      <c r="VD171" s="1312"/>
      <c r="VE171" s="1312"/>
      <c r="VF171" s="1312"/>
      <c r="VG171" s="1312"/>
      <c r="VH171" s="1312"/>
      <c r="VI171" s="1312"/>
      <c r="VJ171" s="1312"/>
      <c r="VK171" s="1312"/>
      <c r="VL171" s="1312"/>
      <c r="VM171" s="1312"/>
      <c r="VN171" s="1312"/>
      <c r="VO171" s="1312"/>
      <c r="VP171" s="1312"/>
      <c r="VQ171" s="1312"/>
      <c r="VR171" s="1312"/>
      <c r="VS171" s="1312"/>
      <c r="VT171" s="1312"/>
      <c r="VU171" s="1312"/>
      <c r="VV171" s="1312"/>
      <c r="VW171" s="1312"/>
      <c r="VX171" s="1312"/>
      <c r="VY171" s="1312"/>
      <c r="VZ171" s="1312"/>
      <c r="WA171" s="1312"/>
      <c r="WB171" s="1312"/>
      <c r="WC171" s="1312"/>
      <c r="WD171" s="1312"/>
      <c r="WE171" s="1312"/>
      <c r="WF171" s="1312"/>
      <c r="WG171" s="1312"/>
      <c r="WH171" s="1312"/>
      <c r="WI171" s="1312"/>
      <c r="WJ171" s="1312"/>
      <c r="WK171" s="1312"/>
      <c r="WL171" s="1312"/>
      <c r="WM171" s="1312"/>
      <c r="WN171" s="1312"/>
      <c r="WO171" s="1312"/>
      <c r="WP171" s="1312"/>
      <c r="WQ171" s="1312"/>
      <c r="WR171" s="1312"/>
      <c r="WS171" s="1312"/>
      <c r="WT171" s="1312"/>
      <c r="WU171" s="1312"/>
      <c r="WV171" s="1312"/>
      <c r="WW171" s="1312"/>
      <c r="WX171" s="1312"/>
      <c r="WY171" s="1312"/>
      <c r="WZ171" s="1312"/>
      <c r="XA171" s="1312"/>
      <c r="XB171" s="1312"/>
      <c r="XC171" s="1312"/>
      <c r="XD171" s="1312"/>
      <c r="XE171" s="1312"/>
      <c r="XF171" s="1312"/>
      <c r="XG171" s="1312"/>
      <c r="XH171" s="1312"/>
      <c r="XI171" s="1312"/>
      <c r="XJ171" s="1312"/>
      <c r="XK171" s="1312"/>
      <c r="XL171" s="1312"/>
      <c r="XM171" s="1312"/>
      <c r="XN171" s="1312"/>
      <c r="XO171" s="1312"/>
      <c r="XP171" s="1312"/>
      <c r="XQ171" s="1312"/>
      <c r="XR171" s="1312"/>
      <c r="XS171" s="1312"/>
      <c r="XT171" s="1312"/>
      <c r="XU171" s="1312"/>
      <c r="XV171" s="1312"/>
      <c r="XW171" s="1312"/>
      <c r="XX171" s="1312"/>
      <c r="XY171" s="1312"/>
      <c r="XZ171" s="1312"/>
      <c r="YA171" s="1312"/>
      <c r="YB171" s="1312"/>
      <c r="YC171" s="1312"/>
      <c r="YD171" s="1312"/>
      <c r="YE171" s="1312"/>
      <c r="YF171" s="1312"/>
      <c r="YG171" s="1312"/>
      <c r="YH171" s="1312"/>
      <c r="YI171" s="1312"/>
      <c r="YJ171" s="1312"/>
      <c r="YK171" s="1312"/>
      <c r="YL171" s="1312"/>
      <c r="YM171" s="1312"/>
      <c r="YN171" s="1312"/>
      <c r="YO171" s="1312"/>
      <c r="YP171" s="1312"/>
      <c r="YQ171" s="1312"/>
      <c r="YR171" s="1312"/>
      <c r="YS171" s="1312"/>
      <c r="YT171" s="1312"/>
      <c r="YU171" s="1312"/>
      <c r="YV171" s="1312"/>
      <c r="YW171" s="1312"/>
      <c r="YX171" s="1312"/>
      <c r="YY171" s="1312"/>
      <c r="YZ171" s="1312"/>
      <c r="ZA171" s="1312"/>
      <c r="ZB171" s="1312"/>
      <c r="ZC171" s="1312"/>
      <c r="ZD171" s="1312"/>
      <c r="ZE171" s="1312"/>
      <c r="ZF171" s="1312"/>
      <c r="ZG171" s="1312"/>
      <c r="ZH171" s="1312"/>
      <c r="ZI171" s="1312"/>
      <c r="ZJ171" s="1312"/>
      <c r="ZK171" s="1312"/>
      <c r="ZL171" s="1312"/>
      <c r="ZM171" s="1312"/>
      <c r="ZN171" s="1312"/>
      <c r="ZO171" s="1312"/>
      <c r="ZP171" s="1312"/>
      <c r="ZQ171" s="1312"/>
      <c r="ZR171" s="1312"/>
      <c r="ZS171" s="1312"/>
      <c r="ZT171" s="1312"/>
      <c r="ZU171" s="1312"/>
      <c r="ZV171" s="1312"/>
      <c r="ZW171" s="1312"/>
      <c r="ZX171" s="1312"/>
      <c r="ZY171" s="1312"/>
      <c r="ZZ171" s="1312"/>
      <c r="AAA171" s="1312"/>
      <c r="AAB171" s="1312"/>
      <c r="AAC171" s="1312"/>
      <c r="AAD171" s="1312"/>
      <c r="AAE171" s="1312"/>
      <c r="AAF171" s="1312"/>
      <c r="AAG171" s="1312"/>
      <c r="AAH171" s="1312"/>
      <c r="AAI171" s="1312"/>
      <c r="AAJ171" s="1312"/>
      <c r="AAK171" s="1312"/>
      <c r="AAL171" s="1312"/>
      <c r="AAM171" s="1312"/>
      <c r="AAN171" s="1312"/>
      <c r="AAO171" s="1312"/>
      <c r="AAP171" s="1312"/>
      <c r="AAQ171" s="1312"/>
      <c r="AAR171" s="1312"/>
      <c r="AAS171" s="1312"/>
      <c r="AAT171" s="1312"/>
      <c r="AAU171" s="1312"/>
      <c r="AAV171" s="1312"/>
      <c r="AAW171" s="1312"/>
      <c r="AAX171" s="1312"/>
      <c r="AAY171" s="1312"/>
      <c r="AAZ171" s="1312"/>
      <c r="ABA171" s="1312"/>
      <c r="ABB171" s="1312"/>
      <c r="ABC171" s="1312"/>
      <c r="ABD171" s="1312"/>
      <c r="ABE171" s="1312"/>
      <c r="ABF171" s="1312"/>
      <c r="ABG171" s="1312"/>
      <c r="ABH171" s="1312"/>
      <c r="ABI171" s="1312"/>
      <c r="ABJ171" s="1312"/>
      <c r="ABK171" s="1312"/>
      <c r="ABL171" s="1312"/>
      <c r="ABM171" s="1312"/>
      <c r="ABN171" s="1312"/>
      <c r="ABO171" s="1312"/>
      <c r="ABP171" s="1312"/>
      <c r="ABQ171" s="1312"/>
      <c r="ABR171" s="1312"/>
      <c r="ABS171" s="1312"/>
      <c r="ABT171" s="1312"/>
      <c r="ABU171" s="1312"/>
      <c r="ABV171" s="1312"/>
      <c r="ABW171" s="1312"/>
      <c r="ABX171" s="1312"/>
      <c r="ABY171" s="1312"/>
      <c r="ABZ171" s="1312"/>
      <c r="ACA171" s="1312"/>
      <c r="ACB171" s="1312"/>
      <c r="ACC171" s="1312"/>
      <c r="ACD171" s="1312"/>
      <c r="ACE171" s="1312"/>
      <c r="ACF171" s="1312"/>
      <c r="ACG171" s="1312"/>
      <c r="ACH171" s="1312"/>
      <c r="ACI171" s="1312"/>
      <c r="ACJ171" s="1312"/>
      <c r="ACK171" s="1312"/>
      <c r="ACL171" s="1312"/>
      <c r="ACM171" s="1312"/>
      <c r="ACN171" s="1312"/>
      <c r="ACO171" s="1312"/>
      <c r="ACP171" s="1312"/>
      <c r="ACQ171" s="1312"/>
      <c r="ACR171" s="1312"/>
      <c r="ACS171" s="1312"/>
      <c r="ACT171" s="1312"/>
      <c r="ACU171" s="1312"/>
      <c r="ACV171" s="1312"/>
      <c r="ACW171" s="1312"/>
      <c r="ACX171" s="1312"/>
      <c r="ACY171" s="1312"/>
      <c r="ACZ171" s="1312"/>
      <c r="ADA171" s="1312"/>
      <c r="ADB171" s="1312"/>
      <c r="ADC171" s="1312"/>
      <c r="ADD171" s="1312"/>
      <c r="ADE171" s="1312"/>
      <c r="ADF171" s="1312"/>
      <c r="ADG171" s="1312"/>
      <c r="ADH171" s="1312"/>
      <c r="ADI171" s="1312"/>
      <c r="ADJ171" s="1312"/>
      <c r="ADK171" s="1312"/>
      <c r="ADL171" s="1312"/>
      <c r="ADM171" s="1312"/>
      <c r="ADN171" s="1312"/>
      <c r="ADO171" s="1312"/>
      <c r="ADP171" s="1312"/>
      <c r="ADQ171" s="1312"/>
      <c r="ADR171" s="1312"/>
      <c r="ADS171" s="1312"/>
      <c r="ADT171" s="1312"/>
      <c r="ADU171" s="1312"/>
      <c r="ADV171" s="1312"/>
      <c r="ADW171" s="1312"/>
      <c r="ADX171" s="1312"/>
      <c r="ADY171" s="1312"/>
      <c r="ADZ171" s="1312"/>
      <c r="AEA171" s="1312"/>
      <c r="AEB171" s="1312"/>
      <c r="AEC171" s="1312"/>
      <c r="AED171" s="1312"/>
      <c r="AEE171" s="1312"/>
      <c r="AEF171" s="1312"/>
      <c r="AEG171" s="1312"/>
      <c r="AEH171" s="1312"/>
      <c r="AEI171" s="1312"/>
      <c r="AEJ171" s="1312"/>
      <c r="AEK171" s="1312"/>
      <c r="AEL171" s="1312"/>
      <c r="AEM171" s="1312"/>
      <c r="AEN171" s="1312"/>
      <c r="AEO171" s="1312"/>
      <c r="AEP171" s="1312"/>
      <c r="AEQ171" s="1312"/>
      <c r="AER171" s="1312"/>
      <c r="AES171" s="1312"/>
      <c r="AET171" s="1312"/>
      <c r="AEU171" s="1312"/>
      <c r="AEV171" s="1312"/>
      <c r="AEW171" s="1312"/>
      <c r="AEX171" s="1312"/>
      <c r="AEY171" s="1312"/>
      <c r="AEZ171" s="1312"/>
      <c r="AFA171" s="1312"/>
      <c r="AFB171" s="1312"/>
      <c r="AFC171" s="1312"/>
      <c r="AFD171" s="1312"/>
      <c r="AFE171" s="1312"/>
      <c r="AFF171" s="1312"/>
      <c r="AFG171" s="1312"/>
      <c r="AFH171" s="1312"/>
      <c r="AFI171" s="1312"/>
      <c r="AFJ171" s="1312"/>
      <c r="AFK171" s="1312"/>
      <c r="AFL171" s="1312"/>
      <c r="AFM171" s="1312"/>
      <c r="AFN171" s="1312"/>
      <c r="AFO171" s="1312"/>
      <c r="AFP171" s="1312"/>
      <c r="AFQ171" s="1312"/>
      <c r="AFR171" s="1312"/>
      <c r="AFS171" s="1312"/>
      <c r="AFT171" s="1312"/>
      <c r="AFU171" s="1312"/>
      <c r="AFV171" s="1312"/>
      <c r="AFW171" s="1312"/>
      <c r="AFX171" s="1312"/>
      <c r="AFY171" s="1312"/>
      <c r="AFZ171" s="1312"/>
      <c r="AGA171" s="1312"/>
      <c r="AGB171" s="1312"/>
      <c r="AGC171" s="1312"/>
      <c r="AGD171" s="1312"/>
      <c r="AGE171" s="1312"/>
      <c r="AGF171" s="1312"/>
      <c r="AGG171" s="1312"/>
      <c r="AGH171" s="1312"/>
      <c r="AGI171" s="1312"/>
      <c r="AGJ171" s="1312"/>
      <c r="AGK171" s="1312"/>
      <c r="AGL171" s="1312"/>
      <c r="AGM171" s="1312"/>
      <c r="AGN171" s="1312"/>
      <c r="AGO171" s="1312"/>
      <c r="AGP171" s="1312"/>
      <c r="AGQ171" s="1312"/>
      <c r="AGR171" s="1312"/>
      <c r="AGS171" s="1312"/>
      <c r="AGT171" s="1312"/>
      <c r="AGU171" s="1312"/>
      <c r="AGV171" s="1312"/>
      <c r="AGW171" s="1312"/>
      <c r="AGX171" s="1312"/>
      <c r="AGY171" s="1312"/>
      <c r="AGZ171" s="1312"/>
      <c r="AHA171" s="1312"/>
      <c r="AHB171" s="1312"/>
      <c r="AHC171" s="1312"/>
      <c r="AHD171" s="1312"/>
      <c r="AHE171" s="1312"/>
      <c r="AHF171" s="1312"/>
      <c r="AHG171" s="1312"/>
      <c r="AHH171" s="1312"/>
      <c r="AHI171" s="1312"/>
      <c r="AHJ171" s="1312"/>
      <c r="AHK171" s="1312"/>
      <c r="AHL171" s="1312"/>
      <c r="AHM171" s="1312"/>
      <c r="AHN171" s="1312"/>
      <c r="AHO171" s="1312"/>
      <c r="AHP171" s="1312"/>
      <c r="AHQ171" s="1312"/>
      <c r="AHR171" s="1312"/>
      <c r="AHS171" s="1312"/>
      <c r="AHT171" s="1312"/>
      <c r="AHU171" s="1312"/>
      <c r="AHV171" s="1312"/>
      <c r="AHW171" s="1312"/>
      <c r="AHX171" s="1312"/>
      <c r="AHY171" s="1312"/>
      <c r="AHZ171" s="1312"/>
      <c r="AIA171" s="1312"/>
      <c r="AIB171" s="1312"/>
      <c r="AIC171" s="1312"/>
      <c r="AID171" s="1312"/>
      <c r="AIE171" s="1312"/>
      <c r="AIF171" s="1312"/>
      <c r="AIG171" s="1312"/>
      <c r="AIH171" s="1312"/>
      <c r="AII171" s="1312"/>
      <c r="AIJ171" s="1312"/>
      <c r="AIK171" s="1312"/>
      <c r="AIL171" s="1312"/>
      <c r="AIM171" s="1312"/>
      <c r="AIN171" s="1312"/>
      <c r="AIO171" s="1312"/>
      <c r="AIP171" s="1312"/>
      <c r="AIQ171" s="1312"/>
      <c r="AIR171" s="1312"/>
      <c r="AIS171" s="1312"/>
      <c r="AIT171" s="1312"/>
      <c r="AIU171" s="1312"/>
      <c r="AIV171" s="1312"/>
      <c r="AIW171" s="1312"/>
      <c r="AIX171" s="1312"/>
      <c r="AIY171" s="1312"/>
      <c r="AIZ171" s="1312"/>
      <c r="AJA171" s="1312"/>
      <c r="AJB171" s="1312"/>
      <c r="AJC171" s="1312"/>
      <c r="AJD171" s="1312"/>
      <c r="AJE171" s="1312"/>
      <c r="AJF171" s="1312"/>
      <c r="AJG171" s="1312"/>
      <c r="AJH171" s="1312"/>
      <c r="AJI171" s="1312"/>
      <c r="AJJ171" s="1312"/>
      <c r="AJK171" s="1312"/>
      <c r="AJL171" s="1312"/>
      <c r="AJM171" s="1312"/>
      <c r="AJN171" s="1312"/>
      <c r="AJO171" s="1312"/>
      <c r="AJP171" s="1312"/>
      <c r="AJQ171" s="1312"/>
      <c r="AJR171" s="1312"/>
      <c r="AJS171" s="1312"/>
      <c r="AJT171" s="1312"/>
      <c r="AJU171" s="1312"/>
      <c r="AJV171" s="1312"/>
      <c r="AJW171" s="1312"/>
      <c r="AJX171" s="1312"/>
      <c r="AJY171" s="1312"/>
      <c r="AJZ171" s="1312"/>
      <c r="AKA171" s="1312"/>
      <c r="AKB171" s="1312"/>
      <c r="AKC171" s="1312"/>
      <c r="AKD171" s="1312"/>
      <c r="AKE171" s="1312"/>
      <c r="AKF171" s="1312"/>
      <c r="AKG171" s="1312"/>
      <c r="AKH171" s="1312"/>
      <c r="AKI171" s="1312"/>
      <c r="AKJ171" s="1312"/>
      <c r="AKK171" s="1312"/>
      <c r="AKL171" s="1312"/>
      <c r="AKM171" s="1312"/>
      <c r="AKN171" s="1312"/>
      <c r="AKO171" s="1312"/>
      <c r="AKP171" s="1312"/>
      <c r="AKQ171" s="1312"/>
      <c r="AKR171" s="1312"/>
      <c r="AKS171" s="1312"/>
      <c r="AKT171" s="1312"/>
      <c r="AKU171" s="1312"/>
      <c r="AKV171" s="1312"/>
      <c r="AKW171" s="1312"/>
      <c r="AKX171" s="1312"/>
      <c r="AKY171" s="1312"/>
      <c r="AKZ171" s="1312"/>
      <c r="ALA171" s="1312"/>
      <c r="ALB171" s="1312"/>
      <c r="ALC171" s="1312"/>
      <c r="ALD171" s="1312"/>
      <c r="ALE171" s="1312"/>
      <c r="ALF171" s="1312"/>
      <c r="ALG171" s="1312"/>
      <c r="ALH171" s="1312"/>
      <c r="ALI171" s="1312"/>
      <c r="ALJ171" s="1312"/>
      <c r="ALK171" s="1312"/>
      <c r="ALL171" s="1312"/>
      <c r="ALM171" s="1312"/>
      <c r="ALN171" s="1312"/>
      <c r="ALO171" s="1312"/>
      <c r="ALP171" s="1312"/>
      <c r="ALQ171" s="1312"/>
      <c r="ALR171" s="1312"/>
      <c r="ALS171" s="1312"/>
      <c r="ALT171" s="1312"/>
      <c r="ALU171" s="1312"/>
      <c r="ALV171" s="1312"/>
      <c r="ALW171" s="1312"/>
      <c r="ALX171" s="1312"/>
      <c r="ALY171" s="1312"/>
      <c r="ALZ171" s="1312"/>
      <c r="AMA171" s="1312"/>
      <c r="AMB171" s="1312"/>
      <c r="AMC171" s="1312"/>
      <c r="AMD171" s="1312"/>
      <c r="AME171" s="1312"/>
      <c r="AMF171" s="1312"/>
      <c r="AMG171" s="1312"/>
      <c r="AMH171" s="1312"/>
      <c r="AMI171" s="1312"/>
      <c r="AMJ171" s="1312"/>
      <c r="AMK171" s="1312"/>
      <c r="AML171" s="1312"/>
      <c r="AMM171" s="1312"/>
      <c r="AMN171" s="1312"/>
      <c r="AMO171" s="1312"/>
      <c r="AMP171" s="1312"/>
      <c r="AMQ171" s="1312"/>
      <c r="AMR171" s="1312"/>
      <c r="AMS171" s="1312"/>
      <c r="AMT171" s="1312"/>
      <c r="AMU171" s="1312"/>
      <c r="AMV171" s="1312"/>
      <c r="AMW171" s="1312"/>
      <c r="AMX171" s="1312"/>
      <c r="AMY171" s="1312"/>
      <c r="AMZ171" s="1312"/>
      <c r="ANA171" s="1312"/>
      <c r="ANB171" s="1312"/>
      <c r="ANC171" s="1312"/>
      <c r="AND171" s="1312"/>
      <c r="ANE171" s="1312"/>
      <c r="ANF171" s="1312"/>
      <c r="ANG171" s="1312"/>
      <c r="ANH171" s="1312"/>
      <c r="ANI171" s="1312"/>
      <c r="ANJ171" s="1312"/>
      <c r="ANK171" s="1312"/>
      <c r="ANL171" s="1312"/>
      <c r="ANM171" s="1312"/>
      <c r="ANN171" s="1312"/>
      <c r="ANO171" s="1312"/>
      <c r="ANP171" s="1312"/>
      <c r="ANQ171" s="1312"/>
      <c r="ANR171" s="1312"/>
      <c r="ANS171" s="1312"/>
      <c r="ANT171" s="1312"/>
      <c r="ANU171" s="1312"/>
      <c r="ANV171" s="1312"/>
      <c r="ANW171" s="1312"/>
      <c r="ANX171" s="1312"/>
      <c r="ANY171" s="1312"/>
      <c r="ANZ171" s="1312"/>
      <c r="AOA171" s="1312"/>
      <c r="AOB171" s="1312"/>
      <c r="AOC171" s="1312"/>
      <c r="AOD171" s="1312"/>
      <c r="AOE171" s="1312"/>
      <c r="AOF171" s="1312"/>
      <c r="AOG171" s="1312"/>
      <c r="AOH171" s="1312"/>
      <c r="AOI171" s="1312"/>
      <c r="AOJ171" s="1312"/>
      <c r="AOK171" s="1312"/>
      <c r="AOL171" s="1312"/>
      <c r="AOM171" s="1312"/>
      <c r="AON171" s="1312"/>
      <c r="AOO171" s="1312"/>
      <c r="AOP171" s="1312"/>
      <c r="AOQ171" s="1312"/>
      <c r="AOR171" s="1312"/>
      <c r="AOS171" s="1312"/>
      <c r="AOT171" s="1312"/>
      <c r="AOU171" s="1312"/>
      <c r="AOV171" s="1312"/>
      <c r="AOW171" s="1312"/>
      <c r="AOX171" s="1312"/>
      <c r="AOY171" s="1312"/>
      <c r="AOZ171" s="1312"/>
      <c r="APA171" s="1312"/>
      <c r="APB171" s="1312"/>
      <c r="APC171" s="1312"/>
      <c r="APD171" s="1312"/>
      <c r="APE171" s="1312"/>
      <c r="APF171" s="1312"/>
      <c r="APG171" s="1312"/>
      <c r="APH171" s="1312"/>
      <c r="API171" s="1312"/>
      <c r="APJ171" s="1312"/>
      <c r="APK171" s="1312"/>
      <c r="APL171" s="1312"/>
      <c r="APM171" s="1312"/>
      <c r="APN171" s="1312"/>
      <c r="APO171" s="1312"/>
      <c r="APP171" s="1312"/>
      <c r="APQ171" s="1312"/>
      <c r="APR171" s="1312"/>
      <c r="APS171" s="1312"/>
      <c r="APT171" s="1312"/>
      <c r="APU171" s="1312"/>
      <c r="APV171" s="1312"/>
      <c r="APW171" s="1312"/>
      <c r="APX171" s="1312"/>
      <c r="APY171" s="1312"/>
      <c r="APZ171" s="1312"/>
      <c r="AQA171" s="1312"/>
      <c r="AQB171" s="1312"/>
      <c r="AQC171" s="1312"/>
      <c r="AQD171" s="1312"/>
      <c r="AQE171" s="1312"/>
      <c r="AQF171" s="1312"/>
      <c r="AQG171" s="1312"/>
      <c r="AQH171" s="1312"/>
      <c r="AQI171" s="1312"/>
      <c r="AQJ171" s="1312"/>
      <c r="AQK171" s="1312"/>
      <c r="AQL171" s="1312"/>
      <c r="AQM171" s="1312"/>
      <c r="AQN171" s="1312"/>
      <c r="AQO171" s="1312"/>
      <c r="AQP171" s="1312"/>
      <c r="AQQ171" s="1312"/>
      <c r="AQR171" s="1312"/>
      <c r="AQS171" s="1312"/>
      <c r="AQT171" s="1312"/>
      <c r="AQU171" s="1312"/>
      <c r="AQV171" s="1312"/>
      <c r="AQW171" s="1312"/>
      <c r="AQX171" s="1312"/>
      <c r="AQY171" s="1312"/>
      <c r="AQZ171" s="1312"/>
      <c r="ARA171" s="1312"/>
      <c r="ARB171" s="1312"/>
      <c r="ARC171" s="1312"/>
      <c r="ARD171" s="1312"/>
      <c r="ARE171" s="1312"/>
      <c r="ARF171" s="1312"/>
      <c r="ARG171" s="1312"/>
      <c r="ARH171" s="1312"/>
      <c r="ARI171" s="1312"/>
      <c r="ARJ171" s="1312"/>
      <c r="ARK171" s="1312"/>
      <c r="ARL171" s="1312"/>
      <c r="ARM171" s="1312"/>
      <c r="ARN171" s="1312"/>
      <c r="ARO171" s="1312"/>
      <c r="ARP171" s="1312"/>
      <c r="ARQ171" s="1312"/>
      <c r="ARR171" s="1312"/>
      <c r="ARS171" s="1312"/>
      <c r="ART171" s="1312"/>
      <c r="ARU171" s="1312"/>
      <c r="ARV171" s="1312"/>
      <c r="ARW171" s="1312"/>
      <c r="ARX171" s="1312"/>
      <c r="ARY171" s="1312"/>
      <c r="ARZ171" s="1312"/>
      <c r="ASA171" s="1312"/>
      <c r="ASB171" s="1312"/>
      <c r="ASC171" s="1312"/>
      <c r="ASD171" s="1312"/>
      <c r="ASE171" s="1312"/>
      <c r="ASF171" s="1312"/>
      <c r="ASG171" s="1312"/>
      <c r="ASH171" s="1312"/>
      <c r="ASI171" s="1312"/>
      <c r="ASJ171" s="1312"/>
      <c r="ASK171" s="1312"/>
      <c r="ASL171" s="1312"/>
      <c r="ASM171" s="1312"/>
      <c r="ASN171" s="1312"/>
      <c r="ASO171" s="1312"/>
      <c r="ASP171" s="1312"/>
      <c r="ASQ171" s="1312"/>
      <c r="ASR171" s="1312"/>
      <c r="ASS171" s="1312"/>
      <c r="AST171" s="1312"/>
      <c r="ASU171" s="1312"/>
      <c r="ASV171" s="1312"/>
      <c r="ASW171" s="1312"/>
      <c r="ASX171" s="1312"/>
      <c r="ASY171" s="1312"/>
      <c r="ASZ171" s="1312"/>
      <c r="ATA171" s="1312"/>
      <c r="ATB171" s="1312"/>
      <c r="ATC171" s="1312"/>
      <c r="ATD171" s="1312"/>
      <c r="ATE171" s="1312"/>
    </row>
    <row r="172" spans="1:1201" s="1376" customFormat="1" ht="15.75" customHeight="1" x14ac:dyDescent="0.3">
      <c r="A172" s="1324"/>
      <c r="B172" s="1324"/>
      <c r="C172" s="1325" t="s">
        <v>1306</v>
      </c>
      <c r="D172" s="1364"/>
      <c r="E172" s="1364"/>
      <c r="F172" s="1374"/>
      <c r="G172" s="1375"/>
      <c r="H172" s="1327"/>
      <c r="I172" s="1327"/>
      <c r="J172" s="1327"/>
      <c r="K172" s="1327"/>
      <c r="L172" s="1327"/>
      <c r="M172" s="1327"/>
      <c r="N172" s="1327"/>
      <c r="O172" s="1327"/>
      <c r="P172" s="1327"/>
      <c r="Q172" s="1327"/>
      <c r="R172" s="1327"/>
      <c r="S172" s="1328"/>
      <c r="T172" s="1329"/>
      <c r="U172" s="1329"/>
      <c r="V172" s="1329"/>
      <c r="W172" s="1329"/>
      <c r="X172" s="1329"/>
      <c r="Y172" s="1329"/>
      <c r="Z172" s="1329"/>
      <c r="AA172" s="1329"/>
      <c r="AB172" s="1329"/>
      <c r="AC172" s="1329"/>
      <c r="AD172" s="1329"/>
      <c r="AE172" s="1329"/>
      <c r="AF172" s="1329"/>
      <c r="AG172" s="1329"/>
      <c r="AH172" s="1329"/>
      <c r="AI172" s="1329"/>
      <c r="AJ172" s="1329"/>
      <c r="AK172" s="1329">
        <f>SUM('HEC Financials'!AZ124:AZ131)</f>
        <v>-75208.009999999995</v>
      </c>
      <c r="AL172" s="1329">
        <f>SUM('HEC Financials'!BA124:BA131)</f>
        <v>-196188.79</v>
      </c>
      <c r="AM172" s="1329">
        <f>SUM('HEC Financials'!BB124:BB131)</f>
        <v>-218864.11000000002</v>
      </c>
      <c r="AN172" s="1329">
        <f>SUM('HEC Financials'!BC124:BC131)</f>
        <v>-122383.14000000001</v>
      </c>
      <c r="AO172" s="1329">
        <f>SUM('HEC Financials'!BD124:BD131)</f>
        <v>-288910.77</v>
      </c>
      <c r="AP172" s="1327">
        <f t="shared" ref="AP172:BC172" si="305">AVERAGE(AM172:AO172)</f>
        <v>-210052.67333333334</v>
      </c>
      <c r="AQ172" s="1327">
        <f t="shared" si="305"/>
        <v>-207115.52777777778</v>
      </c>
      <c r="AR172" s="1328">
        <f t="shared" si="305"/>
        <v>-235359.65703703705</v>
      </c>
      <c r="AS172" s="1327">
        <f t="shared" si="305"/>
        <v>-217509.28604938273</v>
      </c>
      <c r="AT172" s="1327">
        <f t="shared" si="305"/>
        <v>-219994.82362139921</v>
      </c>
      <c r="AU172" s="1327">
        <f t="shared" si="305"/>
        <v>-224287.92223593965</v>
      </c>
      <c r="AV172" s="1327">
        <f t="shared" si="305"/>
        <v>-220597.34396890723</v>
      </c>
      <c r="AW172" s="1327">
        <f t="shared" si="305"/>
        <v>-221626.69660874872</v>
      </c>
      <c r="AX172" s="1327">
        <f t="shared" si="305"/>
        <v>-222170.65427119855</v>
      </c>
      <c r="AY172" s="1327">
        <f t="shared" si="305"/>
        <v>-221464.89828295153</v>
      </c>
      <c r="AZ172" s="1327">
        <f t="shared" si="305"/>
        <v>-221754.08305429961</v>
      </c>
      <c r="BA172" s="1327">
        <f t="shared" si="305"/>
        <v>-221796.54520281657</v>
      </c>
      <c r="BB172" s="1327">
        <f t="shared" si="305"/>
        <v>-221671.84218002259</v>
      </c>
      <c r="BC172" s="1327">
        <f t="shared" si="305"/>
        <v>-221740.82347904626</v>
      </c>
      <c r="BE172" s="1372">
        <v>1469833.16</v>
      </c>
      <c r="BF172" s="1328">
        <f t="shared" si="293"/>
        <v>-207115.52777777778</v>
      </c>
      <c r="BG172" s="1372">
        <f t="shared" si="295"/>
        <v>-221740.82347904626</v>
      </c>
      <c r="BH172" s="1312"/>
      <c r="BI172" s="1312"/>
      <c r="BJ172" s="1312"/>
      <c r="BK172" s="1312"/>
      <c r="BL172" s="1312"/>
      <c r="BM172" s="1312"/>
      <c r="BN172" s="1312"/>
      <c r="BO172" s="1312"/>
      <c r="BP172" s="1312"/>
      <c r="BQ172" s="1312"/>
      <c r="BR172" s="1312"/>
      <c r="BS172" s="1312"/>
      <c r="BT172" s="1312"/>
      <c r="BU172" s="1312"/>
      <c r="BV172" s="1312"/>
      <c r="BW172" s="1312"/>
      <c r="BX172" s="1312"/>
      <c r="BY172" s="1312"/>
      <c r="BZ172" s="1312"/>
      <c r="CA172" s="1312"/>
      <c r="CB172" s="1312"/>
      <c r="CC172" s="1312"/>
      <c r="CD172" s="1312"/>
      <c r="CE172" s="1312"/>
      <c r="CF172" s="1312"/>
      <c r="CG172" s="1312"/>
      <c r="CH172" s="1312"/>
      <c r="CI172" s="1312"/>
      <c r="CJ172" s="1312"/>
      <c r="CK172" s="1312"/>
      <c r="CL172" s="1312"/>
      <c r="CM172" s="1312"/>
      <c r="CN172" s="1312"/>
      <c r="CO172" s="1312"/>
      <c r="CP172" s="1312"/>
      <c r="CQ172" s="1312"/>
      <c r="CR172" s="1312"/>
      <c r="CS172" s="1312"/>
      <c r="CT172" s="1312"/>
      <c r="CU172" s="1312"/>
      <c r="CV172" s="1312"/>
      <c r="CW172" s="1312"/>
      <c r="CX172" s="1312"/>
      <c r="CY172" s="1312"/>
      <c r="CZ172" s="1312"/>
      <c r="DA172" s="1312"/>
      <c r="DB172" s="1312"/>
      <c r="DC172" s="1312"/>
      <c r="DD172" s="1312"/>
      <c r="DE172" s="1312"/>
      <c r="DF172" s="1312"/>
      <c r="DG172" s="1312"/>
      <c r="DH172" s="1312"/>
      <c r="DI172" s="1312"/>
      <c r="DJ172" s="1312"/>
      <c r="DK172" s="1312"/>
      <c r="DL172" s="1312"/>
      <c r="DM172" s="1312"/>
      <c r="DN172" s="1312"/>
      <c r="DO172" s="1312"/>
      <c r="DP172" s="1312"/>
      <c r="DQ172" s="1312"/>
      <c r="DR172" s="1312"/>
      <c r="DS172" s="1312"/>
      <c r="DT172" s="1312"/>
      <c r="DU172" s="1312"/>
      <c r="DV172" s="1312"/>
      <c r="DW172" s="1312"/>
      <c r="DX172" s="1312"/>
      <c r="DY172" s="1312"/>
      <c r="DZ172" s="1312"/>
      <c r="EA172" s="1312"/>
      <c r="EB172" s="1312"/>
      <c r="EC172" s="1312"/>
      <c r="ED172" s="1312"/>
      <c r="EE172" s="1312"/>
      <c r="EF172" s="1312"/>
      <c r="EG172" s="1312"/>
      <c r="EH172" s="1312"/>
      <c r="EI172" s="1312"/>
      <c r="EJ172" s="1312"/>
      <c r="EK172" s="1312"/>
      <c r="EL172" s="1312"/>
      <c r="EM172" s="1312"/>
      <c r="EN172" s="1312"/>
      <c r="EO172" s="1312"/>
      <c r="EP172" s="1312"/>
      <c r="EQ172" s="1312"/>
      <c r="ER172" s="1312"/>
      <c r="ES172" s="1312"/>
      <c r="ET172" s="1312"/>
      <c r="EU172" s="1312"/>
      <c r="EV172" s="1312"/>
      <c r="EW172" s="1312"/>
      <c r="EX172" s="1312"/>
      <c r="EY172" s="1312"/>
      <c r="EZ172" s="1312"/>
      <c r="FA172" s="1312"/>
      <c r="FB172" s="1312"/>
      <c r="FC172" s="1312"/>
      <c r="FD172" s="1312"/>
      <c r="FE172" s="1312"/>
      <c r="FF172" s="1312"/>
      <c r="FG172" s="1312"/>
      <c r="FH172" s="1312"/>
      <c r="FI172" s="1312"/>
      <c r="FJ172" s="1312"/>
      <c r="FK172" s="1312"/>
      <c r="FL172" s="1312"/>
      <c r="FM172" s="1312"/>
      <c r="FN172" s="1312"/>
      <c r="FO172" s="1312"/>
      <c r="FP172" s="1312"/>
      <c r="FQ172" s="1312"/>
      <c r="FR172" s="1312"/>
      <c r="FS172" s="1312"/>
      <c r="FT172" s="1312"/>
      <c r="FU172" s="1312"/>
      <c r="FV172" s="1312"/>
      <c r="FW172" s="1312"/>
      <c r="FX172" s="1312"/>
      <c r="FY172" s="1312"/>
      <c r="FZ172" s="1312"/>
      <c r="GA172" s="1312"/>
      <c r="GB172" s="1312"/>
      <c r="GC172" s="1312"/>
      <c r="GD172" s="1312"/>
      <c r="GE172" s="1312"/>
      <c r="GF172" s="1312"/>
      <c r="GG172" s="1312"/>
      <c r="GH172" s="1312"/>
      <c r="GI172" s="1312"/>
      <c r="GJ172" s="1312"/>
      <c r="GK172" s="1312"/>
      <c r="GL172" s="1312"/>
      <c r="GM172" s="1312"/>
      <c r="GN172" s="1312"/>
      <c r="GO172" s="1312"/>
      <c r="GP172" s="1312"/>
      <c r="GQ172" s="1312"/>
      <c r="GR172" s="1312"/>
      <c r="GS172" s="1312"/>
      <c r="GT172" s="1312"/>
      <c r="GU172" s="1312"/>
      <c r="GV172" s="1312"/>
      <c r="GW172" s="1312"/>
      <c r="GX172" s="1312"/>
      <c r="GY172" s="1312"/>
      <c r="GZ172" s="1312"/>
      <c r="HA172" s="1312"/>
      <c r="HB172" s="1312"/>
      <c r="HC172" s="1312"/>
      <c r="HD172" s="1312"/>
      <c r="HE172" s="1312"/>
      <c r="HF172" s="1312"/>
      <c r="HG172" s="1312"/>
      <c r="HH172" s="1312"/>
      <c r="HI172" s="1312"/>
      <c r="HJ172" s="1312"/>
      <c r="HK172" s="1312"/>
      <c r="HL172" s="1312"/>
      <c r="HM172" s="1312"/>
      <c r="HN172" s="1312"/>
      <c r="HO172" s="1312"/>
      <c r="HP172" s="1312"/>
      <c r="HQ172" s="1312"/>
      <c r="HR172" s="1312"/>
      <c r="HS172" s="1312"/>
      <c r="HT172" s="1312"/>
      <c r="HU172" s="1312"/>
      <c r="HV172" s="1312"/>
      <c r="HW172" s="1312"/>
      <c r="HX172" s="1312"/>
      <c r="HY172" s="1312"/>
      <c r="HZ172" s="1312"/>
      <c r="IA172" s="1312"/>
      <c r="IB172" s="1312"/>
      <c r="IC172" s="1312"/>
      <c r="ID172" s="1312"/>
      <c r="IE172" s="1312"/>
      <c r="IF172" s="1312"/>
      <c r="IG172" s="1312"/>
      <c r="IH172" s="1312"/>
      <c r="II172" s="1312"/>
      <c r="IJ172" s="1312"/>
      <c r="IK172" s="1312"/>
      <c r="IL172" s="1312"/>
      <c r="IM172" s="1312"/>
      <c r="IN172" s="1312"/>
      <c r="IO172" s="1312"/>
      <c r="IP172" s="1312"/>
      <c r="IQ172" s="1312"/>
      <c r="IR172" s="1312"/>
      <c r="IS172" s="1312"/>
      <c r="IT172" s="1312"/>
      <c r="IU172" s="1312"/>
      <c r="IV172" s="1312"/>
      <c r="IW172" s="1312"/>
      <c r="IX172" s="1312"/>
      <c r="IY172" s="1312"/>
      <c r="IZ172" s="1312"/>
      <c r="JA172" s="1312"/>
      <c r="JB172" s="1312"/>
      <c r="JC172" s="1312"/>
      <c r="JD172" s="1312"/>
      <c r="JE172" s="1312"/>
      <c r="JF172" s="1312"/>
      <c r="JG172" s="1312"/>
      <c r="JH172" s="1312"/>
      <c r="JI172" s="1312"/>
      <c r="JJ172" s="1312"/>
      <c r="JK172" s="1312"/>
      <c r="JL172" s="1312"/>
      <c r="JM172" s="1312"/>
      <c r="JN172" s="1312"/>
      <c r="JO172" s="1312"/>
      <c r="JP172" s="1312"/>
      <c r="JQ172" s="1312"/>
      <c r="JR172" s="1312"/>
      <c r="JS172" s="1312"/>
      <c r="JT172" s="1312"/>
      <c r="JU172" s="1312"/>
      <c r="JV172" s="1312"/>
      <c r="JW172" s="1312"/>
      <c r="JX172" s="1312"/>
      <c r="JY172" s="1312"/>
      <c r="JZ172" s="1312"/>
      <c r="KA172" s="1312"/>
      <c r="KB172" s="1312"/>
      <c r="KC172" s="1312"/>
      <c r="KD172" s="1312"/>
      <c r="KE172" s="1312"/>
      <c r="KF172" s="1312"/>
      <c r="KG172" s="1312"/>
      <c r="KH172" s="1312"/>
      <c r="KI172" s="1312"/>
      <c r="KJ172" s="1312"/>
      <c r="KK172" s="1312"/>
      <c r="KL172" s="1312"/>
      <c r="KM172" s="1312"/>
      <c r="KN172" s="1312"/>
      <c r="KO172" s="1312"/>
      <c r="KP172" s="1312"/>
      <c r="KQ172" s="1312"/>
      <c r="KR172" s="1312"/>
      <c r="KS172" s="1312"/>
      <c r="KT172" s="1312"/>
      <c r="KU172" s="1312"/>
      <c r="KV172" s="1312"/>
      <c r="KW172" s="1312"/>
      <c r="KX172" s="1312"/>
      <c r="KY172" s="1312"/>
      <c r="KZ172" s="1312"/>
      <c r="LA172" s="1312"/>
      <c r="LB172" s="1312"/>
      <c r="LC172" s="1312"/>
      <c r="LD172" s="1312"/>
      <c r="LE172" s="1312"/>
      <c r="LF172" s="1312"/>
      <c r="LG172" s="1312"/>
      <c r="LH172" s="1312"/>
      <c r="LI172" s="1312"/>
      <c r="LJ172" s="1312"/>
      <c r="LK172" s="1312"/>
      <c r="LL172" s="1312"/>
      <c r="LM172" s="1312"/>
      <c r="LN172" s="1312"/>
      <c r="LO172" s="1312"/>
      <c r="LP172" s="1312"/>
      <c r="LQ172" s="1312"/>
      <c r="LR172" s="1312"/>
      <c r="LS172" s="1312"/>
      <c r="LT172" s="1312"/>
      <c r="LU172" s="1312"/>
      <c r="LV172" s="1312"/>
      <c r="LW172" s="1312"/>
      <c r="LX172" s="1312"/>
      <c r="LY172" s="1312"/>
      <c r="LZ172" s="1312"/>
      <c r="MA172" s="1312"/>
      <c r="MB172" s="1312"/>
      <c r="MC172" s="1312"/>
      <c r="MD172" s="1312"/>
      <c r="ME172" s="1312"/>
      <c r="MF172" s="1312"/>
      <c r="MG172" s="1312"/>
      <c r="MH172" s="1312"/>
      <c r="MI172" s="1312"/>
      <c r="MJ172" s="1312"/>
      <c r="MK172" s="1312"/>
      <c r="ML172" s="1312"/>
      <c r="MM172" s="1312"/>
      <c r="MN172" s="1312"/>
      <c r="MO172" s="1312"/>
      <c r="MP172" s="1312"/>
      <c r="MQ172" s="1312"/>
      <c r="MR172" s="1312"/>
      <c r="MS172" s="1312"/>
      <c r="MT172" s="1312"/>
      <c r="MU172" s="1312"/>
      <c r="MV172" s="1312"/>
      <c r="MW172" s="1312"/>
      <c r="MX172" s="1312"/>
      <c r="MY172" s="1312"/>
      <c r="MZ172" s="1312"/>
      <c r="NA172" s="1312"/>
      <c r="NB172" s="1312"/>
      <c r="NC172" s="1312"/>
      <c r="ND172" s="1312"/>
      <c r="NE172" s="1312"/>
      <c r="NF172" s="1312"/>
      <c r="NG172" s="1312"/>
      <c r="NH172" s="1312"/>
      <c r="NI172" s="1312"/>
      <c r="NJ172" s="1312"/>
      <c r="NK172" s="1312"/>
      <c r="NL172" s="1312"/>
      <c r="NM172" s="1312"/>
      <c r="NN172" s="1312"/>
      <c r="NO172" s="1312"/>
      <c r="NP172" s="1312"/>
      <c r="NQ172" s="1312"/>
      <c r="NR172" s="1312"/>
      <c r="NS172" s="1312"/>
      <c r="NT172" s="1312"/>
      <c r="NU172" s="1312"/>
      <c r="NV172" s="1312"/>
      <c r="NW172" s="1312"/>
      <c r="NX172" s="1312"/>
      <c r="NY172" s="1312"/>
      <c r="NZ172" s="1312"/>
      <c r="OA172" s="1312"/>
      <c r="OB172" s="1312"/>
      <c r="OC172" s="1312"/>
      <c r="OD172" s="1312"/>
      <c r="OE172" s="1312"/>
      <c r="OF172" s="1312"/>
      <c r="OG172" s="1312"/>
      <c r="OH172" s="1312"/>
      <c r="OI172" s="1312"/>
      <c r="OJ172" s="1312"/>
      <c r="OK172" s="1312"/>
      <c r="OL172" s="1312"/>
      <c r="OM172" s="1312"/>
      <c r="ON172" s="1312"/>
      <c r="OO172" s="1312"/>
      <c r="OP172" s="1312"/>
      <c r="OQ172" s="1312"/>
      <c r="OR172" s="1312"/>
      <c r="OS172" s="1312"/>
      <c r="OT172" s="1312"/>
      <c r="OU172" s="1312"/>
      <c r="OV172" s="1312"/>
      <c r="OW172" s="1312"/>
      <c r="OX172" s="1312"/>
      <c r="OY172" s="1312"/>
      <c r="OZ172" s="1312"/>
      <c r="PA172" s="1312"/>
      <c r="PB172" s="1312"/>
      <c r="PC172" s="1312"/>
      <c r="PD172" s="1312"/>
      <c r="PE172" s="1312"/>
      <c r="PF172" s="1312"/>
      <c r="PG172" s="1312"/>
      <c r="PH172" s="1312"/>
      <c r="PI172" s="1312"/>
      <c r="PJ172" s="1312"/>
      <c r="PK172" s="1312"/>
      <c r="PL172" s="1312"/>
      <c r="PM172" s="1312"/>
      <c r="PN172" s="1312"/>
      <c r="PO172" s="1312"/>
      <c r="PP172" s="1312"/>
      <c r="PQ172" s="1312"/>
      <c r="PR172" s="1312"/>
      <c r="PS172" s="1312"/>
      <c r="PT172" s="1312"/>
      <c r="PU172" s="1312"/>
      <c r="PV172" s="1312"/>
      <c r="PW172" s="1312"/>
      <c r="PX172" s="1312"/>
      <c r="PY172" s="1312"/>
      <c r="PZ172" s="1312"/>
      <c r="QA172" s="1312"/>
      <c r="QB172" s="1312"/>
      <c r="QC172" s="1312"/>
      <c r="QD172" s="1312"/>
      <c r="QE172" s="1312"/>
      <c r="QF172" s="1312"/>
      <c r="QG172" s="1312"/>
      <c r="QH172" s="1312"/>
      <c r="QI172" s="1312"/>
      <c r="QJ172" s="1312"/>
      <c r="QK172" s="1312"/>
      <c r="QL172" s="1312"/>
      <c r="QM172" s="1312"/>
      <c r="QN172" s="1312"/>
      <c r="QO172" s="1312"/>
      <c r="QP172" s="1312"/>
      <c r="QQ172" s="1312"/>
      <c r="QR172" s="1312"/>
      <c r="QS172" s="1312"/>
      <c r="QT172" s="1312"/>
      <c r="QU172" s="1312"/>
      <c r="QV172" s="1312"/>
      <c r="QW172" s="1312"/>
      <c r="QX172" s="1312"/>
      <c r="QY172" s="1312"/>
      <c r="QZ172" s="1312"/>
      <c r="RA172" s="1312"/>
      <c r="RB172" s="1312"/>
      <c r="RC172" s="1312"/>
      <c r="RD172" s="1312"/>
      <c r="RE172" s="1312"/>
      <c r="RF172" s="1312"/>
      <c r="RG172" s="1312"/>
      <c r="RH172" s="1312"/>
      <c r="RI172" s="1312"/>
      <c r="RJ172" s="1312"/>
      <c r="RK172" s="1312"/>
      <c r="RL172" s="1312"/>
      <c r="RM172" s="1312"/>
      <c r="RN172" s="1312"/>
      <c r="RO172" s="1312"/>
      <c r="RP172" s="1312"/>
      <c r="RQ172" s="1312"/>
      <c r="RR172" s="1312"/>
      <c r="RS172" s="1312"/>
      <c r="RT172" s="1312"/>
      <c r="RU172" s="1312"/>
      <c r="RV172" s="1312"/>
      <c r="RW172" s="1312"/>
      <c r="RX172" s="1312"/>
      <c r="RY172" s="1312"/>
      <c r="RZ172" s="1312"/>
      <c r="SA172" s="1312"/>
      <c r="SB172" s="1312"/>
      <c r="SC172" s="1312"/>
      <c r="SD172" s="1312"/>
      <c r="SE172" s="1312"/>
      <c r="SF172" s="1312"/>
      <c r="SG172" s="1312"/>
      <c r="SH172" s="1312"/>
      <c r="SI172" s="1312"/>
      <c r="SJ172" s="1312"/>
      <c r="SK172" s="1312"/>
      <c r="SL172" s="1312"/>
      <c r="SM172" s="1312"/>
      <c r="SN172" s="1312"/>
      <c r="SO172" s="1312"/>
      <c r="SP172" s="1312"/>
      <c r="SQ172" s="1312"/>
      <c r="SR172" s="1312"/>
      <c r="SS172" s="1312"/>
      <c r="ST172" s="1312"/>
      <c r="SU172" s="1312"/>
      <c r="SV172" s="1312"/>
      <c r="SW172" s="1312"/>
      <c r="SX172" s="1312"/>
      <c r="SY172" s="1312"/>
      <c r="SZ172" s="1312"/>
      <c r="TA172" s="1312"/>
      <c r="TB172" s="1312"/>
      <c r="TC172" s="1312"/>
      <c r="TD172" s="1312"/>
      <c r="TE172" s="1312"/>
      <c r="TF172" s="1312"/>
      <c r="TG172" s="1312"/>
      <c r="TH172" s="1312"/>
      <c r="TI172" s="1312"/>
      <c r="TJ172" s="1312"/>
      <c r="TK172" s="1312"/>
      <c r="TL172" s="1312"/>
      <c r="TM172" s="1312"/>
      <c r="TN172" s="1312"/>
      <c r="TO172" s="1312"/>
      <c r="TP172" s="1312"/>
      <c r="TQ172" s="1312"/>
      <c r="TR172" s="1312"/>
      <c r="TS172" s="1312"/>
      <c r="TT172" s="1312"/>
      <c r="TU172" s="1312"/>
      <c r="TV172" s="1312"/>
      <c r="TW172" s="1312"/>
      <c r="TX172" s="1312"/>
      <c r="TY172" s="1312"/>
      <c r="TZ172" s="1312"/>
      <c r="UA172" s="1312"/>
      <c r="UB172" s="1312"/>
      <c r="UC172" s="1312"/>
      <c r="UD172" s="1312"/>
      <c r="UE172" s="1312"/>
      <c r="UF172" s="1312"/>
      <c r="UG172" s="1312"/>
      <c r="UH172" s="1312"/>
      <c r="UI172" s="1312"/>
      <c r="UJ172" s="1312"/>
      <c r="UK172" s="1312"/>
      <c r="UL172" s="1312"/>
      <c r="UM172" s="1312"/>
      <c r="UN172" s="1312"/>
      <c r="UO172" s="1312"/>
      <c r="UP172" s="1312"/>
      <c r="UQ172" s="1312"/>
      <c r="UR172" s="1312"/>
      <c r="US172" s="1312"/>
      <c r="UT172" s="1312"/>
      <c r="UU172" s="1312"/>
      <c r="UV172" s="1312"/>
      <c r="UW172" s="1312"/>
      <c r="UX172" s="1312"/>
      <c r="UY172" s="1312"/>
      <c r="UZ172" s="1312"/>
      <c r="VA172" s="1312"/>
      <c r="VB172" s="1312"/>
      <c r="VC172" s="1312"/>
      <c r="VD172" s="1312"/>
      <c r="VE172" s="1312"/>
      <c r="VF172" s="1312"/>
      <c r="VG172" s="1312"/>
      <c r="VH172" s="1312"/>
      <c r="VI172" s="1312"/>
      <c r="VJ172" s="1312"/>
      <c r="VK172" s="1312"/>
      <c r="VL172" s="1312"/>
      <c r="VM172" s="1312"/>
      <c r="VN172" s="1312"/>
      <c r="VO172" s="1312"/>
      <c r="VP172" s="1312"/>
      <c r="VQ172" s="1312"/>
      <c r="VR172" s="1312"/>
      <c r="VS172" s="1312"/>
      <c r="VT172" s="1312"/>
      <c r="VU172" s="1312"/>
      <c r="VV172" s="1312"/>
      <c r="VW172" s="1312"/>
      <c r="VX172" s="1312"/>
      <c r="VY172" s="1312"/>
      <c r="VZ172" s="1312"/>
      <c r="WA172" s="1312"/>
      <c r="WB172" s="1312"/>
      <c r="WC172" s="1312"/>
      <c r="WD172" s="1312"/>
      <c r="WE172" s="1312"/>
      <c r="WF172" s="1312"/>
      <c r="WG172" s="1312"/>
      <c r="WH172" s="1312"/>
      <c r="WI172" s="1312"/>
      <c r="WJ172" s="1312"/>
      <c r="WK172" s="1312"/>
      <c r="WL172" s="1312"/>
      <c r="WM172" s="1312"/>
      <c r="WN172" s="1312"/>
      <c r="WO172" s="1312"/>
      <c r="WP172" s="1312"/>
      <c r="WQ172" s="1312"/>
      <c r="WR172" s="1312"/>
      <c r="WS172" s="1312"/>
      <c r="WT172" s="1312"/>
      <c r="WU172" s="1312"/>
      <c r="WV172" s="1312"/>
      <c r="WW172" s="1312"/>
      <c r="WX172" s="1312"/>
      <c r="WY172" s="1312"/>
      <c r="WZ172" s="1312"/>
      <c r="XA172" s="1312"/>
      <c r="XB172" s="1312"/>
      <c r="XC172" s="1312"/>
      <c r="XD172" s="1312"/>
      <c r="XE172" s="1312"/>
      <c r="XF172" s="1312"/>
      <c r="XG172" s="1312"/>
      <c r="XH172" s="1312"/>
      <c r="XI172" s="1312"/>
      <c r="XJ172" s="1312"/>
      <c r="XK172" s="1312"/>
      <c r="XL172" s="1312"/>
      <c r="XM172" s="1312"/>
      <c r="XN172" s="1312"/>
      <c r="XO172" s="1312"/>
      <c r="XP172" s="1312"/>
      <c r="XQ172" s="1312"/>
      <c r="XR172" s="1312"/>
      <c r="XS172" s="1312"/>
      <c r="XT172" s="1312"/>
      <c r="XU172" s="1312"/>
      <c r="XV172" s="1312"/>
      <c r="XW172" s="1312"/>
      <c r="XX172" s="1312"/>
      <c r="XY172" s="1312"/>
      <c r="XZ172" s="1312"/>
      <c r="YA172" s="1312"/>
      <c r="YB172" s="1312"/>
      <c r="YC172" s="1312"/>
      <c r="YD172" s="1312"/>
      <c r="YE172" s="1312"/>
      <c r="YF172" s="1312"/>
      <c r="YG172" s="1312"/>
      <c r="YH172" s="1312"/>
      <c r="YI172" s="1312"/>
      <c r="YJ172" s="1312"/>
      <c r="YK172" s="1312"/>
      <c r="YL172" s="1312"/>
      <c r="YM172" s="1312"/>
      <c r="YN172" s="1312"/>
      <c r="YO172" s="1312"/>
      <c r="YP172" s="1312"/>
      <c r="YQ172" s="1312"/>
      <c r="YR172" s="1312"/>
      <c r="YS172" s="1312"/>
      <c r="YT172" s="1312"/>
      <c r="YU172" s="1312"/>
      <c r="YV172" s="1312"/>
      <c r="YW172" s="1312"/>
      <c r="YX172" s="1312"/>
      <c r="YY172" s="1312"/>
      <c r="YZ172" s="1312"/>
      <c r="ZA172" s="1312"/>
      <c r="ZB172" s="1312"/>
      <c r="ZC172" s="1312"/>
      <c r="ZD172" s="1312"/>
      <c r="ZE172" s="1312"/>
      <c r="ZF172" s="1312"/>
      <c r="ZG172" s="1312"/>
      <c r="ZH172" s="1312"/>
      <c r="ZI172" s="1312"/>
      <c r="ZJ172" s="1312"/>
      <c r="ZK172" s="1312"/>
      <c r="ZL172" s="1312"/>
      <c r="ZM172" s="1312"/>
      <c r="ZN172" s="1312"/>
      <c r="ZO172" s="1312"/>
      <c r="ZP172" s="1312"/>
      <c r="ZQ172" s="1312"/>
      <c r="ZR172" s="1312"/>
      <c r="ZS172" s="1312"/>
      <c r="ZT172" s="1312"/>
      <c r="ZU172" s="1312"/>
      <c r="ZV172" s="1312"/>
      <c r="ZW172" s="1312"/>
      <c r="ZX172" s="1312"/>
      <c r="ZY172" s="1312"/>
      <c r="ZZ172" s="1312"/>
      <c r="AAA172" s="1312"/>
      <c r="AAB172" s="1312"/>
      <c r="AAC172" s="1312"/>
      <c r="AAD172" s="1312"/>
      <c r="AAE172" s="1312"/>
      <c r="AAF172" s="1312"/>
      <c r="AAG172" s="1312"/>
      <c r="AAH172" s="1312"/>
      <c r="AAI172" s="1312"/>
      <c r="AAJ172" s="1312"/>
      <c r="AAK172" s="1312"/>
      <c r="AAL172" s="1312"/>
      <c r="AAM172" s="1312"/>
      <c r="AAN172" s="1312"/>
      <c r="AAO172" s="1312"/>
      <c r="AAP172" s="1312"/>
      <c r="AAQ172" s="1312"/>
      <c r="AAR172" s="1312"/>
      <c r="AAS172" s="1312"/>
      <c r="AAT172" s="1312"/>
      <c r="AAU172" s="1312"/>
      <c r="AAV172" s="1312"/>
      <c r="AAW172" s="1312"/>
      <c r="AAX172" s="1312"/>
      <c r="AAY172" s="1312"/>
      <c r="AAZ172" s="1312"/>
      <c r="ABA172" s="1312"/>
      <c r="ABB172" s="1312"/>
      <c r="ABC172" s="1312"/>
      <c r="ABD172" s="1312"/>
      <c r="ABE172" s="1312"/>
      <c r="ABF172" s="1312"/>
      <c r="ABG172" s="1312"/>
      <c r="ABH172" s="1312"/>
      <c r="ABI172" s="1312"/>
      <c r="ABJ172" s="1312"/>
      <c r="ABK172" s="1312"/>
      <c r="ABL172" s="1312"/>
      <c r="ABM172" s="1312"/>
      <c r="ABN172" s="1312"/>
      <c r="ABO172" s="1312"/>
      <c r="ABP172" s="1312"/>
      <c r="ABQ172" s="1312"/>
      <c r="ABR172" s="1312"/>
      <c r="ABS172" s="1312"/>
      <c r="ABT172" s="1312"/>
      <c r="ABU172" s="1312"/>
      <c r="ABV172" s="1312"/>
      <c r="ABW172" s="1312"/>
      <c r="ABX172" s="1312"/>
      <c r="ABY172" s="1312"/>
      <c r="ABZ172" s="1312"/>
      <c r="ACA172" s="1312"/>
      <c r="ACB172" s="1312"/>
      <c r="ACC172" s="1312"/>
      <c r="ACD172" s="1312"/>
      <c r="ACE172" s="1312"/>
      <c r="ACF172" s="1312"/>
      <c r="ACG172" s="1312"/>
      <c r="ACH172" s="1312"/>
      <c r="ACI172" s="1312"/>
      <c r="ACJ172" s="1312"/>
      <c r="ACK172" s="1312"/>
      <c r="ACL172" s="1312"/>
      <c r="ACM172" s="1312"/>
      <c r="ACN172" s="1312"/>
      <c r="ACO172" s="1312"/>
      <c r="ACP172" s="1312"/>
      <c r="ACQ172" s="1312"/>
      <c r="ACR172" s="1312"/>
      <c r="ACS172" s="1312"/>
      <c r="ACT172" s="1312"/>
      <c r="ACU172" s="1312"/>
      <c r="ACV172" s="1312"/>
      <c r="ACW172" s="1312"/>
      <c r="ACX172" s="1312"/>
      <c r="ACY172" s="1312"/>
      <c r="ACZ172" s="1312"/>
      <c r="ADA172" s="1312"/>
      <c r="ADB172" s="1312"/>
      <c r="ADC172" s="1312"/>
      <c r="ADD172" s="1312"/>
      <c r="ADE172" s="1312"/>
      <c r="ADF172" s="1312"/>
      <c r="ADG172" s="1312"/>
      <c r="ADH172" s="1312"/>
      <c r="ADI172" s="1312"/>
      <c r="ADJ172" s="1312"/>
      <c r="ADK172" s="1312"/>
      <c r="ADL172" s="1312"/>
      <c r="ADM172" s="1312"/>
      <c r="ADN172" s="1312"/>
      <c r="ADO172" s="1312"/>
      <c r="ADP172" s="1312"/>
      <c r="ADQ172" s="1312"/>
      <c r="ADR172" s="1312"/>
      <c r="ADS172" s="1312"/>
      <c r="ADT172" s="1312"/>
      <c r="ADU172" s="1312"/>
      <c r="ADV172" s="1312"/>
      <c r="ADW172" s="1312"/>
      <c r="ADX172" s="1312"/>
      <c r="ADY172" s="1312"/>
      <c r="ADZ172" s="1312"/>
      <c r="AEA172" s="1312"/>
      <c r="AEB172" s="1312"/>
      <c r="AEC172" s="1312"/>
      <c r="AED172" s="1312"/>
      <c r="AEE172" s="1312"/>
      <c r="AEF172" s="1312"/>
      <c r="AEG172" s="1312"/>
      <c r="AEH172" s="1312"/>
      <c r="AEI172" s="1312"/>
      <c r="AEJ172" s="1312"/>
      <c r="AEK172" s="1312"/>
      <c r="AEL172" s="1312"/>
      <c r="AEM172" s="1312"/>
      <c r="AEN172" s="1312"/>
      <c r="AEO172" s="1312"/>
      <c r="AEP172" s="1312"/>
      <c r="AEQ172" s="1312"/>
      <c r="AER172" s="1312"/>
      <c r="AES172" s="1312"/>
      <c r="AET172" s="1312"/>
      <c r="AEU172" s="1312"/>
      <c r="AEV172" s="1312"/>
      <c r="AEW172" s="1312"/>
      <c r="AEX172" s="1312"/>
      <c r="AEY172" s="1312"/>
      <c r="AEZ172" s="1312"/>
      <c r="AFA172" s="1312"/>
      <c r="AFB172" s="1312"/>
      <c r="AFC172" s="1312"/>
      <c r="AFD172" s="1312"/>
      <c r="AFE172" s="1312"/>
      <c r="AFF172" s="1312"/>
      <c r="AFG172" s="1312"/>
      <c r="AFH172" s="1312"/>
      <c r="AFI172" s="1312"/>
      <c r="AFJ172" s="1312"/>
      <c r="AFK172" s="1312"/>
      <c r="AFL172" s="1312"/>
      <c r="AFM172" s="1312"/>
      <c r="AFN172" s="1312"/>
      <c r="AFO172" s="1312"/>
      <c r="AFP172" s="1312"/>
      <c r="AFQ172" s="1312"/>
      <c r="AFR172" s="1312"/>
      <c r="AFS172" s="1312"/>
      <c r="AFT172" s="1312"/>
      <c r="AFU172" s="1312"/>
      <c r="AFV172" s="1312"/>
      <c r="AFW172" s="1312"/>
      <c r="AFX172" s="1312"/>
      <c r="AFY172" s="1312"/>
      <c r="AFZ172" s="1312"/>
      <c r="AGA172" s="1312"/>
      <c r="AGB172" s="1312"/>
      <c r="AGC172" s="1312"/>
      <c r="AGD172" s="1312"/>
      <c r="AGE172" s="1312"/>
      <c r="AGF172" s="1312"/>
      <c r="AGG172" s="1312"/>
      <c r="AGH172" s="1312"/>
      <c r="AGI172" s="1312"/>
      <c r="AGJ172" s="1312"/>
      <c r="AGK172" s="1312"/>
      <c r="AGL172" s="1312"/>
      <c r="AGM172" s="1312"/>
      <c r="AGN172" s="1312"/>
      <c r="AGO172" s="1312"/>
      <c r="AGP172" s="1312"/>
      <c r="AGQ172" s="1312"/>
      <c r="AGR172" s="1312"/>
      <c r="AGS172" s="1312"/>
      <c r="AGT172" s="1312"/>
      <c r="AGU172" s="1312"/>
      <c r="AGV172" s="1312"/>
      <c r="AGW172" s="1312"/>
      <c r="AGX172" s="1312"/>
      <c r="AGY172" s="1312"/>
      <c r="AGZ172" s="1312"/>
      <c r="AHA172" s="1312"/>
      <c r="AHB172" s="1312"/>
      <c r="AHC172" s="1312"/>
      <c r="AHD172" s="1312"/>
      <c r="AHE172" s="1312"/>
      <c r="AHF172" s="1312"/>
      <c r="AHG172" s="1312"/>
      <c r="AHH172" s="1312"/>
      <c r="AHI172" s="1312"/>
      <c r="AHJ172" s="1312"/>
      <c r="AHK172" s="1312"/>
      <c r="AHL172" s="1312"/>
      <c r="AHM172" s="1312"/>
      <c r="AHN172" s="1312"/>
      <c r="AHO172" s="1312"/>
      <c r="AHP172" s="1312"/>
      <c r="AHQ172" s="1312"/>
      <c r="AHR172" s="1312"/>
      <c r="AHS172" s="1312"/>
      <c r="AHT172" s="1312"/>
      <c r="AHU172" s="1312"/>
      <c r="AHV172" s="1312"/>
      <c r="AHW172" s="1312"/>
      <c r="AHX172" s="1312"/>
      <c r="AHY172" s="1312"/>
      <c r="AHZ172" s="1312"/>
      <c r="AIA172" s="1312"/>
      <c r="AIB172" s="1312"/>
      <c r="AIC172" s="1312"/>
      <c r="AID172" s="1312"/>
      <c r="AIE172" s="1312"/>
      <c r="AIF172" s="1312"/>
      <c r="AIG172" s="1312"/>
      <c r="AIH172" s="1312"/>
      <c r="AII172" s="1312"/>
      <c r="AIJ172" s="1312"/>
      <c r="AIK172" s="1312"/>
      <c r="AIL172" s="1312"/>
      <c r="AIM172" s="1312"/>
      <c r="AIN172" s="1312"/>
      <c r="AIO172" s="1312"/>
      <c r="AIP172" s="1312"/>
      <c r="AIQ172" s="1312"/>
      <c r="AIR172" s="1312"/>
      <c r="AIS172" s="1312"/>
      <c r="AIT172" s="1312"/>
      <c r="AIU172" s="1312"/>
      <c r="AIV172" s="1312"/>
      <c r="AIW172" s="1312"/>
      <c r="AIX172" s="1312"/>
      <c r="AIY172" s="1312"/>
      <c r="AIZ172" s="1312"/>
      <c r="AJA172" s="1312"/>
      <c r="AJB172" s="1312"/>
      <c r="AJC172" s="1312"/>
      <c r="AJD172" s="1312"/>
      <c r="AJE172" s="1312"/>
      <c r="AJF172" s="1312"/>
      <c r="AJG172" s="1312"/>
      <c r="AJH172" s="1312"/>
      <c r="AJI172" s="1312"/>
      <c r="AJJ172" s="1312"/>
      <c r="AJK172" s="1312"/>
      <c r="AJL172" s="1312"/>
      <c r="AJM172" s="1312"/>
      <c r="AJN172" s="1312"/>
      <c r="AJO172" s="1312"/>
      <c r="AJP172" s="1312"/>
      <c r="AJQ172" s="1312"/>
      <c r="AJR172" s="1312"/>
      <c r="AJS172" s="1312"/>
      <c r="AJT172" s="1312"/>
      <c r="AJU172" s="1312"/>
      <c r="AJV172" s="1312"/>
      <c r="AJW172" s="1312"/>
      <c r="AJX172" s="1312"/>
      <c r="AJY172" s="1312"/>
      <c r="AJZ172" s="1312"/>
      <c r="AKA172" s="1312"/>
      <c r="AKB172" s="1312"/>
      <c r="AKC172" s="1312"/>
      <c r="AKD172" s="1312"/>
      <c r="AKE172" s="1312"/>
      <c r="AKF172" s="1312"/>
      <c r="AKG172" s="1312"/>
      <c r="AKH172" s="1312"/>
      <c r="AKI172" s="1312"/>
      <c r="AKJ172" s="1312"/>
      <c r="AKK172" s="1312"/>
      <c r="AKL172" s="1312"/>
      <c r="AKM172" s="1312"/>
      <c r="AKN172" s="1312"/>
      <c r="AKO172" s="1312"/>
      <c r="AKP172" s="1312"/>
      <c r="AKQ172" s="1312"/>
      <c r="AKR172" s="1312"/>
      <c r="AKS172" s="1312"/>
      <c r="AKT172" s="1312"/>
      <c r="AKU172" s="1312"/>
      <c r="AKV172" s="1312"/>
      <c r="AKW172" s="1312"/>
      <c r="AKX172" s="1312"/>
      <c r="AKY172" s="1312"/>
      <c r="AKZ172" s="1312"/>
      <c r="ALA172" s="1312"/>
      <c r="ALB172" s="1312"/>
      <c r="ALC172" s="1312"/>
      <c r="ALD172" s="1312"/>
      <c r="ALE172" s="1312"/>
      <c r="ALF172" s="1312"/>
      <c r="ALG172" s="1312"/>
      <c r="ALH172" s="1312"/>
      <c r="ALI172" s="1312"/>
      <c r="ALJ172" s="1312"/>
      <c r="ALK172" s="1312"/>
      <c r="ALL172" s="1312"/>
      <c r="ALM172" s="1312"/>
      <c r="ALN172" s="1312"/>
      <c r="ALO172" s="1312"/>
      <c r="ALP172" s="1312"/>
      <c r="ALQ172" s="1312"/>
      <c r="ALR172" s="1312"/>
      <c r="ALS172" s="1312"/>
      <c r="ALT172" s="1312"/>
      <c r="ALU172" s="1312"/>
      <c r="ALV172" s="1312"/>
      <c r="ALW172" s="1312"/>
      <c r="ALX172" s="1312"/>
      <c r="ALY172" s="1312"/>
      <c r="ALZ172" s="1312"/>
      <c r="AMA172" s="1312"/>
      <c r="AMB172" s="1312"/>
      <c r="AMC172" s="1312"/>
      <c r="AMD172" s="1312"/>
      <c r="AME172" s="1312"/>
      <c r="AMF172" s="1312"/>
      <c r="AMG172" s="1312"/>
      <c r="AMH172" s="1312"/>
      <c r="AMI172" s="1312"/>
      <c r="AMJ172" s="1312"/>
      <c r="AMK172" s="1312"/>
      <c r="AML172" s="1312"/>
      <c r="AMM172" s="1312"/>
      <c r="AMN172" s="1312"/>
      <c r="AMO172" s="1312"/>
      <c r="AMP172" s="1312"/>
      <c r="AMQ172" s="1312"/>
      <c r="AMR172" s="1312"/>
      <c r="AMS172" s="1312"/>
      <c r="AMT172" s="1312"/>
      <c r="AMU172" s="1312"/>
      <c r="AMV172" s="1312"/>
      <c r="AMW172" s="1312"/>
      <c r="AMX172" s="1312"/>
      <c r="AMY172" s="1312"/>
      <c r="AMZ172" s="1312"/>
      <c r="ANA172" s="1312"/>
      <c r="ANB172" s="1312"/>
      <c r="ANC172" s="1312"/>
      <c r="AND172" s="1312"/>
      <c r="ANE172" s="1312"/>
      <c r="ANF172" s="1312"/>
      <c r="ANG172" s="1312"/>
      <c r="ANH172" s="1312"/>
      <c r="ANI172" s="1312"/>
      <c r="ANJ172" s="1312"/>
      <c r="ANK172" s="1312"/>
      <c r="ANL172" s="1312"/>
      <c r="ANM172" s="1312"/>
      <c r="ANN172" s="1312"/>
      <c r="ANO172" s="1312"/>
      <c r="ANP172" s="1312"/>
      <c r="ANQ172" s="1312"/>
      <c r="ANR172" s="1312"/>
      <c r="ANS172" s="1312"/>
      <c r="ANT172" s="1312"/>
      <c r="ANU172" s="1312"/>
      <c r="ANV172" s="1312"/>
      <c r="ANW172" s="1312"/>
      <c r="ANX172" s="1312"/>
      <c r="ANY172" s="1312"/>
      <c r="ANZ172" s="1312"/>
      <c r="AOA172" s="1312"/>
      <c r="AOB172" s="1312"/>
      <c r="AOC172" s="1312"/>
      <c r="AOD172" s="1312"/>
      <c r="AOE172" s="1312"/>
      <c r="AOF172" s="1312"/>
      <c r="AOG172" s="1312"/>
      <c r="AOH172" s="1312"/>
      <c r="AOI172" s="1312"/>
      <c r="AOJ172" s="1312"/>
      <c r="AOK172" s="1312"/>
      <c r="AOL172" s="1312"/>
      <c r="AOM172" s="1312"/>
      <c r="AON172" s="1312"/>
      <c r="AOO172" s="1312"/>
      <c r="AOP172" s="1312"/>
      <c r="AOQ172" s="1312"/>
      <c r="AOR172" s="1312"/>
      <c r="AOS172" s="1312"/>
      <c r="AOT172" s="1312"/>
      <c r="AOU172" s="1312"/>
      <c r="AOV172" s="1312"/>
      <c r="AOW172" s="1312"/>
      <c r="AOX172" s="1312"/>
      <c r="AOY172" s="1312"/>
      <c r="AOZ172" s="1312"/>
      <c r="APA172" s="1312"/>
      <c r="APB172" s="1312"/>
      <c r="APC172" s="1312"/>
      <c r="APD172" s="1312"/>
      <c r="APE172" s="1312"/>
      <c r="APF172" s="1312"/>
      <c r="APG172" s="1312"/>
      <c r="APH172" s="1312"/>
      <c r="API172" s="1312"/>
      <c r="APJ172" s="1312"/>
      <c r="APK172" s="1312"/>
      <c r="APL172" s="1312"/>
      <c r="APM172" s="1312"/>
      <c r="APN172" s="1312"/>
      <c r="APO172" s="1312"/>
      <c r="APP172" s="1312"/>
      <c r="APQ172" s="1312"/>
      <c r="APR172" s="1312"/>
      <c r="APS172" s="1312"/>
      <c r="APT172" s="1312"/>
      <c r="APU172" s="1312"/>
      <c r="APV172" s="1312"/>
      <c r="APW172" s="1312"/>
      <c r="APX172" s="1312"/>
      <c r="APY172" s="1312"/>
      <c r="APZ172" s="1312"/>
      <c r="AQA172" s="1312"/>
      <c r="AQB172" s="1312"/>
      <c r="AQC172" s="1312"/>
      <c r="AQD172" s="1312"/>
      <c r="AQE172" s="1312"/>
      <c r="AQF172" s="1312"/>
      <c r="AQG172" s="1312"/>
      <c r="AQH172" s="1312"/>
      <c r="AQI172" s="1312"/>
      <c r="AQJ172" s="1312"/>
      <c r="AQK172" s="1312"/>
      <c r="AQL172" s="1312"/>
      <c r="AQM172" s="1312"/>
      <c r="AQN172" s="1312"/>
      <c r="AQO172" s="1312"/>
      <c r="AQP172" s="1312"/>
      <c r="AQQ172" s="1312"/>
      <c r="AQR172" s="1312"/>
      <c r="AQS172" s="1312"/>
      <c r="AQT172" s="1312"/>
      <c r="AQU172" s="1312"/>
      <c r="AQV172" s="1312"/>
      <c r="AQW172" s="1312"/>
      <c r="AQX172" s="1312"/>
      <c r="AQY172" s="1312"/>
      <c r="AQZ172" s="1312"/>
      <c r="ARA172" s="1312"/>
      <c r="ARB172" s="1312"/>
      <c r="ARC172" s="1312"/>
      <c r="ARD172" s="1312"/>
      <c r="ARE172" s="1312"/>
      <c r="ARF172" s="1312"/>
      <c r="ARG172" s="1312"/>
      <c r="ARH172" s="1312"/>
      <c r="ARI172" s="1312"/>
      <c r="ARJ172" s="1312"/>
      <c r="ARK172" s="1312"/>
      <c r="ARL172" s="1312"/>
      <c r="ARM172" s="1312"/>
      <c r="ARN172" s="1312"/>
      <c r="ARO172" s="1312"/>
      <c r="ARP172" s="1312"/>
      <c r="ARQ172" s="1312"/>
      <c r="ARR172" s="1312"/>
      <c r="ARS172" s="1312"/>
      <c r="ART172" s="1312"/>
      <c r="ARU172" s="1312"/>
      <c r="ARV172" s="1312"/>
      <c r="ARW172" s="1312"/>
      <c r="ARX172" s="1312"/>
      <c r="ARY172" s="1312"/>
      <c r="ARZ172" s="1312"/>
      <c r="ASA172" s="1312"/>
      <c r="ASB172" s="1312"/>
      <c r="ASC172" s="1312"/>
      <c r="ASD172" s="1312"/>
      <c r="ASE172" s="1312"/>
      <c r="ASF172" s="1312"/>
      <c r="ASG172" s="1312"/>
      <c r="ASH172" s="1312"/>
      <c r="ASI172" s="1312"/>
      <c r="ASJ172" s="1312"/>
      <c r="ASK172" s="1312"/>
      <c r="ASL172" s="1312"/>
      <c r="ASM172" s="1312"/>
      <c r="ASN172" s="1312"/>
      <c r="ASO172" s="1312"/>
      <c r="ASP172" s="1312"/>
      <c r="ASQ172" s="1312"/>
      <c r="ASR172" s="1312"/>
      <c r="ASS172" s="1312"/>
      <c r="AST172" s="1312"/>
      <c r="ASU172" s="1312"/>
      <c r="ASV172" s="1312"/>
      <c r="ASW172" s="1312"/>
      <c r="ASX172" s="1312"/>
      <c r="ASY172" s="1312"/>
      <c r="ASZ172" s="1312"/>
      <c r="ATA172" s="1312"/>
      <c r="ATB172" s="1312"/>
      <c r="ATC172" s="1312"/>
      <c r="ATD172" s="1312"/>
      <c r="ATE172" s="1312"/>
    </row>
    <row r="173" spans="1:1201" s="34" customFormat="1" ht="15.75" customHeight="1" x14ac:dyDescent="0.3">
      <c r="A173" s="76"/>
      <c r="B173" s="76"/>
      <c r="C173" s="57" t="s">
        <v>731</v>
      </c>
      <c r="D173" s="63"/>
      <c r="E173" s="63"/>
      <c r="F173" s="148"/>
      <c r="G173" s="149"/>
      <c r="H173" s="629"/>
      <c r="I173" s="629"/>
      <c r="J173" s="629"/>
      <c r="K173" s="629"/>
      <c r="L173" s="629"/>
      <c r="M173" s="629"/>
      <c r="N173" s="629"/>
      <c r="O173" s="629"/>
      <c r="P173" s="629"/>
      <c r="Q173" s="629"/>
      <c r="R173" s="629"/>
      <c r="S173" s="924">
        <f>'MXD BS'!B41</f>
        <v>-4567</v>
      </c>
      <c r="T173" s="1076">
        <f>'MXD BS'!C41</f>
        <v>-4567</v>
      </c>
      <c r="U173" s="1076">
        <f>'MXD BS'!D41</f>
        <v>-4567</v>
      </c>
      <c r="V173" s="1076">
        <f>'MXD BS'!E41</f>
        <v>-4567</v>
      </c>
      <c r="W173" s="1076">
        <f>'MXD BS'!F41</f>
        <v>-4567</v>
      </c>
      <c r="X173" s="1076">
        <f>'MXD BS'!G41</f>
        <v>-4567</v>
      </c>
      <c r="Y173" s="1076">
        <f>'MXD BS'!H41</f>
        <v>-4567</v>
      </c>
      <c r="Z173" s="1076">
        <f>'MXD BS'!I41</f>
        <v>-4567</v>
      </c>
      <c r="AA173" s="1076">
        <f>'MXD BS'!J41</f>
        <v>-4567</v>
      </c>
      <c r="AB173" s="1076">
        <f>'MXD BS'!K41</f>
        <v>-4567</v>
      </c>
      <c r="AC173" s="1076">
        <f>'MXD BS'!L41</f>
        <v>-4567</v>
      </c>
      <c r="AD173" s="1076">
        <f>'MXD BS'!M41</f>
        <v>-4567</v>
      </c>
      <c r="AE173" s="1076">
        <f>'MXD BS'!N41</f>
        <v>0</v>
      </c>
      <c r="AF173" s="1076">
        <f>'MXD BS'!O41</f>
        <v>0</v>
      </c>
      <c r="AG173" s="1076">
        <f>'MXD BS'!P41</f>
        <v>0</v>
      </c>
      <c r="AH173" s="1076">
        <f>'MXD BS'!Q41</f>
        <v>0</v>
      </c>
      <c r="AI173" s="1076">
        <f>'MXD BS'!R41</f>
        <v>0</v>
      </c>
      <c r="AJ173" s="1076">
        <f>'MXD BS'!S41</f>
        <v>0</v>
      </c>
      <c r="AK173" s="1076">
        <f>'MXD BS'!T41</f>
        <v>0</v>
      </c>
      <c r="AL173" s="1076">
        <f>'MXD BS'!U41</f>
        <v>0</v>
      </c>
      <c r="AM173" s="1076">
        <f>'MXD BS'!V41</f>
        <v>0</v>
      </c>
      <c r="AN173" s="1076">
        <f>'MXD BS'!W41</f>
        <v>0</v>
      </c>
      <c r="AO173" s="1076">
        <f>'MXD BS'!X41</f>
        <v>0</v>
      </c>
      <c r="AP173" s="629"/>
      <c r="AQ173" s="629"/>
      <c r="AR173" s="618"/>
      <c r="AS173" s="629"/>
      <c r="AT173" s="629"/>
      <c r="AU173" s="629"/>
      <c r="AV173" s="629"/>
      <c r="AW173" s="629"/>
      <c r="AX173" s="629"/>
      <c r="AY173" s="629"/>
      <c r="AZ173" s="629"/>
      <c r="BA173" s="629"/>
      <c r="BB173" s="629"/>
      <c r="BC173" s="629"/>
      <c r="BE173" s="1195">
        <v>1469833.16</v>
      </c>
      <c r="BF173" s="924">
        <f t="shared" si="293"/>
        <v>0</v>
      </c>
      <c r="BG173" s="1195">
        <f t="shared" si="295"/>
        <v>0</v>
      </c>
      <c r="BH173" s="31"/>
      <c r="BI173" s="31"/>
      <c r="BJ173" s="31"/>
      <c r="BK173" s="31"/>
      <c r="BL173" s="31"/>
      <c r="BM173" s="31"/>
      <c r="BN173" s="31"/>
      <c r="BO173" s="31"/>
      <c r="BP173" s="31"/>
      <c r="BQ173" s="31"/>
      <c r="BR173" s="31"/>
      <c r="BS173" s="31"/>
      <c r="BT173" s="31"/>
      <c r="BU173" s="31"/>
      <c r="BV173" s="31"/>
      <c r="BW173" s="31"/>
      <c r="BX173" s="31"/>
      <c r="BY173" s="31"/>
      <c r="BZ173" s="31"/>
      <c r="CA173" s="31"/>
      <c r="CB173" s="31"/>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c r="EX173" s="31"/>
      <c r="EY173" s="31"/>
      <c r="EZ173" s="31"/>
      <c r="FA173" s="31"/>
      <c r="FB173" s="31"/>
      <c r="FC173" s="31"/>
      <c r="FD173" s="31"/>
      <c r="FE173" s="31"/>
      <c r="FF173" s="31"/>
      <c r="FG173" s="31"/>
      <c r="FH173" s="31"/>
      <c r="FI173" s="31"/>
      <c r="FJ173" s="31"/>
      <c r="FK173" s="31"/>
      <c r="FL173" s="31"/>
      <c r="FM173" s="31"/>
      <c r="FN173" s="31"/>
      <c r="FO173" s="31"/>
      <c r="FP173" s="31"/>
      <c r="FQ173" s="31"/>
      <c r="FR173" s="31"/>
      <c r="FS173" s="31"/>
      <c r="FT173" s="31"/>
      <c r="FU173" s="31"/>
      <c r="FV173" s="31"/>
      <c r="FW173" s="31"/>
      <c r="FX173" s="31"/>
      <c r="FY173" s="31"/>
      <c r="FZ173" s="31"/>
      <c r="GA173" s="31"/>
      <c r="GB173" s="31"/>
      <c r="GC173" s="31"/>
      <c r="GD173" s="31"/>
      <c r="GE173" s="31"/>
      <c r="GF173" s="31"/>
      <c r="GG173" s="31"/>
      <c r="GH173" s="31"/>
      <c r="GI173" s="31"/>
      <c r="GJ173" s="31"/>
      <c r="GK173" s="31"/>
      <c r="GL173" s="31"/>
      <c r="GM173" s="31"/>
      <c r="GN173" s="31"/>
      <c r="GO173" s="31"/>
      <c r="GP173" s="31"/>
      <c r="GQ173" s="31"/>
      <c r="GR173" s="31"/>
      <c r="GS173" s="31"/>
      <c r="GT173" s="31"/>
      <c r="GU173" s="31"/>
      <c r="GV173" s="31"/>
      <c r="GW173" s="31"/>
      <c r="GX173" s="31"/>
      <c r="GY173" s="31"/>
      <c r="GZ173" s="31"/>
      <c r="HA173" s="31"/>
      <c r="HB173" s="31"/>
      <c r="HC173" s="31"/>
      <c r="HD173" s="31"/>
      <c r="HE173" s="31"/>
      <c r="HF173" s="31"/>
      <c r="HG173" s="31"/>
      <c r="HH173" s="31"/>
      <c r="HI173" s="31"/>
      <c r="HJ173" s="31"/>
      <c r="HK173" s="31"/>
      <c r="HL173" s="31"/>
      <c r="HM173" s="31"/>
      <c r="HN173" s="31"/>
      <c r="HO173" s="31"/>
      <c r="HP173" s="31"/>
      <c r="HQ173" s="31"/>
      <c r="HR173" s="31"/>
      <c r="HS173" s="31"/>
      <c r="HT173" s="31"/>
      <c r="HU173" s="31"/>
      <c r="HV173" s="31"/>
      <c r="HW173" s="31"/>
      <c r="HX173" s="31"/>
      <c r="HY173" s="31"/>
      <c r="HZ173" s="31"/>
      <c r="IA173" s="31"/>
      <c r="IB173" s="31"/>
      <c r="IC173" s="31"/>
      <c r="ID173" s="31"/>
      <c r="IE173" s="31"/>
      <c r="IF173" s="31"/>
      <c r="IG173" s="31"/>
      <c r="IH173" s="31"/>
      <c r="II173" s="31"/>
      <c r="IJ173" s="31"/>
      <c r="IK173" s="31"/>
      <c r="IL173" s="31"/>
      <c r="IM173" s="31"/>
      <c r="IN173" s="31"/>
      <c r="IO173" s="31"/>
      <c r="IP173" s="31"/>
      <c r="IQ173" s="31"/>
      <c r="IR173" s="31"/>
      <c r="IS173" s="31"/>
      <c r="IT173" s="31"/>
      <c r="IU173" s="31"/>
      <c r="IV173" s="31"/>
      <c r="IW173" s="31"/>
      <c r="IX173" s="31"/>
      <c r="IY173" s="31"/>
      <c r="IZ173" s="31"/>
      <c r="JA173" s="31"/>
      <c r="JB173" s="31"/>
      <c r="JC173" s="31"/>
      <c r="JD173" s="31"/>
      <c r="JE173" s="31"/>
      <c r="JF173" s="31"/>
      <c r="JG173" s="31"/>
      <c r="JH173" s="31"/>
      <c r="JI173" s="31"/>
      <c r="JJ173" s="31"/>
      <c r="JK173" s="31"/>
      <c r="JL173" s="31"/>
      <c r="JM173" s="31"/>
      <c r="JN173" s="31"/>
      <c r="JO173" s="31"/>
      <c r="JP173" s="31"/>
      <c r="JQ173" s="31"/>
      <c r="JR173" s="31"/>
      <c r="JS173" s="31"/>
      <c r="JT173" s="31"/>
      <c r="JU173" s="31"/>
      <c r="JV173" s="31"/>
      <c r="JW173" s="31"/>
      <c r="JX173" s="31"/>
      <c r="JY173" s="31"/>
      <c r="JZ173" s="31"/>
      <c r="KA173" s="31"/>
      <c r="KB173" s="31"/>
      <c r="KC173" s="31"/>
      <c r="KD173" s="31"/>
      <c r="KE173" s="31"/>
      <c r="KF173" s="31"/>
      <c r="KG173" s="31"/>
      <c r="KH173" s="31"/>
      <c r="KI173" s="31"/>
      <c r="KJ173" s="31"/>
      <c r="KK173" s="31"/>
      <c r="KL173" s="31"/>
      <c r="KM173" s="31"/>
      <c r="KN173" s="31"/>
      <c r="KO173" s="31"/>
      <c r="KP173" s="31"/>
      <c r="KQ173" s="31"/>
      <c r="KR173" s="31"/>
      <c r="KS173" s="31"/>
      <c r="KT173" s="31"/>
      <c r="KU173" s="31"/>
      <c r="KV173" s="31"/>
      <c r="KW173" s="31"/>
      <c r="KX173" s="31"/>
      <c r="KY173" s="31"/>
      <c r="KZ173" s="31"/>
      <c r="LA173" s="31"/>
      <c r="LB173" s="31"/>
      <c r="LC173" s="31"/>
      <c r="LD173" s="31"/>
      <c r="LE173" s="31"/>
      <c r="LF173" s="31"/>
      <c r="LG173" s="31"/>
      <c r="LH173" s="31"/>
      <c r="LI173" s="31"/>
      <c r="LJ173" s="31"/>
      <c r="LK173" s="31"/>
      <c r="LL173" s="31"/>
      <c r="LM173" s="31"/>
      <c r="LN173" s="31"/>
      <c r="LO173" s="31"/>
      <c r="LP173" s="31"/>
      <c r="LQ173" s="31"/>
      <c r="LR173" s="31"/>
      <c r="LS173" s="31"/>
      <c r="LT173" s="31"/>
      <c r="LU173" s="31"/>
      <c r="LV173" s="31"/>
      <c r="LW173" s="31"/>
      <c r="LX173" s="31"/>
      <c r="LY173" s="31"/>
      <c r="LZ173" s="31"/>
      <c r="MA173" s="31"/>
      <c r="MB173" s="31"/>
      <c r="MC173" s="31"/>
      <c r="MD173" s="31"/>
      <c r="ME173" s="31"/>
      <c r="MF173" s="31"/>
      <c r="MG173" s="31"/>
      <c r="MH173" s="31"/>
      <c r="MI173" s="31"/>
      <c r="MJ173" s="31"/>
      <c r="MK173" s="31"/>
      <c r="ML173" s="31"/>
      <c r="MM173" s="31"/>
      <c r="MN173" s="31"/>
      <c r="MO173" s="31"/>
      <c r="MP173" s="31"/>
      <c r="MQ173" s="31"/>
      <c r="MR173" s="31"/>
      <c r="MS173" s="31"/>
      <c r="MT173" s="31"/>
      <c r="MU173" s="31"/>
      <c r="MV173" s="31"/>
      <c r="MW173" s="31"/>
      <c r="MX173" s="31"/>
      <c r="MY173" s="31"/>
      <c r="MZ173" s="31"/>
      <c r="NA173" s="31"/>
      <c r="NB173" s="31"/>
      <c r="NC173" s="31"/>
      <c r="ND173" s="31"/>
      <c r="NE173" s="31"/>
      <c r="NF173" s="31"/>
      <c r="NG173" s="31"/>
      <c r="NH173" s="31"/>
      <c r="NI173" s="31"/>
      <c r="NJ173" s="31"/>
      <c r="NK173" s="31"/>
      <c r="NL173" s="31"/>
      <c r="NM173" s="31"/>
      <c r="NN173" s="31"/>
      <c r="NO173" s="31"/>
      <c r="NP173" s="31"/>
      <c r="NQ173" s="31"/>
      <c r="NR173" s="31"/>
      <c r="NS173" s="31"/>
      <c r="NT173" s="31"/>
      <c r="NU173" s="31"/>
      <c r="NV173" s="31"/>
      <c r="NW173" s="31"/>
      <c r="NX173" s="31"/>
      <c r="NY173" s="31"/>
      <c r="NZ173" s="31"/>
      <c r="OA173" s="31"/>
      <c r="OB173" s="31"/>
      <c r="OC173" s="31"/>
      <c r="OD173" s="31"/>
      <c r="OE173" s="31"/>
      <c r="OF173" s="31"/>
      <c r="OG173" s="31"/>
      <c r="OH173" s="31"/>
      <c r="OI173" s="31"/>
      <c r="OJ173" s="31"/>
      <c r="OK173" s="31"/>
      <c r="OL173" s="31"/>
      <c r="OM173" s="31"/>
      <c r="ON173" s="31"/>
      <c r="OO173" s="31"/>
      <c r="OP173" s="31"/>
      <c r="OQ173" s="31"/>
      <c r="OR173" s="31"/>
      <c r="OS173" s="31"/>
      <c r="OT173" s="31"/>
      <c r="OU173" s="31"/>
      <c r="OV173" s="31"/>
      <c r="OW173" s="31"/>
      <c r="OX173" s="31"/>
      <c r="OY173" s="31"/>
      <c r="OZ173" s="31"/>
      <c r="PA173" s="31"/>
      <c r="PB173" s="31"/>
      <c r="PC173" s="31"/>
      <c r="PD173" s="31"/>
      <c r="PE173" s="31"/>
      <c r="PF173" s="31"/>
      <c r="PG173" s="31"/>
      <c r="PH173" s="31"/>
      <c r="PI173" s="31"/>
      <c r="PJ173" s="31"/>
      <c r="PK173" s="31"/>
      <c r="PL173" s="31"/>
      <c r="PM173" s="31"/>
      <c r="PN173" s="31"/>
      <c r="PO173" s="31"/>
      <c r="PP173" s="31"/>
      <c r="PQ173" s="31"/>
      <c r="PR173" s="31"/>
      <c r="PS173" s="31"/>
      <c r="PT173" s="31"/>
      <c r="PU173" s="31"/>
      <c r="PV173" s="31"/>
      <c r="PW173" s="31"/>
      <c r="PX173" s="31"/>
      <c r="PY173" s="31"/>
      <c r="PZ173" s="31"/>
      <c r="QA173" s="31"/>
      <c r="QB173" s="31"/>
      <c r="QC173" s="31"/>
      <c r="QD173" s="31"/>
      <c r="QE173" s="31"/>
      <c r="QF173" s="31"/>
      <c r="QG173" s="31"/>
      <c r="QH173" s="31"/>
      <c r="QI173" s="31"/>
      <c r="QJ173" s="31"/>
      <c r="QK173" s="31"/>
      <c r="QL173" s="31"/>
      <c r="QM173" s="31"/>
      <c r="QN173" s="31"/>
      <c r="QO173" s="31"/>
      <c r="QP173" s="31"/>
      <c r="QQ173" s="31"/>
      <c r="QR173" s="31"/>
      <c r="QS173" s="31"/>
      <c r="QT173" s="31"/>
      <c r="QU173" s="31"/>
      <c r="QV173" s="31"/>
      <c r="QW173" s="31"/>
      <c r="QX173" s="31"/>
      <c r="QY173" s="31"/>
      <c r="QZ173" s="31"/>
      <c r="RA173" s="31"/>
      <c r="RB173" s="31"/>
      <c r="RC173" s="31"/>
      <c r="RD173" s="31"/>
      <c r="RE173" s="31"/>
      <c r="RF173" s="31"/>
      <c r="RG173" s="31"/>
      <c r="RH173" s="31"/>
      <c r="RI173" s="31"/>
      <c r="RJ173" s="31"/>
      <c r="RK173" s="31"/>
      <c r="RL173" s="31"/>
      <c r="RM173" s="31"/>
      <c r="RN173" s="31"/>
      <c r="RO173" s="31"/>
      <c r="RP173" s="31"/>
      <c r="RQ173" s="31"/>
      <c r="RR173" s="31"/>
      <c r="RS173" s="31"/>
      <c r="RT173" s="31"/>
      <c r="RU173" s="31"/>
      <c r="RV173" s="31"/>
      <c r="RW173" s="31"/>
      <c r="RX173" s="31"/>
      <c r="RY173" s="31"/>
      <c r="RZ173" s="31"/>
      <c r="SA173" s="31"/>
      <c r="SB173" s="31"/>
      <c r="SC173" s="31"/>
      <c r="SD173" s="31"/>
      <c r="SE173" s="31"/>
      <c r="SF173" s="31"/>
      <c r="SG173" s="31"/>
      <c r="SH173" s="31"/>
      <c r="SI173" s="31"/>
      <c r="SJ173" s="31"/>
      <c r="SK173" s="31"/>
      <c r="SL173" s="31"/>
      <c r="SM173" s="31"/>
      <c r="SN173" s="31"/>
      <c r="SO173" s="31"/>
      <c r="SP173" s="31"/>
      <c r="SQ173" s="31"/>
      <c r="SR173" s="31"/>
      <c r="SS173" s="31"/>
      <c r="ST173" s="31"/>
      <c r="SU173" s="31"/>
      <c r="SV173" s="31"/>
      <c r="SW173" s="31"/>
      <c r="SX173" s="31"/>
      <c r="SY173" s="31"/>
      <c r="SZ173" s="31"/>
      <c r="TA173" s="31"/>
      <c r="TB173" s="31"/>
      <c r="TC173" s="31"/>
      <c r="TD173" s="31"/>
      <c r="TE173" s="31"/>
      <c r="TF173" s="31"/>
      <c r="TG173" s="31"/>
      <c r="TH173" s="31"/>
      <c r="TI173" s="31"/>
      <c r="TJ173" s="31"/>
      <c r="TK173" s="31"/>
      <c r="TL173" s="31"/>
      <c r="TM173" s="31"/>
      <c r="TN173" s="31"/>
      <c r="TO173" s="31"/>
      <c r="TP173" s="31"/>
      <c r="TQ173" s="31"/>
      <c r="TR173" s="31"/>
      <c r="TS173" s="31"/>
      <c r="TT173" s="31"/>
      <c r="TU173" s="31"/>
      <c r="TV173" s="31"/>
      <c r="TW173" s="31"/>
      <c r="TX173" s="31"/>
      <c r="TY173" s="31"/>
      <c r="TZ173" s="31"/>
      <c r="UA173" s="31"/>
      <c r="UB173" s="31"/>
      <c r="UC173" s="31"/>
      <c r="UD173" s="31"/>
      <c r="UE173" s="31"/>
      <c r="UF173" s="31"/>
      <c r="UG173" s="31"/>
      <c r="UH173" s="31"/>
      <c r="UI173" s="31"/>
      <c r="UJ173" s="31"/>
      <c r="UK173" s="31"/>
      <c r="UL173" s="31"/>
      <c r="UM173" s="31"/>
      <c r="UN173" s="31"/>
      <c r="UO173" s="31"/>
      <c r="UP173" s="31"/>
      <c r="UQ173" s="31"/>
      <c r="UR173" s="31"/>
      <c r="US173" s="31"/>
      <c r="UT173" s="31"/>
      <c r="UU173" s="31"/>
      <c r="UV173" s="31"/>
      <c r="UW173" s="31"/>
      <c r="UX173" s="31"/>
      <c r="UY173" s="31"/>
      <c r="UZ173" s="31"/>
      <c r="VA173" s="31"/>
      <c r="VB173" s="31"/>
      <c r="VC173" s="31"/>
      <c r="VD173" s="31"/>
      <c r="VE173" s="31"/>
      <c r="VF173" s="31"/>
      <c r="VG173" s="31"/>
      <c r="VH173" s="31"/>
      <c r="VI173" s="31"/>
      <c r="VJ173" s="31"/>
      <c r="VK173" s="31"/>
      <c r="VL173" s="31"/>
      <c r="VM173" s="31"/>
      <c r="VN173" s="31"/>
      <c r="VO173" s="31"/>
      <c r="VP173" s="31"/>
      <c r="VQ173" s="31"/>
      <c r="VR173" s="31"/>
      <c r="VS173" s="31"/>
      <c r="VT173" s="31"/>
      <c r="VU173" s="31"/>
      <c r="VV173" s="31"/>
      <c r="VW173" s="31"/>
      <c r="VX173" s="31"/>
      <c r="VY173" s="31"/>
      <c r="VZ173" s="31"/>
      <c r="WA173" s="31"/>
      <c r="WB173" s="31"/>
      <c r="WC173" s="31"/>
      <c r="WD173" s="31"/>
      <c r="WE173" s="31"/>
      <c r="WF173" s="31"/>
      <c r="WG173" s="31"/>
      <c r="WH173" s="31"/>
      <c r="WI173" s="31"/>
      <c r="WJ173" s="31"/>
      <c r="WK173" s="31"/>
      <c r="WL173" s="31"/>
      <c r="WM173" s="31"/>
      <c r="WN173" s="31"/>
      <c r="WO173" s="31"/>
      <c r="WP173" s="31"/>
      <c r="WQ173" s="31"/>
      <c r="WR173" s="31"/>
      <c r="WS173" s="31"/>
      <c r="WT173" s="31"/>
      <c r="WU173" s="31"/>
      <c r="WV173" s="31"/>
      <c r="WW173" s="31"/>
      <c r="WX173" s="31"/>
      <c r="WY173" s="31"/>
      <c r="WZ173" s="31"/>
      <c r="XA173" s="31"/>
      <c r="XB173" s="31"/>
      <c r="XC173" s="31"/>
      <c r="XD173" s="31"/>
      <c r="XE173" s="31"/>
      <c r="XF173" s="31"/>
      <c r="XG173" s="31"/>
      <c r="XH173" s="31"/>
      <c r="XI173" s="31"/>
      <c r="XJ173" s="31"/>
      <c r="XK173" s="31"/>
      <c r="XL173" s="31"/>
      <c r="XM173" s="31"/>
      <c r="XN173" s="31"/>
      <c r="XO173" s="31"/>
      <c r="XP173" s="31"/>
      <c r="XQ173" s="31"/>
      <c r="XR173" s="31"/>
      <c r="XS173" s="31"/>
      <c r="XT173" s="31"/>
      <c r="XU173" s="31"/>
      <c r="XV173" s="31"/>
      <c r="XW173" s="31"/>
      <c r="XX173" s="31"/>
      <c r="XY173" s="31"/>
      <c r="XZ173" s="31"/>
      <c r="YA173" s="31"/>
      <c r="YB173" s="31"/>
      <c r="YC173" s="31"/>
      <c r="YD173" s="31"/>
      <c r="YE173" s="31"/>
      <c r="YF173" s="31"/>
      <c r="YG173" s="31"/>
      <c r="YH173" s="31"/>
      <c r="YI173" s="31"/>
      <c r="YJ173" s="31"/>
      <c r="YK173" s="31"/>
      <c r="YL173" s="31"/>
      <c r="YM173" s="31"/>
      <c r="YN173" s="31"/>
      <c r="YO173" s="31"/>
      <c r="YP173" s="31"/>
      <c r="YQ173" s="31"/>
      <c r="YR173" s="31"/>
      <c r="YS173" s="31"/>
      <c r="YT173" s="31"/>
      <c r="YU173" s="31"/>
      <c r="YV173" s="31"/>
      <c r="YW173" s="31"/>
      <c r="YX173" s="31"/>
      <c r="YY173" s="31"/>
      <c r="YZ173" s="31"/>
      <c r="ZA173" s="31"/>
      <c r="ZB173" s="31"/>
      <c r="ZC173" s="31"/>
      <c r="ZD173" s="31"/>
      <c r="ZE173" s="31"/>
      <c r="ZF173" s="31"/>
      <c r="ZG173" s="31"/>
      <c r="ZH173" s="31"/>
      <c r="ZI173" s="31"/>
      <c r="ZJ173" s="31"/>
      <c r="ZK173" s="31"/>
      <c r="ZL173" s="31"/>
      <c r="ZM173" s="31"/>
      <c r="ZN173" s="31"/>
      <c r="ZO173" s="31"/>
      <c r="ZP173" s="31"/>
      <c r="ZQ173" s="31"/>
      <c r="ZR173" s="31"/>
      <c r="ZS173" s="31"/>
      <c r="ZT173" s="31"/>
      <c r="ZU173" s="31"/>
      <c r="ZV173" s="31"/>
      <c r="ZW173" s="31"/>
      <c r="ZX173" s="31"/>
      <c r="ZY173" s="31"/>
      <c r="ZZ173" s="31"/>
      <c r="AAA173" s="31"/>
      <c r="AAB173" s="31"/>
      <c r="AAC173" s="31"/>
      <c r="AAD173" s="31"/>
      <c r="AAE173" s="31"/>
      <c r="AAF173" s="31"/>
      <c r="AAG173" s="31"/>
      <c r="AAH173" s="31"/>
      <c r="AAI173" s="31"/>
      <c r="AAJ173" s="31"/>
      <c r="AAK173" s="31"/>
      <c r="AAL173" s="31"/>
      <c r="AAM173" s="31"/>
      <c r="AAN173" s="31"/>
      <c r="AAO173" s="31"/>
      <c r="AAP173" s="31"/>
      <c r="AAQ173" s="31"/>
      <c r="AAR173" s="31"/>
      <c r="AAS173" s="31"/>
      <c r="AAT173" s="31"/>
      <c r="AAU173" s="31"/>
      <c r="AAV173" s="31"/>
      <c r="AAW173" s="31"/>
      <c r="AAX173" s="31"/>
      <c r="AAY173" s="31"/>
      <c r="AAZ173" s="31"/>
      <c r="ABA173" s="31"/>
      <c r="ABB173" s="31"/>
      <c r="ABC173" s="31"/>
      <c r="ABD173" s="31"/>
      <c r="ABE173" s="31"/>
      <c r="ABF173" s="31"/>
      <c r="ABG173" s="31"/>
      <c r="ABH173" s="31"/>
      <c r="ABI173" s="31"/>
      <c r="ABJ173" s="31"/>
      <c r="ABK173" s="31"/>
      <c r="ABL173" s="31"/>
      <c r="ABM173" s="31"/>
      <c r="ABN173" s="31"/>
      <c r="ABO173" s="31"/>
      <c r="ABP173" s="31"/>
      <c r="ABQ173" s="31"/>
      <c r="ABR173" s="31"/>
      <c r="ABS173" s="31"/>
      <c r="ABT173" s="31"/>
      <c r="ABU173" s="31"/>
      <c r="ABV173" s="31"/>
      <c r="ABW173" s="31"/>
      <c r="ABX173" s="31"/>
      <c r="ABY173" s="31"/>
      <c r="ABZ173" s="31"/>
      <c r="ACA173" s="31"/>
      <c r="ACB173" s="31"/>
      <c r="ACC173" s="31"/>
      <c r="ACD173" s="31"/>
      <c r="ACE173" s="31"/>
      <c r="ACF173" s="31"/>
      <c r="ACG173" s="31"/>
      <c r="ACH173" s="31"/>
      <c r="ACI173" s="31"/>
      <c r="ACJ173" s="31"/>
      <c r="ACK173" s="31"/>
      <c r="ACL173" s="31"/>
      <c r="ACM173" s="31"/>
      <c r="ACN173" s="31"/>
      <c r="ACO173" s="31"/>
      <c r="ACP173" s="31"/>
      <c r="ACQ173" s="31"/>
      <c r="ACR173" s="31"/>
      <c r="ACS173" s="31"/>
      <c r="ACT173" s="31"/>
      <c r="ACU173" s="31"/>
      <c r="ACV173" s="31"/>
      <c r="ACW173" s="31"/>
      <c r="ACX173" s="31"/>
      <c r="ACY173" s="31"/>
      <c r="ACZ173" s="31"/>
      <c r="ADA173" s="31"/>
      <c r="ADB173" s="31"/>
      <c r="ADC173" s="31"/>
      <c r="ADD173" s="31"/>
      <c r="ADE173" s="31"/>
      <c r="ADF173" s="31"/>
      <c r="ADG173" s="31"/>
      <c r="ADH173" s="31"/>
      <c r="ADI173" s="31"/>
      <c r="ADJ173" s="31"/>
      <c r="ADK173" s="31"/>
      <c r="ADL173" s="31"/>
      <c r="ADM173" s="31"/>
      <c r="ADN173" s="31"/>
      <c r="ADO173" s="31"/>
      <c r="ADP173" s="31"/>
      <c r="ADQ173" s="31"/>
      <c r="ADR173" s="31"/>
      <c r="ADS173" s="31"/>
      <c r="ADT173" s="31"/>
      <c r="ADU173" s="31"/>
      <c r="ADV173" s="31"/>
      <c r="ADW173" s="31"/>
      <c r="ADX173" s="31"/>
      <c r="ADY173" s="31"/>
      <c r="ADZ173" s="31"/>
      <c r="AEA173" s="31"/>
      <c r="AEB173" s="31"/>
      <c r="AEC173" s="31"/>
      <c r="AED173" s="31"/>
      <c r="AEE173" s="31"/>
      <c r="AEF173" s="31"/>
      <c r="AEG173" s="31"/>
      <c r="AEH173" s="31"/>
      <c r="AEI173" s="31"/>
      <c r="AEJ173" s="31"/>
      <c r="AEK173" s="31"/>
      <c r="AEL173" s="31"/>
      <c r="AEM173" s="31"/>
      <c r="AEN173" s="31"/>
      <c r="AEO173" s="31"/>
      <c r="AEP173" s="31"/>
      <c r="AEQ173" s="31"/>
      <c r="AER173" s="31"/>
      <c r="AES173" s="31"/>
      <c r="AET173" s="31"/>
      <c r="AEU173" s="31"/>
      <c r="AEV173" s="31"/>
      <c r="AEW173" s="31"/>
      <c r="AEX173" s="31"/>
      <c r="AEY173" s="31"/>
      <c r="AEZ173" s="31"/>
      <c r="AFA173" s="31"/>
      <c r="AFB173" s="31"/>
      <c r="AFC173" s="31"/>
      <c r="AFD173" s="31"/>
      <c r="AFE173" s="31"/>
      <c r="AFF173" s="31"/>
      <c r="AFG173" s="31"/>
      <c r="AFH173" s="31"/>
      <c r="AFI173" s="31"/>
      <c r="AFJ173" s="31"/>
      <c r="AFK173" s="31"/>
      <c r="AFL173" s="31"/>
      <c r="AFM173" s="31"/>
      <c r="AFN173" s="31"/>
      <c r="AFO173" s="31"/>
      <c r="AFP173" s="31"/>
      <c r="AFQ173" s="31"/>
      <c r="AFR173" s="31"/>
      <c r="AFS173" s="31"/>
      <c r="AFT173" s="31"/>
      <c r="AFU173" s="31"/>
      <c r="AFV173" s="31"/>
      <c r="AFW173" s="31"/>
      <c r="AFX173" s="31"/>
      <c r="AFY173" s="31"/>
      <c r="AFZ173" s="31"/>
      <c r="AGA173" s="31"/>
      <c r="AGB173" s="31"/>
      <c r="AGC173" s="31"/>
      <c r="AGD173" s="31"/>
      <c r="AGE173" s="31"/>
      <c r="AGF173" s="31"/>
      <c r="AGG173" s="31"/>
      <c r="AGH173" s="31"/>
      <c r="AGI173" s="31"/>
      <c r="AGJ173" s="31"/>
      <c r="AGK173" s="31"/>
      <c r="AGL173" s="31"/>
      <c r="AGM173" s="31"/>
      <c r="AGN173" s="31"/>
      <c r="AGO173" s="31"/>
      <c r="AGP173" s="31"/>
      <c r="AGQ173" s="31"/>
      <c r="AGR173" s="31"/>
      <c r="AGS173" s="31"/>
      <c r="AGT173" s="31"/>
      <c r="AGU173" s="31"/>
      <c r="AGV173" s="31"/>
      <c r="AGW173" s="31"/>
      <c r="AGX173" s="31"/>
      <c r="AGY173" s="31"/>
      <c r="AGZ173" s="31"/>
      <c r="AHA173" s="31"/>
      <c r="AHB173" s="31"/>
      <c r="AHC173" s="31"/>
      <c r="AHD173" s="31"/>
      <c r="AHE173" s="31"/>
      <c r="AHF173" s="31"/>
      <c r="AHG173" s="31"/>
      <c r="AHH173" s="31"/>
      <c r="AHI173" s="31"/>
      <c r="AHJ173" s="31"/>
      <c r="AHK173" s="31"/>
      <c r="AHL173" s="31"/>
      <c r="AHM173" s="31"/>
      <c r="AHN173" s="31"/>
      <c r="AHO173" s="31"/>
      <c r="AHP173" s="31"/>
      <c r="AHQ173" s="31"/>
      <c r="AHR173" s="31"/>
      <c r="AHS173" s="31"/>
      <c r="AHT173" s="31"/>
      <c r="AHU173" s="31"/>
      <c r="AHV173" s="31"/>
      <c r="AHW173" s="31"/>
      <c r="AHX173" s="31"/>
      <c r="AHY173" s="31"/>
      <c r="AHZ173" s="31"/>
      <c r="AIA173" s="31"/>
      <c r="AIB173" s="31"/>
      <c r="AIC173" s="31"/>
      <c r="AID173" s="31"/>
      <c r="AIE173" s="31"/>
      <c r="AIF173" s="31"/>
      <c r="AIG173" s="31"/>
      <c r="AIH173" s="31"/>
      <c r="AII173" s="31"/>
      <c r="AIJ173" s="31"/>
      <c r="AIK173" s="31"/>
      <c r="AIL173" s="31"/>
      <c r="AIM173" s="31"/>
      <c r="AIN173" s="31"/>
      <c r="AIO173" s="31"/>
      <c r="AIP173" s="31"/>
      <c r="AIQ173" s="31"/>
      <c r="AIR173" s="31"/>
      <c r="AIS173" s="31"/>
      <c r="AIT173" s="31"/>
      <c r="AIU173" s="31"/>
      <c r="AIV173" s="31"/>
      <c r="AIW173" s="31"/>
      <c r="AIX173" s="31"/>
      <c r="AIY173" s="31"/>
      <c r="AIZ173" s="31"/>
      <c r="AJA173" s="31"/>
      <c r="AJB173" s="31"/>
      <c r="AJC173" s="31"/>
      <c r="AJD173" s="31"/>
      <c r="AJE173" s="31"/>
      <c r="AJF173" s="31"/>
      <c r="AJG173" s="31"/>
      <c r="AJH173" s="31"/>
      <c r="AJI173" s="31"/>
      <c r="AJJ173" s="31"/>
      <c r="AJK173" s="31"/>
      <c r="AJL173" s="31"/>
      <c r="AJM173" s="31"/>
      <c r="AJN173" s="31"/>
      <c r="AJO173" s="31"/>
      <c r="AJP173" s="31"/>
      <c r="AJQ173" s="31"/>
      <c r="AJR173" s="31"/>
      <c r="AJS173" s="31"/>
      <c r="AJT173" s="31"/>
      <c r="AJU173" s="31"/>
      <c r="AJV173" s="31"/>
      <c r="AJW173" s="31"/>
      <c r="AJX173" s="31"/>
      <c r="AJY173" s="31"/>
      <c r="AJZ173" s="31"/>
      <c r="AKA173" s="31"/>
      <c r="AKB173" s="31"/>
      <c r="AKC173" s="31"/>
      <c r="AKD173" s="31"/>
      <c r="AKE173" s="31"/>
      <c r="AKF173" s="31"/>
      <c r="AKG173" s="31"/>
      <c r="AKH173" s="31"/>
      <c r="AKI173" s="31"/>
      <c r="AKJ173" s="31"/>
      <c r="AKK173" s="31"/>
      <c r="AKL173" s="31"/>
      <c r="AKM173" s="31"/>
      <c r="AKN173" s="31"/>
      <c r="AKO173" s="31"/>
      <c r="AKP173" s="31"/>
      <c r="AKQ173" s="31"/>
      <c r="AKR173" s="31"/>
      <c r="AKS173" s="31"/>
      <c r="AKT173" s="31"/>
      <c r="AKU173" s="31"/>
      <c r="AKV173" s="31"/>
      <c r="AKW173" s="31"/>
      <c r="AKX173" s="31"/>
      <c r="AKY173" s="31"/>
      <c r="AKZ173" s="31"/>
      <c r="ALA173" s="31"/>
      <c r="ALB173" s="31"/>
      <c r="ALC173" s="31"/>
      <c r="ALD173" s="31"/>
      <c r="ALE173" s="31"/>
      <c r="ALF173" s="31"/>
      <c r="ALG173" s="31"/>
      <c r="ALH173" s="31"/>
      <c r="ALI173" s="31"/>
      <c r="ALJ173" s="31"/>
      <c r="ALK173" s="31"/>
      <c r="ALL173" s="31"/>
      <c r="ALM173" s="31"/>
      <c r="ALN173" s="31"/>
      <c r="ALO173" s="31"/>
      <c r="ALP173" s="31"/>
      <c r="ALQ173" s="31"/>
      <c r="ALR173" s="31"/>
      <c r="ALS173" s="31"/>
      <c r="ALT173" s="31"/>
      <c r="ALU173" s="31"/>
      <c r="ALV173" s="31"/>
      <c r="ALW173" s="31"/>
      <c r="ALX173" s="31"/>
      <c r="ALY173" s="31"/>
      <c r="ALZ173" s="31"/>
      <c r="AMA173" s="31"/>
      <c r="AMB173" s="31"/>
      <c r="AMC173" s="31"/>
      <c r="AMD173" s="31"/>
      <c r="AME173" s="31"/>
      <c r="AMF173" s="31"/>
      <c r="AMG173" s="31"/>
      <c r="AMH173" s="31"/>
      <c r="AMI173" s="31"/>
      <c r="AMJ173" s="31"/>
      <c r="AMK173" s="31"/>
      <c r="AML173" s="31"/>
      <c r="AMM173" s="31"/>
      <c r="AMN173" s="31"/>
      <c r="AMO173" s="31"/>
      <c r="AMP173" s="31"/>
      <c r="AMQ173" s="31"/>
      <c r="AMR173" s="31"/>
      <c r="AMS173" s="31"/>
      <c r="AMT173" s="31"/>
      <c r="AMU173" s="31"/>
      <c r="AMV173" s="31"/>
      <c r="AMW173" s="31"/>
      <c r="AMX173" s="31"/>
      <c r="AMY173" s="31"/>
      <c r="AMZ173" s="31"/>
      <c r="ANA173" s="31"/>
      <c r="ANB173" s="31"/>
      <c r="ANC173" s="31"/>
      <c r="AND173" s="31"/>
      <c r="ANE173" s="31"/>
      <c r="ANF173" s="31"/>
      <c r="ANG173" s="31"/>
      <c r="ANH173" s="31"/>
      <c r="ANI173" s="31"/>
      <c r="ANJ173" s="31"/>
      <c r="ANK173" s="31"/>
      <c r="ANL173" s="31"/>
      <c r="ANM173" s="31"/>
      <c r="ANN173" s="31"/>
      <c r="ANO173" s="31"/>
      <c r="ANP173" s="31"/>
      <c r="ANQ173" s="31"/>
      <c r="ANR173" s="31"/>
      <c r="ANS173" s="31"/>
      <c r="ANT173" s="31"/>
      <c r="ANU173" s="31"/>
      <c r="ANV173" s="31"/>
      <c r="ANW173" s="31"/>
      <c r="ANX173" s="31"/>
      <c r="ANY173" s="31"/>
      <c r="ANZ173" s="31"/>
      <c r="AOA173" s="31"/>
      <c r="AOB173" s="31"/>
      <c r="AOC173" s="31"/>
      <c r="AOD173" s="31"/>
      <c r="AOE173" s="31"/>
      <c r="AOF173" s="31"/>
      <c r="AOG173" s="31"/>
      <c r="AOH173" s="31"/>
      <c r="AOI173" s="31"/>
      <c r="AOJ173" s="31"/>
      <c r="AOK173" s="31"/>
      <c r="AOL173" s="31"/>
      <c r="AOM173" s="31"/>
      <c r="AON173" s="31"/>
      <c r="AOO173" s="31"/>
      <c r="AOP173" s="31"/>
      <c r="AOQ173" s="31"/>
      <c r="AOR173" s="31"/>
      <c r="AOS173" s="31"/>
      <c r="AOT173" s="31"/>
      <c r="AOU173" s="31"/>
      <c r="AOV173" s="31"/>
      <c r="AOW173" s="31"/>
      <c r="AOX173" s="31"/>
      <c r="AOY173" s="31"/>
      <c r="AOZ173" s="31"/>
      <c r="APA173" s="31"/>
      <c r="APB173" s="31"/>
      <c r="APC173" s="31"/>
      <c r="APD173" s="31"/>
      <c r="APE173" s="31"/>
      <c r="APF173" s="31"/>
      <c r="APG173" s="31"/>
      <c r="APH173" s="31"/>
      <c r="API173" s="31"/>
      <c r="APJ173" s="31"/>
      <c r="APK173" s="31"/>
      <c r="APL173" s="31"/>
      <c r="APM173" s="31"/>
      <c r="APN173" s="31"/>
      <c r="APO173" s="31"/>
      <c r="APP173" s="31"/>
      <c r="APQ173" s="31"/>
      <c r="APR173" s="31"/>
      <c r="APS173" s="31"/>
      <c r="APT173" s="31"/>
      <c r="APU173" s="31"/>
      <c r="APV173" s="31"/>
      <c r="APW173" s="31"/>
      <c r="APX173" s="31"/>
      <c r="APY173" s="31"/>
      <c r="APZ173" s="31"/>
      <c r="AQA173" s="31"/>
      <c r="AQB173" s="31"/>
      <c r="AQC173" s="31"/>
      <c r="AQD173" s="31"/>
      <c r="AQE173" s="31"/>
      <c r="AQF173" s="31"/>
      <c r="AQG173" s="31"/>
      <c r="AQH173" s="31"/>
      <c r="AQI173" s="31"/>
      <c r="AQJ173" s="31"/>
      <c r="AQK173" s="31"/>
      <c r="AQL173" s="31"/>
      <c r="AQM173" s="31"/>
      <c r="AQN173" s="31"/>
      <c r="AQO173" s="31"/>
      <c r="AQP173" s="31"/>
      <c r="AQQ173" s="31"/>
      <c r="AQR173" s="31"/>
      <c r="AQS173" s="31"/>
      <c r="AQT173" s="31"/>
      <c r="AQU173" s="31"/>
      <c r="AQV173" s="31"/>
      <c r="AQW173" s="31"/>
      <c r="AQX173" s="31"/>
      <c r="AQY173" s="31"/>
      <c r="AQZ173" s="31"/>
      <c r="ARA173" s="31"/>
      <c r="ARB173" s="31"/>
      <c r="ARC173" s="31"/>
      <c r="ARD173" s="31"/>
      <c r="ARE173" s="31"/>
      <c r="ARF173" s="31"/>
      <c r="ARG173" s="31"/>
      <c r="ARH173" s="31"/>
      <c r="ARI173" s="31"/>
      <c r="ARJ173" s="31"/>
      <c r="ARK173" s="31"/>
      <c r="ARL173" s="31"/>
      <c r="ARM173" s="31"/>
      <c r="ARN173" s="31"/>
      <c r="ARO173" s="31"/>
      <c r="ARP173" s="31"/>
      <c r="ARQ173" s="31"/>
      <c r="ARR173" s="31"/>
      <c r="ARS173" s="31"/>
      <c r="ART173" s="31"/>
      <c r="ARU173" s="31"/>
      <c r="ARV173" s="31"/>
      <c r="ARW173" s="31"/>
      <c r="ARX173" s="31"/>
      <c r="ARY173" s="31"/>
      <c r="ARZ173" s="31"/>
      <c r="ASA173" s="31"/>
      <c r="ASB173" s="31"/>
      <c r="ASC173" s="31"/>
      <c r="ASD173" s="31"/>
      <c r="ASE173" s="31"/>
      <c r="ASF173" s="31"/>
      <c r="ASG173" s="31"/>
      <c r="ASH173" s="31"/>
      <c r="ASI173" s="31"/>
      <c r="ASJ173" s="31"/>
      <c r="ASK173" s="31"/>
      <c r="ASL173" s="31"/>
      <c r="ASM173" s="31"/>
      <c r="ASN173" s="31"/>
      <c r="ASO173" s="31"/>
      <c r="ASP173" s="31"/>
      <c r="ASQ173" s="31"/>
      <c r="ASR173" s="31"/>
      <c r="ASS173" s="31"/>
      <c r="AST173" s="31"/>
      <c r="ASU173" s="31"/>
      <c r="ASV173" s="31"/>
      <c r="ASW173" s="31"/>
      <c r="ASX173" s="31"/>
      <c r="ASY173" s="31"/>
      <c r="ASZ173" s="31"/>
      <c r="ATA173" s="31"/>
      <c r="ATB173" s="31"/>
      <c r="ATC173" s="31"/>
      <c r="ATD173" s="31"/>
      <c r="ATE173" s="31"/>
    </row>
    <row r="174" spans="1:1201" s="34" customFormat="1" ht="15.75" customHeight="1" x14ac:dyDescent="0.3">
      <c r="A174" s="76"/>
      <c r="B174" s="76"/>
      <c r="C174" s="64" t="s">
        <v>732</v>
      </c>
      <c r="D174" s="65"/>
      <c r="E174" s="65"/>
      <c r="F174" s="150"/>
      <c r="G174" s="151"/>
      <c r="H174" s="648"/>
      <c r="I174" s="629"/>
      <c r="J174" s="629"/>
      <c r="K174" s="629"/>
      <c r="L174" s="629"/>
      <c r="M174" s="629"/>
      <c r="N174" s="629"/>
      <c r="O174" s="629"/>
      <c r="P174" s="629"/>
      <c r="Q174" s="629"/>
      <c r="R174" s="629"/>
      <c r="S174" s="925">
        <f>'MXD BS'!B42</f>
        <v>0</v>
      </c>
      <c r="T174" s="1134">
        <f>'MXD BS'!C42</f>
        <v>0</v>
      </c>
      <c r="U174" s="1134">
        <f>'MXD BS'!D42</f>
        <v>0</v>
      </c>
      <c r="V174" s="1134">
        <f>'MXD BS'!E42</f>
        <v>0</v>
      </c>
      <c r="W174" s="1134">
        <f>'MXD BS'!F42</f>
        <v>0</v>
      </c>
      <c r="X174" s="1134">
        <f>'MXD BS'!G42</f>
        <v>0</v>
      </c>
      <c r="Y174" s="1134">
        <f>'MXD BS'!H42</f>
        <v>0</v>
      </c>
      <c r="Z174" s="1134">
        <f>'MXD BS'!I42</f>
        <v>0</v>
      </c>
      <c r="AA174" s="1134">
        <f>'MXD BS'!J42</f>
        <v>352.73</v>
      </c>
      <c r="AB174" s="1134">
        <f>'MXD BS'!K42</f>
        <v>352.73</v>
      </c>
      <c r="AC174" s="1134">
        <f>'MXD BS'!L42</f>
        <v>1131.05</v>
      </c>
      <c r="AD174" s="1134">
        <f>'MXD BS'!M42</f>
        <v>1131.05</v>
      </c>
      <c r="AE174" s="1134">
        <f>'MXD BS'!N42</f>
        <v>0</v>
      </c>
      <c r="AF174" s="1134">
        <f>'MXD BS'!O42</f>
        <v>0</v>
      </c>
      <c r="AG174" s="1134">
        <f>'MXD BS'!P42</f>
        <v>0</v>
      </c>
      <c r="AH174" s="1134">
        <f>'MXD BS'!Q42</f>
        <v>0</v>
      </c>
      <c r="AI174" s="1134">
        <f>'MXD BS'!R42</f>
        <v>0</v>
      </c>
      <c r="AJ174" s="1134">
        <f>'MXD BS'!S42</f>
        <v>-4667</v>
      </c>
      <c r="AK174" s="1134">
        <f>'MXD BS'!T42</f>
        <v>-4667</v>
      </c>
      <c r="AL174" s="1134">
        <f>'MXD BS'!U42</f>
        <v>0</v>
      </c>
      <c r="AM174" s="1134">
        <f>'MXD BS'!V42</f>
        <v>0</v>
      </c>
      <c r="AN174" s="1134">
        <f>'MXD BS'!W42</f>
        <v>0</v>
      </c>
      <c r="AO174" s="1134">
        <f>'MXD BS'!X42</f>
        <v>0</v>
      </c>
      <c r="AP174" s="629"/>
      <c r="AQ174" s="629"/>
      <c r="AR174" s="618"/>
      <c r="AS174" s="629"/>
      <c r="AT174" s="629"/>
      <c r="AU174" s="629"/>
      <c r="AV174" s="629"/>
      <c r="AW174" s="629"/>
      <c r="AX174" s="629"/>
      <c r="AY174" s="629"/>
      <c r="AZ174" s="629"/>
      <c r="BA174" s="629"/>
      <c r="BB174" s="629"/>
      <c r="BC174" s="629"/>
      <c r="BE174" s="1207">
        <v>1469833.16</v>
      </c>
      <c r="BF174" s="1134">
        <f t="shared" si="293"/>
        <v>0</v>
      </c>
      <c r="BG174" s="1207">
        <f t="shared" si="295"/>
        <v>0</v>
      </c>
      <c r="BH174" s="31"/>
      <c r="BI174" s="31"/>
      <c r="BJ174" s="31"/>
      <c r="BK174" s="31"/>
      <c r="BL174" s="31"/>
      <c r="BM174" s="31"/>
      <c r="BN174" s="31"/>
      <c r="BO174" s="31"/>
      <c r="BP174" s="31"/>
      <c r="BQ174" s="31"/>
      <c r="BR174" s="31"/>
      <c r="BS174" s="31"/>
      <c r="BT174" s="31"/>
      <c r="BU174" s="31"/>
      <c r="BV174" s="31"/>
      <c r="BW174" s="31"/>
      <c r="BX174" s="31"/>
      <c r="BY174" s="31"/>
      <c r="BZ174" s="31"/>
      <c r="CA174" s="31"/>
      <c r="CB174" s="31"/>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c r="EX174" s="31"/>
      <c r="EY174" s="31"/>
      <c r="EZ174" s="31"/>
      <c r="FA174" s="31"/>
      <c r="FB174" s="31"/>
      <c r="FC174" s="31"/>
      <c r="FD174" s="31"/>
      <c r="FE174" s="31"/>
      <c r="FF174" s="31"/>
      <c r="FG174" s="31"/>
      <c r="FH174" s="31"/>
      <c r="FI174" s="31"/>
      <c r="FJ174" s="31"/>
      <c r="FK174" s="31"/>
      <c r="FL174" s="31"/>
      <c r="FM174" s="31"/>
      <c r="FN174" s="31"/>
      <c r="FO174" s="31"/>
      <c r="FP174" s="31"/>
      <c r="FQ174" s="31"/>
      <c r="FR174" s="31"/>
      <c r="FS174" s="31"/>
      <c r="FT174" s="31"/>
      <c r="FU174" s="31"/>
      <c r="FV174" s="31"/>
      <c r="FW174" s="31"/>
      <c r="FX174" s="31"/>
      <c r="FY174" s="31"/>
      <c r="FZ174" s="31"/>
      <c r="GA174" s="31"/>
      <c r="GB174" s="31"/>
      <c r="GC174" s="31"/>
      <c r="GD174" s="31"/>
      <c r="GE174" s="31"/>
      <c r="GF174" s="31"/>
      <c r="GG174" s="31"/>
      <c r="GH174" s="31"/>
      <c r="GI174" s="31"/>
      <c r="GJ174" s="31"/>
      <c r="GK174" s="31"/>
      <c r="GL174" s="31"/>
      <c r="GM174" s="31"/>
      <c r="GN174" s="31"/>
      <c r="GO174" s="31"/>
      <c r="GP174" s="31"/>
      <c r="GQ174" s="31"/>
      <c r="GR174" s="31"/>
      <c r="GS174" s="31"/>
      <c r="GT174" s="31"/>
      <c r="GU174" s="31"/>
      <c r="GV174" s="31"/>
      <c r="GW174" s="31"/>
      <c r="GX174" s="31"/>
      <c r="GY174" s="31"/>
      <c r="GZ174" s="31"/>
      <c r="HA174" s="31"/>
      <c r="HB174" s="31"/>
      <c r="HC174" s="31"/>
      <c r="HD174" s="31"/>
      <c r="HE174" s="31"/>
      <c r="HF174" s="31"/>
      <c r="HG174" s="31"/>
      <c r="HH174" s="31"/>
      <c r="HI174" s="31"/>
      <c r="HJ174" s="31"/>
      <c r="HK174" s="31"/>
      <c r="HL174" s="31"/>
      <c r="HM174" s="31"/>
      <c r="HN174" s="31"/>
      <c r="HO174" s="31"/>
      <c r="HP174" s="31"/>
      <c r="HQ174" s="31"/>
      <c r="HR174" s="31"/>
      <c r="HS174" s="31"/>
      <c r="HT174" s="31"/>
      <c r="HU174" s="31"/>
      <c r="HV174" s="31"/>
      <c r="HW174" s="31"/>
      <c r="HX174" s="31"/>
      <c r="HY174" s="31"/>
      <c r="HZ174" s="31"/>
      <c r="IA174" s="31"/>
      <c r="IB174" s="31"/>
      <c r="IC174" s="31"/>
      <c r="ID174" s="31"/>
      <c r="IE174" s="31"/>
      <c r="IF174" s="31"/>
      <c r="IG174" s="31"/>
      <c r="IH174" s="31"/>
      <c r="II174" s="31"/>
      <c r="IJ174" s="31"/>
      <c r="IK174" s="31"/>
      <c r="IL174" s="31"/>
      <c r="IM174" s="31"/>
      <c r="IN174" s="31"/>
      <c r="IO174" s="31"/>
      <c r="IP174" s="31"/>
      <c r="IQ174" s="31"/>
      <c r="IR174" s="31"/>
      <c r="IS174" s="31"/>
      <c r="IT174" s="31"/>
      <c r="IU174" s="31"/>
      <c r="IV174" s="31"/>
      <c r="IW174" s="31"/>
      <c r="IX174" s="31"/>
      <c r="IY174" s="31"/>
      <c r="IZ174" s="31"/>
      <c r="JA174" s="31"/>
      <c r="JB174" s="31"/>
      <c r="JC174" s="31"/>
      <c r="JD174" s="31"/>
      <c r="JE174" s="31"/>
      <c r="JF174" s="31"/>
      <c r="JG174" s="31"/>
      <c r="JH174" s="31"/>
      <c r="JI174" s="31"/>
      <c r="JJ174" s="31"/>
      <c r="JK174" s="31"/>
      <c r="JL174" s="31"/>
      <c r="JM174" s="31"/>
      <c r="JN174" s="31"/>
      <c r="JO174" s="31"/>
      <c r="JP174" s="31"/>
      <c r="JQ174" s="31"/>
      <c r="JR174" s="31"/>
      <c r="JS174" s="31"/>
      <c r="JT174" s="31"/>
      <c r="JU174" s="31"/>
      <c r="JV174" s="31"/>
      <c r="JW174" s="31"/>
      <c r="JX174" s="31"/>
      <c r="JY174" s="31"/>
      <c r="JZ174" s="31"/>
      <c r="KA174" s="31"/>
      <c r="KB174" s="31"/>
      <c r="KC174" s="31"/>
      <c r="KD174" s="31"/>
      <c r="KE174" s="31"/>
      <c r="KF174" s="31"/>
      <c r="KG174" s="31"/>
      <c r="KH174" s="31"/>
      <c r="KI174" s="31"/>
      <c r="KJ174" s="31"/>
      <c r="KK174" s="31"/>
      <c r="KL174" s="31"/>
      <c r="KM174" s="31"/>
      <c r="KN174" s="31"/>
      <c r="KO174" s="31"/>
      <c r="KP174" s="31"/>
      <c r="KQ174" s="31"/>
      <c r="KR174" s="31"/>
      <c r="KS174" s="31"/>
      <c r="KT174" s="31"/>
      <c r="KU174" s="31"/>
      <c r="KV174" s="31"/>
      <c r="KW174" s="31"/>
      <c r="KX174" s="31"/>
      <c r="KY174" s="31"/>
      <c r="KZ174" s="31"/>
      <c r="LA174" s="31"/>
      <c r="LB174" s="31"/>
      <c r="LC174" s="31"/>
      <c r="LD174" s="31"/>
      <c r="LE174" s="31"/>
      <c r="LF174" s="31"/>
      <c r="LG174" s="31"/>
      <c r="LH174" s="31"/>
      <c r="LI174" s="31"/>
      <c r="LJ174" s="31"/>
      <c r="LK174" s="31"/>
      <c r="LL174" s="31"/>
      <c r="LM174" s="31"/>
      <c r="LN174" s="31"/>
      <c r="LO174" s="31"/>
      <c r="LP174" s="31"/>
      <c r="LQ174" s="31"/>
      <c r="LR174" s="31"/>
      <c r="LS174" s="31"/>
      <c r="LT174" s="31"/>
      <c r="LU174" s="31"/>
      <c r="LV174" s="31"/>
      <c r="LW174" s="31"/>
      <c r="LX174" s="31"/>
      <c r="LY174" s="31"/>
      <c r="LZ174" s="31"/>
      <c r="MA174" s="31"/>
      <c r="MB174" s="31"/>
      <c r="MC174" s="31"/>
      <c r="MD174" s="31"/>
      <c r="ME174" s="31"/>
      <c r="MF174" s="31"/>
      <c r="MG174" s="31"/>
      <c r="MH174" s="31"/>
      <c r="MI174" s="31"/>
      <c r="MJ174" s="31"/>
      <c r="MK174" s="31"/>
      <c r="ML174" s="31"/>
      <c r="MM174" s="31"/>
      <c r="MN174" s="31"/>
      <c r="MO174" s="31"/>
      <c r="MP174" s="31"/>
      <c r="MQ174" s="31"/>
      <c r="MR174" s="31"/>
      <c r="MS174" s="31"/>
      <c r="MT174" s="31"/>
      <c r="MU174" s="31"/>
      <c r="MV174" s="31"/>
      <c r="MW174" s="31"/>
      <c r="MX174" s="31"/>
      <c r="MY174" s="31"/>
      <c r="MZ174" s="31"/>
      <c r="NA174" s="31"/>
      <c r="NB174" s="31"/>
      <c r="NC174" s="31"/>
      <c r="ND174" s="31"/>
      <c r="NE174" s="31"/>
      <c r="NF174" s="31"/>
      <c r="NG174" s="31"/>
      <c r="NH174" s="31"/>
      <c r="NI174" s="31"/>
      <c r="NJ174" s="31"/>
      <c r="NK174" s="31"/>
      <c r="NL174" s="31"/>
      <c r="NM174" s="31"/>
      <c r="NN174" s="31"/>
      <c r="NO174" s="31"/>
      <c r="NP174" s="31"/>
      <c r="NQ174" s="31"/>
      <c r="NR174" s="31"/>
      <c r="NS174" s="31"/>
      <c r="NT174" s="31"/>
      <c r="NU174" s="31"/>
      <c r="NV174" s="31"/>
      <c r="NW174" s="31"/>
      <c r="NX174" s="31"/>
      <c r="NY174" s="31"/>
      <c r="NZ174" s="31"/>
      <c r="OA174" s="31"/>
      <c r="OB174" s="31"/>
      <c r="OC174" s="31"/>
      <c r="OD174" s="31"/>
      <c r="OE174" s="31"/>
      <c r="OF174" s="31"/>
      <c r="OG174" s="31"/>
      <c r="OH174" s="31"/>
      <c r="OI174" s="31"/>
      <c r="OJ174" s="31"/>
      <c r="OK174" s="31"/>
      <c r="OL174" s="31"/>
      <c r="OM174" s="31"/>
      <c r="ON174" s="31"/>
      <c r="OO174" s="31"/>
      <c r="OP174" s="31"/>
      <c r="OQ174" s="31"/>
      <c r="OR174" s="31"/>
      <c r="OS174" s="31"/>
      <c r="OT174" s="31"/>
      <c r="OU174" s="31"/>
      <c r="OV174" s="31"/>
      <c r="OW174" s="31"/>
      <c r="OX174" s="31"/>
      <c r="OY174" s="31"/>
      <c r="OZ174" s="31"/>
      <c r="PA174" s="31"/>
      <c r="PB174" s="31"/>
      <c r="PC174" s="31"/>
      <c r="PD174" s="31"/>
      <c r="PE174" s="31"/>
      <c r="PF174" s="31"/>
      <c r="PG174" s="31"/>
      <c r="PH174" s="31"/>
      <c r="PI174" s="31"/>
      <c r="PJ174" s="31"/>
      <c r="PK174" s="31"/>
      <c r="PL174" s="31"/>
      <c r="PM174" s="31"/>
      <c r="PN174" s="31"/>
      <c r="PO174" s="31"/>
      <c r="PP174" s="31"/>
      <c r="PQ174" s="31"/>
      <c r="PR174" s="31"/>
      <c r="PS174" s="31"/>
      <c r="PT174" s="31"/>
      <c r="PU174" s="31"/>
      <c r="PV174" s="31"/>
      <c r="PW174" s="31"/>
      <c r="PX174" s="31"/>
      <c r="PY174" s="31"/>
      <c r="PZ174" s="31"/>
      <c r="QA174" s="31"/>
      <c r="QB174" s="31"/>
      <c r="QC174" s="31"/>
      <c r="QD174" s="31"/>
      <c r="QE174" s="31"/>
      <c r="QF174" s="31"/>
      <c r="QG174" s="31"/>
      <c r="QH174" s="31"/>
      <c r="QI174" s="31"/>
      <c r="QJ174" s="31"/>
      <c r="QK174" s="31"/>
      <c r="QL174" s="31"/>
      <c r="QM174" s="31"/>
      <c r="QN174" s="31"/>
      <c r="QO174" s="31"/>
      <c r="QP174" s="31"/>
      <c r="QQ174" s="31"/>
      <c r="QR174" s="31"/>
      <c r="QS174" s="31"/>
      <c r="QT174" s="31"/>
      <c r="QU174" s="31"/>
      <c r="QV174" s="31"/>
      <c r="QW174" s="31"/>
      <c r="QX174" s="31"/>
      <c r="QY174" s="31"/>
      <c r="QZ174" s="31"/>
      <c r="RA174" s="31"/>
      <c r="RB174" s="31"/>
      <c r="RC174" s="31"/>
      <c r="RD174" s="31"/>
      <c r="RE174" s="31"/>
      <c r="RF174" s="31"/>
      <c r="RG174" s="31"/>
      <c r="RH174" s="31"/>
      <c r="RI174" s="31"/>
      <c r="RJ174" s="31"/>
      <c r="RK174" s="31"/>
      <c r="RL174" s="31"/>
      <c r="RM174" s="31"/>
      <c r="RN174" s="31"/>
      <c r="RO174" s="31"/>
      <c r="RP174" s="31"/>
      <c r="RQ174" s="31"/>
      <c r="RR174" s="31"/>
      <c r="RS174" s="31"/>
      <c r="RT174" s="31"/>
      <c r="RU174" s="31"/>
      <c r="RV174" s="31"/>
      <c r="RW174" s="31"/>
      <c r="RX174" s="31"/>
      <c r="RY174" s="31"/>
      <c r="RZ174" s="31"/>
      <c r="SA174" s="31"/>
      <c r="SB174" s="31"/>
      <c r="SC174" s="31"/>
      <c r="SD174" s="31"/>
      <c r="SE174" s="31"/>
      <c r="SF174" s="31"/>
      <c r="SG174" s="31"/>
      <c r="SH174" s="31"/>
      <c r="SI174" s="31"/>
      <c r="SJ174" s="31"/>
      <c r="SK174" s="31"/>
      <c r="SL174" s="31"/>
      <c r="SM174" s="31"/>
      <c r="SN174" s="31"/>
      <c r="SO174" s="31"/>
      <c r="SP174" s="31"/>
      <c r="SQ174" s="31"/>
      <c r="SR174" s="31"/>
      <c r="SS174" s="31"/>
      <c r="ST174" s="31"/>
      <c r="SU174" s="31"/>
      <c r="SV174" s="31"/>
      <c r="SW174" s="31"/>
      <c r="SX174" s="31"/>
      <c r="SY174" s="31"/>
      <c r="SZ174" s="31"/>
      <c r="TA174" s="31"/>
      <c r="TB174" s="31"/>
      <c r="TC174" s="31"/>
      <c r="TD174" s="31"/>
      <c r="TE174" s="31"/>
      <c r="TF174" s="31"/>
      <c r="TG174" s="31"/>
      <c r="TH174" s="31"/>
      <c r="TI174" s="31"/>
      <c r="TJ174" s="31"/>
      <c r="TK174" s="31"/>
      <c r="TL174" s="31"/>
      <c r="TM174" s="31"/>
      <c r="TN174" s="31"/>
      <c r="TO174" s="31"/>
      <c r="TP174" s="31"/>
      <c r="TQ174" s="31"/>
      <c r="TR174" s="31"/>
      <c r="TS174" s="31"/>
      <c r="TT174" s="31"/>
      <c r="TU174" s="31"/>
      <c r="TV174" s="31"/>
      <c r="TW174" s="31"/>
      <c r="TX174" s="31"/>
      <c r="TY174" s="31"/>
      <c r="TZ174" s="31"/>
      <c r="UA174" s="31"/>
      <c r="UB174" s="31"/>
      <c r="UC174" s="31"/>
      <c r="UD174" s="31"/>
      <c r="UE174" s="31"/>
      <c r="UF174" s="31"/>
      <c r="UG174" s="31"/>
      <c r="UH174" s="31"/>
      <c r="UI174" s="31"/>
      <c r="UJ174" s="31"/>
      <c r="UK174" s="31"/>
      <c r="UL174" s="31"/>
      <c r="UM174" s="31"/>
      <c r="UN174" s="31"/>
      <c r="UO174" s="31"/>
      <c r="UP174" s="31"/>
      <c r="UQ174" s="31"/>
      <c r="UR174" s="31"/>
      <c r="US174" s="31"/>
      <c r="UT174" s="31"/>
      <c r="UU174" s="31"/>
      <c r="UV174" s="31"/>
      <c r="UW174" s="31"/>
      <c r="UX174" s="31"/>
      <c r="UY174" s="31"/>
      <c r="UZ174" s="31"/>
      <c r="VA174" s="31"/>
      <c r="VB174" s="31"/>
      <c r="VC174" s="31"/>
      <c r="VD174" s="31"/>
      <c r="VE174" s="31"/>
      <c r="VF174" s="31"/>
      <c r="VG174" s="31"/>
      <c r="VH174" s="31"/>
      <c r="VI174" s="31"/>
      <c r="VJ174" s="31"/>
      <c r="VK174" s="31"/>
      <c r="VL174" s="31"/>
      <c r="VM174" s="31"/>
      <c r="VN174" s="31"/>
      <c r="VO174" s="31"/>
      <c r="VP174" s="31"/>
      <c r="VQ174" s="31"/>
      <c r="VR174" s="31"/>
      <c r="VS174" s="31"/>
      <c r="VT174" s="31"/>
      <c r="VU174" s="31"/>
      <c r="VV174" s="31"/>
      <c r="VW174" s="31"/>
      <c r="VX174" s="31"/>
      <c r="VY174" s="31"/>
      <c r="VZ174" s="31"/>
      <c r="WA174" s="31"/>
      <c r="WB174" s="31"/>
      <c r="WC174" s="31"/>
      <c r="WD174" s="31"/>
      <c r="WE174" s="31"/>
      <c r="WF174" s="31"/>
      <c r="WG174" s="31"/>
      <c r="WH174" s="31"/>
      <c r="WI174" s="31"/>
      <c r="WJ174" s="31"/>
      <c r="WK174" s="31"/>
      <c r="WL174" s="31"/>
      <c r="WM174" s="31"/>
      <c r="WN174" s="31"/>
      <c r="WO174" s="31"/>
      <c r="WP174" s="31"/>
      <c r="WQ174" s="31"/>
      <c r="WR174" s="31"/>
      <c r="WS174" s="31"/>
      <c r="WT174" s="31"/>
      <c r="WU174" s="31"/>
      <c r="WV174" s="31"/>
      <c r="WW174" s="31"/>
      <c r="WX174" s="31"/>
      <c r="WY174" s="31"/>
      <c r="WZ174" s="31"/>
      <c r="XA174" s="31"/>
      <c r="XB174" s="31"/>
      <c r="XC174" s="31"/>
      <c r="XD174" s="31"/>
      <c r="XE174" s="31"/>
      <c r="XF174" s="31"/>
      <c r="XG174" s="31"/>
      <c r="XH174" s="31"/>
      <c r="XI174" s="31"/>
      <c r="XJ174" s="31"/>
      <c r="XK174" s="31"/>
      <c r="XL174" s="31"/>
      <c r="XM174" s="31"/>
      <c r="XN174" s="31"/>
      <c r="XO174" s="31"/>
      <c r="XP174" s="31"/>
      <c r="XQ174" s="31"/>
      <c r="XR174" s="31"/>
      <c r="XS174" s="31"/>
      <c r="XT174" s="31"/>
      <c r="XU174" s="31"/>
      <c r="XV174" s="31"/>
      <c r="XW174" s="31"/>
      <c r="XX174" s="31"/>
      <c r="XY174" s="31"/>
      <c r="XZ174" s="31"/>
      <c r="YA174" s="31"/>
      <c r="YB174" s="31"/>
      <c r="YC174" s="31"/>
      <c r="YD174" s="31"/>
      <c r="YE174" s="31"/>
      <c r="YF174" s="31"/>
      <c r="YG174" s="31"/>
      <c r="YH174" s="31"/>
      <c r="YI174" s="31"/>
      <c r="YJ174" s="31"/>
      <c r="YK174" s="31"/>
      <c r="YL174" s="31"/>
      <c r="YM174" s="31"/>
      <c r="YN174" s="31"/>
      <c r="YO174" s="31"/>
      <c r="YP174" s="31"/>
      <c r="YQ174" s="31"/>
      <c r="YR174" s="31"/>
      <c r="YS174" s="31"/>
      <c r="YT174" s="31"/>
      <c r="YU174" s="31"/>
      <c r="YV174" s="31"/>
      <c r="YW174" s="31"/>
      <c r="YX174" s="31"/>
      <c r="YY174" s="31"/>
      <c r="YZ174" s="31"/>
      <c r="ZA174" s="31"/>
      <c r="ZB174" s="31"/>
      <c r="ZC174" s="31"/>
      <c r="ZD174" s="31"/>
      <c r="ZE174" s="31"/>
      <c r="ZF174" s="31"/>
      <c r="ZG174" s="31"/>
      <c r="ZH174" s="31"/>
      <c r="ZI174" s="31"/>
      <c r="ZJ174" s="31"/>
      <c r="ZK174" s="31"/>
      <c r="ZL174" s="31"/>
      <c r="ZM174" s="31"/>
      <c r="ZN174" s="31"/>
      <c r="ZO174" s="31"/>
      <c r="ZP174" s="31"/>
      <c r="ZQ174" s="31"/>
      <c r="ZR174" s="31"/>
      <c r="ZS174" s="31"/>
      <c r="ZT174" s="31"/>
      <c r="ZU174" s="31"/>
      <c r="ZV174" s="31"/>
      <c r="ZW174" s="31"/>
      <c r="ZX174" s="31"/>
      <c r="ZY174" s="31"/>
      <c r="ZZ174" s="31"/>
      <c r="AAA174" s="31"/>
      <c r="AAB174" s="31"/>
      <c r="AAC174" s="31"/>
      <c r="AAD174" s="31"/>
      <c r="AAE174" s="31"/>
      <c r="AAF174" s="31"/>
      <c r="AAG174" s="31"/>
      <c r="AAH174" s="31"/>
      <c r="AAI174" s="31"/>
      <c r="AAJ174" s="31"/>
      <c r="AAK174" s="31"/>
      <c r="AAL174" s="31"/>
      <c r="AAM174" s="31"/>
      <c r="AAN174" s="31"/>
      <c r="AAO174" s="31"/>
      <c r="AAP174" s="31"/>
      <c r="AAQ174" s="31"/>
      <c r="AAR174" s="31"/>
      <c r="AAS174" s="31"/>
      <c r="AAT174" s="31"/>
      <c r="AAU174" s="31"/>
      <c r="AAV174" s="31"/>
      <c r="AAW174" s="31"/>
      <c r="AAX174" s="31"/>
      <c r="AAY174" s="31"/>
      <c r="AAZ174" s="31"/>
      <c r="ABA174" s="31"/>
      <c r="ABB174" s="31"/>
      <c r="ABC174" s="31"/>
      <c r="ABD174" s="31"/>
      <c r="ABE174" s="31"/>
      <c r="ABF174" s="31"/>
      <c r="ABG174" s="31"/>
      <c r="ABH174" s="31"/>
      <c r="ABI174" s="31"/>
      <c r="ABJ174" s="31"/>
      <c r="ABK174" s="31"/>
      <c r="ABL174" s="31"/>
      <c r="ABM174" s="31"/>
      <c r="ABN174" s="31"/>
      <c r="ABO174" s="31"/>
      <c r="ABP174" s="31"/>
      <c r="ABQ174" s="31"/>
      <c r="ABR174" s="31"/>
      <c r="ABS174" s="31"/>
      <c r="ABT174" s="31"/>
      <c r="ABU174" s="31"/>
      <c r="ABV174" s="31"/>
      <c r="ABW174" s="31"/>
      <c r="ABX174" s="31"/>
      <c r="ABY174" s="31"/>
      <c r="ABZ174" s="31"/>
      <c r="ACA174" s="31"/>
      <c r="ACB174" s="31"/>
      <c r="ACC174" s="31"/>
      <c r="ACD174" s="31"/>
      <c r="ACE174" s="31"/>
      <c r="ACF174" s="31"/>
      <c r="ACG174" s="31"/>
      <c r="ACH174" s="31"/>
      <c r="ACI174" s="31"/>
      <c r="ACJ174" s="31"/>
      <c r="ACK174" s="31"/>
      <c r="ACL174" s="31"/>
      <c r="ACM174" s="31"/>
      <c r="ACN174" s="31"/>
      <c r="ACO174" s="31"/>
      <c r="ACP174" s="31"/>
      <c r="ACQ174" s="31"/>
      <c r="ACR174" s="31"/>
      <c r="ACS174" s="31"/>
      <c r="ACT174" s="31"/>
      <c r="ACU174" s="31"/>
      <c r="ACV174" s="31"/>
      <c r="ACW174" s="31"/>
      <c r="ACX174" s="31"/>
      <c r="ACY174" s="31"/>
      <c r="ACZ174" s="31"/>
      <c r="ADA174" s="31"/>
      <c r="ADB174" s="31"/>
      <c r="ADC174" s="31"/>
      <c r="ADD174" s="31"/>
      <c r="ADE174" s="31"/>
      <c r="ADF174" s="31"/>
      <c r="ADG174" s="31"/>
      <c r="ADH174" s="31"/>
      <c r="ADI174" s="31"/>
      <c r="ADJ174" s="31"/>
      <c r="ADK174" s="31"/>
      <c r="ADL174" s="31"/>
      <c r="ADM174" s="31"/>
      <c r="ADN174" s="31"/>
      <c r="ADO174" s="31"/>
      <c r="ADP174" s="31"/>
      <c r="ADQ174" s="31"/>
      <c r="ADR174" s="31"/>
      <c r="ADS174" s="31"/>
      <c r="ADT174" s="31"/>
      <c r="ADU174" s="31"/>
      <c r="ADV174" s="31"/>
      <c r="ADW174" s="31"/>
      <c r="ADX174" s="31"/>
      <c r="ADY174" s="31"/>
      <c r="ADZ174" s="31"/>
      <c r="AEA174" s="31"/>
      <c r="AEB174" s="31"/>
      <c r="AEC174" s="31"/>
      <c r="AED174" s="31"/>
      <c r="AEE174" s="31"/>
      <c r="AEF174" s="31"/>
      <c r="AEG174" s="31"/>
      <c r="AEH174" s="31"/>
      <c r="AEI174" s="31"/>
      <c r="AEJ174" s="31"/>
      <c r="AEK174" s="31"/>
      <c r="AEL174" s="31"/>
      <c r="AEM174" s="31"/>
      <c r="AEN174" s="31"/>
      <c r="AEO174" s="31"/>
      <c r="AEP174" s="31"/>
      <c r="AEQ174" s="31"/>
      <c r="AER174" s="31"/>
      <c r="AES174" s="31"/>
      <c r="AET174" s="31"/>
      <c r="AEU174" s="31"/>
      <c r="AEV174" s="31"/>
      <c r="AEW174" s="31"/>
      <c r="AEX174" s="31"/>
      <c r="AEY174" s="31"/>
      <c r="AEZ174" s="31"/>
      <c r="AFA174" s="31"/>
      <c r="AFB174" s="31"/>
      <c r="AFC174" s="31"/>
      <c r="AFD174" s="31"/>
      <c r="AFE174" s="31"/>
      <c r="AFF174" s="31"/>
      <c r="AFG174" s="31"/>
      <c r="AFH174" s="31"/>
      <c r="AFI174" s="31"/>
      <c r="AFJ174" s="31"/>
      <c r="AFK174" s="31"/>
      <c r="AFL174" s="31"/>
      <c r="AFM174" s="31"/>
      <c r="AFN174" s="31"/>
      <c r="AFO174" s="31"/>
      <c r="AFP174" s="31"/>
      <c r="AFQ174" s="31"/>
      <c r="AFR174" s="31"/>
      <c r="AFS174" s="31"/>
      <c r="AFT174" s="31"/>
      <c r="AFU174" s="31"/>
      <c r="AFV174" s="31"/>
      <c r="AFW174" s="31"/>
      <c r="AFX174" s="31"/>
      <c r="AFY174" s="31"/>
      <c r="AFZ174" s="31"/>
      <c r="AGA174" s="31"/>
      <c r="AGB174" s="31"/>
      <c r="AGC174" s="31"/>
      <c r="AGD174" s="31"/>
      <c r="AGE174" s="31"/>
      <c r="AGF174" s="31"/>
      <c r="AGG174" s="31"/>
      <c r="AGH174" s="31"/>
      <c r="AGI174" s="31"/>
      <c r="AGJ174" s="31"/>
      <c r="AGK174" s="31"/>
      <c r="AGL174" s="31"/>
      <c r="AGM174" s="31"/>
      <c r="AGN174" s="31"/>
      <c r="AGO174" s="31"/>
      <c r="AGP174" s="31"/>
      <c r="AGQ174" s="31"/>
      <c r="AGR174" s="31"/>
      <c r="AGS174" s="31"/>
      <c r="AGT174" s="31"/>
      <c r="AGU174" s="31"/>
      <c r="AGV174" s="31"/>
      <c r="AGW174" s="31"/>
      <c r="AGX174" s="31"/>
      <c r="AGY174" s="31"/>
      <c r="AGZ174" s="31"/>
      <c r="AHA174" s="31"/>
      <c r="AHB174" s="31"/>
      <c r="AHC174" s="31"/>
      <c r="AHD174" s="31"/>
      <c r="AHE174" s="31"/>
      <c r="AHF174" s="31"/>
      <c r="AHG174" s="31"/>
      <c r="AHH174" s="31"/>
      <c r="AHI174" s="31"/>
      <c r="AHJ174" s="31"/>
      <c r="AHK174" s="31"/>
      <c r="AHL174" s="31"/>
      <c r="AHM174" s="31"/>
      <c r="AHN174" s="31"/>
      <c r="AHO174" s="31"/>
      <c r="AHP174" s="31"/>
      <c r="AHQ174" s="31"/>
      <c r="AHR174" s="31"/>
      <c r="AHS174" s="31"/>
      <c r="AHT174" s="31"/>
      <c r="AHU174" s="31"/>
      <c r="AHV174" s="31"/>
      <c r="AHW174" s="31"/>
      <c r="AHX174" s="31"/>
      <c r="AHY174" s="31"/>
      <c r="AHZ174" s="31"/>
      <c r="AIA174" s="31"/>
      <c r="AIB174" s="31"/>
      <c r="AIC174" s="31"/>
      <c r="AID174" s="31"/>
      <c r="AIE174" s="31"/>
      <c r="AIF174" s="31"/>
      <c r="AIG174" s="31"/>
      <c r="AIH174" s="31"/>
      <c r="AII174" s="31"/>
      <c r="AIJ174" s="31"/>
      <c r="AIK174" s="31"/>
      <c r="AIL174" s="31"/>
      <c r="AIM174" s="31"/>
      <c r="AIN174" s="31"/>
      <c r="AIO174" s="31"/>
      <c r="AIP174" s="31"/>
      <c r="AIQ174" s="31"/>
      <c r="AIR174" s="31"/>
      <c r="AIS174" s="31"/>
      <c r="AIT174" s="31"/>
      <c r="AIU174" s="31"/>
      <c r="AIV174" s="31"/>
      <c r="AIW174" s="31"/>
      <c r="AIX174" s="31"/>
      <c r="AIY174" s="31"/>
      <c r="AIZ174" s="31"/>
      <c r="AJA174" s="31"/>
      <c r="AJB174" s="31"/>
      <c r="AJC174" s="31"/>
      <c r="AJD174" s="31"/>
      <c r="AJE174" s="31"/>
      <c r="AJF174" s="31"/>
      <c r="AJG174" s="31"/>
      <c r="AJH174" s="31"/>
      <c r="AJI174" s="31"/>
      <c r="AJJ174" s="31"/>
      <c r="AJK174" s="31"/>
      <c r="AJL174" s="31"/>
      <c r="AJM174" s="31"/>
      <c r="AJN174" s="31"/>
      <c r="AJO174" s="31"/>
      <c r="AJP174" s="31"/>
      <c r="AJQ174" s="31"/>
      <c r="AJR174" s="31"/>
      <c r="AJS174" s="31"/>
      <c r="AJT174" s="31"/>
      <c r="AJU174" s="31"/>
      <c r="AJV174" s="31"/>
      <c r="AJW174" s="31"/>
      <c r="AJX174" s="31"/>
      <c r="AJY174" s="31"/>
      <c r="AJZ174" s="31"/>
      <c r="AKA174" s="31"/>
      <c r="AKB174" s="31"/>
      <c r="AKC174" s="31"/>
      <c r="AKD174" s="31"/>
      <c r="AKE174" s="31"/>
      <c r="AKF174" s="31"/>
      <c r="AKG174" s="31"/>
      <c r="AKH174" s="31"/>
      <c r="AKI174" s="31"/>
      <c r="AKJ174" s="31"/>
      <c r="AKK174" s="31"/>
      <c r="AKL174" s="31"/>
      <c r="AKM174" s="31"/>
      <c r="AKN174" s="31"/>
      <c r="AKO174" s="31"/>
      <c r="AKP174" s="31"/>
      <c r="AKQ174" s="31"/>
      <c r="AKR174" s="31"/>
      <c r="AKS174" s="31"/>
      <c r="AKT174" s="31"/>
      <c r="AKU174" s="31"/>
      <c r="AKV174" s="31"/>
      <c r="AKW174" s="31"/>
      <c r="AKX174" s="31"/>
      <c r="AKY174" s="31"/>
      <c r="AKZ174" s="31"/>
      <c r="ALA174" s="31"/>
      <c r="ALB174" s="31"/>
      <c r="ALC174" s="31"/>
      <c r="ALD174" s="31"/>
      <c r="ALE174" s="31"/>
      <c r="ALF174" s="31"/>
      <c r="ALG174" s="31"/>
      <c r="ALH174" s="31"/>
      <c r="ALI174" s="31"/>
      <c r="ALJ174" s="31"/>
      <c r="ALK174" s="31"/>
      <c r="ALL174" s="31"/>
      <c r="ALM174" s="31"/>
      <c r="ALN174" s="31"/>
      <c r="ALO174" s="31"/>
      <c r="ALP174" s="31"/>
      <c r="ALQ174" s="31"/>
      <c r="ALR174" s="31"/>
      <c r="ALS174" s="31"/>
      <c r="ALT174" s="31"/>
      <c r="ALU174" s="31"/>
      <c r="ALV174" s="31"/>
      <c r="ALW174" s="31"/>
      <c r="ALX174" s="31"/>
      <c r="ALY174" s="31"/>
      <c r="ALZ174" s="31"/>
      <c r="AMA174" s="31"/>
      <c r="AMB174" s="31"/>
      <c r="AMC174" s="31"/>
      <c r="AMD174" s="31"/>
      <c r="AME174" s="31"/>
      <c r="AMF174" s="31"/>
      <c r="AMG174" s="31"/>
      <c r="AMH174" s="31"/>
      <c r="AMI174" s="31"/>
      <c r="AMJ174" s="31"/>
      <c r="AMK174" s="31"/>
      <c r="AML174" s="31"/>
      <c r="AMM174" s="31"/>
      <c r="AMN174" s="31"/>
      <c r="AMO174" s="31"/>
      <c r="AMP174" s="31"/>
      <c r="AMQ174" s="31"/>
      <c r="AMR174" s="31"/>
      <c r="AMS174" s="31"/>
      <c r="AMT174" s="31"/>
      <c r="AMU174" s="31"/>
      <c r="AMV174" s="31"/>
      <c r="AMW174" s="31"/>
      <c r="AMX174" s="31"/>
      <c r="AMY174" s="31"/>
      <c r="AMZ174" s="31"/>
      <c r="ANA174" s="31"/>
      <c r="ANB174" s="31"/>
      <c r="ANC174" s="31"/>
      <c r="AND174" s="31"/>
      <c r="ANE174" s="31"/>
      <c r="ANF174" s="31"/>
      <c r="ANG174" s="31"/>
      <c r="ANH174" s="31"/>
      <c r="ANI174" s="31"/>
      <c r="ANJ174" s="31"/>
      <c r="ANK174" s="31"/>
      <c r="ANL174" s="31"/>
      <c r="ANM174" s="31"/>
      <c r="ANN174" s="31"/>
      <c r="ANO174" s="31"/>
      <c r="ANP174" s="31"/>
      <c r="ANQ174" s="31"/>
      <c r="ANR174" s="31"/>
      <c r="ANS174" s="31"/>
      <c r="ANT174" s="31"/>
      <c r="ANU174" s="31"/>
      <c r="ANV174" s="31"/>
      <c r="ANW174" s="31"/>
      <c r="ANX174" s="31"/>
      <c r="ANY174" s="31"/>
      <c r="ANZ174" s="31"/>
      <c r="AOA174" s="31"/>
      <c r="AOB174" s="31"/>
      <c r="AOC174" s="31"/>
      <c r="AOD174" s="31"/>
      <c r="AOE174" s="31"/>
      <c r="AOF174" s="31"/>
      <c r="AOG174" s="31"/>
      <c r="AOH174" s="31"/>
      <c r="AOI174" s="31"/>
      <c r="AOJ174" s="31"/>
      <c r="AOK174" s="31"/>
      <c r="AOL174" s="31"/>
      <c r="AOM174" s="31"/>
      <c r="AON174" s="31"/>
      <c r="AOO174" s="31"/>
      <c r="AOP174" s="31"/>
      <c r="AOQ174" s="31"/>
      <c r="AOR174" s="31"/>
      <c r="AOS174" s="31"/>
      <c r="AOT174" s="31"/>
      <c r="AOU174" s="31"/>
      <c r="AOV174" s="31"/>
      <c r="AOW174" s="31"/>
      <c r="AOX174" s="31"/>
      <c r="AOY174" s="31"/>
      <c r="AOZ174" s="31"/>
      <c r="APA174" s="31"/>
      <c r="APB174" s="31"/>
      <c r="APC174" s="31"/>
      <c r="APD174" s="31"/>
      <c r="APE174" s="31"/>
      <c r="APF174" s="31"/>
      <c r="APG174" s="31"/>
      <c r="APH174" s="31"/>
      <c r="API174" s="31"/>
      <c r="APJ174" s="31"/>
      <c r="APK174" s="31"/>
      <c r="APL174" s="31"/>
      <c r="APM174" s="31"/>
      <c r="APN174" s="31"/>
      <c r="APO174" s="31"/>
      <c r="APP174" s="31"/>
      <c r="APQ174" s="31"/>
      <c r="APR174" s="31"/>
      <c r="APS174" s="31"/>
      <c r="APT174" s="31"/>
      <c r="APU174" s="31"/>
      <c r="APV174" s="31"/>
      <c r="APW174" s="31"/>
      <c r="APX174" s="31"/>
      <c r="APY174" s="31"/>
      <c r="APZ174" s="31"/>
      <c r="AQA174" s="31"/>
      <c r="AQB174" s="31"/>
      <c r="AQC174" s="31"/>
      <c r="AQD174" s="31"/>
      <c r="AQE174" s="31"/>
      <c r="AQF174" s="31"/>
      <c r="AQG174" s="31"/>
      <c r="AQH174" s="31"/>
      <c r="AQI174" s="31"/>
      <c r="AQJ174" s="31"/>
      <c r="AQK174" s="31"/>
      <c r="AQL174" s="31"/>
      <c r="AQM174" s="31"/>
      <c r="AQN174" s="31"/>
      <c r="AQO174" s="31"/>
      <c r="AQP174" s="31"/>
      <c r="AQQ174" s="31"/>
      <c r="AQR174" s="31"/>
      <c r="AQS174" s="31"/>
      <c r="AQT174" s="31"/>
      <c r="AQU174" s="31"/>
      <c r="AQV174" s="31"/>
      <c r="AQW174" s="31"/>
      <c r="AQX174" s="31"/>
      <c r="AQY174" s="31"/>
      <c r="AQZ174" s="31"/>
      <c r="ARA174" s="31"/>
      <c r="ARB174" s="31"/>
      <c r="ARC174" s="31"/>
      <c r="ARD174" s="31"/>
      <c r="ARE174" s="31"/>
      <c r="ARF174" s="31"/>
      <c r="ARG174" s="31"/>
      <c r="ARH174" s="31"/>
      <c r="ARI174" s="31"/>
      <c r="ARJ174" s="31"/>
      <c r="ARK174" s="31"/>
      <c r="ARL174" s="31"/>
      <c r="ARM174" s="31"/>
      <c r="ARN174" s="31"/>
      <c r="ARO174" s="31"/>
      <c r="ARP174" s="31"/>
      <c r="ARQ174" s="31"/>
      <c r="ARR174" s="31"/>
      <c r="ARS174" s="31"/>
      <c r="ART174" s="31"/>
      <c r="ARU174" s="31"/>
      <c r="ARV174" s="31"/>
      <c r="ARW174" s="31"/>
      <c r="ARX174" s="31"/>
      <c r="ARY174" s="31"/>
      <c r="ARZ174" s="31"/>
      <c r="ASA174" s="31"/>
      <c r="ASB174" s="31"/>
      <c r="ASC174" s="31"/>
      <c r="ASD174" s="31"/>
      <c r="ASE174" s="31"/>
      <c r="ASF174" s="31"/>
      <c r="ASG174" s="31"/>
      <c r="ASH174" s="31"/>
      <c r="ASI174" s="31"/>
      <c r="ASJ174" s="31"/>
      <c r="ASK174" s="31"/>
      <c r="ASL174" s="31"/>
      <c r="ASM174" s="31"/>
      <c r="ASN174" s="31"/>
      <c r="ASO174" s="31"/>
      <c r="ASP174" s="31"/>
      <c r="ASQ174" s="31"/>
      <c r="ASR174" s="31"/>
      <c r="ASS174" s="31"/>
      <c r="AST174" s="31"/>
      <c r="ASU174" s="31"/>
      <c r="ASV174" s="31"/>
      <c r="ASW174" s="31"/>
      <c r="ASX174" s="31"/>
      <c r="ASY174" s="31"/>
      <c r="ASZ174" s="31"/>
      <c r="ATA174" s="31"/>
      <c r="ATB174" s="31"/>
      <c r="ATC174" s="31"/>
      <c r="ATD174" s="31"/>
      <c r="ATE174" s="31"/>
    </row>
    <row r="175" spans="1:1201" s="34" customFormat="1" ht="15.75" customHeight="1" x14ac:dyDescent="0.3">
      <c r="A175" s="197"/>
      <c r="B175" s="197"/>
      <c r="C175" s="687" t="s">
        <v>247</v>
      </c>
      <c r="D175" s="84"/>
      <c r="E175" s="84"/>
      <c r="F175" s="213"/>
      <c r="G175" s="688">
        <f t="shared" ref="G175:R175" si="306">SUM(G158:G169)</f>
        <v>4959897.5600000005</v>
      </c>
      <c r="H175" s="689">
        <f t="shared" si="306"/>
        <v>5085490.5</v>
      </c>
      <c r="I175" s="666">
        <f t="shared" si="306"/>
        <v>5395806.6199999992</v>
      </c>
      <c r="J175" s="666">
        <f t="shared" si="306"/>
        <v>4926840.8499999996</v>
      </c>
      <c r="K175" s="666">
        <f t="shared" si="306"/>
        <v>5165781.5600000005</v>
      </c>
      <c r="L175" s="666">
        <f t="shared" si="306"/>
        <v>5233028.7400000012</v>
      </c>
      <c r="M175" s="666">
        <f t="shared" si="306"/>
        <v>5083134.2399999993</v>
      </c>
      <c r="N175" s="666">
        <f t="shared" si="306"/>
        <v>5157411.8900000006</v>
      </c>
      <c r="O175" s="666">
        <f t="shared" si="306"/>
        <v>6357629.1299999971</v>
      </c>
      <c r="P175" s="666">
        <f t="shared" si="306"/>
        <v>6404599.570000004</v>
      </c>
      <c r="Q175" s="666">
        <f t="shared" si="306"/>
        <v>6381216.7200000007</v>
      </c>
      <c r="R175" s="666">
        <f t="shared" si="306"/>
        <v>8001760.349999995</v>
      </c>
      <c r="S175" s="941">
        <f t="shared" ref="S175:AQ175" si="307">SUM(S158:S174)</f>
        <v>8840988.1099999994</v>
      </c>
      <c r="T175" s="1132">
        <f t="shared" si="307"/>
        <v>8369034.5899999999</v>
      </c>
      <c r="U175" s="1133">
        <f t="shared" si="307"/>
        <v>9538797.2400000002</v>
      </c>
      <c r="V175" s="1133">
        <f t="shared" si="307"/>
        <v>9779312.5</v>
      </c>
      <c r="W175" s="1133">
        <f t="shared" si="307"/>
        <v>8596046.5300000012</v>
      </c>
      <c r="X175" s="1133">
        <f t="shared" si="307"/>
        <v>8914564.6699999981</v>
      </c>
      <c r="Y175" s="1133">
        <f t="shared" si="307"/>
        <v>8058619.8200000003</v>
      </c>
      <c r="Z175" s="1133">
        <f t="shared" si="307"/>
        <v>5359744.2</v>
      </c>
      <c r="AA175" s="1079">
        <f t="shared" si="307"/>
        <v>6528722.1400000015</v>
      </c>
      <c r="AB175" s="1079">
        <f t="shared" si="307"/>
        <v>6217260.0100000007</v>
      </c>
      <c r="AC175" s="1079">
        <f t="shared" si="307"/>
        <v>6864016.7599999998</v>
      </c>
      <c r="AD175" s="1079">
        <f t="shared" si="307"/>
        <v>7136799.21</v>
      </c>
      <c r="AE175" s="1079">
        <f t="shared" ref="AE175" si="308">SUM(AE158:AE174)</f>
        <v>8019898.0099999988</v>
      </c>
      <c r="AF175" s="1079">
        <f t="shared" si="307"/>
        <v>6770952.8099999996</v>
      </c>
      <c r="AG175" s="1079">
        <f t="shared" si="307"/>
        <v>7500445.7899999991</v>
      </c>
      <c r="AH175" s="1079">
        <f t="shared" si="307"/>
        <v>8758518.2299999986</v>
      </c>
      <c r="AI175" s="1079">
        <f t="shared" si="307"/>
        <v>8447747.3099999987</v>
      </c>
      <c r="AJ175" s="1079">
        <f t="shared" si="307"/>
        <v>8176687.4699999997</v>
      </c>
      <c r="AK175" s="1079">
        <f t="shared" si="307"/>
        <v>9881752.0800000001</v>
      </c>
      <c r="AL175" s="1079">
        <f t="shared" si="307"/>
        <v>9771673.2800000012</v>
      </c>
      <c r="AM175" s="1079">
        <f t="shared" si="307"/>
        <v>10070564.969999999</v>
      </c>
      <c r="AN175" s="1079">
        <f t="shared" ref="AN175:AO175" si="309">SUM(AN158:AN174)</f>
        <v>10197193.82</v>
      </c>
      <c r="AO175" s="1079">
        <f t="shared" si="309"/>
        <v>10769914.039999999</v>
      </c>
      <c r="AP175" s="666">
        <f t="shared" ca="1" si="307"/>
        <v>12382208.254934663</v>
      </c>
      <c r="AQ175" s="666">
        <f t="shared" ca="1" si="307"/>
        <v>13525984.571533689</v>
      </c>
      <c r="AR175" s="630">
        <f t="shared" ref="AR175:BC175" ca="1" si="310">SUM(AR158:AR174)</f>
        <v>13456678.696816182</v>
      </c>
      <c r="AS175" s="666">
        <f t="shared" ca="1" si="310"/>
        <v>13972363.547873978</v>
      </c>
      <c r="AT175" s="666">
        <f t="shared" ca="1" si="310"/>
        <v>13900387.01643379</v>
      </c>
      <c r="AU175" s="666">
        <f t="shared" ca="1" si="310"/>
        <v>14309344.044335295</v>
      </c>
      <c r="AV175" s="666">
        <f t="shared" ca="1" si="310"/>
        <v>14570241.050823012</v>
      </c>
      <c r="AW175" s="666">
        <f t="shared" ca="1" si="310"/>
        <v>14469660.451264471</v>
      </c>
      <c r="AX175" s="666">
        <f t="shared" ca="1" si="310"/>
        <v>14720822.013013327</v>
      </c>
      <c r="AY175" s="666">
        <f t="shared" ca="1" si="310"/>
        <v>15216638.103721138</v>
      </c>
      <c r="AZ175" s="666">
        <f t="shared" ca="1" si="310"/>
        <v>15121287.046907714</v>
      </c>
      <c r="BA175" s="666">
        <f t="shared" ca="1" si="310"/>
        <v>15353359.70855118</v>
      </c>
      <c r="BB175" s="666">
        <f t="shared" ca="1" si="310"/>
        <v>15585896.24938646</v>
      </c>
      <c r="BC175" s="666">
        <f t="shared" ca="1" si="310"/>
        <v>15543604.897070548</v>
      </c>
      <c r="BE175" s="1195">
        <v>8019898.0099999998</v>
      </c>
      <c r="BF175" s="926">
        <f ca="1">SUM(BF158:BF174)</f>
        <v>13525984.571533689</v>
      </c>
      <c r="BG175" s="1195">
        <f t="shared" ca="1" si="295"/>
        <v>15543604.897070548</v>
      </c>
      <c r="BH175" s="31"/>
      <c r="BI175" s="31"/>
      <c r="BJ175" s="31"/>
      <c r="BK175" s="31"/>
      <c r="BL175" s="31"/>
      <c r="BM175" s="31"/>
      <c r="BN175" s="31"/>
      <c r="BO175" s="31"/>
      <c r="BP175" s="31"/>
      <c r="BQ175" s="31"/>
      <c r="BR175" s="31"/>
      <c r="BS175" s="31"/>
      <c r="BT175" s="31"/>
      <c r="BU175" s="31"/>
      <c r="BV175" s="31"/>
      <c r="BW175" s="31"/>
      <c r="BX175" s="31"/>
      <c r="BY175" s="31"/>
      <c r="BZ175" s="31"/>
      <c r="CA175" s="31"/>
      <c r="CB175" s="31"/>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c r="EX175" s="31"/>
      <c r="EY175" s="31"/>
      <c r="EZ175" s="31"/>
      <c r="FA175" s="31"/>
      <c r="FB175" s="31"/>
      <c r="FC175" s="31"/>
      <c r="FD175" s="31"/>
      <c r="FE175" s="31"/>
      <c r="FF175" s="31"/>
      <c r="FG175" s="31"/>
      <c r="FH175" s="31"/>
      <c r="FI175" s="31"/>
      <c r="FJ175" s="31"/>
      <c r="FK175" s="31"/>
      <c r="FL175" s="31"/>
      <c r="FM175" s="31"/>
      <c r="FN175" s="31"/>
      <c r="FO175" s="31"/>
      <c r="FP175" s="31"/>
      <c r="FQ175" s="31"/>
      <c r="FR175" s="31"/>
      <c r="FS175" s="31"/>
      <c r="FT175" s="31"/>
      <c r="FU175" s="31"/>
      <c r="FV175" s="31"/>
      <c r="FW175" s="31"/>
      <c r="FX175" s="31"/>
      <c r="FY175" s="31"/>
      <c r="FZ175" s="31"/>
      <c r="GA175" s="31"/>
      <c r="GB175" s="31"/>
      <c r="GC175" s="31"/>
      <c r="GD175" s="31"/>
      <c r="GE175" s="31"/>
      <c r="GF175" s="31"/>
      <c r="GG175" s="31"/>
      <c r="GH175" s="31"/>
      <c r="GI175" s="31"/>
      <c r="GJ175" s="31"/>
      <c r="GK175" s="31"/>
      <c r="GL175" s="31"/>
      <c r="GM175" s="31"/>
      <c r="GN175" s="31"/>
      <c r="GO175" s="31"/>
      <c r="GP175" s="31"/>
      <c r="GQ175" s="31"/>
      <c r="GR175" s="31"/>
      <c r="GS175" s="31"/>
      <c r="GT175" s="31"/>
      <c r="GU175" s="31"/>
      <c r="GV175" s="31"/>
      <c r="GW175" s="31"/>
      <c r="GX175" s="31"/>
      <c r="GY175" s="31"/>
      <c r="GZ175" s="31"/>
      <c r="HA175" s="31"/>
      <c r="HB175" s="31"/>
      <c r="HC175" s="31"/>
      <c r="HD175" s="31"/>
      <c r="HE175" s="31"/>
      <c r="HF175" s="31"/>
      <c r="HG175" s="31"/>
      <c r="HH175" s="31"/>
      <c r="HI175" s="31"/>
      <c r="HJ175" s="31"/>
      <c r="HK175" s="31"/>
      <c r="HL175" s="31"/>
      <c r="HM175" s="31"/>
      <c r="HN175" s="31"/>
      <c r="HO175" s="31"/>
      <c r="HP175" s="31"/>
      <c r="HQ175" s="31"/>
      <c r="HR175" s="31"/>
      <c r="HS175" s="31"/>
      <c r="HT175" s="31"/>
      <c r="HU175" s="31"/>
      <c r="HV175" s="31"/>
      <c r="HW175" s="31"/>
      <c r="HX175" s="31"/>
      <c r="HY175" s="31"/>
      <c r="HZ175" s="31"/>
      <c r="IA175" s="31"/>
      <c r="IB175" s="31"/>
      <c r="IC175" s="31"/>
      <c r="ID175" s="31"/>
      <c r="IE175" s="31"/>
      <c r="IF175" s="31"/>
      <c r="IG175" s="31"/>
      <c r="IH175" s="31"/>
      <c r="II175" s="31"/>
      <c r="IJ175" s="31"/>
      <c r="IK175" s="31"/>
      <c r="IL175" s="31"/>
      <c r="IM175" s="31"/>
      <c r="IN175" s="31"/>
      <c r="IO175" s="31"/>
      <c r="IP175" s="31"/>
      <c r="IQ175" s="31"/>
      <c r="IR175" s="31"/>
      <c r="IS175" s="31"/>
      <c r="IT175" s="31"/>
      <c r="IU175" s="31"/>
      <c r="IV175" s="31"/>
      <c r="IW175" s="31"/>
      <c r="IX175" s="31"/>
      <c r="IY175" s="31"/>
      <c r="IZ175" s="31"/>
      <c r="JA175" s="31"/>
      <c r="JB175" s="31"/>
      <c r="JC175" s="31"/>
      <c r="JD175" s="31"/>
      <c r="JE175" s="31"/>
      <c r="JF175" s="31"/>
      <c r="JG175" s="31"/>
      <c r="JH175" s="31"/>
      <c r="JI175" s="31"/>
      <c r="JJ175" s="31"/>
      <c r="JK175" s="31"/>
      <c r="JL175" s="31"/>
      <c r="JM175" s="31"/>
      <c r="JN175" s="31"/>
      <c r="JO175" s="31"/>
      <c r="JP175" s="31"/>
      <c r="JQ175" s="31"/>
      <c r="JR175" s="31"/>
      <c r="JS175" s="31"/>
      <c r="JT175" s="31"/>
      <c r="JU175" s="31"/>
      <c r="JV175" s="31"/>
      <c r="JW175" s="31"/>
      <c r="JX175" s="31"/>
      <c r="JY175" s="31"/>
      <c r="JZ175" s="31"/>
      <c r="KA175" s="31"/>
      <c r="KB175" s="31"/>
      <c r="KC175" s="31"/>
      <c r="KD175" s="31"/>
      <c r="KE175" s="31"/>
      <c r="KF175" s="31"/>
      <c r="KG175" s="31"/>
      <c r="KH175" s="31"/>
      <c r="KI175" s="31"/>
      <c r="KJ175" s="31"/>
      <c r="KK175" s="31"/>
      <c r="KL175" s="31"/>
      <c r="KM175" s="31"/>
      <c r="KN175" s="31"/>
      <c r="KO175" s="31"/>
      <c r="KP175" s="31"/>
      <c r="KQ175" s="31"/>
      <c r="KR175" s="31"/>
      <c r="KS175" s="31"/>
      <c r="KT175" s="31"/>
      <c r="KU175" s="31"/>
      <c r="KV175" s="31"/>
      <c r="KW175" s="31"/>
      <c r="KX175" s="31"/>
      <c r="KY175" s="31"/>
      <c r="KZ175" s="31"/>
      <c r="LA175" s="31"/>
      <c r="LB175" s="31"/>
      <c r="LC175" s="31"/>
      <c r="LD175" s="31"/>
      <c r="LE175" s="31"/>
      <c r="LF175" s="31"/>
      <c r="LG175" s="31"/>
      <c r="LH175" s="31"/>
      <c r="LI175" s="31"/>
      <c r="LJ175" s="31"/>
      <c r="LK175" s="31"/>
      <c r="LL175" s="31"/>
      <c r="LM175" s="31"/>
      <c r="LN175" s="31"/>
      <c r="LO175" s="31"/>
      <c r="LP175" s="31"/>
      <c r="LQ175" s="31"/>
      <c r="LR175" s="31"/>
      <c r="LS175" s="31"/>
      <c r="LT175" s="31"/>
      <c r="LU175" s="31"/>
      <c r="LV175" s="31"/>
      <c r="LW175" s="31"/>
      <c r="LX175" s="31"/>
      <c r="LY175" s="31"/>
      <c r="LZ175" s="31"/>
      <c r="MA175" s="31"/>
      <c r="MB175" s="31"/>
      <c r="MC175" s="31"/>
      <c r="MD175" s="31"/>
      <c r="ME175" s="31"/>
      <c r="MF175" s="31"/>
      <c r="MG175" s="31"/>
      <c r="MH175" s="31"/>
      <c r="MI175" s="31"/>
      <c r="MJ175" s="31"/>
      <c r="MK175" s="31"/>
      <c r="ML175" s="31"/>
      <c r="MM175" s="31"/>
      <c r="MN175" s="31"/>
      <c r="MO175" s="31"/>
      <c r="MP175" s="31"/>
      <c r="MQ175" s="31"/>
      <c r="MR175" s="31"/>
      <c r="MS175" s="31"/>
      <c r="MT175" s="31"/>
      <c r="MU175" s="31"/>
      <c r="MV175" s="31"/>
      <c r="MW175" s="31"/>
      <c r="MX175" s="31"/>
      <c r="MY175" s="31"/>
      <c r="MZ175" s="31"/>
      <c r="NA175" s="31"/>
      <c r="NB175" s="31"/>
      <c r="NC175" s="31"/>
      <c r="ND175" s="31"/>
      <c r="NE175" s="31"/>
      <c r="NF175" s="31"/>
      <c r="NG175" s="31"/>
      <c r="NH175" s="31"/>
      <c r="NI175" s="31"/>
      <c r="NJ175" s="31"/>
      <c r="NK175" s="31"/>
      <c r="NL175" s="31"/>
      <c r="NM175" s="31"/>
      <c r="NN175" s="31"/>
      <c r="NO175" s="31"/>
      <c r="NP175" s="31"/>
      <c r="NQ175" s="31"/>
      <c r="NR175" s="31"/>
      <c r="NS175" s="31"/>
      <c r="NT175" s="31"/>
      <c r="NU175" s="31"/>
      <c r="NV175" s="31"/>
      <c r="NW175" s="31"/>
      <c r="NX175" s="31"/>
      <c r="NY175" s="31"/>
      <c r="NZ175" s="31"/>
      <c r="OA175" s="31"/>
      <c r="OB175" s="31"/>
      <c r="OC175" s="31"/>
      <c r="OD175" s="31"/>
      <c r="OE175" s="31"/>
      <c r="OF175" s="31"/>
      <c r="OG175" s="31"/>
      <c r="OH175" s="31"/>
      <c r="OI175" s="31"/>
      <c r="OJ175" s="31"/>
      <c r="OK175" s="31"/>
      <c r="OL175" s="31"/>
      <c r="OM175" s="31"/>
      <c r="ON175" s="31"/>
      <c r="OO175" s="31"/>
      <c r="OP175" s="31"/>
      <c r="OQ175" s="31"/>
      <c r="OR175" s="31"/>
      <c r="OS175" s="31"/>
      <c r="OT175" s="31"/>
      <c r="OU175" s="31"/>
      <c r="OV175" s="31"/>
      <c r="OW175" s="31"/>
      <c r="OX175" s="31"/>
      <c r="OY175" s="31"/>
      <c r="OZ175" s="31"/>
      <c r="PA175" s="31"/>
      <c r="PB175" s="31"/>
      <c r="PC175" s="31"/>
      <c r="PD175" s="31"/>
      <c r="PE175" s="31"/>
      <c r="PF175" s="31"/>
      <c r="PG175" s="31"/>
      <c r="PH175" s="31"/>
      <c r="PI175" s="31"/>
      <c r="PJ175" s="31"/>
      <c r="PK175" s="31"/>
      <c r="PL175" s="31"/>
      <c r="PM175" s="31"/>
      <c r="PN175" s="31"/>
      <c r="PO175" s="31"/>
      <c r="PP175" s="31"/>
      <c r="PQ175" s="31"/>
      <c r="PR175" s="31"/>
      <c r="PS175" s="31"/>
      <c r="PT175" s="31"/>
      <c r="PU175" s="31"/>
      <c r="PV175" s="31"/>
      <c r="PW175" s="31"/>
      <c r="PX175" s="31"/>
      <c r="PY175" s="31"/>
      <c r="PZ175" s="31"/>
      <c r="QA175" s="31"/>
      <c r="QB175" s="31"/>
      <c r="QC175" s="31"/>
      <c r="QD175" s="31"/>
      <c r="QE175" s="31"/>
      <c r="QF175" s="31"/>
      <c r="QG175" s="31"/>
      <c r="QH175" s="31"/>
      <c r="QI175" s="31"/>
      <c r="QJ175" s="31"/>
      <c r="QK175" s="31"/>
      <c r="QL175" s="31"/>
      <c r="QM175" s="31"/>
      <c r="QN175" s="31"/>
      <c r="QO175" s="31"/>
      <c r="QP175" s="31"/>
      <c r="QQ175" s="31"/>
      <c r="QR175" s="31"/>
      <c r="QS175" s="31"/>
      <c r="QT175" s="31"/>
      <c r="QU175" s="31"/>
      <c r="QV175" s="31"/>
      <c r="QW175" s="31"/>
      <c r="QX175" s="31"/>
      <c r="QY175" s="31"/>
      <c r="QZ175" s="31"/>
      <c r="RA175" s="31"/>
      <c r="RB175" s="31"/>
      <c r="RC175" s="31"/>
      <c r="RD175" s="31"/>
      <c r="RE175" s="31"/>
      <c r="RF175" s="31"/>
      <c r="RG175" s="31"/>
      <c r="RH175" s="31"/>
      <c r="RI175" s="31"/>
      <c r="RJ175" s="31"/>
      <c r="RK175" s="31"/>
      <c r="RL175" s="31"/>
      <c r="RM175" s="31"/>
      <c r="RN175" s="31"/>
      <c r="RO175" s="31"/>
      <c r="RP175" s="31"/>
      <c r="RQ175" s="31"/>
      <c r="RR175" s="31"/>
      <c r="RS175" s="31"/>
      <c r="RT175" s="31"/>
      <c r="RU175" s="31"/>
      <c r="RV175" s="31"/>
      <c r="RW175" s="31"/>
      <c r="RX175" s="31"/>
      <c r="RY175" s="31"/>
      <c r="RZ175" s="31"/>
      <c r="SA175" s="31"/>
      <c r="SB175" s="31"/>
      <c r="SC175" s="31"/>
      <c r="SD175" s="31"/>
      <c r="SE175" s="31"/>
      <c r="SF175" s="31"/>
      <c r="SG175" s="31"/>
      <c r="SH175" s="31"/>
      <c r="SI175" s="31"/>
      <c r="SJ175" s="31"/>
      <c r="SK175" s="31"/>
      <c r="SL175" s="31"/>
      <c r="SM175" s="31"/>
      <c r="SN175" s="31"/>
      <c r="SO175" s="31"/>
      <c r="SP175" s="31"/>
      <c r="SQ175" s="31"/>
      <c r="SR175" s="31"/>
      <c r="SS175" s="31"/>
      <c r="ST175" s="31"/>
      <c r="SU175" s="31"/>
      <c r="SV175" s="31"/>
      <c r="SW175" s="31"/>
      <c r="SX175" s="31"/>
      <c r="SY175" s="31"/>
      <c r="SZ175" s="31"/>
      <c r="TA175" s="31"/>
      <c r="TB175" s="31"/>
      <c r="TC175" s="31"/>
      <c r="TD175" s="31"/>
      <c r="TE175" s="31"/>
      <c r="TF175" s="31"/>
      <c r="TG175" s="31"/>
      <c r="TH175" s="31"/>
      <c r="TI175" s="31"/>
      <c r="TJ175" s="31"/>
      <c r="TK175" s="31"/>
      <c r="TL175" s="31"/>
      <c r="TM175" s="31"/>
      <c r="TN175" s="31"/>
      <c r="TO175" s="31"/>
      <c r="TP175" s="31"/>
      <c r="TQ175" s="31"/>
      <c r="TR175" s="31"/>
      <c r="TS175" s="31"/>
      <c r="TT175" s="31"/>
      <c r="TU175" s="31"/>
      <c r="TV175" s="31"/>
      <c r="TW175" s="31"/>
      <c r="TX175" s="31"/>
      <c r="TY175" s="31"/>
      <c r="TZ175" s="31"/>
      <c r="UA175" s="31"/>
      <c r="UB175" s="31"/>
      <c r="UC175" s="31"/>
      <c r="UD175" s="31"/>
      <c r="UE175" s="31"/>
      <c r="UF175" s="31"/>
      <c r="UG175" s="31"/>
      <c r="UH175" s="31"/>
      <c r="UI175" s="31"/>
      <c r="UJ175" s="31"/>
      <c r="UK175" s="31"/>
      <c r="UL175" s="31"/>
      <c r="UM175" s="31"/>
      <c r="UN175" s="31"/>
      <c r="UO175" s="31"/>
      <c r="UP175" s="31"/>
      <c r="UQ175" s="31"/>
      <c r="UR175" s="31"/>
      <c r="US175" s="31"/>
      <c r="UT175" s="31"/>
      <c r="UU175" s="31"/>
      <c r="UV175" s="31"/>
      <c r="UW175" s="31"/>
      <c r="UX175" s="31"/>
      <c r="UY175" s="31"/>
      <c r="UZ175" s="31"/>
      <c r="VA175" s="31"/>
      <c r="VB175" s="31"/>
      <c r="VC175" s="31"/>
      <c r="VD175" s="31"/>
      <c r="VE175" s="31"/>
      <c r="VF175" s="31"/>
      <c r="VG175" s="31"/>
      <c r="VH175" s="31"/>
      <c r="VI175" s="31"/>
      <c r="VJ175" s="31"/>
      <c r="VK175" s="31"/>
      <c r="VL175" s="31"/>
      <c r="VM175" s="31"/>
      <c r="VN175" s="31"/>
      <c r="VO175" s="31"/>
      <c r="VP175" s="31"/>
      <c r="VQ175" s="31"/>
      <c r="VR175" s="31"/>
      <c r="VS175" s="31"/>
      <c r="VT175" s="31"/>
      <c r="VU175" s="31"/>
      <c r="VV175" s="31"/>
      <c r="VW175" s="31"/>
      <c r="VX175" s="31"/>
      <c r="VY175" s="31"/>
      <c r="VZ175" s="31"/>
      <c r="WA175" s="31"/>
      <c r="WB175" s="31"/>
      <c r="WC175" s="31"/>
      <c r="WD175" s="31"/>
      <c r="WE175" s="31"/>
      <c r="WF175" s="31"/>
      <c r="WG175" s="31"/>
      <c r="WH175" s="31"/>
      <c r="WI175" s="31"/>
      <c r="WJ175" s="31"/>
      <c r="WK175" s="31"/>
      <c r="WL175" s="31"/>
      <c r="WM175" s="31"/>
      <c r="WN175" s="31"/>
      <c r="WO175" s="31"/>
      <c r="WP175" s="31"/>
      <c r="WQ175" s="31"/>
      <c r="WR175" s="31"/>
      <c r="WS175" s="31"/>
      <c r="WT175" s="31"/>
      <c r="WU175" s="31"/>
      <c r="WV175" s="31"/>
      <c r="WW175" s="31"/>
      <c r="WX175" s="31"/>
      <c r="WY175" s="31"/>
      <c r="WZ175" s="31"/>
      <c r="XA175" s="31"/>
      <c r="XB175" s="31"/>
      <c r="XC175" s="31"/>
      <c r="XD175" s="31"/>
      <c r="XE175" s="31"/>
      <c r="XF175" s="31"/>
      <c r="XG175" s="31"/>
      <c r="XH175" s="31"/>
      <c r="XI175" s="31"/>
      <c r="XJ175" s="31"/>
      <c r="XK175" s="31"/>
      <c r="XL175" s="31"/>
      <c r="XM175" s="31"/>
      <c r="XN175" s="31"/>
      <c r="XO175" s="31"/>
      <c r="XP175" s="31"/>
      <c r="XQ175" s="31"/>
      <c r="XR175" s="31"/>
      <c r="XS175" s="31"/>
      <c r="XT175" s="31"/>
      <c r="XU175" s="31"/>
      <c r="XV175" s="31"/>
      <c r="XW175" s="31"/>
      <c r="XX175" s="31"/>
      <c r="XY175" s="31"/>
      <c r="XZ175" s="31"/>
      <c r="YA175" s="31"/>
      <c r="YB175" s="31"/>
      <c r="YC175" s="31"/>
      <c r="YD175" s="31"/>
      <c r="YE175" s="31"/>
      <c r="YF175" s="31"/>
      <c r="YG175" s="31"/>
      <c r="YH175" s="31"/>
      <c r="YI175" s="31"/>
      <c r="YJ175" s="31"/>
      <c r="YK175" s="31"/>
      <c r="YL175" s="31"/>
      <c r="YM175" s="31"/>
      <c r="YN175" s="31"/>
      <c r="YO175" s="31"/>
      <c r="YP175" s="31"/>
      <c r="YQ175" s="31"/>
      <c r="YR175" s="31"/>
      <c r="YS175" s="31"/>
      <c r="YT175" s="31"/>
      <c r="YU175" s="31"/>
      <c r="YV175" s="31"/>
      <c r="YW175" s="31"/>
      <c r="YX175" s="31"/>
      <c r="YY175" s="31"/>
      <c r="YZ175" s="31"/>
      <c r="ZA175" s="31"/>
      <c r="ZB175" s="31"/>
      <c r="ZC175" s="31"/>
      <c r="ZD175" s="31"/>
      <c r="ZE175" s="31"/>
      <c r="ZF175" s="31"/>
      <c r="ZG175" s="31"/>
      <c r="ZH175" s="31"/>
      <c r="ZI175" s="31"/>
      <c r="ZJ175" s="31"/>
      <c r="ZK175" s="31"/>
      <c r="ZL175" s="31"/>
      <c r="ZM175" s="31"/>
      <c r="ZN175" s="31"/>
      <c r="ZO175" s="31"/>
      <c r="ZP175" s="31"/>
      <c r="ZQ175" s="31"/>
      <c r="ZR175" s="31"/>
      <c r="ZS175" s="31"/>
      <c r="ZT175" s="31"/>
      <c r="ZU175" s="31"/>
      <c r="ZV175" s="31"/>
      <c r="ZW175" s="31"/>
      <c r="ZX175" s="31"/>
      <c r="ZY175" s="31"/>
      <c r="ZZ175" s="31"/>
      <c r="AAA175" s="31"/>
      <c r="AAB175" s="31"/>
      <c r="AAC175" s="31"/>
      <c r="AAD175" s="31"/>
      <c r="AAE175" s="31"/>
      <c r="AAF175" s="31"/>
      <c r="AAG175" s="31"/>
      <c r="AAH175" s="31"/>
      <c r="AAI175" s="31"/>
      <c r="AAJ175" s="31"/>
      <c r="AAK175" s="31"/>
      <c r="AAL175" s="31"/>
      <c r="AAM175" s="31"/>
      <c r="AAN175" s="31"/>
      <c r="AAO175" s="31"/>
      <c r="AAP175" s="31"/>
      <c r="AAQ175" s="31"/>
      <c r="AAR175" s="31"/>
      <c r="AAS175" s="31"/>
      <c r="AAT175" s="31"/>
      <c r="AAU175" s="31"/>
      <c r="AAV175" s="31"/>
      <c r="AAW175" s="31"/>
      <c r="AAX175" s="31"/>
      <c r="AAY175" s="31"/>
      <c r="AAZ175" s="31"/>
      <c r="ABA175" s="31"/>
      <c r="ABB175" s="31"/>
      <c r="ABC175" s="31"/>
      <c r="ABD175" s="31"/>
      <c r="ABE175" s="31"/>
      <c r="ABF175" s="31"/>
      <c r="ABG175" s="31"/>
      <c r="ABH175" s="31"/>
      <c r="ABI175" s="31"/>
      <c r="ABJ175" s="31"/>
      <c r="ABK175" s="31"/>
      <c r="ABL175" s="31"/>
      <c r="ABM175" s="31"/>
      <c r="ABN175" s="31"/>
      <c r="ABO175" s="31"/>
      <c r="ABP175" s="31"/>
      <c r="ABQ175" s="31"/>
      <c r="ABR175" s="31"/>
      <c r="ABS175" s="31"/>
      <c r="ABT175" s="31"/>
      <c r="ABU175" s="31"/>
      <c r="ABV175" s="31"/>
      <c r="ABW175" s="31"/>
      <c r="ABX175" s="31"/>
      <c r="ABY175" s="31"/>
      <c r="ABZ175" s="31"/>
      <c r="ACA175" s="31"/>
      <c r="ACB175" s="31"/>
      <c r="ACC175" s="31"/>
      <c r="ACD175" s="31"/>
      <c r="ACE175" s="31"/>
      <c r="ACF175" s="31"/>
      <c r="ACG175" s="31"/>
      <c r="ACH175" s="31"/>
      <c r="ACI175" s="31"/>
      <c r="ACJ175" s="31"/>
      <c r="ACK175" s="31"/>
      <c r="ACL175" s="31"/>
      <c r="ACM175" s="31"/>
      <c r="ACN175" s="31"/>
      <c r="ACO175" s="31"/>
      <c r="ACP175" s="31"/>
      <c r="ACQ175" s="31"/>
      <c r="ACR175" s="31"/>
      <c r="ACS175" s="31"/>
      <c r="ACT175" s="31"/>
      <c r="ACU175" s="31"/>
      <c r="ACV175" s="31"/>
      <c r="ACW175" s="31"/>
      <c r="ACX175" s="31"/>
      <c r="ACY175" s="31"/>
      <c r="ACZ175" s="31"/>
      <c r="ADA175" s="31"/>
      <c r="ADB175" s="31"/>
      <c r="ADC175" s="31"/>
      <c r="ADD175" s="31"/>
      <c r="ADE175" s="31"/>
      <c r="ADF175" s="31"/>
      <c r="ADG175" s="31"/>
      <c r="ADH175" s="31"/>
      <c r="ADI175" s="31"/>
      <c r="ADJ175" s="31"/>
      <c r="ADK175" s="31"/>
      <c r="ADL175" s="31"/>
      <c r="ADM175" s="31"/>
      <c r="ADN175" s="31"/>
      <c r="ADO175" s="31"/>
      <c r="ADP175" s="31"/>
      <c r="ADQ175" s="31"/>
      <c r="ADR175" s="31"/>
      <c r="ADS175" s="31"/>
      <c r="ADT175" s="31"/>
      <c r="ADU175" s="31"/>
      <c r="ADV175" s="31"/>
      <c r="ADW175" s="31"/>
      <c r="ADX175" s="31"/>
      <c r="ADY175" s="31"/>
      <c r="ADZ175" s="31"/>
      <c r="AEA175" s="31"/>
      <c r="AEB175" s="31"/>
      <c r="AEC175" s="31"/>
      <c r="AED175" s="31"/>
      <c r="AEE175" s="31"/>
      <c r="AEF175" s="31"/>
      <c r="AEG175" s="31"/>
      <c r="AEH175" s="31"/>
      <c r="AEI175" s="31"/>
      <c r="AEJ175" s="31"/>
      <c r="AEK175" s="31"/>
      <c r="AEL175" s="31"/>
      <c r="AEM175" s="31"/>
      <c r="AEN175" s="31"/>
      <c r="AEO175" s="31"/>
      <c r="AEP175" s="31"/>
      <c r="AEQ175" s="31"/>
      <c r="AER175" s="31"/>
      <c r="AES175" s="31"/>
      <c r="AET175" s="31"/>
      <c r="AEU175" s="31"/>
      <c r="AEV175" s="31"/>
      <c r="AEW175" s="31"/>
      <c r="AEX175" s="31"/>
      <c r="AEY175" s="31"/>
      <c r="AEZ175" s="31"/>
      <c r="AFA175" s="31"/>
      <c r="AFB175" s="31"/>
      <c r="AFC175" s="31"/>
      <c r="AFD175" s="31"/>
      <c r="AFE175" s="31"/>
      <c r="AFF175" s="31"/>
      <c r="AFG175" s="31"/>
      <c r="AFH175" s="31"/>
      <c r="AFI175" s="31"/>
      <c r="AFJ175" s="31"/>
      <c r="AFK175" s="31"/>
      <c r="AFL175" s="31"/>
      <c r="AFM175" s="31"/>
      <c r="AFN175" s="31"/>
      <c r="AFO175" s="31"/>
      <c r="AFP175" s="31"/>
      <c r="AFQ175" s="31"/>
      <c r="AFR175" s="31"/>
      <c r="AFS175" s="31"/>
      <c r="AFT175" s="31"/>
      <c r="AFU175" s="31"/>
      <c r="AFV175" s="31"/>
      <c r="AFW175" s="31"/>
      <c r="AFX175" s="31"/>
      <c r="AFY175" s="31"/>
      <c r="AFZ175" s="31"/>
      <c r="AGA175" s="31"/>
      <c r="AGB175" s="31"/>
      <c r="AGC175" s="31"/>
      <c r="AGD175" s="31"/>
      <c r="AGE175" s="31"/>
      <c r="AGF175" s="31"/>
      <c r="AGG175" s="31"/>
      <c r="AGH175" s="31"/>
      <c r="AGI175" s="31"/>
      <c r="AGJ175" s="31"/>
      <c r="AGK175" s="31"/>
      <c r="AGL175" s="31"/>
      <c r="AGM175" s="31"/>
      <c r="AGN175" s="31"/>
      <c r="AGO175" s="31"/>
      <c r="AGP175" s="31"/>
      <c r="AGQ175" s="31"/>
      <c r="AGR175" s="31"/>
      <c r="AGS175" s="31"/>
      <c r="AGT175" s="31"/>
      <c r="AGU175" s="31"/>
      <c r="AGV175" s="31"/>
      <c r="AGW175" s="31"/>
      <c r="AGX175" s="31"/>
      <c r="AGY175" s="31"/>
      <c r="AGZ175" s="31"/>
      <c r="AHA175" s="31"/>
      <c r="AHB175" s="31"/>
      <c r="AHC175" s="31"/>
      <c r="AHD175" s="31"/>
      <c r="AHE175" s="31"/>
      <c r="AHF175" s="31"/>
      <c r="AHG175" s="31"/>
      <c r="AHH175" s="31"/>
      <c r="AHI175" s="31"/>
      <c r="AHJ175" s="31"/>
      <c r="AHK175" s="31"/>
      <c r="AHL175" s="31"/>
      <c r="AHM175" s="31"/>
      <c r="AHN175" s="31"/>
      <c r="AHO175" s="31"/>
      <c r="AHP175" s="31"/>
      <c r="AHQ175" s="31"/>
      <c r="AHR175" s="31"/>
      <c r="AHS175" s="31"/>
      <c r="AHT175" s="31"/>
      <c r="AHU175" s="31"/>
      <c r="AHV175" s="31"/>
      <c r="AHW175" s="31"/>
      <c r="AHX175" s="31"/>
      <c r="AHY175" s="31"/>
      <c r="AHZ175" s="31"/>
      <c r="AIA175" s="31"/>
      <c r="AIB175" s="31"/>
      <c r="AIC175" s="31"/>
      <c r="AID175" s="31"/>
      <c r="AIE175" s="31"/>
      <c r="AIF175" s="31"/>
      <c r="AIG175" s="31"/>
      <c r="AIH175" s="31"/>
      <c r="AII175" s="31"/>
      <c r="AIJ175" s="31"/>
      <c r="AIK175" s="31"/>
      <c r="AIL175" s="31"/>
      <c r="AIM175" s="31"/>
      <c r="AIN175" s="31"/>
      <c r="AIO175" s="31"/>
      <c r="AIP175" s="31"/>
      <c r="AIQ175" s="31"/>
      <c r="AIR175" s="31"/>
      <c r="AIS175" s="31"/>
      <c r="AIT175" s="31"/>
      <c r="AIU175" s="31"/>
      <c r="AIV175" s="31"/>
      <c r="AIW175" s="31"/>
      <c r="AIX175" s="31"/>
      <c r="AIY175" s="31"/>
      <c r="AIZ175" s="31"/>
      <c r="AJA175" s="31"/>
      <c r="AJB175" s="31"/>
      <c r="AJC175" s="31"/>
      <c r="AJD175" s="31"/>
      <c r="AJE175" s="31"/>
      <c r="AJF175" s="31"/>
      <c r="AJG175" s="31"/>
      <c r="AJH175" s="31"/>
      <c r="AJI175" s="31"/>
      <c r="AJJ175" s="31"/>
      <c r="AJK175" s="31"/>
      <c r="AJL175" s="31"/>
      <c r="AJM175" s="31"/>
      <c r="AJN175" s="31"/>
      <c r="AJO175" s="31"/>
      <c r="AJP175" s="31"/>
      <c r="AJQ175" s="31"/>
      <c r="AJR175" s="31"/>
      <c r="AJS175" s="31"/>
      <c r="AJT175" s="31"/>
      <c r="AJU175" s="31"/>
      <c r="AJV175" s="31"/>
      <c r="AJW175" s="31"/>
      <c r="AJX175" s="31"/>
      <c r="AJY175" s="31"/>
      <c r="AJZ175" s="31"/>
      <c r="AKA175" s="31"/>
      <c r="AKB175" s="31"/>
      <c r="AKC175" s="31"/>
      <c r="AKD175" s="31"/>
      <c r="AKE175" s="31"/>
      <c r="AKF175" s="31"/>
      <c r="AKG175" s="31"/>
      <c r="AKH175" s="31"/>
      <c r="AKI175" s="31"/>
      <c r="AKJ175" s="31"/>
      <c r="AKK175" s="31"/>
      <c r="AKL175" s="31"/>
      <c r="AKM175" s="31"/>
      <c r="AKN175" s="31"/>
      <c r="AKO175" s="31"/>
      <c r="AKP175" s="31"/>
      <c r="AKQ175" s="31"/>
      <c r="AKR175" s="31"/>
      <c r="AKS175" s="31"/>
      <c r="AKT175" s="31"/>
      <c r="AKU175" s="31"/>
      <c r="AKV175" s="31"/>
      <c r="AKW175" s="31"/>
      <c r="AKX175" s="31"/>
      <c r="AKY175" s="31"/>
      <c r="AKZ175" s="31"/>
      <c r="ALA175" s="31"/>
      <c r="ALB175" s="31"/>
      <c r="ALC175" s="31"/>
      <c r="ALD175" s="31"/>
      <c r="ALE175" s="31"/>
      <c r="ALF175" s="31"/>
      <c r="ALG175" s="31"/>
      <c r="ALH175" s="31"/>
      <c r="ALI175" s="31"/>
      <c r="ALJ175" s="31"/>
      <c r="ALK175" s="31"/>
      <c r="ALL175" s="31"/>
      <c r="ALM175" s="31"/>
      <c r="ALN175" s="31"/>
      <c r="ALO175" s="31"/>
      <c r="ALP175" s="31"/>
      <c r="ALQ175" s="31"/>
      <c r="ALR175" s="31"/>
      <c r="ALS175" s="31"/>
      <c r="ALT175" s="31"/>
      <c r="ALU175" s="31"/>
      <c r="ALV175" s="31"/>
      <c r="ALW175" s="31"/>
      <c r="ALX175" s="31"/>
      <c r="ALY175" s="31"/>
      <c r="ALZ175" s="31"/>
      <c r="AMA175" s="31"/>
      <c r="AMB175" s="31"/>
      <c r="AMC175" s="31"/>
      <c r="AMD175" s="31"/>
      <c r="AME175" s="31"/>
      <c r="AMF175" s="31"/>
      <c r="AMG175" s="31"/>
      <c r="AMH175" s="31"/>
      <c r="AMI175" s="31"/>
      <c r="AMJ175" s="31"/>
      <c r="AMK175" s="31"/>
      <c r="AML175" s="31"/>
      <c r="AMM175" s="31"/>
      <c r="AMN175" s="31"/>
      <c r="AMO175" s="31"/>
      <c r="AMP175" s="31"/>
      <c r="AMQ175" s="31"/>
      <c r="AMR175" s="31"/>
      <c r="AMS175" s="31"/>
      <c r="AMT175" s="31"/>
      <c r="AMU175" s="31"/>
      <c r="AMV175" s="31"/>
      <c r="AMW175" s="31"/>
      <c r="AMX175" s="31"/>
      <c r="AMY175" s="31"/>
      <c r="AMZ175" s="31"/>
      <c r="ANA175" s="31"/>
      <c r="ANB175" s="31"/>
      <c r="ANC175" s="31"/>
      <c r="AND175" s="31"/>
      <c r="ANE175" s="31"/>
      <c r="ANF175" s="31"/>
      <c r="ANG175" s="31"/>
      <c r="ANH175" s="31"/>
      <c r="ANI175" s="31"/>
      <c r="ANJ175" s="31"/>
      <c r="ANK175" s="31"/>
      <c r="ANL175" s="31"/>
      <c r="ANM175" s="31"/>
      <c r="ANN175" s="31"/>
      <c r="ANO175" s="31"/>
      <c r="ANP175" s="31"/>
      <c r="ANQ175" s="31"/>
      <c r="ANR175" s="31"/>
      <c r="ANS175" s="31"/>
      <c r="ANT175" s="31"/>
      <c r="ANU175" s="31"/>
      <c r="ANV175" s="31"/>
      <c r="ANW175" s="31"/>
      <c r="ANX175" s="31"/>
      <c r="ANY175" s="31"/>
      <c r="ANZ175" s="31"/>
      <c r="AOA175" s="31"/>
      <c r="AOB175" s="31"/>
      <c r="AOC175" s="31"/>
      <c r="AOD175" s="31"/>
      <c r="AOE175" s="31"/>
      <c r="AOF175" s="31"/>
      <c r="AOG175" s="31"/>
      <c r="AOH175" s="31"/>
      <c r="AOI175" s="31"/>
      <c r="AOJ175" s="31"/>
      <c r="AOK175" s="31"/>
      <c r="AOL175" s="31"/>
      <c r="AOM175" s="31"/>
      <c r="AON175" s="31"/>
      <c r="AOO175" s="31"/>
      <c r="AOP175" s="31"/>
      <c r="AOQ175" s="31"/>
      <c r="AOR175" s="31"/>
      <c r="AOS175" s="31"/>
      <c r="AOT175" s="31"/>
      <c r="AOU175" s="31"/>
      <c r="AOV175" s="31"/>
      <c r="AOW175" s="31"/>
      <c r="AOX175" s="31"/>
      <c r="AOY175" s="31"/>
      <c r="AOZ175" s="31"/>
      <c r="APA175" s="31"/>
      <c r="APB175" s="31"/>
      <c r="APC175" s="31"/>
      <c r="APD175" s="31"/>
      <c r="APE175" s="31"/>
      <c r="APF175" s="31"/>
      <c r="APG175" s="31"/>
      <c r="APH175" s="31"/>
      <c r="API175" s="31"/>
      <c r="APJ175" s="31"/>
      <c r="APK175" s="31"/>
      <c r="APL175" s="31"/>
      <c r="APM175" s="31"/>
      <c r="APN175" s="31"/>
      <c r="APO175" s="31"/>
      <c r="APP175" s="31"/>
      <c r="APQ175" s="31"/>
      <c r="APR175" s="31"/>
      <c r="APS175" s="31"/>
      <c r="APT175" s="31"/>
      <c r="APU175" s="31"/>
      <c r="APV175" s="31"/>
      <c r="APW175" s="31"/>
      <c r="APX175" s="31"/>
      <c r="APY175" s="31"/>
      <c r="APZ175" s="31"/>
      <c r="AQA175" s="31"/>
      <c r="AQB175" s="31"/>
      <c r="AQC175" s="31"/>
      <c r="AQD175" s="31"/>
      <c r="AQE175" s="31"/>
      <c r="AQF175" s="31"/>
      <c r="AQG175" s="31"/>
      <c r="AQH175" s="31"/>
      <c r="AQI175" s="31"/>
      <c r="AQJ175" s="31"/>
      <c r="AQK175" s="31"/>
      <c r="AQL175" s="31"/>
      <c r="AQM175" s="31"/>
      <c r="AQN175" s="31"/>
      <c r="AQO175" s="31"/>
      <c r="AQP175" s="31"/>
      <c r="AQQ175" s="31"/>
      <c r="AQR175" s="31"/>
      <c r="AQS175" s="31"/>
      <c r="AQT175" s="31"/>
      <c r="AQU175" s="31"/>
      <c r="AQV175" s="31"/>
      <c r="AQW175" s="31"/>
      <c r="AQX175" s="31"/>
      <c r="AQY175" s="31"/>
      <c r="AQZ175" s="31"/>
      <c r="ARA175" s="31"/>
      <c r="ARB175" s="31"/>
      <c r="ARC175" s="31"/>
      <c r="ARD175" s="31"/>
      <c r="ARE175" s="31"/>
      <c r="ARF175" s="31"/>
      <c r="ARG175" s="31"/>
      <c r="ARH175" s="31"/>
      <c r="ARI175" s="31"/>
      <c r="ARJ175" s="31"/>
      <c r="ARK175" s="31"/>
      <c r="ARL175" s="31"/>
      <c r="ARM175" s="31"/>
      <c r="ARN175" s="31"/>
      <c r="ARO175" s="31"/>
      <c r="ARP175" s="31"/>
      <c r="ARQ175" s="31"/>
      <c r="ARR175" s="31"/>
      <c r="ARS175" s="31"/>
      <c r="ART175" s="31"/>
      <c r="ARU175" s="31"/>
      <c r="ARV175" s="31"/>
      <c r="ARW175" s="31"/>
      <c r="ARX175" s="31"/>
      <c r="ARY175" s="31"/>
      <c r="ARZ175" s="31"/>
      <c r="ASA175" s="31"/>
      <c r="ASB175" s="31"/>
      <c r="ASC175" s="31"/>
      <c r="ASD175" s="31"/>
      <c r="ASE175" s="31"/>
      <c r="ASF175" s="31"/>
      <c r="ASG175" s="31"/>
      <c r="ASH175" s="31"/>
      <c r="ASI175" s="31"/>
      <c r="ASJ175" s="31"/>
      <c r="ASK175" s="31"/>
      <c r="ASL175" s="31"/>
      <c r="ASM175" s="31"/>
      <c r="ASN175" s="31"/>
      <c r="ASO175" s="31"/>
      <c r="ASP175" s="31"/>
      <c r="ASQ175" s="31"/>
      <c r="ASR175" s="31"/>
      <c r="ASS175" s="31"/>
      <c r="AST175" s="31"/>
      <c r="ASU175" s="31"/>
      <c r="ASV175" s="31"/>
      <c r="ASW175" s="31"/>
      <c r="ASX175" s="31"/>
      <c r="ASY175" s="31"/>
      <c r="ASZ175" s="31"/>
      <c r="ATA175" s="31"/>
      <c r="ATB175" s="31"/>
      <c r="ATC175" s="31"/>
      <c r="ATD175" s="31"/>
      <c r="ATE175" s="31"/>
    </row>
    <row r="176" spans="1:1201" s="34" customFormat="1" ht="15.75" customHeight="1" x14ac:dyDescent="0.3">
      <c r="A176" s="76"/>
      <c r="B176" s="76"/>
      <c r="C176" s="1452" t="s">
        <v>1313</v>
      </c>
      <c r="D176" s="63"/>
      <c r="E176" s="63"/>
      <c r="F176" s="156"/>
      <c r="G176" s="157"/>
      <c r="H176" s="649"/>
      <c r="I176" s="649"/>
      <c r="J176" s="649"/>
      <c r="K176" s="649"/>
      <c r="L176" s="649"/>
      <c r="M176" s="649"/>
      <c r="N176" s="625"/>
      <c r="O176" s="625"/>
      <c r="P176" s="625"/>
      <c r="Q176" s="625"/>
      <c r="R176" s="625"/>
      <c r="S176" s="963"/>
      <c r="T176" s="1076">
        <f>T175-'MXD BS'!C45</f>
        <v>0</v>
      </c>
      <c r="U176" s="1076">
        <f>U175-'MXD BS'!D45</f>
        <v>0</v>
      </c>
      <c r="V176" s="1076">
        <f>V175-'MXD BS'!E45</f>
        <v>0</v>
      </c>
      <c r="W176" s="1076">
        <f>W175-'MXD BS'!F45</f>
        <v>0</v>
      </c>
      <c r="X176" s="1076">
        <f>X175-'MXD BS'!G45</f>
        <v>0</v>
      </c>
      <c r="Y176" s="1076">
        <f>Y175-'MXD BS'!H45</f>
        <v>0</v>
      </c>
      <c r="Z176" s="1076">
        <f>Z175-'MXD BS'!I45</f>
        <v>0</v>
      </c>
      <c r="AA176" s="1076">
        <f>AA175-'MXD BS'!J45</f>
        <v>0</v>
      </c>
      <c r="AB176" s="1076">
        <f>AB175-'MXD BS'!K45</f>
        <v>0</v>
      </c>
      <c r="AC176" s="1076">
        <f>AC175-'MXD BS'!L45</f>
        <v>0</v>
      </c>
      <c r="AD176" s="1076">
        <f>AD175-'MXD BS'!M45</f>
        <v>0</v>
      </c>
      <c r="AE176" s="1425">
        <f>AE175-'MXD BS'!N45</f>
        <v>0</v>
      </c>
      <c r="AF176" s="1425">
        <f>AF175-'MXD BS'!O45</f>
        <v>0</v>
      </c>
      <c r="AG176" s="1425">
        <f>AG175-'MXD BS'!P45</f>
        <v>0</v>
      </c>
      <c r="AH176" s="1425">
        <f>AH175-'MXD BS'!Q45</f>
        <v>0</v>
      </c>
      <c r="AI176" s="1425">
        <f>AI175-'MXD BS'!R45</f>
        <v>0</v>
      </c>
      <c r="AJ176" s="1425">
        <f>AJ175-'MXD BS'!S45-AJ162-AJ171</f>
        <v>0</v>
      </c>
      <c r="AK176" s="1425">
        <f>AK175-'MXD BS'!T45-'HEC Financials'!AZ133</f>
        <v>0</v>
      </c>
      <c r="AL176" s="1425">
        <f>AL175-'MXD BS'!U45-'HEC Financials'!BA133</f>
        <v>0</v>
      </c>
      <c r="AM176" s="1425">
        <f>AM175-'MXD BS'!V45-'HEC Financials'!BB133</f>
        <v>0</v>
      </c>
      <c r="AN176" s="1425">
        <f>AN175-'MXD BS'!W45-'HEC Financials'!BC133</f>
        <v>0</v>
      </c>
      <c r="AO176" s="1425">
        <f>AO175-'MXD BS'!X45-'HEC Financials'!BD133</f>
        <v>0</v>
      </c>
      <c r="AP176" s="625"/>
      <c r="AQ176" s="625"/>
      <c r="AR176" s="1617"/>
      <c r="AS176" s="625"/>
      <c r="AT176" s="625"/>
      <c r="AU176" s="625"/>
      <c r="AV176" s="625"/>
      <c r="AW176" s="625"/>
      <c r="AX176" s="625"/>
      <c r="AY176" s="625"/>
      <c r="AZ176" s="625"/>
      <c r="BA176" s="625"/>
      <c r="BB176" s="625"/>
      <c r="BC176" s="625"/>
      <c r="BE176" s="1195"/>
      <c r="BF176" s="924"/>
      <c r="BG176" s="1195"/>
      <c r="BH176" s="31"/>
      <c r="BI176" s="31"/>
      <c r="BJ176" s="31"/>
      <c r="BK176" s="31"/>
      <c r="BL176" s="31"/>
      <c r="BM176" s="31"/>
      <c r="BN176" s="31"/>
      <c r="BO176" s="31"/>
      <c r="BP176" s="31"/>
      <c r="BQ176" s="31"/>
      <c r="BR176" s="31"/>
      <c r="BS176" s="31"/>
      <c r="BT176" s="31"/>
      <c r="BU176" s="31"/>
      <c r="BV176" s="31"/>
      <c r="BW176" s="31"/>
      <c r="BX176" s="31"/>
      <c r="BY176" s="31"/>
      <c r="BZ176" s="31"/>
      <c r="CA176" s="31"/>
      <c r="CB176" s="31"/>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c r="EX176" s="31"/>
      <c r="EY176" s="31"/>
      <c r="EZ176" s="31"/>
      <c r="FA176" s="31"/>
      <c r="FB176" s="31"/>
      <c r="FC176" s="31"/>
      <c r="FD176" s="31"/>
      <c r="FE176" s="31"/>
      <c r="FF176" s="31"/>
      <c r="FG176" s="31"/>
      <c r="FH176" s="31"/>
      <c r="FI176" s="31"/>
      <c r="FJ176" s="31"/>
      <c r="FK176" s="31"/>
      <c r="FL176" s="31"/>
      <c r="FM176" s="31"/>
      <c r="FN176" s="31"/>
      <c r="FO176" s="31"/>
      <c r="FP176" s="31"/>
      <c r="FQ176" s="31"/>
      <c r="FR176" s="31"/>
      <c r="FS176" s="31"/>
      <c r="FT176" s="31"/>
      <c r="FU176" s="31"/>
      <c r="FV176" s="31"/>
      <c r="FW176" s="31"/>
      <c r="FX176" s="31"/>
      <c r="FY176" s="31"/>
      <c r="FZ176" s="31"/>
      <c r="GA176" s="31"/>
      <c r="GB176" s="31"/>
      <c r="GC176" s="31"/>
      <c r="GD176" s="31"/>
      <c r="GE176" s="31"/>
      <c r="GF176" s="31"/>
      <c r="GG176" s="31"/>
      <c r="GH176" s="31"/>
      <c r="GI176" s="31"/>
      <c r="GJ176" s="31"/>
      <c r="GK176" s="31"/>
      <c r="GL176" s="31"/>
      <c r="GM176" s="31"/>
      <c r="GN176" s="31"/>
      <c r="GO176" s="31"/>
      <c r="GP176" s="31"/>
      <c r="GQ176" s="31"/>
      <c r="GR176" s="31"/>
      <c r="GS176" s="31"/>
      <c r="GT176" s="31"/>
      <c r="GU176" s="31"/>
      <c r="GV176" s="31"/>
      <c r="GW176" s="31"/>
      <c r="GX176" s="31"/>
      <c r="GY176" s="31"/>
      <c r="GZ176" s="31"/>
      <c r="HA176" s="31"/>
      <c r="HB176" s="31"/>
      <c r="HC176" s="31"/>
      <c r="HD176" s="31"/>
      <c r="HE176" s="31"/>
      <c r="HF176" s="31"/>
      <c r="HG176" s="31"/>
      <c r="HH176" s="31"/>
      <c r="HI176" s="31"/>
      <c r="HJ176" s="31"/>
      <c r="HK176" s="31"/>
      <c r="HL176" s="31"/>
      <c r="HM176" s="31"/>
      <c r="HN176" s="31"/>
      <c r="HO176" s="31"/>
      <c r="HP176" s="31"/>
      <c r="HQ176" s="31"/>
      <c r="HR176" s="31"/>
      <c r="HS176" s="31"/>
      <c r="HT176" s="31"/>
      <c r="HU176" s="31"/>
      <c r="HV176" s="31"/>
      <c r="HW176" s="31"/>
      <c r="HX176" s="31"/>
      <c r="HY176" s="31"/>
      <c r="HZ176" s="31"/>
      <c r="IA176" s="31"/>
      <c r="IB176" s="31"/>
      <c r="IC176" s="31"/>
      <c r="ID176" s="31"/>
      <c r="IE176" s="31"/>
      <c r="IF176" s="31"/>
      <c r="IG176" s="31"/>
      <c r="IH176" s="31"/>
      <c r="II176" s="31"/>
      <c r="IJ176" s="31"/>
      <c r="IK176" s="31"/>
      <c r="IL176" s="31"/>
      <c r="IM176" s="31"/>
      <c r="IN176" s="31"/>
      <c r="IO176" s="31"/>
      <c r="IP176" s="31"/>
      <c r="IQ176" s="31"/>
      <c r="IR176" s="31"/>
      <c r="IS176" s="31"/>
      <c r="IT176" s="31"/>
      <c r="IU176" s="31"/>
      <c r="IV176" s="31"/>
      <c r="IW176" s="31"/>
      <c r="IX176" s="31"/>
      <c r="IY176" s="31"/>
      <c r="IZ176" s="31"/>
      <c r="JA176" s="31"/>
      <c r="JB176" s="31"/>
      <c r="JC176" s="31"/>
      <c r="JD176" s="31"/>
      <c r="JE176" s="31"/>
      <c r="JF176" s="31"/>
      <c r="JG176" s="31"/>
      <c r="JH176" s="31"/>
      <c r="JI176" s="31"/>
      <c r="JJ176" s="31"/>
      <c r="JK176" s="31"/>
      <c r="JL176" s="31"/>
      <c r="JM176" s="31"/>
      <c r="JN176" s="31"/>
      <c r="JO176" s="31"/>
      <c r="JP176" s="31"/>
      <c r="JQ176" s="31"/>
      <c r="JR176" s="31"/>
      <c r="JS176" s="31"/>
      <c r="JT176" s="31"/>
      <c r="JU176" s="31"/>
      <c r="JV176" s="31"/>
      <c r="JW176" s="31"/>
      <c r="JX176" s="31"/>
      <c r="JY176" s="31"/>
      <c r="JZ176" s="31"/>
      <c r="KA176" s="31"/>
      <c r="KB176" s="31"/>
      <c r="KC176" s="31"/>
      <c r="KD176" s="31"/>
      <c r="KE176" s="31"/>
      <c r="KF176" s="31"/>
      <c r="KG176" s="31"/>
      <c r="KH176" s="31"/>
      <c r="KI176" s="31"/>
      <c r="KJ176" s="31"/>
      <c r="KK176" s="31"/>
      <c r="KL176" s="31"/>
      <c r="KM176" s="31"/>
      <c r="KN176" s="31"/>
      <c r="KO176" s="31"/>
      <c r="KP176" s="31"/>
      <c r="KQ176" s="31"/>
      <c r="KR176" s="31"/>
      <c r="KS176" s="31"/>
      <c r="KT176" s="31"/>
      <c r="KU176" s="31"/>
      <c r="KV176" s="31"/>
      <c r="KW176" s="31"/>
      <c r="KX176" s="31"/>
      <c r="KY176" s="31"/>
      <c r="KZ176" s="31"/>
      <c r="LA176" s="31"/>
      <c r="LB176" s="31"/>
      <c r="LC176" s="31"/>
      <c r="LD176" s="31"/>
      <c r="LE176" s="31"/>
      <c r="LF176" s="31"/>
      <c r="LG176" s="31"/>
      <c r="LH176" s="31"/>
      <c r="LI176" s="31"/>
      <c r="LJ176" s="31"/>
      <c r="LK176" s="31"/>
      <c r="LL176" s="31"/>
      <c r="LM176" s="31"/>
      <c r="LN176" s="31"/>
      <c r="LO176" s="31"/>
      <c r="LP176" s="31"/>
      <c r="LQ176" s="31"/>
      <c r="LR176" s="31"/>
      <c r="LS176" s="31"/>
      <c r="LT176" s="31"/>
      <c r="LU176" s="31"/>
      <c r="LV176" s="31"/>
      <c r="LW176" s="31"/>
      <c r="LX176" s="31"/>
      <c r="LY176" s="31"/>
      <c r="LZ176" s="31"/>
      <c r="MA176" s="31"/>
      <c r="MB176" s="31"/>
      <c r="MC176" s="31"/>
      <c r="MD176" s="31"/>
      <c r="ME176" s="31"/>
      <c r="MF176" s="31"/>
      <c r="MG176" s="31"/>
      <c r="MH176" s="31"/>
      <c r="MI176" s="31"/>
      <c r="MJ176" s="31"/>
      <c r="MK176" s="31"/>
      <c r="ML176" s="31"/>
      <c r="MM176" s="31"/>
      <c r="MN176" s="31"/>
      <c r="MO176" s="31"/>
      <c r="MP176" s="31"/>
      <c r="MQ176" s="31"/>
      <c r="MR176" s="31"/>
      <c r="MS176" s="31"/>
      <c r="MT176" s="31"/>
      <c r="MU176" s="31"/>
      <c r="MV176" s="31"/>
      <c r="MW176" s="31"/>
      <c r="MX176" s="31"/>
      <c r="MY176" s="31"/>
      <c r="MZ176" s="31"/>
      <c r="NA176" s="31"/>
      <c r="NB176" s="31"/>
      <c r="NC176" s="31"/>
      <c r="ND176" s="31"/>
      <c r="NE176" s="31"/>
      <c r="NF176" s="31"/>
      <c r="NG176" s="31"/>
      <c r="NH176" s="31"/>
      <c r="NI176" s="31"/>
      <c r="NJ176" s="31"/>
      <c r="NK176" s="31"/>
      <c r="NL176" s="31"/>
      <c r="NM176" s="31"/>
      <c r="NN176" s="31"/>
      <c r="NO176" s="31"/>
      <c r="NP176" s="31"/>
      <c r="NQ176" s="31"/>
      <c r="NR176" s="31"/>
      <c r="NS176" s="31"/>
      <c r="NT176" s="31"/>
      <c r="NU176" s="31"/>
      <c r="NV176" s="31"/>
      <c r="NW176" s="31"/>
      <c r="NX176" s="31"/>
      <c r="NY176" s="31"/>
      <c r="NZ176" s="31"/>
      <c r="OA176" s="31"/>
      <c r="OB176" s="31"/>
      <c r="OC176" s="31"/>
      <c r="OD176" s="31"/>
      <c r="OE176" s="31"/>
      <c r="OF176" s="31"/>
      <c r="OG176" s="31"/>
      <c r="OH176" s="31"/>
      <c r="OI176" s="31"/>
      <c r="OJ176" s="31"/>
      <c r="OK176" s="31"/>
      <c r="OL176" s="31"/>
      <c r="OM176" s="31"/>
      <c r="ON176" s="31"/>
      <c r="OO176" s="31"/>
      <c r="OP176" s="31"/>
      <c r="OQ176" s="31"/>
      <c r="OR176" s="31"/>
      <c r="OS176" s="31"/>
      <c r="OT176" s="31"/>
      <c r="OU176" s="31"/>
      <c r="OV176" s="31"/>
      <c r="OW176" s="31"/>
      <c r="OX176" s="31"/>
      <c r="OY176" s="31"/>
      <c r="OZ176" s="31"/>
      <c r="PA176" s="31"/>
      <c r="PB176" s="31"/>
      <c r="PC176" s="31"/>
      <c r="PD176" s="31"/>
      <c r="PE176" s="31"/>
      <c r="PF176" s="31"/>
      <c r="PG176" s="31"/>
      <c r="PH176" s="31"/>
      <c r="PI176" s="31"/>
      <c r="PJ176" s="31"/>
      <c r="PK176" s="31"/>
      <c r="PL176" s="31"/>
      <c r="PM176" s="31"/>
      <c r="PN176" s="31"/>
      <c r="PO176" s="31"/>
      <c r="PP176" s="31"/>
      <c r="PQ176" s="31"/>
      <c r="PR176" s="31"/>
      <c r="PS176" s="31"/>
      <c r="PT176" s="31"/>
      <c r="PU176" s="31"/>
      <c r="PV176" s="31"/>
      <c r="PW176" s="31"/>
      <c r="PX176" s="31"/>
      <c r="PY176" s="31"/>
      <c r="PZ176" s="31"/>
      <c r="QA176" s="31"/>
      <c r="QB176" s="31"/>
      <c r="QC176" s="31"/>
      <c r="QD176" s="31"/>
      <c r="QE176" s="31"/>
      <c r="QF176" s="31"/>
      <c r="QG176" s="31"/>
      <c r="QH176" s="31"/>
      <c r="QI176" s="31"/>
      <c r="QJ176" s="31"/>
      <c r="QK176" s="31"/>
      <c r="QL176" s="31"/>
      <c r="QM176" s="31"/>
      <c r="QN176" s="31"/>
      <c r="QO176" s="31"/>
      <c r="QP176" s="31"/>
      <c r="QQ176" s="31"/>
      <c r="QR176" s="31"/>
      <c r="QS176" s="31"/>
      <c r="QT176" s="31"/>
      <c r="QU176" s="31"/>
      <c r="QV176" s="31"/>
      <c r="QW176" s="31"/>
      <c r="QX176" s="31"/>
      <c r="QY176" s="31"/>
      <c r="QZ176" s="31"/>
      <c r="RA176" s="31"/>
      <c r="RB176" s="31"/>
      <c r="RC176" s="31"/>
      <c r="RD176" s="31"/>
      <c r="RE176" s="31"/>
      <c r="RF176" s="31"/>
      <c r="RG176" s="31"/>
      <c r="RH176" s="31"/>
      <c r="RI176" s="31"/>
      <c r="RJ176" s="31"/>
      <c r="RK176" s="31"/>
      <c r="RL176" s="31"/>
      <c r="RM176" s="31"/>
      <c r="RN176" s="31"/>
      <c r="RO176" s="31"/>
      <c r="RP176" s="31"/>
      <c r="RQ176" s="31"/>
      <c r="RR176" s="31"/>
      <c r="RS176" s="31"/>
      <c r="RT176" s="31"/>
      <c r="RU176" s="31"/>
      <c r="RV176" s="31"/>
      <c r="RW176" s="31"/>
      <c r="RX176" s="31"/>
      <c r="RY176" s="31"/>
      <c r="RZ176" s="31"/>
      <c r="SA176" s="31"/>
      <c r="SB176" s="31"/>
      <c r="SC176" s="31"/>
      <c r="SD176" s="31"/>
      <c r="SE176" s="31"/>
      <c r="SF176" s="31"/>
      <c r="SG176" s="31"/>
      <c r="SH176" s="31"/>
      <c r="SI176" s="31"/>
      <c r="SJ176" s="31"/>
      <c r="SK176" s="31"/>
      <c r="SL176" s="31"/>
      <c r="SM176" s="31"/>
      <c r="SN176" s="31"/>
      <c r="SO176" s="31"/>
      <c r="SP176" s="31"/>
      <c r="SQ176" s="31"/>
      <c r="SR176" s="31"/>
      <c r="SS176" s="31"/>
      <c r="ST176" s="31"/>
      <c r="SU176" s="31"/>
      <c r="SV176" s="31"/>
      <c r="SW176" s="31"/>
      <c r="SX176" s="31"/>
      <c r="SY176" s="31"/>
      <c r="SZ176" s="31"/>
      <c r="TA176" s="31"/>
      <c r="TB176" s="31"/>
      <c r="TC176" s="31"/>
      <c r="TD176" s="31"/>
      <c r="TE176" s="31"/>
      <c r="TF176" s="31"/>
      <c r="TG176" s="31"/>
      <c r="TH176" s="31"/>
      <c r="TI176" s="31"/>
      <c r="TJ176" s="31"/>
      <c r="TK176" s="31"/>
      <c r="TL176" s="31"/>
      <c r="TM176" s="31"/>
      <c r="TN176" s="31"/>
      <c r="TO176" s="31"/>
      <c r="TP176" s="31"/>
      <c r="TQ176" s="31"/>
      <c r="TR176" s="31"/>
      <c r="TS176" s="31"/>
      <c r="TT176" s="31"/>
      <c r="TU176" s="31"/>
      <c r="TV176" s="31"/>
      <c r="TW176" s="31"/>
      <c r="TX176" s="31"/>
      <c r="TY176" s="31"/>
      <c r="TZ176" s="31"/>
      <c r="UA176" s="31"/>
      <c r="UB176" s="31"/>
      <c r="UC176" s="31"/>
      <c r="UD176" s="31"/>
      <c r="UE176" s="31"/>
      <c r="UF176" s="31"/>
      <c r="UG176" s="31"/>
      <c r="UH176" s="31"/>
      <c r="UI176" s="31"/>
      <c r="UJ176" s="31"/>
      <c r="UK176" s="31"/>
      <c r="UL176" s="31"/>
      <c r="UM176" s="31"/>
      <c r="UN176" s="31"/>
      <c r="UO176" s="31"/>
      <c r="UP176" s="31"/>
      <c r="UQ176" s="31"/>
      <c r="UR176" s="31"/>
      <c r="US176" s="31"/>
      <c r="UT176" s="31"/>
      <c r="UU176" s="31"/>
      <c r="UV176" s="31"/>
      <c r="UW176" s="31"/>
      <c r="UX176" s="31"/>
      <c r="UY176" s="31"/>
      <c r="UZ176" s="31"/>
      <c r="VA176" s="31"/>
      <c r="VB176" s="31"/>
      <c r="VC176" s="31"/>
      <c r="VD176" s="31"/>
      <c r="VE176" s="31"/>
      <c r="VF176" s="31"/>
      <c r="VG176" s="31"/>
      <c r="VH176" s="31"/>
      <c r="VI176" s="31"/>
      <c r="VJ176" s="31"/>
      <c r="VK176" s="31"/>
      <c r="VL176" s="31"/>
      <c r="VM176" s="31"/>
      <c r="VN176" s="31"/>
      <c r="VO176" s="31"/>
      <c r="VP176" s="31"/>
      <c r="VQ176" s="31"/>
      <c r="VR176" s="31"/>
      <c r="VS176" s="31"/>
      <c r="VT176" s="31"/>
      <c r="VU176" s="31"/>
      <c r="VV176" s="31"/>
      <c r="VW176" s="31"/>
      <c r="VX176" s="31"/>
      <c r="VY176" s="31"/>
      <c r="VZ176" s="31"/>
      <c r="WA176" s="31"/>
      <c r="WB176" s="31"/>
      <c r="WC176" s="31"/>
      <c r="WD176" s="31"/>
      <c r="WE176" s="31"/>
      <c r="WF176" s="31"/>
      <c r="WG176" s="31"/>
      <c r="WH176" s="31"/>
      <c r="WI176" s="31"/>
      <c r="WJ176" s="31"/>
      <c r="WK176" s="31"/>
      <c r="WL176" s="31"/>
      <c r="WM176" s="31"/>
      <c r="WN176" s="31"/>
      <c r="WO176" s="31"/>
      <c r="WP176" s="31"/>
      <c r="WQ176" s="31"/>
      <c r="WR176" s="31"/>
      <c r="WS176" s="31"/>
      <c r="WT176" s="31"/>
      <c r="WU176" s="31"/>
      <c r="WV176" s="31"/>
      <c r="WW176" s="31"/>
      <c r="WX176" s="31"/>
      <c r="WY176" s="31"/>
      <c r="WZ176" s="31"/>
      <c r="XA176" s="31"/>
      <c r="XB176" s="31"/>
      <c r="XC176" s="31"/>
      <c r="XD176" s="31"/>
      <c r="XE176" s="31"/>
      <c r="XF176" s="31"/>
      <c r="XG176" s="31"/>
      <c r="XH176" s="31"/>
      <c r="XI176" s="31"/>
      <c r="XJ176" s="31"/>
      <c r="XK176" s="31"/>
      <c r="XL176" s="31"/>
      <c r="XM176" s="31"/>
      <c r="XN176" s="31"/>
      <c r="XO176" s="31"/>
      <c r="XP176" s="31"/>
      <c r="XQ176" s="31"/>
      <c r="XR176" s="31"/>
      <c r="XS176" s="31"/>
      <c r="XT176" s="31"/>
      <c r="XU176" s="31"/>
      <c r="XV176" s="31"/>
      <c r="XW176" s="31"/>
      <c r="XX176" s="31"/>
      <c r="XY176" s="31"/>
      <c r="XZ176" s="31"/>
      <c r="YA176" s="31"/>
      <c r="YB176" s="31"/>
      <c r="YC176" s="31"/>
      <c r="YD176" s="31"/>
      <c r="YE176" s="31"/>
      <c r="YF176" s="31"/>
      <c r="YG176" s="31"/>
      <c r="YH176" s="31"/>
      <c r="YI176" s="31"/>
      <c r="YJ176" s="31"/>
      <c r="YK176" s="31"/>
      <c r="YL176" s="31"/>
      <c r="YM176" s="31"/>
      <c r="YN176" s="31"/>
      <c r="YO176" s="31"/>
      <c r="YP176" s="31"/>
      <c r="YQ176" s="31"/>
      <c r="YR176" s="31"/>
      <c r="YS176" s="31"/>
      <c r="YT176" s="31"/>
      <c r="YU176" s="31"/>
      <c r="YV176" s="31"/>
      <c r="YW176" s="31"/>
      <c r="YX176" s="31"/>
      <c r="YY176" s="31"/>
      <c r="YZ176" s="31"/>
      <c r="ZA176" s="31"/>
      <c r="ZB176" s="31"/>
      <c r="ZC176" s="31"/>
      <c r="ZD176" s="31"/>
      <c r="ZE176" s="31"/>
      <c r="ZF176" s="31"/>
      <c r="ZG176" s="31"/>
      <c r="ZH176" s="31"/>
      <c r="ZI176" s="31"/>
      <c r="ZJ176" s="31"/>
      <c r="ZK176" s="31"/>
      <c r="ZL176" s="31"/>
      <c r="ZM176" s="31"/>
      <c r="ZN176" s="31"/>
      <c r="ZO176" s="31"/>
      <c r="ZP176" s="31"/>
      <c r="ZQ176" s="31"/>
      <c r="ZR176" s="31"/>
      <c r="ZS176" s="31"/>
      <c r="ZT176" s="31"/>
      <c r="ZU176" s="31"/>
      <c r="ZV176" s="31"/>
      <c r="ZW176" s="31"/>
      <c r="ZX176" s="31"/>
      <c r="ZY176" s="31"/>
      <c r="ZZ176" s="31"/>
      <c r="AAA176" s="31"/>
      <c r="AAB176" s="31"/>
      <c r="AAC176" s="31"/>
      <c r="AAD176" s="31"/>
      <c r="AAE176" s="31"/>
      <c r="AAF176" s="31"/>
      <c r="AAG176" s="31"/>
      <c r="AAH176" s="31"/>
      <c r="AAI176" s="31"/>
      <c r="AAJ176" s="31"/>
      <c r="AAK176" s="31"/>
      <c r="AAL176" s="31"/>
      <c r="AAM176" s="31"/>
      <c r="AAN176" s="31"/>
      <c r="AAO176" s="31"/>
      <c r="AAP176" s="31"/>
      <c r="AAQ176" s="31"/>
      <c r="AAR176" s="31"/>
      <c r="AAS176" s="31"/>
      <c r="AAT176" s="31"/>
      <c r="AAU176" s="31"/>
      <c r="AAV176" s="31"/>
      <c r="AAW176" s="31"/>
      <c r="AAX176" s="31"/>
      <c r="AAY176" s="31"/>
      <c r="AAZ176" s="31"/>
      <c r="ABA176" s="31"/>
      <c r="ABB176" s="31"/>
      <c r="ABC176" s="31"/>
      <c r="ABD176" s="31"/>
      <c r="ABE176" s="31"/>
      <c r="ABF176" s="31"/>
      <c r="ABG176" s="31"/>
      <c r="ABH176" s="31"/>
      <c r="ABI176" s="31"/>
      <c r="ABJ176" s="31"/>
      <c r="ABK176" s="31"/>
      <c r="ABL176" s="31"/>
      <c r="ABM176" s="31"/>
      <c r="ABN176" s="31"/>
      <c r="ABO176" s="31"/>
      <c r="ABP176" s="31"/>
      <c r="ABQ176" s="31"/>
      <c r="ABR176" s="31"/>
      <c r="ABS176" s="31"/>
      <c r="ABT176" s="31"/>
      <c r="ABU176" s="31"/>
      <c r="ABV176" s="31"/>
      <c r="ABW176" s="31"/>
      <c r="ABX176" s="31"/>
      <c r="ABY176" s="31"/>
      <c r="ABZ176" s="31"/>
      <c r="ACA176" s="31"/>
      <c r="ACB176" s="31"/>
      <c r="ACC176" s="31"/>
      <c r="ACD176" s="31"/>
      <c r="ACE176" s="31"/>
      <c r="ACF176" s="31"/>
      <c r="ACG176" s="31"/>
      <c r="ACH176" s="31"/>
      <c r="ACI176" s="31"/>
      <c r="ACJ176" s="31"/>
      <c r="ACK176" s="31"/>
      <c r="ACL176" s="31"/>
      <c r="ACM176" s="31"/>
      <c r="ACN176" s="31"/>
      <c r="ACO176" s="31"/>
      <c r="ACP176" s="31"/>
      <c r="ACQ176" s="31"/>
      <c r="ACR176" s="31"/>
      <c r="ACS176" s="31"/>
      <c r="ACT176" s="31"/>
      <c r="ACU176" s="31"/>
      <c r="ACV176" s="31"/>
      <c r="ACW176" s="31"/>
      <c r="ACX176" s="31"/>
      <c r="ACY176" s="31"/>
      <c r="ACZ176" s="31"/>
      <c r="ADA176" s="31"/>
      <c r="ADB176" s="31"/>
      <c r="ADC176" s="31"/>
      <c r="ADD176" s="31"/>
      <c r="ADE176" s="31"/>
      <c r="ADF176" s="31"/>
      <c r="ADG176" s="31"/>
      <c r="ADH176" s="31"/>
      <c r="ADI176" s="31"/>
      <c r="ADJ176" s="31"/>
      <c r="ADK176" s="31"/>
      <c r="ADL176" s="31"/>
      <c r="ADM176" s="31"/>
      <c r="ADN176" s="31"/>
      <c r="ADO176" s="31"/>
      <c r="ADP176" s="31"/>
      <c r="ADQ176" s="31"/>
      <c r="ADR176" s="31"/>
      <c r="ADS176" s="31"/>
      <c r="ADT176" s="31"/>
      <c r="ADU176" s="31"/>
      <c r="ADV176" s="31"/>
      <c r="ADW176" s="31"/>
      <c r="ADX176" s="31"/>
      <c r="ADY176" s="31"/>
      <c r="ADZ176" s="31"/>
      <c r="AEA176" s="31"/>
      <c r="AEB176" s="31"/>
      <c r="AEC176" s="31"/>
      <c r="AED176" s="31"/>
      <c r="AEE176" s="31"/>
      <c r="AEF176" s="31"/>
      <c r="AEG176" s="31"/>
      <c r="AEH176" s="31"/>
      <c r="AEI176" s="31"/>
      <c r="AEJ176" s="31"/>
      <c r="AEK176" s="31"/>
      <c r="AEL176" s="31"/>
      <c r="AEM176" s="31"/>
      <c r="AEN176" s="31"/>
      <c r="AEO176" s="31"/>
      <c r="AEP176" s="31"/>
      <c r="AEQ176" s="31"/>
      <c r="AER176" s="31"/>
      <c r="AES176" s="31"/>
      <c r="AET176" s="31"/>
      <c r="AEU176" s="31"/>
      <c r="AEV176" s="31"/>
      <c r="AEW176" s="31"/>
      <c r="AEX176" s="31"/>
      <c r="AEY176" s="31"/>
      <c r="AEZ176" s="31"/>
      <c r="AFA176" s="31"/>
      <c r="AFB176" s="31"/>
      <c r="AFC176" s="31"/>
      <c r="AFD176" s="31"/>
      <c r="AFE176" s="31"/>
      <c r="AFF176" s="31"/>
      <c r="AFG176" s="31"/>
      <c r="AFH176" s="31"/>
      <c r="AFI176" s="31"/>
      <c r="AFJ176" s="31"/>
      <c r="AFK176" s="31"/>
      <c r="AFL176" s="31"/>
      <c r="AFM176" s="31"/>
      <c r="AFN176" s="31"/>
      <c r="AFO176" s="31"/>
      <c r="AFP176" s="31"/>
      <c r="AFQ176" s="31"/>
      <c r="AFR176" s="31"/>
      <c r="AFS176" s="31"/>
      <c r="AFT176" s="31"/>
      <c r="AFU176" s="31"/>
      <c r="AFV176" s="31"/>
      <c r="AFW176" s="31"/>
      <c r="AFX176" s="31"/>
      <c r="AFY176" s="31"/>
      <c r="AFZ176" s="31"/>
      <c r="AGA176" s="31"/>
      <c r="AGB176" s="31"/>
      <c r="AGC176" s="31"/>
      <c r="AGD176" s="31"/>
      <c r="AGE176" s="31"/>
      <c r="AGF176" s="31"/>
      <c r="AGG176" s="31"/>
      <c r="AGH176" s="31"/>
      <c r="AGI176" s="31"/>
      <c r="AGJ176" s="31"/>
      <c r="AGK176" s="31"/>
      <c r="AGL176" s="31"/>
      <c r="AGM176" s="31"/>
      <c r="AGN176" s="31"/>
      <c r="AGO176" s="31"/>
      <c r="AGP176" s="31"/>
      <c r="AGQ176" s="31"/>
      <c r="AGR176" s="31"/>
      <c r="AGS176" s="31"/>
      <c r="AGT176" s="31"/>
      <c r="AGU176" s="31"/>
      <c r="AGV176" s="31"/>
      <c r="AGW176" s="31"/>
      <c r="AGX176" s="31"/>
      <c r="AGY176" s="31"/>
      <c r="AGZ176" s="31"/>
      <c r="AHA176" s="31"/>
      <c r="AHB176" s="31"/>
      <c r="AHC176" s="31"/>
      <c r="AHD176" s="31"/>
      <c r="AHE176" s="31"/>
      <c r="AHF176" s="31"/>
      <c r="AHG176" s="31"/>
      <c r="AHH176" s="31"/>
      <c r="AHI176" s="31"/>
      <c r="AHJ176" s="31"/>
      <c r="AHK176" s="31"/>
      <c r="AHL176" s="31"/>
      <c r="AHM176" s="31"/>
      <c r="AHN176" s="31"/>
      <c r="AHO176" s="31"/>
      <c r="AHP176" s="31"/>
      <c r="AHQ176" s="31"/>
      <c r="AHR176" s="31"/>
      <c r="AHS176" s="31"/>
      <c r="AHT176" s="31"/>
      <c r="AHU176" s="31"/>
      <c r="AHV176" s="31"/>
      <c r="AHW176" s="31"/>
      <c r="AHX176" s="31"/>
      <c r="AHY176" s="31"/>
      <c r="AHZ176" s="31"/>
      <c r="AIA176" s="31"/>
      <c r="AIB176" s="31"/>
      <c r="AIC176" s="31"/>
      <c r="AID176" s="31"/>
      <c r="AIE176" s="31"/>
      <c r="AIF176" s="31"/>
      <c r="AIG176" s="31"/>
      <c r="AIH176" s="31"/>
      <c r="AII176" s="31"/>
      <c r="AIJ176" s="31"/>
      <c r="AIK176" s="31"/>
      <c r="AIL176" s="31"/>
      <c r="AIM176" s="31"/>
      <c r="AIN176" s="31"/>
      <c r="AIO176" s="31"/>
      <c r="AIP176" s="31"/>
      <c r="AIQ176" s="31"/>
      <c r="AIR176" s="31"/>
      <c r="AIS176" s="31"/>
      <c r="AIT176" s="31"/>
      <c r="AIU176" s="31"/>
      <c r="AIV176" s="31"/>
      <c r="AIW176" s="31"/>
      <c r="AIX176" s="31"/>
      <c r="AIY176" s="31"/>
      <c r="AIZ176" s="31"/>
      <c r="AJA176" s="31"/>
      <c r="AJB176" s="31"/>
      <c r="AJC176" s="31"/>
      <c r="AJD176" s="31"/>
      <c r="AJE176" s="31"/>
      <c r="AJF176" s="31"/>
      <c r="AJG176" s="31"/>
      <c r="AJH176" s="31"/>
      <c r="AJI176" s="31"/>
      <c r="AJJ176" s="31"/>
      <c r="AJK176" s="31"/>
      <c r="AJL176" s="31"/>
      <c r="AJM176" s="31"/>
      <c r="AJN176" s="31"/>
      <c r="AJO176" s="31"/>
      <c r="AJP176" s="31"/>
      <c r="AJQ176" s="31"/>
      <c r="AJR176" s="31"/>
      <c r="AJS176" s="31"/>
      <c r="AJT176" s="31"/>
      <c r="AJU176" s="31"/>
      <c r="AJV176" s="31"/>
      <c r="AJW176" s="31"/>
      <c r="AJX176" s="31"/>
      <c r="AJY176" s="31"/>
      <c r="AJZ176" s="31"/>
      <c r="AKA176" s="31"/>
      <c r="AKB176" s="31"/>
      <c r="AKC176" s="31"/>
      <c r="AKD176" s="31"/>
      <c r="AKE176" s="31"/>
      <c r="AKF176" s="31"/>
      <c r="AKG176" s="31"/>
      <c r="AKH176" s="31"/>
      <c r="AKI176" s="31"/>
      <c r="AKJ176" s="31"/>
      <c r="AKK176" s="31"/>
      <c r="AKL176" s="31"/>
      <c r="AKM176" s="31"/>
      <c r="AKN176" s="31"/>
      <c r="AKO176" s="31"/>
      <c r="AKP176" s="31"/>
      <c r="AKQ176" s="31"/>
      <c r="AKR176" s="31"/>
      <c r="AKS176" s="31"/>
      <c r="AKT176" s="31"/>
      <c r="AKU176" s="31"/>
      <c r="AKV176" s="31"/>
      <c r="AKW176" s="31"/>
      <c r="AKX176" s="31"/>
      <c r="AKY176" s="31"/>
      <c r="AKZ176" s="31"/>
      <c r="ALA176" s="31"/>
      <c r="ALB176" s="31"/>
      <c r="ALC176" s="31"/>
      <c r="ALD176" s="31"/>
      <c r="ALE176" s="31"/>
      <c r="ALF176" s="31"/>
      <c r="ALG176" s="31"/>
      <c r="ALH176" s="31"/>
      <c r="ALI176" s="31"/>
      <c r="ALJ176" s="31"/>
      <c r="ALK176" s="31"/>
      <c r="ALL176" s="31"/>
      <c r="ALM176" s="31"/>
      <c r="ALN176" s="31"/>
      <c r="ALO176" s="31"/>
      <c r="ALP176" s="31"/>
      <c r="ALQ176" s="31"/>
      <c r="ALR176" s="31"/>
      <c r="ALS176" s="31"/>
      <c r="ALT176" s="31"/>
      <c r="ALU176" s="31"/>
      <c r="ALV176" s="31"/>
      <c r="ALW176" s="31"/>
      <c r="ALX176" s="31"/>
      <c r="ALY176" s="31"/>
      <c r="ALZ176" s="31"/>
      <c r="AMA176" s="31"/>
      <c r="AMB176" s="31"/>
      <c r="AMC176" s="31"/>
      <c r="AMD176" s="31"/>
      <c r="AME176" s="31"/>
      <c r="AMF176" s="31"/>
      <c r="AMG176" s="31"/>
      <c r="AMH176" s="31"/>
      <c r="AMI176" s="31"/>
      <c r="AMJ176" s="31"/>
      <c r="AMK176" s="31"/>
      <c r="AML176" s="31"/>
      <c r="AMM176" s="31"/>
      <c r="AMN176" s="31"/>
      <c r="AMO176" s="31"/>
      <c r="AMP176" s="31"/>
      <c r="AMQ176" s="31"/>
      <c r="AMR176" s="31"/>
      <c r="AMS176" s="31"/>
      <c r="AMT176" s="31"/>
      <c r="AMU176" s="31"/>
      <c r="AMV176" s="31"/>
      <c r="AMW176" s="31"/>
      <c r="AMX176" s="31"/>
      <c r="AMY176" s="31"/>
      <c r="AMZ176" s="31"/>
      <c r="ANA176" s="31"/>
      <c r="ANB176" s="31"/>
      <c r="ANC176" s="31"/>
      <c r="AND176" s="31"/>
      <c r="ANE176" s="31"/>
      <c r="ANF176" s="31"/>
      <c r="ANG176" s="31"/>
      <c r="ANH176" s="31"/>
      <c r="ANI176" s="31"/>
      <c r="ANJ176" s="31"/>
      <c r="ANK176" s="31"/>
      <c r="ANL176" s="31"/>
      <c r="ANM176" s="31"/>
      <c r="ANN176" s="31"/>
      <c r="ANO176" s="31"/>
      <c r="ANP176" s="31"/>
      <c r="ANQ176" s="31"/>
      <c r="ANR176" s="31"/>
      <c r="ANS176" s="31"/>
      <c r="ANT176" s="31"/>
      <c r="ANU176" s="31"/>
      <c r="ANV176" s="31"/>
      <c r="ANW176" s="31"/>
      <c r="ANX176" s="31"/>
      <c r="ANY176" s="31"/>
      <c r="ANZ176" s="31"/>
      <c r="AOA176" s="31"/>
      <c r="AOB176" s="31"/>
      <c r="AOC176" s="31"/>
      <c r="AOD176" s="31"/>
      <c r="AOE176" s="31"/>
      <c r="AOF176" s="31"/>
      <c r="AOG176" s="31"/>
      <c r="AOH176" s="31"/>
      <c r="AOI176" s="31"/>
      <c r="AOJ176" s="31"/>
      <c r="AOK176" s="31"/>
      <c r="AOL176" s="31"/>
      <c r="AOM176" s="31"/>
      <c r="AON176" s="31"/>
      <c r="AOO176" s="31"/>
      <c r="AOP176" s="31"/>
      <c r="AOQ176" s="31"/>
      <c r="AOR176" s="31"/>
      <c r="AOS176" s="31"/>
      <c r="AOT176" s="31"/>
      <c r="AOU176" s="31"/>
      <c r="AOV176" s="31"/>
      <c r="AOW176" s="31"/>
      <c r="AOX176" s="31"/>
      <c r="AOY176" s="31"/>
      <c r="AOZ176" s="31"/>
      <c r="APA176" s="31"/>
      <c r="APB176" s="31"/>
      <c r="APC176" s="31"/>
      <c r="APD176" s="31"/>
      <c r="APE176" s="31"/>
      <c r="APF176" s="31"/>
      <c r="APG176" s="31"/>
      <c r="APH176" s="31"/>
      <c r="API176" s="31"/>
      <c r="APJ176" s="31"/>
      <c r="APK176" s="31"/>
      <c r="APL176" s="31"/>
      <c r="APM176" s="31"/>
      <c r="APN176" s="31"/>
      <c r="APO176" s="31"/>
      <c r="APP176" s="31"/>
      <c r="APQ176" s="31"/>
      <c r="APR176" s="31"/>
      <c r="APS176" s="31"/>
      <c r="APT176" s="31"/>
      <c r="APU176" s="31"/>
      <c r="APV176" s="31"/>
      <c r="APW176" s="31"/>
      <c r="APX176" s="31"/>
      <c r="APY176" s="31"/>
      <c r="APZ176" s="31"/>
      <c r="AQA176" s="31"/>
      <c r="AQB176" s="31"/>
      <c r="AQC176" s="31"/>
      <c r="AQD176" s="31"/>
      <c r="AQE176" s="31"/>
      <c r="AQF176" s="31"/>
      <c r="AQG176" s="31"/>
      <c r="AQH176" s="31"/>
      <c r="AQI176" s="31"/>
      <c r="AQJ176" s="31"/>
      <c r="AQK176" s="31"/>
      <c r="AQL176" s="31"/>
      <c r="AQM176" s="31"/>
      <c r="AQN176" s="31"/>
      <c r="AQO176" s="31"/>
      <c r="AQP176" s="31"/>
      <c r="AQQ176" s="31"/>
      <c r="AQR176" s="31"/>
      <c r="AQS176" s="31"/>
      <c r="AQT176" s="31"/>
      <c r="AQU176" s="31"/>
      <c r="AQV176" s="31"/>
      <c r="AQW176" s="31"/>
      <c r="AQX176" s="31"/>
      <c r="AQY176" s="31"/>
      <c r="AQZ176" s="31"/>
      <c r="ARA176" s="31"/>
      <c r="ARB176" s="31"/>
      <c r="ARC176" s="31"/>
      <c r="ARD176" s="31"/>
      <c r="ARE176" s="31"/>
      <c r="ARF176" s="31"/>
      <c r="ARG176" s="31"/>
      <c r="ARH176" s="31"/>
      <c r="ARI176" s="31"/>
      <c r="ARJ176" s="31"/>
      <c r="ARK176" s="31"/>
      <c r="ARL176" s="31"/>
      <c r="ARM176" s="31"/>
      <c r="ARN176" s="31"/>
      <c r="ARO176" s="31"/>
      <c r="ARP176" s="31"/>
      <c r="ARQ176" s="31"/>
      <c r="ARR176" s="31"/>
      <c r="ARS176" s="31"/>
      <c r="ART176" s="31"/>
      <c r="ARU176" s="31"/>
      <c r="ARV176" s="31"/>
      <c r="ARW176" s="31"/>
      <c r="ARX176" s="31"/>
      <c r="ARY176" s="31"/>
      <c r="ARZ176" s="31"/>
      <c r="ASA176" s="31"/>
      <c r="ASB176" s="31"/>
      <c r="ASC176" s="31"/>
      <c r="ASD176" s="31"/>
      <c r="ASE176" s="31"/>
      <c r="ASF176" s="31"/>
      <c r="ASG176" s="31"/>
      <c r="ASH176" s="31"/>
      <c r="ASI176" s="31"/>
      <c r="ASJ176" s="31"/>
      <c r="ASK176" s="31"/>
      <c r="ASL176" s="31"/>
      <c r="ASM176" s="31"/>
      <c r="ASN176" s="31"/>
      <c r="ASO176" s="31"/>
      <c r="ASP176" s="31"/>
      <c r="ASQ176" s="31"/>
      <c r="ASR176" s="31"/>
      <c r="ASS176" s="31"/>
      <c r="AST176" s="31"/>
      <c r="ASU176" s="31"/>
      <c r="ASV176" s="31"/>
      <c r="ASW176" s="31"/>
      <c r="ASX176" s="31"/>
      <c r="ASY176" s="31"/>
      <c r="ASZ176" s="31"/>
      <c r="ATA176" s="31"/>
      <c r="ATB176" s="31"/>
      <c r="ATC176" s="31"/>
      <c r="ATD176" s="31"/>
      <c r="ATE176" s="31"/>
    </row>
    <row r="177" spans="1:1201" s="34" customFormat="1" ht="15.75" customHeight="1" x14ac:dyDescent="0.3">
      <c r="A177" s="76"/>
      <c r="B177" s="76"/>
      <c r="C177" s="84" t="s">
        <v>248</v>
      </c>
      <c r="D177" s="63"/>
      <c r="E177" s="63"/>
      <c r="F177" s="31"/>
      <c r="G177" s="144"/>
      <c r="H177" s="647"/>
      <c r="I177" s="649"/>
      <c r="J177" s="649"/>
      <c r="K177" s="649"/>
      <c r="L177" s="649"/>
      <c r="M177" s="649"/>
      <c r="N177" s="649"/>
      <c r="O177" s="649"/>
      <c r="P177" s="649"/>
      <c r="Q177" s="649"/>
      <c r="R177" s="649"/>
      <c r="S177" s="924"/>
      <c r="T177" s="924"/>
      <c r="U177" s="924"/>
      <c r="V177" s="924"/>
      <c r="W177" s="924"/>
      <c r="X177" s="924"/>
      <c r="Y177" s="924"/>
      <c r="Z177" s="1076"/>
      <c r="AA177" s="1076"/>
      <c r="AB177" s="1076"/>
      <c r="AC177" s="1076"/>
      <c r="AD177" s="1076"/>
      <c r="AE177" s="1076"/>
      <c r="AF177" s="1076"/>
      <c r="AG177" s="1076"/>
      <c r="AH177" s="1076"/>
      <c r="AI177" s="1076"/>
      <c r="AJ177" s="1076"/>
      <c r="AK177" s="1076"/>
      <c r="AL177" s="1076"/>
      <c r="AM177" s="1076"/>
      <c r="AN177" s="1076"/>
      <c r="AO177" s="1076"/>
      <c r="AP177" s="649"/>
      <c r="AQ177" s="649"/>
      <c r="AR177" s="618"/>
      <c r="AS177" s="649"/>
      <c r="AT177" s="649"/>
      <c r="AU177" s="649"/>
      <c r="AV177" s="649"/>
      <c r="AW177" s="649"/>
      <c r="AX177" s="649"/>
      <c r="AY177" s="649"/>
      <c r="AZ177" s="649"/>
      <c r="BA177" s="649"/>
      <c r="BB177" s="649"/>
      <c r="BC177" s="649"/>
      <c r="BE177" s="1195"/>
      <c r="BF177" s="924"/>
      <c r="BG177" s="1195"/>
      <c r="BH177" s="31"/>
      <c r="BI177" s="31"/>
      <c r="BJ177" s="31"/>
      <c r="BK177" s="31"/>
      <c r="BL177" s="31"/>
      <c r="BM177" s="31"/>
      <c r="BN177" s="31"/>
      <c r="BO177" s="31"/>
      <c r="BP177" s="31"/>
      <c r="BQ177" s="31"/>
      <c r="BR177" s="31"/>
      <c r="BS177" s="31"/>
      <c r="BT177" s="31"/>
      <c r="BU177" s="31"/>
      <c r="BV177" s="31"/>
      <c r="BW177" s="31"/>
      <c r="BX177" s="31"/>
      <c r="BY177" s="31"/>
      <c r="BZ177" s="31"/>
      <c r="CA177" s="31"/>
      <c r="CB177" s="31"/>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c r="EX177" s="31"/>
      <c r="EY177" s="31"/>
      <c r="EZ177" s="31"/>
      <c r="FA177" s="31"/>
      <c r="FB177" s="31"/>
      <c r="FC177" s="31"/>
      <c r="FD177" s="31"/>
      <c r="FE177" s="31"/>
      <c r="FF177" s="31"/>
      <c r="FG177" s="31"/>
      <c r="FH177" s="31"/>
      <c r="FI177" s="31"/>
      <c r="FJ177" s="31"/>
      <c r="FK177" s="31"/>
      <c r="FL177" s="31"/>
      <c r="FM177" s="31"/>
      <c r="FN177" s="31"/>
      <c r="FO177" s="31"/>
      <c r="FP177" s="31"/>
      <c r="FQ177" s="31"/>
      <c r="FR177" s="31"/>
      <c r="FS177" s="31"/>
      <c r="FT177" s="31"/>
      <c r="FU177" s="31"/>
      <c r="FV177" s="31"/>
      <c r="FW177" s="31"/>
      <c r="FX177" s="31"/>
      <c r="FY177" s="31"/>
      <c r="FZ177" s="31"/>
      <c r="GA177" s="31"/>
      <c r="GB177" s="31"/>
      <c r="GC177" s="31"/>
      <c r="GD177" s="31"/>
      <c r="GE177" s="31"/>
      <c r="GF177" s="31"/>
      <c r="GG177" s="31"/>
      <c r="GH177" s="31"/>
      <c r="GI177" s="31"/>
      <c r="GJ177" s="31"/>
      <c r="GK177" s="31"/>
      <c r="GL177" s="31"/>
      <c r="GM177" s="31"/>
      <c r="GN177" s="31"/>
      <c r="GO177" s="31"/>
      <c r="GP177" s="31"/>
      <c r="GQ177" s="31"/>
      <c r="GR177" s="31"/>
      <c r="GS177" s="31"/>
      <c r="GT177" s="31"/>
      <c r="GU177" s="31"/>
      <c r="GV177" s="31"/>
      <c r="GW177" s="31"/>
      <c r="GX177" s="31"/>
      <c r="GY177" s="31"/>
      <c r="GZ177" s="31"/>
      <c r="HA177" s="31"/>
      <c r="HB177" s="31"/>
      <c r="HC177" s="31"/>
      <c r="HD177" s="31"/>
      <c r="HE177" s="31"/>
      <c r="HF177" s="31"/>
      <c r="HG177" s="31"/>
      <c r="HH177" s="31"/>
      <c r="HI177" s="31"/>
      <c r="HJ177" s="31"/>
      <c r="HK177" s="31"/>
      <c r="HL177" s="31"/>
      <c r="HM177" s="31"/>
      <c r="HN177" s="31"/>
      <c r="HO177" s="31"/>
      <c r="HP177" s="31"/>
      <c r="HQ177" s="31"/>
      <c r="HR177" s="31"/>
      <c r="HS177" s="31"/>
      <c r="HT177" s="31"/>
      <c r="HU177" s="31"/>
      <c r="HV177" s="31"/>
      <c r="HW177" s="31"/>
      <c r="HX177" s="31"/>
      <c r="HY177" s="31"/>
      <c r="HZ177" s="31"/>
      <c r="IA177" s="31"/>
      <c r="IB177" s="31"/>
      <c r="IC177" s="31"/>
      <c r="ID177" s="31"/>
      <c r="IE177" s="31"/>
      <c r="IF177" s="31"/>
      <c r="IG177" s="31"/>
      <c r="IH177" s="31"/>
      <c r="II177" s="31"/>
      <c r="IJ177" s="31"/>
      <c r="IK177" s="31"/>
      <c r="IL177" s="31"/>
      <c r="IM177" s="31"/>
      <c r="IN177" s="31"/>
      <c r="IO177" s="31"/>
      <c r="IP177" s="31"/>
      <c r="IQ177" s="31"/>
      <c r="IR177" s="31"/>
      <c r="IS177" s="31"/>
      <c r="IT177" s="31"/>
      <c r="IU177" s="31"/>
      <c r="IV177" s="31"/>
      <c r="IW177" s="31"/>
      <c r="IX177" s="31"/>
      <c r="IY177" s="31"/>
      <c r="IZ177" s="31"/>
      <c r="JA177" s="31"/>
      <c r="JB177" s="31"/>
      <c r="JC177" s="31"/>
      <c r="JD177" s="31"/>
      <c r="JE177" s="31"/>
      <c r="JF177" s="31"/>
      <c r="JG177" s="31"/>
      <c r="JH177" s="31"/>
      <c r="JI177" s="31"/>
      <c r="JJ177" s="31"/>
      <c r="JK177" s="31"/>
      <c r="JL177" s="31"/>
      <c r="JM177" s="31"/>
      <c r="JN177" s="31"/>
      <c r="JO177" s="31"/>
      <c r="JP177" s="31"/>
      <c r="JQ177" s="31"/>
      <c r="JR177" s="31"/>
      <c r="JS177" s="31"/>
      <c r="JT177" s="31"/>
      <c r="JU177" s="31"/>
      <c r="JV177" s="31"/>
      <c r="JW177" s="31"/>
      <c r="JX177" s="31"/>
      <c r="JY177" s="31"/>
      <c r="JZ177" s="31"/>
      <c r="KA177" s="31"/>
      <c r="KB177" s="31"/>
      <c r="KC177" s="31"/>
      <c r="KD177" s="31"/>
      <c r="KE177" s="31"/>
      <c r="KF177" s="31"/>
      <c r="KG177" s="31"/>
      <c r="KH177" s="31"/>
      <c r="KI177" s="31"/>
      <c r="KJ177" s="31"/>
      <c r="KK177" s="31"/>
      <c r="KL177" s="31"/>
      <c r="KM177" s="31"/>
      <c r="KN177" s="31"/>
      <c r="KO177" s="31"/>
      <c r="KP177" s="31"/>
      <c r="KQ177" s="31"/>
      <c r="KR177" s="31"/>
      <c r="KS177" s="31"/>
      <c r="KT177" s="31"/>
      <c r="KU177" s="31"/>
      <c r="KV177" s="31"/>
      <c r="KW177" s="31"/>
      <c r="KX177" s="31"/>
      <c r="KY177" s="31"/>
      <c r="KZ177" s="31"/>
      <c r="LA177" s="31"/>
      <c r="LB177" s="31"/>
      <c r="LC177" s="31"/>
      <c r="LD177" s="31"/>
      <c r="LE177" s="31"/>
      <c r="LF177" s="31"/>
      <c r="LG177" s="31"/>
      <c r="LH177" s="31"/>
      <c r="LI177" s="31"/>
      <c r="LJ177" s="31"/>
      <c r="LK177" s="31"/>
      <c r="LL177" s="31"/>
      <c r="LM177" s="31"/>
      <c r="LN177" s="31"/>
      <c r="LO177" s="31"/>
      <c r="LP177" s="31"/>
      <c r="LQ177" s="31"/>
      <c r="LR177" s="31"/>
      <c r="LS177" s="31"/>
      <c r="LT177" s="31"/>
      <c r="LU177" s="31"/>
      <c r="LV177" s="31"/>
      <c r="LW177" s="31"/>
      <c r="LX177" s="31"/>
      <c r="LY177" s="31"/>
      <c r="LZ177" s="31"/>
      <c r="MA177" s="31"/>
      <c r="MB177" s="31"/>
      <c r="MC177" s="31"/>
      <c r="MD177" s="31"/>
      <c r="ME177" s="31"/>
      <c r="MF177" s="31"/>
      <c r="MG177" s="31"/>
      <c r="MH177" s="31"/>
      <c r="MI177" s="31"/>
      <c r="MJ177" s="31"/>
      <c r="MK177" s="31"/>
      <c r="ML177" s="31"/>
      <c r="MM177" s="31"/>
      <c r="MN177" s="31"/>
      <c r="MO177" s="31"/>
      <c r="MP177" s="31"/>
      <c r="MQ177" s="31"/>
      <c r="MR177" s="31"/>
      <c r="MS177" s="31"/>
      <c r="MT177" s="31"/>
      <c r="MU177" s="31"/>
      <c r="MV177" s="31"/>
      <c r="MW177" s="31"/>
      <c r="MX177" s="31"/>
      <c r="MY177" s="31"/>
      <c r="MZ177" s="31"/>
      <c r="NA177" s="31"/>
      <c r="NB177" s="31"/>
      <c r="NC177" s="31"/>
      <c r="ND177" s="31"/>
      <c r="NE177" s="31"/>
      <c r="NF177" s="31"/>
      <c r="NG177" s="31"/>
      <c r="NH177" s="31"/>
      <c r="NI177" s="31"/>
      <c r="NJ177" s="31"/>
      <c r="NK177" s="31"/>
      <c r="NL177" s="31"/>
      <c r="NM177" s="31"/>
      <c r="NN177" s="31"/>
      <c r="NO177" s="31"/>
      <c r="NP177" s="31"/>
      <c r="NQ177" s="31"/>
      <c r="NR177" s="31"/>
      <c r="NS177" s="31"/>
      <c r="NT177" s="31"/>
      <c r="NU177" s="31"/>
      <c r="NV177" s="31"/>
      <c r="NW177" s="31"/>
      <c r="NX177" s="31"/>
      <c r="NY177" s="31"/>
      <c r="NZ177" s="31"/>
      <c r="OA177" s="31"/>
      <c r="OB177" s="31"/>
      <c r="OC177" s="31"/>
      <c r="OD177" s="31"/>
      <c r="OE177" s="31"/>
      <c r="OF177" s="31"/>
      <c r="OG177" s="31"/>
      <c r="OH177" s="31"/>
      <c r="OI177" s="31"/>
      <c r="OJ177" s="31"/>
      <c r="OK177" s="31"/>
      <c r="OL177" s="31"/>
      <c r="OM177" s="31"/>
      <c r="ON177" s="31"/>
      <c r="OO177" s="31"/>
      <c r="OP177" s="31"/>
      <c r="OQ177" s="31"/>
      <c r="OR177" s="31"/>
      <c r="OS177" s="31"/>
      <c r="OT177" s="31"/>
      <c r="OU177" s="31"/>
      <c r="OV177" s="31"/>
      <c r="OW177" s="31"/>
      <c r="OX177" s="31"/>
      <c r="OY177" s="31"/>
      <c r="OZ177" s="31"/>
      <c r="PA177" s="31"/>
      <c r="PB177" s="31"/>
      <c r="PC177" s="31"/>
      <c r="PD177" s="31"/>
      <c r="PE177" s="31"/>
      <c r="PF177" s="31"/>
      <c r="PG177" s="31"/>
      <c r="PH177" s="31"/>
      <c r="PI177" s="31"/>
      <c r="PJ177" s="31"/>
      <c r="PK177" s="31"/>
      <c r="PL177" s="31"/>
      <c r="PM177" s="31"/>
      <c r="PN177" s="31"/>
      <c r="PO177" s="31"/>
      <c r="PP177" s="31"/>
      <c r="PQ177" s="31"/>
      <c r="PR177" s="31"/>
      <c r="PS177" s="31"/>
      <c r="PT177" s="31"/>
      <c r="PU177" s="31"/>
      <c r="PV177" s="31"/>
      <c r="PW177" s="31"/>
      <c r="PX177" s="31"/>
      <c r="PY177" s="31"/>
      <c r="PZ177" s="31"/>
      <c r="QA177" s="31"/>
      <c r="QB177" s="31"/>
      <c r="QC177" s="31"/>
      <c r="QD177" s="31"/>
      <c r="QE177" s="31"/>
      <c r="QF177" s="31"/>
      <c r="QG177" s="31"/>
      <c r="QH177" s="31"/>
      <c r="QI177" s="31"/>
      <c r="QJ177" s="31"/>
      <c r="QK177" s="31"/>
      <c r="QL177" s="31"/>
      <c r="QM177" s="31"/>
      <c r="QN177" s="31"/>
      <c r="QO177" s="31"/>
      <c r="QP177" s="31"/>
      <c r="QQ177" s="31"/>
      <c r="QR177" s="31"/>
      <c r="QS177" s="31"/>
      <c r="QT177" s="31"/>
      <c r="QU177" s="31"/>
      <c r="QV177" s="31"/>
      <c r="QW177" s="31"/>
      <c r="QX177" s="31"/>
      <c r="QY177" s="31"/>
      <c r="QZ177" s="31"/>
      <c r="RA177" s="31"/>
      <c r="RB177" s="31"/>
      <c r="RC177" s="31"/>
      <c r="RD177" s="31"/>
      <c r="RE177" s="31"/>
      <c r="RF177" s="31"/>
      <c r="RG177" s="31"/>
      <c r="RH177" s="31"/>
      <c r="RI177" s="31"/>
      <c r="RJ177" s="31"/>
      <c r="RK177" s="31"/>
      <c r="RL177" s="31"/>
      <c r="RM177" s="31"/>
      <c r="RN177" s="31"/>
      <c r="RO177" s="31"/>
      <c r="RP177" s="31"/>
      <c r="RQ177" s="31"/>
      <c r="RR177" s="31"/>
      <c r="RS177" s="31"/>
      <c r="RT177" s="31"/>
      <c r="RU177" s="31"/>
      <c r="RV177" s="31"/>
      <c r="RW177" s="31"/>
      <c r="RX177" s="31"/>
      <c r="RY177" s="31"/>
      <c r="RZ177" s="31"/>
      <c r="SA177" s="31"/>
      <c r="SB177" s="31"/>
      <c r="SC177" s="31"/>
      <c r="SD177" s="31"/>
      <c r="SE177" s="31"/>
      <c r="SF177" s="31"/>
      <c r="SG177" s="31"/>
      <c r="SH177" s="31"/>
      <c r="SI177" s="31"/>
      <c r="SJ177" s="31"/>
      <c r="SK177" s="31"/>
      <c r="SL177" s="31"/>
      <c r="SM177" s="31"/>
      <c r="SN177" s="31"/>
      <c r="SO177" s="31"/>
      <c r="SP177" s="31"/>
      <c r="SQ177" s="31"/>
      <c r="SR177" s="31"/>
      <c r="SS177" s="31"/>
      <c r="ST177" s="31"/>
      <c r="SU177" s="31"/>
      <c r="SV177" s="31"/>
      <c r="SW177" s="31"/>
      <c r="SX177" s="31"/>
      <c r="SY177" s="31"/>
      <c r="SZ177" s="31"/>
      <c r="TA177" s="31"/>
      <c r="TB177" s="31"/>
      <c r="TC177" s="31"/>
      <c r="TD177" s="31"/>
      <c r="TE177" s="31"/>
      <c r="TF177" s="31"/>
      <c r="TG177" s="31"/>
      <c r="TH177" s="31"/>
      <c r="TI177" s="31"/>
      <c r="TJ177" s="31"/>
      <c r="TK177" s="31"/>
      <c r="TL177" s="31"/>
      <c r="TM177" s="31"/>
      <c r="TN177" s="31"/>
      <c r="TO177" s="31"/>
      <c r="TP177" s="31"/>
      <c r="TQ177" s="31"/>
      <c r="TR177" s="31"/>
      <c r="TS177" s="31"/>
      <c r="TT177" s="31"/>
      <c r="TU177" s="31"/>
      <c r="TV177" s="31"/>
      <c r="TW177" s="31"/>
      <c r="TX177" s="31"/>
      <c r="TY177" s="31"/>
      <c r="TZ177" s="31"/>
      <c r="UA177" s="31"/>
      <c r="UB177" s="31"/>
      <c r="UC177" s="31"/>
      <c r="UD177" s="31"/>
      <c r="UE177" s="31"/>
      <c r="UF177" s="31"/>
      <c r="UG177" s="31"/>
      <c r="UH177" s="31"/>
      <c r="UI177" s="31"/>
      <c r="UJ177" s="31"/>
      <c r="UK177" s="31"/>
      <c r="UL177" s="31"/>
      <c r="UM177" s="31"/>
      <c r="UN177" s="31"/>
      <c r="UO177" s="31"/>
      <c r="UP177" s="31"/>
      <c r="UQ177" s="31"/>
      <c r="UR177" s="31"/>
      <c r="US177" s="31"/>
      <c r="UT177" s="31"/>
      <c r="UU177" s="31"/>
      <c r="UV177" s="31"/>
      <c r="UW177" s="31"/>
      <c r="UX177" s="31"/>
      <c r="UY177" s="31"/>
      <c r="UZ177" s="31"/>
      <c r="VA177" s="31"/>
      <c r="VB177" s="31"/>
      <c r="VC177" s="31"/>
      <c r="VD177" s="31"/>
      <c r="VE177" s="31"/>
      <c r="VF177" s="31"/>
      <c r="VG177" s="31"/>
      <c r="VH177" s="31"/>
      <c r="VI177" s="31"/>
      <c r="VJ177" s="31"/>
      <c r="VK177" s="31"/>
      <c r="VL177" s="31"/>
      <c r="VM177" s="31"/>
      <c r="VN177" s="31"/>
      <c r="VO177" s="31"/>
      <c r="VP177" s="31"/>
      <c r="VQ177" s="31"/>
      <c r="VR177" s="31"/>
      <c r="VS177" s="31"/>
      <c r="VT177" s="31"/>
      <c r="VU177" s="31"/>
      <c r="VV177" s="31"/>
      <c r="VW177" s="31"/>
      <c r="VX177" s="31"/>
      <c r="VY177" s="31"/>
      <c r="VZ177" s="31"/>
      <c r="WA177" s="31"/>
      <c r="WB177" s="31"/>
      <c r="WC177" s="31"/>
      <c r="WD177" s="31"/>
      <c r="WE177" s="31"/>
      <c r="WF177" s="31"/>
      <c r="WG177" s="31"/>
      <c r="WH177" s="31"/>
      <c r="WI177" s="31"/>
      <c r="WJ177" s="31"/>
      <c r="WK177" s="31"/>
      <c r="WL177" s="31"/>
      <c r="WM177" s="31"/>
      <c r="WN177" s="31"/>
      <c r="WO177" s="31"/>
      <c r="WP177" s="31"/>
      <c r="WQ177" s="31"/>
      <c r="WR177" s="31"/>
      <c r="WS177" s="31"/>
      <c r="WT177" s="31"/>
      <c r="WU177" s="31"/>
      <c r="WV177" s="31"/>
      <c r="WW177" s="31"/>
      <c r="WX177" s="31"/>
      <c r="WY177" s="31"/>
      <c r="WZ177" s="31"/>
      <c r="XA177" s="31"/>
      <c r="XB177" s="31"/>
      <c r="XC177" s="31"/>
      <c r="XD177" s="31"/>
      <c r="XE177" s="31"/>
      <c r="XF177" s="31"/>
      <c r="XG177" s="31"/>
      <c r="XH177" s="31"/>
      <c r="XI177" s="31"/>
      <c r="XJ177" s="31"/>
      <c r="XK177" s="31"/>
      <c r="XL177" s="31"/>
      <c r="XM177" s="31"/>
      <c r="XN177" s="31"/>
      <c r="XO177" s="31"/>
      <c r="XP177" s="31"/>
      <c r="XQ177" s="31"/>
      <c r="XR177" s="31"/>
      <c r="XS177" s="31"/>
      <c r="XT177" s="31"/>
      <c r="XU177" s="31"/>
      <c r="XV177" s="31"/>
      <c r="XW177" s="31"/>
      <c r="XX177" s="31"/>
      <c r="XY177" s="31"/>
      <c r="XZ177" s="31"/>
      <c r="YA177" s="31"/>
      <c r="YB177" s="31"/>
      <c r="YC177" s="31"/>
      <c r="YD177" s="31"/>
      <c r="YE177" s="31"/>
      <c r="YF177" s="31"/>
      <c r="YG177" s="31"/>
      <c r="YH177" s="31"/>
      <c r="YI177" s="31"/>
      <c r="YJ177" s="31"/>
      <c r="YK177" s="31"/>
      <c r="YL177" s="31"/>
      <c r="YM177" s="31"/>
      <c r="YN177" s="31"/>
      <c r="YO177" s="31"/>
      <c r="YP177" s="31"/>
      <c r="YQ177" s="31"/>
      <c r="YR177" s="31"/>
      <c r="YS177" s="31"/>
      <c r="YT177" s="31"/>
      <c r="YU177" s="31"/>
      <c r="YV177" s="31"/>
      <c r="YW177" s="31"/>
      <c r="YX177" s="31"/>
      <c r="YY177" s="31"/>
      <c r="YZ177" s="31"/>
      <c r="ZA177" s="31"/>
      <c r="ZB177" s="31"/>
      <c r="ZC177" s="31"/>
      <c r="ZD177" s="31"/>
      <c r="ZE177" s="31"/>
      <c r="ZF177" s="31"/>
      <c r="ZG177" s="31"/>
      <c r="ZH177" s="31"/>
      <c r="ZI177" s="31"/>
      <c r="ZJ177" s="31"/>
      <c r="ZK177" s="31"/>
      <c r="ZL177" s="31"/>
      <c r="ZM177" s="31"/>
      <c r="ZN177" s="31"/>
      <c r="ZO177" s="31"/>
      <c r="ZP177" s="31"/>
      <c r="ZQ177" s="31"/>
      <c r="ZR177" s="31"/>
      <c r="ZS177" s="31"/>
      <c r="ZT177" s="31"/>
      <c r="ZU177" s="31"/>
      <c r="ZV177" s="31"/>
      <c r="ZW177" s="31"/>
      <c r="ZX177" s="31"/>
      <c r="ZY177" s="31"/>
      <c r="ZZ177" s="31"/>
      <c r="AAA177" s="31"/>
      <c r="AAB177" s="31"/>
      <c r="AAC177" s="31"/>
      <c r="AAD177" s="31"/>
      <c r="AAE177" s="31"/>
      <c r="AAF177" s="31"/>
      <c r="AAG177" s="31"/>
      <c r="AAH177" s="31"/>
      <c r="AAI177" s="31"/>
      <c r="AAJ177" s="31"/>
      <c r="AAK177" s="31"/>
      <c r="AAL177" s="31"/>
      <c r="AAM177" s="31"/>
      <c r="AAN177" s="31"/>
      <c r="AAO177" s="31"/>
      <c r="AAP177" s="31"/>
      <c r="AAQ177" s="31"/>
      <c r="AAR177" s="31"/>
      <c r="AAS177" s="31"/>
      <c r="AAT177" s="31"/>
      <c r="AAU177" s="31"/>
      <c r="AAV177" s="31"/>
      <c r="AAW177" s="31"/>
      <c r="AAX177" s="31"/>
      <c r="AAY177" s="31"/>
      <c r="AAZ177" s="31"/>
      <c r="ABA177" s="31"/>
      <c r="ABB177" s="31"/>
      <c r="ABC177" s="31"/>
      <c r="ABD177" s="31"/>
      <c r="ABE177" s="31"/>
      <c r="ABF177" s="31"/>
      <c r="ABG177" s="31"/>
      <c r="ABH177" s="31"/>
      <c r="ABI177" s="31"/>
      <c r="ABJ177" s="31"/>
      <c r="ABK177" s="31"/>
      <c r="ABL177" s="31"/>
      <c r="ABM177" s="31"/>
      <c r="ABN177" s="31"/>
      <c r="ABO177" s="31"/>
      <c r="ABP177" s="31"/>
      <c r="ABQ177" s="31"/>
      <c r="ABR177" s="31"/>
      <c r="ABS177" s="31"/>
      <c r="ABT177" s="31"/>
      <c r="ABU177" s="31"/>
      <c r="ABV177" s="31"/>
      <c r="ABW177" s="31"/>
      <c r="ABX177" s="31"/>
      <c r="ABY177" s="31"/>
      <c r="ABZ177" s="31"/>
      <c r="ACA177" s="31"/>
      <c r="ACB177" s="31"/>
      <c r="ACC177" s="31"/>
      <c r="ACD177" s="31"/>
      <c r="ACE177" s="31"/>
      <c r="ACF177" s="31"/>
      <c r="ACG177" s="31"/>
      <c r="ACH177" s="31"/>
      <c r="ACI177" s="31"/>
      <c r="ACJ177" s="31"/>
      <c r="ACK177" s="31"/>
      <c r="ACL177" s="31"/>
      <c r="ACM177" s="31"/>
      <c r="ACN177" s="31"/>
      <c r="ACO177" s="31"/>
      <c r="ACP177" s="31"/>
      <c r="ACQ177" s="31"/>
      <c r="ACR177" s="31"/>
      <c r="ACS177" s="31"/>
      <c r="ACT177" s="31"/>
      <c r="ACU177" s="31"/>
      <c r="ACV177" s="31"/>
      <c r="ACW177" s="31"/>
      <c r="ACX177" s="31"/>
      <c r="ACY177" s="31"/>
      <c r="ACZ177" s="31"/>
      <c r="ADA177" s="31"/>
      <c r="ADB177" s="31"/>
      <c r="ADC177" s="31"/>
      <c r="ADD177" s="31"/>
      <c r="ADE177" s="31"/>
      <c r="ADF177" s="31"/>
      <c r="ADG177" s="31"/>
      <c r="ADH177" s="31"/>
      <c r="ADI177" s="31"/>
      <c r="ADJ177" s="31"/>
      <c r="ADK177" s="31"/>
      <c r="ADL177" s="31"/>
      <c r="ADM177" s="31"/>
      <c r="ADN177" s="31"/>
      <c r="ADO177" s="31"/>
      <c r="ADP177" s="31"/>
      <c r="ADQ177" s="31"/>
      <c r="ADR177" s="31"/>
      <c r="ADS177" s="31"/>
      <c r="ADT177" s="31"/>
      <c r="ADU177" s="31"/>
      <c r="ADV177" s="31"/>
      <c r="ADW177" s="31"/>
      <c r="ADX177" s="31"/>
      <c r="ADY177" s="31"/>
      <c r="ADZ177" s="31"/>
      <c r="AEA177" s="31"/>
      <c r="AEB177" s="31"/>
      <c r="AEC177" s="31"/>
      <c r="AED177" s="31"/>
      <c r="AEE177" s="31"/>
      <c r="AEF177" s="31"/>
      <c r="AEG177" s="31"/>
      <c r="AEH177" s="31"/>
      <c r="AEI177" s="31"/>
      <c r="AEJ177" s="31"/>
      <c r="AEK177" s="31"/>
      <c r="AEL177" s="31"/>
      <c r="AEM177" s="31"/>
      <c r="AEN177" s="31"/>
      <c r="AEO177" s="31"/>
      <c r="AEP177" s="31"/>
      <c r="AEQ177" s="31"/>
      <c r="AER177" s="31"/>
      <c r="AES177" s="31"/>
      <c r="AET177" s="31"/>
      <c r="AEU177" s="31"/>
      <c r="AEV177" s="31"/>
      <c r="AEW177" s="31"/>
      <c r="AEX177" s="31"/>
      <c r="AEY177" s="31"/>
      <c r="AEZ177" s="31"/>
      <c r="AFA177" s="31"/>
      <c r="AFB177" s="31"/>
      <c r="AFC177" s="31"/>
      <c r="AFD177" s="31"/>
      <c r="AFE177" s="31"/>
      <c r="AFF177" s="31"/>
      <c r="AFG177" s="31"/>
      <c r="AFH177" s="31"/>
      <c r="AFI177" s="31"/>
      <c r="AFJ177" s="31"/>
      <c r="AFK177" s="31"/>
      <c r="AFL177" s="31"/>
      <c r="AFM177" s="31"/>
      <c r="AFN177" s="31"/>
      <c r="AFO177" s="31"/>
      <c r="AFP177" s="31"/>
      <c r="AFQ177" s="31"/>
      <c r="AFR177" s="31"/>
      <c r="AFS177" s="31"/>
      <c r="AFT177" s="31"/>
      <c r="AFU177" s="31"/>
      <c r="AFV177" s="31"/>
      <c r="AFW177" s="31"/>
      <c r="AFX177" s="31"/>
      <c r="AFY177" s="31"/>
      <c r="AFZ177" s="31"/>
      <c r="AGA177" s="31"/>
      <c r="AGB177" s="31"/>
      <c r="AGC177" s="31"/>
      <c r="AGD177" s="31"/>
      <c r="AGE177" s="31"/>
      <c r="AGF177" s="31"/>
      <c r="AGG177" s="31"/>
      <c r="AGH177" s="31"/>
      <c r="AGI177" s="31"/>
      <c r="AGJ177" s="31"/>
      <c r="AGK177" s="31"/>
      <c r="AGL177" s="31"/>
      <c r="AGM177" s="31"/>
      <c r="AGN177" s="31"/>
      <c r="AGO177" s="31"/>
      <c r="AGP177" s="31"/>
      <c r="AGQ177" s="31"/>
      <c r="AGR177" s="31"/>
      <c r="AGS177" s="31"/>
      <c r="AGT177" s="31"/>
      <c r="AGU177" s="31"/>
      <c r="AGV177" s="31"/>
      <c r="AGW177" s="31"/>
      <c r="AGX177" s="31"/>
      <c r="AGY177" s="31"/>
      <c r="AGZ177" s="31"/>
      <c r="AHA177" s="31"/>
      <c r="AHB177" s="31"/>
      <c r="AHC177" s="31"/>
      <c r="AHD177" s="31"/>
      <c r="AHE177" s="31"/>
      <c r="AHF177" s="31"/>
      <c r="AHG177" s="31"/>
      <c r="AHH177" s="31"/>
      <c r="AHI177" s="31"/>
      <c r="AHJ177" s="31"/>
      <c r="AHK177" s="31"/>
      <c r="AHL177" s="31"/>
      <c r="AHM177" s="31"/>
      <c r="AHN177" s="31"/>
      <c r="AHO177" s="31"/>
      <c r="AHP177" s="31"/>
      <c r="AHQ177" s="31"/>
      <c r="AHR177" s="31"/>
      <c r="AHS177" s="31"/>
      <c r="AHT177" s="31"/>
      <c r="AHU177" s="31"/>
      <c r="AHV177" s="31"/>
      <c r="AHW177" s="31"/>
      <c r="AHX177" s="31"/>
      <c r="AHY177" s="31"/>
      <c r="AHZ177" s="31"/>
      <c r="AIA177" s="31"/>
      <c r="AIB177" s="31"/>
      <c r="AIC177" s="31"/>
      <c r="AID177" s="31"/>
      <c r="AIE177" s="31"/>
      <c r="AIF177" s="31"/>
      <c r="AIG177" s="31"/>
      <c r="AIH177" s="31"/>
      <c r="AII177" s="31"/>
      <c r="AIJ177" s="31"/>
      <c r="AIK177" s="31"/>
      <c r="AIL177" s="31"/>
      <c r="AIM177" s="31"/>
      <c r="AIN177" s="31"/>
      <c r="AIO177" s="31"/>
      <c r="AIP177" s="31"/>
      <c r="AIQ177" s="31"/>
      <c r="AIR177" s="31"/>
      <c r="AIS177" s="31"/>
      <c r="AIT177" s="31"/>
      <c r="AIU177" s="31"/>
      <c r="AIV177" s="31"/>
      <c r="AIW177" s="31"/>
      <c r="AIX177" s="31"/>
      <c r="AIY177" s="31"/>
      <c r="AIZ177" s="31"/>
      <c r="AJA177" s="31"/>
      <c r="AJB177" s="31"/>
      <c r="AJC177" s="31"/>
      <c r="AJD177" s="31"/>
      <c r="AJE177" s="31"/>
      <c r="AJF177" s="31"/>
      <c r="AJG177" s="31"/>
      <c r="AJH177" s="31"/>
      <c r="AJI177" s="31"/>
      <c r="AJJ177" s="31"/>
      <c r="AJK177" s="31"/>
      <c r="AJL177" s="31"/>
      <c r="AJM177" s="31"/>
      <c r="AJN177" s="31"/>
      <c r="AJO177" s="31"/>
      <c r="AJP177" s="31"/>
      <c r="AJQ177" s="31"/>
      <c r="AJR177" s="31"/>
      <c r="AJS177" s="31"/>
      <c r="AJT177" s="31"/>
      <c r="AJU177" s="31"/>
      <c r="AJV177" s="31"/>
      <c r="AJW177" s="31"/>
      <c r="AJX177" s="31"/>
      <c r="AJY177" s="31"/>
      <c r="AJZ177" s="31"/>
      <c r="AKA177" s="31"/>
      <c r="AKB177" s="31"/>
      <c r="AKC177" s="31"/>
      <c r="AKD177" s="31"/>
      <c r="AKE177" s="31"/>
      <c r="AKF177" s="31"/>
      <c r="AKG177" s="31"/>
      <c r="AKH177" s="31"/>
      <c r="AKI177" s="31"/>
      <c r="AKJ177" s="31"/>
      <c r="AKK177" s="31"/>
      <c r="AKL177" s="31"/>
      <c r="AKM177" s="31"/>
      <c r="AKN177" s="31"/>
      <c r="AKO177" s="31"/>
      <c r="AKP177" s="31"/>
      <c r="AKQ177" s="31"/>
      <c r="AKR177" s="31"/>
      <c r="AKS177" s="31"/>
      <c r="AKT177" s="31"/>
      <c r="AKU177" s="31"/>
      <c r="AKV177" s="31"/>
      <c r="AKW177" s="31"/>
      <c r="AKX177" s="31"/>
      <c r="AKY177" s="31"/>
      <c r="AKZ177" s="31"/>
      <c r="ALA177" s="31"/>
      <c r="ALB177" s="31"/>
      <c r="ALC177" s="31"/>
      <c r="ALD177" s="31"/>
      <c r="ALE177" s="31"/>
      <c r="ALF177" s="31"/>
      <c r="ALG177" s="31"/>
      <c r="ALH177" s="31"/>
      <c r="ALI177" s="31"/>
      <c r="ALJ177" s="31"/>
      <c r="ALK177" s="31"/>
      <c r="ALL177" s="31"/>
      <c r="ALM177" s="31"/>
      <c r="ALN177" s="31"/>
      <c r="ALO177" s="31"/>
      <c r="ALP177" s="31"/>
      <c r="ALQ177" s="31"/>
      <c r="ALR177" s="31"/>
      <c r="ALS177" s="31"/>
      <c r="ALT177" s="31"/>
      <c r="ALU177" s="31"/>
      <c r="ALV177" s="31"/>
      <c r="ALW177" s="31"/>
      <c r="ALX177" s="31"/>
      <c r="ALY177" s="31"/>
      <c r="ALZ177" s="31"/>
      <c r="AMA177" s="31"/>
      <c r="AMB177" s="31"/>
      <c r="AMC177" s="31"/>
      <c r="AMD177" s="31"/>
      <c r="AME177" s="31"/>
      <c r="AMF177" s="31"/>
      <c r="AMG177" s="31"/>
      <c r="AMH177" s="31"/>
      <c r="AMI177" s="31"/>
      <c r="AMJ177" s="31"/>
      <c r="AMK177" s="31"/>
      <c r="AML177" s="31"/>
      <c r="AMM177" s="31"/>
      <c r="AMN177" s="31"/>
      <c r="AMO177" s="31"/>
      <c r="AMP177" s="31"/>
      <c r="AMQ177" s="31"/>
      <c r="AMR177" s="31"/>
      <c r="AMS177" s="31"/>
      <c r="AMT177" s="31"/>
      <c r="AMU177" s="31"/>
      <c r="AMV177" s="31"/>
      <c r="AMW177" s="31"/>
      <c r="AMX177" s="31"/>
      <c r="AMY177" s="31"/>
      <c r="AMZ177" s="31"/>
      <c r="ANA177" s="31"/>
      <c r="ANB177" s="31"/>
      <c r="ANC177" s="31"/>
      <c r="AND177" s="31"/>
      <c r="ANE177" s="31"/>
      <c r="ANF177" s="31"/>
      <c r="ANG177" s="31"/>
      <c r="ANH177" s="31"/>
      <c r="ANI177" s="31"/>
      <c r="ANJ177" s="31"/>
      <c r="ANK177" s="31"/>
      <c r="ANL177" s="31"/>
      <c r="ANM177" s="31"/>
      <c r="ANN177" s="31"/>
      <c r="ANO177" s="31"/>
      <c r="ANP177" s="31"/>
      <c r="ANQ177" s="31"/>
      <c r="ANR177" s="31"/>
      <c r="ANS177" s="31"/>
      <c r="ANT177" s="31"/>
      <c r="ANU177" s="31"/>
      <c r="ANV177" s="31"/>
      <c r="ANW177" s="31"/>
      <c r="ANX177" s="31"/>
      <c r="ANY177" s="31"/>
      <c r="ANZ177" s="31"/>
      <c r="AOA177" s="31"/>
      <c r="AOB177" s="31"/>
      <c r="AOC177" s="31"/>
      <c r="AOD177" s="31"/>
      <c r="AOE177" s="31"/>
      <c r="AOF177" s="31"/>
      <c r="AOG177" s="31"/>
      <c r="AOH177" s="31"/>
      <c r="AOI177" s="31"/>
      <c r="AOJ177" s="31"/>
      <c r="AOK177" s="31"/>
      <c r="AOL177" s="31"/>
      <c r="AOM177" s="31"/>
      <c r="AON177" s="31"/>
      <c r="AOO177" s="31"/>
      <c r="AOP177" s="31"/>
      <c r="AOQ177" s="31"/>
      <c r="AOR177" s="31"/>
      <c r="AOS177" s="31"/>
      <c r="AOT177" s="31"/>
      <c r="AOU177" s="31"/>
      <c r="AOV177" s="31"/>
      <c r="AOW177" s="31"/>
      <c r="AOX177" s="31"/>
      <c r="AOY177" s="31"/>
      <c r="AOZ177" s="31"/>
      <c r="APA177" s="31"/>
      <c r="APB177" s="31"/>
      <c r="APC177" s="31"/>
      <c r="APD177" s="31"/>
      <c r="APE177" s="31"/>
      <c r="APF177" s="31"/>
      <c r="APG177" s="31"/>
      <c r="APH177" s="31"/>
      <c r="API177" s="31"/>
      <c r="APJ177" s="31"/>
      <c r="APK177" s="31"/>
      <c r="APL177" s="31"/>
      <c r="APM177" s="31"/>
      <c r="APN177" s="31"/>
      <c r="APO177" s="31"/>
      <c r="APP177" s="31"/>
      <c r="APQ177" s="31"/>
      <c r="APR177" s="31"/>
      <c r="APS177" s="31"/>
      <c r="APT177" s="31"/>
      <c r="APU177" s="31"/>
      <c r="APV177" s="31"/>
      <c r="APW177" s="31"/>
      <c r="APX177" s="31"/>
      <c r="APY177" s="31"/>
      <c r="APZ177" s="31"/>
      <c r="AQA177" s="31"/>
      <c r="AQB177" s="31"/>
      <c r="AQC177" s="31"/>
      <c r="AQD177" s="31"/>
      <c r="AQE177" s="31"/>
      <c r="AQF177" s="31"/>
      <c r="AQG177" s="31"/>
      <c r="AQH177" s="31"/>
      <c r="AQI177" s="31"/>
      <c r="AQJ177" s="31"/>
      <c r="AQK177" s="31"/>
      <c r="AQL177" s="31"/>
      <c r="AQM177" s="31"/>
      <c r="AQN177" s="31"/>
      <c r="AQO177" s="31"/>
      <c r="AQP177" s="31"/>
      <c r="AQQ177" s="31"/>
      <c r="AQR177" s="31"/>
      <c r="AQS177" s="31"/>
      <c r="AQT177" s="31"/>
      <c r="AQU177" s="31"/>
      <c r="AQV177" s="31"/>
      <c r="AQW177" s="31"/>
      <c r="AQX177" s="31"/>
      <c r="AQY177" s="31"/>
      <c r="AQZ177" s="31"/>
      <c r="ARA177" s="31"/>
      <c r="ARB177" s="31"/>
      <c r="ARC177" s="31"/>
      <c r="ARD177" s="31"/>
      <c r="ARE177" s="31"/>
      <c r="ARF177" s="31"/>
      <c r="ARG177" s="31"/>
      <c r="ARH177" s="31"/>
      <c r="ARI177" s="31"/>
      <c r="ARJ177" s="31"/>
      <c r="ARK177" s="31"/>
      <c r="ARL177" s="31"/>
      <c r="ARM177" s="31"/>
      <c r="ARN177" s="31"/>
      <c r="ARO177" s="31"/>
      <c r="ARP177" s="31"/>
      <c r="ARQ177" s="31"/>
      <c r="ARR177" s="31"/>
      <c r="ARS177" s="31"/>
      <c r="ART177" s="31"/>
      <c r="ARU177" s="31"/>
      <c r="ARV177" s="31"/>
      <c r="ARW177" s="31"/>
      <c r="ARX177" s="31"/>
      <c r="ARY177" s="31"/>
      <c r="ARZ177" s="31"/>
      <c r="ASA177" s="31"/>
      <c r="ASB177" s="31"/>
      <c r="ASC177" s="31"/>
      <c r="ASD177" s="31"/>
      <c r="ASE177" s="31"/>
      <c r="ASF177" s="31"/>
      <c r="ASG177" s="31"/>
      <c r="ASH177" s="31"/>
      <c r="ASI177" s="31"/>
      <c r="ASJ177" s="31"/>
      <c r="ASK177" s="31"/>
      <c r="ASL177" s="31"/>
      <c r="ASM177" s="31"/>
      <c r="ASN177" s="31"/>
      <c r="ASO177" s="31"/>
      <c r="ASP177" s="31"/>
      <c r="ASQ177" s="31"/>
      <c r="ASR177" s="31"/>
      <c r="ASS177" s="31"/>
      <c r="AST177" s="31"/>
      <c r="ASU177" s="31"/>
      <c r="ASV177" s="31"/>
      <c r="ASW177" s="31"/>
      <c r="ASX177" s="31"/>
      <c r="ASY177" s="31"/>
      <c r="ASZ177" s="31"/>
      <c r="ATA177" s="31"/>
      <c r="ATB177" s="31"/>
      <c r="ATC177" s="31"/>
      <c r="ATD177" s="31"/>
      <c r="ATE177" s="31"/>
    </row>
    <row r="178" spans="1:1201" s="34" customFormat="1" ht="15.75" customHeight="1" x14ac:dyDescent="0.3">
      <c r="A178" s="76"/>
      <c r="B178" s="76"/>
      <c r="C178" s="57" t="s">
        <v>249</v>
      </c>
      <c r="D178" s="63"/>
      <c r="E178" s="63"/>
      <c r="F178" s="31"/>
      <c r="G178" s="144">
        <v>2613821.3600000003</v>
      </c>
      <c r="H178" s="647">
        <v>2596535.7200000002</v>
      </c>
      <c r="I178" s="649">
        <v>2596535.7200000002</v>
      </c>
      <c r="J178" s="649">
        <v>2596535.7200000002</v>
      </c>
      <c r="K178" s="649">
        <v>2596535.7200000002</v>
      </c>
      <c r="L178" s="649">
        <v>2602922.5</v>
      </c>
      <c r="M178" s="649">
        <v>2618821.4499999997</v>
      </c>
      <c r="N178" s="649">
        <v>2618821.4499999997</v>
      </c>
      <c r="O178" s="649">
        <v>2618821.4499999997</v>
      </c>
      <c r="P178" s="649">
        <v>2618821.4499999997</v>
      </c>
      <c r="Q178" s="649">
        <v>2618821.4499999997</v>
      </c>
      <c r="R178" s="649">
        <v>2628777.4499999997</v>
      </c>
      <c r="S178" s="924">
        <f>'MXD BS'!B71-SUM('MXD BS'!B56:B62)</f>
        <v>2530967.7999999998</v>
      </c>
      <c r="T178" s="924">
        <f>'MXD BS'!C71-SUM('MXD BS'!C56:C62)</f>
        <v>2527480.0099999998</v>
      </c>
      <c r="U178" s="924">
        <f>'MXD BS'!D71-SUM('MXD BS'!D56:D62)</f>
        <v>2523992.2200000002</v>
      </c>
      <c r="V178" s="924">
        <f>'MXD BS'!E71-SUM('MXD BS'!E56:E62)</f>
        <v>2520504.4299999997</v>
      </c>
      <c r="W178" s="924">
        <f>'MXD BS'!F71-SUM('MXD BS'!F56:F62)</f>
        <v>2533705.48</v>
      </c>
      <c r="X178" s="924">
        <f>'MXD BS'!G71-SUM('MXD BS'!G56:G62)</f>
        <v>2616060.2400000002</v>
      </c>
      <c r="Y178" s="924">
        <f>'MXD BS'!H71-SUM('MXD BS'!H56:H62)</f>
        <v>2710192.8200000003</v>
      </c>
      <c r="Z178" s="1076">
        <f>'MXD BS'!I71-SUM('MXD BS'!I56:I62)</f>
        <v>2724662.44</v>
      </c>
      <c r="AA178" s="1076">
        <f>'MXD BS'!J71-SUM('MXD BS'!J56:J62)</f>
        <v>2763864.01</v>
      </c>
      <c r="AB178" s="1076">
        <f>'MXD BS'!K71-SUM('MXD BS'!K56:K62)</f>
        <v>2910979.71</v>
      </c>
      <c r="AC178" s="1076">
        <f>'MXD BS'!L71-SUM('MXD BS'!L56:L62)</f>
        <v>2908965.19</v>
      </c>
      <c r="AD178" s="1076">
        <f>'MXD BS'!M71-SUM('MXD BS'!M56:M62)</f>
        <v>3038082.87</v>
      </c>
      <c r="AE178" s="1076">
        <f>'MXD BS'!N71-SUM('MXD BS'!N56:N62)</f>
        <v>4154029.78</v>
      </c>
      <c r="AF178" s="1076">
        <f>'MXD BS'!O71-SUM('MXD BS'!O56:O62)</f>
        <v>4203098.75</v>
      </c>
      <c r="AG178" s="1076">
        <f>'MXD BS'!P71-SUM('MXD BS'!P56:P62)</f>
        <v>4273291.9000000004</v>
      </c>
      <c r="AH178" s="1076">
        <f>'MXD BS'!Q71-SUM('MXD BS'!Q56:Q62)</f>
        <v>4412906.5</v>
      </c>
      <c r="AI178" s="1076">
        <f>'MXD BS'!R71-SUM('MXD BS'!R56:R62)</f>
        <v>4354082.3</v>
      </c>
      <c r="AJ178" s="1076">
        <f>'MXD BS'!S71-SUM('MXD BS'!S56:S62)</f>
        <v>4469634.3100000005</v>
      </c>
      <c r="AK178" s="1076">
        <f>'MXD BS'!T71-SUM('MXD BS'!T56:T62)</f>
        <v>4516531.07</v>
      </c>
      <c r="AL178" s="1076">
        <f>'MXD BS'!U71-SUM('MXD BS'!U56:U62)</f>
        <v>4566779.34</v>
      </c>
      <c r="AM178" s="1076">
        <f>'MXD BS'!V71-SUM('MXD BS'!V56:V62)</f>
        <v>4124242.5500000003</v>
      </c>
      <c r="AN178" s="1076">
        <f>'MXD BS'!W71-SUM('MXD BS'!W56:W62)</f>
        <v>4198304.76</v>
      </c>
      <c r="AO178" s="1076">
        <f>'MXD BS'!X71-SUM('MXD BS'!X56:X62)</f>
        <v>4249327.58</v>
      </c>
      <c r="AP178" s="649">
        <f t="shared" ref="AP178:BC178" si="311">AO178-AP142</f>
        <v>4269327.58</v>
      </c>
      <c r="AQ178" s="649">
        <f t="shared" si="311"/>
        <v>4289327.58</v>
      </c>
      <c r="AR178" s="618">
        <f t="shared" si="311"/>
        <v>4309327.58</v>
      </c>
      <c r="AS178" s="649">
        <f t="shared" si="311"/>
        <v>4329327.58</v>
      </c>
      <c r="AT178" s="649">
        <f t="shared" si="311"/>
        <v>4349327.58</v>
      </c>
      <c r="AU178" s="649">
        <f t="shared" si="311"/>
        <v>4369327.58</v>
      </c>
      <c r="AV178" s="649">
        <f t="shared" si="311"/>
        <v>4389327.58</v>
      </c>
      <c r="AW178" s="649">
        <f t="shared" si="311"/>
        <v>4409327.58</v>
      </c>
      <c r="AX178" s="649">
        <f t="shared" si="311"/>
        <v>4429327.58</v>
      </c>
      <c r="AY178" s="649">
        <f t="shared" si="311"/>
        <v>4449327.58</v>
      </c>
      <c r="AZ178" s="649">
        <f t="shared" si="311"/>
        <v>4469327.58</v>
      </c>
      <c r="BA178" s="649">
        <f t="shared" si="311"/>
        <v>4489327.58</v>
      </c>
      <c r="BB178" s="649">
        <f t="shared" si="311"/>
        <v>4509327.58</v>
      </c>
      <c r="BC178" s="649">
        <f t="shared" si="311"/>
        <v>4529327.58</v>
      </c>
      <c r="BE178" s="1195">
        <v>3034595.08</v>
      </c>
      <c r="BF178" s="924">
        <f t="shared" ref="BF178:BF183" si="312">AQ178</f>
        <v>4289327.58</v>
      </c>
      <c r="BG178" s="1195">
        <f t="shared" ref="BG178:BG186" si="313">BC178</f>
        <v>4529327.58</v>
      </c>
      <c r="BH178" s="31"/>
      <c r="BI178" s="31"/>
      <c r="BJ178" s="31"/>
      <c r="BK178" s="31"/>
      <c r="BL178" s="31"/>
      <c r="BM178" s="31"/>
      <c r="BN178" s="31"/>
      <c r="BO178" s="31"/>
      <c r="BP178" s="31"/>
      <c r="BQ178" s="31"/>
      <c r="BR178" s="31"/>
      <c r="BS178" s="31"/>
      <c r="BT178" s="31"/>
      <c r="BU178" s="31"/>
      <c r="BV178" s="31"/>
      <c r="BW178" s="31"/>
      <c r="BX178" s="31"/>
      <c r="BY178" s="31"/>
      <c r="BZ178" s="31"/>
      <c r="CA178" s="31"/>
      <c r="CB178" s="31"/>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c r="EX178" s="31"/>
      <c r="EY178" s="31"/>
      <c r="EZ178" s="31"/>
      <c r="FA178" s="31"/>
      <c r="FB178" s="31"/>
      <c r="FC178" s="31"/>
      <c r="FD178" s="31"/>
      <c r="FE178" s="31"/>
      <c r="FF178" s="31"/>
      <c r="FG178" s="31"/>
      <c r="FH178" s="31"/>
      <c r="FI178" s="31"/>
      <c r="FJ178" s="31"/>
      <c r="FK178" s="31"/>
      <c r="FL178" s="31"/>
      <c r="FM178" s="31"/>
      <c r="FN178" s="31"/>
      <c r="FO178" s="31"/>
      <c r="FP178" s="31"/>
      <c r="FQ178" s="31"/>
      <c r="FR178" s="31"/>
      <c r="FS178" s="31"/>
      <c r="FT178" s="31"/>
      <c r="FU178" s="31"/>
      <c r="FV178" s="31"/>
      <c r="FW178" s="31"/>
      <c r="FX178" s="31"/>
      <c r="FY178" s="31"/>
      <c r="FZ178" s="31"/>
      <c r="GA178" s="31"/>
      <c r="GB178" s="31"/>
      <c r="GC178" s="31"/>
      <c r="GD178" s="31"/>
      <c r="GE178" s="31"/>
      <c r="GF178" s="31"/>
      <c r="GG178" s="31"/>
      <c r="GH178" s="31"/>
      <c r="GI178" s="31"/>
      <c r="GJ178" s="31"/>
      <c r="GK178" s="31"/>
      <c r="GL178" s="31"/>
      <c r="GM178" s="31"/>
      <c r="GN178" s="31"/>
      <c r="GO178" s="31"/>
      <c r="GP178" s="31"/>
      <c r="GQ178" s="31"/>
      <c r="GR178" s="31"/>
      <c r="GS178" s="31"/>
      <c r="GT178" s="31"/>
      <c r="GU178" s="31"/>
      <c r="GV178" s="31"/>
      <c r="GW178" s="31"/>
      <c r="GX178" s="31"/>
      <c r="GY178" s="31"/>
      <c r="GZ178" s="31"/>
      <c r="HA178" s="31"/>
      <c r="HB178" s="31"/>
      <c r="HC178" s="31"/>
      <c r="HD178" s="31"/>
      <c r="HE178" s="31"/>
      <c r="HF178" s="31"/>
      <c r="HG178" s="31"/>
      <c r="HH178" s="31"/>
      <c r="HI178" s="31"/>
      <c r="HJ178" s="31"/>
      <c r="HK178" s="31"/>
      <c r="HL178" s="31"/>
      <c r="HM178" s="31"/>
      <c r="HN178" s="31"/>
      <c r="HO178" s="31"/>
      <c r="HP178" s="31"/>
      <c r="HQ178" s="31"/>
      <c r="HR178" s="31"/>
      <c r="HS178" s="31"/>
      <c r="HT178" s="31"/>
      <c r="HU178" s="31"/>
      <c r="HV178" s="31"/>
      <c r="HW178" s="31"/>
      <c r="HX178" s="31"/>
      <c r="HY178" s="31"/>
      <c r="HZ178" s="31"/>
      <c r="IA178" s="31"/>
      <c r="IB178" s="31"/>
      <c r="IC178" s="31"/>
      <c r="ID178" s="31"/>
      <c r="IE178" s="31"/>
      <c r="IF178" s="31"/>
      <c r="IG178" s="31"/>
      <c r="IH178" s="31"/>
      <c r="II178" s="31"/>
      <c r="IJ178" s="31"/>
      <c r="IK178" s="31"/>
      <c r="IL178" s="31"/>
      <c r="IM178" s="31"/>
      <c r="IN178" s="31"/>
      <c r="IO178" s="31"/>
      <c r="IP178" s="31"/>
      <c r="IQ178" s="31"/>
      <c r="IR178" s="31"/>
      <c r="IS178" s="31"/>
      <c r="IT178" s="31"/>
      <c r="IU178" s="31"/>
      <c r="IV178" s="31"/>
      <c r="IW178" s="31"/>
      <c r="IX178" s="31"/>
      <c r="IY178" s="31"/>
      <c r="IZ178" s="31"/>
      <c r="JA178" s="31"/>
      <c r="JB178" s="31"/>
      <c r="JC178" s="31"/>
      <c r="JD178" s="31"/>
      <c r="JE178" s="31"/>
      <c r="JF178" s="31"/>
      <c r="JG178" s="31"/>
      <c r="JH178" s="31"/>
      <c r="JI178" s="31"/>
      <c r="JJ178" s="31"/>
      <c r="JK178" s="31"/>
      <c r="JL178" s="31"/>
      <c r="JM178" s="31"/>
      <c r="JN178" s="31"/>
      <c r="JO178" s="31"/>
      <c r="JP178" s="31"/>
      <c r="JQ178" s="31"/>
      <c r="JR178" s="31"/>
      <c r="JS178" s="31"/>
      <c r="JT178" s="31"/>
      <c r="JU178" s="31"/>
      <c r="JV178" s="31"/>
      <c r="JW178" s="31"/>
      <c r="JX178" s="31"/>
      <c r="JY178" s="31"/>
      <c r="JZ178" s="31"/>
      <c r="KA178" s="31"/>
      <c r="KB178" s="31"/>
      <c r="KC178" s="31"/>
      <c r="KD178" s="31"/>
      <c r="KE178" s="31"/>
      <c r="KF178" s="31"/>
      <c r="KG178" s="31"/>
      <c r="KH178" s="31"/>
      <c r="KI178" s="31"/>
      <c r="KJ178" s="31"/>
      <c r="KK178" s="31"/>
      <c r="KL178" s="31"/>
      <c r="KM178" s="31"/>
      <c r="KN178" s="31"/>
      <c r="KO178" s="31"/>
      <c r="KP178" s="31"/>
      <c r="KQ178" s="31"/>
      <c r="KR178" s="31"/>
      <c r="KS178" s="31"/>
      <c r="KT178" s="31"/>
      <c r="KU178" s="31"/>
      <c r="KV178" s="31"/>
      <c r="KW178" s="31"/>
      <c r="KX178" s="31"/>
      <c r="KY178" s="31"/>
      <c r="KZ178" s="31"/>
      <c r="LA178" s="31"/>
      <c r="LB178" s="31"/>
      <c r="LC178" s="31"/>
      <c r="LD178" s="31"/>
      <c r="LE178" s="31"/>
      <c r="LF178" s="31"/>
      <c r="LG178" s="31"/>
      <c r="LH178" s="31"/>
      <c r="LI178" s="31"/>
      <c r="LJ178" s="31"/>
      <c r="LK178" s="31"/>
      <c r="LL178" s="31"/>
      <c r="LM178" s="31"/>
      <c r="LN178" s="31"/>
      <c r="LO178" s="31"/>
      <c r="LP178" s="31"/>
      <c r="LQ178" s="31"/>
      <c r="LR178" s="31"/>
      <c r="LS178" s="31"/>
      <c r="LT178" s="31"/>
      <c r="LU178" s="31"/>
      <c r="LV178" s="31"/>
      <c r="LW178" s="31"/>
      <c r="LX178" s="31"/>
      <c r="LY178" s="31"/>
      <c r="LZ178" s="31"/>
      <c r="MA178" s="31"/>
      <c r="MB178" s="31"/>
      <c r="MC178" s="31"/>
      <c r="MD178" s="31"/>
      <c r="ME178" s="31"/>
      <c r="MF178" s="31"/>
      <c r="MG178" s="31"/>
      <c r="MH178" s="31"/>
      <c r="MI178" s="31"/>
      <c r="MJ178" s="31"/>
      <c r="MK178" s="31"/>
      <c r="ML178" s="31"/>
      <c r="MM178" s="31"/>
      <c r="MN178" s="31"/>
      <c r="MO178" s="31"/>
      <c r="MP178" s="31"/>
      <c r="MQ178" s="31"/>
      <c r="MR178" s="31"/>
      <c r="MS178" s="31"/>
      <c r="MT178" s="31"/>
      <c r="MU178" s="31"/>
      <c r="MV178" s="31"/>
      <c r="MW178" s="31"/>
      <c r="MX178" s="31"/>
      <c r="MY178" s="31"/>
      <c r="MZ178" s="31"/>
      <c r="NA178" s="31"/>
      <c r="NB178" s="31"/>
      <c r="NC178" s="31"/>
      <c r="ND178" s="31"/>
      <c r="NE178" s="31"/>
      <c r="NF178" s="31"/>
      <c r="NG178" s="31"/>
      <c r="NH178" s="31"/>
      <c r="NI178" s="31"/>
      <c r="NJ178" s="31"/>
      <c r="NK178" s="31"/>
      <c r="NL178" s="31"/>
      <c r="NM178" s="31"/>
      <c r="NN178" s="31"/>
      <c r="NO178" s="31"/>
      <c r="NP178" s="31"/>
      <c r="NQ178" s="31"/>
      <c r="NR178" s="31"/>
      <c r="NS178" s="31"/>
      <c r="NT178" s="31"/>
      <c r="NU178" s="31"/>
      <c r="NV178" s="31"/>
      <c r="NW178" s="31"/>
      <c r="NX178" s="31"/>
      <c r="NY178" s="31"/>
      <c r="NZ178" s="31"/>
      <c r="OA178" s="31"/>
      <c r="OB178" s="31"/>
      <c r="OC178" s="31"/>
      <c r="OD178" s="31"/>
      <c r="OE178" s="31"/>
      <c r="OF178" s="31"/>
      <c r="OG178" s="31"/>
      <c r="OH178" s="31"/>
      <c r="OI178" s="31"/>
      <c r="OJ178" s="31"/>
      <c r="OK178" s="31"/>
      <c r="OL178" s="31"/>
      <c r="OM178" s="31"/>
      <c r="ON178" s="31"/>
      <c r="OO178" s="31"/>
      <c r="OP178" s="31"/>
      <c r="OQ178" s="31"/>
      <c r="OR178" s="31"/>
      <c r="OS178" s="31"/>
      <c r="OT178" s="31"/>
      <c r="OU178" s="31"/>
      <c r="OV178" s="31"/>
      <c r="OW178" s="31"/>
      <c r="OX178" s="31"/>
      <c r="OY178" s="31"/>
      <c r="OZ178" s="31"/>
      <c r="PA178" s="31"/>
      <c r="PB178" s="31"/>
      <c r="PC178" s="31"/>
      <c r="PD178" s="31"/>
      <c r="PE178" s="31"/>
      <c r="PF178" s="31"/>
      <c r="PG178" s="31"/>
      <c r="PH178" s="31"/>
      <c r="PI178" s="31"/>
      <c r="PJ178" s="31"/>
      <c r="PK178" s="31"/>
      <c r="PL178" s="31"/>
      <c r="PM178" s="31"/>
      <c r="PN178" s="31"/>
      <c r="PO178" s="31"/>
      <c r="PP178" s="31"/>
      <c r="PQ178" s="31"/>
      <c r="PR178" s="31"/>
      <c r="PS178" s="31"/>
      <c r="PT178" s="31"/>
      <c r="PU178" s="31"/>
      <c r="PV178" s="31"/>
      <c r="PW178" s="31"/>
      <c r="PX178" s="31"/>
      <c r="PY178" s="31"/>
      <c r="PZ178" s="31"/>
      <c r="QA178" s="31"/>
      <c r="QB178" s="31"/>
      <c r="QC178" s="31"/>
      <c r="QD178" s="31"/>
      <c r="QE178" s="31"/>
      <c r="QF178" s="31"/>
      <c r="QG178" s="31"/>
      <c r="QH178" s="31"/>
      <c r="QI178" s="31"/>
      <c r="QJ178" s="31"/>
      <c r="QK178" s="31"/>
      <c r="QL178" s="31"/>
      <c r="QM178" s="31"/>
      <c r="QN178" s="31"/>
      <c r="QO178" s="31"/>
      <c r="QP178" s="31"/>
      <c r="QQ178" s="31"/>
      <c r="QR178" s="31"/>
      <c r="QS178" s="31"/>
      <c r="QT178" s="31"/>
      <c r="QU178" s="31"/>
      <c r="QV178" s="31"/>
      <c r="QW178" s="31"/>
      <c r="QX178" s="31"/>
      <c r="QY178" s="31"/>
      <c r="QZ178" s="31"/>
      <c r="RA178" s="31"/>
      <c r="RB178" s="31"/>
      <c r="RC178" s="31"/>
      <c r="RD178" s="31"/>
      <c r="RE178" s="31"/>
      <c r="RF178" s="31"/>
      <c r="RG178" s="31"/>
      <c r="RH178" s="31"/>
      <c r="RI178" s="31"/>
      <c r="RJ178" s="31"/>
      <c r="RK178" s="31"/>
      <c r="RL178" s="31"/>
      <c r="RM178" s="31"/>
      <c r="RN178" s="31"/>
      <c r="RO178" s="31"/>
      <c r="RP178" s="31"/>
      <c r="RQ178" s="31"/>
      <c r="RR178" s="31"/>
      <c r="RS178" s="31"/>
      <c r="RT178" s="31"/>
      <c r="RU178" s="31"/>
      <c r="RV178" s="31"/>
      <c r="RW178" s="31"/>
      <c r="RX178" s="31"/>
      <c r="RY178" s="31"/>
      <c r="RZ178" s="31"/>
      <c r="SA178" s="31"/>
      <c r="SB178" s="31"/>
      <c r="SC178" s="31"/>
      <c r="SD178" s="31"/>
      <c r="SE178" s="31"/>
      <c r="SF178" s="31"/>
      <c r="SG178" s="31"/>
      <c r="SH178" s="31"/>
      <c r="SI178" s="31"/>
      <c r="SJ178" s="31"/>
      <c r="SK178" s="31"/>
      <c r="SL178" s="31"/>
      <c r="SM178" s="31"/>
      <c r="SN178" s="31"/>
      <c r="SO178" s="31"/>
      <c r="SP178" s="31"/>
      <c r="SQ178" s="31"/>
      <c r="SR178" s="31"/>
      <c r="SS178" s="31"/>
      <c r="ST178" s="31"/>
      <c r="SU178" s="31"/>
      <c r="SV178" s="31"/>
      <c r="SW178" s="31"/>
      <c r="SX178" s="31"/>
      <c r="SY178" s="31"/>
      <c r="SZ178" s="31"/>
      <c r="TA178" s="31"/>
      <c r="TB178" s="31"/>
      <c r="TC178" s="31"/>
      <c r="TD178" s="31"/>
      <c r="TE178" s="31"/>
      <c r="TF178" s="31"/>
      <c r="TG178" s="31"/>
      <c r="TH178" s="31"/>
      <c r="TI178" s="31"/>
      <c r="TJ178" s="31"/>
      <c r="TK178" s="31"/>
      <c r="TL178" s="31"/>
      <c r="TM178" s="31"/>
      <c r="TN178" s="31"/>
      <c r="TO178" s="31"/>
      <c r="TP178" s="31"/>
      <c r="TQ178" s="31"/>
      <c r="TR178" s="31"/>
      <c r="TS178" s="31"/>
      <c r="TT178" s="31"/>
      <c r="TU178" s="31"/>
      <c r="TV178" s="31"/>
      <c r="TW178" s="31"/>
      <c r="TX178" s="31"/>
      <c r="TY178" s="31"/>
      <c r="TZ178" s="31"/>
      <c r="UA178" s="31"/>
      <c r="UB178" s="31"/>
      <c r="UC178" s="31"/>
      <c r="UD178" s="31"/>
      <c r="UE178" s="31"/>
      <c r="UF178" s="31"/>
      <c r="UG178" s="31"/>
      <c r="UH178" s="31"/>
      <c r="UI178" s="31"/>
      <c r="UJ178" s="31"/>
      <c r="UK178" s="31"/>
      <c r="UL178" s="31"/>
      <c r="UM178" s="31"/>
      <c r="UN178" s="31"/>
      <c r="UO178" s="31"/>
      <c r="UP178" s="31"/>
      <c r="UQ178" s="31"/>
      <c r="UR178" s="31"/>
      <c r="US178" s="31"/>
      <c r="UT178" s="31"/>
      <c r="UU178" s="31"/>
      <c r="UV178" s="31"/>
      <c r="UW178" s="31"/>
      <c r="UX178" s="31"/>
      <c r="UY178" s="31"/>
      <c r="UZ178" s="31"/>
      <c r="VA178" s="31"/>
      <c r="VB178" s="31"/>
      <c r="VC178" s="31"/>
      <c r="VD178" s="31"/>
      <c r="VE178" s="31"/>
      <c r="VF178" s="31"/>
      <c r="VG178" s="31"/>
      <c r="VH178" s="31"/>
      <c r="VI178" s="31"/>
      <c r="VJ178" s="31"/>
      <c r="VK178" s="31"/>
      <c r="VL178" s="31"/>
      <c r="VM178" s="31"/>
      <c r="VN178" s="31"/>
      <c r="VO178" s="31"/>
      <c r="VP178" s="31"/>
      <c r="VQ178" s="31"/>
      <c r="VR178" s="31"/>
      <c r="VS178" s="31"/>
      <c r="VT178" s="31"/>
      <c r="VU178" s="31"/>
      <c r="VV178" s="31"/>
      <c r="VW178" s="31"/>
      <c r="VX178" s="31"/>
      <c r="VY178" s="31"/>
      <c r="VZ178" s="31"/>
      <c r="WA178" s="31"/>
      <c r="WB178" s="31"/>
      <c r="WC178" s="31"/>
      <c r="WD178" s="31"/>
      <c r="WE178" s="31"/>
      <c r="WF178" s="31"/>
      <c r="WG178" s="31"/>
      <c r="WH178" s="31"/>
      <c r="WI178" s="31"/>
      <c r="WJ178" s="31"/>
      <c r="WK178" s="31"/>
      <c r="WL178" s="31"/>
      <c r="WM178" s="31"/>
      <c r="WN178" s="31"/>
      <c r="WO178" s="31"/>
      <c r="WP178" s="31"/>
      <c r="WQ178" s="31"/>
      <c r="WR178" s="31"/>
      <c r="WS178" s="31"/>
      <c r="WT178" s="31"/>
      <c r="WU178" s="31"/>
      <c r="WV178" s="31"/>
      <c r="WW178" s="31"/>
      <c r="WX178" s="31"/>
      <c r="WY178" s="31"/>
      <c r="WZ178" s="31"/>
      <c r="XA178" s="31"/>
      <c r="XB178" s="31"/>
      <c r="XC178" s="31"/>
      <c r="XD178" s="31"/>
      <c r="XE178" s="31"/>
      <c r="XF178" s="31"/>
      <c r="XG178" s="31"/>
      <c r="XH178" s="31"/>
      <c r="XI178" s="31"/>
      <c r="XJ178" s="31"/>
      <c r="XK178" s="31"/>
      <c r="XL178" s="31"/>
      <c r="XM178" s="31"/>
      <c r="XN178" s="31"/>
      <c r="XO178" s="31"/>
      <c r="XP178" s="31"/>
      <c r="XQ178" s="31"/>
      <c r="XR178" s="31"/>
      <c r="XS178" s="31"/>
      <c r="XT178" s="31"/>
      <c r="XU178" s="31"/>
      <c r="XV178" s="31"/>
      <c r="XW178" s="31"/>
      <c r="XX178" s="31"/>
      <c r="XY178" s="31"/>
      <c r="XZ178" s="31"/>
      <c r="YA178" s="31"/>
      <c r="YB178" s="31"/>
      <c r="YC178" s="31"/>
      <c r="YD178" s="31"/>
      <c r="YE178" s="31"/>
      <c r="YF178" s="31"/>
      <c r="YG178" s="31"/>
      <c r="YH178" s="31"/>
      <c r="YI178" s="31"/>
      <c r="YJ178" s="31"/>
      <c r="YK178" s="31"/>
      <c r="YL178" s="31"/>
      <c r="YM178" s="31"/>
      <c r="YN178" s="31"/>
      <c r="YO178" s="31"/>
      <c r="YP178" s="31"/>
      <c r="YQ178" s="31"/>
      <c r="YR178" s="31"/>
      <c r="YS178" s="31"/>
      <c r="YT178" s="31"/>
      <c r="YU178" s="31"/>
      <c r="YV178" s="31"/>
      <c r="YW178" s="31"/>
      <c r="YX178" s="31"/>
      <c r="YY178" s="31"/>
      <c r="YZ178" s="31"/>
      <c r="ZA178" s="31"/>
      <c r="ZB178" s="31"/>
      <c r="ZC178" s="31"/>
      <c r="ZD178" s="31"/>
      <c r="ZE178" s="31"/>
      <c r="ZF178" s="31"/>
      <c r="ZG178" s="31"/>
      <c r="ZH178" s="31"/>
      <c r="ZI178" s="31"/>
      <c r="ZJ178" s="31"/>
      <c r="ZK178" s="31"/>
      <c r="ZL178" s="31"/>
      <c r="ZM178" s="31"/>
      <c r="ZN178" s="31"/>
      <c r="ZO178" s="31"/>
      <c r="ZP178" s="31"/>
      <c r="ZQ178" s="31"/>
      <c r="ZR178" s="31"/>
      <c r="ZS178" s="31"/>
      <c r="ZT178" s="31"/>
      <c r="ZU178" s="31"/>
      <c r="ZV178" s="31"/>
      <c r="ZW178" s="31"/>
      <c r="ZX178" s="31"/>
      <c r="ZY178" s="31"/>
      <c r="ZZ178" s="31"/>
      <c r="AAA178" s="31"/>
      <c r="AAB178" s="31"/>
      <c r="AAC178" s="31"/>
      <c r="AAD178" s="31"/>
      <c r="AAE178" s="31"/>
      <c r="AAF178" s="31"/>
      <c r="AAG178" s="31"/>
      <c r="AAH178" s="31"/>
      <c r="AAI178" s="31"/>
      <c r="AAJ178" s="31"/>
      <c r="AAK178" s="31"/>
      <c r="AAL178" s="31"/>
      <c r="AAM178" s="31"/>
      <c r="AAN178" s="31"/>
      <c r="AAO178" s="31"/>
      <c r="AAP178" s="31"/>
      <c r="AAQ178" s="31"/>
      <c r="AAR178" s="31"/>
      <c r="AAS178" s="31"/>
      <c r="AAT178" s="31"/>
      <c r="AAU178" s="31"/>
      <c r="AAV178" s="31"/>
      <c r="AAW178" s="31"/>
      <c r="AAX178" s="31"/>
      <c r="AAY178" s="31"/>
      <c r="AAZ178" s="31"/>
      <c r="ABA178" s="31"/>
      <c r="ABB178" s="31"/>
      <c r="ABC178" s="31"/>
      <c r="ABD178" s="31"/>
      <c r="ABE178" s="31"/>
      <c r="ABF178" s="31"/>
      <c r="ABG178" s="31"/>
      <c r="ABH178" s="31"/>
      <c r="ABI178" s="31"/>
      <c r="ABJ178" s="31"/>
      <c r="ABK178" s="31"/>
      <c r="ABL178" s="31"/>
      <c r="ABM178" s="31"/>
      <c r="ABN178" s="31"/>
      <c r="ABO178" s="31"/>
      <c r="ABP178" s="31"/>
      <c r="ABQ178" s="31"/>
      <c r="ABR178" s="31"/>
      <c r="ABS178" s="31"/>
      <c r="ABT178" s="31"/>
      <c r="ABU178" s="31"/>
      <c r="ABV178" s="31"/>
      <c r="ABW178" s="31"/>
      <c r="ABX178" s="31"/>
      <c r="ABY178" s="31"/>
      <c r="ABZ178" s="31"/>
      <c r="ACA178" s="31"/>
      <c r="ACB178" s="31"/>
      <c r="ACC178" s="31"/>
      <c r="ACD178" s="31"/>
      <c r="ACE178" s="31"/>
      <c r="ACF178" s="31"/>
      <c r="ACG178" s="31"/>
      <c r="ACH178" s="31"/>
      <c r="ACI178" s="31"/>
      <c r="ACJ178" s="31"/>
      <c r="ACK178" s="31"/>
      <c r="ACL178" s="31"/>
      <c r="ACM178" s="31"/>
      <c r="ACN178" s="31"/>
      <c r="ACO178" s="31"/>
      <c r="ACP178" s="31"/>
      <c r="ACQ178" s="31"/>
      <c r="ACR178" s="31"/>
      <c r="ACS178" s="31"/>
      <c r="ACT178" s="31"/>
      <c r="ACU178" s="31"/>
      <c r="ACV178" s="31"/>
      <c r="ACW178" s="31"/>
      <c r="ACX178" s="31"/>
      <c r="ACY178" s="31"/>
      <c r="ACZ178" s="31"/>
      <c r="ADA178" s="31"/>
      <c r="ADB178" s="31"/>
      <c r="ADC178" s="31"/>
      <c r="ADD178" s="31"/>
      <c r="ADE178" s="31"/>
      <c r="ADF178" s="31"/>
      <c r="ADG178" s="31"/>
      <c r="ADH178" s="31"/>
      <c r="ADI178" s="31"/>
      <c r="ADJ178" s="31"/>
      <c r="ADK178" s="31"/>
      <c r="ADL178" s="31"/>
      <c r="ADM178" s="31"/>
      <c r="ADN178" s="31"/>
      <c r="ADO178" s="31"/>
      <c r="ADP178" s="31"/>
      <c r="ADQ178" s="31"/>
      <c r="ADR178" s="31"/>
      <c r="ADS178" s="31"/>
      <c r="ADT178" s="31"/>
      <c r="ADU178" s="31"/>
      <c r="ADV178" s="31"/>
      <c r="ADW178" s="31"/>
      <c r="ADX178" s="31"/>
      <c r="ADY178" s="31"/>
      <c r="ADZ178" s="31"/>
      <c r="AEA178" s="31"/>
      <c r="AEB178" s="31"/>
      <c r="AEC178" s="31"/>
      <c r="AED178" s="31"/>
      <c r="AEE178" s="31"/>
      <c r="AEF178" s="31"/>
      <c r="AEG178" s="31"/>
      <c r="AEH178" s="31"/>
      <c r="AEI178" s="31"/>
      <c r="AEJ178" s="31"/>
      <c r="AEK178" s="31"/>
      <c r="AEL178" s="31"/>
      <c r="AEM178" s="31"/>
      <c r="AEN178" s="31"/>
      <c r="AEO178" s="31"/>
      <c r="AEP178" s="31"/>
      <c r="AEQ178" s="31"/>
      <c r="AER178" s="31"/>
      <c r="AES178" s="31"/>
      <c r="AET178" s="31"/>
      <c r="AEU178" s="31"/>
      <c r="AEV178" s="31"/>
      <c r="AEW178" s="31"/>
      <c r="AEX178" s="31"/>
      <c r="AEY178" s="31"/>
      <c r="AEZ178" s="31"/>
      <c r="AFA178" s="31"/>
      <c r="AFB178" s="31"/>
      <c r="AFC178" s="31"/>
      <c r="AFD178" s="31"/>
      <c r="AFE178" s="31"/>
      <c r="AFF178" s="31"/>
      <c r="AFG178" s="31"/>
      <c r="AFH178" s="31"/>
      <c r="AFI178" s="31"/>
      <c r="AFJ178" s="31"/>
      <c r="AFK178" s="31"/>
      <c r="AFL178" s="31"/>
      <c r="AFM178" s="31"/>
      <c r="AFN178" s="31"/>
      <c r="AFO178" s="31"/>
      <c r="AFP178" s="31"/>
      <c r="AFQ178" s="31"/>
      <c r="AFR178" s="31"/>
      <c r="AFS178" s="31"/>
      <c r="AFT178" s="31"/>
      <c r="AFU178" s="31"/>
      <c r="AFV178" s="31"/>
      <c r="AFW178" s="31"/>
      <c r="AFX178" s="31"/>
      <c r="AFY178" s="31"/>
      <c r="AFZ178" s="31"/>
      <c r="AGA178" s="31"/>
      <c r="AGB178" s="31"/>
      <c r="AGC178" s="31"/>
      <c r="AGD178" s="31"/>
      <c r="AGE178" s="31"/>
      <c r="AGF178" s="31"/>
      <c r="AGG178" s="31"/>
      <c r="AGH178" s="31"/>
      <c r="AGI178" s="31"/>
      <c r="AGJ178" s="31"/>
      <c r="AGK178" s="31"/>
      <c r="AGL178" s="31"/>
      <c r="AGM178" s="31"/>
      <c r="AGN178" s="31"/>
      <c r="AGO178" s="31"/>
      <c r="AGP178" s="31"/>
      <c r="AGQ178" s="31"/>
      <c r="AGR178" s="31"/>
      <c r="AGS178" s="31"/>
      <c r="AGT178" s="31"/>
      <c r="AGU178" s="31"/>
      <c r="AGV178" s="31"/>
      <c r="AGW178" s="31"/>
      <c r="AGX178" s="31"/>
      <c r="AGY178" s="31"/>
      <c r="AGZ178" s="31"/>
      <c r="AHA178" s="31"/>
      <c r="AHB178" s="31"/>
      <c r="AHC178" s="31"/>
      <c r="AHD178" s="31"/>
      <c r="AHE178" s="31"/>
      <c r="AHF178" s="31"/>
      <c r="AHG178" s="31"/>
      <c r="AHH178" s="31"/>
      <c r="AHI178" s="31"/>
      <c r="AHJ178" s="31"/>
      <c r="AHK178" s="31"/>
      <c r="AHL178" s="31"/>
      <c r="AHM178" s="31"/>
      <c r="AHN178" s="31"/>
      <c r="AHO178" s="31"/>
      <c r="AHP178" s="31"/>
      <c r="AHQ178" s="31"/>
      <c r="AHR178" s="31"/>
      <c r="AHS178" s="31"/>
      <c r="AHT178" s="31"/>
      <c r="AHU178" s="31"/>
      <c r="AHV178" s="31"/>
      <c r="AHW178" s="31"/>
      <c r="AHX178" s="31"/>
      <c r="AHY178" s="31"/>
      <c r="AHZ178" s="31"/>
      <c r="AIA178" s="31"/>
      <c r="AIB178" s="31"/>
      <c r="AIC178" s="31"/>
      <c r="AID178" s="31"/>
      <c r="AIE178" s="31"/>
      <c r="AIF178" s="31"/>
      <c r="AIG178" s="31"/>
      <c r="AIH178" s="31"/>
      <c r="AII178" s="31"/>
      <c r="AIJ178" s="31"/>
      <c r="AIK178" s="31"/>
      <c r="AIL178" s="31"/>
      <c r="AIM178" s="31"/>
      <c r="AIN178" s="31"/>
      <c r="AIO178" s="31"/>
      <c r="AIP178" s="31"/>
      <c r="AIQ178" s="31"/>
      <c r="AIR178" s="31"/>
      <c r="AIS178" s="31"/>
      <c r="AIT178" s="31"/>
      <c r="AIU178" s="31"/>
      <c r="AIV178" s="31"/>
      <c r="AIW178" s="31"/>
      <c r="AIX178" s="31"/>
      <c r="AIY178" s="31"/>
      <c r="AIZ178" s="31"/>
      <c r="AJA178" s="31"/>
      <c r="AJB178" s="31"/>
      <c r="AJC178" s="31"/>
      <c r="AJD178" s="31"/>
      <c r="AJE178" s="31"/>
      <c r="AJF178" s="31"/>
      <c r="AJG178" s="31"/>
      <c r="AJH178" s="31"/>
      <c r="AJI178" s="31"/>
      <c r="AJJ178" s="31"/>
      <c r="AJK178" s="31"/>
      <c r="AJL178" s="31"/>
      <c r="AJM178" s="31"/>
      <c r="AJN178" s="31"/>
      <c r="AJO178" s="31"/>
      <c r="AJP178" s="31"/>
      <c r="AJQ178" s="31"/>
      <c r="AJR178" s="31"/>
      <c r="AJS178" s="31"/>
      <c r="AJT178" s="31"/>
      <c r="AJU178" s="31"/>
      <c r="AJV178" s="31"/>
      <c r="AJW178" s="31"/>
      <c r="AJX178" s="31"/>
      <c r="AJY178" s="31"/>
      <c r="AJZ178" s="31"/>
      <c r="AKA178" s="31"/>
      <c r="AKB178" s="31"/>
      <c r="AKC178" s="31"/>
      <c r="AKD178" s="31"/>
      <c r="AKE178" s="31"/>
      <c r="AKF178" s="31"/>
      <c r="AKG178" s="31"/>
      <c r="AKH178" s="31"/>
      <c r="AKI178" s="31"/>
      <c r="AKJ178" s="31"/>
      <c r="AKK178" s="31"/>
      <c r="AKL178" s="31"/>
      <c r="AKM178" s="31"/>
      <c r="AKN178" s="31"/>
      <c r="AKO178" s="31"/>
      <c r="AKP178" s="31"/>
      <c r="AKQ178" s="31"/>
      <c r="AKR178" s="31"/>
      <c r="AKS178" s="31"/>
      <c r="AKT178" s="31"/>
      <c r="AKU178" s="31"/>
      <c r="AKV178" s="31"/>
      <c r="AKW178" s="31"/>
      <c r="AKX178" s="31"/>
      <c r="AKY178" s="31"/>
      <c r="AKZ178" s="31"/>
      <c r="ALA178" s="31"/>
      <c r="ALB178" s="31"/>
      <c r="ALC178" s="31"/>
      <c r="ALD178" s="31"/>
      <c r="ALE178" s="31"/>
      <c r="ALF178" s="31"/>
      <c r="ALG178" s="31"/>
      <c r="ALH178" s="31"/>
      <c r="ALI178" s="31"/>
      <c r="ALJ178" s="31"/>
      <c r="ALK178" s="31"/>
      <c r="ALL178" s="31"/>
      <c r="ALM178" s="31"/>
      <c r="ALN178" s="31"/>
      <c r="ALO178" s="31"/>
      <c r="ALP178" s="31"/>
      <c r="ALQ178" s="31"/>
      <c r="ALR178" s="31"/>
      <c r="ALS178" s="31"/>
      <c r="ALT178" s="31"/>
      <c r="ALU178" s="31"/>
      <c r="ALV178" s="31"/>
      <c r="ALW178" s="31"/>
      <c r="ALX178" s="31"/>
      <c r="ALY178" s="31"/>
      <c r="ALZ178" s="31"/>
      <c r="AMA178" s="31"/>
      <c r="AMB178" s="31"/>
      <c r="AMC178" s="31"/>
      <c r="AMD178" s="31"/>
      <c r="AME178" s="31"/>
      <c r="AMF178" s="31"/>
      <c r="AMG178" s="31"/>
      <c r="AMH178" s="31"/>
      <c r="AMI178" s="31"/>
      <c r="AMJ178" s="31"/>
      <c r="AMK178" s="31"/>
      <c r="AML178" s="31"/>
      <c r="AMM178" s="31"/>
      <c r="AMN178" s="31"/>
      <c r="AMO178" s="31"/>
      <c r="AMP178" s="31"/>
      <c r="AMQ178" s="31"/>
      <c r="AMR178" s="31"/>
      <c r="AMS178" s="31"/>
      <c r="AMT178" s="31"/>
      <c r="AMU178" s="31"/>
      <c r="AMV178" s="31"/>
      <c r="AMW178" s="31"/>
      <c r="AMX178" s="31"/>
      <c r="AMY178" s="31"/>
      <c r="AMZ178" s="31"/>
      <c r="ANA178" s="31"/>
      <c r="ANB178" s="31"/>
      <c r="ANC178" s="31"/>
      <c r="AND178" s="31"/>
      <c r="ANE178" s="31"/>
      <c r="ANF178" s="31"/>
      <c r="ANG178" s="31"/>
      <c r="ANH178" s="31"/>
      <c r="ANI178" s="31"/>
      <c r="ANJ178" s="31"/>
      <c r="ANK178" s="31"/>
      <c r="ANL178" s="31"/>
      <c r="ANM178" s="31"/>
      <c r="ANN178" s="31"/>
      <c r="ANO178" s="31"/>
      <c r="ANP178" s="31"/>
      <c r="ANQ178" s="31"/>
      <c r="ANR178" s="31"/>
      <c r="ANS178" s="31"/>
      <c r="ANT178" s="31"/>
      <c r="ANU178" s="31"/>
      <c r="ANV178" s="31"/>
      <c r="ANW178" s="31"/>
      <c r="ANX178" s="31"/>
      <c r="ANY178" s="31"/>
      <c r="ANZ178" s="31"/>
      <c r="AOA178" s="31"/>
      <c r="AOB178" s="31"/>
      <c r="AOC178" s="31"/>
      <c r="AOD178" s="31"/>
      <c r="AOE178" s="31"/>
      <c r="AOF178" s="31"/>
      <c r="AOG178" s="31"/>
      <c r="AOH178" s="31"/>
      <c r="AOI178" s="31"/>
      <c r="AOJ178" s="31"/>
      <c r="AOK178" s="31"/>
      <c r="AOL178" s="31"/>
      <c r="AOM178" s="31"/>
      <c r="AON178" s="31"/>
      <c r="AOO178" s="31"/>
      <c r="AOP178" s="31"/>
      <c r="AOQ178" s="31"/>
      <c r="AOR178" s="31"/>
      <c r="AOS178" s="31"/>
      <c r="AOT178" s="31"/>
      <c r="AOU178" s="31"/>
      <c r="AOV178" s="31"/>
      <c r="AOW178" s="31"/>
      <c r="AOX178" s="31"/>
      <c r="AOY178" s="31"/>
      <c r="AOZ178" s="31"/>
      <c r="APA178" s="31"/>
      <c r="APB178" s="31"/>
      <c r="APC178" s="31"/>
      <c r="APD178" s="31"/>
      <c r="APE178" s="31"/>
      <c r="APF178" s="31"/>
      <c r="APG178" s="31"/>
      <c r="APH178" s="31"/>
      <c r="API178" s="31"/>
      <c r="APJ178" s="31"/>
      <c r="APK178" s="31"/>
      <c r="APL178" s="31"/>
      <c r="APM178" s="31"/>
      <c r="APN178" s="31"/>
      <c r="APO178" s="31"/>
      <c r="APP178" s="31"/>
      <c r="APQ178" s="31"/>
      <c r="APR178" s="31"/>
      <c r="APS178" s="31"/>
      <c r="APT178" s="31"/>
      <c r="APU178" s="31"/>
      <c r="APV178" s="31"/>
      <c r="APW178" s="31"/>
      <c r="APX178" s="31"/>
      <c r="APY178" s="31"/>
      <c r="APZ178" s="31"/>
      <c r="AQA178" s="31"/>
      <c r="AQB178" s="31"/>
      <c r="AQC178" s="31"/>
      <c r="AQD178" s="31"/>
      <c r="AQE178" s="31"/>
      <c r="AQF178" s="31"/>
      <c r="AQG178" s="31"/>
      <c r="AQH178" s="31"/>
      <c r="AQI178" s="31"/>
      <c r="AQJ178" s="31"/>
      <c r="AQK178" s="31"/>
      <c r="AQL178" s="31"/>
      <c r="AQM178" s="31"/>
      <c r="AQN178" s="31"/>
      <c r="AQO178" s="31"/>
      <c r="AQP178" s="31"/>
      <c r="AQQ178" s="31"/>
      <c r="AQR178" s="31"/>
      <c r="AQS178" s="31"/>
      <c r="AQT178" s="31"/>
      <c r="AQU178" s="31"/>
      <c r="AQV178" s="31"/>
      <c r="AQW178" s="31"/>
      <c r="AQX178" s="31"/>
      <c r="AQY178" s="31"/>
      <c r="AQZ178" s="31"/>
      <c r="ARA178" s="31"/>
      <c r="ARB178" s="31"/>
      <c r="ARC178" s="31"/>
      <c r="ARD178" s="31"/>
      <c r="ARE178" s="31"/>
      <c r="ARF178" s="31"/>
      <c r="ARG178" s="31"/>
      <c r="ARH178" s="31"/>
      <c r="ARI178" s="31"/>
      <c r="ARJ178" s="31"/>
      <c r="ARK178" s="31"/>
      <c r="ARL178" s="31"/>
      <c r="ARM178" s="31"/>
      <c r="ARN178" s="31"/>
      <c r="ARO178" s="31"/>
      <c r="ARP178" s="31"/>
      <c r="ARQ178" s="31"/>
      <c r="ARR178" s="31"/>
      <c r="ARS178" s="31"/>
      <c r="ART178" s="31"/>
      <c r="ARU178" s="31"/>
      <c r="ARV178" s="31"/>
      <c r="ARW178" s="31"/>
      <c r="ARX178" s="31"/>
      <c r="ARY178" s="31"/>
      <c r="ARZ178" s="31"/>
      <c r="ASA178" s="31"/>
      <c r="ASB178" s="31"/>
      <c r="ASC178" s="31"/>
      <c r="ASD178" s="31"/>
      <c r="ASE178" s="31"/>
      <c r="ASF178" s="31"/>
      <c r="ASG178" s="31"/>
      <c r="ASH178" s="31"/>
      <c r="ASI178" s="31"/>
      <c r="ASJ178" s="31"/>
      <c r="ASK178" s="31"/>
      <c r="ASL178" s="31"/>
      <c r="ASM178" s="31"/>
      <c r="ASN178" s="31"/>
      <c r="ASO178" s="31"/>
      <c r="ASP178" s="31"/>
      <c r="ASQ178" s="31"/>
      <c r="ASR178" s="31"/>
      <c r="ASS178" s="31"/>
      <c r="AST178" s="31"/>
      <c r="ASU178" s="31"/>
      <c r="ASV178" s="31"/>
      <c r="ASW178" s="31"/>
      <c r="ASX178" s="31"/>
      <c r="ASY178" s="31"/>
      <c r="ASZ178" s="31"/>
      <c r="ATA178" s="31"/>
      <c r="ATB178" s="31"/>
      <c r="ATC178" s="31"/>
      <c r="ATD178" s="31"/>
      <c r="ATE178" s="31"/>
    </row>
    <row r="179" spans="1:1201" s="34" customFormat="1" ht="15.75" customHeight="1" x14ac:dyDescent="0.3">
      <c r="A179" s="76"/>
      <c r="B179" s="76"/>
      <c r="C179" s="57" t="s">
        <v>1210</v>
      </c>
      <c r="D179" s="63"/>
      <c r="E179" s="63"/>
      <c r="F179" s="31"/>
      <c r="G179" s="144">
        <v>-1205525.18</v>
      </c>
      <c r="H179" s="647">
        <v>-1229714.3600000001</v>
      </c>
      <c r="I179" s="647">
        <v>-1247193.92</v>
      </c>
      <c r="J179" s="647">
        <v>-1278673.48</v>
      </c>
      <c r="K179" s="647">
        <v>-1290036.71</v>
      </c>
      <c r="L179" s="647">
        <v>-1309487.2</v>
      </c>
      <c r="M179" s="647">
        <v>-1328937.6899999997</v>
      </c>
      <c r="N179" s="647">
        <v>-1348388.1800000002</v>
      </c>
      <c r="O179" s="647">
        <v>-1367838.6700000002</v>
      </c>
      <c r="P179" s="647">
        <v>-1387289.1600000001</v>
      </c>
      <c r="Q179" s="647">
        <v>-1406739.65</v>
      </c>
      <c r="R179" s="647">
        <v>-1426190.14</v>
      </c>
      <c r="S179" s="924">
        <f>SUM('MXD BS'!B56:B62)</f>
        <v>-1333444.6500000001</v>
      </c>
      <c r="T179" s="924">
        <f>SUM('MXD BS'!C56:C62)</f>
        <v>-1348829.0499999998</v>
      </c>
      <c r="U179" s="924">
        <f>SUM('MXD BS'!D56:D62)</f>
        <v>-1364213.4500000002</v>
      </c>
      <c r="V179" s="924">
        <f>SUM('MXD BS'!E56:E62)</f>
        <v>-1379597.8499999999</v>
      </c>
      <c r="W179" s="924">
        <f>SUM('MXD BS'!F56:F62)</f>
        <v>-1394982.25</v>
      </c>
      <c r="X179" s="924">
        <f>SUM('MXD BS'!G56:G62)</f>
        <v>-1410366.65</v>
      </c>
      <c r="Y179" s="924">
        <f>SUM('MXD BS'!H56:H62)</f>
        <v>-1425751.05</v>
      </c>
      <c r="Z179" s="1076">
        <f>SUM('MXD BS'!I56:I62)</f>
        <v>-1441135.45</v>
      </c>
      <c r="AA179" s="1076">
        <f>SUM('MXD BS'!J56:J62)</f>
        <v>-1456519.85</v>
      </c>
      <c r="AB179" s="1076">
        <f>SUM('MXD BS'!K56:K62)</f>
        <v>-1471904.25</v>
      </c>
      <c r="AC179" s="1076">
        <f>SUM('MXD BS'!L56:L62)</f>
        <v>-1490642.56</v>
      </c>
      <c r="AD179" s="1076">
        <f>SUM('MXD BS'!M56:M62)</f>
        <v>-1509380.8699999999</v>
      </c>
      <c r="AE179" s="1076">
        <f>SUM('MXD BS'!N56:N62)</f>
        <v>-1563938.17</v>
      </c>
      <c r="AF179" s="1076">
        <f>SUM('MXD BS'!O56:O62)</f>
        <v>-1582676.4800000002</v>
      </c>
      <c r="AG179" s="1076">
        <f>SUM('MXD BS'!P56:P62)</f>
        <v>-1604176.48</v>
      </c>
      <c r="AH179" s="1076">
        <f>SUM('MXD BS'!Q56:Q62)</f>
        <v>-1625676.48</v>
      </c>
      <c r="AI179" s="1076">
        <f>SUM('MXD BS'!R56:R62)</f>
        <v>-1647176.48</v>
      </c>
      <c r="AJ179" s="1076">
        <f>SUM('MXD BS'!S56:S62)</f>
        <v>-1668676.48</v>
      </c>
      <c r="AK179" s="1076">
        <f>SUM('MXD BS'!T56:T62)</f>
        <v>-1690176.4800000002</v>
      </c>
      <c r="AL179" s="1076">
        <f>SUM('MXD BS'!U56:U62)</f>
        <v>-1711676.4799999997</v>
      </c>
      <c r="AM179" s="1076">
        <f>SUM('MXD BS'!V56:V62)</f>
        <v>-1313767.7400000002</v>
      </c>
      <c r="AN179" s="1076">
        <f>SUM('MXD BS'!W56:W62)</f>
        <v>-1335267.7400000002</v>
      </c>
      <c r="AO179" s="1076">
        <f>SUM('MXD BS'!X56:X62)</f>
        <v>-1358597.2</v>
      </c>
      <c r="AP179" s="647">
        <f t="shared" ref="AP179:BC179" si="314">AO179-AP138-AP140</f>
        <v>-1381755.53</v>
      </c>
      <c r="AQ179" s="647">
        <f t="shared" si="314"/>
        <v>-1404913.86</v>
      </c>
      <c r="AR179" s="1637">
        <f t="shared" si="314"/>
        <v>-1428072.1900000002</v>
      </c>
      <c r="AS179" s="647">
        <f t="shared" si="314"/>
        <v>-1451230.5200000003</v>
      </c>
      <c r="AT179" s="647">
        <f t="shared" si="314"/>
        <v>-1474388.8500000003</v>
      </c>
      <c r="AU179" s="647">
        <f t="shared" si="314"/>
        <v>-1497547.1800000004</v>
      </c>
      <c r="AV179" s="647">
        <f t="shared" si="314"/>
        <v>-1520705.5100000005</v>
      </c>
      <c r="AW179" s="647">
        <f t="shared" si="314"/>
        <v>-1543863.8400000005</v>
      </c>
      <c r="AX179" s="647">
        <f t="shared" si="314"/>
        <v>-1567022.1700000006</v>
      </c>
      <c r="AY179" s="647">
        <f t="shared" si="314"/>
        <v>-1590180.5000000007</v>
      </c>
      <c r="AZ179" s="647">
        <f t="shared" si="314"/>
        <v>-1613338.8300000008</v>
      </c>
      <c r="BA179" s="647">
        <f t="shared" si="314"/>
        <v>-1636497.1600000008</v>
      </c>
      <c r="BB179" s="647">
        <f t="shared" si="314"/>
        <v>-1659655.4900000009</v>
      </c>
      <c r="BC179" s="647">
        <f t="shared" si="314"/>
        <v>-1682813.820000001</v>
      </c>
      <c r="BE179" s="1195">
        <v>-1537848.36</v>
      </c>
      <c r="BF179" s="924">
        <f t="shared" si="312"/>
        <v>-1404913.86</v>
      </c>
      <c r="BG179" s="1195">
        <f t="shared" si="313"/>
        <v>-1682813.820000001</v>
      </c>
      <c r="BH179" s="31"/>
      <c r="BI179" s="31"/>
      <c r="BJ179" s="31"/>
      <c r="BK179" s="31"/>
      <c r="BL179" s="31"/>
      <c r="BM179" s="31"/>
      <c r="BN179" s="31"/>
      <c r="BO179" s="31"/>
      <c r="BP179" s="31"/>
      <c r="BQ179" s="31"/>
      <c r="BR179" s="31"/>
      <c r="BS179" s="31"/>
      <c r="BT179" s="31"/>
      <c r="BU179" s="31"/>
      <c r="BV179" s="31"/>
      <c r="BW179" s="31"/>
      <c r="BX179" s="31"/>
      <c r="BY179" s="31"/>
      <c r="BZ179" s="31"/>
      <c r="CA179" s="31"/>
      <c r="CB179" s="31"/>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c r="EX179" s="31"/>
      <c r="EY179" s="31"/>
      <c r="EZ179" s="31"/>
      <c r="FA179" s="31"/>
      <c r="FB179" s="31"/>
      <c r="FC179" s="31"/>
      <c r="FD179" s="31"/>
      <c r="FE179" s="31"/>
      <c r="FF179" s="31"/>
      <c r="FG179" s="31"/>
      <c r="FH179" s="31"/>
      <c r="FI179" s="31"/>
      <c r="FJ179" s="31"/>
      <c r="FK179" s="31"/>
      <c r="FL179" s="31"/>
      <c r="FM179" s="31"/>
      <c r="FN179" s="31"/>
      <c r="FO179" s="31"/>
      <c r="FP179" s="31"/>
      <c r="FQ179" s="31"/>
      <c r="FR179" s="31"/>
      <c r="FS179" s="31"/>
      <c r="FT179" s="31"/>
      <c r="FU179" s="31"/>
      <c r="FV179" s="31"/>
      <c r="FW179" s="31"/>
      <c r="FX179" s="31"/>
      <c r="FY179" s="31"/>
      <c r="FZ179" s="31"/>
      <c r="GA179" s="31"/>
      <c r="GB179" s="31"/>
      <c r="GC179" s="31"/>
      <c r="GD179" s="31"/>
      <c r="GE179" s="31"/>
      <c r="GF179" s="31"/>
      <c r="GG179" s="31"/>
      <c r="GH179" s="31"/>
      <c r="GI179" s="31"/>
      <c r="GJ179" s="31"/>
      <c r="GK179" s="31"/>
      <c r="GL179" s="31"/>
      <c r="GM179" s="31"/>
      <c r="GN179" s="31"/>
      <c r="GO179" s="31"/>
      <c r="GP179" s="31"/>
      <c r="GQ179" s="31"/>
      <c r="GR179" s="31"/>
      <c r="GS179" s="31"/>
      <c r="GT179" s="31"/>
      <c r="GU179" s="31"/>
      <c r="GV179" s="31"/>
      <c r="GW179" s="31"/>
      <c r="GX179" s="31"/>
      <c r="GY179" s="31"/>
      <c r="GZ179" s="31"/>
      <c r="HA179" s="31"/>
      <c r="HB179" s="31"/>
      <c r="HC179" s="31"/>
      <c r="HD179" s="31"/>
      <c r="HE179" s="31"/>
      <c r="HF179" s="31"/>
      <c r="HG179" s="31"/>
      <c r="HH179" s="31"/>
      <c r="HI179" s="31"/>
      <c r="HJ179" s="31"/>
      <c r="HK179" s="31"/>
      <c r="HL179" s="31"/>
      <c r="HM179" s="31"/>
      <c r="HN179" s="31"/>
      <c r="HO179" s="31"/>
      <c r="HP179" s="31"/>
      <c r="HQ179" s="31"/>
      <c r="HR179" s="31"/>
      <c r="HS179" s="31"/>
      <c r="HT179" s="31"/>
      <c r="HU179" s="31"/>
      <c r="HV179" s="31"/>
      <c r="HW179" s="31"/>
      <c r="HX179" s="31"/>
      <c r="HY179" s="31"/>
      <c r="HZ179" s="31"/>
      <c r="IA179" s="31"/>
      <c r="IB179" s="31"/>
      <c r="IC179" s="31"/>
      <c r="ID179" s="31"/>
      <c r="IE179" s="31"/>
      <c r="IF179" s="31"/>
      <c r="IG179" s="31"/>
      <c r="IH179" s="31"/>
      <c r="II179" s="31"/>
      <c r="IJ179" s="31"/>
      <c r="IK179" s="31"/>
      <c r="IL179" s="31"/>
      <c r="IM179" s="31"/>
      <c r="IN179" s="31"/>
      <c r="IO179" s="31"/>
      <c r="IP179" s="31"/>
      <c r="IQ179" s="31"/>
      <c r="IR179" s="31"/>
      <c r="IS179" s="31"/>
      <c r="IT179" s="31"/>
      <c r="IU179" s="31"/>
      <c r="IV179" s="31"/>
      <c r="IW179" s="31"/>
      <c r="IX179" s="31"/>
      <c r="IY179" s="31"/>
      <c r="IZ179" s="31"/>
      <c r="JA179" s="31"/>
      <c r="JB179" s="31"/>
      <c r="JC179" s="31"/>
      <c r="JD179" s="31"/>
      <c r="JE179" s="31"/>
      <c r="JF179" s="31"/>
      <c r="JG179" s="31"/>
      <c r="JH179" s="31"/>
      <c r="JI179" s="31"/>
      <c r="JJ179" s="31"/>
      <c r="JK179" s="31"/>
      <c r="JL179" s="31"/>
      <c r="JM179" s="31"/>
      <c r="JN179" s="31"/>
      <c r="JO179" s="31"/>
      <c r="JP179" s="31"/>
      <c r="JQ179" s="31"/>
      <c r="JR179" s="31"/>
      <c r="JS179" s="31"/>
      <c r="JT179" s="31"/>
      <c r="JU179" s="31"/>
      <c r="JV179" s="31"/>
      <c r="JW179" s="31"/>
      <c r="JX179" s="31"/>
      <c r="JY179" s="31"/>
      <c r="JZ179" s="31"/>
      <c r="KA179" s="31"/>
      <c r="KB179" s="31"/>
      <c r="KC179" s="31"/>
      <c r="KD179" s="31"/>
      <c r="KE179" s="31"/>
      <c r="KF179" s="31"/>
      <c r="KG179" s="31"/>
      <c r="KH179" s="31"/>
      <c r="KI179" s="31"/>
      <c r="KJ179" s="31"/>
      <c r="KK179" s="31"/>
      <c r="KL179" s="31"/>
      <c r="KM179" s="31"/>
      <c r="KN179" s="31"/>
      <c r="KO179" s="31"/>
      <c r="KP179" s="31"/>
      <c r="KQ179" s="31"/>
      <c r="KR179" s="31"/>
      <c r="KS179" s="31"/>
      <c r="KT179" s="31"/>
      <c r="KU179" s="31"/>
      <c r="KV179" s="31"/>
      <c r="KW179" s="31"/>
      <c r="KX179" s="31"/>
      <c r="KY179" s="31"/>
      <c r="KZ179" s="31"/>
      <c r="LA179" s="31"/>
      <c r="LB179" s="31"/>
      <c r="LC179" s="31"/>
      <c r="LD179" s="31"/>
      <c r="LE179" s="31"/>
      <c r="LF179" s="31"/>
      <c r="LG179" s="31"/>
      <c r="LH179" s="31"/>
      <c r="LI179" s="31"/>
      <c r="LJ179" s="31"/>
      <c r="LK179" s="31"/>
      <c r="LL179" s="31"/>
      <c r="LM179" s="31"/>
      <c r="LN179" s="31"/>
      <c r="LO179" s="31"/>
      <c r="LP179" s="31"/>
      <c r="LQ179" s="31"/>
      <c r="LR179" s="31"/>
      <c r="LS179" s="31"/>
      <c r="LT179" s="31"/>
      <c r="LU179" s="31"/>
      <c r="LV179" s="31"/>
      <c r="LW179" s="31"/>
      <c r="LX179" s="31"/>
      <c r="LY179" s="31"/>
      <c r="LZ179" s="31"/>
      <c r="MA179" s="31"/>
      <c r="MB179" s="31"/>
      <c r="MC179" s="31"/>
      <c r="MD179" s="31"/>
      <c r="ME179" s="31"/>
      <c r="MF179" s="31"/>
      <c r="MG179" s="31"/>
      <c r="MH179" s="31"/>
      <c r="MI179" s="31"/>
      <c r="MJ179" s="31"/>
      <c r="MK179" s="31"/>
      <c r="ML179" s="31"/>
      <c r="MM179" s="31"/>
      <c r="MN179" s="31"/>
      <c r="MO179" s="31"/>
      <c r="MP179" s="31"/>
      <c r="MQ179" s="31"/>
      <c r="MR179" s="31"/>
      <c r="MS179" s="31"/>
      <c r="MT179" s="31"/>
      <c r="MU179" s="31"/>
      <c r="MV179" s="31"/>
      <c r="MW179" s="31"/>
      <c r="MX179" s="31"/>
      <c r="MY179" s="31"/>
      <c r="MZ179" s="31"/>
      <c r="NA179" s="31"/>
      <c r="NB179" s="31"/>
      <c r="NC179" s="31"/>
      <c r="ND179" s="31"/>
      <c r="NE179" s="31"/>
      <c r="NF179" s="31"/>
      <c r="NG179" s="31"/>
      <c r="NH179" s="31"/>
      <c r="NI179" s="31"/>
      <c r="NJ179" s="31"/>
      <c r="NK179" s="31"/>
      <c r="NL179" s="31"/>
      <c r="NM179" s="31"/>
      <c r="NN179" s="31"/>
      <c r="NO179" s="31"/>
      <c r="NP179" s="31"/>
      <c r="NQ179" s="31"/>
      <c r="NR179" s="31"/>
      <c r="NS179" s="31"/>
      <c r="NT179" s="31"/>
      <c r="NU179" s="31"/>
      <c r="NV179" s="31"/>
      <c r="NW179" s="31"/>
      <c r="NX179" s="31"/>
      <c r="NY179" s="31"/>
      <c r="NZ179" s="31"/>
      <c r="OA179" s="31"/>
      <c r="OB179" s="31"/>
      <c r="OC179" s="31"/>
      <c r="OD179" s="31"/>
      <c r="OE179" s="31"/>
      <c r="OF179" s="31"/>
      <c r="OG179" s="31"/>
      <c r="OH179" s="31"/>
      <c r="OI179" s="31"/>
      <c r="OJ179" s="31"/>
      <c r="OK179" s="31"/>
      <c r="OL179" s="31"/>
      <c r="OM179" s="31"/>
      <c r="ON179" s="31"/>
      <c r="OO179" s="31"/>
      <c r="OP179" s="31"/>
      <c r="OQ179" s="31"/>
      <c r="OR179" s="31"/>
      <c r="OS179" s="31"/>
      <c r="OT179" s="31"/>
      <c r="OU179" s="31"/>
      <c r="OV179" s="31"/>
      <c r="OW179" s="31"/>
      <c r="OX179" s="31"/>
      <c r="OY179" s="31"/>
      <c r="OZ179" s="31"/>
      <c r="PA179" s="31"/>
      <c r="PB179" s="31"/>
      <c r="PC179" s="31"/>
      <c r="PD179" s="31"/>
      <c r="PE179" s="31"/>
      <c r="PF179" s="31"/>
      <c r="PG179" s="31"/>
      <c r="PH179" s="31"/>
      <c r="PI179" s="31"/>
      <c r="PJ179" s="31"/>
      <c r="PK179" s="31"/>
      <c r="PL179" s="31"/>
      <c r="PM179" s="31"/>
      <c r="PN179" s="31"/>
      <c r="PO179" s="31"/>
      <c r="PP179" s="31"/>
      <c r="PQ179" s="31"/>
      <c r="PR179" s="31"/>
      <c r="PS179" s="31"/>
      <c r="PT179" s="31"/>
      <c r="PU179" s="31"/>
      <c r="PV179" s="31"/>
      <c r="PW179" s="31"/>
      <c r="PX179" s="31"/>
      <c r="PY179" s="31"/>
      <c r="PZ179" s="31"/>
      <c r="QA179" s="31"/>
      <c r="QB179" s="31"/>
      <c r="QC179" s="31"/>
      <c r="QD179" s="31"/>
      <c r="QE179" s="31"/>
      <c r="QF179" s="31"/>
      <c r="QG179" s="31"/>
      <c r="QH179" s="31"/>
      <c r="QI179" s="31"/>
      <c r="QJ179" s="31"/>
      <c r="QK179" s="31"/>
      <c r="QL179" s="31"/>
      <c r="QM179" s="31"/>
      <c r="QN179" s="31"/>
      <c r="QO179" s="31"/>
      <c r="QP179" s="31"/>
      <c r="QQ179" s="31"/>
      <c r="QR179" s="31"/>
      <c r="QS179" s="31"/>
      <c r="QT179" s="31"/>
      <c r="QU179" s="31"/>
      <c r="QV179" s="31"/>
      <c r="QW179" s="31"/>
      <c r="QX179" s="31"/>
      <c r="QY179" s="31"/>
      <c r="QZ179" s="31"/>
      <c r="RA179" s="31"/>
      <c r="RB179" s="31"/>
      <c r="RC179" s="31"/>
      <c r="RD179" s="31"/>
      <c r="RE179" s="31"/>
      <c r="RF179" s="31"/>
      <c r="RG179" s="31"/>
      <c r="RH179" s="31"/>
      <c r="RI179" s="31"/>
      <c r="RJ179" s="31"/>
      <c r="RK179" s="31"/>
      <c r="RL179" s="31"/>
      <c r="RM179" s="31"/>
      <c r="RN179" s="31"/>
      <c r="RO179" s="31"/>
      <c r="RP179" s="31"/>
      <c r="RQ179" s="31"/>
      <c r="RR179" s="31"/>
      <c r="RS179" s="31"/>
      <c r="RT179" s="31"/>
      <c r="RU179" s="31"/>
      <c r="RV179" s="31"/>
      <c r="RW179" s="31"/>
      <c r="RX179" s="31"/>
      <c r="RY179" s="31"/>
      <c r="RZ179" s="31"/>
      <c r="SA179" s="31"/>
      <c r="SB179" s="31"/>
      <c r="SC179" s="31"/>
      <c r="SD179" s="31"/>
      <c r="SE179" s="31"/>
      <c r="SF179" s="31"/>
      <c r="SG179" s="31"/>
      <c r="SH179" s="31"/>
      <c r="SI179" s="31"/>
      <c r="SJ179" s="31"/>
      <c r="SK179" s="31"/>
      <c r="SL179" s="31"/>
      <c r="SM179" s="31"/>
      <c r="SN179" s="31"/>
      <c r="SO179" s="31"/>
      <c r="SP179" s="31"/>
      <c r="SQ179" s="31"/>
      <c r="SR179" s="31"/>
      <c r="SS179" s="31"/>
      <c r="ST179" s="31"/>
      <c r="SU179" s="31"/>
      <c r="SV179" s="31"/>
      <c r="SW179" s="31"/>
      <c r="SX179" s="31"/>
      <c r="SY179" s="31"/>
      <c r="SZ179" s="31"/>
      <c r="TA179" s="31"/>
      <c r="TB179" s="31"/>
      <c r="TC179" s="31"/>
      <c r="TD179" s="31"/>
      <c r="TE179" s="31"/>
      <c r="TF179" s="31"/>
      <c r="TG179" s="31"/>
      <c r="TH179" s="31"/>
      <c r="TI179" s="31"/>
      <c r="TJ179" s="31"/>
      <c r="TK179" s="31"/>
      <c r="TL179" s="31"/>
      <c r="TM179" s="31"/>
      <c r="TN179" s="31"/>
      <c r="TO179" s="31"/>
      <c r="TP179" s="31"/>
      <c r="TQ179" s="31"/>
      <c r="TR179" s="31"/>
      <c r="TS179" s="31"/>
      <c r="TT179" s="31"/>
      <c r="TU179" s="31"/>
      <c r="TV179" s="31"/>
      <c r="TW179" s="31"/>
      <c r="TX179" s="31"/>
      <c r="TY179" s="31"/>
      <c r="TZ179" s="31"/>
      <c r="UA179" s="31"/>
      <c r="UB179" s="31"/>
      <c r="UC179" s="31"/>
      <c r="UD179" s="31"/>
      <c r="UE179" s="31"/>
      <c r="UF179" s="31"/>
      <c r="UG179" s="31"/>
      <c r="UH179" s="31"/>
      <c r="UI179" s="31"/>
      <c r="UJ179" s="31"/>
      <c r="UK179" s="31"/>
      <c r="UL179" s="31"/>
      <c r="UM179" s="31"/>
      <c r="UN179" s="31"/>
      <c r="UO179" s="31"/>
      <c r="UP179" s="31"/>
      <c r="UQ179" s="31"/>
      <c r="UR179" s="31"/>
      <c r="US179" s="31"/>
      <c r="UT179" s="31"/>
      <c r="UU179" s="31"/>
      <c r="UV179" s="31"/>
      <c r="UW179" s="31"/>
      <c r="UX179" s="31"/>
      <c r="UY179" s="31"/>
      <c r="UZ179" s="31"/>
      <c r="VA179" s="31"/>
      <c r="VB179" s="31"/>
      <c r="VC179" s="31"/>
      <c r="VD179" s="31"/>
      <c r="VE179" s="31"/>
      <c r="VF179" s="31"/>
      <c r="VG179" s="31"/>
      <c r="VH179" s="31"/>
      <c r="VI179" s="31"/>
      <c r="VJ179" s="31"/>
      <c r="VK179" s="31"/>
      <c r="VL179" s="31"/>
      <c r="VM179" s="31"/>
      <c r="VN179" s="31"/>
      <c r="VO179" s="31"/>
      <c r="VP179" s="31"/>
      <c r="VQ179" s="31"/>
      <c r="VR179" s="31"/>
      <c r="VS179" s="31"/>
      <c r="VT179" s="31"/>
      <c r="VU179" s="31"/>
      <c r="VV179" s="31"/>
      <c r="VW179" s="31"/>
      <c r="VX179" s="31"/>
      <c r="VY179" s="31"/>
      <c r="VZ179" s="31"/>
      <c r="WA179" s="31"/>
      <c r="WB179" s="31"/>
      <c r="WC179" s="31"/>
      <c r="WD179" s="31"/>
      <c r="WE179" s="31"/>
      <c r="WF179" s="31"/>
      <c r="WG179" s="31"/>
      <c r="WH179" s="31"/>
      <c r="WI179" s="31"/>
      <c r="WJ179" s="31"/>
      <c r="WK179" s="31"/>
      <c r="WL179" s="31"/>
      <c r="WM179" s="31"/>
      <c r="WN179" s="31"/>
      <c r="WO179" s="31"/>
      <c r="WP179" s="31"/>
      <c r="WQ179" s="31"/>
      <c r="WR179" s="31"/>
      <c r="WS179" s="31"/>
      <c r="WT179" s="31"/>
      <c r="WU179" s="31"/>
      <c r="WV179" s="31"/>
      <c r="WW179" s="31"/>
      <c r="WX179" s="31"/>
      <c r="WY179" s="31"/>
      <c r="WZ179" s="31"/>
      <c r="XA179" s="31"/>
      <c r="XB179" s="31"/>
      <c r="XC179" s="31"/>
      <c r="XD179" s="31"/>
      <c r="XE179" s="31"/>
      <c r="XF179" s="31"/>
      <c r="XG179" s="31"/>
      <c r="XH179" s="31"/>
      <c r="XI179" s="31"/>
      <c r="XJ179" s="31"/>
      <c r="XK179" s="31"/>
      <c r="XL179" s="31"/>
      <c r="XM179" s="31"/>
      <c r="XN179" s="31"/>
      <c r="XO179" s="31"/>
      <c r="XP179" s="31"/>
      <c r="XQ179" s="31"/>
      <c r="XR179" s="31"/>
      <c r="XS179" s="31"/>
      <c r="XT179" s="31"/>
      <c r="XU179" s="31"/>
      <c r="XV179" s="31"/>
      <c r="XW179" s="31"/>
      <c r="XX179" s="31"/>
      <c r="XY179" s="31"/>
      <c r="XZ179" s="31"/>
      <c r="YA179" s="31"/>
      <c r="YB179" s="31"/>
      <c r="YC179" s="31"/>
      <c r="YD179" s="31"/>
      <c r="YE179" s="31"/>
      <c r="YF179" s="31"/>
      <c r="YG179" s="31"/>
      <c r="YH179" s="31"/>
      <c r="YI179" s="31"/>
      <c r="YJ179" s="31"/>
      <c r="YK179" s="31"/>
      <c r="YL179" s="31"/>
      <c r="YM179" s="31"/>
      <c r="YN179" s="31"/>
      <c r="YO179" s="31"/>
      <c r="YP179" s="31"/>
      <c r="YQ179" s="31"/>
      <c r="YR179" s="31"/>
      <c r="YS179" s="31"/>
      <c r="YT179" s="31"/>
      <c r="YU179" s="31"/>
      <c r="YV179" s="31"/>
      <c r="YW179" s="31"/>
      <c r="YX179" s="31"/>
      <c r="YY179" s="31"/>
      <c r="YZ179" s="31"/>
      <c r="ZA179" s="31"/>
      <c r="ZB179" s="31"/>
      <c r="ZC179" s="31"/>
      <c r="ZD179" s="31"/>
      <c r="ZE179" s="31"/>
      <c r="ZF179" s="31"/>
      <c r="ZG179" s="31"/>
      <c r="ZH179" s="31"/>
      <c r="ZI179" s="31"/>
      <c r="ZJ179" s="31"/>
      <c r="ZK179" s="31"/>
      <c r="ZL179" s="31"/>
      <c r="ZM179" s="31"/>
      <c r="ZN179" s="31"/>
      <c r="ZO179" s="31"/>
      <c r="ZP179" s="31"/>
      <c r="ZQ179" s="31"/>
      <c r="ZR179" s="31"/>
      <c r="ZS179" s="31"/>
      <c r="ZT179" s="31"/>
      <c r="ZU179" s="31"/>
      <c r="ZV179" s="31"/>
      <c r="ZW179" s="31"/>
      <c r="ZX179" s="31"/>
      <c r="ZY179" s="31"/>
      <c r="ZZ179" s="31"/>
      <c r="AAA179" s="31"/>
      <c r="AAB179" s="31"/>
      <c r="AAC179" s="31"/>
      <c r="AAD179" s="31"/>
      <c r="AAE179" s="31"/>
      <c r="AAF179" s="31"/>
      <c r="AAG179" s="31"/>
      <c r="AAH179" s="31"/>
      <c r="AAI179" s="31"/>
      <c r="AAJ179" s="31"/>
      <c r="AAK179" s="31"/>
      <c r="AAL179" s="31"/>
      <c r="AAM179" s="31"/>
      <c r="AAN179" s="31"/>
      <c r="AAO179" s="31"/>
      <c r="AAP179" s="31"/>
      <c r="AAQ179" s="31"/>
      <c r="AAR179" s="31"/>
      <c r="AAS179" s="31"/>
      <c r="AAT179" s="31"/>
      <c r="AAU179" s="31"/>
      <c r="AAV179" s="31"/>
      <c r="AAW179" s="31"/>
      <c r="AAX179" s="31"/>
      <c r="AAY179" s="31"/>
      <c r="AAZ179" s="31"/>
      <c r="ABA179" s="31"/>
      <c r="ABB179" s="31"/>
      <c r="ABC179" s="31"/>
      <c r="ABD179" s="31"/>
      <c r="ABE179" s="31"/>
      <c r="ABF179" s="31"/>
      <c r="ABG179" s="31"/>
      <c r="ABH179" s="31"/>
      <c r="ABI179" s="31"/>
      <c r="ABJ179" s="31"/>
      <c r="ABK179" s="31"/>
      <c r="ABL179" s="31"/>
      <c r="ABM179" s="31"/>
      <c r="ABN179" s="31"/>
      <c r="ABO179" s="31"/>
      <c r="ABP179" s="31"/>
      <c r="ABQ179" s="31"/>
      <c r="ABR179" s="31"/>
      <c r="ABS179" s="31"/>
      <c r="ABT179" s="31"/>
      <c r="ABU179" s="31"/>
      <c r="ABV179" s="31"/>
      <c r="ABW179" s="31"/>
      <c r="ABX179" s="31"/>
      <c r="ABY179" s="31"/>
      <c r="ABZ179" s="31"/>
      <c r="ACA179" s="31"/>
      <c r="ACB179" s="31"/>
      <c r="ACC179" s="31"/>
      <c r="ACD179" s="31"/>
      <c r="ACE179" s="31"/>
      <c r="ACF179" s="31"/>
      <c r="ACG179" s="31"/>
      <c r="ACH179" s="31"/>
      <c r="ACI179" s="31"/>
      <c r="ACJ179" s="31"/>
      <c r="ACK179" s="31"/>
      <c r="ACL179" s="31"/>
      <c r="ACM179" s="31"/>
      <c r="ACN179" s="31"/>
      <c r="ACO179" s="31"/>
      <c r="ACP179" s="31"/>
      <c r="ACQ179" s="31"/>
      <c r="ACR179" s="31"/>
      <c r="ACS179" s="31"/>
      <c r="ACT179" s="31"/>
      <c r="ACU179" s="31"/>
      <c r="ACV179" s="31"/>
      <c r="ACW179" s="31"/>
      <c r="ACX179" s="31"/>
      <c r="ACY179" s="31"/>
      <c r="ACZ179" s="31"/>
      <c r="ADA179" s="31"/>
      <c r="ADB179" s="31"/>
      <c r="ADC179" s="31"/>
      <c r="ADD179" s="31"/>
      <c r="ADE179" s="31"/>
      <c r="ADF179" s="31"/>
      <c r="ADG179" s="31"/>
      <c r="ADH179" s="31"/>
      <c r="ADI179" s="31"/>
      <c r="ADJ179" s="31"/>
      <c r="ADK179" s="31"/>
      <c r="ADL179" s="31"/>
      <c r="ADM179" s="31"/>
      <c r="ADN179" s="31"/>
      <c r="ADO179" s="31"/>
      <c r="ADP179" s="31"/>
      <c r="ADQ179" s="31"/>
      <c r="ADR179" s="31"/>
      <c r="ADS179" s="31"/>
      <c r="ADT179" s="31"/>
      <c r="ADU179" s="31"/>
      <c r="ADV179" s="31"/>
      <c r="ADW179" s="31"/>
      <c r="ADX179" s="31"/>
      <c r="ADY179" s="31"/>
      <c r="ADZ179" s="31"/>
      <c r="AEA179" s="31"/>
      <c r="AEB179" s="31"/>
      <c r="AEC179" s="31"/>
      <c r="AED179" s="31"/>
      <c r="AEE179" s="31"/>
      <c r="AEF179" s="31"/>
      <c r="AEG179" s="31"/>
      <c r="AEH179" s="31"/>
      <c r="AEI179" s="31"/>
      <c r="AEJ179" s="31"/>
      <c r="AEK179" s="31"/>
      <c r="AEL179" s="31"/>
      <c r="AEM179" s="31"/>
      <c r="AEN179" s="31"/>
      <c r="AEO179" s="31"/>
      <c r="AEP179" s="31"/>
      <c r="AEQ179" s="31"/>
      <c r="AER179" s="31"/>
      <c r="AES179" s="31"/>
      <c r="AET179" s="31"/>
      <c r="AEU179" s="31"/>
      <c r="AEV179" s="31"/>
      <c r="AEW179" s="31"/>
      <c r="AEX179" s="31"/>
      <c r="AEY179" s="31"/>
      <c r="AEZ179" s="31"/>
      <c r="AFA179" s="31"/>
      <c r="AFB179" s="31"/>
      <c r="AFC179" s="31"/>
      <c r="AFD179" s="31"/>
      <c r="AFE179" s="31"/>
      <c r="AFF179" s="31"/>
      <c r="AFG179" s="31"/>
      <c r="AFH179" s="31"/>
      <c r="AFI179" s="31"/>
      <c r="AFJ179" s="31"/>
      <c r="AFK179" s="31"/>
      <c r="AFL179" s="31"/>
      <c r="AFM179" s="31"/>
      <c r="AFN179" s="31"/>
      <c r="AFO179" s="31"/>
      <c r="AFP179" s="31"/>
      <c r="AFQ179" s="31"/>
      <c r="AFR179" s="31"/>
      <c r="AFS179" s="31"/>
      <c r="AFT179" s="31"/>
      <c r="AFU179" s="31"/>
      <c r="AFV179" s="31"/>
      <c r="AFW179" s="31"/>
      <c r="AFX179" s="31"/>
      <c r="AFY179" s="31"/>
      <c r="AFZ179" s="31"/>
      <c r="AGA179" s="31"/>
      <c r="AGB179" s="31"/>
      <c r="AGC179" s="31"/>
      <c r="AGD179" s="31"/>
      <c r="AGE179" s="31"/>
      <c r="AGF179" s="31"/>
      <c r="AGG179" s="31"/>
      <c r="AGH179" s="31"/>
      <c r="AGI179" s="31"/>
      <c r="AGJ179" s="31"/>
      <c r="AGK179" s="31"/>
      <c r="AGL179" s="31"/>
      <c r="AGM179" s="31"/>
      <c r="AGN179" s="31"/>
      <c r="AGO179" s="31"/>
      <c r="AGP179" s="31"/>
      <c r="AGQ179" s="31"/>
      <c r="AGR179" s="31"/>
      <c r="AGS179" s="31"/>
      <c r="AGT179" s="31"/>
      <c r="AGU179" s="31"/>
      <c r="AGV179" s="31"/>
      <c r="AGW179" s="31"/>
      <c r="AGX179" s="31"/>
      <c r="AGY179" s="31"/>
      <c r="AGZ179" s="31"/>
      <c r="AHA179" s="31"/>
      <c r="AHB179" s="31"/>
      <c r="AHC179" s="31"/>
      <c r="AHD179" s="31"/>
      <c r="AHE179" s="31"/>
      <c r="AHF179" s="31"/>
      <c r="AHG179" s="31"/>
      <c r="AHH179" s="31"/>
      <c r="AHI179" s="31"/>
      <c r="AHJ179" s="31"/>
      <c r="AHK179" s="31"/>
      <c r="AHL179" s="31"/>
      <c r="AHM179" s="31"/>
      <c r="AHN179" s="31"/>
      <c r="AHO179" s="31"/>
      <c r="AHP179" s="31"/>
      <c r="AHQ179" s="31"/>
      <c r="AHR179" s="31"/>
      <c r="AHS179" s="31"/>
      <c r="AHT179" s="31"/>
      <c r="AHU179" s="31"/>
      <c r="AHV179" s="31"/>
      <c r="AHW179" s="31"/>
      <c r="AHX179" s="31"/>
      <c r="AHY179" s="31"/>
      <c r="AHZ179" s="31"/>
      <c r="AIA179" s="31"/>
      <c r="AIB179" s="31"/>
      <c r="AIC179" s="31"/>
      <c r="AID179" s="31"/>
      <c r="AIE179" s="31"/>
      <c r="AIF179" s="31"/>
      <c r="AIG179" s="31"/>
      <c r="AIH179" s="31"/>
      <c r="AII179" s="31"/>
      <c r="AIJ179" s="31"/>
      <c r="AIK179" s="31"/>
      <c r="AIL179" s="31"/>
      <c r="AIM179" s="31"/>
      <c r="AIN179" s="31"/>
      <c r="AIO179" s="31"/>
      <c r="AIP179" s="31"/>
      <c r="AIQ179" s="31"/>
      <c r="AIR179" s="31"/>
      <c r="AIS179" s="31"/>
      <c r="AIT179" s="31"/>
      <c r="AIU179" s="31"/>
      <c r="AIV179" s="31"/>
      <c r="AIW179" s="31"/>
      <c r="AIX179" s="31"/>
      <c r="AIY179" s="31"/>
      <c r="AIZ179" s="31"/>
      <c r="AJA179" s="31"/>
      <c r="AJB179" s="31"/>
      <c r="AJC179" s="31"/>
      <c r="AJD179" s="31"/>
      <c r="AJE179" s="31"/>
      <c r="AJF179" s="31"/>
      <c r="AJG179" s="31"/>
      <c r="AJH179" s="31"/>
      <c r="AJI179" s="31"/>
      <c r="AJJ179" s="31"/>
      <c r="AJK179" s="31"/>
      <c r="AJL179" s="31"/>
      <c r="AJM179" s="31"/>
      <c r="AJN179" s="31"/>
      <c r="AJO179" s="31"/>
      <c r="AJP179" s="31"/>
      <c r="AJQ179" s="31"/>
      <c r="AJR179" s="31"/>
      <c r="AJS179" s="31"/>
      <c r="AJT179" s="31"/>
      <c r="AJU179" s="31"/>
      <c r="AJV179" s="31"/>
      <c r="AJW179" s="31"/>
      <c r="AJX179" s="31"/>
      <c r="AJY179" s="31"/>
      <c r="AJZ179" s="31"/>
      <c r="AKA179" s="31"/>
      <c r="AKB179" s="31"/>
      <c r="AKC179" s="31"/>
      <c r="AKD179" s="31"/>
      <c r="AKE179" s="31"/>
      <c r="AKF179" s="31"/>
      <c r="AKG179" s="31"/>
      <c r="AKH179" s="31"/>
      <c r="AKI179" s="31"/>
      <c r="AKJ179" s="31"/>
      <c r="AKK179" s="31"/>
      <c r="AKL179" s="31"/>
      <c r="AKM179" s="31"/>
      <c r="AKN179" s="31"/>
      <c r="AKO179" s="31"/>
      <c r="AKP179" s="31"/>
      <c r="AKQ179" s="31"/>
      <c r="AKR179" s="31"/>
      <c r="AKS179" s="31"/>
      <c r="AKT179" s="31"/>
      <c r="AKU179" s="31"/>
      <c r="AKV179" s="31"/>
      <c r="AKW179" s="31"/>
      <c r="AKX179" s="31"/>
      <c r="AKY179" s="31"/>
      <c r="AKZ179" s="31"/>
      <c r="ALA179" s="31"/>
      <c r="ALB179" s="31"/>
      <c r="ALC179" s="31"/>
      <c r="ALD179" s="31"/>
      <c r="ALE179" s="31"/>
      <c r="ALF179" s="31"/>
      <c r="ALG179" s="31"/>
      <c r="ALH179" s="31"/>
      <c r="ALI179" s="31"/>
      <c r="ALJ179" s="31"/>
      <c r="ALK179" s="31"/>
      <c r="ALL179" s="31"/>
      <c r="ALM179" s="31"/>
      <c r="ALN179" s="31"/>
      <c r="ALO179" s="31"/>
      <c r="ALP179" s="31"/>
      <c r="ALQ179" s="31"/>
      <c r="ALR179" s="31"/>
      <c r="ALS179" s="31"/>
      <c r="ALT179" s="31"/>
      <c r="ALU179" s="31"/>
      <c r="ALV179" s="31"/>
      <c r="ALW179" s="31"/>
      <c r="ALX179" s="31"/>
      <c r="ALY179" s="31"/>
      <c r="ALZ179" s="31"/>
      <c r="AMA179" s="31"/>
      <c r="AMB179" s="31"/>
      <c r="AMC179" s="31"/>
      <c r="AMD179" s="31"/>
      <c r="AME179" s="31"/>
      <c r="AMF179" s="31"/>
      <c r="AMG179" s="31"/>
      <c r="AMH179" s="31"/>
      <c r="AMI179" s="31"/>
      <c r="AMJ179" s="31"/>
      <c r="AMK179" s="31"/>
      <c r="AML179" s="31"/>
      <c r="AMM179" s="31"/>
      <c r="AMN179" s="31"/>
      <c r="AMO179" s="31"/>
      <c r="AMP179" s="31"/>
      <c r="AMQ179" s="31"/>
      <c r="AMR179" s="31"/>
      <c r="AMS179" s="31"/>
      <c r="AMT179" s="31"/>
      <c r="AMU179" s="31"/>
      <c r="AMV179" s="31"/>
      <c r="AMW179" s="31"/>
      <c r="AMX179" s="31"/>
      <c r="AMY179" s="31"/>
      <c r="AMZ179" s="31"/>
      <c r="ANA179" s="31"/>
      <c r="ANB179" s="31"/>
      <c r="ANC179" s="31"/>
      <c r="AND179" s="31"/>
      <c r="ANE179" s="31"/>
      <c r="ANF179" s="31"/>
      <c r="ANG179" s="31"/>
      <c r="ANH179" s="31"/>
      <c r="ANI179" s="31"/>
      <c r="ANJ179" s="31"/>
      <c r="ANK179" s="31"/>
      <c r="ANL179" s="31"/>
      <c r="ANM179" s="31"/>
      <c r="ANN179" s="31"/>
      <c r="ANO179" s="31"/>
      <c r="ANP179" s="31"/>
      <c r="ANQ179" s="31"/>
      <c r="ANR179" s="31"/>
      <c r="ANS179" s="31"/>
      <c r="ANT179" s="31"/>
      <c r="ANU179" s="31"/>
      <c r="ANV179" s="31"/>
      <c r="ANW179" s="31"/>
      <c r="ANX179" s="31"/>
      <c r="ANY179" s="31"/>
      <c r="ANZ179" s="31"/>
      <c r="AOA179" s="31"/>
      <c r="AOB179" s="31"/>
      <c r="AOC179" s="31"/>
      <c r="AOD179" s="31"/>
      <c r="AOE179" s="31"/>
      <c r="AOF179" s="31"/>
      <c r="AOG179" s="31"/>
      <c r="AOH179" s="31"/>
      <c r="AOI179" s="31"/>
      <c r="AOJ179" s="31"/>
      <c r="AOK179" s="31"/>
      <c r="AOL179" s="31"/>
      <c r="AOM179" s="31"/>
      <c r="AON179" s="31"/>
      <c r="AOO179" s="31"/>
      <c r="AOP179" s="31"/>
      <c r="AOQ179" s="31"/>
      <c r="AOR179" s="31"/>
      <c r="AOS179" s="31"/>
      <c r="AOT179" s="31"/>
      <c r="AOU179" s="31"/>
      <c r="AOV179" s="31"/>
      <c r="AOW179" s="31"/>
      <c r="AOX179" s="31"/>
      <c r="AOY179" s="31"/>
      <c r="AOZ179" s="31"/>
      <c r="APA179" s="31"/>
      <c r="APB179" s="31"/>
      <c r="APC179" s="31"/>
      <c r="APD179" s="31"/>
      <c r="APE179" s="31"/>
      <c r="APF179" s="31"/>
      <c r="APG179" s="31"/>
      <c r="APH179" s="31"/>
      <c r="API179" s="31"/>
      <c r="APJ179" s="31"/>
      <c r="APK179" s="31"/>
      <c r="APL179" s="31"/>
      <c r="APM179" s="31"/>
      <c r="APN179" s="31"/>
      <c r="APO179" s="31"/>
      <c r="APP179" s="31"/>
      <c r="APQ179" s="31"/>
      <c r="APR179" s="31"/>
      <c r="APS179" s="31"/>
      <c r="APT179" s="31"/>
      <c r="APU179" s="31"/>
      <c r="APV179" s="31"/>
      <c r="APW179" s="31"/>
      <c r="APX179" s="31"/>
      <c r="APY179" s="31"/>
      <c r="APZ179" s="31"/>
      <c r="AQA179" s="31"/>
      <c r="AQB179" s="31"/>
      <c r="AQC179" s="31"/>
      <c r="AQD179" s="31"/>
      <c r="AQE179" s="31"/>
      <c r="AQF179" s="31"/>
      <c r="AQG179" s="31"/>
      <c r="AQH179" s="31"/>
      <c r="AQI179" s="31"/>
      <c r="AQJ179" s="31"/>
      <c r="AQK179" s="31"/>
      <c r="AQL179" s="31"/>
      <c r="AQM179" s="31"/>
      <c r="AQN179" s="31"/>
      <c r="AQO179" s="31"/>
      <c r="AQP179" s="31"/>
      <c r="AQQ179" s="31"/>
      <c r="AQR179" s="31"/>
      <c r="AQS179" s="31"/>
      <c r="AQT179" s="31"/>
      <c r="AQU179" s="31"/>
      <c r="AQV179" s="31"/>
      <c r="AQW179" s="31"/>
      <c r="AQX179" s="31"/>
      <c r="AQY179" s="31"/>
      <c r="AQZ179" s="31"/>
      <c r="ARA179" s="31"/>
      <c r="ARB179" s="31"/>
      <c r="ARC179" s="31"/>
      <c r="ARD179" s="31"/>
      <c r="ARE179" s="31"/>
      <c r="ARF179" s="31"/>
      <c r="ARG179" s="31"/>
      <c r="ARH179" s="31"/>
      <c r="ARI179" s="31"/>
      <c r="ARJ179" s="31"/>
      <c r="ARK179" s="31"/>
      <c r="ARL179" s="31"/>
      <c r="ARM179" s="31"/>
      <c r="ARN179" s="31"/>
      <c r="ARO179" s="31"/>
      <c r="ARP179" s="31"/>
      <c r="ARQ179" s="31"/>
      <c r="ARR179" s="31"/>
      <c r="ARS179" s="31"/>
      <c r="ART179" s="31"/>
      <c r="ARU179" s="31"/>
      <c r="ARV179" s="31"/>
      <c r="ARW179" s="31"/>
      <c r="ARX179" s="31"/>
      <c r="ARY179" s="31"/>
      <c r="ARZ179" s="31"/>
      <c r="ASA179" s="31"/>
      <c r="ASB179" s="31"/>
      <c r="ASC179" s="31"/>
      <c r="ASD179" s="31"/>
      <c r="ASE179" s="31"/>
      <c r="ASF179" s="31"/>
      <c r="ASG179" s="31"/>
      <c r="ASH179" s="31"/>
      <c r="ASI179" s="31"/>
      <c r="ASJ179" s="31"/>
      <c r="ASK179" s="31"/>
      <c r="ASL179" s="31"/>
      <c r="ASM179" s="31"/>
      <c r="ASN179" s="31"/>
      <c r="ASO179" s="31"/>
      <c r="ASP179" s="31"/>
      <c r="ASQ179" s="31"/>
      <c r="ASR179" s="31"/>
      <c r="ASS179" s="31"/>
      <c r="AST179" s="31"/>
      <c r="ASU179" s="31"/>
      <c r="ASV179" s="31"/>
      <c r="ASW179" s="31"/>
      <c r="ASX179" s="31"/>
      <c r="ASY179" s="31"/>
      <c r="ASZ179" s="31"/>
      <c r="ATA179" s="31"/>
      <c r="ATB179" s="31"/>
      <c r="ATC179" s="31"/>
      <c r="ATD179" s="31"/>
      <c r="ATE179" s="31"/>
    </row>
    <row r="180" spans="1:1201" s="34" customFormat="1" ht="15.75" customHeight="1" x14ac:dyDescent="0.3">
      <c r="A180" s="76"/>
      <c r="B180" s="76"/>
      <c r="C180" s="57" t="s">
        <v>251</v>
      </c>
      <c r="D180" s="63"/>
      <c r="E180" s="63"/>
      <c r="F180" s="31"/>
      <c r="G180" s="144">
        <v>0</v>
      </c>
      <c r="H180" s="647">
        <v>0</v>
      </c>
      <c r="I180" s="647"/>
      <c r="J180" s="647">
        <v>0</v>
      </c>
      <c r="K180" s="647">
        <v>0</v>
      </c>
      <c r="L180" s="647">
        <v>0</v>
      </c>
      <c r="M180" s="647">
        <v>0</v>
      </c>
      <c r="N180" s="647">
        <v>0</v>
      </c>
      <c r="O180" s="647">
        <v>0</v>
      </c>
      <c r="P180" s="647">
        <v>0</v>
      </c>
      <c r="Q180" s="647">
        <v>0</v>
      </c>
      <c r="R180" s="647">
        <v>0</v>
      </c>
      <c r="S180" s="924"/>
      <c r="T180" s="924"/>
      <c r="U180" s="924">
        <v>0</v>
      </c>
      <c r="V180" s="924">
        <v>0</v>
      </c>
      <c r="W180" s="924">
        <v>0</v>
      </c>
      <c r="X180" s="924">
        <v>0</v>
      </c>
      <c r="Y180" s="924">
        <v>0</v>
      </c>
      <c r="Z180" s="1076">
        <v>0</v>
      </c>
      <c r="AA180" s="1076">
        <v>0</v>
      </c>
      <c r="AB180" s="1076">
        <v>0</v>
      </c>
      <c r="AC180" s="1076">
        <v>0</v>
      </c>
      <c r="AD180" s="1076">
        <v>0</v>
      </c>
      <c r="AE180" s="1076">
        <v>0</v>
      </c>
      <c r="AF180" s="1076">
        <v>0</v>
      </c>
      <c r="AG180" s="1076">
        <v>0</v>
      </c>
      <c r="AH180" s="1076">
        <v>0</v>
      </c>
      <c r="AI180" s="1076">
        <v>0</v>
      </c>
      <c r="AJ180" s="1076">
        <v>0</v>
      </c>
      <c r="AK180" s="1076">
        <v>0</v>
      </c>
      <c r="AL180" s="1076">
        <v>0</v>
      </c>
      <c r="AM180" s="1076">
        <v>0</v>
      </c>
      <c r="AN180" s="1076">
        <v>0</v>
      </c>
      <c r="AO180" s="1076">
        <v>0</v>
      </c>
      <c r="AP180" s="647">
        <v>0</v>
      </c>
      <c r="AQ180" s="647">
        <v>0</v>
      </c>
      <c r="AR180" s="1637">
        <v>0</v>
      </c>
      <c r="AS180" s="647">
        <v>0</v>
      </c>
      <c r="AT180" s="647">
        <v>0</v>
      </c>
      <c r="AU180" s="647">
        <v>0</v>
      </c>
      <c r="AV180" s="647">
        <v>0</v>
      </c>
      <c r="AW180" s="647">
        <v>0</v>
      </c>
      <c r="AX180" s="647">
        <v>0</v>
      </c>
      <c r="AY180" s="647">
        <v>0</v>
      </c>
      <c r="AZ180" s="647">
        <v>0</v>
      </c>
      <c r="BA180" s="647">
        <v>0</v>
      </c>
      <c r="BB180" s="647">
        <v>0</v>
      </c>
      <c r="BC180" s="647">
        <v>0</v>
      </c>
      <c r="BE180" s="1195">
        <v>0</v>
      </c>
      <c r="BF180" s="924">
        <f t="shared" si="312"/>
        <v>0</v>
      </c>
      <c r="BG180" s="1195">
        <f t="shared" si="313"/>
        <v>0</v>
      </c>
      <c r="BH180" s="31"/>
      <c r="BI180" s="31"/>
      <c r="BJ180" s="31"/>
      <c r="BK180" s="31"/>
      <c r="BL180" s="31"/>
      <c r="BM180" s="31"/>
      <c r="BN180" s="31"/>
      <c r="BO180" s="31"/>
      <c r="BP180" s="31"/>
      <c r="BQ180" s="31"/>
      <c r="BR180" s="31"/>
      <c r="BS180" s="31"/>
      <c r="BT180" s="31"/>
      <c r="BU180" s="31"/>
      <c r="BV180" s="31"/>
      <c r="BW180" s="31"/>
      <c r="BX180" s="31"/>
      <c r="BY180" s="31"/>
      <c r="BZ180" s="31"/>
      <c r="CA180" s="31"/>
      <c r="CB180" s="31"/>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c r="EX180" s="31"/>
      <c r="EY180" s="31"/>
      <c r="EZ180" s="31"/>
      <c r="FA180" s="31"/>
      <c r="FB180" s="31"/>
      <c r="FC180" s="31"/>
      <c r="FD180" s="31"/>
      <c r="FE180" s="31"/>
      <c r="FF180" s="31"/>
      <c r="FG180" s="31"/>
      <c r="FH180" s="31"/>
      <c r="FI180" s="31"/>
      <c r="FJ180" s="31"/>
      <c r="FK180" s="31"/>
      <c r="FL180" s="31"/>
      <c r="FM180" s="31"/>
      <c r="FN180" s="31"/>
      <c r="FO180" s="31"/>
      <c r="FP180" s="31"/>
      <c r="FQ180" s="31"/>
      <c r="FR180" s="31"/>
      <c r="FS180" s="31"/>
      <c r="FT180" s="31"/>
      <c r="FU180" s="31"/>
      <c r="FV180" s="31"/>
      <c r="FW180" s="31"/>
      <c r="FX180" s="31"/>
      <c r="FY180" s="31"/>
      <c r="FZ180" s="31"/>
      <c r="GA180" s="31"/>
      <c r="GB180" s="31"/>
      <c r="GC180" s="31"/>
      <c r="GD180" s="31"/>
      <c r="GE180" s="31"/>
      <c r="GF180" s="31"/>
      <c r="GG180" s="31"/>
      <c r="GH180" s="31"/>
      <c r="GI180" s="31"/>
      <c r="GJ180" s="31"/>
      <c r="GK180" s="31"/>
      <c r="GL180" s="31"/>
      <c r="GM180" s="31"/>
      <c r="GN180" s="31"/>
      <c r="GO180" s="31"/>
      <c r="GP180" s="31"/>
      <c r="GQ180" s="31"/>
      <c r="GR180" s="31"/>
      <c r="GS180" s="31"/>
      <c r="GT180" s="31"/>
      <c r="GU180" s="31"/>
      <c r="GV180" s="31"/>
      <c r="GW180" s="31"/>
      <c r="GX180" s="31"/>
      <c r="GY180" s="31"/>
      <c r="GZ180" s="31"/>
      <c r="HA180" s="31"/>
      <c r="HB180" s="31"/>
      <c r="HC180" s="31"/>
      <c r="HD180" s="31"/>
      <c r="HE180" s="31"/>
      <c r="HF180" s="31"/>
      <c r="HG180" s="31"/>
      <c r="HH180" s="31"/>
      <c r="HI180" s="31"/>
      <c r="HJ180" s="31"/>
      <c r="HK180" s="31"/>
      <c r="HL180" s="31"/>
      <c r="HM180" s="31"/>
      <c r="HN180" s="31"/>
      <c r="HO180" s="31"/>
      <c r="HP180" s="31"/>
      <c r="HQ180" s="31"/>
      <c r="HR180" s="31"/>
      <c r="HS180" s="31"/>
      <c r="HT180" s="31"/>
      <c r="HU180" s="31"/>
      <c r="HV180" s="31"/>
      <c r="HW180" s="31"/>
      <c r="HX180" s="31"/>
      <c r="HY180" s="31"/>
      <c r="HZ180" s="31"/>
      <c r="IA180" s="31"/>
      <c r="IB180" s="31"/>
      <c r="IC180" s="31"/>
      <c r="ID180" s="31"/>
      <c r="IE180" s="31"/>
      <c r="IF180" s="31"/>
      <c r="IG180" s="31"/>
      <c r="IH180" s="31"/>
      <c r="II180" s="31"/>
      <c r="IJ180" s="31"/>
      <c r="IK180" s="31"/>
      <c r="IL180" s="31"/>
      <c r="IM180" s="31"/>
      <c r="IN180" s="31"/>
      <c r="IO180" s="31"/>
      <c r="IP180" s="31"/>
      <c r="IQ180" s="31"/>
      <c r="IR180" s="31"/>
      <c r="IS180" s="31"/>
      <c r="IT180" s="31"/>
      <c r="IU180" s="31"/>
      <c r="IV180" s="31"/>
      <c r="IW180" s="31"/>
      <c r="IX180" s="31"/>
      <c r="IY180" s="31"/>
      <c r="IZ180" s="31"/>
      <c r="JA180" s="31"/>
      <c r="JB180" s="31"/>
      <c r="JC180" s="31"/>
      <c r="JD180" s="31"/>
      <c r="JE180" s="31"/>
      <c r="JF180" s="31"/>
      <c r="JG180" s="31"/>
      <c r="JH180" s="31"/>
      <c r="JI180" s="31"/>
      <c r="JJ180" s="31"/>
      <c r="JK180" s="31"/>
      <c r="JL180" s="31"/>
      <c r="JM180" s="31"/>
      <c r="JN180" s="31"/>
      <c r="JO180" s="31"/>
      <c r="JP180" s="31"/>
      <c r="JQ180" s="31"/>
      <c r="JR180" s="31"/>
      <c r="JS180" s="31"/>
      <c r="JT180" s="31"/>
      <c r="JU180" s="31"/>
      <c r="JV180" s="31"/>
      <c r="JW180" s="31"/>
      <c r="JX180" s="31"/>
      <c r="JY180" s="31"/>
      <c r="JZ180" s="31"/>
      <c r="KA180" s="31"/>
      <c r="KB180" s="31"/>
      <c r="KC180" s="31"/>
      <c r="KD180" s="31"/>
      <c r="KE180" s="31"/>
      <c r="KF180" s="31"/>
      <c r="KG180" s="31"/>
      <c r="KH180" s="31"/>
      <c r="KI180" s="31"/>
      <c r="KJ180" s="31"/>
      <c r="KK180" s="31"/>
      <c r="KL180" s="31"/>
      <c r="KM180" s="31"/>
      <c r="KN180" s="31"/>
      <c r="KO180" s="31"/>
      <c r="KP180" s="31"/>
      <c r="KQ180" s="31"/>
      <c r="KR180" s="31"/>
      <c r="KS180" s="31"/>
      <c r="KT180" s="31"/>
      <c r="KU180" s="31"/>
      <c r="KV180" s="31"/>
      <c r="KW180" s="31"/>
      <c r="KX180" s="31"/>
      <c r="KY180" s="31"/>
      <c r="KZ180" s="31"/>
      <c r="LA180" s="31"/>
      <c r="LB180" s="31"/>
      <c r="LC180" s="31"/>
      <c r="LD180" s="31"/>
      <c r="LE180" s="31"/>
      <c r="LF180" s="31"/>
      <c r="LG180" s="31"/>
      <c r="LH180" s="31"/>
      <c r="LI180" s="31"/>
      <c r="LJ180" s="31"/>
      <c r="LK180" s="31"/>
      <c r="LL180" s="31"/>
      <c r="LM180" s="31"/>
      <c r="LN180" s="31"/>
      <c r="LO180" s="31"/>
      <c r="LP180" s="31"/>
      <c r="LQ180" s="31"/>
      <c r="LR180" s="31"/>
      <c r="LS180" s="31"/>
      <c r="LT180" s="31"/>
      <c r="LU180" s="31"/>
      <c r="LV180" s="31"/>
      <c r="LW180" s="31"/>
      <c r="LX180" s="31"/>
      <c r="LY180" s="31"/>
      <c r="LZ180" s="31"/>
      <c r="MA180" s="31"/>
      <c r="MB180" s="31"/>
      <c r="MC180" s="31"/>
      <c r="MD180" s="31"/>
      <c r="ME180" s="31"/>
      <c r="MF180" s="31"/>
      <c r="MG180" s="31"/>
      <c r="MH180" s="31"/>
      <c r="MI180" s="31"/>
      <c r="MJ180" s="31"/>
      <c r="MK180" s="31"/>
      <c r="ML180" s="31"/>
      <c r="MM180" s="31"/>
      <c r="MN180" s="31"/>
      <c r="MO180" s="31"/>
      <c r="MP180" s="31"/>
      <c r="MQ180" s="31"/>
      <c r="MR180" s="31"/>
      <c r="MS180" s="31"/>
      <c r="MT180" s="31"/>
      <c r="MU180" s="31"/>
      <c r="MV180" s="31"/>
      <c r="MW180" s="31"/>
      <c r="MX180" s="31"/>
      <c r="MY180" s="31"/>
      <c r="MZ180" s="31"/>
      <c r="NA180" s="31"/>
      <c r="NB180" s="31"/>
      <c r="NC180" s="31"/>
      <c r="ND180" s="31"/>
      <c r="NE180" s="31"/>
      <c r="NF180" s="31"/>
      <c r="NG180" s="31"/>
      <c r="NH180" s="31"/>
      <c r="NI180" s="31"/>
      <c r="NJ180" s="31"/>
      <c r="NK180" s="31"/>
      <c r="NL180" s="31"/>
      <c r="NM180" s="31"/>
      <c r="NN180" s="31"/>
      <c r="NO180" s="31"/>
      <c r="NP180" s="31"/>
      <c r="NQ180" s="31"/>
      <c r="NR180" s="31"/>
      <c r="NS180" s="31"/>
      <c r="NT180" s="31"/>
      <c r="NU180" s="31"/>
      <c r="NV180" s="31"/>
      <c r="NW180" s="31"/>
      <c r="NX180" s="31"/>
      <c r="NY180" s="31"/>
      <c r="NZ180" s="31"/>
      <c r="OA180" s="31"/>
      <c r="OB180" s="31"/>
      <c r="OC180" s="31"/>
      <c r="OD180" s="31"/>
      <c r="OE180" s="31"/>
      <c r="OF180" s="31"/>
      <c r="OG180" s="31"/>
      <c r="OH180" s="31"/>
      <c r="OI180" s="31"/>
      <c r="OJ180" s="31"/>
      <c r="OK180" s="31"/>
      <c r="OL180" s="31"/>
      <c r="OM180" s="31"/>
      <c r="ON180" s="31"/>
      <c r="OO180" s="31"/>
      <c r="OP180" s="31"/>
      <c r="OQ180" s="31"/>
      <c r="OR180" s="31"/>
      <c r="OS180" s="31"/>
      <c r="OT180" s="31"/>
      <c r="OU180" s="31"/>
      <c r="OV180" s="31"/>
      <c r="OW180" s="31"/>
      <c r="OX180" s="31"/>
      <c r="OY180" s="31"/>
      <c r="OZ180" s="31"/>
      <c r="PA180" s="31"/>
      <c r="PB180" s="31"/>
      <c r="PC180" s="31"/>
      <c r="PD180" s="31"/>
      <c r="PE180" s="31"/>
      <c r="PF180" s="31"/>
      <c r="PG180" s="31"/>
      <c r="PH180" s="31"/>
      <c r="PI180" s="31"/>
      <c r="PJ180" s="31"/>
      <c r="PK180" s="31"/>
      <c r="PL180" s="31"/>
      <c r="PM180" s="31"/>
      <c r="PN180" s="31"/>
      <c r="PO180" s="31"/>
      <c r="PP180" s="31"/>
      <c r="PQ180" s="31"/>
      <c r="PR180" s="31"/>
      <c r="PS180" s="31"/>
      <c r="PT180" s="31"/>
      <c r="PU180" s="31"/>
      <c r="PV180" s="31"/>
      <c r="PW180" s="31"/>
      <c r="PX180" s="31"/>
      <c r="PY180" s="31"/>
      <c r="PZ180" s="31"/>
      <c r="QA180" s="31"/>
      <c r="QB180" s="31"/>
      <c r="QC180" s="31"/>
      <c r="QD180" s="31"/>
      <c r="QE180" s="31"/>
      <c r="QF180" s="31"/>
      <c r="QG180" s="31"/>
      <c r="QH180" s="31"/>
      <c r="QI180" s="31"/>
      <c r="QJ180" s="31"/>
      <c r="QK180" s="31"/>
      <c r="QL180" s="31"/>
      <c r="QM180" s="31"/>
      <c r="QN180" s="31"/>
      <c r="QO180" s="31"/>
      <c r="QP180" s="31"/>
      <c r="QQ180" s="31"/>
      <c r="QR180" s="31"/>
      <c r="QS180" s="31"/>
      <c r="QT180" s="31"/>
      <c r="QU180" s="31"/>
      <c r="QV180" s="31"/>
      <c r="QW180" s="31"/>
      <c r="QX180" s="31"/>
      <c r="QY180" s="31"/>
      <c r="QZ180" s="31"/>
      <c r="RA180" s="31"/>
      <c r="RB180" s="31"/>
      <c r="RC180" s="31"/>
      <c r="RD180" s="31"/>
      <c r="RE180" s="31"/>
      <c r="RF180" s="31"/>
      <c r="RG180" s="31"/>
      <c r="RH180" s="31"/>
      <c r="RI180" s="31"/>
      <c r="RJ180" s="31"/>
      <c r="RK180" s="31"/>
      <c r="RL180" s="31"/>
      <c r="RM180" s="31"/>
      <c r="RN180" s="31"/>
      <c r="RO180" s="31"/>
      <c r="RP180" s="31"/>
      <c r="RQ180" s="31"/>
      <c r="RR180" s="31"/>
      <c r="RS180" s="31"/>
      <c r="RT180" s="31"/>
      <c r="RU180" s="31"/>
      <c r="RV180" s="31"/>
      <c r="RW180" s="31"/>
      <c r="RX180" s="31"/>
      <c r="RY180" s="31"/>
      <c r="RZ180" s="31"/>
      <c r="SA180" s="31"/>
      <c r="SB180" s="31"/>
      <c r="SC180" s="31"/>
      <c r="SD180" s="31"/>
      <c r="SE180" s="31"/>
      <c r="SF180" s="31"/>
      <c r="SG180" s="31"/>
      <c r="SH180" s="31"/>
      <c r="SI180" s="31"/>
      <c r="SJ180" s="31"/>
      <c r="SK180" s="31"/>
      <c r="SL180" s="31"/>
      <c r="SM180" s="31"/>
      <c r="SN180" s="31"/>
      <c r="SO180" s="31"/>
      <c r="SP180" s="31"/>
      <c r="SQ180" s="31"/>
      <c r="SR180" s="31"/>
      <c r="SS180" s="31"/>
      <c r="ST180" s="31"/>
      <c r="SU180" s="31"/>
      <c r="SV180" s="31"/>
      <c r="SW180" s="31"/>
      <c r="SX180" s="31"/>
      <c r="SY180" s="31"/>
      <c r="SZ180" s="31"/>
      <c r="TA180" s="31"/>
      <c r="TB180" s="31"/>
      <c r="TC180" s="31"/>
      <c r="TD180" s="31"/>
      <c r="TE180" s="31"/>
      <c r="TF180" s="31"/>
      <c r="TG180" s="31"/>
      <c r="TH180" s="31"/>
      <c r="TI180" s="31"/>
      <c r="TJ180" s="31"/>
      <c r="TK180" s="31"/>
      <c r="TL180" s="31"/>
      <c r="TM180" s="31"/>
      <c r="TN180" s="31"/>
      <c r="TO180" s="31"/>
      <c r="TP180" s="31"/>
      <c r="TQ180" s="31"/>
      <c r="TR180" s="31"/>
      <c r="TS180" s="31"/>
      <c r="TT180" s="31"/>
      <c r="TU180" s="31"/>
      <c r="TV180" s="31"/>
      <c r="TW180" s="31"/>
      <c r="TX180" s="31"/>
      <c r="TY180" s="31"/>
      <c r="TZ180" s="31"/>
      <c r="UA180" s="31"/>
      <c r="UB180" s="31"/>
      <c r="UC180" s="31"/>
      <c r="UD180" s="31"/>
      <c r="UE180" s="31"/>
      <c r="UF180" s="31"/>
      <c r="UG180" s="31"/>
      <c r="UH180" s="31"/>
      <c r="UI180" s="31"/>
      <c r="UJ180" s="31"/>
      <c r="UK180" s="31"/>
      <c r="UL180" s="31"/>
      <c r="UM180" s="31"/>
      <c r="UN180" s="31"/>
      <c r="UO180" s="31"/>
      <c r="UP180" s="31"/>
      <c r="UQ180" s="31"/>
      <c r="UR180" s="31"/>
      <c r="US180" s="31"/>
      <c r="UT180" s="31"/>
      <c r="UU180" s="31"/>
      <c r="UV180" s="31"/>
      <c r="UW180" s="31"/>
      <c r="UX180" s="31"/>
      <c r="UY180" s="31"/>
      <c r="UZ180" s="31"/>
      <c r="VA180" s="31"/>
      <c r="VB180" s="31"/>
      <c r="VC180" s="31"/>
      <c r="VD180" s="31"/>
      <c r="VE180" s="31"/>
      <c r="VF180" s="31"/>
      <c r="VG180" s="31"/>
      <c r="VH180" s="31"/>
      <c r="VI180" s="31"/>
      <c r="VJ180" s="31"/>
      <c r="VK180" s="31"/>
      <c r="VL180" s="31"/>
      <c r="VM180" s="31"/>
      <c r="VN180" s="31"/>
      <c r="VO180" s="31"/>
      <c r="VP180" s="31"/>
      <c r="VQ180" s="31"/>
      <c r="VR180" s="31"/>
      <c r="VS180" s="31"/>
      <c r="VT180" s="31"/>
      <c r="VU180" s="31"/>
      <c r="VV180" s="31"/>
      <c r="VW180" s="31"/>
      <c r="VX180" s="31"/>
      <c r="VY180" s="31"/>
      <c r="VZ180" s="31"/>
      <c r="WA180" s="31"/>
      <c r="WB180" s="31"/>
      <c r="WC180" s="31"/>
      <c r="WD180" s="31"/>
      <c r="WE180" s="31"/>
      <c r="WF180" s="31"/>
      <c r="WG180" s="31"/>
      <c r="WH180" s="31"/>
      <c r="WI180" s="31"/>
      <c r="WJ180" s="31"/>
      <c r="WK180" s="31"/>
      <c r="WL180" s="31"/>
      <c r="WM180" s="31"/>
      <c r="WN180" s="31"/>
      <c r="WO180" s="31"/>
      <c r="WP180" s="31"/>
      <c r="WQ180" s="31"/>
      <c r="WR180" s="31"/>
      <c r="WS180" s="31"/>
      <c r="WT180" s="31"/>
      <c r="WU180" s="31"/>
      <c r="WV180" s="31"/>
      <c r="WW180" s="31"/>
      <c r="WX180" s="31"/>
      <c r="WY180" s="31"/>
      <c r="WZ180" s="31"/>
      <c r="XA180" s="31"/>
      <c r="XB180" s="31"/>
      <c r="XC180" s="31"/>
      <c r="XD180" s="31"/>
      <c r="XE180" s="31"/>
      <c r="XF180" s="31"/>
      <c r="XG180" s="31"/>
      <c r="XH180" s="31"/>
      <c r="XI180" s="31"/>
      <c r="XJ180" s="31"/>
      <c r="XK180" s="31"/>
      <c r="XL180" s="31"/>
      <c r="XM180" s="31"/>
      <c r="XN180" s="31"/>
      <c r="XO180" s="31"/>
      <c r="XP180" s="31"/>
      <c r="XQ180" s="31"/>
      <c r="XR180" s="31"/>
      <c r="XS180" s="31"/>
      <c r="XT180" s="31"/>
      <c r="XU180" s="31"/>
      <c r="XV180" s="31"/>
      <c r="XW180" s="31"/>
      <c r="XX180" s="31"/>
      <c r="XY180" s="31"/>
      <c r="XZ180" s="31"/>
      <c r="YA180" s="31"/>
      <c r="YB180" s="31"/>
      <c r="YC180" s="31"/>
      <c r="YD180" s="31"/>
      <c r="YE180" s="31"/>
      <c r="YF180" s="31"/>
      <c r="YG180" s="31"/>
      <c r="YH180" s="31"/>
      <c r="YI180" s="31"/>
      <c r="YJ180" s="31"/>
      <c r="YK180" s="31"/>
      <c r="YL180" s="31"/>
      <c r="YM180" s="31"/>
      <c r="YN180" s="31"/>
      <c r="YO180" s="31"/>
      <c r="YP180" s="31"/>
      <c r="YQ180" s="31"/>
      <c r="YR180" s="31"/>
      <c r="YS180" s="31"/>
      <c r="YT180" s="31"/>
      <c r="YU180" s="31"/>
      <c r="YV180" s="31"/>
      <c r="YW180" s="31"/>
      <c r="YX180" s="31"/>
      <c r="YY180" s="31"/>
      <c r="YZ180" s="31"/>
      <c r="ZA180" s="31"/>
      <c r="ZB180" s="31"/>
      <c r="ZC180" s="31"/>
      <c r="ZD180" s="31"/>
      <c r="ZE180" s="31"/>
      <c r="ZF180" s="31"/>
      <c r="ZG180" s="31"/>
      <c r="ZH180" s="31"/>
      <c r="ZI180" s="31"/>
      <c r="ZJ180" s="31"/>
      <c r="ZK180" s="31"/>
      <c r="ZL180" s="31"/>
      <c r="ZM180" s="31"/>
      <c r="ZN180" s="31"/>
      <c r="ZO180" s="31"/>
      <c r="ZP180" s="31"/>
      <c r="ZQ180" s="31"/>
      <c r="ZR180" s="31"/>
      <c r="ZS180" s="31"/>
      <c r="ZT180" s="31"/>
      <c r="ZU180" s="31"/>
      <c r="ZV180" s="31"/>
      <c r="ZW180" s="31"/>
      <c r="ZX180" s="31"/>
      <c r="ZY180" s="31"/>
      <c r="ZZ180" s="31"/>
      <c r="AAA180" s="31"/>
      <c r="AAB180" s="31"/>
      <c r="AAC180" s="31"/>
      <c r="AAD180" s="31"/>
      <c r="AAE180" s="31"/>
      <c r="AAF180" s="31"/>
      <c r="AAG180" s="31"/>
      <c r="AAH180" s="31"/>
      <c r="AAI180" s="31"/>
      <c r="AAJ180" s="31"/>
      <c r="AAK180" s="31"/>
      <c r="AAL180" s="31"/>
      <c r="AAM180" s="31"/>
      <c r="AAN180" s="31"/>
      <c r="AAO180" s="31"/>
      <c r="AAP180" s="31"/>
      <c r="AAQ180" s="31"/>
      <c r="AAR180" s="31"/>
      <c r="AAS180" s="31"/>
      <c r="AAT180" s="31"/>
      <c r="AAU180" s="31"/>
      <c r="AAV180" s="31"/>
      <c r="AAW180" s="31"/>
      <c r="AAX180" s="31"/>
      <c r="AAY180" s="31"/>
      <c r="AAZ180" s="31"/>
      <c r="ABA180" s="31"/>
      <c r="ABB180" s="31"/>
      <c r="ABC180" s="31"/>
      <c r="ABD180" s="31"/>
      <c r="ABE180" s="31"/>
      <c r="ABF180" s="31"/>
      <c r="ABG180" s="31"/>
      <c r="ABH180" s="31"/>
      <c r="ABI180" s="31"/>
      <c r="ABJ180" s="31"/>
      <c r="ABK180" s="31"/>
      <c r="ABL180" s="31"/>
      <c r="ABM180" s="31"/>
      <c r="ABN180" s="31"/>
      <c r="ABO180" s="31"/>
      <c r="ABP180" s="31"/>
      <c r="ABQ180" s="31"/>
      <c r="ABR180" s="31"/>
      <c r="ABS180" s="31"/>
      <c r="ABT180" s="31"/>
      <c r="ABU180" s="31"/>
      <c r="ABV180" s="31"/>
      <c r="ABW180" s="31"/>
      <c r="ABX180" s="31"/>
      <c r="ABY180" s="31"/>
      <c r="ABZ180" s="31"/>
      <c r="ACA180" s="31"/>
      <c r="ACB180" s="31"/>
      <c r="ACC180" s="31"/>
      <c r="ACD180" s="31"/>
      <c r="ACE180" s="31"/>
      <c r="ACF180" s="31"/>
      <c r="ACG180" s="31"/>
      <c r="ACH180" s="31"/>
      <c r="ACI180" s="31"/>
      <c r="ACJ180" s="31"/>
      <c r="ACK180" s="31"/>
      <c r="ACL180" s="31"/>
      <c r="ACM180" s="31"/>
      <c r="ACN180" s="31"/>
      <c r="ACO180" s="31"/>
      <c r="ACP180" s="31"/>
      <c r="ACQ180" s="31"/>
      <c r="ACR180" s="31"/>
      <c r="ACS180" s="31"/>
      <c r="ACT180" s="31"/>
      <c r="ACU180" s="31"/>
      <c r="ACV180" s="31"/>
      <c r="ACW180" s="31"/>
      <c r="ACX180" s="31"/>
      <c r="ACY180" s="31"/>
      <c r="ACZ180" s="31"/>
      <c r="ADA180" s="31"/>
      <c r="ADB180" s="31"/>
      <c r="ADC180" s="31"/>
      <c r="ADD180" s="31"/>
      <c r="ADE180" s="31"/>
      <c r="ADF180" s="31"/>
      <c r="ADG180" s="31"/>
      <c r="ADH180" s="31"/>
      <c r="ADI180" s="31"/>
      <c r="ADJ180" s="31"/>
      <c r="ADK180" s="31"/>
      <c r="ADL180" s="31"/>
      <c r="ADM180" s="31"/>
      <c r="ADN180" s="31"/>
      <c r="ADO180" s="31"/>
      <c r="ADP180" s="31"/>
      <c r="ADQ180" s="31"/>
      <c r="ADR180" s="31"/>
      <c r="ADS180" s="31"/>
      <c r="ADT180" s="31"/>
      <c r="ADU180" s="31"/>
      <c r="ADV180" s="31"/>
      <c r="ADW180" s="31"/>
      <c r="ADX180" s="31"/>
      <c r="ADY180" s="31"/>
      <c r="ADZ180" s="31"/>
      <c r="AEA180" s="31"/>
      <c r="AEB180" s="31"/>
      <c r="AEC180" s="31"/>
      <c r="AED180" s="31"/>
      <c r="AEE180" s="31"/>
      <c r="AEF180" s="31"/>
      <c r="AEG180" s="31"/>
      <c r="AEH180" s="31"/>
      <c r="AEI180" s="31"/>
      <c r="AEJ180" s="31"/>
      <c r="AEK180" s="31"/>
      <c r="AEL180" s="31"/>
      <c r="AEM180" s="31"/>
      <c r="AEN180" s="31"/>
      <c r="AEO180" s="31"/>
      <c r="AEP180" s="31"/>
      <c r="AEQ180" s="31"/>
      <c r="AER180" s="31"/>
      <c r="AES180" s="31"/>
      <c r="AET180" s="31"/>
      <c r="AEU180" s="31"/>
      <c r="AEV180" s="31"/>
      <c r="AEW180" s="31"/>
      <c r="AEX180" s="31"/>
      <c r="AEY180" s="31"/>
      <c r="AEZ180" s="31"/>
      <c r="AFA180" s="31"/>
      <c r="AFB180" s="31"/>
      <c r="AFC180" s="31"/>
      <c r="AFD180" s="31"/>
      <c r="AFE180" s="31"/>
      <c r="AFF180" s="31"/>
      <c r="AFG180" s="31"/>
      <c r="AFH180" s="31"/>
      <c r="AFI180" s="31"/>
      <c r="AFJ180" s="31"/>
      <c r="AFK180" s="31"/>
      <c r="AFL180" s="31"/>
      <c r="AFM180" s="31"/>
      <c r="AFN180" s="31"/>
      <c r="AFO180" s="31"/>
      <c r="AFP180" s="31"/>
      <c r="AFQ180" s="31"/>
      <c r="AFR180" s="31"/>
      <c r="AFS180" s="31"/>
      <c r="AFT180" s="31"/>
      <c r="AFU180" s="31"/>
      <c r="AFV180" s="31"/>
      <c r="AFW180" s="31"/>
      <c r="AFX180" s="31"/>
      <c r="AFY180" s="31"/>
      <c r="AFZ180" s="31"/>
      <c r="AGA180" s="31"/>
      <c r="AGB180" s="31"/>
      <c r="AGC180" s="31"/>
      <c r="AGD180" s="31"/>
      <c r="AGE180" s="31"/>
      <c r="AGF180" s="31"/>
      <c r="AGG180" s="31"/>
      <c r="AGH180" s="31"/>
      <c r="AGI180" s="31"/>
      <c r="AGJ180" s="31"/>
      <c r="AGK180" s="31"/>
      <c r="AGL180" s="31"/>
      <c r="AGM180" s="31"/>
      <c r="AGN180" s="31"/>
      <c r="AGO180" s="31"/>
      <c r="AGP180" s="31"/>
      <c r="AGQ180" s="31"/>
      <c r="AGR180" s="31"/>
      <c r="AGS180" s="31"/>
      <c r="AGT180" s="31"/>
      <c r="AGU180" s="31"/>
      <c r="AGV180" s="31"/>
      <c r="AGW180" s="31"/>
      <c r="AGX180" s="31"/>
      <c r="AGY180" s="31"/>
      <c r="AGZ180" s="31"/>
      <c r="AHA180" s="31"/>
      <c r="AHB180" s="31"/>
      <c r="AHC180" s="31"/>
      <c r="AHD180" s="31"/>
      <c r="AHE180" s="31"/>
      <c r="AHF180" s="31"/>
      <c r="AHG180" s="31"/>
      <c r="AHH180" s="31"/>
      <c r="AHI180" s="31"/>
      <c r="AHJ180" s="31"/>
      <c r="AHK180" s="31"/>
      <c r="AHL180" s="31"/>
      <c r="AHM180" s="31"/>
      <c r="AHN180" s="31"/>
      <c r="AHO180" s="31"/>
      <c r="AHP180" s="31"/>
      <c r="AHQ180" s="31"/>
      <c r="AHR180" s="31"/>
      <c r="AHS180" s="31"/>
      <c r="AHT180" s="31"/>
      <c r="AHU180" s="31"/>
      <c r="AHV180" s="31"/>
      <c r="AHW180" s="31"/>
      <c r="AHX180" s="31"/>
      <c r="AHY180" s="31"/>
      <c r="AHZ180" s="31"/>
      <c r="AIA180" s="31"/>
      <c r="AIB180" s="31"/>
      <c r="AIC180" s="31"/>
      <c r="AID180" s="31"/>
      <c r="AIE180" s="31"/>
      <c r="AIF180" s="31"/>
      <c r="AIG180" s="31"/>
      <c r="AIH180" s="31"/>
      <c r="AII180" s="31"/>
      <c r="AIJ180" s="31"/>
      <c r="AIK180" s="31"/>
      <c r="AIL180" s="31"/>
      <c r="AIM180" s="31"/>
      <c r="AIN180" s="31"/>
      <c r="AIO180" s="31"/>
      <c r="AIP180" s="31"/>
      <c r="AIQ180" s="31"/>
      <c r="AIR180" s="31"/>
      <c r="AIS180" s="31"/>
      <c r="AIT180" s="31"/>
      <c r="AIU180" s="31"/>
      <c r="AIV180" s="31"/>
      <c r="AIW180" s="31"/>
      <c r="AIX180" s="31"/>
      <c r="AIY180" s="31"/>
      <c r="AIZ180" s="31"/>
      <c r="AJA180" s="31"/>
      <c r="AJB180" s="31"/>
      <c r="AJC180" s="31"/>
      <c r="AJD180" s="31"/>
      <c r="AJE180" s="31"/>
      <c r="AJF180" s="31"/>
      <c r="AJG180" s="31"/>
      <c r="AJH180" s="31"/>
      <c r="AJI180" s="31"/>
      <c r="AJJ180" s="31"/>
      <c r="AJK180" s="31"/>
      <c r="AJL180" s="31"/>
      <c r="AJM180" s="31"/>
      <c r="AJN180" s="31"/>
      <c r="AJO180" s="31"/>
      <c r="AJP180" s="31"/>
      <c r="AJQ180" s="31"/>
      <c r="AJR180" s="31"/>
      <c r="AJS180" s="31"/>
      <c r="AJT180" s="31"/>
      <c r="AJU180" s="31"/>
      <c r="AJV180" s="31"/>
      <c r="AJW180" s="31"/>
      <c r="AJX180" s="31"/>
      <c r="AJY180" s="31"/>
      <c r="AJZ180" s="31"/>
      <c r="AKA180" s="31"/>
      <c r="AKB180" s="31"/>
      <c r="AKC180" s="31"/>
      <c r="AKD180" s="31"/>
      <c r="AKE180" s="31"/>
      <c r="AKF180" s="31"/>
      <c r="AKG180" s="31"/>
      <c r="AKH180" s="31"/>
      <c r="AKI180" s="31"/>
      <c r="AKJ180" s="31"/>
      <c r="AKK180" s="31"/>
      <c r="AKL180" s="31"/>
      <c r="AKM180" s="31"/>
      <c r="AKN180" s="31"/>
      <c r="AKO180" s="31"/>
      <c r="AKP180" s="31"/>
      <c r="AKQ180" s="31"/>
      <c r="AKR180" s="31"/>
      <c r="AKS180" s="31"/>
      <c r="AKT180" s="31"/>
      <c r="AKU180" s="31"/>
      <c r="AKV180" s="31"/>
      <c r="AKW180" s="31"/>
      <c r="AKX180" s="31"/>
      <c r="AKY180" s="31"/>
      <c r="AKZ180" s="31"/>
      <c r="ALA180" s="31"/>
      <c r="ALB180" s="31"/>
      <c r="ALC180" s="31"/>
      <c r="ALD180" s="31"/>
      <c r="ALE180" s="31"/>
      <c r="ALF180" s="31"/>
      <c r="ALG180" s="31"/>
      <c r="ALH180" s="31"/>
      <c r="ALI180" s="31"/>
      <c r="ALJ180" s="31"/>
      <c r="ALK180" s="31"/>
      <c r="ALL180" s="31"/>
      <c r="ALM180" s="31"/>
      <c r="ALN180" s="31"/>
      <c r="ALO180" s="31"/>
      <c r="ALP180" s="31"/>
      <c r="ALQ180" s="31"/>
      <c r="ALR180" s="31"/>
      <c r="ALS180" s="31"/>
      <c r="ALT180" s="31"/>
      <c r="ALU180" s="31"/>
      <c r="ALV180" s="31"/>
      <c r="ALW180" s="31"/>
      <c r="ALX180" s="31"/>
      <c r="ALY180" s="31"/>
      <c r="ALZ180" s="31"/>
      <c r="AMA180" s="31"/>
      <c r="AMB180" s="31"/>
      <c r="AMC180" s="31"/>
      <c r="AMD180" s="31"/>
      <c r="AME180" s="31"/>
      <c r="AMF180" s="31"/>
      <c r="AMG180" s="31"/>
      <c r="AMH180" s="31"/>
      <c r="AMI180" s="31"/>
      <c r="AMJ180" s="31"/>
      <c r="AMK180" s="31"/>
      <c r="AML180" s="31"/>
      <c r="AMM180" s="31"/>
      <c r="AMN180" s="31"/>
      <c r="AMO180" s="31"/>
      <c r="AMP180" s="31"/>
      <c r="AMQ180" s="31"/>
      <c r="AMR180" s="31"/>
      <c r="AMS180" s="31"/>
      <c r="AMT180" s="31"/>
      <c r="AMU180" s="31"/>
      <c r="AMV180" s="31"/>
      <c r="AMW180" s="31"/>
      <c r="AMX180" s="31"/>
      <c r="AMY180" s="31"/>
      <c r="AMZ180" s="31"/>
      <c r="ANA180" s="31"/>
      <c r="ANB180" s="31"/>
      <c r="ANC180" s="31"/>
      <c r="AND180" s="31"/>
      <c r="ANE180" s="31"/>
      <c r="ANF180" s="31"/>
      <c r="ANG180" s="31"/>
      <c r="ANH180" s="31"/>
      <c r="ANI180" s="31"/>
      <c r="ANJ180" s="31"/>
      <c r="ANK180" s="31"/>
      <c r="ANL180" s="31"/>
      <c r="ANM180" s="31"/>
      <c r="ANN180" s="31"/>
      <c r="ANO180" s="31"/>
      <c r="ANP180" s="31"/>
      <c r="ANQ180" s="31"/>
      <c r="ANR180" s="31"/>
      <c r="ANS180" s="31"/>
      <c r="ANT180" s="31"/>
      <c r="ANU180" s="31"/>
      <c r="ANV180" s="31"/>
      <c r="ANW180" s="31"/>
      <c r="ANX180" s="31"/>
      <c r="ANY180" s="31"/>
      <c r="ANZ180" s="31"/>
      <c r="AOA180" s="31"/>
      <c r="AOB180" s="31"/>
      <c r="AOC180" s="31"/>
      <c r="AOD180" s="31"/>
      <c r="AOE180" s="31"/>
      <c r="AOF180" s="31"/>
      <c r="AOG180" s="31"/>
      <c r="AOH180" s="31"/>
      <c r="AOI180" s="31"/>
      <c r="AOJ180" s="31"/>
      <c r="AOK180" s="31"/>
      <c r="AOL180" s="31"/>
      <c r="AOM180" s="31"/>
      <c r="AON180" s="31"/>
      <c r="AOO180" s="31"/>
      <c r="AOP180" s="31"/>
      <c r="AOQ180" s="31"/>
      <c r="AOR180" s="31"/>
      <c r="AOS180" s="31"/>
      <c r="AOT180" s="31"/>
      <c r="AOU180" s="31"/>
      <c r="AOV180" s="31"/>
      <c r="AOW180" s="31"/>
      <c r="AOX180" s="31"/>
      <c r="AOY180" s="31"/>
      <c r="AOZ180" s="31"/>
      <c r="APA180" s="31"/>
      <c r="APB180" s="31"/>
      <c r="APC180" s="31"/>
      <c r="APD180" s="31"/>
      <c r="APE180" s="31"/>
      <c r="APF180" s="31"/>
      <c r="APG180" s="31"/>
      <c r="APH180" s="31"/>
      <c r="API180" s="31"/>
      <c r="APJ180" s="31"/>
      <c r="APK180" s="31"/>
      <c r="APL180" s="31"/>
      <c r="APM180" s="31"/>
      <c r="APN180" s="31"/>
      <c r="APO180" s="31"/>
      <c r="APP180" s="31"/>
      <c r="APQ180" s="31"/>
      <c r="APR180" s="31"/>
      <c r="APS180" s="31"/>
      <c r="APT180" s="31"/>
      <c r="APU180" s="31"/>
      <c r="APV180" s="31"/>
      <c r="APW180" s="31"/>
      <c r="APX180" s="31"/>
      <c r="APY180" s="31"/>
      <c r="APZ180" s="31"/>
      <c r="AQA180" s="31"/>
      <c r="AQB180" s="31"/>
      <c r="AQC180" s="31"/>
      <c r="AQD180" s="31"/>
      <c r="AQE180" s="31"/>
      <c r="AQF180" s="31"/>
      <c r="AQG180" s="31"/>
      <c r="AQH180" s="31"/>
      <c r="AQI180" s="31"/>
      <c r="AQJ180" s="31"/>
      <c r="AQK180" s="31"/>
      <c r="AQL180" s="31"/>
      <c r="AQM180" s="31"/>
      <c r="AQN180" s="31"/>
      <c r="AQO180" s="31"/>
      <c r="AQP180" s="31"/>
      <c r="AQQ180" s="31"/>
      <c r="AQR180" s="31"/>
      <c r="AQS180" s="31"/>
      <c r="AQT180" s="31"/>
      <c r="AQU180" s="31"/>
      <c r="AQV180" s="31"/>
      <c r="AQW180" s="31"/>
      <c r="AQX180" s="31"/>
      <c r="AQY180" s="31"/>
      <c r="AQZ180" s="31"/>
      <c r="ARA180" s="31"/>
      <c r="ARB180" s="31"/>
      <c r="ARC180" s="31"/>
      <c r="ARD180" s="31"/>
      <c r="ARE180" s="31"/>
      <c r="ARF180" s="31"/>
      <c r="ARG180" s="31"/>
      <c r="ARH180" s="31"/>
      <c r="ARI180" s="31"/>
      <c r="ARJ180" s="31"/>
      <c r="ARK180" s="31"/>
      <c r="ARL180" s="31"/>
      <c r="ARM180" s="31"/>
      <c r="ARN180" s="31"/>
      <c r="ARO180" s="31"/>
      <c r="ARP180" s="31"/>
      <c r="ARQ180" s="31"/>
      <c r="ARR180" s="31"/>
      <c r="ARS180" s="31"/>
      <c r="ART180" s="31"/>
      <c r="ARU180" s="31"/>
      <c r="ARV180" s="31"/>
      <c r="ARW180" s="31"/>
      <c r="ARX180" s="31"/>
      <c r="ARY180" s="31"/>
      <c r="ARZ180" s="31"/>
      <c r="ASA180" s="31"/>
      <c r="ASB180" s="31"/>
      <c r="ASC180" s="31"/>
      <c r="ASD180" s="31"/>
      <c r="ASE180" s="31"/>
      <c r="ASF180" s="31"/>
      <c r="ASG180" s="31"/>
      <c r="ASH180" s="31"/>
      <c r="ASI180" s="31"/>
      <c r="ASJ180" s="31"/>
      <c r="ASK180" s="31"/>
      <c r="ASL180" s="31"/>
      <c r="ASM180" s="31"/>
      <c r="ASN180" s="31"/>
      <c r="ASO180" s="31"/>
      <c r="ASP180" s="31"/>
      <c r="ASQ180" s="31"/>
      <c r="ASR180" s="31"/>
      <c r="ASS180" s="31"/>
      <c r="AST180" s="31"/>
      <c r="ASU180" s="31"/>
      <c r="ASV180" s="31"/>
      <c r="ASW180" s="31"/>
      <c r="ASX180" s="31"/>
      <c r="ASY180" s="31"/>
      <c r="ASZ180" s="31"/>
      <c r="ATA180" s="31"/>
      <c r="ATB180" s="31"/>
      <c r="ATC180" s="31"/>
      <c r="ATD180" s="31"/>
      <c r="ATE180" s="31"/>
    </row>
    <row r="181" spans="1:1201" s="34" customFormat="1" ht="15.75" customHeight="1" x14ac:dyDescent="0.3">
      <c r="A181" s="76"/>
      <c r="B181" s="76"/>
      <c r="C181" s="57" t="s">
        <v>1295</v>
      </c>
      <c r="D181" s="63"/>
      <c r="E181" s="63"/>
      <c r="F181" s="31"/>
      <c r="G181" s="144"/>
      <c r="H181" s="647"/>
      <c r="I181" s="647"/>
      <c r="J181" s="647"/>
      <c r="K181" s="647"/>
      <c r="L181" s="647"/>
      <c r="M181" s="647"/>
      <c r="N181" s="647"/>
      <c r="O181" s="647"/>
      <c r="P181" s="647"/>
      <c r="Q181" s="647"/>
      <c r="R181" s="647"/>
      <c r="S181" s="924"/>
      <c r="T181" s="924"/>
      <c r="U181" s="924"/>
      <c r="V181" s="924"/>
      <c r="W181" s="924"/>
      <c r="X181" s="924"/>
      <c r="Y181" s="924"/>
      <c r="Z181" s="1076"/>
      <c r="AA181" s="1076"/>
      <c r="AB181" s="1076"/>
      <c r="AC181" s="1076"/>
      <c r="AD181" s="1076"/>
      <c r="AE181" s="1076">
        <f>'MXD BS'!N74</f>
        <v>0</v>
      </c>
      <c r="AF181" s="1076">
        <f>'MXD BS'!O74</f>
        <v>0</v>
      </c>
      <c r="AG181" s="1076">
        <f>'MXD BS'!P74</f>
        <v>0</v>
      </c>
      <c r="AH181" s="1076">
        <f>'MXD BS'!Q74</f>
        <v>0</v>
      </c>
      <c r="AI181" s="1076">
        <f>'MXD BS'!R74</f>
        <v>0</v>
      </c>
      <c r="AJ181" s="1076">
        <f>'MXD BS'!S74</f>
        <v>0</v>
      </c>
      <c r="AK181" s="1076">
        <f>'MXD BS'!T74</f>
        <v>115950.27</v>
      </c>
      <c r="AL181" s="1076">
        <f>'MXD BS'!U74</f>
        <v>115950.27</v>
      </c>
      <c r="AM181" s="1076">
        <f>'MXD BS'!V74</f>
        <v>115950.27</v>
      </c>
      <c r="AN181" s="1076">
        <f>'MXD BS'!W74</f>
        <v>115950.27</v>
      </c>
      <c r="AO181" s="1076">
        <f>'MXD BS'!X74</f>
        <v>115950.27</v>
      </c>
      <c r="AP181" s="647">
        <f t="shared" ref="AP181:BC181" si="315">AO181</f>
        <v>115950.27</v>
      </c>
      <c r="AQ181" s="647">
        <f t="shared" si="315"/>
        <v>115950.27</v>
      </c>
      <c r="AR181" s="1637">
        <f t="shared" si="315"/>
        <v>115950.27</v>
      </c>
      <c r="AS181" s="647">
        <f t="shared" si="315"/>
        <v>115950.27</v>
      </c>
      <c r="AT181" s="647">
        <f t="shared" si="315"/>
        <v>115950.27</v>
      </c>
      <c r="AU181" s="647">
        <f t="shared" si="315"/>
        <v>115950.27</v>
      </c>
      <c r="AV181" s="647">
        <f t="shared" si="315"/>
        <v>115950.27</v>
      </c>
      <c r="AW181" s="647">
        <f t="shared" si="315"/>
        <v>115950.27</v>
      </c>
      <c r="AX181" s="647">
        <f t="shared" si="315"/>
        <v>115950.27</v>
      </c>
      <c r="AY181" s="647">
        <f t="shared" si="315"/>
        <v>115950.27</v>
      </c>
      <c r="AZ181" s="647">
        <f t="shared" si="315"/>
        <v>115950.27</v>
      </c>
      <c r="BA181" s="647">
        <f t="shared" si="315"/>
        <v>115950.27</v>
      </c>
      <c r="BB181" s="647">
        <f t="shared" si="315"/>
        <v>115950.27</v>
      </c>
      <c r="BC181" s="647">
        <f t="shared" si="315"/>
        <v>115950.27</v>
      </c>
      <c r="BE181" s="1195"/>
      <c r="BF181" s="924">
        <f t="shared" si="312"/>
        <v>115950.27</v>
      </c>
      <c r="BG181" s="1195">
        <f t="shared" si="313"/>
        <v>115950.27</v>
      </c>
      <c r="BH181" s="31"/>
      <c r="BI181" s="31"/>
      <c r="BJ181" s="31"/>
      <c r="BK181" s="31"/>
      <c r="BL181" s="31"/>
      <c r="BM181" s="31"/>
      <c r="BN181" s="31"/>
      <c r="BO181" s="31"/>
      <c r="BP181" s="31"/>
      <c r="BQ181" s="31"/>
      <c r="BR181" s="31"/>
      <c r="BS181" s="31"/>
      <c r="BT181" s="31"/>
      <c r="BU181" s="31"/>
      <c r="BV181" s="31"/>
      <c r="BW181" s="31"/>
      <c r="BX181" s="31"/>
      <c r="BY181" s="31"/>
      <c r="BZ181" s="31"/>
      <c r="CA181" s="31"/>
      <c r="CB181" s="31"/>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c r="EX181" s="31"/>
      <c r="EY181" s="31"/>
      <c r="EZ181" s="31"/>
      <c r="FA181" s="31"/>
      <c r="FB181" s="31"/>
      <c r="FC181" s="31"/>
      <c r="FD181" s="31"/>
      <c r="FE181" s="31"/>
      <c r="FF181" s="31"/>
      <c r="FG181" s="31"/>
      <c r="FH181" s="31"/>
      <c r="FI181" s="31"/>
      <c r="FJ181" s="31"/>
      <c r="FK181" s="31"/>
      <c r="FL181" s="31"/>
      <c r="FM181" s="31"/>
      <c r="FN181" s="31"/>
      <c r="FO181" s="31"/>
      <c r="FP181" s="31"/>
      <c r="FQ181" s="31"/>
      <c r="FR181" s="31"/>
      <c r="FS181" s="31"/>
      <c r="FT181" s="31"/>
      <c r="FU181" s="31"/>
      <c r="FV181" s="31"/>
      <c r="FW181" s="31"/>
      <c r="FX181" s="31"/>
      <c r="FY181" s="31"/>
      <c r="FZ181" s="31"/>
      <c r="GA181" s="31"/>
      <c r="GB181" s="31"/>
      <c r="GC181" s="31"/>
      <c r="GD181" s="31"/>
      <c r="GE181" s="31"/>
      <c r="GF181" s="31"/>
      <c r="GG181" s="31"/>
      <c r="GH181" s="31"/>
      <c r="GI181" s="31"/>
      <c r="GJ181" s="31"/>
      <c r="GK181" s="31"/>
      <c r="GL181" s="31"/>
      <c r="GM181" s="31"/>
      <c r="GN181" s="31"/>
      <c r="GO181" s="31"/>
      <c r="GP181" s="31"/>
      <c r="GQ181" s="31"/>
      <c r="GR181" s="31"/>
      <c r="GS181" s="31"/>
      <c r="GT181" s="31"/>
      <c r="GU181" s="31"/>
      <c r="GV181" s="31"/>
      <c r="GW181" s="31"/>
      <c r="GX181" s="31"/>
      <c r="GY181" s="31"/>
      <c r="GZ181" s="31"/>
      <c r="HA181" s="31"/>
      <c r="HB181" s="31"/>
      <c r="HC181" s="31"/>
      <c r="HD181" s="31"/>
      <c r="HE181" s="31"/>
      <c r="HF181" s="31"/>
      <c r="HG181" s="31"/>
      <c r="HH181" s="31"/>
      <c r="HI181" s="31"/>
      <c r="HJ181" s="31"/>
      <c r="HK181" s="31"/>
      <c r="HL181" s="31"/>
      <c r="HM181" s="31"/>
      <c r="HN181" s="31"/>
      <c r="HO181" s="31"/>
      <c r="HP181" s="31"/>
      <c r="HQ181" s="31"/>
      <c r="HR181" s="31"/>
      <c r="HS181" s="31"/>
      <c r="HT181" s="31"/>
      <c r="HU181" s="31"/>
      <c r="HV181" s="31"/>
      <c r="HW181" s="31"/>
      <c r="HX181" s="31"/>
      <c r="HY181" s="31"/>
      <c r="HZ181" s="31"/>
      <c r="IA181" s="31"/>
      <c r="IB181" s="31"/>
      <c r="IC181" s="31"/>
      <c r="ID181" s="31"/>
      <c r="IE181" s="31"/>
      <c r="IF181" s="31"/>
      <c r="IG181" s="31"/>
      <c r="IH181" s="31"/>
      <c r="II181" s="31"/>
      <c r="IJ181" s="31"/>
      <c r="IK181" s="31"/>
      <c r="IL181" s="31"/>
      <c r="IM181" s="31"/>
      <c r="IN181" s="31"/>
      <c r="IO181" s="31"/>
      <c r="IP181" s="31"/>
      <c r="IQ181" s="31"/>
      <c r="IR181" s="31"/>
      <c r="IS181" s="31"/>
      <c r="IT181" s="31"/>
      <c r="IU181" s="31"/>
      <c r="IV181" s="31"/>
      <c r="IW181" s="31"/>
      <c r="IX181" s="31"/>
      <c r="IY181" s="31"/>
      <c r="IZ181" s="31"/>
      <c r="JA181" s="31"/>
      <c r="JB181" s="31"/>
      <c r="JC181" s="31"/>
      <c r="JD181" s="31"/>
      <c r="JE181" s="31"/>
      <c r="JF181" s="31"/>
      <c r="JG181" s="31"/>
      <c r="JH181" s="31"/>
      <c r="JI181" s="31"/>
      <c r="JJ181" s="31"/>
      <c r="JK181" s="31"/>
      <c r="JL181" s="31"/>
      <c r="JM181" s="31"/>
      <c r="JN181" s="31"/>
      <c r="JO181" s="31"/>
      <c r="JP181" s="31"/>
      <c r="JQ181" s="31"/>
      <c r="JR181" s="31"/>
      <c r="JS181" s="31"/>
      <c r="JT181" s="31"/>
      <c r="JU181" s="31"/>
      <c r="JV181" s="31"/>
      <c r="JW181" s="31"/>
      <c r="JX181" s="31"/>
      <c r="JY181" s="31"/>
      <c r="JZ181" s="31"/>
      <c r="KA181" s="31"/>
      <c r="KB181" s="31"/>
      <c r="KC181" s="31"/>
      <c r="KD181" s="31"/>
      <c r="KE181" s="31"/>
      <c r="KF181" s="31"/>
      <c r="KG181" s="31"/>
      <c r="KH181" s="31"/>
      <c r="KI181" s="31"/>
      <c r="KJ181" s="31"/>
      <c r="KK181" s="31"/>
      <c r="KL181" s="31"/>
      <c r="KM181" s="31"/>
      <c r="KN181" s="31"/>
      <c r="KO181" s="31"/>
      <c r="KP181" s="31"/>
      <c r="KQ181" s="31"/>
      <c r="KR181" s="31"/>
      <c r="KS181" s="31"/>
      <c r="KT181" s="31"/>
      <c r="KU181" s="31"/>
      <c r="KV181" s="31"/>
      <c r="KW181" s="31"/>
      <c r="KX181" s="31"/>
      <c r="KY181" s="31"/>
      <c r="KZ181" s="31"/>
      <c r="LA181" s="31"/>
      <c r="LB181" s="31"/>
      <c r="LC181" s="31"/>
      <c r="LD181" s="31"/>
      <c r="LE181" s="31"/>
      <c r="LF181" s="31"/>
      <c r="LG181" s="31"/>
      <c r="LH181" s="31"/>
      <c r="LI181" s="31"/>
      <c r="LJ181" s="31"/>
      <c r="LK181" s="31"/>
      <c r="LL181" s="31"/>
      <c r="LM181" s="31"/>
      <c r="LN181" s="31"/>
      <c r="LO181" s="31"/>
      <c r="LP181" s="31"/>
      <c r="LQ181" s="31"/>
      <c r="LR181" s="31"/>
      <c r="LS181" s="31"/>
      <c r="LT181" s="31"/>
      <c r="LU181" s="31"/>
      <c r="LV181" s="31"/>
      <c r="LW181" s="31"/>
      <c r="LX181" s="31"/>
      <c r="LY181" s="31"/>
      <c r="LZ181" s="31"/>
      <c r="MA181" s="31"/>
      <c r="MB181" s="31"/>
      <c r="MC181" s="31"/>
      <c r="MD181" s="31"/>
      <c r="ME181" s="31"/>
      <c r="MF181" s="31"/>
      <c r="MG181" s="31"/>
      <c r="MH181" s="31"/>
      <c r="MI181" s="31"/>
      <c r="MJ181" s="31"/>
      <c r="MK181" s="31"/>
      <c r="ML181" s="31"/>
      <c r="MM181" s="31"/>
      <c r="MN181" s="31"/>
      <c r="MO181" s="31"/>
      <c r="MP181" s="31"/>
      <c r="MQ181" s="31"/>
      <c r="MR181" s="31"/>
      <c r="MS181" s="31"/>
      <c r="MT181" s="31"/>
      <c r="MU181" s="31"/>
      <c r="MV181" s="31"/>
      <c r="MW181" s="31"/>
      <c r="MX181" s="31"/>
      <c r="MY181" s="31"/>
      <c r="MZ181" s="31"/>
      <c r="NA181" s="31"/>
      <c r="NB181" s="31"/>
      <c r="NC181" s="31"/>
      <c r="ND181" s="31"/>
      <c r="NE181" s="31"/>
      <c r="NF181" s="31"/>
      <c r="NG181" s="31"/>
      <c r="NH181" s="31"/>
      <c r="NI181" s="31"/>
      <c r="NJ181" s="31"/>
      <c r="NK181" s="31"/>
      <c r="NL181" s="31"/>
      <c r="NM181" s="31"/>
      <c r="NN181" s="31"/>
      <c r="NO181" s="31"/>
      <c r="NP181" s="31"/>
      <c r="NQ181" s="31"/>
      <c r="NR181" s="31"/>
      <c r="NS181" s="31"/>
      <c r="NT181" s="31"/>
      <c r="NU181" s="31"/>
      <c r="NV181" s="31"/>
      <c r="NW181" s="31"/>
      <c r="NX181" s="31"/>
      <c r="NY181" s="31"/>
      <c r="NZ181" s="31"/>
      <c r="OA181" s="31"/>
      <c r="OB181" s="31"/>
      <c r="OC181" s="31"/>
      <c r="OD181" s="31"/>
      <c r="OE181" s="31"/>
      <c r="OF181" s="31"/>
      <c r="OG181" s="31"/>
      <c r="OH181" s="31"/>
      <c r="OI181" s="31"/>
      <c r="OJ181" s="31"/>
      <c r="OK181" s="31"/>
      <c r="OL181" s="31"/>
      <c r="OM181" s="31"/>
      <c r="ON181" s="31"/>
      <c r="OO181" s="31"/>
      <c r="OP181" s="31"/>
      <c r="OQ181" s="31"/>
      <c r="OR181" s="31"/>
      <c r="OS181" s="31"/>
      <c r="OT181" s="31"/>
      <c r="OU181" s="31"/>
      <c r="OV181" s="31"/>
      <c r="OW181" s="31"/>
      <c r="OX181" s="31"/>
      <c r="OY181" s="31"/>
      <c r="OZ181" s="31"/>
      <c r="PA181" s="31"/>
      <c r="PB181" s="31"/>
      <c r="PC181" s="31"/>
      <c r="PD181" s="31"/>
      <c r="PE181" s="31"/>
      <c r="PF181" s="31"/>
      <c r="PG181" s="31"/>
      <c r="PH181" s="31"/>
      <c r="PI181" s="31"/>
      <c r="PJ181" s="31"/>
      <c r="PK181" s="31"/>
      <c r="PL181" s="31"/>
      <c r="PM181" s="31"/>
      <c r="PN181" s="31"/>
      <c r="PO181" s="31"/>
      <c r="PP181" s="31"/>
      <c r="PQ181" s="31"/>
      <c r="PR181" s="31"/>
      <c r="PS181" s="31"/>
      <c r="PT181" s="31"/>
      <c r="PU181" s="31"/>
      <c r="PV181" s="31"/>
      <c r="PW181" s="31"/>
      <c r="PX181" s="31"/>
      <c r="PY181" s="31"/>
      <c r="PZ181" s="31"/>
      <c r="QA181" s="31"/>
      <c r="QB181" s="31"/>
      <c r="QC181" s="31"/>
      <c r="QD181" s="31"/>
      <c r="QE181" s="31"/>
      <c r="QF181" s="31"/>
      <c r="QG181" s="31"/>
      <c r="QH181" s="31"/>
      <c r="QI181" s="31"/>
      <c r="QJ181" s="31"/>
      <c r="QK181" s="31"/>
      <c r="QL181" s="31"/>
      <c r="QM181" s="31"/>
      <c r="QN181" s="31"/>
      <c r="QO181" s="31"/>
      <c r="QP181" s="31"/>
      <c r="QQ181" s="31"/>
      <c r="QR181" s="31"/>
      <c r="QS181" s="31"/>
      <c r="QT181" s="31"/>
      <c r="QU181" s="31"/>
      <c r="QV181" s="31"/>
      <c r="QW181" s="31"/>
      <c r="QX181" s="31"/>
      <c r="QY181" s="31"/>
      <c r="QZ181" s="31"/>
      <c r="RA181" s="31"/>
      <c r="RB181" s="31"/>
      <c r="RC181" s="31"/>
      <c r="RD181" s="31"/>
      <c r="RE181" s="31"/>
      <c r="RF181" s="31"/>
      <c r="RG181" s="31"/>
      <c r="RH181" s="31"/>
      <c r="RI181" s="31"/>
      <c r="RJ181" s="31"/>
      <c r="RK181" s="31"/>
      <c r="RL181" s="31"/>
      <c r="RM181" s="31"/>
      <c r="RN181" s="31"/>
      <c r="RO181" s="31"/>
      <c r="RP181" s="31"/>
      <c r="RQ181" s="31"/>
      <c r="RR181" s="31"/>
      <c r="RS181" s="31"/>
      <c r="RT181" s="31"/>
      <c r="RU181" s="31"/>
      <c r="RV181" s="31"/>
      <c r="RW181" s="31"/>
      <c r="RX181" s="31"/>
      <c r="RY181" s="31"/>
      <c r="RZ181" s="31"/>
      <c r="SA181" s="31"/>
      <c r="SB181" s="31"/>
      <c r="SC181" s="31"/>
      <c r="SD181" s="31"/>
      <c r="SE181" s="31"/>
      <c r="SF181" s="31"/>
      <c r="SG181" s="31"/>
      <c r="SH181" s="31"/>
      <c r="SI181" s="31"/>
      <c r="SJ181" s="31"/>
      <c r="SK181" s="31"/>
      <c r="SL181" s="31"/>
      <c r="SM181" s="31"/>
      <c r="SN181" s="31"/>
      <c r="SO181" s="31"/>
      <c r="SP181" s="31"/>
      <c r="SQ181" s="31"/>
      <c r="SR181" s="31"/>
      <c r="SS181" s="31"/>
      <c r="ST181" s="31"/>
      <c r="SU181" s="31"/>
      <c r="SV181" s="31"/>
      <c r="SW181" s="31"/>
      <c r="SX181" s="31"/>
      <c r="SY181" s="31"/>
      <c r="SZ181" s="31"/>
      <c r="TA181" s="31"/>
      <c r="TB181" s="31"/>
      <c r="TC181" s="31"/>
      <c r="TD181" s="31"/>
      <c r="TE181" s="31"/>
      <c r="TF181" s="31"/>
      <c r="TG181" s="31"/>
      <c r="TH181" s="31"/>
      <c r="TI181" s="31"/>
      <c r="TJ181" s="31"/>
      <c r="TK181" s="31"/>
      <c r="TL181" s="31"/>
      <c r="TM181" s="31"/>
      <c r="TN181" s="31"/>
      <c r="TO181" s="31"/>
      <c r="TP181" s="31"/>
      <c r="TQ181" s="31"/>
      <c r="TR181" s="31"/>
      <c r="TS181" s="31"/>
      <c r="TT181" s="31"/>
      <c r="TU181" s="31"/>
      <c r="TV181" s="31"/>
      <c r="TW181" s="31"/>
      <c r="TX181" s="31"/>
      <c r="TY181" s="31"/>
      <c r="TZ181" s="31"/>
      <c r="UA181" s="31"/>
      <c r="UB181" s="31"/>
      <c r="UC181" s="31"/>
      <c r="UD181" s="31"/>
      <c r="UE181" s="31"/>
      <c r="UF181" s="31"/>
      <c r="UG181" s="31"/>
      <c r="UH181" s="31"/>
      <c r="UI181" s="31"/>
      <c r="UJ181" s="31"/>
      <c r="UK181" s="31"/>
      <c r="UL181" s="31"/>
      <c r="UM181" s="31"/>
      <c r="UN181" s="31"/>
      <c r="UO181" s="31"/>
      <c r="UP181" s="31"/>
      <c r="UQ181" s="31"/>
      <c r="UR181" s="31"/>
      <c r="US181" s="31"/>
      <c r="UT181" s="31"/>
      <c r="UU181" s="31"/>
      <c r="UV181" s="31"/>
      <c r="UW181" s="31"/>
      <c r="UX181" s="31"/>
      <c r="UY181" s="31"/>
      <c r="UZ181" s="31"/>
      <c r="VA181" s="31"/>
      <c r="VB181" s="31"/>
      <c r="VC181" s="31"/>
      <c r="VD181" s="31"/>
      <c r="VE181" s="31"/>
      <c r="VF181" s="31"/>
      <c r="VG181" s="31"/>
      <c r="VH181" s="31"/>
      <c r="VI181" s="31"/>
      <c r="VJ181" s="31"/>
      <c r="VK181" s="31"/>
      <c r="VL181" s="31"/>
      <c r="VM181" s="31"/>
      <c r="VN181" s="31"/>
      <c r="VO181" s="31"/>
      <c r="VP181" s="31"/>
      <c r="VQ181" s="31"/>
      <c r="VR181" s="31"/>
      <c r="VS181" s="31"/>
      <c r="VT181" s="31"/>
      <c r="VU181" s="31"/>
      <c r="VV181" s="31"/>
      <c r="VW181" s="31"/>
      <c r="VX181" s="31"/>
      <c r="VY181" s="31"/>
      <c r="VZ181" s="31"/>
      <c r="WA181" s="31"/>
      <c r="WB181" s="31"/>
      <c r="WC181" s="31"/>
      <c r="WD181" s="31"/>
      <c r="WE181" s="31"/>
      <c r="WF181" s="31"/>
      <c r="WG181" s="31"/>
      <c r="WH181" s="31"/>
      <c r="WI181" s="31"/>
      <c r="WJ181" s="31"/>
      <c r="WK181" s="31"/>
      <c r="WL181" s="31"/>
      <c r="WM181" s="31"/>
      <c r="WN181" s="31"/>
      <c r="WO181" s="31"/>
      <c r="WP181" s="31"/>
      <c r="WQ181" s="31"/>
      <c r="WR181" s="31"/>
      <c r="WS181" s="31"/>
      <c r="WT181" s="31"/>
      <c r="WU181" s="31"/>
      <c r="WV181" s="31"/>
      <c r="WW181" s="31"/>
      <c r="WX181" s="31"/>
      <c r="WY181" s="31"/>
      <c r="WZ181" s="31"/>
      <c r="XA181" s="31"/>
      <c r="XB181" s="31"/>
      <c r="XC181" s="31"/>
      <c r="XD181" s="31"/>
      <c r="XE181" s="31"/>
      <c r="XF181" s="31"/>
      <c r="XG181" s="31"/>
      <c r="XH181" s="31"/>
      <c r="XI181" s="31"/>
      <c r="XJ181" s="31"/>
      <c r="XK181" s="31"/>
      <c r="XL181" s="31"/>
      <c r="XM181" s="31"/>
      <c r="XN181" s="31"/>
      <c r="XO181" s="31"/>
      <c r="XP181" s="31"/>
      <c r="XQ181" s="31"/>
      <c r="XR181" s="31"/>
      <c r="XS181" s="31"/>
      <c r="XT181" s="31"/>
      <c r="XU181" s="31"/>
      <c r="XV181" s="31"/>
      <c r="XW181" s="31"/>
      <c r="XX181" s="31"/>
      <c r="XY181" s="31"/>
      <c r="XZ181" s="31"/>
      <c r="YA181" s="31"/>
      <c r="YB181" s="31"/>
      <c r="YC181" s="31"/>
      <c r="YD181" s="31"/>
      <c r="YE181" s="31"/>
      <c r="YF181" s="31"/>
      <c r="YG181" s="31"/>
      <c r="YH181" s="31"/>
      <c r="YI181" s="31"/>
      <c r="YJ181" s="31"/>
      <c r="YK181" s="31"/>
      <c r="YL181" s="31"/>
      <c r="YM181" s="31"/>
      <c r="YN181" s="31"/>
      <c r="YO181" s="31"/>
      <c r="YP181" s="31"/>
      <c r="YQ181" s="31"/>
      <c r="YR181" s="31"/>
      <c r="YS181" s="31"/>
      <c r="YT181" s="31"/>
      <c r="YU181" s="31"/>
      <c r="YV181" s="31"/>
      <c r="YW181" s="31"/>
      <c r="YX181" s="31"/>
      <c r="YY181" s="31"/>
      <c r="YZ181" s="31"/>
      <c r="ZA181" s="31"/>
      <c r="ZB181" s="31"/>
      <c r="ZC181" s="31"/>
      <c r="ZD181" s="31"/>
      <c r="ZE181" s="31"/>
      <c r="ZF181" s="31"/>
      <c r="ZG181" s="31"/>
      <c r="ZH181" s="31"/>
      <c r="ZI181" s="31"/>
      <c r="ZJ181" s="31"/>
      <c r="ZK181" s="31"/>
      <c r="ZL181" s="31"/>
      <c r="ZM181" s="31"/>
      <c r="ZN181" s="31"/>
      <c r="ZO181" s="31"/>
      <c r="ZP181" s="31"/>
      <c r="ZQ181" s="31"/>
      <c r="ZR181" s="31"/>
      <c r="ZS181" s="31"/>
      <c r="ZT181" s="31"/>
      <c r="ZU181" s="31"/>
      <c r="ZV181" s="31"/>
      <c r="ZW181" s="31"/>
      <c r="ZX181" s="31"/>
      <c r="ZY181" s="31"/>
      <c r="ZZ181" s="31"/>
      <c r="AAA181" s="31"/>
      <c r="AAB181" s="31"/>
      <c r="AAC181" s="31"/>
      <c r="AAD181" s="31"/>
      <c r="AAE181" s="31"/>
      <c r="AAF181" s="31"/>
      <c r="AAG181" s="31"/>
      <c r="AAH181" s="31"/>
      <c r="AAI181" s="31"/>
      <c r="AAJ181" s="31"/>
      <c r="AAK181" s="31"/>
      <c r="AAL181" s="31"/>
      <c r="AAM181" s="31"/>
      <c r="AAN181" s="31"/>
      <c r="AAO181" s="31"/>
      <c r="AAP181" s="31"/>
      <c r="AAQ181" s="31"/>
      <c r="AAR181" s="31"/>
      <c r="AAS181" s="31"/>
      <c r="AAT181" s="31"/>
      <c r="AAU181" s="31"/>
      <c r="AAV181" s="31"/>
      <c r="AAW181" s="31"/>
      <c r="AAX181" s="31"/>
      <c r="AAY181" s="31"/>
      <c r="AAZ181" s="31"/>
      <c r="ABA181" s="31"/>
      <c r="ABB181" s="31"/>
      <c r="ABC181" s="31"/>
      <c r="ABD181" s="31"/>
      <c r="ABE181" s="31"/>
      <c r="ABF181" s="31"/>
      <c r="ABG181" s="31"/>
      <c r="ABH181" s="31"/>
      <c r="ABI181" s="31"/>
      <c r="ABJ181" s="31"/>
      <c r="ABK181" s="31"/>
      <c r="ABL181" s="31"/>
      <c r="ABM181" s="31"/>
      <c r="ABN181" s="31"/>
      <c r="ABO181" s="31"/>
      <c r="ABP181" s="31"/>
      <c r="ABQ181" s="31"/>
      <c r="ABR181" s="31"/>
      <c r="ABS181" s="31"/>
      <c r="ABT181" s="31"/>
      <c r="ABU181" s="31"/>
      <c r="ABV181" s="31"/>
      <c r="ABW181" s="31"/>
      <c r="ABX181" s="31"/>
      <c r="ABY181" s="31"/>
      <c r="ABZ181" s="31"/>
      <c r="ACA181" s="31"/>
      <c r="ACB181" s="31"/>
      <c r="ACC181" s="31"/>
      <c r="ACD181" s="31"/>
      <c r="ACE181" s="31"/>
      <c r="ACF181" s="31"/>
      <c r="ACG181" s="31"/>
      <c r="ACH181" s="31"/>
      <c r="ACI181" s="31"/>
      <c r="ACJ181" s="31"/>
      <c r="ACK181" s="31"/>
      <c r="ACL181" s="31"/>
      <c r="ACM181" s="31"/>
      <c r="ACN181" s="31"/>
      <c r="ACO181" s="31"/>
      <c r="ACP181" s="31"/>
      <c r="ACQ181" s="31"/>
      <c r="ACR181" s="31"/>
      <c r="ACS181" s="31"/>
      <c r="ACT181" s="31"/>
      <c r="ACU181" s="31"/>
      <c r="ACV181" s="31"/>
      <c r="ACW181" s="31"/>
      <c r="ACX181" s="31"/>
      <c r="ACY181" s="31"/>
      <c r="ACZ181" s="31"/>
      <c r="ADA181" s="31"/>
      <c r="ADB181" s="31"/>
      <c r="ADC181" s="31"/>
      <c r="ADD181" s="31"/>
      <c r="ADE181" s="31"/>
      <c r="ADF181" s="31"/>
      <c r="ADG181" s="31"/>
      <c r="ADH181" s="31"/>
      <c r="ADI181" s="31"/>
      <c r="ADJ181" s="31"/>
      <c r="ADK181" s="31"/>
      <c r="ADL181" s="31"/>
      <c r="ADM181" s="31"/>
      <c r="ADN181" s="31"/>
      <c r="ADO181" s="31"/>
      <c r="ADP181" s="31"/>
      <c r="ADQ181" s="31"/>
      <c r="ADR181" s="31"/>
      <c r="ADS181" s="31"/>
      <c r="ADT181" s="31"/>
      <c r="ADU181" s="31"/>
      <c r="ADV181" s="31"/>
      <c r="ADW181" s="31"/>
      <c r="ADX181" s="31"/>
      <c r="ADY181" s="31"/>
      <c r="ADZ181" s="31"/>
      <c r="AEA181" s="31"/>
      <c r="AEB181" s="31"/>
      <c r="AEC181" s="31"/>
      <c r="AED181" s="31"/>
      <c r="AEE181" s="31"/>
      <c r="AEF181" s="31"/>
      <c r="AEG181" s="31"/>
      <c r="AEH181" s="31"/>
      <c r="AEI181" s="31"/>
      <c r="AEJ181" s="31"/>
      <c r="AEK181" s="31"/>
      <c r="AEL181" s="31"/>
      <c r="AEM181" s="31"/>
      <c r="AEN181" s="31"/>
      <c r="AEO181" s="31"/>
      <c r="AEP181" s="31"/>
      <c r="AEQ181" s="31"/>
      <c r="AER181" s="31"/>
      <c r="AES181" s="31"/>
      <c r="AET181" s="31"/>
      <c r="AEU181" s="31"/>
      <c r="AEV181" s="31"/>
      <c r="AEW181" s="31"/>
      <c r="AEX181" s="31"/>
      <c r="AEY181" s="31"/>
      <c r="AEZ181" s="31"/>
      <c r="AFA181" s="31"/>
      <c r="AFB181" s="31"/>
      <c r="AFC181" s="31"/>
      <c r="AFD181" s="31"/>
      <c r="AFE181" s="31"/>
      <c r="AFF181" s="31"/>
      <c r="AFG181" s="31"/>
      <c r="AFH181" s="31"/>
      <c r="AFI181" s="31"/>
      <c r="AFJ181" s="31"/>
      <c r="AFK181" s="31"/>
      <c r="AFL181" s="31"/>
      <c r="AFM181" s="31"/>
      <c r="AFN181" s="31"/>
      <c r="AFO181" s="31"/>
      <c r="AFP181" s="31"/>
      <c r="AFQ181" s="31"/>
      <c r="AFR181" s="31"/>
      <c r="AFS181" s="31"/>
      <c r="AFT181" s="31"/>
      <c r="AFU181" s="31"/>
      <c r="AFV181" s="31"/>
      <c r="AFW181" s="31"/>
      <c r="AFX181" s="31"/>
      <c r="AFY181" s="31"/>
      <c r="AFZ181" s="31"/>
      <c r="AGA181" s="31"/>
      <c r="AGB181" s="31"/>
      <c r="AGC181" s="31"/>
      <c r="AGD181" s="31"/>
      <c r="AGE181" s="31"/>
      <c r="AGF181" s="31"/>
      <c r="AGG181" s="31"/>
      <c r="AGH181" s="31"/>
      <c r="AGI181" s="31"/>
      <c r="AGJ181" s="31"/>
      <c r="AGK181" s="31"/>
      <c r="AGL181" s="31"/>
      <c r="AGM181" s="31"/>
      <c r="AGN181" s="31"/>
      <c r="AGO181" s="31"/>
      <c r="AGP181" s="31"/>
      <c r="AGQ181" s="31"/>
      <c r="AGR181" s="31"/>
      <c r="AGS181" s="31"/>
      <c r="AGT181" s="31"/>
      <c r="AGU181" s="31"/>
      <c r="AGV181" s="31"/>
      <c r="AGW181" s="31"/>
      <c r="AGX181" s="31"/>
      <c r="AGY181" s="31"/>
      <c r="AGZ181" s="31"/>
      <c r="AHA181" s="31"/>
      <c r="AHB181" s="31"/>
      <c r="AHC181" s="31"/>
      <c r="AHD181" s="31"/>
      <c r="AHE181" s="31"/>
      <c r="AHF181" s="31"/>
      <c r="AHG181" s="31"/>
      <c r="AHH181" s="31"/>
      <c r="AHI181" s="31"/>
      <c r="AHJ181" s="31"/>
      <c r="AHK181" s="31"/>
      <c r="AHL181" s="31"/>
      <c r="AHM181" s="31"/>
      <c r="AHN181" s="31"/>
      <c r="AHO181" s="31"/>
      <c r="AHP181" s="31"/>
      <c r="AHQ181" s="31"/>
      <c r="AHR181" s="31"/>
      <c r="AHS181" s="31"/>
      <c r="AHT181" s="31"/>
      <c r="AHU181" s="31"/>
      <c r="AHV181" s="31"/>
      <c r="AHW181" s="31"/>
      <c r="AHX181" s="31"/>
      <c r="AHY181" s="31"/>
      <c r="AHZ181" s="31"/>
      <c r="AIA181" s="31"/>
      <c r="AIB181" s="31"/>
      <c r="AIC181" s="31"/>
      <c r="AID181" s="31"/>
      <c r="AIE181" s="31"/>
      <c r="AIF181" s="31"/>
      <c r="AIG181" s="31"/>
      <c r="AIH181" s="31"/>
      <c r="AII181" s="31"/>
      <c r="AIJ181" s="31"/>
      <c r="AIK181" s="31"/>
      <c r="AIL181" s="31"/>
      <c r="AIM181" s="31"/>
      <c r="AIN181" s="31"/>
      <c r="AIO181" s="31"/>
      <c r="AIP181" s="31"/>
      <c r="AIQ181" s="31"/>
      <c r="AIR181" s="31"/>
      <c r="AIS181" s="31"/>
      <c r="AIT181" s="31"/>
      <c r="AIU181" s="31"/>
      <c r="AIV181" s="31"/>
      <c r="AIW181" s="31"/>
      <c r="AIX181" s="31"/>
      <c r="AIY181" s="31"/>
      <c r="AIZ181" s="31"/>
      <c r="AJA181" s="31"/>
      <c r="AJB181" s="31"/>
      <c r="AJC181" s="31"/>
      <c r="AJD181" s="31"/>
      <c r="AJE181" s="31"/>
      <c r="AJF181" s="31"/>
      <c r="AJG181" s="31"/>
      <c r="AJH181" s="31"/>
      <c r="AJI181" s="31"/>
      <c r="AJJ181" s="31"/>
      <c r="AJK181" s="31"/>
      <c r="AJL181" s="31"/>
      <c r="AJM181" s="31"/>
      <c r="AJN181" s="31"/>
      <c r="AJO181" s="31"/>
      <c r="AJP181" s="31"/>
      <c r="AJQ181" s="31"/>
      <c r="AJR181" s="31"/>
      <c r="AJS181" s="31"/>
      <c r="AJT181" s="31"/>
      <c r="AJU181" s="31"/>
      <c r="AJV181" s="31"/>
      <c r="AJW181" s="31"/>
      <c r="AJX181" s="31"/>
      <c r="AJY181" s="31"/>
      <c r="AJZ181" s="31"/>
      <c r="AKA181" s="31"/>
      <c r="AKB181" s="31"/>
      <c r="AKC181" s="31"/>
      <c r="AKD181" s="31"/>
      <c r="AKE181" s="31"/>
      <c r="AKF181" s="31"/>
      <c r="AKG181" s="31"/>
      <c r="AKH181" s="31"/>
      <c r="AKI181" s="31"/>
      <c r="AKJ181" s="31"/>
      <c r="AKK181" s="31"/>
      <c r="AKL181" s="31"/>
      <c r="AKM181" s="31"/>
      <c r="AKN181" s="31"/>
      <c r="AKO181" s="31"/>
      <c r="AKP181" s="31"/>
      <c r="AKQ181" s="31"/>
      <c r="AKR181" s="31"/>
      <c r="AKS181" s="31"/>
      <c r="AKT181" s="31"/>
      <c r="AKU181" s="31"/>
      <c r="AKV181" s="31"/>
      <c r="AKW181" s="31"/>
      <c r="AKX181" s="31"/>
      <c r="AKY181" s="31"/>
      <c r="AKZ181" s="31"/>
      <c r="ALA181" s="31"/>
      <c r="ALB181" s="31"/>
      <c r="ALC181" s="31"/>
      <c r="ALD181" s="31"/>
      <c r="ALE181" s="31"/>
      <c r="ALF181" s="31"/>
      <c r="ALG181" s="31"/>
      <c r="ALH181" s="31"/>
      <c r="ALI181" s="31"/>
      <c r="ALJ181" s="31"/>
      <c r="ALK181" s="31"/>
      <c r="ALL181" s="31"/>
      <c r="ALM181" s="31"/>
      <c r="ALN181" s="31"/>
      <c r="ALO181" s="31"/>
      <c r="ALP181" s="31"/>
      <c r="ALQ181" s="31"/>
      <c r="ALR181" s="31"/>
      <c r="ALS181" s="31"/>
      <c r="ALT181" s="31"/>
      <c r="ALU181" s="31"/>
      <c r="ALV181" s="31"/>
      <c r="ALW181" s="31"/>
      <c r="ALX181" s="31"/>
      <c r="ALY181" s="31"/>
      <c r="ALZ181" s="31"/>
      <c r="AMA181" s="31"/>
      <c r="AMB181" s="31"/>
      <c r="AMC181" s="31"/>
      <c r="AMD181" s="31"/>
      <c r="AME181" s="31"/>
      <c r="AMF181" s="31"/>
      <c r="AMG181" s="31"/>
      <c r="AMH181" s="31"/>
      <c r="AMI181" s="31"/>
      <c r="AMJ181" s="31"/>
      <c r="AMK181" s="31"/>
      <c r="AML181" s="31"/>
      <c r="AMM181" s="31"/>
      <c r="AMN181" s="31"/>
      <c r="AMO181" s="31"/>
      <c r="AMP181" s="31"/>
      <c r="AMQ181" s="31"/>
      <c r="AMR181" s="31"/>
      <c r="AMS181" s="31"/>
      <c r="AMT181" s="31"/>
      <c r="AMU181" s="31"/>
      <c r="AMV181" s="31"/>
      <c r="AMW181" s="31"/>
      <c r="AMX181" s="31"/>
      <c r="AMY181" s="31"/>
      <c r="AMZ181" s="31"/>
      <c r="ANA181" s="31"/>
      <c r="ANB181" s="31"/>
      <c r="ANC181" s="31"/>
      <c r="AND181" s="31"/>
      <c r="ANE181" s="31"/>
      <c r="ANF181" s="31"/>
      <c r="ANG181" s="31"/>
      <c r="ANH181" s="31"/>
      <c r="ANI181" s="31"/>
      <c r="ANJ181" s="31"/>
      <c r="ANK181" s="31"/>
      <c r="ANL181" s="31"/>
      <c r="ANM181" s="31"/>
      <c r="ANN181" s="31"/>
      <c r="ANO181" s="31"/>
      <c r="ANP181" s="31"/>
      <c r="ANQ181" s="31"/>
      <c r="ANR181" s="31"/>
      <c r="ANS181" s="31"/>
      <c r="ANT181" s="31"/>
      <c r="ANU181" s="31"/>
      <c r="ANV181" s="31"/>
      <c r="ANW181" s="31"/>
      <c r="ANX181" s="31"/>
      <c r="ANY181" s="31"/>
      <c r="ANZ181" s="31"/>
      <c r="AOA181" s="31"/>
      <c r="AOB181" s="31"/>
      <c r="AOC181" s="31"/>
      <c r="AOD181" s="31"/>
      <c r="AOE181" s="31"/>
      <c r="AOF181" s="31"/>
      <c r="AOG181" s="31"/>
      <c r="AOH181" s="31"/>
      <c r="AOI181" s="31"/>
      <c r="AOJ181" s="31"/>
      <c r="AOK181" s="31"/>
      <c r="AOL181" s="31"/>
      <c r="AOM181" s="31"/>
      <c r="AON181" s="31"/>
      <c r="AOO181" s="31"/>
      <c r="AOP181" s="31"/>
      <c r="AOQ181" s="31"/>
      <c r="AOR181" s="31"/>
      <c r="AOS181" s="31"/>
      <c r="AOT181" s="31"/>
      <c r="AOU181" s="31"/>
      <c r="AOV181" s="31"/>
      <c r="AOW181" s="31"/>
      <c r="AOX181" s="31"/>
      <c r="AOY181" s="31"/>
      <c r="AOZ181" s="31"/>
      <c r="APA181" s="31"/>
      <c r="APB181" s="31"/>
      <c r="APC181" s="31"/>
      <c r="APD181" s="31"/>
      <c r="APE181" s="31"/>
      <c r="APF181" s="31"/>
      <c r="APG181" s="31"/>
      <c r="APH181" s="31"/>
      <c r="API181" s="31"/>
      <c r="APJ181" s="31"/>
      <c r="APK181" s="31"/>
      <c r="APL181" s="31"/>
      <c r="APM181" s="31"/>
      <c r="APN181" s="31"/>
      <c r="APO181" s="31"/>
      <c r="APP181" s="31"/>
      <c r="APQ181" s="31"/>
      <c r="APR181" s="31"/>
      <c r="APS181" s="31"/>
      <c r="APT181" s="31"/>
      <c r="APU181" s="31"/>
      <c r="APV181" s="31"/>
      <c r="APW181" s="31"/>
      <c r="APX181" s="31"/>
      <c r="APY181" s="31"/>
      <c r="APZ181" s="31"/>
      <c r="AQA181" s="31"/>
      <c r="AQB181" s="31"/>
      <c r="AQC181" s="31"/>
      <c r="AQD181" s="31"/>
      <c r="AQE181" s="31"/>
      <c r="AQF181" s="31"/>
      <c r="AQG181" s="31"/>
      <c r="AQH181" s="31"/>
      <c r="AQI181" s="31"/>
      <c r="AQJ181" s="31"/>
      <c r="AQK181" s="31"/>
      <c r="AQL181" s="31"/>
      <c r="AQM181" s="31"/>
      <c r="AQN181" s="31"/>
      <c r="AQO181" s="31"/>
      <c r="AQP181" s="31"/>
      <c r="AQQ181" s="31"/>
      <c r="AQR181" s="31"/>
      <c r="AQS181" s="31"/>
      <c r="AQT181" s="31"/>
      <c r="AQU181" s="31"/>
      <c r="AQV181" s="31"/>
      <c r="AQW181" s="31"/>
      <c r="AQX181" s="31"/>
      <c r="AQY181" s="31"/>
      <c r="AQZ181" s="31"/>
      <c r="ARA181" s="31"/>
      <c r="ARB181" s="31"/>
      <c r="ARC181" s="31"/>
      <c r="ARD181" s="31"/>
      <c r="ARE181" s="31"/>
      <c r="ARF181" s="31"/>
      <c r="ARG181" s="31"/>
      <c r="ARH181" s="31"/>
      <c r="ARI181" s="31"/>
      <c r="ARJ181" s="31"/>
      <c r="ARK181" s="31"/>
      <c r="ARL181" s="31"/>
      <c r="ARM181" s="31"/>
      <c r="ARN181" s="31"/>
      <c r="ARO181" s="31"/>
      <c r="ARP181" s="31"/>
      <c r="ARQ181" s="31"/>
      <c r="ARR181" s="31"/>
      <c r="ARS181" s="31"/>
      <c r="ART181" s="31"/>
      <c r="ARU181" s="31"/>
      <c r="ARV181" s="31"/>
      <c r="ARW181" s="31"/>
      <c r="ARX181" s="31"/>
      <c r="ARY181" s="31"/>
      <c r="ARZ181" s="31"/>
      <c r="ASA181" s="31"/>
      <c r="ASB181" s="31"/>
      <c r="ASC181" s="31"/>
      <c r="ASD181" s="31"/>
      <c r="ASE181" s="31"/>
      <c r="ASF181" s="31"/>
      <c r="ASG181" s="31"/>
      <c r="ASH181" s="31"/>
      <c r="ASI181" s="31"/>
      <c r="ASJ181" s="31"/>
      <c r="ASK181" s="31"/>
      <c r="ASL181" s="31"/>
      <c r="ASM181" s="31"/>
      <c r="ASN181" s="31"/>
      <c r="ASO181" s="31"/>
      <c r="ASP181" s="31"/>
      <c r="ASQ181" s="31"/>
      <c r="ASR181" s="31"/>
      <c r="ASS181" s="31"/>
      <c r="AST181" s="31"/>
      <c r="ASU181" s="31"/>
      <c r="ASV181" s="31"/>
      <c r="ASW181" s="31"/>
      <c r="ASX181" s="31"/>
      <c r="ASY181" s="31"/>
      <c r="ASZ181" s="31"/>
      <c r="ATA181" s="31"/>
      <c r="ATB181" s="31"/>
      <c r="ATC181" s="31"/>
      <c r="ATD181" s="31"/>
      <c r="ATE181" s="31"/>
    </row>
    <row r="182" spans="1:1201" s="1376" customFormat="1" ht="15.75" customHeight="1" x14ac:dyDescent="0.3">
      <c r="A182" s="1324"/>
      <c r="B182" s="1324"/>
      <c r="C182" s="1325" t="s">
        <v>1209</v>
      </c>
      <c r="D182" s="1364"/>
      <c r="E182" s="1364"/>
      <c r="F182" s="1312"/>
      <c r="G182" s="1370"/>
      <c r="H182" s="1370"/>
      <c r="I182" s="1370"/>
      <c r="J182" s="1370"/>
      <c r="K182" s="1370"/>
      <c r="L182" s="1370"/>
      <c r="M182" s="1370"/>
      <c r="N182" s="1370"/>
      <c r="O182" s="1370"/>
      <c r="P182" s="1370"/>
      <c r="Q182" s="1370"/>
      <c r="R182" s="1370"/>
      <c r="S182" s="1328"/>
      <c r="T182" s="1328"/>
      <c r="U182" s="1328"/>
      <c r="V182" s="1328"/>
      <c r="W182" s="1328"/>
      <c r="X182" s="1328"/>
      <c r="Y182" s="1328"/>
      <c r="Z182" s="1329"/>
      <c r="AA182" s="1329"/>
      <c r="AB182" s="1329"/>
      <c r="AC182" s="1329"/>
      <c r="AD182" s="1329"/>
      <c r="AE182" s="1329"/>
      <c r="AF182" s="1329"/>
      <c r="AG182" s="1329"/>
      <c r="AH182" s="1329"/>
      <c r="AI182" s="1329"/>
      <c r="AJ182" s="1329"/>
      <c r="AK182" s="1329">
        <f>'HEC Financials'!AZ154</f>
        <v>634900</v>
      </c>
      <c r="AL182" s="1329">
        <f>'HEC Financials'!BA154</f>
        <v>634900</v>
      </c>
      <c r="AM182" s="1329">
        <f>'HEC Financials'!BB154</f>
        <v>634900</v>
      </c>
      <c r="AN182" s="1329">
        <f>'HEC Financials'!BC154</f>
        <v>634900</v>
      </c>
      <c r="AO182" s="1329">
        <f>'HEC Financials'!BD154</f>
        <v>634900</v>
      </c>
      <c r="AP182" s="1370">
        <f t="shared" ref="AP182:BC182" si="316">AO182</f>
        <v>634900</v>
      </c>
      <c r="AQ182" s="1370">
        <f t="shared" si="316"/>
        <v>634900</v>
      </c>
      <c r="AR182" s="1638">
        <f t="shared" si="316"/>
        <v>634900</v>
      </c>
      <c r="AS182" s="1370">
        <f t="shared" si="316"/>
        <v>634900</v>
      </c>
      <c r="AT182" s="1370">
        <f t="shared" si="316"/>
        <v>634900</v>
      </c>
      <c r="AU182" s="1370">
        <f t="shared" si="316"/>
        <v>634900</v>
      </c>
      <c r="AV182" s="1370">
        <f t="shared" si="316"/>
        <v>634900</v>
      </c>
      <c r="AW182" s="1370">
        <f t="shared" si="316"/>
        <v>634900</v>
      </c>
      <c r="AX182" s="1370">
        <f t="shared" si="316"/>
        <v>634900</v>
      </c>
      <c r="AY182" s="1370">
        <f t="shared" si="316"/>
        <v>634900</v>
      </c>
      <c r="AZ182" s="1370">
        <f t="shared" si="316"/>
        <v>634900</v>
      </c>
      <c r="BA182" s="1370">
        <f t="shared" si="316"/>
        <v>634900</v>
      </c>
      <c r="BB182" s="1370">
        <f t="shared" si="316"/>
        <v>634900</v>
      </c>
      <c r="BC182" s="1370">
        <f t="shared" si="316"/>
        <v>634900</v>
      </c>
      <c r="BE182" s="1372">
        <v>0</v>
      </c>
      <c r="BF182" s="1328">
        <f t="shared" si="312"/>
        <v>634900</v>
      </c>
      <c r="BG182" s="1372">
        <f t="shared" si="313"/>
        <v>634900</v>
      </c>
      <c r="BH182" s="1312"/>
      <c r="BI182" s="1312"/>
      <c r="BJ182" s="1312"/>
      <c r="BK182" s="1312"/>
      <c r="BL182" s="1312"/>
      <c r="BM182" s="1312"/>
      <c r="BN182" s="1312"/>
      <c r="BO182" s="1312"/>
      <c r="BP182" s="1312"/>
      <c r="BQ182" s="1312"/>
      <c r="BR182" s="1312"/>
      <c r="BS182" s="1312"/>
      <c r="BT182" s="1312"/>
      <c r="BU182" s="1312"/>
      <c r="BV182" s="1312"/>
      <c r="BW182" s="1312"/>
      <c r="BX182" s="1312"/>
      <c r="BY182" s="1312"/>
      <c r="BZ182" s="1312"/>
      <c r="CA182" s="1312"/>
      <c r="CB182" s="1312"/>
      <c r="CC182" s="1312"/>
      <c r="CD182" s="1312"/>
      <c r="CE182" s="1312"/>
      <c r="CF182" s="1312"/>
      <c r="CG182" s="1312"/>
      <c r="CH182" s="1312"/>
      <c r="CI182" s="1312"/>
      <c r="CJ182" s="1312"/>
      <c r="CK182" s="1312"/>
      <c r="CL182" s="1312"/>
      <c r="CM182" s="1312"/>
      <c r="CN182" s="1312"/>
      <c r="CO182" s="1312"/>
      <c r="CP182" s="1312"/>
      <c r="CQ182" s="1312"/>
      <c r="CR182" s="1312"/>
      <c r="CS182" s="1312"/>
      <c r="CT182" s="1312"/>
      <c r="CU182" s="1312"/>
      <c r="CV182" s="1312"/>
      <c r="CW182" s="1312"/>
      <c r="CX182" s="1312"/>
      <c r="CY182" s="1312"/>
      <c r="CZ182" s="1312"/>
      <c r="DA182" s="1312"/>
      <c r="DB182" s="1312"/>
      <c r="DC182" s="1312"/>
      <c r="DD182" s="1312"/>
      <c r="DE182" s="1312"/>
      <c r="DF182" s="1312"/>
      <c r="DG182" s="1312"/>
      <c r="DH182" s="1312"/>
      <c r="DI182" s="1312"/>
      <c r="DJ182" s="1312"/>
      <c r="DK182" s="1312"/>
      <c r="DL182" s="1312"/>
      <c r="DM182" s="1312"/>
      <c r="DN182" s="1312"/>
      <c r="DO182" s="1312"/>
      <c r="DP182" s="1312"/>
      <c r="DQ182" s="1312"/>
      <c r="DR182" s="1312"/>
      <c r="DS182" s="1312"/>
      <c r="DT182" s="1312"/>
      <c r="DU182" s="1312"/>
      <c r="DV182" s="1312"/>
      <c r="DW182" s="1312"/>
      <c r="DX182" s="1312"/>
      <c r="DY182" s="1312"/>
      <c r="DZ182" s="1312"/>
      <c r="EA182" s="1312"/>
      <c r="EB182" s="1312"/>
      <c r="EC182" s="1312"/>
      <c r="ED182" s="1312"/>
      <c r="EE182" s="1312"/>
      <c r="EF182" s="1312"/>
      <c r="EG182" s="1312"/>
      <c r="EH182" s="1312"/>
      <c r="EI182" s="1312"/>
      <c r="EJ182" s="1312"/>
      <c r="EK182" s="1312"/>
      <c r="EL182" s="1312"/>
      <c r="EM182" s="1312"/>
      <c r="EN182" s="1312"/>
      <c r="EO182" s="1312"/>
      <c r="EP182" s="1312"/>
      <c r="EQ182" s="1312"/>
      <c r="ER182" s="1312"/>
      <c r="ES182" s="1312"/>
      <c r="ET182" s="1312"/>
      <c r="EU182" s="1312"/>
      <c r="EV182" s="1312"/>
      <c r="EW182" s="1312"/>
      <c r="EX182" s="1312"/>
      <c r="EY182" s="1312"/>
      <c r="EZ182" s="1312"/>
      <c r="FA182" s="1312"/>
      <c r="FB182" s="1312"/>
      <c r="FC182" s="1312"/>
      <c r="FD182" s="1312"/>
      <c r="FE182" s="1312"/>
      <c r="FF182" s="1312"/>
      <c r="FG182" s="1312"/>
      <c r="FH182" s="1312"/>
      <c r="FI182" s="1312"/>
      <c r="FJ182" s="1312"/>
      <c r="FK182" s="1312"/>
      <c r="FL182" s="1312"/>
      <c r="FM182" s="1312"/>
      <c r="FN182" s="1312"/>
      <c r="FO182" s="1312"/>
      <c r="FP182" s="1312"/>
      <c r="FQ182" s="1312"/>
      <c r="FR182" s="1312"/>
      <c r="FS182" s="1312"/>
      <c r="FT182" s="1312"/>
      <c r="FU182" s="1312"/>
      <c r="FV182" s="1312"/>
      <c r="FW182" s="1312"/>
      <c r="FX182" s="1312"/>
      <c r="FY182" s="1312"/>
      <c r="FZ182" s="1312"/>
      <c r="GA182" s="1312"/>
      <c r="GB182" s="1312"/>
      <c r="GC182" s="1312"/>
      <c r="GD182" s="1312"/>
      <c r="GE182" s="1312"/>
      <c r="GF182" s="1312"/>
      <c r="GG182" s="1312"/>
      <c r="GH182" s="1312"/>
      <c r="GI182" s="1312"/>
      <c r="GJ182" s="1312"/>
      <c r="GK182" s="1312"/>
      <c r="GL182" s="1312"/>
      <c r="GM182" s="1312"/>
      <c r="GN182" s="1312"/>
      <c r="GO182" s="1312"/>
      <c r="GP182" s="1312"/>
      <c r="GQ182" s="1312"/>
      <c r="GR182" s="1312"/>
      <c r="GS182" s="1312"/>
      <c r="GT182" s="1312"/>
      <c r="GU182" s="1312"/>
      <c r="GV182" s="1312"/>
      <c r="GW182" s="1312"/>
      <c r="GX182" s="1312"/>
      <c r="GY182" s="1312"/>
      <c r="GZ182" s="1312"/>
      <c r="HA182" s="1312"/>
      <c r="HB182" s="1312"/>
      <c r="HC182" s="1312"/>
      <c r="HD182" s="1312"/>
      <c r="HE182" s="1312"/>
      <c r="HF182" s="1312"/>
      <c r="HG182" s="1312"/>
      <c r="HH182" s="1312"/>
      <c r="HI182" s="1312"/>
      <c r="HJ182" s="1312"/>
      <c r="HK182" s="1312"/>
      <c r="HL182" s="1312"/>
      <c r="HM182" s="1312"/>
      <c r="HN182" s="1312"/>
      <c r="HO182" s="1312"/>
      <c r="HP182" s="1312"/>
      <c r="HQ182" s="1312"/>
      <c r="HR182" s="1312"/>
      <c r="HS182" s="1312"/>
      <c r="HT182" s="1312"/>
      <c r="HU182" s="1312"/>
      <c r="HV182" s="1312"/>
      <c r="HW182" s="1312"/>
      <c r="HX182" s="1312"/>
      <c r="HY182" s="1312"/>
      <c r="HZ182" s="1312"/>
      <c r="IA182" s="1312"/>
      <c r="IB182" s="1312"/>
      <c r="IC182" s="1312"/>
      <c r="ID182" s="1312"/>
      <c r="IE182" s="1312"/>
      <c r="IF182" s="1312"/>
      <c r="IG182" s="1312"/>
      <c r="IH182" s="1312"/>
      <c r="II182" s="1312"/>
      <c r="IJ182" s="1312"/>
      <c r="IK182" s="1312"/>
      <c r="IL182" s="1312"/>
      <c r="IM182" s="1312"/>
      <c r="IN182" s="1312"/>
      <c r="IO182" s="1312"/>
      <c r="IP182" s="1312"/>
      <c r="IQ182" s="1312"/>
      <c r="IR182" s="1312"/>
      <c r="IS182" s="1312"/>
      <c r="IT182" s="1312"/>
      <c r="IU182" s="1312"/>
      <c r="IV182" s="1312"/>
      <c r="IW182" s="1312"/>
      <c r="IX182" s="1312"/>
      <c r="IY182" s="1312"/>
      <c r="IZ182" s="1312"/>
      <c r="JA182" s="1312"/>
      <c r="JB182" s="1312"/>
      <c r="JC182" s="1312"/>
      <c r="JD182" s="1312"/>
      <c r="JE182" s="1312"/>
      <c r="JF182" s="1312"/>
      <c r="JG182" s="1312"/>
      <c r="JH182" s="1312"/>
      <c r="JI182" s="1312"/>
      <c r="JJ182" s="1312"/>
      <c r="JK182" s="1312"/>
      <c r="JL182" s="1312"/>
      <c r="JM182" s="1312"/>
      <c r="JN182" s="1312"/>
      <c r="JO182" s="1312"/>
      <c r="JP182" s="1312"/>
      <c r="JQ182" s="1312"/>
      <c r="JR182" s="1312"/>
      <c r="JS182" s="1312"/>
      <c r="JT182" s="1312"/>
      <c r="JU182" s="1312"/>
      <c r="JV182" s="1312"/>
      <c r="JW182" s="1312"/>
      <c r="JX182" s="1312"/>
      <c r="JY182" s="1312"/>
      <c r="JZ182" s="1312"/>
      <c r="KA182" s="1312"/>
      <c r="KB182" s="1312"/>
      <c r="KC182" s="1312"/>
      <c r="KD182" s="1312"/>
      <c r="KE182" s="1312"/>
      <c r="KF182" s="1312"/>
      <c r="KG182" s="1312"/>
      <c r="KH182" s="1312"/>
      <c r="KI182" s="1312"/>
      <c r="KJ182" s="1312"/>
      <c r="KK182" s="1312"/>
      <c r="KL182" s="1312"/>
      <c r="KM182" s="1312"/>
      <c r="KN182" s="1312"/>
      <c r="KO182" s="1312"/>
      <c r="KP182" s="1312"/>
      <c r="KQ182" s="1312"/>
      <c r="KR182" s="1312"/>
      <c r="KS182" s="1312"/>
      <c r="KT182" s="1312"/>
      <c r="KU182" s="1312"/>
      <c r="KV182" s="1312"/>
      <c r="KW182" s="1312"/>
      <c r="KX182" s="1312"/>
      <c r="KY182" s="1312"/>
      <c r="KZ182" s="1312"/>
      <c r="LA182" s="1312"/>
      <c r="LB182" s="1312"/>
      <c r="LC182" s="1312"/>
      <c r="LD182" s="1312"/>
      <c r="LE182" s="1312"/>
      <c r="LF182" s="1312"/>
      <c r="LG182" s="1312"/>
      <c r="LH182" s="1312"/>
      <c r="LI182" s="1312"/>
      <c r="LJ182" s="1312"/>
      <c r="LK182" s="1312"/>
      <c r="LL182" s="1312"/>
      <c r="LM182" s="1312"/>
      <c r="LN182" s="1312"/>
      <c r="LO182" s="1312"/>
      <c r="LP182" s="1312"/>
      <c r="LQ182" s="1312"/>
      <c r="LR182" s="1312"/>
      <c r="LS182" s="1312"/>
      <c r="LT182" s="1312"/>
      <c r="LU182" s="1312"/>
      <c r="LV182" s="1312"/>
      <c r="LW182" s="1312"/>
      <c r="LX182" s="1312"/>
      <c r="LY182" s="1312"/>
      <c r="LZ182" s="1312"/>
      <c r="MA182" s="1312"/>
      <c r="MB182" s="1312"/>
      <c r="MC182" s="1312"/>
      <c r="MD182" s="1312"/>
      <c r="ME182" s="1312"/>
      <c r="MF182" s="1312"/>
      <c r="MG182" s="1312"/>
      <c r="MH182" s="1312"/>
      <c r="MI182" s="1312"/>
      <c r="MJ182" s="1312"/>
      <c r="MK182" s="1312"/>
      <c r="ML182" s="1312"/>
      <c r="MM182" s="1312"/>
      <c r="MN182" s="1312"/>
      <c r="MO182" s="1312"/>
      <c r="MP182" s="1312"/>
      <c r="MQ182" s="1312"/>
      <c r="MR182" s="1312"/>
      <c r="MS182" s="1312"/>
      <c r="MT182" s="1312"/>
      <c r="MU182" s="1312"/>
      <c r="MV182" s="1312"/>
      <c r="MW182" s="1312"/>
      <c r="MX182" s="1312"/>
      <c r="MY182" s="1312"/>
      <c r="MZ182" s="1312"/>
      <c r="NA182" s="1312"/>
      <c r="NB182" s="1312"/>
      <c r="NC182" s="1312"/>
      <c r="ND182" s="1312"/>
      <c r="NE182" s="1312"/>
      <c r="NF182" s="1312"/>
      <c r="NG182" s="1312"/>
      <c r="NH182" s="1312"/>
      <c r="NI182" s="1312"/>
      <c r="NJ182" s="1312"/>
      <c r="NK182" s="1312"/>
      <c r="NL182" s="1312"/>
      <c r="NM182" s="1312"/>
      <c r="NN182" s="1312"/>
      <c r="NO182" s="1312"/>
      <c r="NP182" s="1312"/>
      <c r="NQ182" s="1312"/>
      <c r="NR182" s="1312"/>
      <c r="NS182" s="1312"/>
      <c r="NT182" s="1312"/>
      <c r="NU182" s="1312"/>
      <c r="NV182" s="1312"/>
      <c r="NW182" s="1312"/>
      <c r="NX182" s="1312"/>
      <c r="NY182" s="1312"/>
      <c r="NZ182" s="1312"/>
      <c r="OA182" s="1312"/>
      <c r="OB182" s="1312"/>
      <c r="OC182" s="1312"/>
      <c r="OD182" s="1312"/>
      <c r="OE182" s="1312"/>
      <c r="OF182" s="1312"/>
      <c r="OG182" s="1312"/>
      <c r="OH182" s="1312"/>
      <c r="OI182" s="1312"/>
      <c r="OJ182" s="1312"/>
      <c r="OK182" s="1312"/>
      <c r="OL182" s="1312"/>
      <c r="OM182" s="1312"/>
      <c r="ON182" s="1312"/>
      <c r="OO182" s="1312"/>
      <c r="OP182" s="1312"/>
      <c r="OQ182" s="1312"/>
      <c r="OR182" s="1312"/>
      <c r="OS182" s="1312"/>
      <c r="OT182" s="1312"/>
      <c r="OU182" s="1312"/>
      <c r="OV182" s="1312"/>
      <c r="OW182" s="1312"/>
      <c r="OX182" s="1312"/>
      <c r="OY182" s="1312"/>
      <c r="OZ182" s="1312"/>
      <c r="PA182" s="1312"/>
      <c r="PB182" s="1312"/>
      <c r="PC182" s="1312"/>
      <c r="PD182" s="1312"/>
      <c r="PE182" s="1312"/>
      <c r="PF182" s="1312"/>
      <c r="PG182" s="1312"/>
      <c r="PH182" s="1312"/>
      <c r="PI182" s="1312"/>
      <c r="PJ182" s="1312"/>
      <c r="PK182" s="1312"/>
      <c r="PL182" s="1312"/>
      <c r="PM182" s="1312"/>
      <c r="PN182" s="1312"/>
      <c r="PO182" s="1312"/>
      <c r="PP182" s="1312"/>
      <c r="PQ182" s="1312"/>
      <c r="PR182" s="1312"/>
      <c r="PS182" s="1312"/>
      <c r="PT182" s="1312"/>
      <c r="PU182" s="1312"/>
      <c r="PV182" s="1312"/>
      <c r="PW182" s="1312"/>
      <c r="PX182" s="1312"/>
      <c r="PY182" s="1312"/>
      <c r="PZ182" s="1312"/>
      <c r="QA182" s="1312"/>
      <c r="QB182" s="1312"/>
      <c r="QC182" s="1312"/>
      <c r="QD182" s="1312"/>
      <c r="QE182" s="1312"/>
      <c r="QF182" s="1312"/>
      <c r="QG182" s="1312"/>
      <c r="QH182" s="1312"/>
      <c r="QI182" s="1312"/>
      <c r="QJ182" s="1312"/>
      <c r="QK182" s="1312"/>
      <c r="QL182" s="1312"/>
      <c r="QM182" s="1312"/>
      <c r="QN182" s="1312"/>
      <c r="QO182" s="1312"/>
      <c r="QP182" s="1312"/>
      <c r="QQ182" s="1312"/>
      <c r="QR182" s="1312"/>
      <c r="QS182" s="1312"/>
      <c r="QT182" s="1312"/>
      <c r="QU182" s="1312"/>
      <c r="QV182" s="1312"/>
      <c r="QW182" s="1312"/>
      <c r="QX182" s="1312"/>
      <c r="QY182" s="1312"/>
      <c r="QZ182" s="1312"/>
      <c r="RA182" s="1312"/>
      <c r="RB182" s="1312"/>
      <c r="RC182" s="1312"/>
      <c r="RD182" s="1312"/>
      <c r="RE182" s="1312"/>
      <c r="RF182" s="1312"/>
      <c r="RG182" s="1312"/>
      <c r="RH182" s="1312"/>
      <c r="RI182" s="1312"/>
      <c r="RJ182" s="1312"/>
      <c r="RK182" s="1312"/>
      <c r="RL182" s="1312"/>
      <c r="RM182" s="1312"/>
      <c r="RN182" s="1312"/>
      <c r="RO182" s="1312"/>
      <c r="RP182" s="1312"/>
      <c r="RQ182" s="1312"/>
      <c r="RR182" s="1312"/>
      <c r="RS182" s="1312"/>
      <c r="RT182" s="1312"/>
      <c r="RU182" s="1312"/>
      <c r="RV182" s="1312"/>
      <c r="RW182" s="1312"/>
      <c r="RX182" s="1312"/>
      <c r="RY182" s="1312"/>
      <c r="RZ182" s="1312"/>
      <c r="SA182" s="1312"/>
      <c r="SB182" s="1312"/>
      <c r="SC182" s="1312"/>
      <c r="SD182" s="1312"/>
      <c r="SE182" s="1312"/>
      <c r="SF182" s="1312"/>
      <c r="SG182" s="1312"/>
      <c r="SH182" s="1312"/>
      <c r="SI182" s="1312"/>
      <c r="SJ182" s="1312"/>
      <c r="SK182" s="1312"/>
      <c r="SL182" s="1312"/>
      <c r="SM182" s="1312"/>
      <c r="SN182" s="1312"/>
      <c r="SO182" s="1312"/>
      <c r="SP182" s="1312"/>
      <c r="SQ182" s="1312"/>
      <c r="SR182" s="1312"/>
      <c r="SS182" s="1312"/>
      <c r="ST182" s="1312"/>
      <c r="SU182" s="1312"/>
      <c r="SV182" s="1312"/>
      <c r="SW182" s="1312"/>
      <c r="SX182" s="1312"/>
      <c r="SY182" s="1312"/>
      <c r="SZ182" s="1312"/>
      <c r="TA182" s="1312"/>
      <c r="TB182" s="1312"/>
      <c r="TC182" s="1312"/>
      <c r="TD182" s="1312"/>
      <c r="TE182" s="1312"/>
      <c r="TF182" s="1312"/>
      <c r="TG182" s="1312"/>
      <c r="TH182" s="1312"/>
      <c r="TI182" s="1312"/>
      <c r="TJ182" s="1312"/>
      <c r="TK182" s="1312"/>
      <c r="TL182" s="1312"/>
      <c r="TM182" s="1312"/>
      <c r="TN182" s="1312"/>
      <c r="TO182" s="1312"/>
      <c r="TP182" s="1312"/>
      <c r="TQ182" s="1312"/>
      <c r="TR182" s="1312"/>
      <c r="TS182" s="1312"/>
      <c r="TT182" s="1312"/>
      <c r="TU182" s="1312"/>
      <c r="TV182" s="1312"/>
      <c r="TW182" s="1312"/>
      <c r="TX182" s="1312"/>
      <c r="TY182" s="1312"/>
      <c r="TZ182" s="1312"/>
      <c r="UA182" s="1312"/>
      <c r="UB182" s="1312"/>
      <c r="UC182" s="1312"/>
      <c r="UD182" s="1312"/>
      <c r="UE182" s="1312"/>
      <c r="UF182" s="1312"/>
      <c r="UG182" s="1312"/>
      <c r="UH182" s="1312"/>
      <c r="UI182" s="1312"/>
      <c r="UJ182" s="1312"/>
      <c r="UK182" s="1312"/>
      <c r="UL182" s="1312"/>
      <c r="UM182" s="1312"/>
      <c r="UN182" s="1312"/>
      <c r="UO182" s="1312"/>
      <c r="UP182" s="1312"/>
      <c r="UQ182" s="1312"/>
      <c r="UR182" s="1312"/>
      <c r="US182" s="1312"/>
      <c r="UT182" s="1312"/>
      <c r="UU182" s="1312"/>
      <c r="UV182" s="1312"/>
      <c r="UW182" s="1312"/>
      <c r="UX182" s="1312"/>
      <c r="UY182" s="1312"/>
      <c r="UZ182" s="1312"/>
      <c r="VA182" s="1312"/>
      <c r="VB182" s="1312"/>
      <c r="VC182" s="1312"/>
      <c r="VD182" s="1312"/>
      <c r="VE182" s="1312"/>
      <c r="VF182" s="1312"/>
      <c r="VG182" s="1312"/>
      <c r="VH182" s="1312"/>
      <c r="VI182" s="1312"/>
      <c r="VJ182" s="1312"/>
      <c r="VK182" s="1312"/>
      <c r="VL182" s="1312"/>
      <c r="VM182" s="1312"/>
      <c r="VN182" s="1312"/>
      <c r="VO182" s="1312"/>
      <c r="VP182" s="1312"/>
      <c r="VQ182" s="1312"/>
      <c r="VR182" s="1312"/>
      <c r="VS182" s="1312"/>
      <c r="VT182" s="1312"/>
      <c r="VU182" s="1312"/>
      <c r="VV182" s="1312"/>
      <c r="VW182" s="1312"/>
      <c r="VX182" s="1312"/>
      <c r="VY182" s="1312"/>
      <c r="VZ182" s="1312"/>
      <c r="WA182" s="1312"/>
      <c r="WB182" s="1312"/>
      <c r="WC182" s="1312"/>
      <c r="WD182" s="1312"/>
      <c r="WE182" s="1312"/>
      <c r="WF182" s="1312"/>
      <c r="WG182" s="1312"/>
      <c r="WH182" s="1312"/>
      <c r="WI182" s="1312"/>
      <c r="WJ182" s="1312"/>
      <c r="WK182" s="1312"/>
      <c r="WL182" s="1312"/>
      <c r="WM182" s="1312"/>
      <c r="WN182" s="1312"/>
      <c r="WO182" s="1312"/>
      <c r="WP182" s="1312"/>
      <c r="WQ182" s="1312"/>
      <c r="WR182" s="1312"/>
      <c r="WS182" s="1312"/>
      <c r="WT182" s="1312"/>
      <c r="WU182" s="1312"/>
      <c r="WV182" s="1312"/>
      <c r="WW182" s="1312"/>
      <c r="WX182" s="1312"/>
      <c r="WY182" s="1312"/>
      <c r="WZ182" s="1312"/>
      <c r="XA182" s="1312"/>
      <c r="XB182" s="1312"/>
      <c r="XC182" s="1312"/>
      <c r="XD182" s="1312"/>
      <c r="XE182" s="1312"/>
      <c r="XF182" s="1312"/>
      <c r="XG182" s="1312"/>
      <c r="XH182" s="1312"/>
      <c r="XI182" s="1312"/>
      <c r="XJ182" s="1312"/>
      <c r="XK182" s="1312"/>
      <c r="XL182" s="1312"/>
      <c r="XM182" s="1312"/>
      <c r="XN182" s="1312"/>
      <c r="XO182" s="1312"/>
      <c r="XP182" s="1312"/>
      <c r="XQ182" s="1312"/>
      <c r="XR182" s="1312"/>
      <c r="XS182" s="1312"/>
      <c r="XT182" s="1312"/>
      <c r="XU182" s="1312"/>
      <c r="XV182" s="1312"/>
      <c r="XW182" s="1312"/>
      <c r="XX182" s="1312"/>
      <c r="XY182" s="1312"/>
      <c r="XZ182" s="1312"/>
      <c r="YA182" s="1312"/>
      <c r="YB182" s="1312"/>
      <c r="YC182" s="1312"/>
      <c r="YD182" s="1312"/>
      <c r="YE182" s="1312"/>
      <c r="YF182" s="1312"/>
      <c r="YG182" s="1312"/>
      <c r="YH182" s="1312"/>
      <c r="YI182" s="1312"/>
      <c r="YJ182" s="1312"/>
      <c r="YK182" s="1312"/>
      <c r="YL182" s="1312"/>
      <c r="YM182" s="1312"/>
      <c r="YN182" s="1312"/>
      <c r="YO182" s="1312"/>
      <c r="YP182" s="1312"/>
      <c r="YQ182" s="1312"/>
      <c r="YR182" s="1312"/>
      <c r="YS182" s="1312"/>
      <c r="YT182" s="1312"/>
      <c r="YU182" s="1312"/>
      <c r="YV182" s="1312"/>
      <c r="YW182" s="1312"/>
      <c r="YX182" s="1312"/>
      <c r="YY182" s="1312"/>
      <c r="YZ182" s="1312"/>
      <c r="ZA182" s="1312"/>
      <c r="ZB182" s="1312"/>
      <c r="ZC182" s="1312"/>
      <c r="ZD182" s="1312"/>
      <c r="ZE182" s="1312"/>
      <c r="ZF182" s="1312"/>
      <c r="ZG182" s="1312"/>
      <c r="ZH182" s="1312"/>
      <c r="ZI182" s="1312"/>
      <c r="ZJ182" s="1312"/>
      <c r="ZK182" s="1312"/>
      <c r="ZL182" s="1312"/>
      <c r="ZM182" s="1312"/>
      <c r="ZN182" s="1312"/>
      <c r="ZO182" s="1312"/>
      <c r="ZP182" s="1312"/>
      <c r="ZQ182" s="1312"/>
      <c r="ZR182" s="1312"/>
      <c r="ZS182" s="1312"/>
      <c r="ZT182" s="1312"/>
      <c r="ZU182" s="1312"/>
      <c r="ZV182" s="1312"/>
      <c r="ZW182" s="1312"/>
      <c r="ZX182" s="1312"/>
      <c r="ZY182" s="1312"/>
      <c r="ZZ182" s="1312"/>
      <c r="AAA182" s="1312"/>
      <c r="AAB182" s="1312"/>
      <c r="AAC182" s="1312"/>
      <c r="AAD182" s="1312"/>
      <c r="AAE182" s="1312"/>
      <c r="AAF182" s="1312"/>
      <c r="AAG182" s="1312"/>
      <c r="AAH182" s="1312"/>
      <c r="AAI182" s="1312"/>
      <c r="AAJ182" s="1312"/>
      <c r="AAK182" s="1312"/>
      <c r="AAL182" s="1312"/>
      <c r="AAM182" s="1312"/>
      <c r="AAN182" s="1312"/>
      <c r="AAO182" s="1312"/>
      <c r="AAP182" s="1312"/>
      <c r="AAQ182" s="1312"/>
      <c r="AAR182" s="1312"/>
      <c r="AAS182" s="1312"/>
      <c r="AAT182" s="1312"/>
      <c r="AAU182" s="1312"/>
      <c r="AAV182" s="1312"/>
      <c r="AAW182" s="1312"/>
      <c r="AAX182" s="1312"/>
      <c r="AAY182" s="1312"/>
      <c r="AAZ182" s="1312"/>
      <c r="ABA182" s="1312"/>
      <c r="ABB182" s="1312"/>
      <c r="ABC182" s="1312"/>
      <c r="ABD182" s="1312"/>
      <c r="ABE182" s="1312"/>
      <c r="ABF182" s="1312"/>
      <c r="ABG182" s="1312"/>
      <c r="ABH182" s="1312"/>
      <c r="ABI182" s="1312"/>
      <c r="ABJ182" s="1312"/>
      <c r="ABK182" s="1312"/>
      <c r="ABL182" s="1312"/>
      <c r="ABM182" s="1312"/>
      <c r="ABN182" s="1312"/>
      <c r="ABO182" s="1312"/>
      <c r="ABP182" s="1312"/>
      <c r="ABQ182" s="1312"/>
      <c r="ABR182" s="1312"/>
      <c r="ABS182" s="1312"/>
      <c r="ABT182" s="1312"/>
      <c r="ABU182" s="1312"/>
      <c r="ABV182" s="1312"/>
      <c r="ABW182" s="1312"/>
      <c r="ABX182" s="1312"/>
      <c r="ABY182" s="1312"/>
      <c r="ABZ182" s="1312"/>
      <c r="ACA182" s="1312"/>
      <c r="ACB182" s="1312"/>
      <c r="ACC182" s="1312"/>
      <c r="ACD182" s="1312"/>
      <c r="ACE182" s="1312"/>
      <c r="ACF182" s="1312"/>
      <c r="ACG182" s="1312"/>
      <c r="ACH182" s="1312"/>
      <c r="ACI182" s="1312"/>
      <c r="ACJ182" s="1312"/>
      <c r="ACK182" s="1312"/>
      <c r="ACL182" s="1312"/>
      <c r="ACM182" s="1312"/>
      <c r="ACN182" s="1312"/>
      <c r="ACO182" s="1312"/>
      <c r="ACP182" s="1312"/>
      <c r="ACQ182" s="1312"/>
      <c r="ACR182" s="1312"/>
      <c r="ACS182" s="1312"/>
      <c r="ACT182" s="1312"/>
      <c r="ACU182" s="1312"/>
      <c r="ACV182" s="1312"/>
      <c r="ACW182" s="1312"/>
      <c r="ACX182" s="1312"/>
      <c r="ACY182" s="1312"/>
      <c r="ACZ182" s="1312"/>
      <c r="ADA182" s="1312"/>
      <c r="ADB182" s="1312"/>
      <c r="ADC182" s="1312"/>
      <c r="ADD182" s="1312"/>
      <c r="ADE182" s="1312"/>
      <c r="ADF182" s="1312"/>
      <c r="ADG182" s="1312"/>
      <c r="ADH182" s="1312"/>
      <c r="ADI182" s="1312"/>
      <c r="ADJ182" s="1312"/>
      <c r="ADK182" s="1312"/>
      <c r="ADL182" s="1312"/>
      <c r="ADM182" s="1312"/>
      <c r="ADN182" s="1312"/>
      <c r="ADO182" s="1312"/>
      <c r="ADP182" s="1312"/>
      <c r="ADQ182" s="1312"/>
      <c r="ADR182" s="1312"/>
      <c r="ADS182" s="1312"/>
      <c r="ADT182" s="1312"/>
      <c r="ADU182" s="1312"/>
      <c r="ADV182" s="1312"/>
      <c r="ADW182" s="1312"/>
      <c r="ADX182" s="1312"/>
      <c r="ADY182" s="1312"/>
      <c r="ADZ182" s="1312"/>
      <c r="AEA182" s="1312"/>
      <c r="AEB182" s="1312"/>
      <c r="AEC182" s="1312"/>
      <c r="AED182" s="1312"/>
      <c r="AEE182" s="1312"/>
      <c r="AEF182" s="1312"/>
      <c r="AEG182" s="1312"/>
      <c r="AEH182" s="1312"/>
      <c r="AEI182" s="1312"/>
      <c r="AEJ182" s="1312"/>
      <c r="AEK182" s="1312"/>
      <c r="AEL182" s="1312"/>
      <c r="AEM182" s="1312"/>
      <c r="AEN182" s="1312"/>
      <c r="AEO182" s="1312"/>
      <c r="AEP182" s="1312"/>
      <c r="AEQ182" s="1312"/>
      <c r="AER182" s="1312"/>
      <c r="AES182" s="1312"/>
      <c r="AET182" s="1312"/>
      <c r="AEU182" s="1312"/>
      <c r="AEV182" s="1312"/>
      <c r="AEW182" s="1312"/>
      <c r="AEX182" s="1312"/>
      <c r="AEY182" s="1312"/>
      <c r="AEZ182" s="1312"/>
      <c r="AFA182" s="1312"/>
      <c r="AFB182" s="1312"/>
      <c r="AFC182" s="1312"/>
      <c r="AFD182" s="1312"/>
      <c r="AFE182" s="1312"/>
      <c r="AFF182" s="1312"/>
      <c r="AFG182" s="1312"/>
      <c r="AFH182" s="1312"/>
      <c r="AFI182" s="1312"/>
      <c r="AFJ182" s="1312"/>
      <c r="AFK182" s="1312"/>
      <c r="AFL182" s="1312"/>
      <c r="AFM182" s="1312"/>
      <c r="AFN182" s="1312"/>
      <c r="AFO182" s="1312"/>
      <c r="AFP182" s="1312"/>
      <c r="AFQ182" s="1312"/>
      <c r="AFR182" s="1312"/>
      <c r="AFS182" s="1312"/>
      <c r="AFT182" s="1312"/>
      <c r="AFU182" s="1312"/>
      <c r="AFV182" s="1312"/>
      <c r="AFW182" s="1312"/>
      <c r="AFX182" s="1312"/>
      <c r="AFY182" s="1312"/>
      <c r="AFZ182" s="1312"/>
      <c r="AGA182" s="1312"/>
      <c r="AGB182" s="1312"/>
      <c r="AGC182" s="1312"/>
      <c r="AGD182" s="1312"/>
      <c r="AGE182" s="1312"/>
      <c r="AGF182" s="1312"/>
      <c r="AGG182" s="1312"/>
      <c r="AGH182" s="1312"/>
      <c r="AGI182" s="1312"/>
      <c r="AGJ182" s="1312"/>
      <c r="AGK182" s="1312"/>
      <c r="AGL182" s="1312"/>
      <c r="AGM182" s="1312"/>
      <c r="AGN182" s="1312"/>
      <c r="AGO182" s="1312"/>
      <c r="AGP182" s="1312"/>
      <c r="AGQ182" s="1312"/>
      <c r="AGR182" s="1312"/>
      <c r="AGS182" s="1312"/>
      <c r="AGT182" s="1312"/>
      <c r="AGU182" s="1312"/>
      <c r="AGV182" s="1312"/>
      <c r="AGW182" s="1312"/>
      <c r="AGX182" s="1312"/>
      <c r="AGY182" s="1312"/>
      <c r="AGZ182" s="1312"/>
      <c r="AHA182" s="1312"/>
      <c r="AHB182" s="1312"/>
      <c r="AHC182" s="1312"/>
      <c r="AHD182" s="1312"/>
      <c r="AHE182" s="1312"/>
      <c r="AHF182" s="1312"/>
      <c r="AHG182" s="1312"/>
      <c r="AHH182" s="1312"/>
      <c r="AHI182" s="1312"/>
      <c r="AHJ182" s="1312"/>
      <c r="AHK182" s="1312"/>
      <c r="AHL182" s="1312"/>
      <c r="AHM182" s="1312"/>
      <c r="AHN182" s="1312"/>
      <c r="AHO182" s="1312"/>
      <c r="AHP182" s="1312"/>
      <c r="AHQ182" s="1312"/>
      <c r="AHR182" s="1312"/>
      <c r="AHS182" s="1312"/>
      <c r="AHT182" s="1312"/>
      <c r="AHU182" s="1312"/>
      <c r="AHV182" s="1312"/>
      <c r="AHW182" s="1312"/>
      <c r="AHX182" s="1312"/>
      <c r="AHY182" s="1312"/>
      <c r="AHZ182" s="1312"/>
      <c r="AIA182" s="1312"/>
      <c r="AIB182" s="1312"/>
      <c r="AIC182" s="1312"/>
      <c r="AID182" s="1312"/>
      <c r="AIE182" s="1312"/>
      <c r="AIF182" s="1312"/>
      <c r="AIG182" s="1312"/>
      <c r="AIH182" s="1312"/>
      <c r="AII182" s="1312"/>
      <c r="AIJ182" s="1312"/>
      <c r="AIK182" s="1312"/>
      <c r="AIL182" s="1312"/>
      <c r="AIM182" s="1312"/>
      <c r="AIN182" s="1312"/>
      <c r="AIO182" s="1312"/>
      <c r="AIP182" s="1312"/>
      <c r="AIQ182" s="1312"/>
      <c r="AIR182" s="1312"/>
      <c r="AIS182" s="1312"/>
      <c r="AIT182" s="1312"/>
      <c r="AIU182" s="1312"/>
      <c r="AIV182" s="1312"/>
      <c r="AIW182" s="1312"/>
      <c r="AIX182" s="1312"/>
      <c r="AIY182" s="1312"/>
      <c r="AIZ182" s="1312"/>
      <c r="AJA182" s="1312"/>
      <c r="AJB182" s="1312"/>
      <c r="AJC182" s="1312"/>
      <c r="AJD182" s="1312"/>
      <c r="AJE182" s="1312"/>
      <c r="AJF182" s="1312"/>
      <c r="AJG182" s="1312"/>
      <c r="AJH182" s="1312"/>
      <c r="AJI182" s="1312"/>
      <c r="AJJ182" s="1312"/>
      <c r="AJK182" s="1312"/>
      <c r="AJL182" s="1312"/>
      <c r="AJM182" s="1312"/>
      <c r="AJN182" s="1312"/>
      <c r="AJO182" s="1312"/>
      <c r="AJP182" s="1312"/>
      <c r="AJQ182" s="1312"/>
      <c r="AJR182" s="1312"/>
      <c r="AJS182" s="1312"/>
      <c r="AJT182" s="1312"/>
      <c r="AJU182" s="1312"/>
      <c r="AJV182" s="1312"/>
      <c r="AJW182" s="1312"/>
      <c r="AJX182" s="1312"/>
      <c r="AJY182" s="1312"/>
      <c r="AJZ182" s="1312"/>
      <c r="AKA182" s="1312"/>
      <c r="AKB182" s="1312"/>
      <c r="AKC182" s="1312"/>
      <c r="AKD182" s="1312"/>
      <c r="AKE182" s="1312"/>
      <c r="AKF182" s="1312"/>
      <c r="AKG182" s="1312"/>
      <c r="AKH182" s="1312"/>
      <c r="AKI182" s="1312"/>
      <c r="AKJ182" s="1312"/>
      <c r="AKK182" s="1312"/>
      <c r="AKL182" s="1312"/>
      <c r="AKM182" s="1312"/>
      <c r="AKN182" s="1312"/>
      <c r="AKO182" s="1312"/>
      <c r="AKP182" s="1312"/>
      <c r="AKQ182" s="1312"/>
      <c r="AKR182" s="1312"/>
      <c r="AKS182" s="1312"/>
      <c r="AKT182" s="1312"/>
      <c r="AKU182" s="1312"/>
      <c r="AKV182" s="1312"/>
      <c r="AKW182" s="1312"/>
      <c r="AKX182" s="1312"/>
      <c r="AKY182" s="1312"/>
      <c r="AKZ182" s="1312"/>
      <c r="ALA182" s="1312"/>
      <c r="ALB182" s="1312"/>
      <c r="ALC182" s="1312"/>
      <c r="ALD182" s="1312"/>
      <c r="ALE182" s="1312"/>
      <c r="ALF182" s="1312"/>
      <c r="ALG182" s="1312"/>
      <c r="ALH182" s="1312"/>
      <c r="ALI182" s="1312"/>
      <c r="ALJ182" s="1312"/>
      <c r="ALK182" s="1312"/>
      <c r="ALL182" s="1312"/>
      <c r="ALM182" s="1312"/>
      <c r="ALN182" s="1312"/>
      <c r="ALO182" s="1312"/>
      <c r="ALP182" s="1312"/>
      <c r="ALQ182" s="1312"/>
      <c r="ALR182" s="1312"/>
      <c r="ALS182" s="1312"/>
      <c r="ALT182" s="1312"/>
      <c r="ALU182" s="1312"/>
      <c r="ALV182" s="1312"/>
      <c r="ALW182" s="1312"/>
      <c r="ALX182" s="1312"/>
      <c r="ALY182" s="1312"/>
      <c r="ALZ182" s="1312"/>
      <c r="AMA182" s="1312"/>
      <c r="AMB182" s="1312"/>
      <c r="AMC182" s="1312"/>
      <c r="AMD182" s="1312"/>
      <c r="AME182" s="1312"/>
      <c r="AMF182" s="1312"/>
      <c r="AMG182" s="1312"/>
      <c r="AMH182" s="1312"/>
      <c r="AMI182" s="1312"/>
      <c r="AMJ182" s="1312"/>
      <c r="AMK182" s="1312"/>
      <c r="AML182" s="1312"/>
      <c r="AMM182" s="1312"/>
      <c r="AMN182" s="1312"/>
      <c r="AMO182" s="1312"/>
      <c r="AMP182" s="1312"/>
      <c r="AMQ182" s="1312"/>
      <c r="AMR182" s="1312"/>
      <c r="AMS182" s="1312"/>
      <c r="AMT182" s="1312"/>
      <c r="AMU182" s="1312"/>
      <c r="AMV182" s="1312"/>
      <c r="AMW182" s="1312"/>
      <c r="AMX182" s="1312"/>
      <c r="AMY182" s="1312"/>
      <c r="AMZ182" s="1312"/>
      <c r="ANA182" s="1312"/>
      <c r="ANB182" s="1312"/>
      <c r="ANC182" s="1312"/>
      <c r="AND182" s="1312"/>
      <c r="ANE182" s="1312"/>
      <c r="ANF182" s="1312"/>
      <c r="ANG182" s="1312"/>
      <c r="ANH182" s="1312"/>
      <c r="ANI182" s="1312"/>
      <c r="ANJ182" s="1312"/>
      <c r="ANK182" s="1312"/>
      <c r="ANL182" s="1312"/>
      <c r="ANM182" s="1312"/>
      <c r="ANN182" s="1312"/>
      <c r="ANO182" s="1312"/>
      <c r="ANP182" s="1312"/>
      <c r="ANQ182" s="1312"/>
      <c r="ANR182" s="1312"/>
      <c r="ANS182" s="1312"/>
      <c r="ANT182" s="1312"/>
      <c r="ANU182" s="1312"/>
      <c r="ANV182" s="1312"/>
      <c r="ANW182" s="1312"/>
      <c r="ANX182" s="1312"/>
      <c r="ANY182" s="1312"/>
      <c r="ANZ182" s="1312"/>
      <c r="AOA182" s="1312"/>
      <c r="AOB182" s="1312"/>
      <c r="AOC182" s="1312"/>
      <c r="AOD182" s="1312"/>
      <c r="AOE182" s="1312"/>
      <c r="AOF182" s="1312"/>
      <c r="AOG182" s="1312"/>
      <c r="AOH182" s="1312"/>
      <c r="AOI182" s="1312"/>
      <c r="AOJ182" s="1312"/>
      <c r="AOK182" s="1312"/>
      <c r="AOL182" s="1312"/>
      <c r="AOM182" s="1312"/>
      <c r="AON182" s="1312"/>
      <c r="AOO182" s="1312"/>
      <c r="AOP182" s="1312"/>
      <c r="AOQ182" s="1312"/>
      <c r="AOR182" s="1312"/>
      <c r="AOS182" s="1312"/>
      <c r="AOT182" s="1312"/>
      <c r="AOU182" s="1312"/>
      <c r="AOV182" s="1312"/>
      <c r="AOW182" s="1312"/>
      <c r="AOX182" s="1312"/>
      <c r="AOY182" s="1312"/>
      <c r="AOZ182" s="1312"/>
      <c r="APA182" s="1312"/>
      <c r="APB182" s="1312"/>
      <c r="APC182" s="1312"/>
      <c r="APD182" s="1312"/>
      <c r="APE182" s="1312"/>
      <c r="APF182" s="1312"/>
      <c r="APG182" s="1312"/>
      <c r="APH182" s="1312"/>
      <c r="API182" s="1312"/>
      <c r="APJ182" s="1312"/>
      <c r="APK182" s="1312"/>
      <c r="APL182" s="1312"/>
      <c r="APM182" s="1312"/>
      <c r="APN182" s="1312"/>
      <c r="APO182" s="1312"/>
      <c r="APP182" s="1312"/>
      <c r="APQ182" s="1312"/>
      <c r="APR182" s="1312"/>
      <c r="APS182" s="1312"/>
      <c r="APT182" s="1312"/>
      <c r="APU182" s="1312"/>
      <c r="APV182" s="1312"/>
      <c r="APW182" s="1312"/>
      <c r="APX182" s="1312"/>
      <c r="APY182" s="1312"/>
      <c r="APZ182" s="1312"/>
      <c r="AQA182" s="1312"/>
      <c r="AQB182" s="1312"/>
      <c r="AQC182" s="1312"/>
      <c r="AQD182" s="1312"/>
      <c r="AQE182" s="1312"/>
      <c r="AQF182" s="1312"/>
      <c r="AQG182" s="1312"/>
      <c r="AQH182" s="1312"/>
      <c r="AQI182" s="1312"/>
      <c r="AQJ182" s="1312"/>
      <c r="AQK182" s="1312"/>
      <c r="AQL182" s="1312"/>
      <c r="AQM182" s="1312"/>
      <c r="AQN182" s="1312"/>
      <c r="AQO182" s="1312"/>
      <c r="AQP182" s="1312"/>
      <c r="AQQ182" s="1312"/>
      <c r="AQR182" s="1312"/>
      <c r="AQS182" s="1312"/>
      <c r="AQT182" s="1312"/>
      <c r="AQU182" s="1312"/>
      <c r="AQV182" s="1312"/>
      <c r="AQW182" s="1312"/>
      <c r="AQX182" s="1312"/>
      <c r="AQY182" s="1312"/>
      <c r="AQZ182" s="1312"/>
      <c r="ARA182" s="1312"/>
      <c r="ARB182" s="1312"/>
      <c r="ARC182" s="1312"/>
      <c r="ARD182" s="1312"/>
      <c r="ARE182" s="1312"/>
      <c r="ARF182" s="1312"/>
      <c r="ARG182" s="1312"/>
      <c r="ARH182" s="1312"/>
      <c r="ARI182" s="1312"/>
      <c r="ARJ182" s="1312"/>
      <c r="ARK182" s="1312"/>
      <c r="ARL182" s="1312"/>
      <c r="ARM182" s="1312"/>
      <c r="ARN182" s="1312"/>
      <c r="ARO182" s="1312"/>
      <c r="ARP182" s="1312"/>
      <c r="ARQ182" s="1312"/>
      <c r="ARR182" s="1312"/>
      <c r="ARS182" s="1312"/>
      <c r="ART182" s="1312"/>
      <c r="ARU182" s="1312"/>
      <c r="ARV182" s="1312"/>
      <c r="ARW182" s="1312"/>
      <c r="ARX182" s="1312"/>
      <c r="ARY182" s="1312"/>
      <c r="ARZ182" s="1312"/>
      <c r="ASA182" s="1312"/>
      <c r="ASB182" s="1312"/>
      <c r="ASC182" s="1312"/>
      <c r="ASD182" s="1312"/>
      <c r="ASE182" s="1312"/>
      <c r="ASF182" s="1312"/>
      <c r="ASG182" s="1312"/>
      <c r="ASH182" s="1312"/>
      <c r="ASI182" s="1312"/>
      <c r="ASJ182" s="1312"/>
      <c r="ASK182" s="1312"/>
      <c r="ASL182" s="1312"/>
      <c r="ASM182" s="1312"/>
      <c r="ASN182" s="1312"/>
      <c r="ASO182" s="1312"/>
      <c r="ASP182" s="1312"/>
      <c r="ASQ182" s="1312"/>
      <c r="ASR182" s="1312"/>
      <c r="ASS182" s="1312"/>
      <c r="AST182" s="1312"/>
      <c r="ASU182" s="1312"/>
      <c r="ASV182" s="1312"/>
      <c r="ASW182" s="1312"/>
      <c r="ASX182" s="1312"/>
      <c r="ASY182" s="1312"/>
      <c r="ASZ182" s="1312"/>
      <c r="ATA182" s="1312"/>
      <c r="ATB182" s="1312"/>
      <c r="ATC182" s="1312"/>
      <c r="ATD182" s="1312"/>
      <c r="ATE182" s="1312"/>
    </row>
    <row r="183" spans="1:1201" s="1376" customFormat="1" x14ac:dyDescent="0.3">
      <c r="A183" s="1324"/>
      <c r="B183" s="1324"/>
      <c r="C183" s="1313" t="s">
        <v>1205</v>
      </c>
      <c r="D183" s="1377"/>
      <c r="E183" s="1377"/>
      <c r="F183" s="1377"/>
      <c r="G183" s="1378"/>
      <c r="H183" s="1378"/>
      <c r="I183" s="1319"/>
      <c r="J183" s="1319"/>
      <c r="K183" s="1319"/>
      <c r="L183" s="1319"/>
      <c r="M183" s="1319"/>
      <c r="N183" s="1319"/>
      <c r="O183" s="1319"/>
      <c r="P183" s="1319"/>
      <c r="Q183" s="1319"/>
      <c r="R183" s="1319"/>
      <c r="S183" s="1318"/>
      <c r="T183" s="1318"/>
      <c r="U183" s="1318"/>
      <c r="V183" s="1318"/>
      <c r="W183" s="1318"/>
      <c r="X183" s="1318"/>
      <c r="Y183" s="1318"/>
      <c r="Z183" s="1320"/>
      <c r="AA183" s="1320"/>
      <c r="AB183" s="1320"/>
      <c r="AC183" s="1320"/>
      <c r="AD183" s="1320"/>
      <c r="AE183" s="1321"/>
      <c r="AF183" s="1321"/>
      <c r="AG183" s="1321"/>
      <c r="AH183" s="1321"/>
      <c r="AI183" s="1321"/>
      <c r="AJ183" s="1321"/>
      <c r="AK183" s="1321">
        <f>'HEC Financials'!AZ146</f>
        <v>328000</v>
      </c>
      <c r="AL183" s="1321">
        <f>'HEC Financials'!BA146</f>
        <v>328000</v>
      </c>
      <c r="AM183" s="1321">
        <f>'HEC Financials'!BB146</f>
        <v>328000</v>
      </c>
      <c r="AN183" s="1321">
        <f>'HEC Financials'!BC146</f>
        <v>328000</v>
      </c>
      <c r="AO183" s="1321">
        <f>'HEC Financials'!BD146</f>
        <v>328000</v>
      </c>
      <c r="AP183" s="1319">
        <f t="shared" ref="AP183:BC184" si="317">AO183</f>
        <v>328000</v>
      </c>
      <c r="AQ183" s="1319">
        <f t="shared" si="317"/>
        <v>328000</v>
      </c>
      <c r="AR183" s="1613">
        <f t="shared" si="317"/>
        <v>328000</v>
      </c>
      <c r="AS183" s="1319">
        <f t="shared" si="317"/>
        <v>328000</v>
      </c>
      <c r="AT183" s="1319">
        <f t="shared" si="317"/>
        <v>328000</v>
      </c>
      <c r="AU183" s="1319">
        <f t="shared" si="317"/>
        <v>328000</v>
      </c>
      <c r="AV183" s="1319">
        <f t="shared" si="317"/>
        <v>328000</v>
      </c>
      <c r="AW183" s="1319">
        <f t="shared" si="317"/>
        <v>328000</v>
      </c>
      <c r="AX183" s="1319">
        <f t="shared" si="317"/>
        <v>328000</v>
      </c>
      <c r="AY183" s="1319">
        <f t="shared" si="317"/>
        <v>328000</v>
      </c>
      <c r="AZ183" s="1319">
        <f t="shared" si="317"/>
        <v>328000</v>
      </c>
      <c r="BA183" s="1319">
        <f t="shared" si="317"/>
        <v>328000</v>
      </c>
      <c r="BB183" s="1319">
        <f t="shared" si="317"/>
        <v>328000</v>
      </c>
      <c r="BC183" s="1319">
        <f t="shared" si="317"/>
        <v>328000</v>
      </c>
      <c r="BE183" s="1379">
        <v>0</v>
      </c>
      <c r="BF183" s="1321">
        <f t="shared" si="312"/>
        <v>328000</v>
      </c>
      <c r="BG183" s="1379">
        <f t="shared" si="313"/>
        <v>328000</v>
      </c>
      <c r="BH183" s="1312"/>
      <c r="BI183" s="1312"/>
      <c r="BJ183" s="1312"/>
      <c r="BK183" s="1312"/>
      <c r="BL183" s="1312"/>
      <c r="BM183" s="1312"/>
      <c r="BN183" s="1312"/>
      <c r="BO183" s="1312"/>
      <c r="BP183" s="1312"/>
      <c r="BQ183" s="1312"/>
      <c r="BR183" s="1312"/>
      <c r="BS183" s="1312"/>
      <c r="BT183" s="1312"/>
      <c r="BU183" s="1312"/>
      <c r="BV183" s="1312"/>
      <c r="BW183" s="1312"/>
      <c r="BX183" s="1312"/>
      <c r="BY183" s="1312"/>
      <c r="BZ183" s="1312"/>
      <c r="CA183" s="1312"/>
      <c r="CB183" s="1312"/>
      <c r="CC183" s="1312"/>
      <c r="CD183" s="1312"/>
      <c r="CE183" s="1312"/>
      <c r="CF183" s="1312"/>
      <c r="CG183" s="1312"/>
      <c r="CH183" s="1312"/>
      <c r="CI183" s="1312"/>
      <c r="CJ183" s="1312"/>
      <c r="CK183" s="1312"/>
      <c r="CL183" s="1312"/>
      <c r="CM183" s="1312"/>
      <c r="CN183" s="1312"/>
      <c r="CO183" s="1312"/>
      <c r="CP183" s="1312"/>
      <c r="CQ183" s="1312"/>
      <c r="CR183" s="1312"/>
      <c r="CS183" s="1312"/>
      <c r="CT183" s="1312"/>
      <c r="CU183" s="1312"/>
      <c r="CV183" s="1312"/>
      <c r="CW183" s="1312"/>
      <c r="CX183" s="1312"/>
      <c r="CY183" s="1312"/>
      <c r="CZ183" s="1312"/>
      <c r="DA183" s="1312"/>
      <c r="DB183" s="1312"/>
      <c r="DC183" s="1312"/>
      <c r="DD183" s="1312"/>
      <c r="DE183" s="1312"/>
      <c r="DF183" s="1312"/>
      <c r="DG183" s="1312"/>
      <c r="DH183" s="1312"/>
      <c r="DI183" s="1312"/>
      <c r="DJ183" s="1312"/>
      <c r="DK183" s="1312"/>
      <c r="DL183" s="1312"/>
      <c r="DM183" s="1312"/>
      <c r="DN183" s="1312"/>
      <c r="DO183" s="1312"/>
      <c r="DP183" s="1312"/>
      <c r="DQ183" s="1312"/>
      <c r="DR183" s="1312"/>
      <c r="DS183" s="1312"/>
      <c r="DT183" s="1312"/>
      <c r="DU183" s="1312"/>
      <c r="DV183" s="1312"/>
      <c r="DW183" s="1312"/>
      <c r="DX183" s="1312"/>
      <c r="DY183" s="1312"/>
      <c r="DZ183" s="1312"/>
      <c r="EA183" s="1312"/>
      <c r="EB183" s="1312"/>
      <c r="EC183" s="1312"/>
      <c r="ED183" s="1312"/>
      <c r="EE183" s="1312"/>
      <c r="EF183" s="1312"/>
      <c r="EG183" s="1312"/>
      <c r="EH183" s="1312"/>
      <c r="EI183" s="1312"/>
      <c r="EJ183" s="1312"/>
      <c r="EK183" s="1312"/>
      <c r="EL183" s="1312"/>
      <c r="EM183" s="1312"/>
      <c r="EN183" s="1312"/>
      <c r="EO183" s="1312"/>
      <c r="EP183" s="1312"/>
      <c r="EQ183" s="1312"/>
      <c r="ER183" s="1312"/>
      <c r="ES183" s="1312"/>
      <c r="ET183" s="1312"/>
      <c r="EU183" s="1312"/>
      <c r="EV183" s="1312"/>
      <c r="EW183" s="1312"/>
      <c r="EX183" s="1312"/>
      <c r="EY183" s="1312"/>
      <c r="EZ183" s="1312"/>
      <c r="FA183" s="1312"/>
      <c r="FB183" s="1312"/>
      <c r="FC183" s="1312"/>
      <c r="FD183" s="1312"/>
      <c r="FE183" s="1312"/>
      <c r="FF183" s="1312"/>
      <c r="FG183" s="1312"/>
      <c r="FH183" s="1312"/>
      <c r="FI183" s="1312"/>
      <c r="FJ183" s="1312"/>
      <c r="FK183" s="1312"/>
      <c r="FL183" s="1312"/>
      <c r="FM183" s="1312"/>
      <c r="FN183" s="1312"/>
      <c r="FO183" s="1312"/>
      <c r="FP183" s="1312"/>
      <c r="FQ183" s="1312"/>
      <c r="FR183" s="1312"/>
      <c r="FS183" s="1312"/>
      <c r="FT183" s="1312"/>
      <c r="FU183" s="1312"/>
      <c r="FV183" s="1312"/>
      <c r="FW183" s="1312"/>
      <c r="FX183" s="1312"/>
      <c r="FY183" s="1312"/>
      <c r="FZ183" s="1312"/>
      <c r="GA183" s="1312"/>
      <c r="GB183" s="1312"/>
      <c r="GC183" s="1312"/>
      <c r="GD183" s="1312"/>
      <c r="GE183" s="1312"/>
      <c r="GF183" s="1312"/>
      <c r="GG183" s="1312"/>
      <c r="GH183" s="1312"/>
      <c r="GI183" s="1312"/>
      <c r="GJ183" s="1312"/>
      <c r="GK183" s="1312"/>
      <c r="GL183" s="1312"/>
      <c r="GM183" s="1312"/>
      <c r="GN183" s="1312"/>
      <c r="GO183" s="1312"/>
      <c r="GP183" s="1312"/>
      <c r="GQ183" s="1312"/>
      <c r="GR183" s="1312"/>
      <c r="GS183" s="1312"/>
      <c r="GT183" s="1312"/>
      <c r="GU183" s="1312"/>
      <c r="GV183" s="1312"/>
      <c r="GW183" s="1312"/>
      <c r="GX183" s="1312"/>
      <c r="GY183" s="1312"/>
      <c r="GZ183" s="1312"/>
      <c r="HA183" s="1312"/>
      <c r="HB183" s="1312"/>
      <c r="HC183" s="1312"/>
      <c r="HD183" s="1312"/>
      <c r="HE183" s="1312"/>
      <c r="HF183" s="1312"/>
      <c r="HG183" s="1312"/>
      <c r="HH183" s="1312"/>
      <c r="HI183" s="1312"/>
      <c r="HJ183" s="1312"/>
      <c r="HK183" s="1312"/>
      <c r="HL183" s="1312"/>
      <c r="HM183" s="1312"/>
      <c r="HN183" s="1312"/>
      <c r="HO183" s="1312"/>
      <c r="HP183" s="1312"/>
      <c r="HQ183" s="1312"/>
      <c r="HR183" s="1312"/>
      <c r="HS183" s="1312"/>
      <c r="HT183" s="1312"/>
      <c r="HU183" s="1312"/>
      <c r="HV183" s="1312"/>
      <c r="HW183" s="1312"/>
      <c r="HX183" s="1312"/>
      <c r="HY183" s="1312"/>
      <c r="HZ183" s="1312"/>
      <c r="IA183" s="1312"/>
      <c r="IB183" s="1312"/>
      <c r="IC183" s="1312"/>
      <c r="ID183" s="1312"/>
      <c r="IE183" s="1312"/>
      <c r="IF183" s="1312"/>
      <c r="IG183" s="1312"/>
      <c r="IH183" s="1312"/>
      <c r="II183" s="1312"/>
      <c r="IJ183" s="1312"/>
      <c r="IK183" s="1312"/>
      <c r="IL183" s="1312"/>
      <c r="IM183" s="1312"/>
      <c r="IN183" s="1312"/>
      <c r="IO183" s="1312"/>
      <c r="IP183" s="1312"/>
      <c r="IQ183" s="1312"/>
      <c r="IR183" s="1312"/>
      <c r="IS183" s="1312"/>
      <c r="IT183" s="1312"/>
      <c r="IU183" s="1312"/>
      <c r="IV183" s="1312"/>
      <c r="IW183" s="1312"/>
      <c r="IX183" s="1312"/>
      <c r="IY183" s="1312"/>
      <c r="IZ183" s="1312"/>
      <c r="JA183" s="1312"/>
      <c r="JB183" s="1312"/>
      <c r="JC183" s="1312"/>
      <c r="JD183" s="1312"/>
      <c r="JE183" s="1312"/>
      <c r="JF183" s="1312"/>
      <c r="JG183" s="1312"/>
      <c r="JH183" s="1312"/>
      <c r="JI183" s="1312"/>
      <c r="JJ183" s="1312"/>
      <c r="JK183" s="1312"/>
      <c r="JL183" s="1312"/>
      <c r="JM183" s="1312"/>
      <c r="JN183" s="1312"/>
      <c r="JO183" s="1312"/>
      <c r="JP183" s="1312"/>
      <c r="JQ183" s="1312"/>
      <c r="JR183" s="1312"/>
      <c r="JS183" s="1312"/>
      <c r="JT183" s="1312"/>
      <c r="JU183" s="1312"/>
      <c r="JV183" s="1312"/>
      <c r="JW183" s="1312"/>
      <c r="JX183" s="1312"/>
      <c r="JY183" s="1312"/>
      <c r="JZ183" s="1312"/>
      <c r="KA183" s="1312"/>
      <c r="KB183" s="1312"/>
      <c r="KC183" s="1312"/>
      <c r="KD183" s="1312"/>
      <c r="KE183" s="1312"/>
      <c r="KF183" s="1312"/>
      <c r="KG183" s="1312"/>
      <c r="KH183" s="1312"/>
      <c r="KI183" s="1312"/>
      <c r="KJ183" s="1312"/>
      <c r="KK183" s="1312"/>
      <c r="KL183" s="1312"/>
      <c r="KM183" s="1312"/>
      <c r="KN183" s="1312"/>
      <c r="KO183" s="1312"/>
      <c r="KP183" s="1312"/>
      <c r="KQ183" s="1312"/>
      <c r="KR183" s="1312"/>
      <c r="KS183" s="1312"/>
      <c r="KT183" s="1312"/>
      <c r="KU183" s="1312"/>
      <c r="KV183" s="1312"/>
      <c r="KW183" s="1312"/>
      <c r="KX183" s="1312"/>
      <c r="KY183" s="1312"/>
      <c r="KZ183" s="1312"/>
      <c r="LA183" s="1312"/>
      <c r="LB183" s="1312"/>
      <c r="LC183" s="1312"/>
      <c r="LD183" s="1312"/>
      <c r="LE183" s="1312"/>
      <c r="LF183" s="1312"/>
      <c r="LG183" s="1312"/>
      <c r="LH183" s="1312"/>
      <c r="LI183" s="1312"/>
      <c r="LJ183" s="1312"/>
      <c r="LK183" s="1312"/>
      <c r="LL183" s="1312"/>
      <c r="LM183" s="1312"/>
      <c r="LN183" s="1312"/>
      <c r="LO183" s="1312"/>
      <c r="LP183" s="1312"/>
      <c r="LQ183" s="1312"/>
      <c r="LR183" s="1312"/>
      <c r="LS183" s="1312"/>
      <c r="LT183" s="1312"/>
      <c r="LU183" s="1312"/>
      <c r="LV183" s="1312"/>
      <c r="LW183" s="1312"/>
      <c r="LX183" s="1312"/>
      <c r="LY183" s="1312"/>
      <c r="LZ183" s="1312"/>
      <c r="MA183" s="1312"/>
      <c r="MB183" s="1312"/>
      <c r="MC183" s="1312"/>
      <c r="MD183" s="1312"/>
      <c r="ME183" s="1312"/>
      <c r="MF183" s="1312"/>
      <c r="MG183" s="1312"/>
      <c r="MH183" s="1312"/>
      <c r="MI183" s="1312"/>
      <c r="MJ183" s="1312"/>
      <c r="MK183" s="1312"/>
      <c r="ML183" s="1312"/>
      <c r="MM183" s="1312"/>
      <c r="MN183" s="1312"/>
      <c r="MO183" s="1312"/>
      <c r="MP183" s="1312"/>
      <c r="MQ183" s="1312"/>
      <c r="MR183" s="1312"/>
      <c r="MS183" s="1312"/>
      <c r="MT183" s="1312"/>
      <c r="MU183" s="1312"/>
      <c r="MV183" s="1312"/>
      <c r="MW183" s="1312"/>
      <c r="MX183" s="1312"/>
      <c r="MY183" s="1312"/>
      <c r="MZ183" s="1312"/>
      <c r="NA183" s="1312"/>
      <c r="NB183" s="1312"/>
      <c r="NC183" s="1312"/>
      <c r="ND183" s="1312"/>
      <c r="NE183" s="1312"/>
      <c r="NF183" s="1312"/>
      <c r="NG183" s="1312"/>
      <c r="NH183" s="1312"/>
      <c r="NI183" s="1312"/>
      <c r="NJ183" s="1312"/>
      <c r="NK183" s="1312"/>
      <c r="NL183" s="1312"/>
      <c r="NM183" s="1312"/>
      <c r="NN183" s="1312"/>
      <c r="NO183" s="1312"/>
      <c r="NP183" s="1312"/>
      <c r="NQ183" s="1312"/>
      <c r="NR183" s="1312"/>
      <c r="NS183" s="1312"/>
      <c r="NT183" s="1312"/>
      <c r="NU183" s="1312"/>
      <c r="NV183" s="1312"/>
      <c r="NW183" s="1312"/>
      <c r="NX183" s="1312"/>
      <c r="NY183" s="1312"/>
      <c r="NZ183" s="1312"/>
      <c r="OA183" s="1312"/>
      <c r="OB183" s="1312"/>
      <c r="OC183" s="1312"/>
      <c r="OD183" s="1312"/>
      <c r="OE183" s="1312"/>
      <c r="OF183" s="1312"/>
      <c r="OG183" s="1312"/>
      <c r="OH183" s="1312"/>
      <c r="OI183" s="1312"/>
      <c r="OJ183" s="1312"/>
      <c r="OK183" s="1312"/>
      <c r="OL183" s="1312"/>
      <c r="OM183" s="1312"/>
      <c r="ON183" s="1312"/>
      <c r="OO183" s="1312"/>
      <c r="OP183" s="1312"/>
      <c r="OQ183" s="1312"/>
      <c r="OR183" s="1312"/>
      <c r="OS183" s="1312"/>
      <c r="OT183" s="1312"/>
      <c r="OU183" s="1312"/>
      <c r="OV183" s="1312"/>
      <c r="OW183" s="1312"/>
      <c r="OX183" s="1312"/>
      <c r="OY183" s="1312"/>
      <c r="OZ183" s="1312"/>
      <c r="PA183" s="1312"/>
      <c r="PB183" s="1312"/>
      <c r="PC183" s="1312"/>
      <c r="PD183" s="1312"/>
      <c r="PE183" s="1312"/>
      <c r="PF183" s="1312"/>
      <c r="PG183" s="1312"/>
      <c r="PH183" s="1312"/>
      <c r="PI183" s="1312"/>
      <c r="PJ183" s="1312"/>
      <c r="PK183" s="1312"/>
      <c r="PL183" s="1312"/>
      <c r="PM183" s="1312"/>
      <c r="PN183" s="1312"/>
      <c r="PO183" s="1312"/>
      <c r="PP183" s="1312"/>
      <c r="PQ183" s="1312"/>
      <c r="PR183" s="1312"/>
      <c r="PS183" s="1312"/>
      <c r="PT183" s="1312"/>
      <c r="PU183" s="1312"/>
      <c r="PV183" s="1312"/>
      <c r="PW183" s="1312"/>
      <c r="PX183" s="1312"/>
      <c r="PY183" s="1312"/>
      <c r="PZ183" s="1312"/>
      <c r="QA183" s="1312"/>
      <c r="QB183" s="1312"/>
      <c r="QC183" s="1312"/>
      <c r="QD183" s="1312"/>
      <c r="QE183" s="1312"/>
      <c r="QF183" s="1312"/>
      <c r="QG183" s="1312"/>
      <c r="QH183" s="1312"/>
      <c r="QI183" s="1312"/>
      <c r="QJ183" s="1312"/>
      <c r="QK183" s="1312"/>
      <c r="QL183" s="1312"/>
      <c r="QM183" s="1312"/>
      <c r="QN183" s="1312"/>
      <c r="QO183" s="1312"/>
      <c r="QP183" s="1312"/>
      <c r="QQ183" s="1312"/>
      <c r="QR183" s="1312"/>
      <c r="QS183" s="1312"/>
      <c r="QT183" s="1312"/>
      <c r="QU183" s="1312"/>
      <c r="QV183" s="1312"/>
      <c r="QW183" s="1312"/>
      <c r="QX183" s="1312"/>
      <c r="QY183" s="1312"/>
      <c r="QZ183" s="1312"/>
      <c r="RA183" s="1312"/>
      <c r="RB183" s="1312"/>
      <c r="RC183" s="1312"/>
      <c r="RD183" s="1312"/>
      <c r="RE183" s="1312"/>
      <c r="RF183" s="1312"/>
      <c r="RG183" s="1312"/>
      <c r="RH183" s="1312"/>
      <c r="RI183" s="1312"/>
      <c r="RJ183" s="1312"/>
      <c r="RK183" s="1312"/>
      <c r="RL183" s="1312"/>
      <c r="RM183" s="1312"/>
      <c r="RN183" s="1312"/>
      <c r="RO183" s="1312"/>
      <c r="RP183" s="1312"/>
      <c r="RQ183" s="1312"/>
      <c r="RR183" s="1312"/>
      <c r="RS183" s="1312"/>
      <c r="RT183" s="1312"/>
      <c r="RU183" s="1312"/>
      <c r="RV183" s="1312"/>
      <c r="RW183" s="1312"/>
      <c r="RX183" s="1312"/>
      <c r="RY183" s="1312"/>
      <c r="RZ183" s="1312"/>
      <c r="SA183" s="1312"/>
      <c r="SB183" s="1312"/>
      <c r="SC183" s="1312"/>
      <c r="SD183" s="1312"/>
      <c r="SE183" s="1312"/>
      <c r="SF183" s="1312"/>
      <c r="SG183" s="1312"/>
      <c r="SH183" s="1312"/>
      <c r="SI183" s="1312"/>
      <c r="SJ183" s="1312"/>
      <c r="SK183" s="1312"/>
      <c r="SL183" s="1312"/>
      <c r="SM183" s="1312"/>
      <c r="SN183" s="1312"/>
      <c r="SO183" s="1312"/>
      <c r="SP183" s="1312"/>
      <c r="SQ183" s="1312"/>
      <c r="SR183" s="1312"/>
      <c r="SS183" s="1312"/>
      <c r="ST183" s="1312"/>
      <c r="SU183" s="1312"/>
      <c r="SV183" s="1312"/>
      <c r="SW183" s="1312"/>
      <c r="SX183" s="1312"/>
      <c r="SY183" s="1312"/>
      <c r="SZ183" s="1312"/>
      <c r="TA183" s="1312"/>
      <c r="TB183" s="1312"/>
      <c r="TC183" s="1312"/>
      <c r="TD183" s="1312"/>
      <c r="TE183" s="1312"/>
      <c r="TF183" s="1312"/>
      <c r="TG183" s="1312"/>
      <c r="TH183" s="1312"/>
      <c r="TI183" s="1312"/>
      <c r="TJ183" s="1312"/>
      <c r="TK183" s="1312"/>
      <c r="TL183" s="1312"/>
      <c r="TM183" s="1312"/>
      <c r="TN183" s="1312"/>
      <c r="TO183" s="1312"/>
      <c r="TP183" s="1312"/>
      <c r="TQ183" s="1312"/>
      <c r="TR183" s="1312"/>
      <c r="TS183" s="1312"/>
      <c r="TT183" s="1312"/>
      <c r="TU183" s="1312"/>
      <c r="TV183" s="1312"/>
      <c r="TW183" s="1312"/>
      <c r="TX183" s="1312"/>
      <c r="TY183" s="1312"/>
      <c r="TZ183" s="1312"/>
      <c r="UA183" s="1312"/>
      <c r="UB183" s="1312"/>
      <c r="UC183" s="1312"/>
      <c r="UD183" s="1312"/>
      <c r="UE183" s="1312"/>
      <c r="UF183" s="1312"/>
      <c r="UG183" s="1312"/>
      <c r="UH183" s="1312"/>
      <c r="UI183" s="1312"/>
      <c r="UJ183" s="1312"/>
      <c r="UK183" s="1312"/>
      <c r="UL183" s="1312"/>
      <c r="UM183" s="1312"/>
      <c r="UN183" s="1312"/>
      <c r="UO183" s="1312"/>
      <c r="UP183" s="1312"/>
      <c r="UQ183" s="1312"/>
      <c r="UR183" s="1312"/>
      <c r="US183" s="1312"/>
      <c r="UT183" s="1312"/>
      <c r="UU183" s="1312"/>
      <c r="UV183" s="1312"/>
      <c r="UW183" s="1312"/>
      <c r="UX183" s="1312"/>
      <c r="UY183" s="1312"/>
      <c r="UZ183" s="1312"/>
      <c r="VA183" s="1312"/>
      <c r="VB183" s="1312"/>
      <c r="VC183" s="1312"/>
      <c r="VD183" s="1312"/>
      <c r="VE183" s="1312"/>
      <c r="VF183" s="1312"/>
      <c r="VG183" s="1312"/>
      <c r="VH183" s="1312"/>
      <c r="VI183" s="1312"/>
      <c r="VJ183" s="1312"/>
      <c r="VK183" s="1312"/>
      <c r="VL183" s="1312"/>
      <c r="VM183" s="1312"/>
      <c r="VN183" s="1312"/>
      <c r="VO183" s="1312"/>
      <c r="VP183" s="1312"/>
      <c r="VQ183" s="1312"/>
      <c r="VR183" s="1312"/>
      <c r="VS183" s="1312"/>
      <c r="VT183" s="1312"/>
      <c r="VU183" s="1312"/>
      <c r="VV183" s="1312"/>
      <c r="VW183" s="1312"/>
      <c r="VX183" s="1312"/>
      <c r="VY183" s="1312"/>
      <c r="VZ183" s="1312"/>
      <c r="WA183" s="1312"/>
      <c r="WB183" s="1312"/>
      <c r="WC183" s="1312"/>
      <c r="WD183" s="1312"/>
      <c r="WE183" s="1312"/>
      <c r="WF183" s="1312"/>
      <c r="WG183" s="1312"/>
      <c r="WH183" s="1312"/>
      <c r="WI183" s="1312"/>
      <c r="WJ183" s="1312"/>
      <c r="WK183" s="1312"/>
      <c r="WL183" s="1312"/>
      <c r="WM183" s="1312"/>
      <c r="WN183" s="1312"/>
      <c r="WO183" s="1312"/>
      <c r="WP183" s="1312"/>
      <c r="WQ183" s="1312"/>
      <c r="WR183" s="1312"/>
      <c r="WS183" s="1312"/>
      <c r="WT183" s="1312"/>
      <c r="WU183" s="1312"/>
      <c r="WV183" s="1312"/>
      <c r="WW183" s="1312"/>
      <c r="WX183" s="1312"/>
      <c r="WY183" s="1312"/>
      <c r="WZ183" s="1312"/>
      <c r="XA183" s="1312"/>
      <c r="XB183" s="1312"/>
      <c r="XC183" s="1312"/>
      <c r="XD183" s="1312"/>
      <c r="XE183" s="1312"/>
      <c r="XF183" s="1312"/>
      <c r="XG183" s="1312"/>
      <c r="XH183" s="1312"/>
      <c r="XI183" s="1312"/>
      <c r="XJ183" s="1312"/>
      <c r="XK183" s="1312"/>
      <c r="XL183" s="1312"/>
      <c r="XM183" s="1312"/>
      <c r="XN183" s="1312"/>
      <c r="XO183" s="1312"/>
      <c r="XP183" s="1312"/>
      <c r="XQ183" s="1312"/>
      <c r="XR183" s="1312"/>
      <c r="XS183" s="1312"/>
      <c r="XT183" s="1312"/>
      <c r="XU183" s="1312"/>
      <c r="XV183" s="1312"/>
      <c r="XW183" s="1312"/>
      <c r="XX183" s="1312"/>
      <c r="XY183" s="1312"/>
      <c r="XZ183" s="1312"/>
      <c r="YA183" s="1312"/>
      <c r="YB183" s="1312"/>
      <c r="YC183" s="1312"/>
      <c r="YD183" s="1312"/>
      <c r="YE183" s="1312"/>
      <c r="YF183" s="1312"/>
      <c r="YG183" s="1312"/>
      <c r="YH183" s="1312"/>
      <c r="YI183" s="1312"/>
      <c r="YJ183" s="1312"/>
      <c r="YK183" s="1312"/>
      <c r="YL183" s="1312"/>
      <c r="YM183" s="1312"/>
      <c r="YN183" s="1312"/>
      <c r="YO183" s="1312"/>
      <c r="YP183" s="1312"/>
      <c r="YQ183" s="1312"/>
      <c r="YR183" s="1312"/>
      <c r="YS183" s="1312"/>
      <c r="YT183" s="1312"/>
      <c r="YU183" s="1312"/>
      <c r="YV183" s="1312"/>
      <c r="YW183" s="1312"/>
      <c r="YX183" s="1312"/>
      <c r="YY183" s="1312"/>
      <c r="YZ183" s="1312"/>
      <c r="ZA183" s="1312"/>
      <c r="ZB183" s="1312"/>
      <c r="ZC183" s="1312"/>
      <c r="ZD183" s="1312"/>
      <c r="ZE183" s="1312"/>
      <c r="ZF183" s="1312"/>
      <c r="ZG183" s="1312"/>
      <c r="ZH183" s="1312"/>
      <c r="ZI183" s="1312"/>
      <c r="ZJ183" s="1312"/>
      <c r="ZK183" s="1312"/>
      <c r="ZL183" s="1312"/>
      <c r="ZM183" s="1312"/>
      <c r="ZN183" s="1312"/>
      <c r="ZO183" s="1312"/>
      <c r="ZP183" s="1312"/>
      <c r="ZQ183" s="1312"/>
      <c r="ZR183" s="1312"/>
      <c r="ZS183" s="1312"/>
      <c r="ZT183" s="1312"/>
      <c r="ZU183" s="1312"/>
      <c r="ZV183" s="1312"/>
      <c r="ZW183" s="1312"/>
      <c r="ZX183" s="1312"/>
      <c r="ZY183" s="1312"/>
      <c r="ZZ183" s="1312"/>
      <c r="AAA183" s="1312"/>
      <c r="AAB183" s="1312"/>
      <c r="AAC183" s="1312"/>
      <c r="AAD183" s="1312"/>
      <c r="AAE183" s="1312"/>
      <c r="AAF183" s="1312"/>
      <c r="AAG183" s="1312"/>
      <c r="AAH183" s="1312"/>
      <c r="AAI183" s="1312"/>
      <c r="AAJ183" s="1312"/>
      <c r="AAK183" s="1312"/>
      <c r="AAL183" s="1312"/>
      <c r="AAM183" s="1312"/>
      <c r="AAN183" s="1312"/>
      <c r="AAO183" s="1312"/>
      <c r="AAP183" s="1312"/>
      <c r="AAQ183" s="1312"/>
      <c r="AAR183" s="1312"/>
      <c r="AAS183" s="1312"/>
      <c r="AAT183" s="1312"/>
      <c r="AAU183" s="1312"/>
      <c r="AAV183" s="1312"/>
      <c r="AAW183" s="1312"/>
      <c r="AAX183" s="1312"/>
      <c r="AAY183" s="1312"/>
      <c r="AAZ183" s="1312"/>
      <c r="ABA183" s="1312"/>
      <c r="ABB183" s="1312"/>
      <c r="ABC183" s="1312"/>
      <c r="ABD183" s="1312"/>
      <c r="ABE183" s="1312"/>
      <c r="ABF183" s="1312"/>
      <c r="ABG183" s="1312"/>
      <c r="ABH183" s="1312"/>
      <c r="ABI183" s="1312"/>
      <c r="ABJ183" s="1312"/>
      <c r="ABK183" s="1312"/>
      <c r="ABL183" s="1312"/>
      <c r="ABM183" s="1312"/>
      <c r="ABN183" s="1312"/>
      <c r="ABO183" s="1312"/>
      <c r="ABP183" s="1312"/>
      <c r="ABQ183" s="1312"/>
      <c r="ABR183" s="1312"/>
      <c r="ABS183" s="1312"/>
      <c r="ABT183" s="1312"/>
      <c r="ABU183" s="1312"/>
      <c r="ABV183" s="1312"/>
      <c r="ABW183" s="1312"/>
      <c r="ABX183" s="1312"/>
      <c r="ABY183" s="1312"/>
      <c r="ABZ183" s="1312"/>
      <c r="ACA183" s="1312"/>
      <c r="ACB183" s="1312"/>
      <c r="ACC183" s="1312"/>
      <c r="ACD183" s="1312"/>
      <c r="ACE183" s="1312"/>
      <c r="ACF183" s="1312"/>
      <c r="ACG183" s="1312"/>
      <c r="ACH183" s="1312"/>
      <c r="ACI183" s="1312"/>
      <c r="ACJ183" s="1312"/>
      <c r="ACK183" s="1312"/>
      <c r="ACL183" s="1312"/>
      <c r="ACM183" s="1312"/>
      <c r="ACN183" s="1312"/>
      <c r="ACO183" s="1312"/>
      <c r="ACP183" s="1312"/>
      <c r="ACQ183" s="1312"/>
      <c r="ACR183" s="1312"/>
      <c r="ACS183" s="1312"/>
      <c r="ACT183" s="1312"/>
      <c r="ACU183" s="1312"/>
      <c r="ACV183" s="1312"/>
      <c r="ACW183" s="1312"/>
      <c r="ACX183" s="1312"/>
      <c r="ACY183" s="1312"/>
      <c r="ACZ183" s="1312"/>
      <c r="ADA183" s="1312"/>
      <c r="ADB183" s="1312"/>
      <c r="ADC183" s="1312"/>
      <c r="ADD183" s="1312"/>
      <c r="ADE183" s="1312"/>
      <c r="ADF183" s="1312"/>
      <c r="ADG183" s="1312"/>
      <c r="ADH183" s="1312"/>
      <c r="ADI183" s="1312"/>
      <c r="ADJ183" s="1312"/>
      <c r="ADK183" s="1312"/>
      <c r="ADL183" s="1312"/>
      <c r="ADM183" s="1312"/>
      <c r="ADN183" s="1312"/>
      <c r="ADO183" s="1312"/>
      <c r="ADP183" s="1312"/>
      <c r="ADQ183" s="1312"/>
      <c r="ADR183" s="1312"/>
      <c r="ADS183" s="1312"/>
      <c r="ADT183" s="1312"/>
      <c r="ADU183" s="1312"/>
      <c r="ADV183" s="1312"/>
      <c r="ADW183" s="1312"/>
      <c r="ADX183" s="1312"/>
      <c r="ADY183" s="1312"/>
      <c r="ADZ183" s="1312"/>
      <c r="AEA183" s="1312"/>
      <c r="AEB183" s="1312"/>
      <c r="AEC183" s="1312"/>
      <c r="AED183" s="1312"/>
      <c r="AEE183" s="1312"/>
      <c r="AEF183" s="1312"/>
      <c r="AEG183" s="1312"/>
      <c r="AEH183" s="1312"/>
      <c r="AEI183" s="1312"/>
      <c r="AEJ183" s="1312"/>
      <c r="AEK183" s="1312"/>
      <c r="AEL183" s="1312"/>
      <c r="AEM183" s="1312"/>
      <c r="AEN183" s="1312"/>
      <c r="AEO183" s="1312"/>
      <c r="AEP183" s="1312"/>
      <c r="AEQ183" s="1312"/>
      <c r="AER183" s="1312"/>
      <c r="AES183" s="1312"/>
      <c r="AET183" s="1312"/>
      <c r="AEU183" s="1312"/>
      <c r="AEV183" s="1312"/>
      <c r="AEW183" s="1312"/>
      <c r="AEX183" s="1312"/>
      <c r="AEY183" s="1312"/>
      <c r="AEZ183" s="1312"/>
      <c r="AFA183" s="1312"/>
      <c r="AFB183" s="1312"/>
      <c r="AFC183" s="1312"/>
      <c r="AFD183" s="1312"/>
      <c r="AFE183" s="1312"/>
      <c r="AFF183" s="1312"/>
      <c r="AFG183" s="1312"/>
      <c r="AFH183" s="1312"/>
      <c r="AFI183" s="1312"/>
      <c r="AFJ183" s="1312"/>
      <c r="AFK183" s="1312"/>
      <c r="AFL183" s="1312"/>
      <c r="AFM183" s="1312"/>
      <c r="AFN183" s="1312"/>
      <c r="AFO183" s="1312"/>
      <c r="AFP183" s="1312"/>
      <c r="AFQ183" s="1312"/>
      <c r="AFR183" s="1312"/>
      <c r="AFS183" s="1312"/>
      <c r="AFT183" s="1312"/>
      <c r="AFU183" s="1312"/>
      <c r="AFV183" s="1312"/>
      <c r="AFW183" s="1312"/>
      <c r="AFX183" s="1312"/>
      <c r="AFY183" s="1312"/>
      <c r="AFZ183" s="1312"/>
      <c r="AGA183" s="1312"/>
      <c r="AGB183" s="1312"/>
      <c r="AGC183" s="1312"/>
      <c r="AGD183" s="1312"/>
      <c r="AGE183" s="1312"/>
      <c r="AGF183" s="1312"/>
      <c r="AGG183" s="1312"/>
      <c r="AGH183" s="1312"/>
      <c r="AGI183" s="1312"/>
      <c r="AGJ183" s="1312"/>
      <c r="AGK183" s="1312"/>
      <c r="AGL183" s="1312"/>
      <c r="AGM183" s="1312"/>
      <c r="AGN183" s="1312"/>
      <c r="AGO183" s="1312"/>
      <c r="AGP183" s="1312"/>
      <c r="AGQ183" s="1312"/>
      <c r="AGR183" s="1312"/>
      <c r="AGS183" s="1312"/>
      <c r="AGT183" s="1312"/>
      <c r="AGU183" s="1312"/>
      <c r="AGV183" s="1312"/>
      <c r="AGW183" s="1312"/>
      <c r="AGX183" s="1312"/>
      <c r="AGY183" s="1312"/>
      <c r="AGZ183" s="1312"/>
      <c r="AHA183" s="1312"/>
      <c r="AHB183" s="1312"/>
      <c r="AHC183" s="1312"/>
      <c r="AHD183" s="1312"/>
      <c r="AHE183" s="1312"/>
      <c r="AHF183" s="1312"/>
      <c r="AHG183" s="1312"/>
      <c r="AHH183" s="1312"/>
      <c r="AHI183" s="1312"/>
      <c r="AHJ183" s="1312"/>
      <c r="AHK183" s="1312"/>
      <c r="AHL183" s="1312"/>
      <c r="AHM183" s="1312"/>
      <c r="AHN183" s="1312"/>
      <c r="AHO183" s="1312"/>
      <c r="AHP183" s="1312"/>
      <c r="AHQ183" s="1312"/>
      <c r="AHR183" s="1312"/>
      <c r="AHS183" s="1312"/>
      <c r="AHT183" s="1312"/>
      <c r="AHU183" s="1312"/>
      <c r="AHV183" s="1312"/>
      <c r="AHW183" s="1312"/>
      <c r="AHX183" s="1312"/>
      <c r="AHY183" s="1312"/>
      <c r="AHZ183" s="1312"/>
      <c r="AIA183" s="1312"/>
      <c r="AIB183" s="1312"/>
      <c r="AIC183" s="1312"/>
      <c r="AID183" s="1312"/>
      <c r="AIE183" s="1312"/>
      <c r="AIF183" s="1312"/>
      <c r="AIG183" s="1312"/>
      <c r="AIH183" s="1312"/>
      <c r="AII183" s="1312"/>
      <c r="AIJ183" s="1312"/>
      <c r="AIK183" s="1312"/>
      <c r="AIL183" s="1312"/>
      <c r="AIM183" s="1312"/>
      <c r="AIN183" s="1312"/>
      <c r="AIO183" s="1312"/>
      <c r="AIP183" s="1312"/>
      <c r="AIQ183" s="1312"/>
      <c r="AIR183" s="1312"/>
      <c r="AIS183" s="1312"/>
      <c r="AIT183" s="1312"/>
      <c r="AIU183" s="1312"/>
      <c r="AIV183" s="1312"/>
      <c r="AIW183" s="1312"/>
      <c r="AIX183" s="1312"/>
      <c r="AIY183" s="1312"/>
      <c r="AIZ183" s="1312"/>
      <c r="AJA183" s="1312"/>
      <c r="AJB183" s="1312"/>
      <c r="AJC183" s="1312"/>
      <c r="AJD183" s="1312"/>
      <c r="AJE183" s="1312"/>
      <c r="AJF183" s="1312"/>
      <c r="AJG183" s="1312"/>
      <c r="AJH183" s="1312"/>
      <c r="AJI183" s="1312"/>
      <c r="AJJ183" s="1312"/>
      <c r="AJK183" s="1312"/>
      <c r="AJL183" s="1312"/>
      <c r="AJM183" s="1312"/>
      <c r="AJN183" s="1312"/>
      <c r="AJO183" s="1312"/>
      <c r="AJP183" s="1312"/>
      <c r="AJQ183" s="1312"/>
      <c r="AJR183" s="1312"/>
      <c r="AJS183" s="1312"/>
      <c r="AJT183" s="1312"/>
      <c r="AJU183" s="1312"/>
      <c r="AJV183" s="1312"/>
      <c r="AJW183" s="1312"/>
      <c r="AJX183" s="1312"/>
      <c r="AJY183" s="1312"/>
      <c r="AJZ183" s="1312"/>
      <c r="AKA183" s="1312"/>
      <c r="AKB183" s="1312"/>
      <c r="AKC183" s="1312"/>
      <c r="AKD183" s="1312"/>
      <c r="AKE183" s="1312"/>
      <c r="AKF183" s="1312"/>
      <c r="AKG183" s="1312"/>
      <c r="AKH183" s="1312"/>
      <c r="AKI183" s="1312"/>
      <c r="AKJ183" s="1312"/>
      <c r="AKK183" s="1312"/>
      <c r="AKL183" s="1312"/>
      <c r="AKM183" s="1312"/>
      <c r="AKN183" s="1312"/>
      <c r="AKO183" s="1312"/>
      <c r="AKP183" s="1312"/>
      <c r="AKQ183" s="1312"/>
      <c r="AKR183" s="1312"/>
      <c r="AKS183" s="1312"/>
      <c r="AKT183" s="1312"/>
      <c r="AKU183" s="1312"/>
      <c r="AKV183" s="1312"/>
      <c r="AKW183" s="1312"/>
      <c r="AKX183" s="1312"/>
      <c r="AKY183" s="1312"/>
      <c r="AKZ183" s="1312"/>
      <c r="ALA183" s="1312"/>
      <c r="ALB183" s="1312"/>
      <c r="ALC183" s="1312"/>
      <c r="ALD183" s="1312"/>
      <c r="ALE183" s="1312"/>
      <c r="ALF183" s="1312"/>
      <c r="ALG183" s="1312"/>
      <c r="ALH183" s="1312"/>
      <c r="ALI183" s="1312"/>
      <c r="ALJ183" s="1312"/>
      <c r="ALK183" s="1312"/>
      <c r="ALL183" s="1312"/>
      <c r="ALM183" s="1312"/>
      <c r="ALN183" s="1312"/>
      <c r="ALO183" s="1312"/>
      <c r="ALP183" s="1312"/>
      <c r="ALQ183" s="1312"/>
      <c r="ALR183" s="1312"/>
      <c r="ALS183" s="1312"/>
      <c r="ALT183" s="1312"/>
      <c r="ALU183" s="1312"/>
      <c r="ALV183" s="1312"/>
      <c r="ALW183" s="1312"/>
      <c r="ALX183" s="1312"/>
      <c r="ALY183" s="1312"/>
      <c r="ALZ183" s="1312"/>
      <c r="AMA183" s="1312"/>
      <c r="AMB183" s="1312"/>
      <c r="AMC183" s="1312"/>
      <c r="AMD183" s="1312"/>
      <c r="AME183" s="1312"/>
      <c r="AMF183" s="1312"/>
      <c r="AMG183" s="1312"/>
      <c r="AMH183" s="1312"/>
      <c r="AMI183" s="1312"/>
      <c r="AMJ183" s="1312"/>
      <c r="AMK183" s="1312"/>
      <c r="AML183" s="1312"/>
      <c r="AMM183" s="1312"/>
      <c r="AMN183" s="1312"/>
      <c r="AMO183" s="1312"/>
      <c r="AMP183" s="1312"/>
      <c r="AMQ183" s="1312"/>
      <c r="AMR183" s="1312"/>
      <c r="AMS183" s="1312"/>
      <c r="AMT183" s="1312"/>
      <c r="AMU183" s="1312"/>
      <c r="AMV183" s="1312"/>
      <c r="AMW183" s="1312"/>
      <c r="AMX183" s="1312"/>
      <c r="AMY183" s="1312"/>
      <c r="AMZ183" s="1312"/>
      <c r="ANA183" s="1312"/>
      <c r="ANB183" s="1312"/>
      <c r="ANC183" s="1312"/>
      <c r="AND183" s="1312"/>
      <c r="ANE183" s="1312"/>
      <c r="ANF183" s="1312"/>
      <c r="ANG183" s="1312"/>
      <c r="ANH183" s="1312"/>
      <c r="ANI183" s="1312"/>
      <c r="ANJ183" s="1312"/>
      <c r="ANK183" s="1312"/>
      <c r="ANL183" s="1312"/>
      <c r="ANM183" s="1312"/>
      <c r="ANN183" s="1312"/>
      <c r="ANO183" s="1312"/>
      <c r="ANP183" s="1312"/>
      <c r="ANQ183" s="1312"/>
      <c r="ANR183" s="1312"/>
      <c r="ANS183" s="1312"/>
      <c r="ANT183" s="1312"/>
      <c r="ANU183" s="1312"/>
      <c r="ANV183" s="1312"/>
      <c r="ANW183" s="1312"/>
      <c r="ANX183" s="1312"/>
      <c r="ANY183" s="1312"/>
      <c r="ANZ183" s="1312"/>
      <c r="AOA183" s="1312"/>
      <c r="AOB183" s="1312"/>
      <c r="AOC183" s="1312"/>
      <c r="AOD183" s="1312"/>
      <c r="AOE183" s="1312"/>
      <c r="AOF183" s="1312"/>
      <c r="AOG183" s="1312"/>
      <c r="AOH183" s="1312"/>
      <c r="AOI183" s="1312"/>
      <c r="AOJ183" s="1312"/>
      <c r="AOK183" s="1312"/>
      <c r="AOL183" s="1312"/>
      <c r="AOM183" s="1312"/>
      <c r="AON183" s="1312"/>
      <c r="AOO183" s="1312"/>
      <c r="AOP183" s="1312"/>
      <c r="AOQ183" s="1312"/>
      <c r="AOR183" s="1312"/>
      <c r="AOS183" s="1312"/>
      <c r="AOT183" s="1312"/>
      <c r="AOU183" s="1312"/>
      <c r="AOV183" s="1312"/>
      <c r="AOW183" s="1312"/>
      <c r="AOX183" s="1312"/>
      <c r="AOY183" s="1312"/>
      <c r="AOZ183" s="1312"/>
      <c r="APA183" s="1312"/>
      <c r="APB183" s="1312"/>
      <c r="APC183" s="1312"/>
      <c r="APD183" s="1312"/>
      <c r="APE183" s="1312"/>
      <c r="APF183" s="1312"/>
      <c r="APG183" s="1312"/>
      <c r="APH183" s="1312"/>
      <c r="API183" s="1312"/>
      <c r="APJ183" s="1312"/>
      <c r="APK183" s="1312"/>
      <c r="APL183" s="1312"/>
      <c r="APM183" s="1312"/>
      <c r="APN183" s="1312"/>
      <c r="APO183" s="1312"/>
      <c r="APP183" s="1312"/>
      <c r="APQ183" s="1312"/>
      <c r="APR183" s="1312"/>
      <c r="APS183" s="1312"/>
      <c r="APT183" s="1312"/>
      <c r="APU183" s="1312"/>
      <c r="APV183" s="1312"/>
      <c r="APW183" s="1312"/>
      <c r="APX183" s="1312"/>
      <c r="APY183" s="1312"/>
      <c r="APZ183" s="1312"/>
      <c r="AQA183" s="1312"/>
      <c r="AQB183" s="1312"/>
      <c r="AQC183" s="1312"/>
      <c r="AQD183" s="1312"/>
      <c r="AQE183" s="1312"/>
      <c r="AQF183" s="1312"/>
      <c r="AQG183" s="1312"/>
      <c r="AQH183" s="1312"/>
      <c r="AQI183" s="1312"/>
      <c r="AQJ183" s="1312"/>
      <c r="AQK183" s="1312"/>
      <c r="AQL183" s="1312"/>
      <c r="AQM183" s="1312"/>
      <c r="AQN183" s="1312"/>
      <c r="AQO183" s="1312"/>
      <c r="AQP183" s="1312"/>
      <c r="AQQ183" s="1312"/>
      <c r="AQR183" s="1312"/>
      <c r="AQS183" s="1312"/>
      <c r="AQT183" s="1312"/>
      <c r="AQU183" s="1312"/>
      <c r="AQV183" s="1312"/>
      <c r="AQW183" s="1312"/>
      <c r="AQX183" s="1312"/>
      <c r="AQY183" s="1312"/>
      <c r="AQZ183" s="1312"/>
      <c r="ARA183" s="1312"/>
      <c r="ARB183" s="1312"/>
      <c r="ARC183" s="1312"/>
      <c r="ARD183" s="1312"/>
      <c r="ARE183" s="1312"/>
      <c r="ARF183" s="1312"/>
      <c r="ARG183" s="1312"/>
      <c r="ARH183" s="1312"/>
      <c r="ARI183" s="1312"/>
      <c r="ARJ183" s="1312"/>
      <c r="ARK183" s="1312"/>
      <c r="ARL183" s="1312"/>
      <c r="ARM183" s="1312"/>
      <c r="ARN183" s="1312"/>
      <c r="ARO183" s="1312"/>
      <c r="ARP183" s="1312"/>
      <c r="ARQ183" s="1312"/>
      <c r="ARR183" s="1312"/>
      <c r="ARS183" s="1312"/>
      <c r="ART183" s="1312"/>
      <c r="ARU183" s="1312"/>
      <c r="ARV183" s="1312"/>
      <c r="ARW183" s="1312"/>
      <c r="ARX183" s="1312"/>
      <c r="ARY183" s="1312"/>
      <c r="ARZ183" s="1312"/>
      <c r="ASA183" s="1312"/>
      <c r="ASB183" s="1312"/>
      <c r="ASC183" s="1312"/>
      <c r="ASD183" s="1312"/>
      <c r="ASE183" s="1312"/>
      <c r="ASF183" s="1312"/>
      <c r="ASG183" s="1312"/>
      <c r="ASH183" s="1312"/>
      <c r="ASI183" s="1312"/>
      <c r="ASJ183" s="1312"/>
      <c r="ASK183" s="1312"/>
      <c r="ASL183" s="1312"/>
      <c r="ASM183" s="1312"/>
      <c r="ASN183" s="1312"/>
      <c r="ASO183" s="1312"/>
      <c r="ASP183" s="1312"/>
      <c r="ASQ183" s="1312"/>
      <c r="ASR183" s="1312"/>
      <c r="ASS183" s="1312"/>
      <c r="AST183" s="1312"/>
      <c r="ASU183" s="1312"/>
      <c r="ASV183" s="1312"/>
      <c r="ASW183" s="1312"/>
      <c r="ASX183" s="1312"/>
      <c r="ASY183" s="1312"/>
      <c r="ASZ183" s="1312"/>
      <c r="ATA183" s="1312"/>
      <c r="ATB183" s="1312"/>
      <c r="ATC183" s="1312"/>
      <c r="ATD183" s="1312"/>
      <c r="ATE183" s="1312"/>
    </row>
    <row r="184" spans="1:1201" s="1513" customFormat="1" x14ac:dyDescent="0.3">
      <c r="A184" s="1499"/>
      <c r="B184" s="1499"/>
      <c r="C184" s="1500" t="s">
        <v>1332</v>
      </c>
      <c r="D184" s="1511"/>
      <c r="E184" s="1511"/>
      <c r="F184" s="1511"/>
      <c r="G184" s="1512"/>
      <c r="H184" s="1512"/>
      <c r="I184" s="1506"/>
      <c r="J184" s="1506"/>
      <c r="K184" s="1506"/>
      <c r="L184" s="1506"/>
      <c r="M184" s="1506"/>
      <c r="N184" s="1506"/>
      <c r="O184" s="1506"/>
      <c r="P184" s="1506"/>
      <c r="Q184" s="1506"/>
      <c r="R184" s="1506"/>
      <c r="S184" s="1506"/>
      <c r="T184" s="1506"/>
      <c r="U184" s="1504"/>
      <c r="V184" s="1504"/>
      <c r="W184" s="1504"/>
      <c r="X184" s="1504"/>
      <c r="Y184" s="1504"/>
      <c r="Z184" s="1505"/>
      <c r="AA184" s="1505"/>
      <c r="AB184" s="1505"/>
      <c r="AC184" s="1505"/>
      <c r="AD184" s="1505"/>
      <c r="AE184" s="1505"/>
      <c r="AF184" s="1505"/>
      <c r="AG184" s="1505"/>
      <c r="AH184" s="1505"/>
      <c r="AI184" s="1505"/>
      <c r="AJ184" s="1505"/>
      <c r="AK184" s="1505"/>
      <c r="AL184" s="1505"/>
      <c r="AM184" s="1505"/>
      <c r="AN184" s="1505"/>
      <c r="AO184" s="1505"/>
      <c r="AP184" s="1506"/>
      <c r="AQ184" s="1506">
        <v>0</v>
      </c>
      <c r="AR184" s="1504">
        <f>SUM('Sources and Uses'!P3:P5)*1000</f>
        <v>2150000</v>
      </c>
      <c r="AS184" s="1506">
        <f t="shared" si="317"/>
        <v>2150000</v>
      </c>
      <c r="AT184" s="1506">
        <f t="shared" si="317"/>
        <v>2150000</v>
      </c>
      <c r="AU184" s="1506">
        <f t="shared" si="317"/>
        <v>2150000</v>
      </c>
      <c r="AV184" s="1506">
        <f t="shared" si="317"/>
        <v>2150000</v>
      </c>
      <c r="AW184" s="1506">
        <f t="shared" si="317"/>
        <v>2150000</v>
      </c>
      <c r="AX184" s="1506">
        <f t="shared" si="317"/>
        <v>2150000</v>
      </c>
      <c r="AY184" s="1506">
        <f t="shared" si="317"/>
        <v>2150000</v>
      </c>
      <c r="AZ184" s="1506">
        <f t="shared" si="317"/>
        <v>2150000</v>
      </c>
      <c r="BA184" s="1506">
        <f t="shared" si="317"/>
        <v>2150000</v>
      </c>
      <c r="BB184" s="1506">
        <f t="shared" si="317"/>
        <v>2150000</v>
      </c>
      <c r="BC184" s="1506">
        <f t="shared" si="317"/>
        <v>2150000</v>
      </c>
      <c r="BE184" s="1507"/>
      <c r="BF184" s="1504"/>
      <c r="BG184" s="1507">
        <f t="shared" si="313"/>
        <v>2150000</v>
      </c>
      <c r="BH184" s="1508"/>
      <c r="BI184" s="1508"/>
      <c r="BJ184" s="1508"/>
      <c r="BK184" s="1508"/>
      <c r="BL184" s="1508"/>
      <c r="BM184" s="1508"/>
      <c r="BN184" s="1508"/>
      <c r="BO184" s="1508"/>
      <c r="BP184" s="1508"/>
      <c r="BQ184" s="1508"/>
      <c r="BR184" s="1508"/>
      <c r="BS184" s="1508"/>
      <c r="BT184" s="1508"/>
      <c r="BU184" s="1508"/>
      <c r="BV184" s="1508"/>
      <c r="BW184" s="1508"/>
      <c r="BX184" s="1508"/>
      <c r="BY184" s="1508"/>
      <c r="BZ184" s="1508"/>
      <c r="CA184" s="1508"/>
      <c r="CB184" s="1508"/>
      <c r="CC184" s="1508"/>
      <c r="CD184" s="1508"/>
      <c r="CE184" s="1508"/>
      <c r="CF184" s="1508"/>
      <c r="CG184" s="1508"/>
      <c r="CH184" s="1508"/>
      <c r="CI184" s="1508"/>
      <c r="CJ184" s="1508"/>
      <c r="CK184" s="1508"/>
      <c r="CL184" s="1508"/>
      <c r="CM184" s="1508"/>
      <c r="CN184" s="1508"/>
      <c r="CO184" s="1508"/>
      <c r="CP184" s="1508"/>
      <c r="CQ184" s="1508"/>
      <c r="CR184" s="1508"/>
      <c r="CS184" s="1508"/>
      <c r="CT184" s="1508"/>
      <c r="CU184" s="1508"/>
      <c r="CV184" s="1508"/>
      <c r="CW184" s="1508"/>
      <c r="CX184" s="1508"/>
      <c r="CY184" s="1508"/>
      <c r="CZ184" s="1508"/>
      <c r="DA184" s="1508"/>
      <c r="DB184" s="1508"/>
      <c r="DC184" s="1508"/>
      <c r="DD184" s="1508"/>
      <c r="DE184" s="1508"/>
      <c r="DF184" s="1508"/>
      <c r="DG184" s="1508"/>
      <c r="DH184" s="1508"/>
      <c r="DI184" s="1508"/>
      <c r="DJ184" s="1508"/>
      <c r="DK184" s="1508"/>
      <c r="DL184" s="1508"/>
      <c r="DM184" s="1508"/>
      <c r="DN184" s="1508"/>
      <c r="DO184" s="1508"/>
      <c r="DP184" s="1508"/>
      <c r="DQ184" s="1508"/>
      <c r="DR184" s="1508"/>
      <c r="DS184" s="1508"/>
      <c r="DT184" s="1508"/>
      <c r="DU184" s="1508"/>
      <c r="DV184" s="1508"/>
      <c r="DW184" s="1508"/>
      <c r="DX184" s="1508"/>
      <c r="DY184" s="1508"/>
      <c r="DZ184" s="1508"/>
      <c r="EA184" s="1508"/>
      <c r="EB184" s="1508"/>
      <c r="EC184" s="1508"/>
      <c r="ED184" s="1508"/>
      <c r="EE184" s="1508"/>
      <c r="EF184" s="1508"/>
      <c r="EG184" s="1508"/>
      <c r="EH184" s="1508"/>
      <c r="EI184" s="1508"/>
      <c r="EJ184" s="1508"/>
      <c r="EK184" s="1508"/>
      <c r="EL184" s="1508"/>
      <c r="EM184" s="1508"/>
      <c r="EN184" s="1508"/>
      <c r="EO184" s="1508"/>
      <c r="EP184" s="1508"/>
      <c r="EQ184" s="1508"/>
      <c r="ER184" s="1508"/>
      <c r="ES184" s="1508"/>
      <c r="ET184" s="1508"/>
      <c r="EU184" s="1508"/>
      <c r="EV184" s="1508"/>
      <c r="EW184" s="1508"/>
      <c r="EX184" s="1508"/>
      <c r="EY184" s="1508"/>
      <c r="EZ184" s="1508"/>
      <c r="FA184" s="1508"/>
      <c r="FB184" s="1508"/>
      <c r="FC184" s="1508"/>
      <c r="FD184" s="1508"/>
      <c r="FE184" s="1508"/>
      <c r="FF184" s="1508"/>
      <c r="FG184" s="1508"/>
      <c r="FH184" s="1508"/>
      <c r="FI184" s="1508"/>
      <c r="FJ184" s="1508"/>
      <c r="FK184" s="1508"/>
      <c r="FL184" s="1508"/>
      <c r="FM184" s="1508"/>
      <c r="FN184" s="1508"/>
      <c r="FO184" s="1508"/>
      <c r="FP184" s="1508"/>
      <c r="FQ184" s="1508"/>
      <c r="FR184" s="1508"/>
      <c r="FS184" s="1508"/>
      <c r="FT184" s="1508"/>
      <c r="FU184" s="1508"/>
      <c r="FV184" s="1508"/>
      <c r="FW184" s="1508"/>
      <c r="FX184" s="1508"/>
      <c r="FY184" s="1508"/>
      <c r="FZ184" s="1508"/>
      <c r="GA184" s="1508"/>
      <c r="GB184" s="1508"/>
      <c r="GC184" s="1508"/>
      <c r="GD184" s="1508"/>
      <c r="GE184" s="1508"/>
      <c r="GF184" s="1508"/>
      <c r="GG184" s="1508"/>
      <c r="GH184" s="1508"/>
      <c r="GI184" s="1508"/>
      <c r="GJ184" s="1508"/>
      <c r="GK184" s="1508"/>
      <c r="GL184" s="1508"/>
      <c r="GM184" s="1508"/>
      <c r="GN184" s="1508"/>
      <c r="GO184" s="1508"/>
      <c r="GP184" s="1508"/>
      <c r="GQ184" s="1508"/>
      <c r="GR184" s="1508"/>
      <c r="GS184" s="1508"/>
      <c r="GT184" s="1508"/>
      <c r="GU184" s="1508"/>
      <c r="GV184" s="1508"/>
      <c r="GW184" s="1508"/>
      <c r="GX184" s="1508"/>
      <c r="GY184" s="1508"/>
      <c r="GZ184" s="1508"/>
      <c r="HA184" s="1508"/>
      <c r="HB184" s="1508"/>
      <c r="HC184" s="1508"/>
      <c r="HD184" s="1508"/>
      <c r="HE184" s="1508"/>
      <c r="HF184" s="1508"/>
      <c r="HG184" s="1508"/>
      <c r="HH184" s="1508"/>
      <c r="HI184" s="1508"/>
      <c r="HJ184" s="1508"/>
      <c r="HK184" s="1508"/>
      <c r="HL184" s="1508"/>
      <c r="HM184" s="1508"/>
      <c r="HN184" s="1508"/>
      <c r="HO184" s="1508"/>
      <c r="HP184" s="1508"/>
      <c r="HQ184" s="1508"/>
      <c r="HR184" s="1508"/>
      <c r="HS184" s="1508"/>
      <c r="HT184" s="1508"/>
      <c r="HU184" s="1508"/>
      <c r="HV184" s="1508"/>
      <c r="HW184" s="1508"/>
      <c r="HX184" s="1508"/>
      <c r="HY184" s="1508"/>
      <c r="HZ184" s="1508"/>
      <c r="IA184" s="1508"/>
      <c r="IB184" s="1508"/>
      <c r="IC184" s="1508"/>
      <c r="ID184" s="1508"/>
      <c r="IE184" s="1508"/>
      <c r="IF184" s="1508"/>
      <c r="IG184" s="1508"/>
      <c r="IH184" s="1508"/>
      <c r="II184" s="1508"/>
      <c r="IJ184" s="1508"/>
      <c r="IK184" s="1508"/>
      <c r="IL184" s="1508"/>
      <c r="IM184" s="1508"/>
      <c r="IN184" s="1508"/>
      <c r="IO184" s="1508"/>
      <c r="IP184" s="1508"/>
      <c r="IQ184" s="1508"/>
      <c r="IR184" s="1508"/>
      <c r="IS184" s="1508"/>
      <c r="IT184" s="1508"/>
      <c r="IU184" s="1508"/>
      <c r="IV184" s="1508"/>
      <c r="IW184" s="1508"/>
      <c r="IX184" s="1508"/>
      <c r="IY184" s="1508"/>
      <c r="IZ184" s="1508"/>
      <c r="JA184" s="1508"/>
      <c r="JB184" s="1508"/>
      <c r="JC184" s="1508"/>
      <c r="JD184" s="1508"/>
      <c r="JE184" s="1508"/>
      <c r="JF184" s="1508"/>
      <c r="JG184" s="1508"/>
      <c r="JH184" s="1508"/>
      <c r="JI184" s="1508"/>
      <c r="JJ184" s="1508"/>
      <c r="JK184" s="1508"/>
      <c r="JL184" s="1508"/>
      <c r="JM184" s="1508"/>
      <c r="JN184" s="1508"/>
      <c r="JO184" s="1508"/>
      <c r="JP184" s="1508"/>
      <c r="JQ184" s="1508"/>
      <c r="JR184" s="1508"/>
      <c r="JS184" s="1508"/>
      <c r="JT184" s="1508"/>
      <c r="JU184" s="1508"/>
      <c r="JV184" s="1508"/>
      <c r="JW184" s="1508"/>
      <c r="JX184" s="1508"/>
      <c r="JY184" s="1508"/>
      <c r="JZ184" s="1508"/>
      <c r="KA184" s="1508"/>
      <c r="KB184" s="1508"/>
      <c r="KC184" s="1508"/>
      <c r="KD184" s="1508"/>
      <c r="KE184" s="1508"/>
      <c r="KF184" s="1508"/>
      <c r="KG184" s="1508"/>
      <c r="KH184" s="1508"/>
      <c r="KI184" s="1508"/>
      <c r="KJ184" s="1508"/>
      <c r="KK184" s="1508"/>
      <c r="KL184" s="1508"/>
      <c r="KM184" s="1508"/>
      <c r="KN184" s="1508"/>
      <c r="KO184" s="1508"/>
      <c r="KP184" s="1508"/>
      <c r="KQ184" s="1508"/>
      <c r="KR184" s="1508"/>
      <c r="KS184" s="1508"/>
      <c r="KT184" s="1508"/>
      <c r="KU184" s="1508"/>
      <c r="KV184" s="1508"/>
      <c r="KW184" s="1508"/>
      <c r="KX184" s="1508"/>
      <c r="KY184" s="1508"/>
      <c r="KZ184" s="1508"/>
      <c r="LA184" s="1508"/>
      <c r="LB184" s="1508"/>
      <c r="LC184" s="1508"/>
      <c r="LD184" s="1508"/>
      <c r="LE184" s="1508"/>
      <c r="LF184" s="1508"/>
      <c r="LG184" s="1508"/>
      <c r="LH184" s="1508"/>
      <c r="LI184" s="1508"/>
      <c r="LJ184" s="1508"/>
      <c r="LK184" s="1508"/>
      <c r="LL184" s="1508"/>
      <c r="LM184" s="1508"/>
      <c r="LN184" s="1508"/>
      <c r="LO184" s="1508"/>
      <c r="LP184" s="1508"/>
      <c r="LQ184" s="1508"/>
      <c r="LR184" s="1508"/>
      <c r="LS184" s="1508"/>
      <c r="LT184" s="1508"/>
      <c r="LU184" s="1508"/>
      <c r="LV184" s="1508"/>
      <c r="LW184" s="1508"/>
      <c r="LX184" s="1508"/>
      <c r="LY184" s="1508"/>
      <c r="LZ184" s="1508"/>
      <c r="MA184" s="1508"/>
      <c r="MB184" s="1508"/>
      <c r="MC184" s="1508"/>
      <c r="MD184" s="1508"/>
      <c r="ME184" s="1508"/>
      <c r="MF184" s="1508"/>
      <c r="MG184" s="1508"/>
      <c r="MH184" s="1508"/>
      <c r="MI184" s="1508"/>
      <c r="MJ184" s="1508"/>
      <c r="MK184" s="1508"/>
      <c r="ML184" s="1508"/>
      <c r="MM184" s="1508"/>
      <c r="MN184" s="1508"/>
      <c r="MO184" s="1508"/>
      <c r="MP184" s="1508"/>
      <c r="MQ184" s="1508"/>
      <c r="MR184" s="1508"/>
      <c r="MS184" s="1508"/>
      <c r="MT184" s="1508"/>
      <c r="MU184" s="1508"/>
      <c r="MV184" s="1508"/>
      <c r="MW184" s="1508"/>
      <c r="MX184" s="1508"/>
      <c r="MY184" s="1508"/>
      <c r="MZ184" s="1508"/>
      <c r="NA184" s="1508"/>
      <c r="NB184" s="1508"/>
      <c r="NC184" s="1508"/>
      <c r="ND184" s="1508"/>
      <c r="NE184" s="1508"/>
      <c r="NF184" s="1508"/>
      <c r="NG184" s="1508"/>
      <c r="NH184" s="1508"/>
      <c r="NI184" s="1508"/>
      <c r="NJ184" s="1508"/>
      <c r="NK184" s="1508"/>
      <c r="NL184" s="1508"/>
      <c r="NM184" s="1508"/>
      <c r="NN184" s="1508"/>
      <c r="NO184" s="1508"/>
      <c r="NP184" s="1508"/>
      <c r="NQ184" s="1508"/>
      <c r="NR184" s="1508"/>
      <c r="NS184" s="1508"/>
      <c r="NT184" s="1508"/>
      <c r="NU184" s="1508"/>
      <c r="NV184" s="1508"/>
      <c r="NW184" s="1508"/>
      <c r="NX184" s="1508"/>
      <c r="NY184" s="1508"/>
      <c r="NZ184" s="1508"/>
      <c r="OA184" s="1508"/>
      <c r="OB184" s="1508"/>
      <c r="OC184" s="1508"/>
      <c r="OD184" s="1508"/>
      <c r="OE184" s="1508"/>
      <c r="OF184" s="1508"/>
      <c r="OG184" s="1508"/>
      <c r="OH184" s="1508"/>
      <c r="OI184" s="1508"/>
      <c r="OJ184" s="1508"/>
      <c r="OK184" s="1508"/>
      <c r="OL184" s="1508"/>
      <c r="OM184" s="1508"/>
      <c r="ON184" s="1508"/>
      <c r="OO184" s="1508"/>
      <c r="OP184" s="1508"/>
      <c r="OQ184" s="1508"/>
      <c r="OR184" s="1508"/>
      <c r="OS184" s="1508"/>
      <c r="OT184" s="1508"/>
      <c r="OU184" s="1508"/>
      <c r="OV184" s="1508"/>
      <c r="OW184" s="1508"/>
      <c r="OX184" s="1508"/>
      <c r="OY184" s="1508"/>
      <c r="OZ184" s="1508"/>
      <c r="PA184" s="1508"/>
      <c r="PB184" s="1508"/>
      <c r="PC184" s="1508"/>
      <c r="PD184" s="1508"/>
      <c r="PE184" s="1508"/>
      <c r="PF184" s="1508"/>
      <c r="PG184" s="1508"/>
      <c r="PH184" s="1508"/>
      <c r="PI184" s="1508"/>
      <c r="PJ184" s="1508"/>
      <c r="PK184" s="1508"/>
      <c r="PL184" s="1508"/>
      <c r="PM184" s="1508"/>
      <c r="PN184" s="1508"/>
      <c r="PO184" s="1508"/>
      <c r="PP184" s="1508"/>
      <c r="PQ184" s="1508"/>
      <c r="PR184" s="1508"/>
      <c r="PS184" s="1508"/>
      <c r="PT184" s="1508"/>
      <c r="PU184" s="1508"/>
      <c r="PV184" s="1508"/>
      <c r="PW184" s="1508"/>
      <c r="PX184" s="1508"/>
      <c r="PY184" s="1508"/>
      <c r="PZ184" s="1508"/>
      <c r="QA184" s="1508"/>
      <c r="QB184" s="1508"/>
      <c r="QC184" s="1508"/>
      <c r="QD184" s="1508"/>
      <c r="QE184" s="1508"/>
      <c r="QF184" s="1508"/>
      <c r="QG184" s="1508"/>
      <c r="QH184" s="1508"/>
      <c r="QI184" s="1508"/>
      <c r="QJ184" s="1508"/>
      <c r="QK184" s="1508"/>
      <c r="QL184" s="1508"/>
      <c r="QM184" s="1508"/>
      <c r="QN184" s="1508"/>
      <c r="QO184" s="1508"/>
      <c r="QP184" s="1508"/>
      <c r="QQ184" s="1508"/>
      <c r="QR184" s="1508"/>
      <c r="QS184" s="1508"/>
      <c r="QT184" s="1508"/>
      <c r="QU184" s="1508"/>
      <c r="QV184" s="1508"/>
      <c r="QW184" s="1508"/>
      <c r="QX184" s="1508"/>
      <c r="QY184" s="1508"/>
      <c r="QZ184" s="1508"/>
      <c r="RA184" s="1508"/>
      <c r="RB184" s="1508"/>
      <c r="RC184" s="1508"/>
      <c r="RD184" s="1508"/>
      <c r="RE184" s="1508"/>
      <c r="RF184" s="1508"/>
      <c r="RG184" s="1508"/>
      <c r="RH184" s="1508"/>
      <c r="RI184" s="1508"/>
      <c r="RJ184" s="1508"/>
      <c r="RK184" s="1508"/>
      <c r="RL184" s="1508"/>
      <c r="RM184" s="1508"/>
      <c r="RN184" s="1508"/>
      <c r="RO184" s="1508"/>
      <c r="RP184" s="1508"/>
      <c r="RQ184" s="1508"/>
      <c r="RR184" s="1508"/>
      <c r="RS184" s="1508"/>
      <c r="RT184" s="1508"/>
      <c r="RU184" s="1508"/>
      <c r="RV184" s="1508"/>
      <c r="RW184" s="1508"/>
      <c r="RX184" s="1508"/>
      <c r="RY184" s="1508"/>
      <c r="RZ184" s="1508"/>
      <c r="SA184" s="1508"/>
      <c r="SB184" s="1508"/>
      <c r="SC184" s="1508"/>
      <c r="SD184" s="1508"/>
      <c r="SE184" s="1508"/>
      <c r="SF184" s="1508"/>
      <c r="SG184" s="1508"/>
      <c r="SH184" s="1508"/>
      <c r="SI184" s="1508"/>
      <c r="SJ184" s="1508"/>
      <c r="SK184" s="1508"/>
      <c r="SL184" s="1508"/>
      <c r="SM184" s="1508"/>
      <c r="SN184" s="1508"/>
      <c r="SO184" s="1508"/>
      <c r="SP184" s="1508"/>
      <c r="SQ184" s="1508"/>
      <c r="SR184" s="1508"/>
      <c r="SS184" s="1508"/>
      <c r="ST184" s="1508"/>
      <c r="SU184" s="1508"/>
      <c r="SV184" s="1508"/>
      <c r="SW184" s="1508"/>
      <c r="SX184" s="1508"/>
      <c r="SY184" s="1508"/>
      <c r="SZ184" s="1508"/>
      <c r="TA184" s="1508"/>
      <c r="TB184" s="1508"/>
      <c r="TC184" s="1508"/>
      <c r="TD184" s="1508"/>
      <c r="TE184" s="1508"/>
      <c r="TF184" s="1508"/>
      <c r="TG184" s="1508"/>
      <c r="TH184" s="1508"/>
      <c r="TI184" s="1508"/>
      <c r="TJ184" s="1508"/>
      <c r="TK184" s="1508"/>
      <c r="TL184" s="1508"/>
      <c r="TM184" s="1508"/>
      <c r="TN184" s="1508"/>
      <c r="TO184" s="1508"/>
      <c r="TP184" s="1508"/>
      <c r="TQ184" s="1508"/>
      <c r="TR184" s="1508"/>
      <c r="TS184" s="1508"/>
      <c r="TT184" s="1508"/>
      <c r="TU184" s="1508"/>
      <c r="TV184" s="1508"/>
      <c r="TW184" s="1508"/>
      <c r="TX184" s="1508"/>
      <c r="TY184" s="1508"/>
      <c r="TZ184" s="1508"/>
      <c r="UA184" s="1508"/>
      <c r="UB184" s="1508"/>
      <c r="UC184" s="1508"/>
      <c r="UD184" s="1508"/>
      <c r="UE184" s="1508"/>
      <c r="UF184" s="1508"/>
      <c r="UG184" s="1508"/>
      <c r="UH184" s="1508"/>
      <c r="UI184" s="1508"/>
      <c r="UJ184" s="1508"/>
      <c r="UK184" s="1508"/>
      <c r="UL184" s="1508"/>
      <c r="UM184" s="1508"/>
      <c r="UN184" s="1508"/>
      <c r="UO184" s="1508"/>
      <c r="UP184" s="1508"/>
      <c r="UQ184" s="1508"/>
      <c r="UR184" s="1508"/>
      <c r="US184" s="1508"/>
      <c r="UT184" s="1508"/>
      <c r="UU184" s="1508"/>
      <c r="UV184" s="1508"/>
      <c r="UW184" s="1508"/>
      <c r="UX184" s="1508"/>
      <c r="UY184" s="1508"/>
      <c r="UZ184" s="1508"/>
      <c r="VA184" s="1508"/>
      <c r="VB184" s="1508"/>
      <c r="VC184" s="1508"/>
      <c r="VD184" s="1508"/>
      <c r="VE184" s="1508"/>
      <c r="VF184" s="1508"/>
      <c r="VG184" s="1508"/>
      <c r="VH184" s="1508"/>
      <c r="VI184" s="1508"/>
      <c r="VJ184" s="1508"/>
      <c r="VK184" s="1508"/>
      <c r="VL184" s="1508"/>
      <c r="VM184" s="1508"/>
      <c r="VN184" s="1508"/>
      <c r="VO184" s="1508"/>
      <c r="VP184" s="1508"/>
      <c r="VQ184" s="1508"/>
      <c r="VR184" s="1508"/>
      <c r="VS184" s="1508"/>
      <c r="VT184" s="1508"/>
      <c r="VU184" s="1508"/>
      <c r="VV184" s="1508"/>
      <c r="VW184" s="1508"/>
      <c r="VX184" s="1508"/>
      <c r="VY184" s="1508"/>
      <c r="VZ184" s="1508"/>
      <c r="WA184" s="1508"/>
      <c r="WB184" s="1508"/>
      <c r="WC184" s="1508"/>
      <c r="WD184" s="1508"/>
      <c r="WE184" s="1508"/>
      <c r="WF184" s="1508"/>
      <c r="WG184" s="1508"/>
      <c r="WH184" s="1508"/>
      <c r="WI184" s="1508"/>
      <c r="WJ184" s="1508"/>
      <c r="WK184" s="1508"/>
      <c r="WL184" s="1508"/>
      <c r="WM184" s="1508"/>
      <c r="WN184" s="1508"/>
      <c r="WO184" s="1508"/>
      <c r="WP184" s="1508"/>
      <c r="WQ184" s="1508"/>
      <c r="WR184" s="1508"/>
      <c r="WS184" s="1508"/>
      <c r="WT184" s="1508"/>
      <c r="WU184" s="1508"/>
      <c r="WV184" s="1508"/>
      <c r="WW184" s="1508"/>
      <c r="WX184" s="1508"/>
      <c r="WY184" s="1508"/>
      <c r="WZ184" s="1508"/>
      <c r="XA184" s="1508"/>
      <c r="XB184" s="1508"/>
      <c r="XC184" s="1508"/>
      <c r="XD184" s="1508"/>
      <c r="XE184" s="1508"/>
      <c r="XF184" s="1508"/>
      <c r="XG184" s="1508"/>
      <c r="XH184" s="1508"/>
      <c r="XI184" s="1508"/>
      <c r="XJ184" s="1508"/>
      <c r="XK184" s="1508"/>
      <c r="XL184" s="1508"/>
      <c r="XM184" s="1508"/>
      <c r="XN184" s="1508"/>
      <c r="XO184" s="1508"/>
      <c r="XP184" s="1508"/>
      <c r="XQ184" s="1508"/>
      <c r="XR184" s="1508"/>
      <c r="XS184" s="1508"/>
      <c r="XT184" s="1508"/>
      <c r="XU184" s="1508"/>
      <c r="XV184" s="1508"/>
      <c r="XW184" s="1508"/>
      <c r="XX184" s="1508"/>
      <c r="XY184" s="1508"/>
      <c r="XZ184" s="1508"/>
      <c r="YA184" s="1508"/>
      <c r="YB184" s="1508"/>
      <c r="YC184" s="1508"/>
      <c r="YD184" s="1508"/>
      <c r="YE184" s="1508"/>
      <c r="YF184" s="1508"/>
      <c r="YG184" s="1508"/>
      <c r="YH184" s="1508"/>
      <c r="YI184" s="1508"/>
      <c r="YJ184" s="1508"/>
      <c r="YK184" s="1508"/>
      <c r="YL184" s="1508"/>
      <c r="YM184" s="1508"/>
      <c r="YN184" s="1508"/>
      <c r="YO184" s="1508"/>
      <c r="YP184" s="1508"/>
      <c r="YQ184" s="1508"/>
      <c r="YR184" s="1508"/>
      <c r="YS184" s="1508"/>
      <c r="YT184" s="1508"/>
      <c r="YU184" s="1508"/>
      <c r="YV184" s="1508"/>
      <c r="YW184" s="1508"/>
      <c r="YX184" s="1508"/>
      <c r="YY184" s="1508"/>
      <c r="YZ184" s="1508"/>
      <c r="ZA184" s="1508"/>
      <c r="ZB184" s="1508"/>
      <c r="ZC184" s="1508"/>
      <c r="ZD184" s="1508"/>
      <c r="ZE184" s="1508"/>
      <c r="ZF184" s="1508"/>
      <c r="ZG184" s="1508"/>
      <c r="ZH184" s="1508"/>
      <c r="ZI184" s="1508"/>
      <c r="ZJ184" s="1508"/>
      <c r="ZK184" s="1508"/>
      <c r="ZL184" s="1508"/>
      <c r="ZM184" s="1508"/>
      <c r="ZN184" s="1508"/>
      <c r="ZO184" s="1508"/>
      <c r="ZP184" s="1508"/>
      <c r="ZQ184" s="1508"/>
      <c r="ZR184" s="1508"/>
      <c r="ZS184" s="1508"/>
      <c r="ZT184" s="1508"/>
      <c r="ZU184" s="1508"/>
      <c r="ZV184" s="1508"/>
      <c r="ZW184" s="1508"/>
      <c r="ZX184" s="1508"/>
      <c r="ZY184" s="1508"/>
      <c r="ZZ184" s="1508"/>
      <c r="AAA184" s="1508"/>
      <c r="AAB184" s="1508"/>
      <c r="AAC184" s="1508"/>
      <c r="AAD184" s="1508"/>
      <c r="AAE184" s="1508"/>
      <c r="AAF184" s="1508"/>
      <c r="AAG184" s="1508"/>
      <c r="AAH184" s="1508"/>
      <c r="AAI184" s="1508"/>
      <c r="AAJ184" s="1508"/>
      <c r="AAK184" s="1508"/>
      <c r="AAL184" s="1508"/>
      <c r="AAM184" s="1508"/>
      <c r="AAN184" s="1508"/>
      <c r="AAO184" s="1508"/>
      <c r="AAP184" s="1508"/>
      <c r="AAQ184" s="1508"/>
      <c r="AAR184" s="1508"/>
      <c r="AAS184" s="1508"/>
      <c r="AAT184" s="1508"/>
      <c r="AAU184" s="1508"/>
      <c r="AAV184" s="1508"/>
      <c r="AAW184" s="1508"/>
      <c r="AAX184" s="1508"/>
      <c r="AAY184" s="1508"/>
      <c r="AAZ184" s="1508"/>
      <c r="ABA184" s="1508"/>
      <c r="ABB184" s="1508"/>
      <c r="ABC184" s="1508"/>
      <c r="ABD184" s="1508"/>
      <c r="ABE184" s="1508"/>
      <c r="ABF184" s="1508"/>
      <c r="ABG184" s="1508"/>
      <c r="ABH184" s="1508"/>
      <c r="ABI184" s="1508"/>
      <c r="ABJ184" s="1508"/>
      <c r="ABK184" s="1508"/>
      <c r="ABL184" s="1508"/>
      <c r="ABM184" s="1508"/>
      <c r="ABN184" s="1508"/>
      <c r="ABO184" s="1508"/>
      <c r="ABP184" s="1508"/>
      <c r="ABQ184" s="1508"/>
      <c r="ABR184" s="1508"/>
      <c r="ABS184" s="1508"/>
      <c r="ABT184" s="1508"/>
      <c r="ABU184" s="1508"/>
      <c r="ABV184" s="1508"/>
      <c r="ABW184" s="1508"/>
      <c r="ABX184" s="1508"/>
      <c r="ABY184" s="1508"/>
      <c r="ABZ184" s="1508"/>
      <c r="ACA184" s="1508"/>
      <c r="ACB184" s="1508"/>
      <c r="ACC184" s="1508"/>
      <c r="ACD184" s="1508"/>
      <c r="ACE184" s="1508"/>
      <c r="ACF184" s="1508"/>
      <c r="ACG184" s="1508"/>
      <c r="ACH184" s="1508"/>
      <c r="ACI184" s="1508"/>
      <c r="ACJ184" s="1508"/>
      <c r="ACK184" s="1508"/>
      <c r="ACL184" s="1508"/>
      <c r="ACM184" s="1508"/>
      <c r="ACN184" s="1508"/>
      <c r="ACO184" s="1508"/>
      <c r="ACP184" s="1508"/>
      <c r="ACQ184" s="1508"/>
      <c r="ACR184" s="1508"/>
      <c r="ACS184" s="1508"/>
      <c r="ACT184" s="1508"/>
      <c r="ACU184" s="1508"/>
      <c r="ACV184" s="1508"/>
      <c r="ACW184" s="1508"/>
      <c r="ACX184" s="1508"/>
      <c r="ACY184" s="1508"/>
      <c r="ACZ184" s="1508"/>
      <c r="ADA184" s="1508"/>
      <c r="ADB184" s="1508"/>
      <c r="ADC184" s="1508"/>
      <c r="ADD184" s="1508"/>
      <c r="ADE184" s="1508"/>
      <c r="ADF184" s="1508"/>
      <c r="ADG184" s="1508"/>
      <c r="ADH184" s="1508"/>
      <c r="ADI184" s="1508"/>
      <c r="ADJ184" s="1508"/>
      <c r="ADK184" s="1508"/>
      <c r="ADL184" s="1508"/>
      <c r="ADM184" s="1508"/>
      <c r="ADN184" s="1508"/>
      <c r="ADO184" s="1508"/>
      <c r="ADP184" s="1508"/>
      <c r="ADQ184" s="1508"/>
      <c r="ADR184" s="1508"/>
      <c r="ADS184" s="1508"/>
      <c r="ADT184" s="1508"/>
      <c r="ADU184" s="1508"/>
      <c r="ADV184" s="1508"/>
      <c r="ADW184" s="1508"/>
      <c r="ADX184" s="1508"/>
      <c r="ADY184" s="1508"/>
      <c r="ADZ184" s="1508"/>
      <c r="AEA184" s="1508"/>
      <c r="AEB184" s="1508"/>
      <c r="AEC184" s="1508"/>
      <c r="AED184" s="1508"/>
      <c r="AEE184" s="1508"/>
      <c r="AEF184" s="1508"/>
      <c r="AEG184" s="1508"/>
      <c r="AEH184" s="1508"/>
      <c r="AEI184" s="1508"/>
      <c r="AEJ184" s="1508"/>
      <c r="AEK184" s="1508"/>
      <c r="AEL184" s="1508"/>
      <c r="AEM184" s="1508"/>
      <c r="AEN184" s="1508"/>
      <c r="AEO184" s="1508"/>
      <c r="AEP184" s="1508"/>
      <c r="AEQ184" s="1508"/>
      <c r="AER184" s="1508"/>
      <c r="AES184" s="1508"/>
      <c r="AET184" s="1508"/>
      <c r="AEU184" s="1508"/>
      <c r="AEV184" s="1508"/>
      <c r="AEW184" s="1508"/>
      <c r="AEX184" s="1508"/>
      <c r="AEY184" s="1508"/>
      <c r="AEZ184" s="1508"/>
      <c r="AFA184" s="1508"/>
      <c r="AFB184" s="1508"/>
      <c r="AFC184" s="1508"/>
      <c r="AFD184" s="1508"/>
      <c r="AFE184" s="1508"/>
      <c r="AFF184" s="1508"/>
      <c r="AFG184" s="1508"/>
      <c r="AFH184" s="1508"/>
      <c r="AFI184" s="1508"/>
      <c r="AFJ184" s="1508"/>
      <c r="AFK184" s="1508"/>
      <c r="AFL184" s="1508"/>
      <c r="AFM184" s="1508"/>
      <c r="AFN184" s="1508"/>
      <c r="AFO184" s="1508"/>
      <c r="AFP184" s="1508"/>
      <c r="AFQ184" s="1508"/>
      <c r="AFR184" s="1508"/>
      <c r="AFS184" s="1508"/>
      <c r="AFT184" s="1508"/>
      <c r="AFU184" s="1508"/>
      <c r="AFV184" s="1508"/>
      <c r="AFW184" s="1508"/>
      <c r="AFX184" s="1508"/>
      <c r="AFY184" s="1508"/>
      <c r="AFZ184" s="1508"/>
      <c r="AGA184" s="1508"/>
      <c r="AGB184" s="1508"/>
      <c r="AGC184" s="1508"/>
      <c r="AGD184" s="1508"/>
      <c r="AGE184" s="1508"/>
      <c r="AGF184" s="1508"/>
      <c r="AGG184" s="1508"/>
      <c r="AGH184" s="1508"/>
      <c r="AGI184" s="1508"/>
      <c r="AGJ184" s="1508"/>
      <c r="AGK184" s="1508"/>
      <c r="AGL184" s="1508"/>
      <c r="AGM184" s="1508"/>
      <c r="AGN184" s="1508"/>
      <c r="AGO184" s="1508"/>
      <c r="AGP184" s="1508"/>
      <c r="AGQ184" s="1508"/>
      <c r="AGR184" s="1508"/>
      <c r="AGS184" s="1508"/>
      <c r="AGT184" s="1508"/>
      <c r="AGU184" s="1508"/>
      <c r="AGV184" s="1508"/>
      <c r="AGW184" s="1508"/>
      <c r="AGX184" s="1508"/>
      <c r="AGY184" s="1508"/>
      <c r="AGZ184" s="1508"/>
      <c r="AHA184" s="1508"/>
      <c r="AHB184" s="1508"/>
      <c r="AHC184" s="1508"/>
      <c r="AHD184" s="1508"/>
      <c r="AHE184" s="1508"/>
      <c r="AHF184" s="1508"/>
      <c r="AHG184" s="1508"/>
      <c r="AHH184" s="1508"/>
      <c r="AHI184" s="1508"/>
      <c r="AHJ184" s="1508"/>
      <c r="AHK184" s="1508"/>
      <c r="AHL184" s="1508"/>
      <c r="AHM184" s="1508"/>
      <c r="AHN184" s="1508"/>
      <c r="AHO184" s="1508"/>
      <c r="AHP184" s="1508"/>
      <c r="AHQ184" s="1508"/>
      <c r="AHR184" s="1508"/>
      <c r="AHS184" s="1508"/>
      <c r="AHT184" s="1508"/>
      <c r="AHU184" s="1508"/>
      <c r="AHV184" s="1508"/>
      <c r="AHW184" s="1508"/>
      <c r="AHX184" s="1508"/>
      <c r="AHY184" s="1508"/>
      <c r="AHZ184" s="1508"/>
      <c r="AIA184" s="1508"/>
      <c r="AIB184" s="1508"/>
      <c r="AIC184" s="1508"/>
      <c r="AID184" s="1508"/>
      <c r="AIE184" s="1508"/>
      <c r="AIF184" s="1508"/>
      <c r="AIG184" s="1508"/>
      <c r="AIH184" s="1508"/>
      <c r="AII184" s="1508"/>
      <c r="AIJ184" s="1508"/>
      <c r="AIK184" s="1508"/>
      <c r="AIL184" s="1508"/>
      <c r="AIM184" s="1508"/>
      <c r="AIN184" s="1508"/>
      <c r="AIO184" s="1508"/>
      <c r="AIP184" s="1508"/>
      <c r="AIQ184" s="1508"/>
      <c r="AIR184" s="1508"/>
      <c r="AIS184" s="1508"/>
      <c r="AIT184" s="1508"/>
      <c r="AIU184" s="1508"/>
      <c r="AIV184" s="1508"/>
      <c r="AIW184" s="1508"/>
      <c r="AIX184" s="1508"/>
      <c r="AIY184" s="1508"/>
      <c r="AIZ184" s="1508"/>
      <c r="AJA184" s="1508"/>
      <c r="AJB184" s="1508"/>
      <c r="AJC184" s="1508"/>
      <c r="AJD184" s="1508"/>
      <c r="AJE184" s="1508"/>
      <c r="AJF184" s="1508"/>
      <c r="AJG184" s="1508"/>
      <c r="AJH184" s="1508"/>
      <c r="AJI184" s="1508"/>
      <c r="AJJ184" s="1508"/>
      <c r="AJK184" s="1508"/>
      <c r="AJL184" s="1508"/>
      <c r="AJM184" s="1508"/>
      <c r="AJN184" s="1508"/>
      <c r="AJO184" s="1508"/>
      <c r="AJP184" s="1508"/>
      <c r="AJQ184" s="1508"/>
      <c r="AJR184" s="1508"/>
      <c r="AJS184" s="1508"/>
      <c r="AJT184" s="1508"/>
      <c r="AJU184" s="1508"/>
      <c r="AJV184" s="1508"/>
      <c r="AJW184" s="1508"/>
      <c r="AJX184" s="1508"/>
      <c r="AJY184" s="1508"/>
      <c r="AJZ184" s="1508"/>
      <c r="AKA184" s="1508"/>
      <c r="AKB184" s="1508"/>
      <c r="AKC184" s="1508"/>
      <c r="AKD184" s="1508"/>
      <c r="AKE184" s="1508"/>
      <c r="AKF184" s="1508"/>
      <c r="AKG184" s="1508"/>
      <c r="AKH184" s="1508"/>
      <c r="AKI184" s="1508"/>
      <c r="AKJ184" s="1508"/>
      <c r="AKK184" s="1508"/>
      <c r="AKL184" s="1508"/>
      <c r="AKM184" s="1508"/>
      <c r="AKN184" s="1508"/>
      <c r="AKO184" s="1508"/>
      <c r="AKP184" s="1508"/>
      <c r="AKQ184" s="1508"/>
      <c r="AKR184" s="1508"/>
      <c r="AKS184" s="1508"/>
      <c r="AKT184" s="1508"/>
      <c r="AKU184" s="1508"/>
      <c r="AKV184" s="1508"/>
      <c r="AKW184" s="1508"/>
      <c r="AKX184" s="1508"/>
      <c r="AKY184" s="1508"/>
      <c r="AKZ184" s="1508"/>
      <c r="ALA184" s="1508"/>
      <c r="ALB184" s="1508"/>
      <c r="ALC184" s="1508"/>
      <c r="ALD184" s="1508"/>
      <c r="ALE184" s="1508"/>
      <c r="ALF184" s="1508"/>
      <c r="ALG184" s="1508"/>
      <c r="ALH184" s="1508"/>
      <c r="ALI184" s="1508"/>
      <c r="ALJ184" s="1508"/>
      <c r="ALK184" s="1508"/>
      <c r="ALL184" s="1508"/>
      <c r="ALM184" s="1508"/>
      <c r="ALN184" s="1508"/>
      <c r="ALO184" s="1508"/>
      <c r="ALP184" s="1508"/>
      <c r="ALQ184" s="1508"/>
      <c r="ALR184" s="1508"/>
      <c r="ALS184" s="1508"/>
      <c r="ALT184" s="1508"/>
      <c r="ALU184" s="1508"/>
      <c r="ALV184" s="1508"/>
      <c r="ALW184" s="1508"/>
      <c r="ALX184" s="1508"/>
      <c r="ALY184" s="1508"/>
      <c r="ALZ184" s="1508"/>
      <c r="AMA184" s="1508"/>
      <c r="AMB184" s="1508"/>
      <c r="AMC184" s="1508"/>
      <c r="AMD184" s="1508"/>
      <c r="AME184" s="1508"/>
      <c r="AMF184" s="1508"/>
      <c r="AMG184" s="1508"/>
      <c r="AMH184" s="1508"/>
      <c r="AMI184" s="1508"/>
      <c r="AMJ184" s="1508"/>
      <c r="AMK184" s="1508"/>
      <c r="AML184" s="1508"/>
      <c r="AMM184" s="1508"/>
      <c r="AMN184" s="1508"/>
      <c r="AMO184" s="1508"/>
      <c r="AMP184" s="1508"/>
      <c r="AMQ184" s="1508"/>
      <c r="AMR184" s="1508"/>
      <c r="AMS184" s="1508"/>
      <c r="AMT184" s="1508"/>
      <c r="AMU184" s="1508"/>
      <c r="AMV184" s="1508"/>
      <c r="AMW184" s="1508"/>
      <c r="AMX184" s="1508"/>
      <c r="AMY184" s="1508"/>
      <c r="AMZ184" s="1508"/>
      <c r="ANA184" s="1508"/>
      <c r="ANB184" s="1508"/>
      <c r="ANC184" s="1508"/>
      <c r="AND184" s="1508"/>
      <c r="ANE184" s="1508"/>
      <c r="ANF184" s="1508"/>
      <c r="ANG184" s="1508"/>
      <c r="ANH184" s="1508"/>
      <c r="ANI184" s="1508"/>
      <c r="ANJ184" s="1508"/>
      <c r="ANK184" s="1508"/>
      <c r="ANL184" s="1508"/>
      <c r="ANM184" s="1508"/>
      <c r="ANN184" s="1508"/>
      <c r="ANO184" s="1508"/>
      <c r="ANP184" s="1508"/>
      <c r="ANQ184" s="1508"/>
      <c r="ANR184" s="1508"/>
      <c r="ANS184" s="1508"/>
      <c r="ANT184" s="1508"/>
      <c r="ANU184" s="1508"/>
      <c r="ANV184" s="1508"/>
      <c r="ANW184" s="1508"/>
      <c r="ANX184" s="1508"/>
      <c r="ANY184" s="1508"/>
      <c r="ANZ184" s="1508"/>
      <c r="AOA184" s="1508"/>
      <c r="AOB184" s="1508"/>
      <c r="AOC184" s="1508"/>
      <c r="AOD184" s="1508"/>
      <c r="AOE184" s="1508"/>
      <c r="AOF184" s="1508"/>
      <c r="AOG184" s="1508"/>
      <c r="AOH184" s="1508"/>
      <c r="AOI184" s="1508"/>
      <c r="AOJ184" s="1508"/>
      <c r="AOK184" s="1508"/>
      <c r="AOL184" s="1508"/>
      <c r="AOM184" s="1508"/>
      <c r="AON184" s="1508"/>
      <c r="AOO184" s="1508"/>
      <c r="AOP184" s="1508"/>
      <c r="AOQ184" s="1508"/>
      <c r="AOR184" s="1508"/>
      <c r="AOS184" s="1508"/>
      <c r="AOT184" s="1508"/>
      <c r="AOU184" s="1508"/>
      <c r="AOV184" s="1508"/>
      <c r="AOW184" s="1508"/>
      <c r="AOX184" s="1508"/>
      <c r="AOY184" s="1508"/>
      <c r="AOZ184" s="1508"/>
      <c r="APA184" s="1508"/>
      <c r="APB184" s="1508"/>
      <c r="APC184" s="1508"/>
      <c r="APD184" s="1508"/>
      <c r="APE184" s="1508"/>
      <c r="APF184" s="1508"/>
      <c r="APG184" s="1508"/>
      <c r="APH184" s="1508"/>
      <c r="API184" s="1508"/>
      <c r="APJ184" s="1508"/>
      <c r="APK184" s="1508"/>
      <c r="APL184" s="1508"/>
      <c r="APM184" s="1508"/>
      <c r="APN184" s="1508"/>
      <c r="APO184" s="1508"/>
      <c r="APP184" s="1508"/>
      <c r="APQ184" s="1508"/>
      <c r="APR184" s="1508"/>
      <c r="APS184" s="1508"/>
      <c r="APT184" s="1508"/>
      <c r="APU184" s="1508"/>
      <c r="APV184" s="1508"/>
      <c r="APW184" s="1508"/>
      <c r="APX184" s="1508"/>
      <c r="APY184" s="1508"/>
      <c r="APZ184" s="1508"/>
      <c r="AQA184" s="1508"/>
      <c r="AQB184" s="1508"/>
      <c r="AQC184" s="1508"/>
      <c r="AQD184" s="1508"/>
      <c r="AQE184" s="1508"/>
      <c r="AQF184" s="1508"/>
      <c r="AQG184" s="1508"/>
      <c r="AQH184" s="1508"/>
      <c r="AQI184" s="1508"/>
      <c r="AQJ184" s="1508"/>
      <c r="AQK184" s="1508"/>
      <c r="AQL184" s="1508"/>
      <c r="AQM184" s="1508"/>
      <c r="AQN184" s="1508"/>
      <c r="AQO184" s="1508"/>
      <c r="AQP184" s="1508"/>
      <c r="AQQ184" s="1508"/>
      <c r="AQR184" s="1508"/>
      <c r="AQS184" s="1508"/>
      <c r="AQT184" s="1508"/>
      <c r="AQU184" s="1508"/>
      <c r="AQV184" s="1508"/>
      <c r="AQW184" s="1508"/>
      <c r="AQX184" s="1508"/>
      <c r="AQY184" s="1508"/>
      <c r="AQZ184" s="1508"/>
      <c r="ARA184" s="1508"/>
      <c r="ARB184" s="1508"/>
      <c r="ARC184" s="1508"/>
      <c r="ARD184" s="1508"/>
      <c r="ARE184" s="1508"/>
      <c r="ARF184" s="1508"/>
      <c r="ARG184" s="1508"/>
      <c r="ARH184" s="1508"/>
      <c r="ARI184" s="1508"/>
      <c r="ARJ184" s="1508"/>
      <c r="ARK184" s="1508"/>
      <c r="ARL184" s="1508"/>
      <c r="ARM184" s="1508"/>
      <c r="ARN184" s="1508"/>
      <c r="ARO184" s="1508"/>
      <c r="ARP184" s="1508"/>
      <c r="ARQ184" s="1508"/>
      <c r="ARR184" s="1508"/>
      <c r="ARS184" s="1508"/>
      <c r="ART184" s="1508"/>
      <c r="ARU184" s="1508"/>
      <c r="ARV184" s="1508"/>
      <c r="ARW184" s="1508"/>
      <c r="ARX184" s="1508"/>
      <c r="ARY184" s="1508"/>
      <c r="ARZ184" s="1508"/>
      <c r="ASA184" s="1508"/>
      <c r="ASB184" s="1508"/>
      <c r="ASC184" s="1508"/>
      <c r="ASD184" s="1508"/>
      <c r="ASE184" s="1508"/>
      <c r="ASF184" s="1508"/>
      <c r="ASG184" s="1508"/>
      <c r="ASH184" s="1508"/>
      <c r="ASI184" s="1508"/>
      <c r="ASJ184" s="1508"/>
      <c r="ASK184" s="1508"/>
      <c r="ASL184" s="1508"/>
      <c r="ASM184" s="1508"/>
      <c r="ASN184" s="1508"/>
      <c r="ASO184" s="1508"/>
      <c r="ASP184" s="1508"/>
      <c r="ASQ184" s="1508"/>
      <c r="ASR184" s="1508"/>
      <c r="ASS184" s="1508"/>
      <c r="AST184" s="1508"/>
      <c r="ASU184" s="1508"/>
      <c r="ASV184" s="1508"/>
      <c r="ASW184" s="1508"/>
      <c r="ASX184" s="1508"/>
      <c r="ASY184" s="1508"/>
      <c r="ASZ184" s="1508"/>
      <c r="ATA184" s="1508"/>
      <c r="ATB184" s="1508"/>
      <c r="ATC184" s="1508"/>
      <c r="ATD184" s="1508"/>
      <c r="ATE184" s="1508"/>
    </row>
    <row r="185" spans="1:1201" s="34" customFormat="1" ht="15.75" customHeight="1" x14ac:dyDescent="0.3">
      <c r="A185" s="197"/>
      <c r="B185" s="197"/>
      <c r="C185" s="687" t="s">
        <v>252</v>
      </c>
      <c r="D185" s="84"/>
      <c r="E185" s="84"/>
      <c r="F185" s="690"/>
      <c r="G185" s="688">
        <f t="shared" ref="G185:S185" si="318">SUM(G178:G180)</f>
        <v>1408296.1800000004</v>
      </c>
      <c r="H185" s="689">
        <f t="shared" si="318"/>
        <v>1366821.36</v>
      </c>
      <c r="I185" s="691">
        <f t="shared" si="318"/>
        <v>1349341.8000000003</v>
      </c>
      <c r="J185" s="691">
        <f t="shared" si="318"/>
        <v>1317862.2400000002</v>
      </c>
      <c r="K185" s="691">
        <f t="shared" si="318"/>
        <v>1306499.0100000002</v>
      </c>
      <c r="L185" s="691">
        <f t="shared" si="318"/>
        <v>1293435.3</v>
      </c>
      <c r="M185" s="691">
        <f t="shared" si="318"/>
        <v>1289883.76</v>
      </c>
      <c r="N185" s="691">
        <f t="shared" si="318"/>
        <v>1270433.2699999996</v>
      </c>
      <c r="O185" s="691">
        <f t="shared" si="318"/>
        <v>1250982.7799999996</v>
      </c>
      <c r="P185" s="691">
        <f t="shared" si="318"/>
        <v>1231532.2899999996</v>
      </c>
      <c r="Q185" s="691">
        <f t="shared" si="318"/>
        <v>1212081.7999999998</v>
      </c>
      <c r="R185" s="691">
        <f t="shared" si="318"/>
        <v>1202587.3099999998</v>
      </c>
      <c r="S185" s="941">
        <f t="shared" si="318"/>
        <v>1197523.1499999997</v>
      </c>
      <c r="T185" s="1132">
        <f t="shared" ref="T185:AB185" si="319">SUM(T178:T180)</f>
        <v>1178650.96</v>
      </c>
      <c r="U185" s="1133">
        <f t="shared" si="319"/>
        <v>1159778.77</v>
      </c>
      <c r="V185" s="1133">
        <f t="shared" si="319"/>
        <v>1140906.5799999998</v>
      </c>
      <c r="W185" s="1133">
        <f t="shared" si="319"/>
        <v>1138723.23</v>
      </c>
      <c r="X185" s="1133">
        <f t="shared" si="319"/>
        <v>1205693.5900000003</v>
      </c>
      <c r="Y185" s="1133">
        <f t="shared" si="319"/>
        <v>1284441.7700000003</v>
      </c>
      <c r="Z185" s="1133">
        <f>SUM(Z178:Z180)</f>
        <v>1283526.99</v>
      </c>
      <c r="AA185" s="1079">
        <f>SUM(AA178:AA180)</f>
        <v>1307344.1599999997</v>
      </c>
      <c r="AB185" s="1079">
        <f t="shared" si="319"/>
        <v>1439075.46</v>
      </c>
      <c r="AC185" s="1079">
        <f t="shared" ref="AC185:AD185" si="320">SUM(AC178:AC180)</f>
        <v>1418322.63</v>
      </c>
      <c r="AD185" s="1079">
        <f t="shared" si="320"/>
        <v>1528702.0000000002</v>
      </c>
      <c r="AE185" s="1079">
        <f t="shared" ref="AE185" si="321">SUM(AE178:AE180)</f>
        <v>2590091.61</v>
      </c>
      <c r="AF185" s="1079">
        <f t="shared" ref="AF185:AP185" si="322">SUM(AF178:AF184)</f>
        <v>2620422.2699999996</v>
      </c>
      <c r="AG185" s="1079">
        <f t="shared" si="322"/>
        <v>2669115.4200000004</v>
      </c>
      <c r="AH185" s="1079">
        <f t="shared" si="322"/>
        <v>2787230.02</v>
      </c>
      <c r="AI185" s="1079">
        <f t="shared" si="322"/>
        <v>2706905.82</v>
      </c>
      <c r="AJ185" s="1079">
        <f t="shared" si="322"/>
        <v>2800957.8300000005</v>
      </c>
      <c r="AK185" s="1079">
        <f t="shared" si="322"/>
        <v>3905204.86</v>
      </c>
      <c r="AL185" s="1079">
        <f t="shared" si="322"/>
        <v>3933953.1300000004</v>
      </c>
      <c r="AM185" s="1079">
        <f t="shared" si="322"/>
        <v>3889325.08</v>
      </c>
      <c r="AN185" s="1079">
        <f t="shared" si="322"/>
        <v>3941887.2899999996</v>
      </c>
      <c r="AO185" s="1079">
        <f t="shared" ref="AO185" si="323">SUM(AO178:AO184)</f>
        <v>3969580.65</v>
      </c>
      <c r="AP185" s="691">
        <f t="shared" si="322"/>
        <v>3966422.32</v>
      </c>
      <c r="AQ185" s="691">
        <f t="shared" ref="AQ185:BC185" si="324">SUM(AQ178:AQ184)</f>
        <v>3963263.9899999998</v>
      </c>
      <c r="AR185" s="1614">
        <f t="shared" si="324"/>
        <v>6110105.6600000001</v>
      </c>
      <c r="AS185" s="691">
        <f t="shared" si="324"/>
        <v>6106947.3300000001</v>
      </c>
      <c r="AT185" s="691">
        <f t="shared" si="324"/>
        <v>6103789</v>
      </c>
      <c r="AU185" s="691">
        <f t="shared" si="324"/>
        <v>6100630.6699999999</v>
      </c>
      <c r="AV185" s="691">
        <f t="shared" si="324"/>
        <v>6097472.3399999999</v>
      </c>
      <c r="AW185" s="691">
        <f t="shared" si="324"/>
        <v>6094314.0099999998</v>
      </c>
      <c r="AX185" s="691">
        <f t="shared" si="324"/>
        <v>6091155.6799999997</v>
      </c>
      <c r="AY185" s="691">
        <f t="shared" si="324"/>
        <v>6087997.3499999996</v>
      </c>
      <c r="AZ185" s="691">
        <f t="shared" si="324"/>
        <v>6084839.0199999996</v>
      </c>
      <c r="BA185" s="691">
        <f t="shared" si="324"/>
        <v>6081680.6899999995</v>
      </c>
      <c r="BB185" s="691">
        <f t="shared" si="324"/>
        <v>6078522.3599999994</v>
      </c>
      <c r="BC185" s="691">
        <f t="shared" si="324"/>
        <v>6075364.0299999993</v>
      </c>
      <c r="BE185" s="1195">
        <v>1496746.72</v>
      </c>
      <c r="BF185" s="926">
        <f>AQ185</f>
        <v>3963263.9899999998</v>
      </c>
      <c r="BG185" s="1195">
        <f t="shared" si="313"/>
        <v>6075364.0299999993</v>
      </c>
      <c r="BH185" s="31"/>
      <c r="BI185" s="31"/>
      <c r="BJ185" s="31"/>
      <c r="BK185" s="31"/>
      <c r="BL185" s="31"/>
      <c r="BM185" s="31"/>
      <c r="BN185" s="31"/>
      <c r="BO185" s="31"/>
      <c r="BP185" s="31"/>
      <c r="BQ185" s="31"/>
      <c r="BR185" s="31"/>
      <c r="BS185" s="31"/>
      <c r="BT185" s="31"/>
      <c r="BU185" s="31"/>
      <c r="BV185" s="31"/>
      <c r="BW185" s="31"/>
      <c r="BX185" s="31"/>
      <c r="BY185" s="31"/>
      <c r="BZ185" s="31"/>
      <c r="CA185" s="31"/>
      <c r="CB185" s="31"/>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c r="EX185" s="31"/>
      <c r="EY185" s="31"/>
      <c r="EZ185" s="31"/>
      <c r="FA185" s="31"/>
      <c r="FB185" s="31"/>
      <c r="FC185" s="31"/>
      <c r="FD185" s="31"/>
      <c r="FE185" s="31"/>
      <c r="FF185" s="31"/>
      <c r="FG185" s="31"/>
      <c r="FH185" s="31"/>
      <c r="FI185" s="31"/>
      <c r="FJ185" s="31"/>
      <c r="FK185" s="31"/>
      <c r="FL185" s="31"/>
      <c r="FM185" s="31"/>
      <c r="FN185" s="31"/>
      <c r="FO185" s="31"/>
      <c r="FP185" s="31"/>
      <c r="FQ185" s="31"/>
      <c r="FR185" s="31"/>
      <c r="FS185" s="31"/>
      <c r="FT185" s="31"/>
      <c r="FU185" s="31"/>
      <c r="FV185" s="31"/>
      <c r="FW185" s="31"/>
      <c r="FX185" s="31"/>
      <c r="FY185" s="31"/>
      <c r="FZ185" s="31"/>
      <c r="GA185" s="31"/>
      <c r="GB185" s="31"/>
      <c r="GC185" s="31"/>
      <c r="GD185" s="31"/>
      <c r="GE185" s="31"/>
      <c r="GF185" s="31"/>
      <c r="GG185" s="31"/>
      <c r="GH185" s="31"/>
      <c r="GI185" s="31"/>
      <c r="GJ185" s="31"/>
      <c r="GK185" s="31"/>
      <c r="GL185" s="31"/>
      <c r="GM185" s="31"/>
      <c r="GN185" s="31"/>
      <c r="GO185" s="31"/>
      <c r="GP185" s="31"/>
      <c r="GQ185" s="31"/>
      <c r="GR185" s="31"/>
      <c r="GS185" s="31"/>
      <c r="GT185" s="31"/>
      <c r="GU185" s="31"/>
      <c r="GV185" s="31"/>
      <c r="GW185" s="31"/>
      <c r="GX185" s="31"/>
      <c r="GY185" s="31"/>
      <c r="GZ185" s="31"/>
      <c r="HA185" s="31"/>
      <c r="HB185" s="31"/>
      <c r="HC185" s="31"/>
      <c r="HD185" s="31"/>
      <c r="HE185" s="31"/>
      <c r="HF185" s="31"/>
      <c r="HG185" s="31"/>
      <c r="HH185" s="31"/>
      <c r="HI185" s="31"/>
      <c r="HJ185" s="31"/>
      <c r="HK185" s="31"/>
      <c r="HL185" s="31"/>
      <c r="HM185" s="31"/>
      <c r="HN185" s="31"/>
      <c r="HO185" s="31"/>
      <c r="HP185" s="31"/>
      <c r="HQ185" s="31"/>
      <c r="HR185" s="31"/>
      <c r="HS185" s="31"/>
      <c r="HT185" s="31"/>
      <c r="HU185" s="31"/>
      <c r="HV185" s="31"/>
      <c r="HW185" s="31"/>
      <c r="HX185" s="31"/>
      <c r="HY185" s="31"/>
      <c r="HZ185" s="31"/>
      <c r="IA185" s="31"/>
      <c r="IB185" s="31"/>
      <c r="IC185" s="31"/>
      <c r="ID185" s="31"/>
      <c r="IE185" s="31"/>
      <c r="IF185" s="31"/>
      <c r="IG185" s="31"/>
      <c r="IH185" s="31"/>
      <c r="II185" s="31"/>
      <c r="IJ185" s="31"/>
      <c r="IK185" s="31"/>
      <c r="IL185" s="31"/>
      <c r="IM185" s="31"/>
      <c r="IN185" s="31"/>
      <c r="IO185" s="31"/>
      <c r="IP185" s="31"/>
      <c r="IQ185" s="31"/>
      <c r="IR185" s="31"/>
      <c r="IS185" s="31"/>
      <c r="IT185" s="31"/>
      <c r="IU185" s="31"/>
      <c r="IV185" s="31"/>
      <c r="IW185" s="31"/>
      <c r="IX185" s="31"/>
      <c r="IY185" s="31"/>
      <c r="IZ185" s="31"/>
      <c r="JA185" s="31"/>
      <c r="JB185" s="31"/>
      <c r="JC185" s="31"/>
      <c r="JD185" s="31"/>
      <c r="JE185" s="31"/>
      <c r="JF185" s="31"/>
      <c r="JG185" s="31"/>
      <c r="JH185" s="31"/>
      <c r="JI185" s="31"/>
      <c r="JJ185" s="31"/>
      <c r="JK185" s="31"/>
      <c r="JL185" s="31"/>
      <c r="JM185" s="31"/>
      <c r="JN185" s="31"/>
      <c r="JO185" s="31"/>
      <c r="JP185" s="31"/>
      <c r="JQ185" s="31"/>
      <c r="JR185" s="31"/>
      <c r="JS185" s="31"/>
      <c r="JT185" s="31"/>
      <c r="JU185" s="31"/>
      <c r="JV185" s="31"/>
      <c r="JW185" s="31"/>
      <c r="JX185" s="31"/>
      <c r="JY185" s="31"/>
      <c r="JZ185" s="31"/>
      <c r="KA185" s="31"/>
      <c r="KB185" s="31"/>
      <c r="KC185" s="31"/>
      <c r="KD185" s="31"/>
      <c r="KE185" s="31"/>
      <c r="KF185" s="31"/>
      <c r="KG185" s="31"/>
      <c r="KH185" s="31"/>
      <c r="KI185" s="31"/>
      <c r="KJ185" s="31"/>
      <c r="KK185" s="31"/>
      <c r="KL185" s="31"/>
      <c r="KM185" s="31"/>
      <c r="KN185" s="31"/>
      <c r="KO185" s="31"/>
      <c r="KP185" s="31"/>
      <c r="KQ185" s="31"/>
      <c r="KR185" s="31"/>
      <c r="KS185" s="31"/>
      <c r="KT185" s="31"/>
      <c r="KU185" s="31"/>
      <c r="KV185" s="31"/>
      <c r="KW185" s="31"/>
      <c r="KX185" s="31"/>
      <c r="KY185" s="31"/>
      <c r="KZ185" s="31"/>
      <c r="LA185" s="31"/>
      <c r="LB185" s="31"/>
      <c r="LC185" s="31"/>
      <c r="LD185" s="31"/>
      <c r="LE185" s="31"/>
      <c r="LF185" s="31"/>
      <c r="LG185" s="31"/>
      <c r="LH185" s="31"/>
      <c r="LI185" s="31"/>
      <c r="LJ185" s="31"/>
      <c r="LK185" s="31"/>
      <c r="LL185" s="31"/>
      <c r="LM185" s="31"/>
      <c r="LN185" s="31"/>
      <c r="LO185" s="31"/>
      <c r="LP185" s="31"/>
      <c r="LQ185" s="31"/>
      <c r="LR185" s="31"/>
      <c r="LS185" s="31"/>
      <c r="LT185" s="31"/>
      <c r="LU185" s="31"/>
      <c r="LV185" s="31"/>
      <c r="LW185" s="31"/>
      <c r="LX185" s="31"/>
      <c r="LY185" s="31"/>
      <c r="LZ185" s="31"/>
      <c r="MA185" s="31"/>
      <c r="MB185" s="31"/>
      <c r="MC185" s="31"/>
      <c r="MD185" s="31"/>
      <c r="ME185" s="31"/>
      <c r="MF185" s="31"/>
      <c r="MG185" s="31"/>
      <c r="MH185" s="31"/>
      <c r="MI185" s="31"/>
      <c r="MJ185" s="31"/>
      <c r="MK185" s="31"/>
      <c r="ML185" s="31"/>
      <c r="MM185" s="31"/>
      <c r="MN185" s="31"/>
      <c r="MO185" s="31"/>
      <c r="MP185" s="31"/>
      <c r="MQ185" s="31"/>
      <c r="MR185" s="31"/>
      <c r="MS185" s="31"/>
      <c r="MT185" s="31"/>
      <c r="MU185" s="31"/>
      <c r="MV185" s="31"/>
      <c r="MW185" s="31"/>
      <c r="MX185" s="31"/>
      <c r="MY185" s="31"/>
      <c r="MZ185" s="31"/>
      <c r="NA185" s="31"/>
      <c r="NB185" s="31"/>
      <c r="NC185" s="31"/>
      <c r="ND185" s="31"/>
      <c r="NE185" s="31"/>
      <c r="NF185" s="31"/>
      <c r="NG185" s="31"/>
      <c r="NH185" s="31"/>
      <c r="NI185" s="31"/>
      <c r="NJ185" s="31"/>
      <c r="NK185" s="31"/>
      <c r="NL185" s="31"/>
      <c r="NM185" s="31"/>
      <c r="NN185" s="31"/>
      <c r="NO185" s="31"/>
      <c r="NP185" s="31"/>
      <c r="NQ185" s="31"/>
      <c r="NR185" s="31"/>
      <c r="NS185" s="31"/>
      <c r="NT185" s="31"/>
      <c r="NU185" s="31"/>
      <c r="NV185" s="31"/>
      <c r="NW185" s="31"/>
      <c r="NX185" s="31"/>
      <c r="NY185" s="31"/>
      <c r="NZ185" s="31"/>
      <c r="OA185" s="31"/>
      <c r="OB185" s="31"/>
      <c r="OC185" s="31"/>
      <c r="OD185" s="31"/>
      <c r="OE185" s="31"/>
      <c r="OF185" s="31"/>
      <c r="OG185" s="31"/>
      <c r="OH185" s="31"/>
      <c r="OI185" s="31"/>
      <c r="OJ185" s="31"/>
      <c r="OK185" s="31"/>
      <c r="OL185" s="31"/>
      <c r="OM185" s="31"/>
      <c r="ON185" s="31"/>
      <c r="OO185" s="31"/>
      <c r="OP185" s="31"/>
      <c r="OQ185" s="31"/>
      <c r="OR185" s="31"/>
      <c r="OS185" s="31"/>
      <c r="OT185" s="31"/>
      <c r="OU185" s="31"/>
      <c r="OV185" s="31"/>
      <c r="OW185" s="31"/>
      <c r="OX185" s="31"/>
      <c r="OY185" s="31"/>
      <c r="OZ185" s="31"/>
      <c r="PA185" s="31"/>
      <c r="PB185" s="31"/>
      <c r="PC185" s="31"/>
      <c r="PD185" s="31"/>
      <c r="PE185" s="31"/>
      <c r="PF185" s="31"/>
      <c r="PG185" s="31"/>
      <c r="PH185" s="31"/>
      <c r="PI185" s="31"/>
      <c r="PJ185" s="31"/>
      <c r="PK185" s="31"/>
      <c r="PL185" s="31"/>
      <c r="PM185" s="31"/>
      <c r="PN185" s="31"/>
      <c r="PO185" s="31"/>
      <c r="PP185" s="31"/>
      <c r="PQ185" s="31"/>
      <c r="PR185" s="31"/>
      <c r="PS185" s="31"/>
      <c r="PT185" s="31"/>
      <c r="PU185" s="31"/>
      <c r="PV185" s="31"/>
      <c r="PW185" s="31"/>
      <c r="PX185" s="31"/>
      <c r="PY185" s="31"/>
      <c r="PZ185" s="31"/>
      <c r="QA185" s="31"/>
      <c r="QB185" s="31"/>
      <c r="QC185" s="31"/>
      <c r="QD185" s="31"/>
      <c r="QE185" s="31"/>
      <c r="QF185" s="31"/>
      <c r="QG185" s="31"/>
      <c r="QH185" s="31"/>
      <c r="QI185" s="31"/>
      <c r="QJ185" s="31"/>
      <c r="QK185" s="31"/>
      <c r="QL185" s="31"/>
      <c r="QM185" s="31"/>
      <c r="QN185" s="31"/>
      <c r="QO185" s="31"/>
      <c r="QP185" s="31"/>
      <c r="QQ185" s="31"/>
      <c r="QR185" s="31"/>
      <c r="QS185" s="31"/>
      <c r="QT185" s="31"/>
      <c r="QU185" s="31"/>
      <c r="QV185" s="31"/>
      <c r="QW185" s="31"/>
      <c r="QX185" s="31"/>
      <c r="QY185" s="31"/>
      <c r="QZ185" s="31"/>
      <c r="RA185" s="31"/>
      <c r="RB185" s="31"/>
      <c r="RC185" s="31"/>
      <c r="RD185" s="31"/>
      <c r="RE185" s="31"/>
      <c r="RF185" s="31"/>
      <c r="RG185" s="31"/>
      <c r="RH185" s="31"/>
      <c r="RI185" s="31"/>
      <c r="RJ185" s="31"/>
      <c r="RK185" s="31"/>
      <c r="RL185" s="31"/>
      <c r="RM185" s="31"/>
      <c r="RN185" s="31"/>
      <c r="RO185" s="31"/>
      <c r="RP185" s="31"/>
      <c r="RQ185" s="31"/>
      <c r="RR185" s="31"/>
      <c r="RS185" s="31"/>
      <c r="RT185" s="31"/>
      <c r="RU185" s="31"/>
      <c r="RV185" s="31"/>
      <c r="RW185" s="31"/>
      <c r="RX185" s="31"/>
      <c r="RY185" s="31"/>
      <c r="RZ185" s="31"/>
      <c r="SA185" s="31"/>
      <c r="SB185" s="31"/>
      <c r="SC185" s="31"/>
      <c r="SD185" s="31"/>
      <c r="SE185" s="31"/>
      <c r="SF185" s="31"/>
      <c r="SG185" s="31"/>
      <c r="SH185" s="31"/>
      <c r="SI185" s="31"/>
      <c r="SJ185" s="31"/>
      <c r="SK185" s="31"/>
      <c r="SL185" s="31"/>
      <c r="SM185" s="31"/>
      <c r="SN185" s="31"/>
      <c r="SO185" s="31"/>
      <c r="SP185" s="31"/>
      <c r="SQ185" s="31"/>
      <c r="SR185" s="31"/>
      <c r="SS185" s="31"/>
      <c r="ST185" s="31"/>
      <c r="SU185" s="31"/>
      <c r="SV185" s="31"/>
      <c r="SW185" s="31"/>
      <c r="SX185" s="31"/>
      <c r="SY185" s="31"/>
      <c r="SZ185" s="31"/>
      <c r="TA185" s="31"/>
      <c r="TB185" s="31"/>
      <c r="TC185" s="31"/>
      <c r="TD185" s="31"/>
      <c r="TE185" s="31"/>
      <c r="TF185" s="31"/>
      <c r="TG185" s="31"/>
      <c r="TH185" s="31"/>
      <c r="TI185" s="31"/>
      <c r="TJ185" s="31"/>
      <c r="TK185" s="31"/>
      <c r="TL185" s="31"/>
      <c r="TM185" s="31"/>
      <c r="TN185" s="31"/>
      <c r="TO185" s="31"/>
      <c r="TP185" s="31"/>
      <c r="TQ185" s="31"/>
      <c r="TR185" s="31"/>
      <c r="TS185" s="31"/>
      <c r="TT185" s="31"/>
      <c r="TU185" s="31"/>
      <c r="TV185" s="31"/>
      <c r="TW185" s="31"/>
      <c r="TX185" s="31"/>
      <c r="TY185" s="31"/>
      <c r="TZ185" s="31"/>
      <c r="UA185" s="31"/>
      <c r="UB185" s="31"/>
      <c r="UC185" s="31"/>
      <c r="UD185" s="31"/>
      <c r="UE185" s="31"/>
      <c r="UF185" s="31"/>
      <c r="UG185" s="31"/>
      <c r="UH185" s="31"/>
      <c r="UI185" s="31"/>
      <c r="UJ185" s="31"/>
      <c r="UK185" s="31"/>
      <c r="UL185" s="31"/>
      <c r="UM185" s="31"/>
      <c r="UN185" s="31"/>
      <c r="UO185" s="31"/>
      <c r="UP185" s="31"/>
      <c r="UQ185" s="31"/>
      <c r="UR185" s="31"/>
      <c r="US185" s="31"/>
      <c r="UT185" s="31"/>
      <c r="UU185" s="31"/>
      <c r="UV185" s="31"/>
      <c r="UW185" s="31"/>
      <c r="UX185" s="31"/>
      <c r="UY185" s="31"/>
      <c r="UZ185" s="31"/>
      <c r="VA185" s="31"/>
      <c r="VB185" s="31"/>
      <c r="VC185" s="31"/>
      <c r="VD185" s="31"/>
      <c r="VE185" s="31"/>
      <c r="VF185" s="31"/>
      <c r="VG185" s="31"/>
      <c r="VH185" s="31"/>
      <c r="VI185" s="31"/>
      <c r="VJ185" s="31"/>
      <c r="VK185" s="31"/>
      <c r="VL185" s="31"/>
      <c r="VM185" s="31"/>
      <c r="VN185" s="31"/>
      <c r="VO185" s="31"/>
      <c r="VP185" s="31"/>
      <c r="VQ185" s="31"/>
      <c r="VR185" s="31"/>
      <c r="VS185" s="31"/>
      <c r="VT185" s="31"/>
      <c r="VU185" s="31"/>
      <c r="VV185" s="31"/>
      <c r="VW185" s="31"/>
      <c r="VX185" s="31"/>
      <c r="VY185" s="31"/>
      <c r="VZ185" s="31"/>
      <c r="WA185" s="31"/>
      <c r="WB185" s="31"/>
      <c r="WC185" s="31"/>
      <c r="WD185" s="31"/>
      <c r="WE185" s="31"/>
      <c r="WF185" s="31"/>
      <c r="WG185" s="31"/>
      <c r="WH185" s="31"/>
      <c r="WI185" s="31"/>
      <c r="WJ185" s="31"/>
      <c r="WK185" s="31"/>
      <c r="WL185" s="31"/>
      <c r="WM185" s="31"/>
      <c r="WN185" s="31"/>
      <c r="WO185" s="31"/>
      <c r="WP185" s="31"/>
      <c r="WQ185" s="31"/>
      <c r="WR185" s="31"/>
      <c r="WS185" s="31"/>
      <c r="WT185" s="31"/>
      <c r="WU185" s="31"/>
      <c r="WV185" s="31"/>
      <c r="WW185" s="31"/>
      <c r="WX185" s="31"/>
      <c r="WY185" s="31"/>
      <c r="WZ185" s="31"/>
      <c r="XA185" s="31"/>
      <c r="XB185" s="31"/>
      <c r="XC185" s="31"/>
      <c r="XD185" s="31"/>
      <c r="XE185" s="31"/>
      <c r="XF185" s="31"/>
      <c r="XG185" s="31"/>
      <c r="XH185" s="31"/>
      <c r="XI185" s="31"/>
      <c r="XJ185" s="31"/>
      <c r="XK185" s="31"/>
      <c r="XL185" s="31"/>
      <c r="XM185" s="31"/>
      <c r="XN185" s="31"/>
      <c r="XO185" s="31"/>
      <c r="XP185" s="31"/>
      <c r="XQ185" s="31"/>
      <c r="XR185" s="31"/>
      <c r="XS185" s="31"/>
      <c r="XT185" s="31"/>
      <c r="XU185" s="31"/>
      <c r="XV185" s="31"/>
      <c r="XW185" s="31"/>
      <c r="XX185" s="31"/>
      <c r="XY185" s="31"/>
      <c r="XZ185" s="31"/>
      <c r="YA185" s="31"/>
      <c r="YB185" s="31"/>
      <c r="YC185" s="31"/>
      <c r="YD185" s="31"/>
      <c r="YE185" s="31"/>
      <c r="YF185" s="31"/>
      <c r="YG185" s="31"/>
      <c r="YH185" s="31"/>
      <c r="YI185" s="31"/>
      <c r="YJ185" s="31"/>
      <c r="YK185" s="31"/>
      <c r="YL185" s="31"/>
      <c r="YM185" s="31"/>
      <c r="YN185" s="31"/>
      <c r="YO185" s="31"/>
      <c r="YP185" s="31"/>
      <c r="YQ185" s="31"/>
      <c r="YR185" s="31"/>
      <c r="YS185" s="31"/>
      <c r="YT185" s="31"/>
      <c r="YU185" s="31"/>
      <c r="YV185" s="31"/>
      <c r="YW185" s="31"/>
      <c r="YX185" s="31"/>
      <c r="YY185" s="31"/>
      <c r="YZ185" s="31"/>
      <c r="ZA185" s="31"/>
      <c r="ZB185" s="31"/>
      <c r="ZC185" s="31"/>
      <c r="ZD185" s="31"/>
      <c r="ZE185" s="31"/>
      <c r="ZF185" s="31"/>
      <c r="ZG185" s="31"/>
      <c r="ZH185" s="31"/>
      <c r="ZI185" s="31"/>
      <c r="ZJ185" s="31"/>
      <c r="ZK185" s="31"/>
      <c r="ZL185" s="31"/>
      <c r="ZM185" s="31"/>
      <c r="ZN185" s="31"/>
      <c r="ZO185" s="31"/>
      <c r="ZP185" s="31"/>
      <c r="ZQ185" s="31"/>
      <c r="ZR185" s="31"/>
      <c r="ZS185" s="31"/>
      <c r="ZT185" s="31"/>
      <c r="ZU185" s="31"/>
      <c r="ZV185" s="31"/>
      <c r="ZW185" s="31"/>
      <c r="ZX185" s="31"/>
      <c r="ZY185" s="31"/>
      <c r="ZZ185" s="31"/>
      <c r="AAA185" s="31"/>
      <c r="AAB185" s="31"/>
      <c r="AAC185" s="31"/>
      <c r="AAD185" s="31"/>
      <c r="AAE185" s="31"/>
      <c r="AAF185" s="31"/>
      <c r="AAG185" s="31"/>
      <c r="AAH185" s="31"/>
      <c r="AAI185" s="31"/>
      <c r="AAJ185" s="31"/>
      <c r="AAK185" s="31"/>
      <c r="AAL185" s="31"/>
      <c r="AAM185" s="31"/>
      <c r="AAN185" s="31"/>
      <c r="AAO185" s="31"/>
      <c r="AAP185" s="31"/>
      <c r="AAQ185" s="31"/>
      <c r="AAR185" s="31"/>
      <c r="AAS185" s="31"/>
      <c r="AAT185" s="31"/>
      <c r="AAU185" s="31"/>
      <c r="AAV185" s="31"/>
      <c r="AAW185" s="31"/>
      <c r="AAX185" s="31"/>
      <c r="AAY185" s="31"/>
      <c r="AAZ185" s="31"/>
      <c r="ABA185" s="31"/>
      <c r="ABB185" s="31"/>
      <c r="ABC185" s="31"/>
      <c r="ABD185" s="31"/>
      <c r="ABE185" s="31"/>
      <c r="ABF185" s="31"/>
      <c r="ABG185" s="31"/>
      <c r="ABH185" s="31"/>
      <c r="ABI185" s="31"/>
      <c r="ABJ185" s="31"/>
      <c r="ABK185" s="31"/>
      <c r="ABL185" s="31"/>
      <c r="ABM185" s="31"/>
      <c r="ABN185" s="31"/>
      <c r="ABO185" s="31"/>
      <c r="ABP185" s="31"/>
      <c r="ABQ185" s="31"/>
      <c r="ABR185" s="31"/>
      <c r="ABS185" s="31"/>
      <c r="ABT185" s="31"/>
      <c r="ABU185" s="31"/>
      <c r="ABV185" s="31"/>
      <c r="ABW185" s="31"/>
      <c r="ABX185" s="31"/>
      <c r="ABY185" s="31"/>
      <c r="ABZ185" s="31"/>
      <c r="ACA185" s="31"/>
      <c r="ACB185" s="31"/>
      <c r="ACC185" s="31"/>
      <c r="ACD185" s="31"/>
      <c r="ACE185" s="31"/>
      <c r="ACF185" s="31"/>
      <c r="ACG185" s="31"/>
      <c r="ACH185" s="31"/>
      <c r="ACI185" s="31"/>
      <c r="ACJ185" s="31"/>
      <c r="ACK185" s="31"/>
      <c r="ACL185" s="31"/>
      <c r="ACM185" s="31"/>
      <c r="ACN185" s="31"/>
      <c r="ACO185" s="31"/>
      <c r="ACP185" s="31"/>
      <c r="ACQ185" s="31"/>
      <c r="ACR185" s="31"/>
      <c r="ACS185" s="31"/>
      <c r="ACT185" s="31"/>
      <c r="ACU185" s="31"/>
      <c r="ACV185" s="31"/>
      <c r="ACW185" s="31"/>
      <c r="ACX185" s="31"/>
      <c r="ACY185" s="31"/>
      <c r="ACZ185" s="31"/>
      <c r="ADA185" s="31"/>
      <c r="ADB185" s="31"/>
      <c r="ADC185" s="31"/>
      <c r="ADD185" s="31"/>
      <c r="ADE185" s="31"/>
      <c r="ADF185" s="31"/>
      <c r="ADG185" s="31"/>
      <c r="ADH185" s="31"/>
      <c r="ADI185" s="31"/>
      <c r="ADJ185" s="31"/>
      <c r="ADK185" s="31"/>
      <c r="ADL185" s="31"/>
      <c r="ADM185" s="31"/>
      <c r="ADN185" s="31"/>
      <c r="ADO185" s="31"/>
      <c r="ADP185" s="31"/>
      <c r="ADQ185" s="31"/>
      <c r="ADR185" s="31"/>
      <c r="ADS185" s="31"/>
      <c r="ADT185" s="31"/>
      <c r="ADU185" s="31"/>
      <c r="ADV185" s="31"/>
      <c r="ADW185" s="31"/>
      <c r="ADX185" s="31"/>
      <c r="ADY185" s="31"/>
      <c r="ADZ185" s="31"/>
      <c r="AEA185" s="31"/>
      <c r="AEB185" s="31"/>
      <c r="AEC185" s="31"/>
      <c r="AED185" s="31"/>
      <c r="AEE185" s="31"/>
      <c r="AEF185" s="31"/>
      <c r="AEG185" s="31"/>
      <c r="AEH185" s="31"/>
      <c r="AEI185" s="31"/>
      <c r="AEJ185" s="31"/>
      <c r="AEK185" s="31"/>
      <c r="AEL185" s="31"/>
      <c r="AEM185" s="31"/>
      <c r="AEN185" s="31"/>
      <c r="AEO185" s="31"/>
      <c r="AEP185" s="31"/>
      <c r="AEQ185" s="31"/>
      <c r="AER185" s="31"/>
      <c r="AES185" s="31"/>
      <c r="AET185" s="31"/>
      <c r="AEU185" s="31"/>
      <c r="AEV185" s="31"/>
      <c r="AEW185" s="31"/>
      <c r="AEX185" s="31"/>
      <c r="AEY185" s="31"/>
      <c r="AEZ185" s="31"/>
      <c r="AFA185" s="31"/>
      <c r="AFB185" s="31"/>
      <c r="AFC185" s="31"/>
      <c r="AFD185" s="31"/>
      <c r="AFE185" s="31"/>
      <c r="AFF185" s="31"/>
      <c r="AFG185" s="31"/>
      <c r="AFH185" s="31"/>
      <c r="AFI185" s="31"/>
      <c r="AFJ185" s="31"/>
      <c r="AFK185" s="31"/>
      <c r="AFL185" s="31"/>
      <c r="AFM185" s="31"/>
      <c r="AFN185" s="31"/>
      <c r="AFO185" s="31"/>
      <c r="AFP185" s="31"/>
      <c r="AFQ185" s="31"/>
      <c r="AFR185" s="31"/>
      <c r="AFS185" s="31"/>
      <c r="AFT185" s="31"/>
      <c r="AFU185" s="31"/>
      <c r="AFV185" s="31"/>
      <c r="AFW185" s="31"/>
      <c r="AFX185" s="31"/>
      <c r="AFY185" s="31"/>
      <c r="AFZ185" s="31"/>
      <c r="AGA185" s="31"/>
      <c r="AGB185" s="31"/>
      <c r="AGC185" s="31"/>
      <c r="AGD185" s="31"/>
      <c r="AGE185" s="31"/>
      <c r="AGF185" s="31"/>
      <c r="AGG185" s="31"/>
      <c r="AGH185" s="31"/>
      <c r="AGI185" s="31"/>
      <c r="AGJ185" s="31"/>
      <c r="AGK185" s="31"/>
      <c r="AGL185" s="31"/>
      <c r="AGM185" s="31"/>
      <c r="AGN185" s="31"/>
      <c r="AGO185" s="31"/>
      <c r="AGP185" s="31"/>
      <c r="AGQ185" s="31"/>
      <c r="AGR185" s="31"/>
      <c r="AGS185" s="31"/>
      <c r="AGT185" s="31"/>
      <c r="AGU185" s="31"/>
      <c r="AGV185" s="31"/>
      <c r="AGW185" s="31"/>
      <c r="AGX185" s="31"/>
      <c r="AGY185" s="31"/>
      <c r="AGZ185" s="31"/>
      <c r="AHA185" s="31"/>
      <c r="AHB185" s="31"/>
      <c r="AHC185" s="31"/>
      <c r="AHD185" s="31"/>
      <c r="AHE185" s="31"/>
      <c r="AHF185" s="31"/>
      <c r="AHG185" s="31"/>
      <c r="AHH185" s="31"/>
      <c r="AHI185" s="31"/>
      <c r="AHJ185" s="31"/>
      <c r="AHK185" s="31"/>
      <c r="AHL185" s="31"/>
      <c r="AHM185" s="31"/>
      <c r="AHN185" s="31"/>
      <c r="AHO185" s="31"/>
      <c r="AHP185" s="31"/>
      <c r="AHQ185" s="31"/>
      <c r="AHR185" s="31"/>
      <c r="AHS185" s="31"/>
      <c r="AHT185" s="31"/>
      <c r="AHU185" s="31"/>
      <c r="AHV185" s="31"/>
      <c r="AHW185" s="31"/>
      <c r="AHX185" s="31"/>
      <c r="AHY185" s="31"/>
      <c r="AHZ185" s="31"/>
      <c r="AIA185" s="31"/>
      <c r="AIB185" s="31"/>
      <c r="AIC185" s="31"/>
      <c r="AID185" s="31"/>
      <c r="AIE185" s="31"/>
      <c r="AIF185" s="31"/>
      <c r="AIG185" s="31"/>
      <c r="AIH185" s="31"/>
      <c r="AII185" s="31"/>
      <c r="AIJ185" s="31"/>
      <c r="AIK185" s="31"/>
      <c r="AIL185" s="31"/>
      <c r="AIM185" s="31"/>
      <c r="AIN185" s="31"/>
      <c r="AIO185" s="31"/>
      <c r="AIP185" s="31"/>
      <c r="AIQ185" s="31"/>
      <c r="AIR185" s="31"/>
      <c r="AIS185" s="31"/>
      <c r="AIT185" s="31"/>
      <c r="AIU185" s="31"/>
      <c r="AIV185" s="31"/>
      <c r="AIW185" s="31"/>
      <c r="AIX185" s="31"/>
      <c r="AIY185" s="31"/>
      <c r="AIZ185" s="31"/>
      <c r="AJA185" s="31"/>
      <c r="AJB185" s="31"/>
      <c r="AJC185" s="31"/>
      <c r="AJD185" s="31"/>
      <c r="AJE185" s="31"/>
      <c r="AJF185" s="31"/>
      <c r="AJG185" s="31"/>
      <c r="AJH185" s="31"/>
      <c r="AJI185" s="31"/>
      <c r="AJJ185" s="31"/>
      <c r="AJK185" s="31"/>
      <c r="AJL185" s="31"/>
      <c r="AJM185" s="31"/>
      <c r="AJN185" s="31"/>
      <c r="AJO185" s="31"/>
      <c r="AJP185" s="31"/>
      <c r="AJQ185" s="31"/>
      <c r="AJR185" s="31"/>
      <c r="AJS185" s="31"/>
      <c r="AJT185" s="31"/>
      <c r="AJU185" s="31"/>
      <c r="AJV185" s="31"/>
      <c r="AJW185" s="31"/>
      <c r="AJX185" s="31"/>
      <c r="AJY185" s="31"/>
      <c r="AJZ185" s="31"/>
      <c r="AKA185" s="31"/>
      <c r="AKB185" s="31"/>
      <c r="AKC185" s="31"/>
      <c r="AKD185" s="31"/>
      <c r="AKE185" s="31"/>
      <c r="AKF185" s="31"/>
      <c r="AKG185" s="31"/>
      <c r="AKH185" s="31"/>
      <c r="AKI185" s="31"/>
      <c r="AKJ185" s="31"/>
      <c r="AKK185" s="31"/>
      <c r="AKL185" s="31"/>
      <c r="AKM185" s="31"/>
      <c r="AKN185" s="31"/>
      <c r="AKO185" s="31"/>
      <c r="AKP185" s="31"/>
      <c r="AKQ185" s="31"/>
      <c r="AKR185" s="31"/>
      <c r="AKS185" s="31"/>
      <c r="AKT185" s="31"/>
      <c r="AKU185" s="31"/>
      <c r="AKV185" s="31"/>
      <c r="AKW185" s="31"/>
      <c r="AKX185" s="31"/>
      <c r="AKY185" s="31"/>
      <c r="AKZ185" s="31"/>
      <c r="ALA185" s="31"/>
      <c r="ALB185" s="31"/>
      <c r="ALC185" s="31"/>
      <c r="ALD185" s="31"/>
      <c r="ALE185" s="31"/>
      <c r="ALF185" s="31"/>
      <c r="ALG185" s="31"/>
      <c r="ALH185" s="31"/>
      <c r="ALI185" s="31"/>
      <c r="ALJ185" s="31"/>
      <c r="ALK185" s="31"/>
      <c r="ALL185" s="31"/>
      <c r="ALM185" s="31"/>
      <c r="ALN185" s="31"/>
      <c r="ALO185" s="31"/>
      <c r="ALP185" s="31"/>
      <c r="ALQ185" s="31"/>
      <c r="ALR185" s="31"/>
      <c r="ALS185" s="31"/>
      <c r="ALT185" s="31"/>
      <c r="ALU185" s="31"/>
      <c r="ALV185" s="31"/>
      <c r="ALW185" s="31"/>
      <c r="ALX185" s="31"/>
      <c r="ALY185" s="31"/>
      <c r="ALZ185" s="31"/>
      <c r="AMA185" s="31"/>
      <c r="AMB185" s="31"/>
      <c r="AMC185" s="31"/>
      <c r="AMD185" s="31"/>
      <c r="AME185" s="31"/>
      <c r="AMF185" s="31"/>
      <c r="AMG185" s="31"/>
      <c r="AMH185" s="31"/>
      <c r="AMI185" s="31"/>
      <c r="AMJ185" s="31"/>
      <c r="AMK185" s="31"/>
      <c r="AML185" s="31"/>
      <c r="AMM185" s="31"/>
      <c r="AMN185" s="31"/>
      <c r="AMO185" s="31"/>
      <c r="AMP185" s="31"/>
      <c r="AMQ185" s="31"/>
      <c r="AMR185" s="31"/>
      <c r="AMS185" s="31"/>
      <c r="AMT185" s="31"/>
      <c r="AMU185" s="31"/>
      <c r="AMV185" s="31"/>
      <c r="AMW185" s="31"/>
      <c r="AMX185" s="31"/>
      <c r="AMY185" s="31"/>
      <c r="AMZ185" s="31"/>
      <c r="ANA185" s="31"/>
      <c r="ANB185" s="31"/>
      <c r="ANC185" s="31"/>
      <c r="AND185" s="31"/>
      <c r="ANE185" s="31"/>
      <c r="ANF185" s="31"/>
      <c r="ANG185" s="31"/>
      <c r="ANH185" s="31"/>
      <c r="ANI185" s="31"/>
      <c r="ANJ185" s="31"/>
      <c r="ANK185" s="31"/>
      <c r="ANL185" s="31"/>
      <c r="ANM185" s="31"/>
      <c r="ANN185" s="31"/>
      <c r="ANO185" s="31"/>
      <c r="ANP185" s="31"/>
      <c r="ANQ185" s="31"/>
      <c r="ANR185" s="31"/>
      <c r="ANS185" s="31"/>
      <c r="ANT185" s="31"/>
      <c r="ANU185" s="31"/>
      <c r="ANV185" s="31"/>
      <c r="ANW185" s="31"/>
      <c r="ANX185" s="31"/>
      <c r="ANY185" s="31"/>
      <c r="ANZ185" s="31"/>
      <c r="AOA185" s="31"/>
      <c r="AOB185" s="31"/>
      <c r="AOC185" s="31"/>
      <c r="AOD185" s="31"/>
      <c r="AOE185" s="31"/>
      <c r="AOF185" s="31"/>
      <c r="AOG185" s="31"/>
      <c r="AOH185" s="31"/>
      <c r="AOI185" s="31"/>
      <c r="AOJ185" s="31"/>
      <c r="AOK185" s="31"/>
      <c r="AOL185" s="31"/>
      <c r="AOM185" s="31"/>
      <c r="AON185" s="31"/>
      <c r="AOO185" s="31"/>
      <c r="AOP185" s="31"/>
      <c r="AOQ185" s="31"/>
      <c r="AOR185" s="31"/>
      <c r="AOS185" s="31"/>
      <c r="AOT185" s="31"/>
      <c r="AOU185" s="31"/>
      <c r="AOV185" s="31"/>
      <c r="AOW185" s="31"/>
      <c r="AOX185" s="31"/>
      <c r="AOY185" s="31"/>
      <c r="AOZ185" s="31"/>
      <c r="APA185" s="31"/>
      <c r="APB185" s="31"/>
      <c r="APC185" s="31"/>
      <c r="APD185" s="31"/>
      <c r="APE185" s="31"/>
      <c r="APF185" s="31"/>
      <c r="APG185" s="31"/>
      <c r="APH185" s="31"/>
      <c r="API185" s="31"/>
      <c r="APJ185" s="31"/>
      <c r="APK185" s="31"/>
      <c r="APL185" s="31"/>
      <c r="APM185" s="31"/>
      <c r="APN185" s="31"/>
      <c r="APO185" s="31"/>
      <c r="APP185" s="31"/>
      <c r="APQ185" s="31"/>
      <c r="APR185" s="31"/>
      <c r="APS185" s="31"/>
      <c r="APT185" s="31"/>
      <c r="APU185" s="31"/>
      <c r="APV185" s="31"/>
      <c r="APW185" s="31"/>
      <c r="APX185" s="31"/>
      <c r="APY185" s="31"/>
      <c r="APZ185" s="31"/>
      <c r="AQA185" s="31"/>
      <c r="AQB185" s="31"/>
      <c r="AQC185" s="31"/>
      <c r="AQD185" s="31"/>
      <c r="AQE185" s="31"/>
      <c r="AQF185" s="31"/>
      <c r="AQG185" s="31"/>
      <c r="AQH185" s="31"/>
      <c r="AQI185" s="31"/>
      <c r="AQJ185" s="31"/>
      <c r="AQK185" s="31"/>
      <c r="AQL185" s="31"/>
      <c r="AQM185" s="31"/>
      <c r="AQN185" s="31"/>
      <c r="AQO185" s="31"/>
      <c r="AQP185" s="31"/>
      <c r="AQQ185" s="31"/>
      <c r="AQR185" s="31"/>
      <c r="AQS185" s="31"/>
      <c r="AQT185" s="31"/>
      <c r="AQU185" s="31"/>
      <c r="AQV185" s="31"/>
      <c r="AQW185" s="31"/>
      <c r="AQX185" s="31"/>
      <c r="AQY185" s="31"/>
      <c r="AQZ185" s="31"/>
      <c r="ARA185" s="31"/>
      <c r="ARB185" s="31"/>
      <c r="ARC185" s="31"/>
      <c r="ARD185" s="31"/>
      <c r="ARE185" s="31"/>
      <c r="ARF185" s="31"/>
      <c r="ARG185" s="31"/>
      <c r="ARH185" s="31"/>
      <c r="ARI185" s="31"/>
      <c r="ARJ185" s="31"/>
      <c r="ARK185" s="31"/>
      <c r="ARL185" s="31"/>
      <c r="ARM185" s="31"/>
      <c r="ARN185" s="31"/>
      <c r="ARO185" s="31"/>
      <c r="ARP185" s="31"/>
      <c r="ARQ185" s="31"/>
      <c r="ARR185" s="31"/>
      <c r="ARS185" s="31"/>
      <c r="ART185" s="31"/>
      <c r="ARU185" s="31"/>
      <c r="ARV185" s="31"/>
      <c r="ARW185" s="31"/>
      <c r="ARX185" s="31"/>
      <c r="ARY185" s="31"/>
      <c r="ARZ185" s="31"/>
      <c r="ASA185" s="31"/>
      <c r="ASB185" s="31"/>
      <c r="ASC185" s="31"/>
      <c r="ASD185" s="31"/>
      <c r="ASE185" s="31"/>
      <c r="ASF185" s="31"/>
      <c r="ASG185" s="31"/>
      <c r="ASH185" s="31"/>
      <c r="ASI185" s="31"/>
      <c r="ASJ185" s="31"/>
      <c r="ASK185" s="31"/>
      <c r="ASL185" s="31"/>
      <c r="ASM185" s="31"/>
      <c r="ASN185" s="31"/>
      <c r="ASO185" s="31"/>
      <c r="ASP185" s="31"/>
      <c r="ASQ185" s="31"/>
      <c r="ASR185" s="31"/>
      <c r="ASS185" s="31"/>
      <c r="AST185" s="31"/>
      <c r="ASU185" s="31"/>
      <c r="ASV185" s="31"/>
      <c r="ASW185" s="31"/>
      <c r="ASX185" s="31"/>
      <c r="ASY185" s="31"/>
      <c r="ASZ185" s="31"/>
      <c r="ATA185" s="31"/>
      <c r="ATB185" s="31"/>
      <c r="ATC185" s="31"/>
      <c r="ATD185" s="31"/>
      <c r="ATE185" s="31"/>
    </row>
    <row r="186" spans="1:1201" s="34" customFormat="1" ht="15.75" customHeight="1" x14ac:dyDescent="0.3">
      <c r="A186" s="197"/>
      <c r="B186" s="197"/>
      <c r="C186" s="84" t="s">
        <v>253</v>
      </c>
      <c r="D186" s="84"/>
      <c r="E186" s="84"/>
      <c r="F186" s="690"/>
      <c r="G186" s="688">
        <f>G175+G185</f>
        <v>6368193.7400000012</v>
      </c>
      <c r="H186" s="689">
        <f t="shared" ref="H186:S186" si="325">H185+H175</f>
        <v>6452311.8600000003</v>
      </c>
      <c r="I186" s="691">
        <f t="shared" si="325"/>
        <v>6745148.4199999999</v>
      </c>
      <c r="J186" s="691">
        <f t="shared" si="325"/>
        <v>6244703.0899999999</v>
      </c>
      <c r="K186" s="691">
        <f t="shared" si="325"/>
        <v>6472280.5700000003</v>
      </c>
      <c r="L186" s="691">
        <f t="shared" si="325"/>
        <v>6526464.040000001</v>
      </c>
      <c r="M186" s="691">
        <f t="shared" si="325"/>
        <v>6373017.9999999991</v>
      </c>
      <c r="N186" s="691">
        <f t="shared" si="325"/>
        <v>6427845.1600000001</v>
      </c>
      <c r="O186" s="691">
        <f t="shared" si="325"/>
        <v>7608611.9099999964</v>
      </c>
      <c r="P186" s="691">
        <f t="shared" si="325"/>
        <v>7636131.8600000031</v>
      </c>
      <c r="Q186" s="691">
        <f t="shared" si="325"/>
        <v>7593298.5200000005</v>
      </c>
      <c r="R186" s="691">
        <f t="shared" si="325"/>
        <v>9204347.6599999946</v>
      </c>
      <c r="S186" s="941">
        <f t="shared" si="325"/>
        <v>10038511.26</v>
      </c>
      <c r="T186" s="1062">
        <f t="shared" ref="T186:AB186" si="326">T185+T175</f>
        <v>9547685.5500000007</v>
      </c>
      <c r="U186" s="1079">
        <f t="shared" si="326"/>
        <v>10698576.01</v>
      </c>
      <c r="V186" s="1079">
        <f t="shared" si="326"/>
        <v>10920219.08</v>
      </c>
      <c r="W186" s="1079">
        <f t="shared" si="326"/>
        <v>9734769.7600000016</v>
      </c>
      <c r="X186" s="1079">
        <f t="shared" si="326"/>
        <v>10120258.259999998</v>
      </c>
      <c r="Y186" s="1079">
        <f t="shared" si="326"/>
        <v>9343061.5899999999</v>
      </c>
      <c r="Z186" s="1079">
        <f>Z185+Z175</f>
        <v>6643271.1900000004</v>
      </c>
      <c r="AA186" s="1079">
        <f>AA185+AA175</f>
        <v>7836066.3000000007</v>
      </c>
      <c r="AB186" s="1079">
        <f t="shared" si="326"/>
        <v>7656335.4700000007</v>
      </c>
      <c r="AC186" s="1079">
        <f>AC185+AC175</f>
        <v>8282339.3899999997</v>
      </c>
      <c r="AD186" s="1079">
        <f>AD185+AD175</f>
        <v>8665501.2100000009</v>
      </c>
      <c r="AE186" s="1079">
        <f t="shared" ref="AE186" si="327">AE185+AE175</f>
        <v>10609989.619999999</v>
      </c>
      <c r="AF186" s="1079">
        <f t="shared" ref="AF186:AQ186" si="328">AF185+AF175</f>
        <v>9391375.0799999982</v>
      </c>
      <c r="AG186" s="1079">
        <f>AG185+AG175</f>
        <v>10169561.209999999</v>
      </c>
      <c r="AH186" s="1079">
        <f>AH185+AH175</f>
        <v>11545748.249999998</v>
      </c>
      <c r="AI186" s="1079">
        <f>AI185+AI175</f>
        <v>11154653.129999999</v>
      </c>
      <c r="AJ186" s="1079">
        <f t="shared" si="328"/>
        <v>10977645.300000001</v>
      </c>
      <c r="AK186" s="1079">
        <f t="shared" si="328"/>
        <v>13786956.939999999</v>
      </c>
      <c r="AL186" s="1079">
        <f t="shared" si="328"/>
        <v>13705626.410000002</v>
      </c>
      <c r="AM186" s="1079">
        <f t="shared" si="328"/>
        <v>13959890.049999999</v>
      </c>
      <c r="AN186" s="1079">
        <f t="shared" ref="AN186:AO186" si="329">AN185+AN175</f>
        <v>14139081.109999999</v>
      </c>
      <c r="AO186" s="1079">
        <f t="shared" si="329"/>
        <v>14739494.689999999</v>
      </c>
      <c r="AP186" s="691">
        <f t="shared" ca="1" si="328"/>
        <v>16348630.574934663</v>
      </c>
      <c r="AQ186" s="691">
        <f t="shared" ca="1" si="328"/>
        <v>17489248.561533689</v>
      </c>
      <c r="AR186" s="1614">
        <f t="shared" ref="AR186:BC186" ca="1" si="330">AR185+AR175</f>
        <v>19566784.35681618</v>
      </c>
      <c r="AS186" s="691">
        <f t="shared" ca="1" si="330"/>
        <v>20079310.87787398</v>
      </c>
      <c r="AT186" s="691">
        <f t="shared" ca="1" si="330"/>
        <v>20004176.01643379</v>
      </c>
      <c r="AU186" s="691">
        <f t="shared" ca="1" si="330"/>
        <v>20409974.714335293</v>
      </c>
      <c r="AV186" s="691">
        <f t="shared" ca="1" si="330"/>
        <v>20667713.390823014</v>
      </c>
      <c r="AW186" s="691">
        <f t="shared" ca="1" si="330"/>
        <v>20563974.461264469</v>
      </c>
      <c r="AX186" s="691">
        <f t="shared" ca="1" si="330"/>
        <v>20811977.693013325</v>
      </c>
      <c r="AY186" s="691">
        <f t="shared" ca="1" si="330"/>
        <v>21304635.453721136</v>
      </c>
      <c r="AZ186" s="691">
        <f t="shared" ca="1" si="330"/>
        <v>21206126.066907711</v>
      </c>
      <c r="BA186" s="691">
        <f t="shared" ca="1" si="330"/>
        <v>21435040.398551181</v>
      </c>
      <c r="BB186" s="691">
        <f t="shared" ca="1" si="330"/>
        <v>21664418.609386459</v>
      </c>
      <c r="BC186" s="691">
        <f t="shared" ca="1" si="330"/>
        <v>21618968.927070547</v>
      </c>
      <c r="BE186" s="1195">
        <v>9516644.7300000004</v>
      </c>
      <c r="BF186" s="926">
        <f ca="1">AQ186</f>
        <v>17489248.561533689</v>
      </c>
      <c r="BG186" s="1195">
        <f t="shared" ca="1" si="313"/>
        <v>21618968.927070547</v>
      </c>
      <c r="BH186" s="31"/>
      <c r="BI186" s="31"/>
      <c r="BJ186" s="31"/>
      <c r="BK186" s="31"/>
      <c r="BL186" s="31"/>
      <c r="BM186" s="31"/>
      <c r="BN186" s="31"/>
      <c r="BO186" s="31"/>
      <c r="BP186" s="31"/>
      <c r="BQ186" s="31"/>
      <c r="BR186" s="31"/>
      <c r="BS186" s="31"/>
      <c r="BT186" s="31"/>
      <c r="BU186" s="31"/>
      <c r="BV186" s="31"/>
      <c r="BW186" s="31"/>
      <c r="BX186" s="31"/>
      <c r="BY186" s="31"/>
      <c r="BZ186" s="31"/>
      <c r="CA186" s="31"/>
      <c r="CB186" s="31"/>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c r="EX186" s="31"/>
      <c r="EY186" s="31"/>
      <c r="EZ186" s="31"/>
      <c r="FA186" s="31"/>
      <c r="FB186" s="31"/>
      <c r="FC186" s="31"/>
      <c r="FD186" s="31"/>
      <c r="FE186" s="31"/>
      <c r="FF186" s="31"/>
      <c r="FG186" s="31"/>
      <c r="FH186" s="31"/>
      <c r="FI186" s="31"/>
      <c r="FJ186" s="31"/>
      <c r="FK186" s="31"/>
      <c r="FL186" s="31"/>
      <c r="FM186" s="31"/>
      <c r="FN186" s="31"/>
      <c r="FO186" s="31"/>
      <c r="FP186" s="31"/>
      <c r="FQ186" s="31"/>
      <c r="FR186" s="31"/>
      <c r="FS186" s="31"/>
      <c r="FT186" s="31"/>
      <c r="FU186" s="31"/>
      <c r="FV186" s="31"/>
      <c r="FW186" s="31"/>
      <c r="FX186" s="31"/>
      <c r="FY186" s="31"/>
      <c r="FZ186" s="31"/>
      <c r="GA186" s="31"/>
      <c r="GB186" s="31"/>
      <c r="GC186" s="31"/>
      <c r="GD186" s="31"/>
      <c r="GE186" s="31"/>
      <c r="GF186" s="31"/>
      <c r="GG186" s="31"/>
      <c r="GH186" s="31"/>
      <c r="GI186" s="31"/>
      <c r="GJ186" s="31"/>
      <c r="GK186" s="31"/>
      <c r="GL186" s="31"/>
      <c r="GM186" s="31"/>
      <c r="GN186" s="31"/>
      <c r="GO186" s="31"/>
      <c r="GP186" s="31"/>
      <c r="GQ186" s="31"/>
      <c r="GR186" s="31"/>
      <c r="GS186" s="31"/>
      <c r="GT186" s="31"/>
      <c r="GU186" s="31"/>
      <c r="GV186" s="31"/>
      <c r="GW186" s="31"/>
      <c r="GX186" s="31"/>
      <c r="GY186" s="31"/>
      <c r="GZ186" s="31"/>
      <c r="HA186" s="31"/>
      <c r="HB186" s="31"/>
      <c r="HC186" s="31"/>
      <c r="HD186" s="31"/>
      <c r="HE186" s="31"/>
      <c r="HF186" s="31"/>
      <c r="HG186" s="31"/>
      <c r="HH186" s="31"/>
      <c r="HI186" s="31"/>
      <c r="HJ186" s="31"/>
      <c r="HK186" s="31"/>
      <c r="HL186" s="31"/>
      <c r="HM186" s="31"/>
      <c r="HN186" s="31"/>
      <c r="HO186" s="31"/>
      <c r="HP186" s="31"/>
      <c r="HQ186" s="31"/>
      <c r="HR186" s="31"/>
      <c r="HS186" s="31"/>
      <c r="HT186" s="31"/>
      <c r="HU186" s="31"/>
      <c r="HV186" s="31"/>
      <c r="HW186" s="31"/>
      <c r="HX186" s="31"/>
      <c r="HY186" s="31"/>
      <c r="HZ186" s="31"/>
      <c r="IA186" s="31"/>
      <c r="IB186" s="31"/>
      <c r="IC186" s="31"/>
      <c r="ID186" s="31"/>
      <c r="IE186" s="31"/>
      <c r="IF186" s="31"/>
      <c r="IG186" s="31"/>
      <c r="IH186" s="31"/>
      <c r="II186" s="31"/>
      <c r="IJ186" s="31"/>
      <c r="IK186" s="31"/>
      <c r="IL186" s="31"/>
      <c r="IM186" s="31"/>
      <c r="IN186" s="31"/>
      <c r="IO186" s="31"/>
      <c r="IP186" s="31"/>
      <c r="IQ186" s="31"/>
      <c r="IR186" s="31"/>
      <c r="IS186" s="31"/>
      <c r="IT186" s="31"/>
      <c r="IU186" s="31"/>
      <c r="IV186" s="31"/>
      <c r="IW186" s="31"/>
      <c r="IX186" s="31"/>
      <c r="IY186" s="31"/>
      <c r="IZ186" s="31"/>
      <c r="JA186" s="31"/>
      <c r="JB186" s="31"/>
      <c r="JC186" s="31"/>
      <c r="JD186" s="31"/>
      <c r="JE186" s="31"/>
      <c r="JF186" s="31"/>
      <c r="JG186" s="31"/>
      <c r="JH186" s="31"/>
      <c r="JI186" s="31"/>
      <c r="JJ186" s="31"/>
      <c r="JK186" s="31"/>
      <c r="JL186" s="31"/>
      <c r="JM186" s="31"/>
      <c r="JN186" s="31"/>
      <c r="JO186" s="31"/>
      <c r="JP186" s="31"/>
      <c r="JQ186" s="31"/>
      <c r="JR186" s="31"/>
      <c r="JS186" s="31"/>
      <c r="JT186" s="31"/>
      <c r="JU186" s="31"/>
      <c r="JV186" s="31"/>
      <c r="JW186" s="31"/>
      <c r="JX186" s="31"/>
      <c r="JY186" s="31"/>
      <c r="JZ186" s="31"/>
      <c r="KA186" s="31"/>
      <c r="KB186" s="31"/>
      <c r="KC186" s="31"/>
      <c r="KD186" s="31"/>
      <c r="KE186" s="31"/>
      <c r="KF186" s="31"/>
      <c r="KG186" s="31"/>
      <c r="KH186" s="31"/>
      <c r="KI186" s="31"/>
      <c r="KJ186" s="31"/>
      <c r="KK186" s="31"/>
      <c r="KL186" s="31"/>
      <c r="KM186" s="31"/>
      <c r="KN186" s="31"/>
      <c r="KO186" s="31"/>
      <c r="KP186" s="31"/>
      <c r="KQ186" s="31"/>
      <c r="KR186" s="31"/>
      <c r="KS186" s="31"/>
      <c r="KT186" s="31"/>
      <c r="KU186" s="31"/>
      <c r="KV186" s="31"/>
      <c r="KW186" s="31"/>
      <c r="KX186" s="31"/>
      <c r="KY186" s="31"/>
      <c r="KZ186" s="31"/>
      <c r="LA186" s="31"/>
      <c r="LB186" s="31"/>
      <c r="LC186" s="31"/>
      <c r="LD186" s="31"/>
      <c r="LE186" s="31"/>
      <c r="LF186" s="31"/>
      <c r="LG186" s="31"/>
      <c r="LH186" s="31"/>
      <c r="LI186" s="31"/>
      <c r="LJ186" s="31"/>
      <c r="LK186" s="31"/>
      <c r="LL186" s="31"/>
      <c r="LM186" s="31"/>
      <c r="LN186" s="31"/>
      <c r="LO186" s="31"/>
      <c r="LP186" s="31"/>
      <c r="LQ186" s="31"/>
      <c r="LR186" s="31"/>
      <c r="LS186" s="31"/>
      <c r="LT186" s="31"/>
      <c r="LU186" s="31"/>
      <c r="LV186" s="31"/>
      <c r="LW186" s="31"/>
      <c r="LX186" s="31"/>
      <c r="LY186" s="31"/>
      <c r="LZ186" s="31"/>
      <c r="MA186" s="31"/>
      <c r="MB186" s="31"/>
      <c r="MC186" s="31"/>
      <c r="MD186" s="31"/>
      <c r="ME186" s="31"/>
      <c r="MF186" s="31"/>
      <c r="MG186" s="31"/>
      <c r="MH186" s="31"/>
      <c r="MI186" s="31"/>
      <c r="MJ186" s="31"/>
      <c r="MK186" s="31"/>
      <c r="ML186" s="31"/>
      <c r="MM186" s="31"/>
      <c r="MN186" s="31"/>
      <c r="MO186" s="31"/>
      <c r="MP186" s="31"/>
      <c r="MQ186" s="31"/>
      <c r="MR186" s="31"/>
      <c r="MS186" s="31"/>
      <c r="MT186" s="31"/>
      <c r="MU186" s="31"/>
      <c r="MV186" s="31"/>
      <c r="MW186" s="31"/>
      <c r="MX186" s="31"/>
      <c r="MY186" s="31"/>
      <c r="MZ186" s="31"/>
      <c r="NA186" s="31"/>
      <c r="NB186" s="31"/>
      <c r="NC186" s="31"/>
      <c r="ND186" s="31"/>
      <c r="NE186" s="31"/>
      <c r="NF186" s="31"/>
      <c r="NG186" s="31"/>
      <c r="NH186" s="31"/>
      <c r="NI186" s="31"/>
      <c r="NJ186" s="31"/>
      <c r="NK186" s="31"/>
      <c r="NL186" s="31"/>
      <c r="NM186" s="31"/>
      <c r="NN186" s="31"/>
      <c r="NO186" s="31"/>
      <c r="NP186" s="31"/>
      <c r="NQ186" s="31"/>
      <c r="NR186" s="31"/>
      <c r="NS186" s="31"/>
      <c r="NT186" s="31"/>
      <c r="NU186" s="31"/>
      <c r="NV186" s="31"/>
      <c r="NW186" s="31"/>
      <c r="NX186" s="31"/>
      <c r="NY186" s="31"/>
      <c r="NZ186" s="31"/>
      <c r="OA186" s="31"/>
      <c r="OB186" s="31"/>
      <c r="OC186" s="31"/>
      <c r="OD186" s="31"/>
      <c r="OE186" s="31"/>
      <c r="OF186" s="31"/>
      <c r="OG186" s="31"/>
      <c r="OH186" s="31"/>
      <c r="OI186" s="31"/>
      <c r="OJ186" s="31"/>
      <c r="OK186" s="31"/>
      <c r="OL186" s="31"/>
      <c r="OM186" s="31"/>
      <c r="ON186" s="31"/>
      <c r="OO186" s="31"/>
      <c r="OP186" s="31"/>
      <c r="OQ186" s="31"/>
      <c r="OR186" s="31"/>
      <c r="OS186" s="31"/>
      <c r="OT186" s="31"/>
      <c r="OU186" s="31"/>
      <c r="OV186" s="31"/>
      <c r="OW186" s="31"/>
      <c r="OX186" s="31"/>
      <c r="OY186" s="31"/>
      <c r="OZ186" s="31"/>
      <c r="PA186" s="31"/>
      <c r="PB186" s="31"/>
      <c r="PC186" s="31"/>
      <c r="PD186" s="31"/>
      <c r="PE186" s="31"/>
      <c r="PF186" s="31"/>
      <c r="PG186" s="31"/>
      <c r="PH186" s="31"/>
      <c r="PI186" s="31"/>
      <c r="PJ186" s="31"/>
      <c r="PK186" s="31"/>
      <c r="PL186" s="31"/>
      <c r="PM186" s="31"/>
      <c r="PN186" s="31"/>
      <c r="PO186" s="31"/>
      <c r="PP186" s="31"/>
      <c r="PQ186" s="31"/>
      <c r="PR186" s="31"/>
      <c r="PS186" s="31"/>
      <c r="PT186" s="31"/>
      <c r="PU186" s="31"/>
      <c r="PV186" s="31"/>
      <c r="PW186" s="31"/>
      <c r="PX186" s="31"/>
      <c r="PY186" s="31"/>
      <c r="PZ186" s="31"/>
      <c r="QA186" s="31"/>
      <c r="QB186" s="31"/>
      <c r="QC186" s="31"/>
      <c r="QD186" s="31"/>
      <c r="QE186" s="31"/>
      <c r="QF186" s="31"/>
      <c r="QG186" s="31"/>
      <c r="QH186" s="31"/>
      <c r="QI186" s="31"/>
      <c r="QJ186" s="31"/>
      <c r="QK186" s="31"/>
      <c r="QL186" s="31"/>
      <c r="QM186" s="31"/>
      <c r="QN186" s="31"/>
      <c r="QO186" s="31"/>
      <c r="QP186" s="31"/>
      <c r="QQ186" s="31"/>
      <c r="QR186" s="31"/>
      <c r="QS186" s="31"/>
      <c r="QT186" s="31"/>
      <c r="QU186" s="31"/>
      <c r="QV186" s="31"/>
      <c r="QW186" s="31"/>
      <c r="QX186" s="31"/>
      <c r="QY186" s="31"/>
      <c r="QZ186" s="31"/>
      <c r="RA186" s="31"/>
      <c r="RB186" s="31"/>
      <c r="RC186" s="31"/>
      <c r="RD186" s="31"/>
      <c r="RE186" s="31"/>
      <c r="RF186" s="31"/>
      <c r="RG186" s="31"/>
      <c r="RH186" s="31"/>
      <c r="RI186" s="31"/>
      <c r="RJ186" s="31"/>
      <c r="RK186" s="31"/>
      <c r="RL186" s="31"/>
      <c r="RM186" s="31"/>
      <c r="RN186" s="31"/>
      <c r="RO186" s="31"/>
      <c r="RP186" s="31"/>
      <c r="RQ186" s="31"/>
      <c r="RR186" s="31"/>
      <c r="RS186" s="31"/>
      <c r="RT186" s="31"/>
      <c r="RU186" s="31"/>
      <c r="RV186" s="31"/>
      <c r="RW186" s="31"/>
      <c r="RX186" s="31"/>
      <c r="RY186" s="31"/>
      <c r="RZ186" s="31"/>
      <c r="SA186" s="31"/>
      <c r="SB186" s="31"/>
      <c r="SC186" s="31"/>
      <c r="SD186" s="31"/>
      <c r="SE186" s="31"/>
      <c r="SF186" s="31"/>
      <c r="SG186" s="31"/>
      <c r="SH186" s="31"/>
      <c r="SI186" s="31"/>
      <c r="SJ186" s="31"/>
      <c r="SK186" s="31"/>
      <c r="SL186" s="31"/>
      <c r="SM186" s="31"/>
      <c r="SN186" s="31"/>
      <c r="SO186" s="31"/>
      <c r="SP186" s="31"/>
      <c r="SQ186" s="31"/>
      <c r="SR186" s="31"/>
      <c r="SS186" s="31"/>
      <c r="ST186" s="31"/>
      <c r="SU186" s="31"/>
      <c r="SV186" s="31"/>
      <c r="SW186" s="31"/>
      <c r="SX186" s="31"/>
      <c r="SY186" s="31"/>
      <c r="SZ186" s="31"/>
      <c r="TA186" s="31"/>
      <c r="TB186" s="31"/>
      <c r="TC186" s="31"/>
      <c r="TD186" s="31"/>
      <c r="TE186" s="31"/>
      <c r="TF186" s="31"/>
      <c r="TG186" s="31"/>
      <c r="TH186" s="31"/>
      <c r="TI186" s="31"/>
      <c r="TJ186" s="31"/>
      <c r="TK186" s="31"/>
      <c r="TL186" s="31"/>
      <c r="TM186" s="31"/>
      <c r="TN186" s="31"/>
      <c r="TO186" s="31"/>
      <c r="TP186" s="31"/>
      <c r="TQ186" s="31"/>
      <c r="TR186" s="31"/>
      <c r="TS186" s="31"/>
      <c r="TT186" s="31"/>
      <c r="TU186" s="31"/>
      <c r="TV186" s="31"/>
      <c r="TW186" s="31"/>
      <c r="TX186" s="31"/>
      <c r="TY186" s="31"/>
      <c r="TZ186" s="31"/>
      <c r="UA186" s="31"/>
      <c r="UB186" s="31"/>
      <c r="UC186" s="31"/>
      <c r="UD186" s="31"/>
      <c r="UE186" s="31"/>
      <c r="UF186" s="31"/>
      <c r="UG186" s="31"/>
      <c r="UH186" s="31"/>
      <c r="UI186" s="31"/>
      <c r="UJ186" s="31"/>
      <c r="UK186" s="31"/>
      <c r="UL186" s="31"/>
      <c r="UM186" s="31"/>
      <c r="UN186" s="31"/>
      <c r="UO186" s="31"/>
      <c r="UP186" s="31"/>
      <c r="UQ186" s="31"/>
      <c r="UR186" s="31"/>
      <c r="US186" s="31"/>
      <c r="UT186" s="31"/>
      <c r="UU186" s="31"/>
      <c r="UV186" s="31"/>
      <c r="UW186" s="31"/>
      <c r="UX186" s="31"/>
      <c r="UY186" s="31"/>
      <c r="UZ186" s="31"/>
      <c r="VA186" s="31"/>
      <c r="VB186" s="31"/>
      <c r="VC186" s="31"/>
      <c r="VD186" s="31"/>
      <c r="VE186" s="31"/>
      <c r="VF186" s="31"/>
      <c r="VG186" s="31"/>
      <c r="VH186" s="31"/>
      <c r="VI186" s="31"/>
      <c r="VJ186" s="31"/>
      <c r="VK186" s="31"/>
      <c r="VL186" s="31"/>
      <c r="VM186" s="31"/>
      <c r="VN186" s="31"/>
      <c r="VO186" s="31"/>
      <c r="VP186" s="31"/>
      <c r="VQ186" s="31"/>
      <c r="VR186" s="31"/>
      <c r="VS186" s="31"/>
      <c r="VT186" s="31"/>
      <c r="VU186" s="31"/>
      <c r="VV186" s="31"/>
      <c r="VW186" s="31"/>
      <c r="VX186" s="31"/>
      <c r="VY186" s="31"/>
      <c r="VZ186" s="31"/>
      <c r="WA186" s="31"/>
      <c r="WB186" s="31"/>
      <c r="WC186" s="31"/>
      <c r="WD186" s="31"/>
      <c r="WE186" s="31"/>
      <c r="WF186" s="31"/>
      <c r="WG186" s="31"/>
      <c r="WH186" s="31"/>
      <c r="WI186" s="31"/>
      <c r="WJ186" s="31"/>
      <c r="WK186" s="31"/>
      <c r="WL186" s="31"/>
      <c r="WM186" s="31"/>
      <c r="WN186" s="31"/>
      <c r="WO186" s="31"/>
      <c r="WP186" s="31"/>
      <c r="WQ186" s="31"/>
      <c r="WR186" s="31"/>
      <c r="WS186" s="31"/>
      <c r="WT186" s="31"/>
      <c r="WU186" s="31"/>
      <c r="WV186" s="31"/>
      <c r="WW186" s="31"/>
      <c r="WX186" s="31"/>
      <c r="WY186" s="31"/>
      <c r="WZ186" s="31"/>
      <c r="XA186" s="31"/>
      <c r="XB186" s="31"/>
      <c r="XC186" s="31"/>
      <c r="XD186" s="31"/>
      <c r="XE186" s="31"/>
      <c r="XF186" s="31"/>
      <c r="XG186" s="31"/>
      <c r="XH186" s="31"/>
      <c r="XI186" s="31"/>
      <c r="XJ186" s="31"/>
      <c r="XK186" s="31"/>
      <c r="XL186" s="31"/>
      <c r="XM186" s="31"/>
      <c r="XN186" s="31"/>
      <c r="XO186" s="31"/>
      <c r="XP186" s="31"/>
      <c r="XQ186" s="31"/>
      <c r="XR186" s="31"/>
      <c r="XS186" s="31"/>
      <c r="XT186" s="31"/>
      <c r="XU186" s="31"/>
      <c r="XV186" s="31"/>
      <c r="XW186" s="31"/>
      <c r="XX186" s="31"/>
      <c r="XY186" s="31"/>
      <c r="XZ186" s="31"/>
      <c r="YA186" s="31"/>
      <c r="YB186" s="31"/>
      <c r="YC186" s="31"/>
      <c r="YD186" s="31"/>
      <c r="YE186" s="31"/>
      <c r="YF186" s="31"/>
      <c r="YG186" s="31"/>
      <c r="YH186" s="31"/>
      <c r="YI186" s="31"/>
      <c r="YJ186" s="31"/>
      <c r="YK186" s="31"/>
      <c r="YL186" s="31"/>
      <c r="YM186" s="31"/>
      <c r="YN186" s="31"/>
      <c r="YO186" s="31"/>
      <c r="YP186" s="31"/>
      <c r="YQ186" s="31"/>
      <c r="YR186" s="31"/>
      <c r="YS186" s="31"/>
      <c r="YT186" s="31"/>
      <c r="YU186" s="31"/>
      <c r="YV186" s="31"/>
      <c r="YW186" s="31"/>
      <c r="YX186" s="31"/>
      <c r="YY186" s="31"/>
      <c r="YZ186" s="31"/>
      <c r="ZA186" s="31"/>
      <c r="ZB186" s="31"/>
      <c r="ZC186" s="31"/>
      <c r="ZD186" s="31"/>
      <c r="ZE186" s="31"/>
      <c r="ZF186" s="31"/>
      <c r="ZG186" s="31"/>
      <c r="ZH186" s="31"/>
      <c r="ZI186" s="31"/>
      <c r="ZJ186" s="31"/>
      <c r="ZK186" s="31"/>
      <c r="ZL186" s="31"/>
      <c r="ZM186" s="31"/>
      <c r="ZN186" s="31"/>
      <c r="ZO186" s="31"/>
      <c r="ZP186" s="31"/>
      <c r="ZQ186" s="31"/>
      <c r="ZR186" s="31"/>
      <c r="ZS186" s="31"/>
      <c r="ZT186" s="31"/>
      <c r="ZU186" s="31"/>
      <c r="ZV186" s="31"/>
      <c r="ZW186" s="31"/>
      <c r="ZX186" s="31"/>
      <c r="ZY186" s="31"/>
      <c r="ZZ186" s="31"/>
      <c r="AAA186" s="31"/>
      <c r="AAB186" s="31"/>
      <c r="AAC186" s="31"/>
      <c r="AAD186" s="31"/>
      <c r="AAE186" s="31"/>
      <c r="AAF186" s="31"/>
      <c r="AAG186" s="31"/>
      <c r="AAH186" s="31"/>
      <c r="AAI186" s="31"/>
      <c r="AAJ186" s="31"/>
      <c r="AAK186" s="31"/>
      <c r="AAL186" s="31"/>
      <c r="AAM186" s="31"/>
      <c r="AAN186" s="31"/>
      <c r="AAO186" s="31"/>
      <c r="AAP186" s="31"/>
      <c r="AAQ186" s="31"/>
      <c r="AAR186" s="31"/>
      <c r="AAS186" s="31"/>
      <c r="AAT186" s="31"/>
      <c r="AAU186" s="31"/>
      <c r="AAV186" s="31"/>
      <c r="AAW186" s="31"/>
      <c r="AAX186" s="31"/>
      <c r="AAY186" s="31"/>
      <c r="AAZ186" s="31"/>
      <c r="ABA186" s="31"/>
      <c r="ABB186" s="31"/>
      <c r="ABC186" s="31"/>
      <c r="ABD186" s="31"/>
      <c r="ABE186" s="31"/>
      <c r="ABF186" s="31"/>
      <c r="ABG186" s="31"/>
      <c r="ABH186" s="31"/>
      <c r="ABI186" s="31"/>
      <c r="ABJ186" s="31"/>
      <c r="ABK186" s="31"/>
      <c r="ABL186" s="31"/>
      <c r="ABM186" s="31"/>
      <c r="ABN186" s="31"/>
      <c r="ABO186" s="31"/>
      <c r="ABP186" s="31"/>
      <c r="ABQ186" s="31"/>
      <c r="ABR186" s="31"/>
      <c r="ABS186" s="31"/>
      <c r="ABT186" s="31"/>
      <c r="ABU186" s="31"/>
      <c r="ABV186" s="31"/>
      <c r="ABW186" s="31"/>
      <c r="ABX186" s="31"/>
      <c r="ABY186" s="31"/>
      <c r="ABZ186" s="31"/>
      <c r="ACA186" s="31"/>
      <c r="ACB186" s="31"/>
      <c r="ACC186" s="31"/>
      <c r="ACD186" s="31"/>
      <c r="ACE186" s="31"/>
      <c r="ACF186" s="31"/>
      <c r="ACG186" s="31"/>
      <c r="ACH186" s="31"/>
      <c r="ACI186" s="31"/>
      <c r="ACJ186" s="31"/>
      <c r="ACK186" s="31"/>
      <c r="ACL186" s="31"/>
      <c r="ACM186" s="31"/>
      <c r="ACN186" s="31"/>
      <c r="ACO186" s="31"/>
      <c r="ACP186" s="31"/>
      <c r="ACQ186" s="31"/>
      <c r="ACR186" s="31"/>
      <c r="ACS186" s="31"/>
      <c r="ACT186" s="31"/>
      <c r="ACU186" s="31"/>
      <c r="ACV186" s="31"/>
      <c r="ACW186" s="31"/>
      <c r="ACX186" s="31"/>
      <c r="ACY186" s="31"/>
      <c r="ACZ186" s="31"/>
      <c r="ADA186" s="31"/>
      <c r="ADB186" s="31"/>
      <c r="ADC186" s="31"/>
      <c r="ADD186" s="31"/>
      <c r="ADE186" s="31"/>
      <c r="ADF186" s="31"/>
      <c r="ADG186" s="31"/>
      <c r="ADH186" s="31"/>
      <c r="ADI186" s="31"/>
      <c r="ADJ186" s="31"/>
      <c r="ADK186" s="31"/>
      <c r="ADL186" s="31"/>
      <c r="ADM186" s="31"/>
      <c r="ADN186" s="31"/>
      <c r="ADO186" s="31"/>
      <c r="ADP186" s="31"/>
      <c r="ADQ186" s="31"/>
      <c r="ADR186" s="31"/>
      <c r="ADS186" s="31"/>
      <c r="ADT186" s="31"/>
      <c r="ADU186" s="31"/>
      <c r="ADV186" s="31"/>
      <c r="ADW186" s="31"/>
      <c r="ADX186" s="31"/>
      <c r="ADY186" s="31"/>
      <c r="ADZ186" s="31"/>
      <c r="AEA186" s="31"/>
      <c r="AEB186" s="31"/>
      <c r="AEC186" s="31"/>
      <c r="AED186" s="31"/>
      <c r="AEE186" s="31"/>
      <c r="AEF186" s="31"/>
      <c r="AEG186" s="31"/>
      <c r="AEH186" s="31"/>
      <c r="AEI186" s="31"/>
      <c r="AEJ186" s="31"/>
      <c r="AEK186" s="31"/>
      <c r="AEL186" s="31"/>
      <c r="AEM186" s="31"/>
      <c r="AEN186" s="31"/>
      <c r="AEO186" s="31"/>
      <c r="AEP186" s="31"/>
      <c r="AEQ186" s="31"/>
      <c r="AER186" s="31"/>
      <c r="AES186" s="31"/>
      <c r="AET186" s="31"/>
      <c r="AEU186" s="31"/>
      <c r="AEV186" s="31"/>
      <c r="AEW186" s="31"/>
      <c r="AEX186" s="31"/>
      <c r="AEY186" s="31"/>
      <c r="AEZ186" s="31"/>
      <c r="AFA186" s="31"/>
      <c r="AFB186" s="31"/>
      <c r="AFC186" s="31"/>
      <c r="AFD186" s="31"/>
      <c r="AFE186" s="31"/>
      <c r="AFF186" s="31"/>
      <c r="AFG186" s="31"/>
      <c r="AFH186" s="31"/>
      <c r="AFI186" s="31"/>
      <c r="AFJ186" s="31"/>
      <c r="AFK186" s="31"/>
      <c r="AFL186" s="31"/>
      <c r="AFM186" s="31"/>
      <c r="AFN186" s="31"/>
      <c r="AFO186" s="31"/>
      <c r="AFP186" s="31"/>
      <c r="AFQ186" s="31"/>
      <c r="AFR186" s="31"/>
      <c r="AFS186" s="31"/>
      <c r="AFT186" s="31"/>
      <c r="AFU186" s="31"/>
      <c r="AFV186" s="31"/>
      <c r="AFW186" s="31"/>
      <c r="AFX186" s="31"/>
      <c r="AFY186" s="31"/>
      <c r="AFZ186" s="31"/>
      <c r="AGA186" s="31"/>
      <c r="AGB186" s="31"/>
      <c r="AGC186" s="31"/>
      <c r="AGD186" s="31"/>
      <c r="AGE186" s="31"/>
      <c r="AGF186" s="31"/>
      <c r="AGG186" s="31"/>
      <c r="AGH186" s="31"/>
      <c r="AGI186" s="31"/>
      <c r="AGJ186" s="31"/>
      <c r="AGK186" s="31"/>
      <c r="AGL186" s="31"/>
      <c r="AGM186" s="31"/>
      <c r="AGN186" s="31"/>
      <c r="AGO186" s="31"/>
      <c r="AGP186" s="31"/>
      <c r="AGQ186" s="31"/>
      <c r="AGR186" s="31"/>
      <c r="AGS186" s="31"/>
      <c r="AGT186" s="31"/>
      <c r="AGU186" s="31"/>
      <c r="AGV186" s="31"/>
      <c r="AGW186" s="31"/>
      <c r="AGX186" s="31"/>
      <c r="AGY186" s="31"/>
      <c r="AGZ186" s="31"/>
      <c r="AHA186" s="31"/>
      <c r="AHB186" s="31"/>
      <c r="AHC186" s="31"/>
      <c r="AHD186" s="31"/>
      <c r="AHE186" s="31"/>
      <c r="AHF186" s="31"/>
      <c r="AHG186" s="31"/>
      <c r="AHH186" s="31"/>
      <c r="AHI186" s="31"/>
      <c r="AHJ186" s="31"/>
      <c r="AHK186" s="31"/>
      <c r="AHL186" s="31"/>
      <c r="AHM186" s="31"/>
      <c r="AHN186" s="31"/>
      <c r="AHO186" s="31"/>
      <c r="AHP186" s="31"/>
      <c r="AHQ186" s="31"/>
      <c r="AHR186" s="31"/>
      <c r="AHS186" s="31"/>
      <c r="AHT186" s="31"/>
      <c r="AHU186" s="31"/>
      <c r="AHV186" s="31"/>
      <c r="AHW186" s="31"/>
      <c r="AHX186" s="31"/>
      <c r="AHY186" s="31"/>
      <c r="AHZ186" s="31"/>
      <c r="AIA186" s="31"/>
      <c r="AIB186" s="31"/>
      <c r="AIC186" s="31"/>
      <c r="AID186" s="31"/>
      <c r="AIE186" s="31"/>
      <c r="AIF186" s="31"/>
      <c r="AIG186" s="31"/>
      <c r="AIH186" s="31"/>
      <c r="AII186" s="31"/>
      <c r="AIJ186" s="31"/>
      <c r="AIK186" s="31"/>
      <c r="AIL186" s="31"/>
      <c r="AIM186" s="31"/>
      <c r="AIN186" s="31"/>
      <c r="AIO186" s="31"/>
      <c r="AIP186" s="31"/>
      <c r="AIQ186" s="31"/>
      <c r="AIR186" s="31"/>
      <c r="AIS186" s="31"/>
      <c r="AIT186" s="31"/>
      <c r="AIU186" s="31"/>
      <c r="AIV186" s="31"/>
      <c r="AIW186" s="31"/>
      <c r="AIX186" s="31"/>
      <c r="AIY186" s="31"/>
      <c r="AIZ186" s="31"/>
      <c r="AJA186" s="31"/>
      <c r="AJB186" s="31"/>
      <c r="AJC186" s="31"/>
      <c r="AJD186" s="31"/>
      <c r="AJE186" s="31"/>
      <c r="AJF186" s="31"/>
      <c r="AJG186" s="31"/>
      <c r="AJH186" s="31"/>
      <c r="AJI186" s="31"/>
      <c r="AJJ186" s="31"/>
      <c r="AJK186" s="31"/>
      <c r="AJL186" s="31"/>
      <c r="AJM186" s="31"/>
      <c r="AJN186" s="31"/>
      <c r="AJO186" s="31"/>
      <c r="AJP186" s="31"/>
      <c r="AJQ186" s="31"/>
      <c r="AJR186" s="31"/>
      <c r="AJS186" s="31"/>
      <c r="AJT186" s="31"/>
      <c r="AJU186" s="31"/>
      <c r="AJV186" s="31"/>
      <c r="AJW186" s="31"/>
      <c r="AJX186" s="31"/>
      <c r="AJY186" s="31"/>
      <c r="AJZ186" s="31"/>
      <c r="AKA186" s="31"/>
      <c r="AKB186" s="31"/>
      <c r="AKC186" s="31"/>
      <c r="AKD186" s="31"/>
      <c r="AKE186" s="31"/>
      <c r="AKF186" s="31"/>
      <c r="AKG186" s="31"/>
      <c r="AKH186" s="31"/>
      <c r="AKI186" s="31"/>
      <c r="AKJ186" s="31"/>
      <c r="AKK186" s="31"/>
      <c r="AKL186" s="31"/>
      <c r="AKM186" s="31"/>
      <c r="AKN186" s="31"/>
      <c r="AKO186" s="31"/>
      <c r="AKP186" s="31"/>
      <c r="AKQ186" s="31"/>
      <c r="AKR186" s="31"/>
      <c r="AKS186" s="31"/>
      <c r="AKT186" s="31"/>
      <c r="AKU186" s="31"/>
      <c r="AKV186" s="31"/>
      <c r="AKW186" s="31"/>
      <c r="AKX186" s="31"/>
      <c r="AKY186" s="31"/>
      <c r="AKZ186" s="31"/>
      <c r="ALA186" s="31"/>
      <c r="ALB186" s="31"/>
      <c r="ALC186" s="31"/>
      <c r="ALD186" s="31"/>
      <c r="ALE186" s="31"/>
      <c r="ALF186" s="31"/>
      <c r="ALG186" s="31"/>
      <c r="ALH186" s="31"/>
      <c r="ALI186" s="31"/>
      <c r="ALJ186" s="31"/>
      <c r="ALK186" s="31"/>
      <c r="ALL186" s="31"/>
      <c r="ALM186" s="31"/>
      <c r="ALN186" s="31"/>
      <c r="ALO186" s="31"/>
      <c r="ALP186" s="31"/>
      <c r="ALQ186" s="31"/>
      <c r="ALR186" s="31"/>
      <c r="ALS186" s="31"/>
      <c r="ALT186" s="31"/>
      <c r="ALU186" s="31"/>
      <c r="ALV186" s="31"/>
      <c r="ALW186" s="31"/>
      <c r="ALX186" s="31"/>
      <c r="ALY186" s="31"/>
      <c r="ALZ186" s="31"/>
      <c r="AMA186" s="31"/>
      <c r="AMB186" s="31"/>
      <c r="AMC186" s="31"/>
      <c r="AMD186" s="31"/>
      <c r="AME186" s="31"/>
      <c r="AMF186" s="31"/>
      <c r="AMG186" s="31"/>
      <c r="AMH186" s="31"/>
      <c r="AMI186" s="31"/>
      <c r="AMJ186" s="31"/>
      <c r="AMK186" s="31"/>
      <c r="AML186" s="31"/>
      <c r="AMM186" s="31"/>
      <c r="AMN186" s="31"/>
      <c r="AMO186" s="31"/>
      <c r="AMP186" s="31"/>
      <c r="AMQ186" s="31"/>
      <c r="AMR186" s="31"/>
      <c r="AMS186" s="31"/>
      <c r="AMT186" s="31"/>
      <c r="AMU186" s="31"/>
      <c r="AMV186" s="31"/>
      <c r="AMW186" s="31"/>
      <c r="AMX186" s="31"/>
      <c r="AMY186" s="31"/>
      <c r="AMZ186" s="31"/>
      <c r="ANA186" s="31"/>
      <c r="ANB186" s="31"/>
      <c r="ANC186" s="31"/>
      <c r="AND186" s="31"/>
      <c r="ANE186" s="31"/>
      <c r="ANF186" s="31"/>
      <c r="ANG186" s="31"/>
      <c r="ANH186" s="31"/>
      <c r="ANI186" s="31"/>
      <c r="ANJ186" s="31"/>
      <c r="ANK186" s="31"/>
      <c r="ANL186" s="31"/>
      <c r="ANM186" s="31"/>
      <c r="ANN186" s="31"/>
      <c r="ANO186" s="31"/>
      <c r="ANP186" s="31"/>
      <c r="ANQ186" s="31"/>
      <c r="ANR186" s="31"/>
      <c r="ANS186" s="31"/>
      <c r="ANT186" s="31"/>
      <c r="ANU186" s="31"/>
      <c r="ANV186" s="31"/>
      <c r="ANW186" s="31"/>
      <c r="ANX186" s="31"/>
      <c r="ANY186" s="31"/>
      <c r="ANZ186" s="31"/>
      <c r="AOA186" s="31"/>
      <c r="AOB186" s="31"/>
      <c r="AOC186" s="31"/>
      <c r="AOD186" s="31"/>
      <c r="AOE186" s="31"/>
      <c r="AOF186" s="31"/>
      <c r="AOG186" s="31"/>
      <c r="AOH186" s="31"/>
      <c r="AOI186" s="31"/>
      <c r="AOJ186" s="31"/>
      <c r="AOK186" s="31"/>
      <c r="AOL186" s="31"/>
      <c r="AOM186" s="31"/>
      <c r="AON186" s="31"/>
      <c r="AOO186" s="31"/>
      <c r="AOP186" s="31"/>
      <c r="AOQ186" s="31"/>
      <c r="AOR186" s="31"/>
      <c r="AOS186" s="31"/>
      <c r="AOT186" s="31"/>
      <c r="AOU186" s="31"/>
      <c r="AOV186" s="31"/>
      <c r="AOW186" s="31"/>
      <c r="AOX186" s="31"/>
      <c r="AOY186" s="31"/>
      <c r="AOZ186" s="31"/>
      <c r="APA186" s="31"/>
      <c r="APB186" s="31"/>
      <c r="APC186" s="31"/>
      <c r="APD186" s="31"/>
      <c r="APE186" s="31"/>
      <c r="APF186" s="31"/>
      <c r="APG186" s="31"/>
      <c r="APH186" s="31"/>
      <c r="API186" s="31"/>
      <c r="APJ186" s="31"/>
      <c r="APK186" s="31"/>
      <c r="APL186" s="31"/>
      <c r="APM186" s="31"/>
      <c r="APN186" s="31"/>
      <c r="APO186" s="31"/>
      <c r="APP186" s="31"/>
      <c r="APQ186" s="31"/>
      <c r="APR186" s="31"/>
      <c r="APS186" s="31"/>
      <c r="APT186" s="31"/>
      <c r="APU186" s="31"/>
      <c r="APV186" s="31"/>
      <c r="APW186" s="31"/>
      <c r="APX186" s="31"/>
      <c r="APY186" s="31"/>
      <c r="APZ186" s="31"/>
      <c r="AQA186" s="31"/>
      <c r="AQB186" s="31"/>
      <c r="AQC186" s="31"/>
      <c r="AQD186" s="31"/>
      <c r="AQE186" s="31"/>
      <c r="AQF186" s="31"/>
      <c r="AQG186" s="31"/>
      <c r="AQH186" s="31"/>
      <c r="AQI186" s="31"/>
      <c r="AQJ186" s="31"/>
      <c r="AQK186" s="31"/>
      <c r="AQL186" s="31"/>
      <c r="AQM186" s="31"/>
      <c r="AQN186" s="31"/>
      <c r="AQO186" s="31"/>
      <c r="AQP186" s="31"/>
      <c r="AQQ186" s="31"/>
      <c r="AQR186" s="31"/>
      <c r="AQS186" s="31"/>
      <c r="AQT186" s="31"/>
      <c r="AQU186" s="31"/>
      <c r="AQV186" s="31"/>
      <c r="AQW186" s="31"/>
      <c r="AQX186" s="31"/>
      <c r="AQY186" s="31"/>
      <c r="AQZ186" s="31"/>
      <c r="ARA186" s="31"/>
      <c r="ARB186" s="31"/>
      <c r="ARC186" s="31"/>
      <c r="ARD186" s="31"/>
      <c r="ARE186" s="31"/>
      <c r="ARF186" s="31"/>
      <c r="ARG186" s="31"/>
      <c r="ARH186" s="31"/>
      <c r="ARI186" s="31"/>
      <c r="ARJ186" s="31"/>
      <c r="ARK186" s="31"/>
      <c r="ARL186" s="31"/>
      <c r="ARM186" s="31"/>
      <c r="ARN186" s="31"/>
      <c r="ARO186" s="31"/>
      <c r="ARP186" s="31"/>
      <c r="ARQ186" s="31"/>
      <c r="ARR186" s="31"/>
      <c r="ARS186" s="31"/>
      <c r="ART186" s="31"/>
      <c r="ARU186" s="31"/>
      <c r="ARV186" s="31"/>
      <c r="ARW186" s="31"/>
      <c r="ARX186" s="31"/>
      <c r="ARY186" s="31"/>
      <c r="ARZ186" s="31"/>
      <c r="ASA186" s="31"/>
      <c r="ASB186" s="31"/>
      <c r="ASC186" s="31"/>
      <c r="ASD186" s="31"/>
      <c r="ASE186" s="31"/>
      <c r="ASF186" s="31"/>
      <c r="ASG186" s="31"/>
      <c r="ASH186" s="31"/>
      <c r="ASI186" s="31"/>
      <c r="ASJ186" s="31"/>
      <c r="ASK186" s="31"/>
      <c r="ASL186" s="31"/>
      <c r="ASM186" s="31"/>
      <c r="ASN186" s="31"/>
      <c r="ASO186" s="31"/>
      <c r="ASP186" s="31"/>
      <c r="ASQ186" s="31"/>
      <c r="ASR186" s="31"/>
      <c r="ASS186" s="31"/>
      <c r="AST186" s="31"/>
      <c r="ASU186" s="31"/>
      <c r="ASV186" s="31"/>
      <c r="ASW186" s="31"/>
      <c r="ASX186" s="31"/>
      <c r="ASY186" s="31"/>
      <c r="ASZ186" s="31"/>
      <c r="ATA186" s="31"/>
      <c r="ATB186" s="31"/>
      <c r="ATC186" s="31"/>
      <c r="ATD186" s="31"/>
      <c r="ATE186" s="31"/>
    </row>
    <row r="187" spans="1:1201" s="34" customFormat="1" ht="15.75" customHeight="1" x14ac:dyDescent="0.3">
      <c r="A187" s="76"/>
      <c r="B187" s="76"/>
      <c r="C187" s="1452" t="s">
        <v>1313</v>
      </c>
      <c r="D187" s="63"/>
      <c r="E187" s="63"/>
      <c r="F187" s="63"/>
      <c r="G187" s="144"/>
      <c r="H187" s="647"/>
      <c r="I187" s="649"/>
      <c r="J187" s="649"/>
      <c r="K187" s="649"/>
      <c r="L187" s="649"/>
      <c r="M187" s="649"/>
      <c r="N187" s="649"/>
      <c r="O187" s="649"/>
      <c r="P187" s="649"/>
      <c r="Q187" s="649"/>
      <c r="R187" s="649"/>
      <c r="S187" s="924"/>
      <c r="T187" s="924"/>
      <c r="U187" s="924"/>
      <c r="V187" s="924"/>
      <c r="W187" s="924"/>
      <c r="X187" s="924"/>
      <c r="Y187" s="924"/>
      <c r="Z187" s="1076"/>
      <c r="AA187" s="1076"/>
      <c r="AB187" s="1076"/>
      <c r="AC187" s="1076"/>
      <c r="AD187" s="1076"/>
      <c r="AE187" s="1425">
        <f>ROUND(AE186-'MXD BS'!N75-SUM(AE182:AE183)-SUM(AE171,AE162),3)</f>
        <v>0</v>
      </c>
      <c r="AF187" s="1425">
        <f>ROUND(AF186-'MXD BS'!O75-SUM(AF182:AF183)-SUM(AF171,AF162),3)</f>
        <v>0</v>
      </c>
      <c r="AG187" s="1425">
        <f>ROUND(AG186-'MXD BS'!P75-SUM(AG182:AG183)-SUM(AG171,AG162),3)</f>
        <v>0</v>
      </c>
      <c r="AH187" s="1425">
        <f>ROUND(AH186-'MXD BS'!Q75-SUM(AH182:AH183)-SUM(AH171,AH162),3)</f>
        <v>0</v>
      </c>
      <c r="AI187" s="1425">
        <f>ROUND(AI186-'MXD BS'!R75-SUM(AI182:AI183)-SUM(AI171,AI162),3)</f>
        <v>0</v>
      </c>
      <c r="AJ187" s="1425">
        <f>ROUND(AJ186-'MXD BS'!S75-SUM(AJ182:AJ183)-SUM(AJ171,AJ162),3)</f>
        <v>0</v>
      </c>
      <c r="AK187" s="1425">
        <f>ROUND(AK186-'MXD BS'!T75-'HEC Financials'!AZ155,2)</f>
        <v>0</v>
      </c>
      <c r="AL187" s="1425">
        <f>ROUND(AL186-'MXD BS'!U75-'HEC Financials'!BA155,2)</f>
        <v>0</v>
      </c>
      <c r="AM187" s="1425">
        <f>ROUND(AM186-'MXD BS'!V75-'HEC Financials'!BB155,2)</f>
        <v>0</v>
      </c>
      <c r="AN187" s="1425">
        <f>ROUND(AN186-'MXD BS'!W75-'HEC Financials'!BC155,2)</f>
        <v>0</v>
      </c>
      <c r="AO187" s="1425">
        <f>ROUND(AO186-'MXD BS'!X75-'HEC Financials'!BD155,2)</f>
        <v>0</v>
      </c>
      <c r="AP187" s="1576"/>
      <c r="AQ187" s="1576"/>
      <c r="AR187" s="1577"/>
      <c r="AS187" s="1576"/>
      <c r="AT187" s="1576"/>
      <c r="AU187" s="1576"/>
      <c r="AV187" s="1576"/>
      <c r="AW187" s="1576"/>
      <c r="AX187" s="1576"/>
      <c r="AY187" s="1576"/>
      <c r="AZ187" s="1576"/>
      <c r="BA187" s="1576"/>
      <c r="BB187" s="1576"/>
      <c r="BC187" s="1576"/>
      <c r="BE187" s="1578"/>
      <c r="BF187" s="1577"/>
      <c r="BG187" s="1578"/>
      <c r="BH187" s="31"/>
      <c r="BI187" s="31"/>
      <c r="BJ187" s="31"/>
      <c r="BK187" s="31"/>
      <c r="BL187" s="31"/>
      <c r="BM187" s="31"/>
      <c r="BN187" s="31"/>
      <c r="BO187" s="31"/>
      <c r="BP187" s="31"/>
      <c r="BQ187" s="31"/>
      <c r="BR187" s="31"/>
      <c r="BS187" s="31"/>
      <c r="BT187" s="31"/>
      <c r="BU187" s="31"/>
      <c r="BV187" s="31"/>
      <c r="BW187" s="31"/>
      <c r="BX187" s="31"/>
      <c r="BY187" s="31"/>
      <c r="BZ187" s="31"/>
      <c r="CA187" s="31"/>
      <c r="CB187" s="31"/>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c r="EX187" s="31"/>
      <c r="EY187" s="31"/>
      <c r="EZ187" s="31"/>
      <c r="FA187" s="31"/>
      <c r="FB187" s="31"/>
      <c r="FC187" s="31"/>
      <c r="FD187" s="31"/>
      <c r="FE187" s="31"/>
      <c r="FF187" s="31"/>
      <c r="FG187" s="31"/>
      <c r="FH187" s="31"/>
      <c r="FI187" s="31"/>
      <c r="FJ187" s="31"/>
      <c r="FK187" s="31"/>
      <c r="FL187" s="31"/>
      <c r="FM187" s="31"/>
      <c r="FN187" s="31"/>
      <c r="FO187" s="31"/>
      <c r="FP187" s="31"/>
      <c r="FQ187" s="31"/>
      <c r="FR187" s="31"/>
      <c r="FS187" s="31"/>
      <c r="FT187" s="31"/>
      <c r="FU187" s="31"/>
      <c r="FV187" s="31"/>
      <c r="FW187" s="31"/>
      <c r="FX187" s="31"/>
      <c r="FY187" s="31"/>
      <c r="FZ187" s="31"/>
      <c r="GA187" s="31"/>
      <c r="GB187" s="31"/>
      <c r="GC187" s="31"/>
      <c r="GD187" s="31"/>
      <c r="GE187" s="31"/>
      <c r="GF187" s="31"/>
      <c r="GG187" s="31"/>
      <c r="GH187" s="31"/>
      <c r="GI187" s="31"/>
      <c r="GJ187" s="31"/>
      <c r="GK187" s="31"/>
      <c r="GL187" s="31"/>
      <c r="GM187" s="31"/>
      <c r="GN187" s="31"/>
      <c r="GO187" s="31"/>
      <c r="GP187" s="31"/>
      <c r="GQ187" s="31"/>
      <c r="GR187" s="31"/>
      <c r="GS187" s="31"/>
      <c r="GT187" s="31"/>
      <c r="GU187" s="31"/>
      <c r="GV187" s="31"/>
      <c r="GW187" s="31"/>
      <c r="GX187" s="31"/>
      <c r="GY187" s="31"/>
      <c r="GZ187" s="31"/>
      <c r="HA187" s="31"/>
      <c r="HB187" s="31"/>
      <c r="HC187" s="31"/>
      <c r="HD187" s="31"/>
      <c r="HE187" s="31"/>
      <c r="HF187" s="31"/>
      <c r="HG187" s="31"/>
      <c r="HH187" s="31"/>
      <c r="HI187" s="31"/>
      <c r="HJ187" s="31"/>
      <c r="HK187" s="31"/>
      <c r="HL187" s="31"/>
      <c r="HM187" s="31"/>
      <c r="HN187" s="31"/>
      <c r="HO187" s="31"/>
      <c r="HP187" s="31"/>
      <c r="HQ187" s="31"/>
      <c r="HR187" s="31"/>
      <c r="HS187" s="31"/>
      <c r="HT187" s="31"/>
      <c r="HU187" s="31"/>
      <c r="HV187" s="31"/>
      <c r="HW187" s="31"/>
      <c r="HX187" s="31"/>
      <c r="HY187" s="31"/>
      <c r="HZ187" s="31"/>
      <c r="IA187" s="31"/>
      <c r="IB187" s="31"/>
      <c r="IC187" s="31"/>
      <c r="ID187" s="31"/>
      <c r="IE187" s="31"/>
      <c r="IF187" s="31"/>
      <c r="IG187" s="31"/>
      <c r="IH187" s="31"/>
      <c r="II187" s="31"/>
      <c r="IJ187" s="31"/>
      <c r="IK187" s="31"/>
      <c r="IL187" s="31"/>
      <c r="IM187" s="31"/>
      <c r="IN187" s="31"/>
      <c r="IO187" s="31"/>
      <c r="IP187" s="31"/>
      <c r="IQ187" s="31"/>
      <c r="IR187" s="31"/>
      <c r="IS187" s="31"/>
      <c r="IT187" s="31"/>
      <c r="IU187" s="31"/>
      <c r="IV187" s="31"/>
      <c r="IW187" s="31"/>
      <c r="IX187" s="31"/>
      <c r="IY187" s="31"/>
      <c r="IZ187" s="31"/>
      <c r="JA187" s="31"/>
      <c r="JB187" s="31"/>
      <c r="JC187" s="31"/>
      <c r="JD187" s="31"/>
      <c r="JE187" s="31"/>
      <c r="JF187" s="31"/>
      <c r="JG187" s="31"/>
      <c r="JH187" s="31"/>
      <c r="JI187" s="31"/>
      <c r="JJ187" s="31"/>
      <c r="JK187" s="31"/>
      <c r="JL187" s="31"/>
      <c r="JM187" s="31"/>
      <c r="JN187" s="31"/>
      <c r="JO187" s="31"/>
      <c r="JP187" s="31"/>
      <c r="JQ187" s="31"/>
      <c r="JR187" s="31"/>
      <c r="JS187" s="31"/>
      <c r="JT187" s="31"/>
      <c r="JU187" s="31"/>
      <c r="JV187" s="31"/>
      <c r="JW187" s="31"/>
      <c r="JX187" s="31"/>
      <c r="JY187" s="31"/>
      <c r="JZ187" s="31"/>
      <c r="KA187" s="31"/>
      <c r="KB187" s="31"/>
      <c r="KC187" s="31"/>
      <c r="KD187" s="31"/>
      <c r="KE187" s="31"/>
      <c r="KF187" s="31"/>
      <c r="KG187" s="31"/>
      <c r="KH187" s="31"/>
      <c r="KI187" s="31"/>
      <c r="KJ187" s="31"/>
      <c r="KK187" s="31"/>
      <c r="KL187" s="31"/>
      <c r="KM187" s="31"/>
      <c r="KN187" s="31"/>
      <c r="KO187" s="31"/>
      <c r="KP187" s="31"/>
      <c r="KQ187" s="31"/>
      <c r="KR187" s="31"/>
      <c r="KS187" s="31"/>
      <c r="KT187" s="31"/>
      <c r="KU187" s="31"/>
      <c r="KV187" s="31"/>
      <c r="KW187" s="31"/>
      <c r="KX187" s="31"/>
      <c r="KY187" s="31"/>
      <c r="KZ187" s="31"/>
      <c r="LA187" s="31"/>
      <c r="LB187" s="31"/>
      <c r="LC187" s="31"/>
      <c r="LD187" s="31"/>
      <c r="LE187" s="31"/>
      <c r="LF187" s="31"/>
      <c r="LG187" s="31"/>
      <c r="LH187" s="31"/>
      <c r="LI187" s="31"/>
      <c r="LJ187" s="31"/>
      <c r="LK187" s="31"/>
      <c r="LL187" s="31"/>
      <c r="LM187" s="31"/>
      <c r="LN187" s="31"/>
      <c r="LO187" s="31"/>
      <c r="LP187" s="31"/>
      <c r="LQ187" s="31"/>
      <c r="LR187" s="31"/>
      <c r="LS187" s="31"/>
      <c r="LT187" s="31"/>
      <c r="LU187" s="31"/>
      <c r="LV187" s="31"/>
      <c r="LW187" s="31"/>
      <c r="LX187" s="31"/>
      <c r="LY187" s="31"/>
      <c r="LZ187" s="31"/>
      <c r="MA187" s="31"/>
      <c r="MB187" s="31"/>
      <c r="MC187" s="31"/>
      <c r="MD187" s="31"/>
      <c r="ME187" s="31"/>
      <c r="MF187" s="31"/>
      <c r="MG187" s="31"/>
      <c r="MH187" s="31"/>
      <c r="MI187" s="31"/>
      <c r="MJ187" s="31"/>
      <c r="MK187" s="31"/>
      <c r="ML187" s="31"/>
      <c r="MM187" s="31"/>
      <c r="MN187" s="31"/>
      <c r="MO187" s="31"/>
      <c r="MP187" s="31"/>
      <c r="MQ187" s="31"/>
      <c r="MR187" s="31"/>
      <c r="MS187" s="31"/>
      <c r="MT187" s="31"/>
      <c r="MU187" s="31"/>
      <c r="MV187" s="31"/>
      <c r="MW187" s="31"/>
      <c r="MX187" s="31"/>
      <c r="MY187" s="31"/>
      <c r="MZ187" s="31"/>
      <c r="NA187" s="31"/>
      <c r="NB187" s="31"/>
      <c r="NC187" s="31"/>
      <c r="ND187" s="31"/>
      <c r="NE187" s="31"/>
      <c r="NF187" s="31"/>
      <c r="NG187" s="31"/>
      <c r="NH187" s="31"/>
      <c r="NI187" s="31"/>
      <c r="NJ187" s="31"/>
      <c r="NK187" s="31"/>
      <c r="NL187" s="31"/>
      <c r="NM187" s="31"/>
      <c r="NN187" s="31"/>
      <c r="NO187" s="31"/>
      <c r="NP187" s="31"/>
      <c r="NQ187" s="31"/>
      <c r="NR187" s="31"/>
      <c r="NS187" s="31"/>
      <c r="NT187" s="31"/>
      <c r="NU187" s="31"/>
      <c r="NV187" s="31"/>
      <c r="NW187" s="31"/>
      <c r="NX187" s="31"/>
      <c r="NY187" s="31"/>
      <c r="NZ187" s="31"/>
      <c r="OA187" s="31"/>
      <c r="OB187" s="31"/>
      <c r="OC187" s="31"/>
      <c r="OD187" s="31"/>
      <c r="OE187" s="31"/>
      <c r="OF187" s="31"/>
      <c r="OG187" s="31"/>
      <c r="OH187" s="31"/>
      <c r="OI187" s="31"/>
      <c r="OJ187" s="31"/>
      <c r="OK187" s="31"/>
      <c r="OL187" s="31"/>
      <c r="OM187" s="31"/>
      <c r="ON187" s="31"/>
      <c r="OO187" s="31"/>
      <c r="OP187" s="31"/>
      <c r="OQ187" s="31"/>
      <c r="OR187" s="31"/>
      <c r="OS187" s="31"/>
      <c r="OT187" s="31"/>
      <c r="OU187" s="31"/>
      <c r="OV187" s="31"/>
      <c r="OW187" s="31"/>
      <c r="OX187" s="31"/>
      <c r="OY187" s="31"/>
      <c r="OZ187" s="31"/>
      <c r="PA187" s="31"/>
      <c r="PB187" s="31"/>
      <c r="PC187" s="31"/>
      <c r="PD187" s="31"/>
      <c r="PE187" s="31"/>
      <c r="PF187" s="31"/>
      <c r="PG187" s="31"/>
      <c r="PH187" s="31"/>
      <c r="PI187" s="31"/>
      <c r="PJ187" s="31"/>
      <c r="PK187" s="31"/>
      <c r="PL187" s="31"/>
      <c r="PM187" s="31"/>
      <c r="PN187" s="31"/>
      <c r="PO187" s="31"/>
      <c r="PP187" s="31"/>
      <c r="PQ187" s="31"/>
      <c r="PR187" s="31"/>
      <c r="PS187" s="31"/>
      <c r="PT187" s="31"/>
      <c r="PU187" s="31"/>
      <c r="PV187" s="31"/>
      <c r="PW187" s="31"/>
      <c r="PX187" s="31"/>
      <c r="PY187" s="31"/>
      <c r="PZ187" s="31"/>
      <c r="QA187" s="31"/>
      <c r="QB187" s="31"/>
      <c r="QC187" s="31"/>
      <c r="QD187" s="31"/>
      <c r="QE187" s="31"/>
      <c r="QF187" s="31"/>
      <c r="QG187" s="31"/>
      <c r="QH187" s="31"/>
      <c r="QI187" s="31"/>
      <c r="QJ187" s="31"/>
      <c r="QK187" s="31"/>
      <c r="QL187" s="31"/>
      <c r="QM187" s="31"/>
      <c r="QN187" s="31"/>
      <c r="QO187" s="31"/>
      <c r="QP187" s="31"/>
      <c r="QQ187" s="31"/>
      <c r="QR187" s="31"/>
      <c r="QS187" s="31"/>
      <c r="QT187" s="31"/>
      <c r="QU187" s="31"/>
      <c r="QV187" s="31"/>
      <c r="QW187" s="31"/>
      <c r="QX187" s="31"/>
      <c r="QY187" s="31"/>
      <c r="QZ187" s="31"/>
      <c r="RA187" s="31"/>
      <c r="RB187" s="31"/>
      <c r="RC187" s="31"/>
      <c r="RD187" s="31"/>
      <c r="RE187" s="31"/>
      <c r="RF187" s="31"/>
      <c r="RG187" s="31"/>
      <c r="RH187" s="31"/>
      <c r="RI187" s="31"/>
      <c r="RJ187" s="31"/>
      <c r="RK187" s="31"/>
      <c r="RL187" s="31"/>
      <c r="RM187" s="31"/>
      <c r="RN187" s="31"/>
      <c r="RO187" s="31"/>
      <c r="RP187" s="31"/>
      <c r="RQ187" s="31"/>
      <c r="RR187" s="31"/>
      <c r="RS187" s="31"/>
      <c r="RT187" s="31"/>
      <c r="RU187" s="31"/>
      <c r="RV187" s="31"/>
      <c r="RW187" s="31"/>
      <c r="RX187" s="31"/>
      <c r="RY187" s="31"/>
      <c r="RZ187" s="31"/>
      <c r="SA187" s="31"/>
      <c r="SB187" s="31"/>
      <c r="SC187" s="31"/>
      <c r="SD187" s="31"/>
      <c r="SE187" s="31"/>
      <c r="SF187" s="31"/>
      <c r="SG187" s="31"/>
      <c r="SH187" s="31"/>
      <c r="SI187" s="31"/>
      <c r="SJ187" s="31"/>
      <c r="SK187" s="31"/>
      <c r="SL187" s="31"/>
      <c r="SM187" s="31"/>
      <c r="SN187" s="31"/>
      <c r="SO187" s="31"/>
      <c r="SP187" s="31"/>
      <c r="SQ187" s="31"/>
      <c r="SR187" s="31"/>
      <c r="SS187" s="31"/>
      <c r="ST187" s="31"/>
      <c r="SU187" s="31"/>
      <c r="SV187" s="31"/>
      <c r="SW187" s="31"/>
      <c r="SX187" s="31"/>
      <c r="SY187" s="31"/>
      <c r="SZ187" s="31"/>
      <c r="TA187" s="31"/>
      <c r="TB187" s="31"/>
      <c r="TC187" s="31"/>
      <c r="TD187" s="31"/>
      <c r="TE187" s="31"/>
      <c r="TF187" s="31"/>
      <c r="TG187" s="31"/>
      <c r="TH187" s="31"/>
      <c r="TI187" s="31"/>
      <c r="TJ187" s="31"/>
      <c r="TK187" s="31"/>
      <c r="TL187" s="31"/>
      <c r="TM187" s="31"/>
      <c r="TN187" s="31"/>
      <c r="TO187" s="31"/>
      <c r="TP187" s="31"/>
      <c r="TQ187" s="31"/>
      <c r="TR187" s="31"/>
      <c r="TS187" s="31"/>
      <c r="TT187" s="31"/>
      <c r="TU187" s="31"/>
      <c r="TV187" s="31"/>
      <c r="TW187" s="31"/>
      <c r="TX187" s="31"/>
      <c r="TY187" s="31"/>
      <c r="TZ187" s="31"/>
      <c r="UA187" s="31"/>
      <c r="UB187" s="31"/>
      <c r="UC187" s="31"/>
      <c r="UD187" s="31"/>
      <c r="UE187" s="31"/>
      <c r="UF187" s="31"/>
      <c r="UG187" s="31"/>
      <c r="UH187" s="31"/>
      <c r="UI187" s="31"/>
      <c r="UJ187" s="31"/>
      <c r="UK187" s="31"/>
      <c r="UL187" s="31"/>
      <c r="UM187" s="31"/>
      <c r="UN187" s="31"/>
      <c r="UO187" s="31"/>
      <c r="UP187" s="31"/>
      <c r="UQ187" s="31"/>
      <c r="UR187" s="31"/>
      <c r="US187" s="31"/>
      <c r="UT187" s="31"/>
      <c r="UU187" s="31"/>
      <c r="UV187" s="31"/>
      <c r="UW187" s="31"/>
      <c r="UX187" s="31"/>
      <c r="UY187" s="31"/>
      <c r="UZ187" s="31"/>
      <c r="VA187" s="31"/>
      <c r="VB187" s="31"/>
      <c r="VC187" s="31"/>
      <c r="VD187" s="31"/>
      <c r="VE187" s="31"/>
      <c r="VF187" s="31"/>
      <c r="VG187" s="31"/>
      <c r="VH187" s="31"/>
      <c r="VI187" s="31"/>
      <c r="VJ187" s="31"/>
      <c r="VK187" s="31"/>
      <c r="VL187" s="31"/>
      <c r="VM187" s="31"/>
      <c r="VN187" s="31"/>
      <c r="VO187" s="31"/>
      <c r="VP187" s="31"/>
      <c r="VQ187" s="31"/>
      <c r="VR187" s="31"/>
      <c r="VS187" s="31"/>
      <c r="VT187" s="31"/>
      <c r="VU187" s="31"/>
      <c r="VV187" s="31"/>
      <c r="VW187" s="31"/>
      <c r="VX187" s="31"/>
      <c r="VY187" s="31"/>
      <c r="VZ187" s="31"/>
      <c r="WA187" s="31"/>
      <c r="WB187" s="31"/>
      <c r="WC187" s="31"/>
      <c r="WD187" s="31"/>
      <c r="WE187" s="31"/>
      <c r="WF187" s="31"/>
      <c r="WG187" s="31"/>
      <c r="WH187" s="31"/>
      <c r="WI187" s="31"/>
      <c r="WJ187" s="31"/>
      <c r="WK187" s="31"/>
      <c r="WL187" s="31"/>
      <c r="WM187" s="31"/>
      <c r="WN187" s="31"/>
      <c r="WO187" s="31"/>
      <c r="WP187" s="31"/>
      <c r="WQ187" s="31"/>
      <c r="WR187" s="31"/>
      <c r="WS187" s="31"/>
      <c r="WT187" s="31"/>
      <c r="WU187" s="31"/>
      <c r="WV187" s="31"/>
      <c r="WW187" s="31"/>
      <c r="WX187" s="31"/>
      <c r="WY187" s="31"/>
      <c r="WZ187" s="31"/>
      <c r="XA187" s="31"/>
      <c r="XB187" s="31"/>
      <c r="XC187" s="31"/>
      <c r="XD187" s="31"/>
      <c r="XE187" s="31"/>
      <c r="XF187" s="31"/>
      <c r="XG187" s="31"/>
      <c r="XH187" s="31"/>
      <c r="XI187" s="31"/>
      <c r="XJ187" s="31"/>
      <c r="XK187" s="31"/>
      <c r="XL187" s="31"/>
      <c r="XM187" s="31"/>
      <c r="XN187" s="31"/>
      <c r="XO187" s="31"/>
      <c r="XP187" s="31"/>
      <c r="XQ187" s="31"/>
      <c r="XR187" s="31"/>
      <c r="XS187" s="31"/>
      <c r="XT187" s="31"/>
      <c r="XU187" s="31"/>
      <c r="XV187" s="31"/>
      <c r="XW187" s="31"/>
      <c r="XX187" s="31"/>
      <c r="XY187" s="31"/>
      <c r="XZ187" s="31"/>
      <c r="YA187" s="31"/>
      <c r="YB187" s="31"/>
      <c r="YC187" s="31"/>
      <c r="YD187" s="31"/>
      <c r="YE187" s="31"/>
      <c r="YF187" s="31"/>
      <c r="YG187" s="31"/>
      <c r="YH187" s="31"/>
      <c r="YI187" s="31"/>
      <c r="YJ187" s="31"/>
      <c r="YK187" s="31"/>
      <c r="YL187" s="31"/>
      <c r="YM187" s="31"/>
      <c r="YN187" s="31"/>
      <c r="YO187" s="31"/>
      <c r="YP187" s="31"/>
      <c r="YQ187" s="31"/>
      <c r="YR187" s="31"/>
      <c r="YS187" s="31"/>
      <c r="YT187" s="31"/>
      <c r="YU187" s="31"/>
      <c r="YV187" s="31"/>
      <c r="YW187" s="31"/>
      <c r="YX187" s="31"/>
      <c r="YY187" s="31"/>
      <c r="YZ187" s="31"/>
      <c r="ZA187" s="31"/>
      <c r="ZB187" s="31"/>
      <c r="ZC187" s="31"/>
      <c r="ZD187" s="31"/>
      <c r="ZE187" s="31"/>
      <c r="ZF187" s="31"/>
      <c r="ZG187" s="31"/>
      <c r="ZH187" s="31"/>
      <c r="ZI187" s="31"/>
      <c r="ZJ187" s="31"/>
      <c r="ZK187" s="31"/>
      <c r="ZL187" s="31"/>
      <c r="ZM187" s="31"/>
      <c r="ZN187" s="31"/>
      <c r="ZO187" s="31"/>
      <c r="ZP187" s="31"/>
      <c r="ZQ187" s="31"/>
      <c r="ZR187" s="31"/>
      <c r="ZS187" s="31"/>
      <c r="ZT187" s="31"/>
      <c r="ZU187" s="31"/>
      <c r="ZV187" s="31"/>
      <c r="ZW187" s="31"/>
      <c r="ZX187" s="31"/>
      <c r="ZY187" s="31"/>
      <c r="ZZ187" s="31"/>
      <c r="AAA187" s="31"/>
      <c r="AAB187" s="31"/>
      <c r="AAC187" s="31"/>
      <c r="AAD187" s="31"/>
      <c r="AAE187" s="31"/>
      <c r="AAF187" s="31"/>
      <c r="AAG187" s="31"/>
      <c r="AAH187" s="31"/>
      <c r="AAI187" s="31"/>
      <c r="AAJ187" s="31"/>
      <c r="AAK187" s="31"/>
      <c r="AAL187" s="31"/>
      <c r="AAM187" s="31"/>
      <c r="AAN187" s="31"/>
      <c r="AAO187" s="31"/>
      <c r="AAP187" s="31"/>
      <c r="AAQ187" s="31"/>
      <c r="AAR187" s="31"/>
      <c r="AAS187" s="31"/>
      <c r="AAT187" s="31"/>
      <c r="AAU187" s="31"/>
      <c r="AAV187" s="31"/>
      <c r="AAW187" s="31"/>
      <c r="AAX187" s="31"/>
      <c r="AAY187" s="31"/>
      <c r="AAZ187" s="31"/>
      <c r="ABA187" s="31"/>
      <c r="ABB187" s="31"/>
      <c r="ABC187" s="31"/>
      <c r="ABD187" s="31"/>
      <c r="ABE187" s="31"/>
      <c r="ABF187" s="31"/>
      <c r="ABG187" s="31"/>
      <c r="ABH187" s="31"/>
      <c r="ABI187" s="31"/>
      <c r="ABJ187" s="31"/>
      <c r="ABK187" s="31"/>
      <c r="ABL187" s="31"/>
      <c r="ABM187" s="31"/>
      <c r="ABN187" s="31"/>
      <c r="ABO187" s="31"/>
      <c r="ABP187" s="31"/>
      <c r="ABQ187" s="31"/>
      <c r="ABR187" s="31"/>
      <c r="ABS187" s="31"/>
      <c r="ABT187" s="31"/>
      <c r="ABU187" s="31"/>
      <c r="ABV187" s="31"/>
      <c r="ABW187" s="31"/>
      <c r="ABX187" s="31"/>
      <c r="ABY187" s="31"/>
      <c r="ABZ187" s="31"/>
      <c r="ACA187" s="31"/>
      <c r="ACB187" s="31"/>
      <c r="ACC187" s="31"/>
      <c r="ACD187" s="31"/>
      <c r="ACE187" s="31"/>
      <c r="ACF187" s="31"/>
      <c r="ACG187" s="31"/>
      <c r="ACH187" s="31"/>
      <c r="ACI187" s="31"/>
      <c r="ACJ187" s="31"/>
      <c r="ACK187" s="31"/>
      <c r="ACL187" s="31"/>
      <c r="ACM187" s="31"/>
      <c r="ACN187" s="31"/>
      <c r="ACO187" s="31"/>
      <c r="ACP187" s="31"/>
      <c r="ACQ187" s="31"/>
      <c r="ACR187" s="31"/>
      <c r="ACS187" s="31"/>
      <c r="ACT187" s="31"/>
      <c r="ACU187" s="31"/>
      <c r="ACV187" s="31"/>
      <c r="ACW187" s="31"/>
      <c r="ACX187" s="31"/>
      <c r="ACY187" s="31"/>
      <c r="ACZ187" s="31"/>
      <c r="ADA187" s="31"/>
      <c r="ADB187" s="31"/>
      <c r="ADC187" s="31"/>
      <c r="ADD187" s="31"/>
      <c r="ADE187" s="31"/>
      <c r="ADF187" s="31"/>
      <c r="ADG187" s="31"/>
      <c r="ADH187" s="31"/>
      <c r="ADI187" s="31"/>
      <c r="ADJ187" s="31"/>
      <c r="ADK187" s="31"/>
      <c r="ADL187" s="31"/>
      <c r="ADM187" s="31"/>
      <c r="ADN187" s="31"/>
      <c r="ADO187" s="31"/>
      <c r="ADP187" s="31"/>
      <c r="ADQ187" s="31"/>
      <c r="ADR187" s="31"/>
      <c r="ADS187" s="31"/>
      <c r="ADT187" s="31"/>
      <c r="ADU187" s="31"/>
      <c r="ADV187" s="31"/>
      <c r="ADW187" s="31"/>
      <c r="ADX187" s="31"/>
      <c r="ADY187" s="31"/>
      <c r="ADZ187" s="31"/>
      <c r="AEA187" s="31"/>
      <c r="AEB187" s="31"/>
      <c r="AEC187" s="31"/>
      <c r="AED187" s="31"/>
      <c r="AEE187" s="31"/>
      <c r="AEF187" s="31"/>
      <c r="AEG187" s="31"/>
      <c r="AEH187" s="31"/>
      <c r="AEI187" s="31"/>
      <c r="AEJ187" s="31"/>
      <c r="AEK187" s="31"/>
      <c r="AEL187" s="31"/>
      <c r="AEM187" s="31"/>
      <c r="AEN187" s="31"/>
      <c r="AEO187" s="31"/>
      <c r="AEP187" s="31"/>
      <c r="AEQ187" s="31"/>
      <c r="AER187" s="31"/>
      <c r="AES187" s="31"/>
      <c r="AET187" s="31"/>
      <c r="AEU187" s="31"/>
      <c r="AEV187" s="31"/>
      <c r="AEW187" s="31"/>
      <c r="AEX187" s="31"/>
      <c r="AEY187" s="31"/>
      <c r="AEZ187" s="31"/>
      <c r="AFA187" s="31"/>
      <c r="AFB187" s="31"/>
      <c r="AFC187" s="31"/>
      <c r="AFD187" s="31"/>
      <c r="AFE187" s="31"/>
      <c r="AFF187" s="31"/>
      <c r="AFG187" s="31"/>
      <c r="AFH187" s="31"/>
      <c r="AFI187" s="31"/>
      <c r="AFJ187" s="31"/>
      <c r="AFK187" s="31"/>
      <c r="AFL187" s="31"/>
      <c r="AFM187" s="31"/>
      <c r="AFN187" s="31"/>
      <c r="AFO187" s="31"/>
      <c r="AFP187" s="31"/>
      <c r="AFQ187" s="31"/>
      <c r="AFR187" s="31"/>
      <c r="AFS187" s="31"/>
      <c r="AFT187" s="31"/>
      <c r="AFU187" s="31"/>
      <c r="AFV187" s="31"/>
      <c r="AFW187" s="31"/>
      <c r="AFX187" s="31"/>
      <c r="AFY187" s="31"/>
      <c r="AFZ187" s="31"/>
      <c r="AGA187" s="31"/>
      <c r="AGB187" s="31"/>
      <c r="AGC187" s="31"/>
      <c r="AGD187" s="31"/>
      <c r="AGE187" s="31"/>
      <c r="AGF187" s="31"/>
      <c r="AGG187" s="31"/>
      <c r="AGH187" s="31"/>
      <c r="AGI187" s="31"/>
      <c r="AGJ187" s="31"/>
      <c r="AGK187" s="31"/>
      <c r="AGL187" s="31"/>
      <c r="AGM187" s="31"/>
      <c r="AGN187" s="31"/>
      <c r="AGO187" s="31"/>
      <c r="AGP187" s="31"/>
      <c r="AGQ187" s="31"/>
      <c r="AGR187" s="31"/>
      <c r="AGS187" s="31"/>
      <c r="AGT187" s="31"/>
      <c r="AGU187" s="31"/>
      <c r="AGV187" s="31"/>
      <c r="AGW187" s="31"/>
      <c r="AGX187" s="31"/>
      <c r="AGY187" s="31"/>
      <c r="AGZ187" s="31"/>
      <c r="AHA187" s="31"/>
      <c r="AHB187" s="31"/>
      <c r="AHC187" s="31"/>
      <c r="AHD187" s="31"/>
      <c r="AHE187" s="31"/>
      <c r="AHF187" s="31"/>
      <c r="AHG187" s="31"/>
      <c r="AHH187" s="31"/>
      <c r="AHI187" s="31"/>
      <c r="AHJ187" s="31"/>
      <c r="AHK187" s="31"/>
      <c r="AHL187" s="31"/>
      <c r="AHM187" s="31"/>
      <c r="AHN187" s="31"/>
      <c r="AHO187" s="31"/>
      <c r="AHP187" s="31"/>
      <c r="AHQ187" s="31"/>
      <c r="AHR187" s="31"/>
      <c r="AHS187" s="31"/>
      <c r="AHT187" s="31"/>
      <c r="AHU187" s="31"/>
      <c r="AHV187" s="31"/>
      <c r="AHW187" s="31"/>
      <c r="AHX187" s="31"/>
      <c r="AHY187" s="31"/>
      <c r="AHZ187" s="31"/>
      <c r="AIA187" s="31"/>
      <c r="AIB187" s="31"/>
      <c r="AIC187" s="31"/>
      <c r="AID187" s="31"/>
      <c r="AIE187" s="31"/>
      <c r="AIF187" s="31"/>
      <c r="AIG187" s="31"/>
      <c r="AIH187" s="31"/>
      <c r="AII187" s="31"/>
      <c r="AIJ187" s="31"/>
      <c r="AIK187" s="31"/>
      <c r="AIL187" s="31"/>
      <c r="AIM187" s="31"/>
      <c r="AIN187" s="31"/>
      <c r="AIO187" s="31"/>
      <c r="AIP187" s="31"/>
      <c r="AIQ187" s="31"/>
      <c r="AIR187" s="31"/>
      <c r="AIS187" s="31"/>
      <c r="AIT187" s="31"/>
      <c r="AIU187" s="31"/>
      <c r="AIV187" s="31"/>
      <c r="AIW187" s="31"/>
      <c r="AIX187" s="31"/>
      <c r="AIY187" s="31"/>
      <c r="AIZ187" s="31"/>
      <c r="AJA187" s="31"/>
      <c r="AJB187" s="31"/>
      <c r="AJC187" s="31"/>
      <c r="AJD187" s="31"/>
      <c r="AJE187" s="31"/>
      <c r="AJF187" s="31"/>
      <c r="AJG187" s="31"/>
      <c r="AJH187" s="31"/>
      <c r="AJI187" s="31"/>
      <c r="AJJ187" s="31"/>
      <c r="AJK187" s="31"/>
      <c r="AJL187" s="31"/>
      <c r="AJM187" s="31"/>
      <c r="AJN187" s="31"/>
      <c r="AJO187" s="31"/>
      <c r="AJP187" s="31"/>
      <c r="AJQ187" s="31"/>
      <c r="AJR187" s="31"/>
      <c r="AJS187" s="31"/>
      <c r="AJT187" s="31"/>
      <c r="AJU187" s="31"/>
      <c r="AJV187" s="31"/>
      <c r="AJW187" s="31"/>
      <c r="AJX187" s="31"/>
      <c r="AJY187" s="31"/>
      <c r="AJZ187" s="31"/>
      <c r="AKA187" s="31"/>
      <c r="AKB187" s="31"/>
      <c r="AKC187" s="31"/>
      <c r="AKD187" s="31"/>
      <c r="AKE187" s="31"/>
      <c r="AKF187" s="31"/>
      <c r="AKG187" s="31"/>
      <c r="AKH187" s="31"/>
      <c r="AKI187" s="31"/>
      <c r="AKJ187" s="31"/>
      <c r="AKK187" s="31"/>
      <c r="AKL187" s="31"/>
      <c r="AKM187" s="31"/>
      <c r="AKN187" s="31"/>
      <c r="AKO187" s="31"/>
      <c r="AKP187" s="31"/>
      <c r="AKQ187" s="31"/>
      <c r="AKR187" s="31"/>
      <c r="AKS187" s="31"/>
      <c r="AKT187" s="31"/>
      <c r="AKU187" s="31"/>
      <c r="AKV187" s="31"/>
      <c r="AKW187" s="31"/>
      <c r="AKX187" s="31"/>
      <c r="AKY187" s="31"/>
      <c r="AKZ187" s="31"/>
      <c r="ALA187" s="31"/>
      <c r="ALB187" s="31"/>
      <c r="ALC187" s="31"/>
      <c r="ALD187" s="31"/>
      <c r="ALE187" s="31"/>
      <c r="ALF187" s="31"/>
      <c r="ALG187" s="31"/>
      <c r="ALH187" s="31"/>
      <c r="ALI187" s="31"/>
      <c r="ALJ187" s="31"/>
      <c r="ALK187" s="31"/>
      <c r="ALL187" s="31"/>
      <c r="ALM187" s="31"/>
      <c r="ALN187" s="31"/>
      <c r="ALO187" s="31"/>
      <c r="ALP187" s="31"/>
      <c r="ALQ187" s="31"/>
      <c r="ALR187" s="31"/>
      <c r="ALS187" s="31"/>
      <c r="ALT187" s="31"/>
      <c r="ALU187" s="31"/>
      <c r="ALV187" s="31"/>
      <c r="ALW187" s="31"/>
      <c r="ALX187" s="31"/>
      <c r="ALY187" s="31"/>
      <c r="ALZ187" s="31"/>
      <c r="AMA187" s="31"/>
      <c r="AMB187" s="31"/>
      <c r="AMC187" s="31"/>
      <c r="AMD187" s="31"/>
      <c r="AME187" s="31"/>
      <c r="AMF187" s="31"/>
      <c r="AMG187" s="31"/>
      <c r="AMH187" s="31"/>
      <c r="AMI187" s="31"/>
      <c r="AMJ187" s="31"/>
      <c r="AMK187" s="31"/>
      <c r="AML187" s="31"/>
      <c r="AMM187" s="31"/>
      <c r="AMN187" s="31"/>
      <c r="AMO187" s="31"/>
      <c r="AMP187" s="31"/>
      <c r="AMQ187" s="31"/>
      <c r="AMR187" s="31"/>
      <c r="AMS187" s="31"/>
      <c r="AMT187" s="31"/>
      <c r="AMU187" s="31"/>
      <c r="AMV187" s="31"/>
      <c r="AMW187" s="31"/>
      <c r="AMX187" s="31"/>
      <c r="AMY187" s="31"/>
      <c r="AMZ187" s="31"/>
      <c r="ANA187" s="31"/>
      <c r="ANB187" s="31"/>
      <c r="ANC187" s="31"/>
      <c r="AND187" s="31"/>
      <c r="ANE187" s="31"/>
      <c r="ANF187" s="31"/>
      <c r="ANG187" s="31"/>
      <c r="ANH187" s="31"/>
      <c r="ANI187" s="31"/>
      <c r="ANJ187" s="31"/>
      <c r="ANK187" s="31"/>
      <c r="ANL187" s="31"/>
      <c r="ANM187" s="31"/>
      <c r="ANN187" s="31"/>
      <c r="ANO187" s="31"/>
      <c r="ANP187" s="31"/>
      <c r="ANQ187" s="31"/>
      <c r="ANR187" s="31"/>
      <c r="ANS187" s="31"/>
      <c r="ANT187" s="31"/>
      <c r="ANU187" s="31"/>
      <c r="ANV187" s="31"/>
      <c r="ANW187" s="31"/>
      <c r="ANX187" s="31"/>
      <c r="ANY187" s="31"/>
      <c r="ANZ187" s="31"/>
      <c r="AOA187" s="31"/>
      <c r="AOB187" s="31"/>
      <c r="AOC187" s="31"/>
      <c r="AOD187" s="31"/>
      <c r="AOE187" s="31"/>
      <c r="AOF187" s="31"/>
      <c r="AOG187" s="31"/>
      <c r="AOH187" s="31"/>
      <c r="AOI187" s="31"/>
      <c r="AOJ187" s="31"/>
      <c r="AOK187" s="31"/>
      <c r="AOL187" s="31"/>
      <c r="AOM187" s="31"/>
      <c r="AON187" s="31"/>
      <c r="AOO187" s="31"/>
      <c r="AOP187" s="31"/>
      <c r="AOQ187" s="31"/>
      <c r="AOR187" s="31"/>
      <c r="AOS187" s="31"/>
      <c r="AOT187" s="31"/>
      <c r="AOU187" s="31"/>
      <c r="AOV187" s="31"/>
      <c r="AOW187" s="31"/>
      <c r="AOX187" s="31"/>
      <c r="AOY187" s="31"/>
      <c r="AOZ187" s="31"/>
      <c r="APA187" s="31"/>
      <c r="APB187" s="31"/>
      <c r="APC187" s="31"/>
      <c r="APD187" s="31"/>
      <c r="APE187" s="31"/>
      <c r="APF187" s="31"/>
      <c r="APG187" s="31"/>
      <c r="APH187" s="31"/>
      <c r="API187" s="31"/>
      <c r="APJ187" s="31"/>
      <c r="APK187" s="31"/>
      <c r="APL187" s="31"/>
      <c r="APM187" s="31"/>
      <c r="APN187" s="31"/>
      <c r="APO187" s="31"/>
      <c r="APP187" s="31"/>
      <c r="APQ187" s="31"/>
      <c r="APR187" s="31"/>
      <c r="APS187" s="31"/>
      <c r="APT187" s="31"/>
      <c r="APU187" s="31"/>
      <c r="APV187" s="31"/>
      <c r="APW187" s="31"/>
      <c r="APX187" s="31"/>
      <c r="APY187" s="31"/>
      <c r="APZ187" s="31"/>
      <c r="AQA187" s="31"/>
      <c r="AQB187" s="31"/>
      <c r="AQC187" s="31"/>
      <c r="AQD187" s="31"/>
      <c r="AQE187" s="31"/>
      <c r="AQF187" s="31"/>
      <c r="AQG187" s="31"/>
      <c r="AQH187" s="31"/>
      <c r="AQI187" s="31"/>
      <c r="AQJ187" s="31"/>
      <c r="AQK187" s="31"/>
      <c r="AQL187" s="31"/>
      <c r="AQM187" s="31"/>
      <c r="AQN187" s="31"/>
      <c r="AQO187" s="31"/>
      <c r="AQP187" s="31"/>
      <c r="AQQ187" s="31"/>
      <c r="AQR187" s="31"/>
      <c r="AQS187" s="31"/>
      <c r="AQT187" s="31"/>
      <c r="AQU187" s="31"/>
      <c r="AQV187" s="31"/>
      <c r="AQW187" s="31"/>
      <c r="AQX187" s="31"/>
      <c r="AQY187" s="31"/>
      <c r="AQZ187" s="31"/>
      <c r="ARA187" s="31"/>
      <c r="ARB187" s="31"/>
      <c r="ARC187" s="31"/>
      <c r="ARD187" s="31"/>
      <c r="ARE187" s="31"/>
      <c r="ARF187" s="31"/>
      <c r="ARG187" s="31"/>
      <c r="ARH187" s="31"/>
      <c r="ARI187" s="31"/>
      <c r="ARJ187" s="31"/>
      <c r="ARK187" s="31"/>
      <c r="ARL187" s="31"/>
      <c r="ARM187" s="31"/>
      <c r="ARN187" s="31"/>
      <c r="ARO187" s="31"/>
      <c r="ARP187" s="31"/>
      <c r="ARQ187" s="31"/>
      <c r="ARR187" s="31"/>
      <c r="ARS187" s="31"/>
      <c r="ART187" s="31"/>
      <c r="ARU187" s="31"/>
      <c r="ARV187" s="31"/>
      <c r="ARW187" s="31"/>
      <c r="ARX187" s="31"/>
      <c r="ARY187" s="31"/>
      <c r="ARZ187" s="31"/>
      <c r="ASA187" s="31"/>
      <c r="ASB187" s="31"/>
      <c r="ASC187" s="31"/>
      <c r="ASD187" s="31"/>
      <c r="ASE187" s="31"/>
      <c r="ASF187" s="31"/>
      <c r="ASG187" s="31"/>
      <c r="ASH187" s="31"/>
      <c r="ASI187" s="31"/>
      <c r="ASJ187" s="31"/>
      <c r="ASK187" s="31"/>
      <c r="ASL187" s="31"/>
      <c r="ASM187" s="31"/>
      <c r="ASN187" s="31"/>
      <c r="ASO187" s="31"/>
      <c r="ASP187" s="31"/>
      <c r="ASQ187" s="31"/>
      <c r="ASR187" s="31"/>
      <c r="ASS187" s="31"/>
      <c r="AST187" s="31"/>
      <c r="ASU187" s="31"/>
      <c r="ASV187" s="31"/>
      <c r="ASW187" s="31"/>
      <c r="ASX187" s="31"/>
      <c r="ASY187" s="31"/>
      <c r="ASZ187" s="31"/>
      <c r="ATA187" s="31"/>
      <c r="ATB187" s="31"/>
      <c r="ATC187" s="31"/>
      <c r="ATD187" s="31"/>
      <c r="ATE187" s="31"/>
    </row>
    <row r="188" spans="1:1201" s="34" customFormat="1" ht="15.75" customHeight="1" x14ac:dyDescent="0.3">
      <c r="A188" s="76"/>
      <c r="B188" s="76"/>
      <c r="C188" s="84" t="s">
        <v>254</v>
      </c>
      <c r="D188" s="63"/>
      <c r="E188" s="63"/>
      <c r="F188" s="63"/>
      <c r="G188" s="144"/>
      <c r="H188" s="647"/>
      <c r="I188" s="649"/>
      <c r="J188" s="649"/>
      <c r="K188" s="649"/>
      <c r="L188" s="649"/>
      <c r="M188" s="649"/>
      <c r="N188" s="649"/>
      <c r="O188" s="649"/>
      <c r="P188" s="649"/>
      <c r="Q188" s="649"/>
      <c r="R188" s="649"/>
      <c r="S188" s="924"/>
      <c r="T188" s="924"/>
      <c r="U188" s="924"/>
      <c r="V188" s="924"/>
      <c r="W188" s="924"/>
      <c r="X188" s="924"/>
      <c r="Y188" s="924"/>
      <c r="Z188" s="1076"/>
      <c r="AA188" s="1076"/>
      <c r="AB188" s="1076"/>
      <c r="AC188" s="1076"/>
      <c r="AD188" s="1076"/>
      <c r="AE188" s="1076"/>
      <c r="AF188" s="1076"/>
      <c r="AG188" s="1076">
        <f>AG179-AF179+AG138</f>
        <v>2.3646862246096134E-10</v>
      </c>
      <c r="AH188" s="1076">
        <f t="shared" ref="AH188:AI188" si="331">AH179-AG179+AH138</f>
        <v>0</v>
      </c>
      <c r="AI188" s="1076">
        <f t="shared" si="331"/>
        <v>0</v>
      </c>
      <c r="AJ188" s="1076"/>
      <c r="AK188" s="1076">
        <f>SUM(AK182:AK183,AK171:AK172,AK162,AK159)-'HEC Financials'!AZ155</f>
        <v>0</v>
      </c>
      <c r="AL188" s="1076">
        <f>SUM(AL182:AL183,AL171:AL172,AL162,AL159)-'HEC Financials'!BA155</f>
        <v>0</v>
      </c>
      <c r="AM188" s="1076">
        <f>SUM(AM182:AM183,AM171:AM172,AM162,AM159)-'HEC Financials'!BB155</f>
        <v>0</v>
      </c>
      <c r="AN188" s="1076">
        <f>SUM(AN182:AN183,AN171:AN172,AN162,AN159)-'HEC Financials'!BC155</f>
        <v>0</v>
      </c>
      <c r="AO188" s="1076">
        <f>SUM(AO182:AO183,AO171:AO172,AO162,AO159)-'HEC Financials'!BD155</f>
        <v>0</v>
      </c>
      <c r="AP188" s="649"/>
      <c r="AQ188" s="649"/>
      <c r="AR188" s="618"/>
      <c r="AS188" s="649"/>
      <c r="AT188" s="649"/>
      <c r="AU188" s="649"/>
      <c r="AV188" s="649"/>
      <c r="AW188" s="649"/>
      <c r="AX188" s="649"/>
      <c r="AY188" s="649"/>
      <c r="AZ188" s="649"/>
      <c r="BA188" s="649"/>
      <c r="BB188" s="649"/>
      <c r="BC188" s="649"/>
      <c r="BE188" s="1195"/>
      <c r="BF188" s="924"/>
      <c r="BG188" s="1195"/>
      <c r="BH188" s="31"/>
      <c r="BI188" s="31"/>
      <c r="BJ188" s="31"/>
      <c r="BK188" s="31"/>
      <c r="BL188" s="31"/>
      <c r="BM188" s="31"/>
      <c r="BN188" s="31"/>
      <c r="BO188" s="31"/>
      <c r="BP188" s="31"/>
      <c r="BQ188" s="31"/>
      <c r="BR188" s="31"/>
      <c r="BS188" s="31"/>
      <c r="BT188" s="31"/>
      <c r="BU188" s="31"/>
      <c r="BV188" s="31"/>
      <c r="BW188" s="31"/>
      <c r="BX188" s="31"/>
      <c r="BY188" s="31"/>
      <c r="BZ188" s="31"/>
      <c r="CA188" s="31"/>
      <c r="CB188" s="31"/>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c r="EX188" s="31"/>
      <c r="EY188" s="31"/>
      <c r="EZ188" s="31"/>
      <c r="FA188" s="31"/>
      <c r="FB188" s="31"/>
      <c r="FC188" s="31"/>
      <c r="FD188" s="31"/>
      <c r="FE188" s="31"/>
      <c r="FF188" s="31"/>
      <c r="FG188" s="31"/>
      <c r="FH188" s="31"/>
      <c r="FI188" s="31"/>
      <c r="FJ188" s="31"/>
      <c r="FK188" s="31"/>
      <c r="FL188" s="31"/>
      <c r="FM188" s="31"/>
      <c r="FN188" s="31"/>
      <c r="FO188" s="31"/>
      <c r="FP188" s="31"/>
      <c r="FQ188" s="31"/>
      <c r="FR188" s="31"/>
      <c r="FS188" s="31"/>
      <c r="FT188" s="31"/>
      <c r="FU188" s="31"/>
      <c r="FV188" s="31"/>
      <c r="FW188" s="31"/>
      <c r="FX188" s="31"/>
      <c r="FY188" s="31"/>
      <c r="FZ188" s="31"/>
      <c r="GA188" s="31"/>
      <c r="GB188" s="31"/>
      <c r="GC188" s="31"/>
      <c r="GD188" s="31"/>
      <c r="GE188" s="31"/>
      <c r="GF188" s="31"/>
      <c r="GG188" s="31"/>
      <c r="GH188" s="31"/>
      <c r="GI188" s="31"/>
      <c r="GJ188" s="31"/>
      <c r="GK188" s="31"/>
      <c r="GL188" s="31"/>
      <c r="GM188" s="31"/>
      <c r="GN188" s="31"/>
      <c r="GO188" s="31"/>
      <c r="GP188" s="31"/>
      <c r="GQ188" s="31"/>
      <c r="GR188" s="31"/>
      <c r="GS188" s="31"/>
      <c r="GT188" s="31"/>
      <c r="GU188" s="31"/>
      <c r="GV188" s="31"/>
      <c r="GW188" s="31"/>
      <c r="GX188" s="31"/>
      <c r="GY188" s="31"/>
      <c r="GZ188" s="31"/>
      <c r="HA188" s="31"/>
      <c r="HB188" s="31"/>
      <c r="HC188" s="31"/>
      <c r="HD188" s="31"/>
      <c r="HE188" s="31"/>
      <c r="HF188" s="31"/>
      <c r="HG188" s="31"/>
      <c r="HH188" s="31"/>
      <c r="HI188" s="31"/>
      <c r="HJ188" s="31"/>
      <c r="HK188" s="31"/>
      <c r="HL188" s="31"/>
      <c r="HM188" s="31"/>
      <c r="HN188" s="31"/>
      <c r="HO188" s="31"/>
      <c r="HP188" s="31"/>
      <c r="HQ188" s="31"/>
      <c r="HR188" s="31"/>
      <c r="HS188" s="31"/>
      <c r="HT188" s="31"/>
      <c r="HU188" s="31"/>
      <c r="HV188" s="31"/>
      <c r="HW188" s="31"/>
      <c r="HX188" s="31"/>
      <c r="HY188" s="31"/>
      <c r="HZ188" s="31"/>
      <c r="IA188" s="31"/>
      <c r="IB188" s="31"/>
      <c r="IC188" s="31"/>
      <c r="ID188" s="31"/>
      <c r="IE188" s="31"/>
      <c r="IF188" s="31"/>
      <c r="IG188" s="31"/>
      <c r="IH188" s="31"/>
      <c r="II188" s="31"/>
      <c r="IJ188" s="31"/>
      <c r="IK188" s="31"/>
      <c r="IL188" s="31"/>
      <c r="IM188" s="31"/>
      <c r="IN188" s="31"/>
      <c r="IO188" s="31"/>
      <c r="IP188" s="31"/>
      <c r="IQ188" s="31"/>
      <c r="IR188" s="31"/>
      <c r="IS188" s="31"/>
      <c r="IT188" s="31"/>
      <c r="IU188" s="31"/>
      <c r="IV188" s="31"/>
      <c r="IW188" s="31"/>
      <c r="IX188" s="31"/>
      <c r="IY188" s="31"/>
      <c r="IZ188" s="31"/>
      <c r="JA188" s="31"/>
      <c r="JB188" s="31"/>
      <c r="JC188" s="31"/>
      <c r="JD188" s="31"/>
      <c r="JE188" s="31"/>
      <c r="JF188" s="31"/>
      <c r="JG188" s="31"/>
      <c r="JH188" s="31"/>
      <c r="JI188" s="31"/>
      <c r="JJ188" s="31"/>
      <c r="JK188" s="31"/>
      <c r="JL188" s="31"/>
      <c r="JM188" s="31"/>
      <c r="JN188" s="31"/>
      <c r="JO188" s="31"/>
      <c r="JP188" s="31"/>
      <c r="JQ188" s="31"/>
      <c r="JR188" s="31"/>
      <c r="JS188" s="31"/>
      <c r="JT188" s="31"/>
      <c r="JU188" s="31"/>
      <c r="JV188" s="31"/>
      <c r="JW188" s="31"/>
      <c r="JX188" s="31"/>
      <c r="JY188" s="31"/>
      <c r="JZ188" s="31"/>
      <c r="KA188" s="31"/>
      <c r="KB188" s="31"/>
      <c r="KC188" s="31"/>
      <c r="KD188" s="31"/>
      <c r="KE188" s="31"/>
      <c r="KF188" s="31"/>
      <c r="KG188" s="31"/>
      <c r="KH188" s="31"/>
      <c r="KI188" s="31"/>
      <c r="KJ188" s="31"/>
      <c r="KK188" s="31"/>
      <c r="KL188" s="31"/>
      <c r="KM188" s="31"/>
      <c r="KN188" s="31"/>
      <c r="KO188" s="31"/>
      <c r="KP188" s="31"/>
      <c r="KQ188" s="31"/>
      <c r="KR188" s="31"/>
      <c r="KS188" s="31"/>
      <c r="KT188" s="31"/>
      <c r="KU188" s="31"/>
      <c r="KV188" s="31"/>
      <c r="KW188" s="31"/>
      <c r="KX188" s="31"/>
      <c r="KY188" s="31"/>
      <c r="KZ188" s="31"/>
      <c r="LA188" s="31"/>
      <c r="LB188" s="31"/>
      <c r="LC188" s="31"/>
      <c r="LD188" s="31"/>
      <c r="LE188" s="31"/>
      <c r="LF188" s="31"/>
      <c r="LG188" s="31"/>
      <c r="LH188" s="31"/>
      <c r="LI188" s="31"/>
      <c r="LJ188" s="31"/>
      <c r="LK188" s="31"/>
      <c r="LL188" s="31"/>
      <c r="LM188" s="31"/>
      <c r="LN188" s="31"/>
      <c r="LO188" s="31"/>
      <c r="LP188" s="31"/>
      <c r="LQ188" s="31"/>
      <c r="LR188" s="31"/>
      <c r="LS188" s="31"/>
      <c r="LT188" s="31"/>
      <c r="LU188" s="31"/>
      <c r="LV188" s="31"/>
      <c r="LW188" s="31"/>
      <c r="LX188" s="31"/>
      <c r="LY188" s="31"/>
      <c r="LZ188" s="31"/>
      <c r="MA188" s="31"/>
      <c r="MB188" s="31"/>
      <c r="MC188" s="31"/>
      <c r="MD188" s="31"/>
      <c r="ME188" s="31"/>
      <c r="MF188" s="31"/>
      <c r="MG188" s="31"/>
      <c r="MH188" s="31"/>
      <c r="MI188" s="31"/>
      <c r="MJ188" s="31"/>
      <c r="MK188" s="31"/>
      <c r="ML188" s="31"/>
      <c r="MM188" s="31"/>
      <c r="MN188" s="31"/>
      <c r="MO188" s="31"/>
      <c r="MP188" s="31"/>
      <c r="MQ188" s="31"/>
      <c r="MR188" s="31"/>
      <c r="MS188" s="31"/>
      <c r="MT188" s="31"/>
      <c r="MU188" s="31"/>
      <c r="MV188" s="31"/>
      <c r="MW188" s="31"/>
      <c r="MX188" s="31"/>
      <c r="MY188" s="31"/>
      <c r="MZ188" s="31"/>
      <c r="NA188" s="31"/>
      <c r="NB188" s="31"/>
      <c r="NC188" s="31"/>
      <c r="ND188" s="31"/>
      <c r="NE188" s="31"/>
      <c r="NF188" s="31"/>
      <c r="NG188" s="31"/>
      <c r="NH188" s="31"/>
      <c r="NI188" s="31"/>
      <c r="NJ188" s="31"/>
      <c r="NK188" s="31"/>
      <c r="NL188" s="31"/>
      <c r="NM188" s="31"/>
      <c r="NN188" s="31"/>
      <c r="NO188" s="31"/>
      <c r="NP188" s="31"/>
      <c r="NQ188" s="31"/>
      <c r="NR188" s="31"/>
      <c r="NS188" s="31"/>
      <c r="NT188" s="31"/>
      <c r="NU188" s="31"/>
      <c r="NV188" s="31"/>
      <c r="NW188" s="31"/>
      <c r="NX188" s="31"/>
      <c r="NY188" s="31"/>
      <c r="NZ188" s="31"/>
      <c r="OA188" s="31"/>
      <c r="OB188" s="31"/>
      <c r="OC188" s="31"/>
      <c r="OD188" s="31"/>
      <c r="OE188" s="31"/>
      <c r="OF188" s="31"/>
      <c r="OG188" s="31"/>
      <c r="OH188" s="31"/>
      <c r="OI188" s="31"/>
      <c r="OJ188" s="31"/>
      <c r="OK188" s="31"/>
      <c r="OL188" s="31"/>
      <c r="OM188" s="31"/>
      <c r="ON188" s="31"/>
      <c r="OO188" s="31"/>
      <c r="OP188" s="31"/>
      <c r="OQ188" s="31"/>
      <c r="OR188" s="31"/>
      <c r="OS188" s="31"/>
      <c r="OT188" s="31"/>
      <c r="OU188" s="31"/>
      <c r="OV188" s="31"/>
      <c r="OW188" s="31"/>
      <c r="OX188" s="31"/>
      <c r="OY188" s="31"/>
      <c r="OZ188" s="31"/>
      <c r="PA188" s="31"/>
      <c r="PB188" s="31"/>
      <c r="PC188" s="31"/>
      <c r="PD188" s="31"/>
      <c r="PE188" s="31"/>
      <c r="PF188" s="31"/>
      <c r="PG188" s="31"/>
      <c r="PH188" s="31"/>
      <c r="PI188" s="31"/>
      <c r="PJ188" s="31"/>
      <c r="PK188" s="31"/>
      <c r="PL188" s="31"/>
      <c r="PM188" s="31"/>
      <c r="PN188" s="31"/>
      <c r="PO188" s="31"/>
      <c r="PP188" s="31"/>
      <c r="PQ188" s="31"/>
      <c r="PR188" s="31"/>
      <c r="PS188" s="31"/>
      <c r="PT188" s="31"/>
      <c r="PU188" s="31"/>
      <c r="PV188" s="31"/>
      <c r="PW188" s="31"/>
      <c r="PX188" s="31"/>
      <c r="PY188" s="31"/>
      <c r="PZ188" s="31"/>
      <c r="QA188" s="31"/>
      <c r="QB188" s="31"/>
      <c r="QC188" s="31"/>
      <c r="QD188" s="31"/>
      <c r="QE188" s="31"/>
      <c r="QF188" s="31"/>
      <c r="QG188" s="31"/>
      <c r="QH188" s="31"/>
      <c r="QI188" s="31"/>
      <c r="QJ188" s="31"/>
      <c r="QK188" s="31"/>
      <c r="QL188" s="31"/>
      <c r="QM188" s="31"/>
      <c r="QN188" s="31"/>
      <c r="QO188" s="31"/>
      <c r="QP188" s="31"/>
      <c r="QQ188" s="31"/>
      <c r="QR188" s="31"/>
      <c r="QS188" s="31"/>
      <c r="QT188" s="31"/>
      <c r="QU188" s="31"/>
      <c r="QV188" s="31"/>
      <c r="QW188" s="31"/>
      <c r="QX188" s="31"/>
      <c r="QY188" s="31"/>
      <c r="QZ188" s="31"/>
      <c r="RA188" s="31"/>
      <c r="RB188" s="31"/>
      <c r="RC188" s="31"/>
      <c r="RD188" s="31"/>
      <c r="RE188" s="31"/>
      <c r="RF188" s="31"/>
      <c r="RG188" s="31"/>
      <c r="RH188" s="31"/>
      <c r="RI188" s="31"/>
      <c r="RJ188" s="31"/>
      <c r="RK188" s="31"/>
      <c r="RL188" s="31"/>
      <c r="RM188" s="31"/>
      <c r="RN188" s="31"/>
      <c r="RO188" s="31"/>
      <c r="RP188" s="31"/>
      <c r="RQ188" s="31"/>
      <c r="RR188" s="31"/>
      <c r="RS188" s="31"/>
      <c r="RT188" s="31"/>
      <c r="RU188" s="31"/>
      <c r="RV188" s="31"/>
      <c r="RW188" s="31"/>
      <c r="RX188" s="31"/>
      <c r="RY188" s="31"/>
      <c r="RZ188" s="31"/>
      <c r="SA188" s="31"/>
      <c r="SB188" s="31"/>
      <c r="SC188" s="31"/>
      <c r="SD188" s="31"/>
      <c r="SE188" s="31"/>
      <c r="SF188" s="31"/>
      <c r="SG188" s="31"/>
      <c r="SH188" s="31"/>
      <c r="SI188" s="31"/>
      <c r="SJ188" s="31"/>
      <c r="SK188" s="31"/>
      <c r="SL188" s="31"/>
      <c r="SM188" s="31"/>
      <c r="SN188" s="31"/>
      <c r="SO188" s="31"/>
      <c r="SP188" s="31"/>
      <c r="SQ188" s="31"/>
      <c r="SR188" s="31"/>
      <c r="SS188" s="31"/>
      <c r="ST188" s="31"/>
      <c r="SU188" s="31"/>
      <c r="SV188" s="31"/>
      <c r="SW188" s="31"/>
      <c r="SX188" s="31"/>
      <c r="SY188" s="31"/>
      <c r="SZ188" s="31"/>
      <c r="TA188" s="31"/>
      <c r="TB188" s="31"/>
      <c r="TC188" s="31"/>
      <c r="TD188" s="31"/>
      <c r="TE188" s="31"/>
      <c r="TF188" s="31"/>
      <c r="TG188" s="31"/>
      <c r="TH188" s="31"/>
      <c r="TI188" s="31"/>
      <c r="TJ188" s="31"/>
      <c r="TK188" s="31"/>
      <c r="TL188" s="31"/>
      <c r="TM188" s="31"/>
      <c r="TN188" s="31"/>
      <c r="TO188" s="31"/>
      <c r="TP188" s="31"/>
      <c r="TQ188" s="31"/>
      <c r="TR188" s="31"/>
      <c r="TS188" s="31"/>
      <c r="TT188" s="31"/>
      <c r="TU188" s="31"/>
      <c r="TV188" s="31"/>
      <c r="TW188" s="31"/>
      <c r="TX188" s="31"/>
      <c r="TY188" s="31"/>
      <c r="TZ188" s="31"/>
      <c r="UA188" s="31"/>
      <c r="UB188" s="31"/>
      <c r="UC188" s="31"/>
      <c r="UD188" s="31"/>
      <c r="UE188" s="31"/>
      <c r="UF188" s="31"/>
      <c r="UG188" s="31"/>
      <c r="UH188" s="31"/>
      <c r="UI188" s="31"/>
      <c r="UJ188" s="31"/>
      <c r="UK188" s="31"/>
      <c r="UL188" s="31"/>
      <c r="UM188" s="31"/>
      <c r="UN188" s="31"/>
      <c r="UO188" s="31"/>
      <c r="UP188" s="31"/>
      <c r="UQ188" s="31"/>
      <c r="UR188" s="31"/>
      <c r="US188" s="31"/>
      <c r="UT188" s="31"/>
      <c r="UU188" s="31"/>
      <c r="UV188" s="31"/>
      <c r="UW188" s="31"/>
      <c r="UX188" s="31"/>
      <c r="UY188" s="31"/>
      <c r="UZ188" s="31"/>
      <c r="VA188" s="31"/>
      <c r="VB188" s="31"/>
      <c r="VC188" s="31"/>
      <c r="VD188" s="31"/>
      <c r="VE188" s="31"/>
      <c r="VF188" s="31"/>
      <c r="VG188" s="31"/>
      <c r="VH188" s="31"/>
      <c r="VI188" s="31"/>
      <c r="VJ188" s="31"/>
      <c r="VK188" s="31"/>
      <c r="VL188" s="31"/>
      <c r="VM188" s="31"/>
      <c r="VN188" s="31"/>
      <c r="VO188" s="31"/>
      <c r="VP188" s="31"/>
      <c r="VQ188" s="31"/>
      <c r="VR188" s="31"/>
      <c r="VS188" s="31"/>
      <c r="VT188" s="31"/>
      <c r="VU188" s="31"/>
      <c r="VV188" s="31"/>
      <c r="VW188" s="31"/>
      <c r="VX188" s="31"/>
      <c r="VY188" s="31"/>
      <c r="VZ188" s="31"/>
      <c r="WA188" s="31"/>
      <c r="WB188" s="31"/>
      <c r="WC188" s="31"/>
      <c r="WD188" s="31"/>
      <c r="WE188" s="31"/>
      <c r="WF188" s="31"/>
      <c r="WG188" s="31"/>
      <c r="WH188" s="31"/>
      <c r="WI188" s="31"/>
      <c r="WJ188" s="31"/>
      <c r="WK188" s="31"/>
      <c r="WL188" s="31"/>
      <c r="WM188" s="31"/>
      <c r="WN188" s="31"/>
      <c r="WO188" s="31"/>
      <c r="WP188" s="31"/>
      <c r="WQ188" s="31"/>
      <c r="WR188" s="31"/>
      <c r="WS188" s="31"/>
      <c r="WT188" s="31"/>
      <c r="WU188" s="31"/>
      <c r="WV188" s="31"/>
      <c r="WW188" s="31"/>
      <c r="WX188" s="31"/>
      <c r="WY188" s="31"/>
      <c r="WZ188" s="31"/>
      <c r="XA188" s="31"/>
      <c r="XB188" s="31"/>
      <c r="XC188" s="31"/>
      <c r="XD188" s="31"/>
      <c r="XE188" s="31"/>
      <c r="XF188" s="31"/>
      <c r="XG188" s="31"/>
      <c r="XH188" s="31"/>
      <c r="XI188" s="31"/>
      <c r="XJ188" s="31"/>
      <c r="XK188" s="31"/>
      <c r="XL188" s="31"/>
      <c r="XM188" s="31"/>
      <c r="XN188" s="31"/>
      <c r="XO188" s="31"/>
      <c r="XP188" s="31"/>
      <c r="XQ188" s="31"/>
      <c r="XR188" s="31"/>
      <c r="XS188" s="31"/>
      <c r="XT188" s="31"/>
      <c r="XU188" s="31"/>
      <c r="XV188" s="31"/>
      <c r="XW188" s="31"/>
      <c r="XX188" s="31"/>
      <c r="XY188" s="31"/>
      <c r="XZ188" s="31"/>
      <c r="YA188" s="31"/>
      <c r="YB188" s="31"/>
      <c r="YC188" s="31"/>
      <c r="YD188" s="31"/>
      <c r="YE188" s="31"/>
      <c r="YF188" s="31"/>
      <c r="YG188" s="31"/>
      <c r="YH188" s="31"/>
      <c r="YI188" s="31"/>
      <c r="YJ188" s="31"/>
      <c r="YK188" s="31"/>
      <c r="YL188" s="31"/>
      <c r="YM188" s="31"/>
      <c r="YN188" s="31"/>
      <c r="YO188" s="31"/>
      <c r="YP188" s="31"/>
      <c r="YQ188" s="31"/>
      <c r="YR188" s="31"/>
      <c r="YS188" s="31"/>
      <c r="YT188" s="31"/>
      <c r="YU188" s="31"/>
      <c r="YV188" s="31"/>
      <c r="YW188" s="31"/>
      <c r="YX188" s="31"/>
      <c r="YY188" s="31"/>
      <c r="YZ188" s="31"/>
      <c r="ZA188" s="31"/>
      <c r="ZB188" s="31"/>
      <c r="ZC188" s="31"/>
      <c r="ZD188" s="31"/>
      <c r="ZE188" s="31"/>
      <c r="ZF188" s="31"/>
      <c r="ZG188" s="31"/>
      <c r="ZH188" s="31"/>
      <c r="ZI188" s="31"/>
      <c r="ZJ188" s="31"/>
      <c r="ZK188" s="31"/>
      <c r="ZL188" s="31"/>
      <c r="ZM188" s="31"/>
      <c r="ZN188" s="31"/>
      <c r="ZO188" s="31"/>
      <c r="ZP188" s="31"/>
      <c r="ZQ188" s="31"/>
      <c r="ZR188" s="31"/>
      <c r="ZS188" s="31"/>
      <c r="ZT188" s="31"/>
      <c r="ZU188" s="31"/>
      <c r="ZV188" s="31"/>
      <c r="ZW188" s="31"/>
      <c r="ZX188" s="31"/>
      <c r="ZY188" s="31"/>
      <c r="ZZ188" s="31"/>
      <c r="AAA188" s="31"/>
      <c r="AAB188" s="31"/>
      <c r="AAC188" s="31"/>
      <c r="AAD188" s="31"/>
      <c r="AAE188" s="31"/>
      <c r="AAF188" s="31"/>
      <c r="AAG188" s="31"/>
      <c r="AAH188" s="31"/>
      <c r="AAI188" s="31"/>
      <c r="AAJ188" s="31"/>
      <c r="AAK188" s="31"/>
      <c r="AAL188" s="31"/>
      <c r="AAM188" s="31"/>
      <c r="AAN188" s="31"/>
      <c r="AAO188" s="31"/>
      <c r="AAP188" s="31"/>
      <c r="AAQ188" s="31"/>
      <c r="AAR188" s="31"/>
      <c r="AAS188" s="31"/>
      <c r="AAT188" s="31"/>
      <c r="AAU188" s="31"/>
      <c r="AAV188" s="31"/>
      <c r="AAW188" s="31"/>
      <c r="AAX188" s="31"/>
      <c r="AAY188" s="31"/>
      <c r="AAZ188" s="31"/>
      <c r="ABA188" s="31"/>
      <c r="ABB188" s="31"/>
      <c r="ABC188" s="31"/>
      <c r="ABD188" s="31"/>
      <c r="ABE188" s="31"/>
      <c r="ABF188" s="31"/>
      <c r="ABG188" s="31"/>
      <c r="ABH188" s="31"/>
      <c r="ABI188" s="31"/>
      <c r="ABJ188" s="31"/>
      <c r="ABK188" s="31"/>
      <c r="ABL188" s="31"/>
      <c r="ABM188" s="31"/>
      <c r="ABN188" s="31"/>
      <c r="ABO188" s="31"/>
      <c r="ABP188" s="31"/>
      <c r="ABQ188" s="31"/>
      <c r="ABR188" s="31"/>
      <c r="ABS188" s="31"/>
      <c r="ABT188" s="31"/>
      <c r="ABU188" s="31"/>
      <c r="ABV188" s="31"/>
      <c r="ABW188" s="31"/>
      <c r="ABX188" s="31"/>
      <c r="ABY188" s="31"/>
      <c r="ABZ188" s="31"/>
      <c r="ACA188" s="31"/>
      <c r="ACB188" s="31"/>
      <c r="ACC188" s="31"/>
      <c r="ACD188" s="31"/>
      <c r="ACE188" s="31"/>
      <c r="ACF188" s="31"/>
      <c r="ACG188" s="31"/>
      <c r="ACH188" s="31"/>
      <c r="ACI188" s="31"/>
      <c r="ACJ188" s="31"/>
      <c r="ACK188" s="31"/>
      <c r="ACL188" s="31"/>
      <c r="ACM188" s="31"/>
      <c r="ACN188" s="31"/>
      <c r="ACO188" s="31"/>
      <c r="ACP188" s="31"/>
      <c r="ACQ188" s="31"/>
      <c r="ACR188" s="31"/>
      <c r="ACS188" s="31"/>
      <c r="ACT188" s="31"/>
      <c r="ACU188" s="31"/>
      <c r="ACV188" s="31"/>
      <c r="ACW188" s="31"/>
      <c r="ACX188" s="31"/>
      <c r="ACY188" s="31"/>
      <c r="ACZ188" s="31"/>
      <c r="ADA188" s="31"/>
      <c r="ADB188" s="31"/>
      <c r="ADC188" s="31"/>
      <c r="ADD188" s="31"/>
      <c r="ADE188" s="31"/>
      <c r="ADF188" s="31"/>
      <c r="ADG188" s="31"/>
      <c r="ADH188" s="31"/>
      <c r="ADI188" s="31"/>
      <c r="ADJ188" s="31"/>
      <c r="ADK188" s="31"/>
      <c r="ADL188" s="31"/>
      <c r="ADM188" s="31"/>
      <c r="ADN188" s="31"/>
      <c r="ADO188" s="31"/>
      <c r="ADP188" s="31"/>
      <c r="ADQ188" s="31"/>
      <c r="ADR188" s="31"/>
      <c r="ADS188" s="31"/>
      <c r="ADT188" s="31"/>
      <c r="ADU188" s="31"/>
      <c r="ADV188" s="31"/>
      <c r="ADW188" s="31"/>
      <c r="ADX188" s="31"/>
      <c r="ADY188" s="31"/>
      <c r="ADZ188" s="31"/>
      <c r="AEA188" s="31"/>
      <c r="AEB188" s="31"/>
      <c r="AEC188" s="31"/>
      <c r="AED188" s="31"/>
      <c r="AEE188" s="31"/>
      <c r="AEF188" s="31"/>
      <c r="AEG188" s="31"/>
      <c r="AEH188" s="31"/>
      <c r="AEI188" s="31"/>
      <c r="AEJ188" s="31"/>
      <c r="AEK188" s="31"/>
      <c r="AEL188" s="31"/>
      <c r="AEM188" s="31"/>
      <c r="AEN188" s="31"/>
      <c r="AEO188" s="31"/>
      <c r="AEP188" s="31"/>
      <c r="AEQ188" s="31"/>
      <c r="AER188" s="31"/>
      <c r="AES188" s="31"/>
      <c r="AET188" s="31"/>
      <c r="AEU188" s="31"/>
      <c r="AEV188" s="31"/>
      <c r="AEW188" s="31"/>
      <c r="AEX188" s="31"/>
      <c r="AEY188" s="31"/>
      <c r="AEZ188" s="31"/>
      <c r="AFA188" s="31"/>
      <c r="AFB188" s="31"/>
      <c r="AFC188" s="31"/>
      <c r="AFD188" s="31"/>
      <c r="AFE188" s="31"/>
      <c r="AFF188" s="31"/>
      <c r="AFG188" s="31"/>
      <c r="AFH188" s="31"/>
      <c r="AFI188" s="31"/>
      <c r="AFJ188" s="31"/>
      <c r="AFK188" s="31"/>
      <c r="AFL188" s="31"/>
      <c r="AFM188" s="31"/>
      <c r="AFN188" s="31"/>
      <c r="AFO188" s="31"/>
      <c r="AFP188" s="31"/>
      <c r="AFQ188" s="31"/>
      <c r="AFR188" s="31"/>
      <c r="AFS188" s="31"/>
      <c r="AFT188" s="31"/>
      <c r="AFU188" s="31"/>
      <c r="AFV188" s="31"/>
      <c r="AFW188" s="31"/>
      <c r="AFX188" s="31"/>
      <c r="AFY188" s="31"/>
      <c r="AFZ188" s="31"/>
      <c r="AGA188" s="31"/>
      <c r="AGB188" s="31"/>
      <c r="AGC188" s="31"/>
      <c r="AGD188" s="31"/>
      <c r="AGE188" s="31"/>
      <c r="AGF188" s="31"/>
      <c r="AGG188" s="31"/>
      <c r="AGH188" s="31"/>
      <c r="AGI188" s="31"/>
      <c r="AGJ188" s="31"/>
      <c r="AGK188" s="31"/>
      <c r="AGL188" s="31"/>
      <c r="AGM188" s="31"/>
      <c r="AGN188" s="31"/>
      <c r="AGO188" s="31"/>
      <c r="AGP188" s="31"/>
      <c r="AGQ188" s="31"/>
      <c r="AGR188" s="31"/>
      <c r="AGS188" s="31"/>
      <c r="AGT188" s="31"/>
      <c r="AGU188" s="31"/>
      <c r="AGV188" s="31"/>
      <c r="AGW188" s="31"/>
      <c r="AGX188" s="31"/>
      <c r="AGY188" s="31"/>
      <c r="AGZ188" s="31"/>
      <c r="AHA188" s="31"/>
      <c r="AHB188" s="31"/>
      <c r="AHC188" s="31"/>
      <c r="AHD188" s="31"/>
      <c r="AHE188" s="31"/>
      <c r="AHF188" s="31"/>
      <c r="AHG188" s="31"/>
      <c r="AHH188" s="31"/>
      <c r="AHI188" s="31"/>
      <c r="AHJ188" s="31"/>
      <c r="AHK188" s="31"/>
      <c r="AHL188" s="31"/>
      <c r="AHM188" s="31"/>
      <c r="AHN188" s="31"/>
      <c r="AHO188" s="31"/>
      <c r="AHP188" s="31"/>
      <c r="AHQ188" s="31"/>
      <c r="AHR188" s="31"/>
      <c r="AHS188" s="31"/>
      <c r="AHT188" s="31"/>
      <c r="AHU188" s="31"/>
      <c r="AHV188" s="31"/>
      <c r="AHW188" s="31"/>
      <c r="AHX188" s="31"/>
      <c r="AHY188" s="31"/>
      <c r="AHZ188" s="31"/>
      <c r="AIA188" s="31"/>
      <c r="AIB188" s="31"/>
      <c r="AIC188" s="31"/>
      <c r="AID188" s="31"/>
      <c r="AIE188" s="31"/>
      <c r="AIF188" s="31"/>
      <c r="AIG188" s="31"/>
      <c r="AIH188" s="31"/>
      <c r="AII188" s="31"/>
      <c r="AIJ188" s="31"/>
      <c r="AIK188" s="31"/>
      <c r="AIL188" s="31"/>
      <c r="AIM188" s="31"/>
      <c r="AIN188" s="31"/>
      <c r="AIO188" s="31"/>
      <c r="AIP188" s="31"/>
      <c r="AIQ188" s="31"/>
      <c r="AIR188" s="31"/>
      <c r="AIS188" s="31"/>
      <c r="AIT188" s="31"/>
      <c r="AIU188" s="31"/>
      <c r="AIV188" s="31"/>
      <c r="AIW188" s="31"/>
      <c r="AIX188" s="31"/>
      <c r="AIY188" s="31"/>
      <c r="AIZ188" s="31"/>
      <c r="AJA188" s="31"/>
      <c r="AJB188" s="31"/>
      <c r="AJC188" s="31"/>
      <c r="AJD188" s="31"/>
      <c r="AJE188" s="31"/>
      <c r="AJF188" s="31"/>
      <c r="AJG188" s="31"/>
      <c r="AJH188" s="31"/>
      <c r="AJI188" s="31"/>
      <c r="AJJ188" s="31"/>
      <c r="AJK188" s="31"/>
      <c r="AJL188" s="31"/>
      <c r="AJM188" s="31"/>
      <c r="AJN188" s="31"/>
      <c r="AJO188" s="31"/>
      <c r="AJP188" s="31"/>
      <c r="AJQ188" s="31"/>
      <c r="AJR188" s="31"/>
      <c r="AJS188" s="31"/>
      <c r="AJT188" s="31"/>
      <c r="AJU188" s="31"/>
      <c r="AJV188" s="31"/>
      <c r="AJW188" s="31"/>
      <c r="AJX188" s="31"/>
      <c r="AJY188" s="31"/>
      <c r="AJZ188" s="31"/>
      <c r="AKA188" s="31"/>
      <c r="AKB188" s="31"/>
      <c r="AKC188" s="31"/>
      <c r="AKD188" s="31"/>
      <c r="AKE188" s="31"/>
      <c r="AKF188" s="31"/>
      <c r="AKG188" s="31"/>
      <c r="AKH188" s="31"/>
      <c r="AKI188" s="31"/>
      <c r="AKJ188" s="31"/>
      <c r="AKK188" s="31"/>
      <c r="AKL188" s="31"/>
      <c r="AKM188" s="31"/>
      <c r="AKN188" s="31"/>
      <c r="AKO188" s="31"/>
      <c r="AKP188" s="31"/>
      <c r="AKQ188" s="31"/>
      <c r="AKR188" s="31"/>
      <c r="AKS188" s="31"/>
      <c r="AKT188" s="31"/>
      <c r="AKU188" s="31"/>
      <c r="AKV188" s="31"/>
      <c r="AKW188" s="31"/>
      <c r="AKX188" s="31"/>
      <c r="AKY188" s="31"/>
      <c r="AKZ188" s="31"/>
      <c r="ALA188" s="31"/>
      <c r="ALB188" s="31"/>
      <c r="ALC188" s="31"/>
      <c r="ALD188" s="31"/>
      <c r="ALE188" s="31"/>
      <c r="ALF188" s="31"/>
      <c r="ALG188" s="31"/>
      <c r="ALH188" s="31"/>
      <c r="ALI188" s="31"/>
      <c r="ALJ188" s="31"/>
      <c r="ALK188" s="31"/>
      <c r="ALL188" s="31"/>
      <c r="ALM188" s="31"/>
      <c r="ALN188" s="31"/>
      <c r="ALO188" s="31"/>
      <c r="ALP188" s="31"/>
      <c r="ALQ188" s="31"/>
      <c r="ALR188" s="31"/>
      <c r="ALS188" s="31"/>
      <c r="ALT188" s="31"/>
      <c r="ALU188" s="31"/>
      <c r="ALV188" s="31"/>
      <c r="ALW188" s="31"/>
      <c r="ALX188" s="31"/>
      <c r="ALY188" s="31"/>
      <c r="ALZ188" s="31"/>
      <c r="AMA188" s="31"/>
      <c r="AMB188" s="31"/>
      <c r="AMC188" s="31"/>
      <c r="AMD188" s="31"/>
      <c r="AME188" s="31"/>
      <c r="AMF188" s="31"/>
      <c r="AMG188" s="31"/>
      <c r="AMH188" s="31"/>
      <c r="AMI188" s="31"/>
      <c r="AMJ188" s="31"/>
      <c r="AMK188" s="31"/>
      <c r="AML188" s="31"/>
      <c r="AMM188" s="31"/>
      <c r="AMN188" s="31"/>
      <c r="AMO188" s="31"/>
      <c r="AMP188" s="31"/>
      <c r="AMQ188" s="31"/>
      <c r="AMR188" s="31"/>
      <c r="AMS188" s="31"/>
      <c r="AMT188" s="31"/>
      <c r="AMU188" s="31"/>
      <c r="AMV188" s="31"/>
      <c r="AMW188" s="31"/>
      <c r="AMX188" s="31"/>
      <c r="AMY188" s="31"/>
      <c r="AMZ188" s="31"/>
      <c r="ANA188" s="31"/>
      <c r="ANB188" s="31"/>
      <c r="ANC188" s="31"/>
      <c r="AND188" s="31"/>
      <c r="ANE188" s="31"/>
      <c r="ANF188" s="31"/>
      <c r="ANG188" s="31"/>
      <c r="ANH188" s="31"/>
      <c r="ANI188" s="31"/>
      <c r="ANJ188" s="31"/>
      <c r="ANK188" s="31"/>
      <c r="ANL188" s="31"/>
      <c r="ANM188" s="31"/>
      <c r="ANN188" s="31"/>
      <c r="ANO188" s="31"/>
      <c r="ANP188" s="31"/>
      <c r="ANQ188" s="31"/>
      <c r="ANR188" s="31"/>
      <c r="ANS188" s="31"/>
      <c r="ANT188" s="31"/>
      <c r="ANU188" s="31"/>
      <c r="ANV188" s="31"/>
      <c r="ANW188" s="31"/>
      <c r="ANX188" s="31"/>
      <c r="ANY188" s="31"/>
      <c r="ANZ188" s="31"/>
      <c r="AOA188" s="31"/>
      <c r="AOB188" s="31"/>
      <c r="AOC188" s="31"/>
      <c r="AOD188" s="31"/>
      <c r="AOE188" s="31"/>
      <c r="AOF188" s="31"/>
      <c r="AOG188" s="31"/>
      <c r="AOH188" s="31"/>
      <c r="AOI188" s="31"/>
      <c r="AOJ188" s="31"/>
      <c r="AOK188" s="31"/>
      <c r="AOL188" s="31"/>
      <c r="AOM188" s="31"/>
      <c r="AON188" s="31"/>
      <c r="AOO188" s="31"/>
      <c r="AOP188" s="31"/>
      <c r="AOQ188" s="31"/>
      <c r="AOR188" s="31"/>
      <c r="AOS188" s="31"/>
      <c r="AOT188" s="31"/>
      <c r="AOU188" s="31"/>
      <c r="AOV188" s="31"/>
      <c r="AOW188" s="31"/>
      <c r="AOX188" s="31"/>
      <c r="AOY188" s="31"/>
      <c r="AOZ188" s="31"/>
      <c r="APA188" s="31"/>
      <c r="APB188" s="31"/>
      <c r="APC188" s="31"/>
      <c r="APD188" s="31"/>
      <c r="APE188" s="31"/>
      <c r="APF188" s="31"/>
      <c r="APG188" s="31"/>
      <c r="APH188" s="31"/>
      <c r="API188" s="31"/>
      <c r="APJ188" s="31"/>
      <c r="APK188" s="31"/>
      <c r="APL188" s="31"/>
      <c r="APM188" s="31"/>
      <c r="APN188" s="31"/>
      <c r="APO188" s="31"/>
      <c r="APP188" s="31"/>
      <c r="APQ188" s="31"/>
      <c r="APR188" s="31"/>
      <c r="APS188" s="31"/>
      <c r="APT188" s="31"/>
      <c r="APU188" s="31"/>
      <c r="APV188" s="31"/>
      <c r="APW188" s="31"/>
      <c r="APX188" s="31"/>
      <c r="APY188" s="31"/>
      <c r="APZ188" s="31"/>
      <c r="AQA188" s="31"/>
      <c r="AQB188" s="31"/>
      <c r="AQC188" s="31"/>
      <c r="AQD188" s="31"/>
      <c r="AQE188" s="31"/>
      <c r="AQF188" s="31"/>
      <c r="AQG188" s="31"/>
      <c r="AQH188" s="31"/>
      <c r="AQI188" s="31"/>
      <c r="AQJ188" s="31"/>
      <c r="AQK188" s="31"/>
      <c r="AQL188" s="31"/>
      <c r="AQM188" s="31"/>
      <c r="AQN188" s="31"/>
      <c r="AQO188" s="31"/>
      <c r="AQP188" s="31"/>
      <c r="AQQ188" s="31"/>
      <c r="AQR188" s="31"/>
      <c r="AQS188" s="31"/>
      <c r="AQT188" s="31"/>
      <c r="AQU188" s="31"/>
      <c r="AQV188" s="31"/>
      <c r="AQW188" s="31"/>
      <c r="AQX188" s="31"/>
      <c r="AQY188" s="31"/>
      <c r="AQZ188" s="31"/>
      <c r="ARA188" s="31"/>
      <c r="ARB188" s="31"/>
      <c r="ARC188" s="31"/>
      <c r="ARD188" s="31"/>
      <c r="ARE188" s="31"/>
      <c r="ARF188" s="31"/>
      <c r="ARG188" s="31"/>
      <c r="ARH188" s="31"/>
      <c r="ARI188" s="31"/>
      <c r="ARJ188" s="31"/>
      <c r="ARK188" s="31"/>
      <c r="ARL188" s="31"/>
      <c r="ARM188" s="31"/>
      <c r="ARN188" s="31"/>
      <c r="ARO188" s="31"/>
      <c r="ARP188" s="31"/>
      <c r="ARQ188" s="31"/>
      <c r="ARR188" s="31"/>
      <c r="ARS188" s="31"/>
      <c r="ART188" s="31"/>
      <c r="ARU188" s="31"/>
      <c r="ARV188" s="31"/>
      <c r="ARW188" s="31"/>
      <c r="ARX188" s="31"/>
      <c r="ARY188" s="31"/>
      <c r="ARZ188" s="31"/>
      <c r="ASA188" s="31"/>
      <c r="ASB188" s="31"/>
      <c r="ASC188" s="31"/>
      <c r="ASD188" s="31"/>
      <c r="ASE188" s="31"/>
      <c r="ASF188" s="31"/>
      <c r="ASG188" s="31"/>
      <c r="ASH188" s="31"/>
      <c r="ASI188" s="31"/>
      <c r="ASJ188" s="31"/>
      <c r="ASK188" s="31"/>
      <c r="ASL188" s="31"/>
      <c r="ASM188" s="31"/>
      <c r="ASN188" s="31"/>
      <c r="ASO188" s="31"/>
      <c r="ASP188" s="31"/>
      <c r="ASQ188" s="31"/>
      <c r="ASR188" s="31"/>
      <c r="ASS188" s="31"/>
      <c r="AST188" s="31"/>
      <c r="ASU188" s="31"/>
      <c r="ASV188" s="31"/>
      <c r="ASW188" s="31"/>
      <c r="ASX188" s="31"/>
      <c r="ASY188" s="31"/>
      <c r="ASZ188" s="31"/>
      <c r="ATA188" s="31"/>
      <c r="ATB188" s="31"/>
      <c r="ATC188" s="31"/>
      <c r="ATD188" s="31"/>
      <c r="ATE188" s="31"/>
    </row>
    <row r="189" spans="1:1201" s="34" customFormat="1" ht="15.75" customHeight="1" x14ac:dyDescent="0.3">
      <c r="A189" s="76"/>
      <c r="B189" s="76"/>
      <c r="C189" s="84" t="s">
        <v>255</v>
      </c>
      <c r="D189" s="63"/>
      <c r="E189" s="63"/>
      <c r="F189" s="63"/>
      <c r="G189" s="144"/>
      <c r="H189" s="647"/>
      <c r="I189" s="649"/>
      <c r="J189" s="649"/>
      <c r="K189" s="649"/>
      <c r="L189" s="649"/>
      <c r="M189" s="649"/>
      <c r="N189" s="649"/>
      <c r="O189" s="649"/>
      <c r="P189" s="649"/>
      <c r="Q189" s="649"/>
      <c r="R189" s="649"/>
      <c r="S189" s="924"/>
      <c r="T189" s="924"/>
      <c r="U189" s="924"/>
      <c r="V189" s="924"/>
      <c r="W189" s="924"/>
      <c r="X189" s="924"/>
      <c r="Y189" s="924"/>
      <c r="Z189" s="1076"/>
      <c r="AA189" s="1076"/>
      <c r="AB189" s="1076"/>
      <c r="AC189" s="1076"/>
      <c r="AD189" s="1076"/>
      <c r="AE189" s="1076"/>
      <c r="AF189" s="1076"/>
      <c r="AG189" s="1076"/>
      <c r="AH189" s="1076"/>
      <c r="AI189" s="1076"/>
      <c r="AJ189" s="1076"/>
      <c r="AK189" s="1076"/>
      <c r="AL189" s="1076"/>
      <c r="AM189" s="1076"/>
      <c r="AN189" s="1076"/>
      <c r="AO189" s="1076"/>
      <c r="AP189" s="649"/>
      <c r="AQ189" s="649"/>
      <c r="AR189" s="618"/>
      <c r="AS189" s="649"/>
      <c r="AT189" s="649"/>
      <c r="AU189" s="649"/>
      <c r="AV189" s="649"/>
      <c r="AW189" s="649"/>
      <c r="AX189" s="649"/>
      <c r="AY189" s="649"/>
      <c r="AZ189" s="649"/>
      <c r="BA189" s="649"/>
      <c r="BB189" s="649"/>
      <c r="BC189" s="649"/>
      <c r="BE189" s="1195"/>
      <c r="BF189" s="924"/>
      <c r="BG189" s="1195"/>
      <c r="BH189" s="31"/>
      <c r="BI189" s="31"/>
      <c r="BJ189" s="31"/>
      <c r="BK189" s="31"/>
      <c r="BL189" s="31"/>
      <c r="BM189" s="31"/>
      <c r="BN189" s="31"/>
      <c r="BO189" s="31"/>
      <c r="BP189" s="31"/>
      <c r="BQ189" s="31"/>
      <c r="BR189" s="31"/>
      <c r="BS189" s="31"/>
      <c r="BT189" s="31"/>
      <c r="BU189" s="31"/>
      <c r="BV189" s="31"/>
      <c r="BW189" s="31"/>
      <c r="BX189" s="31"/>
      <c r="BY189" s="31"/>
      <c r="BZ189" s="31"/>
      <c r="CA189" s="31"/>
      <c r="CB189" s="31"/>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c r="EX189" s="31"/>
      <c r="EY189" s="31"/>
      <c r="EZ189" s="31"/>
      <c r="FA189" s="31"/>
      <c r="FB189" s="31"/>
      <c r="FC189" s="31"/>
      <c r="FD189" s="31"/>
      <c r="FE189" s="31"/>
      <c r="FF189" s="31"/>
      <c r="FG189" s="31"/>
      <c r="FH189" s="31"/>
      <c r="FI189" s="31"/>
      <c r="FJ189" s="31"/>
      <c r="FK189" s="31"/>
      <c r="FL189" s="31"/>
      <c r="FM189" s="31"/>
      <c r="FN189" s="31"/>
      <c r="FO189" s="31"/>
      <c r="FP189" s="31"/>
      <c r="FQ189" s="31"/>
      <c r="FR189" s="31"/>
      <c r="FS189" s="31"/>
      <c r="FT189" s="31"/>
      <c r="FU189" s="31"/>
      <c r="FV189" s="31"/>
      <c r="FW189" s="31"/>
      <c r="FX189" s="31"/>
      <c r="FY189" s="31"/>
      <c r="FZ189" s="31"/>
      <c r="GA189" s="31"/>
      <c r="GB189" s="31"/>
      <c r="GC189" s="31"/>
      <c r="GD189" s="31"/>
      <c r="GE189" s="31"/>
      <c r="GF189" s="31"/>
      <c r="GG189" s="31"/>
      <c r="GH189" s="31"/>
      <c r="GI189" s="31"/>
      <c r="GJ189" s="31"/>
      <c r="GK189" s="31"/>
      <c r="GL189" s="31"/>
      <c r="GM189" s="31"/>
      <c r="GN189" s="31"/>
      <c r="GO189" s="31"/>
      <c r="GP189" s="31"/>
      <c r="GQ189" s="31"/>
      <c r="GR189" s="31"/>
      <c r="GS189" s="31"/>
      <c r="GT189" s="31"/>
      <c r="GU189" s="31"/>
      <c r="GV189" s="31"/>
      <c r="GW189" s="31"/>
      <c r="GX189" s="31"/>
      <c r="GY189" s="31"/>
      <c r="GZ189" s="31"/>
      <c r="HA189" s="31"/>
      <c r="HB189" s="31"/>
      <c r="HC189" s="31"/>
      <c r="HD189" s="31"/>
      <c r="HE189" s="31"/>
      <c r="HF189" s="31"/>
      <c r="HG189" s="31"/>
      <c r="HH189" s="31"/>
      <c r="HI189" s="31"/>
      <c r="HJ189" s="31"/>
      <c r="HK189" s="31"/>
      <c r="HL189" s="31"/>
      <c r="HM189" s="31"/>
      <c r="HN189" s="31"/>
      <c r="HO189" s="31"/>
      <c r="HP189" s="31"/>
      <c r="HQ189" s="31"/>
      <c r="HR189" s="31"/>
      <c r="HS189" s="31"/>
      <c r="HT189" s="31"/>
      <c r="HU189" s="31"/>
      <c r="HV189" s="31"/>
      <c r="HW189" s="31"/>
      <c r="HX189" s="31"/>
      <c r="HY189" s="31"/>
      <c r="HZ189" s="31"/>
      <c r="IA189" s="31"/>
      <c r="IB189" s="31"/>
      <c r="IC189" s="31"/>
      <c r="ID189" s="31"/>
      <c r="IE189" s="31"/>
      <c r="IF189" s="31"/>
      <c r="IG189" s="31"/>
      <c r="IH189" s="31"/>
      <c r="II189" s="31"/>
      <c r="IJ189" s="31"/>
      <c r="IK189" s="31"/>
      <c r="IL189" s="31"/>
      <c r="IM189" s="31"/>
      <c r="IN189" s="31"/>
      <c r="IO189" s="31"/>
      <c r="IP189" s="31"/>
      <c r="IQ189" s="31"/>
      <c r="IR189" s="31"/>
      <c r="IS189" s="31"/>
      <c r="IT189" s="31"/>
      <c r="IU189" s="31"/>
      <c r="IV189" s="31"/>
      <c r="IW189" s="31"/>
      <c r="IX189" s="31"/>
      <c r="IY189" s="31"/>
      <c r="IZ189" s="31"/>
      <c r="JA189" s="31"/>
      <c r="JB189" s="31"/>
      <c r="JC189" s="31"/>
      <c r="JD189" s="31"/>
      <c r="JE189" s="31"/>
      <c r="JF189" s="31"/>
      <c r="JG189" s="31"/>
      <c r="JH189" s="31"/>
      <c r="JI189" s="31"/>
      <c r="JJ189" s="31"/>
      <c r="JK189" s="31"/>
      <c r="JL189" s="31"/>
      <c r="JM189" s="31"/>
      <c r="JN189" s="31"/>
      <c r="JO189" s="31"/>
      <c r="JP189" s="31"/>
      <c r="JQ189" s="31"/>
      <c r="JR189" s="31"/>
      <c r="JS189" s="31"/>
      <c r="JT189" s="31"/>
      <c r="JU189" s="31"/>
      <c r="JV189" s="31"/>
      <c r="JW189" s="31"/>
      <c r="JX189" s="31"/>
      <c r="JY189" s="31"/>
      <c r="JZ189" s="31"/>
      <c r="KA189" s="31"/>
      <c r="KB189" s="31"/>
      <c r="KC189" s="31"/>
      <c r="KD189" s="31"/>
      <c r="KE189" s="31"/>
      <c r="KF189" s="31"/>
      <c r="KG189" s="31"/>
      <c r="KH189" s="31"/>
      <c r="KI189" s="31"/>
      <c r="KJ189" s="31"/>
      <c r="KK189" s="31"/>
      <c r="KL189" s="31"/>
      <c r="KM189" s="31"/>
      <c r="KN189" s="31"/>
      <c r="KO189" s="31"/>
      <c r="KP189" s="31"/>
      <c r="KQ189" s="31"/>
      <c r="KR189" s="31"/>
      <c r="KS189" s="31"/>
      <c r="KT189" s="31"/>
      <c r="KU189" s="31"/>
      <c r="KV189" s="31"/>
      <c r="KW189" s="31"/>
      <c r="KX189" s="31"/>
      <c r="KY189" s="31"/>
      <c r="KZ189" s="31"/>
      <c r="LA189" s="31"/>
      <c r="LB189" s="31"/>
      <c r="LC189" s="31"/>
      <c r="LD189" s="31"/>
      <c r="LE189" s="31"/>
      <c r="LF189" s="31"/>
      <c r="LG189" s="31"/>
      <c r="LH189" s="31"/>
      <c r="LI189" s="31"/>
      <c r="LJ189" s="31"/>
      <c r="LK189" s="31"/>
      <c r="LL189" s="31"/>
      <c r="LM189" s="31"/>
      <c r="LN189" s="31"/>
      <c r="LO189" s="31"/>
      <c r="LP189" s="31"/>
      <c r="LQ189" s="31"/>
      <c r="LR189" s="31"/>
      <c r="LS189" s="31"/>
      <c r="LT189" s="31"/>
      <c r="LU189" s="31"/>
      <c r="LV189" s="31"/>
      <c r="LW189" s="31"/>
      <c r="LX189" s="31"/>
      <c r="LY189" s="31"/>
      <c r="LZ189" s="31"/>
      <c r="MA189" s="31"/>
      <c r="MB189" s="31"/>
      <c r="MC189" s="31"/>
      <c r="MD189" s="31"/>
      <c r="ME189" s="31"/>
      <c r="MF189" s="31"/>
      <c r="MG189" s="31"/>
      <c r="MH189" s="31"/>
      <c r="MI189" s="31"/>
      <c r="MJ189" s="31"/>
      <c r="MK189" s="31"/>
      <c r="ML189" s="31"/>
      <c r="MM189" s="31"/>
      <c r="MN189" s="31"/>
      <c r="MO189" s="31"/>
      <c r="MP189" s="31"/>
      <c r="MQ189" s="31"/>
      <c r="MR189" s="31"/>
      <c r="MS189" s="31"/>
      <c r="MT189" s="31"/>
      <c r="MU189" s="31"/>
      <c r="MV189" s="31"/>
      <c r="MW189" s="31"/>
      <c r="MX189" s="31"/>
      <c r="MY189" s="31"/>
      <c r="MZ189" s="31"/>
      <c r="NA189" s="31"/>
      <c r="NB189" s="31"/>
      <c r="NC189" s="31"/>
      <c r="ND189" s="31"/>
      <c r="NE189" s="31"/>
      <c r="NF189" s="31"/>
      <c r="NG189" s="31"/>
      <c r="NH189" s="31"/>
      <c r="NI189" s="31"/>
      <c r="NJ189" s="31"/>
      <c r="NK189" s="31"/>
      <c r="NL189" s="31"/>
      <c r="NM189" s="31"/>
      <c r="NN189" s="31"/>
      <c r="NO189" s="31"/>
      <c r="NP189" s="31"/>
      <c r="NQ189" s="31"/>
      <c r="NR189" s="31"/>
      <c r="NS189" s="31"/>
      <c r="NT189" s="31"/>
      <c r="NU189" s="31"/>
      <c r="NV189" s="31"/>
      <c r="NW189" s="31"/>
      <c r="NX189" s="31"/>
      <c r="NY189" s="31"/>
      <c r="NZ189" s="31"/>
      <c r="OA189" s="31"/>
      <c r="OB189" s="31"/>
      <c r="OC189" s="31"/>
      <c r="OD189" s="31"/>
      <c r="OE189" s="31"/>
      <c r="OF189" s="31"/>
      <c r="OG189" s="31"/>
      <c r="OH189" s="31"/>
      <c r="OI189" s="31"/>
      <c r="OJ189" s="31"/>
      <c r="OK189" s="31"/>
      <c r="OL189" s="31"/>
      <c r="OM189" s="31"/>
      <c r="ON189" s="31"/>
      <c r="OO189" s="31"/>
      <c r="OP189" s="31"/>
      <c r="OQ189" s="31"/>
      <c r="OR189" s="31"/>
      <c r="OS189" s="31"/>
      <c r="OT189" s="31"/>
      <c r="OU189" s="31"/>
      <c r="OV189" s="31"/>
      <c r="OW189" s="31"/>
      <c r="OX189" s="31"/>
      <c r="OY189" s="31"/>
      <c r="OZ189" s="31"/>
      <c r="PA189" s="31"/>
      <c r="PB189" s="31"/>
      <c r="PC189" s="31"/>
      <c r="PD189" s="31"/>
      <c r="PE189" s="31"/>
      <c r="PF189" s="31"/>
      <c r="PG189" s="31"/>
      <c r="PH189" s="31"/>
      <c r="PI189" s="31"/>
      <c r="PJ189" s="31"/>
      <c r="PK189" s="31"/>
      <c r="PL189" s="31"/>
      <c r="PM189" s="31"/>
      <c r="PN189" s="31"/>
      <c r="PO189" s="31"/>
      <c r="PP189" s="31"/>
      <c r="PQ189" s="31"/>
      <c r="PR189" s="31"/>
      <c r="PS189" s="31"/>
      <c r="PT189" s="31"/>
      <c r="PU189" s="31"/>
      <c r="PV189" s="31"/>
      <c r="PW189" s="31"/>
      <c r="PX189" s="31"/>
      <c r="PY189" s="31"/>
      <c r="PZ189" s="31"/>
      <c r="QA189" s="31"/>
      <c r="QB189" s="31"/>
      <c r="QC189" s="31"/>
      <c r="QD189" s="31"/>
      <c r="QE189" s="31"/>
      <c r="QF189" s="31"/>
      <c r="QG189" s="31"/>
      <c r="QH189" s="31"/>
      <c r="QI189" s="31"/>
      <c r="QJ189" s="31"/>
      <c r="QK189" s="31"/>
      <c r="QL189" s="31"/>
      <c r="QM189" s="31"/>
      <c r="QN189" s="31"/>
      <c r="QO189" s="31"/>
      <c r="QP189" s="31"/>
      <c r="QQ189" s="31"/>
      <c r="QR189" s="31"/>
      <c r="QS189" s="31"/>
      <c r="QT189" s="31"/>
      <c r="QU189" s="31"/>
      <c r="QV189" s="31"/>
      <c r="QW189" s="31"/>
      <c r="QX189" s="31"/>
      <c r="QY189" s="31"/>
      <c r="QZ189" s="31"/>
      <c r="RA189" s="31"/>
      <c r="RB189" s="31"/>
      <c r="RC189" s="31"/>
      <c r="RD189" s="31"/>
      <c r="RE189" s="31"/>
      <c r="RF189" s="31"/>
      <c r="RG189" s="31"/>
      <c r="RH189" s="31"/>
      <c r="RI189" s="31"/>
      <c r="RJ189" s="31"/>
      <c r="RK189" s="31"/>
      <c r="RL189" s="31"/>
      <c r="RM189" s="31"/>
      <c r="RN189" s="31"/>
      <c r="RO189" s="31"/>
      <c r="RP189" s="31"/>
      <c r="RQ189" s="31"/>
      <c r="RR189" s="31"/>
      <c r="RS189" s="31"/>
      <c r="RT189" s="31"/>
      <c r="RU189" s="31"/>
      <c r="RV189" s="31"/>
      <c r="RW189" s="31"/>
      <c r="RX189" s="31"/>
      <c r="RY189" s="31"/>
      <c r="RZ189" s="31"/>
      <c r="SA189" s="31"/>
      <c r="SB189" s="31"/>
      <c r="SC189" s="31"/>
      <c r="SD189" s="31"/>
      <c r="SE189" s="31"/>
      <c r="SF189" s="31"/>
      <c r="SG189" s="31"/>
      <c r="SH189" s="31"/>
      <c r="SI189" s="31"/>
      <c r="SJ189" s="31"/>
      <c r="SK189" s="31"/>
      <c r="SL189" s="31"/>
      <c r="SM189" s="31"/>
      <c r="SN189" s="31"/>
      <c r="SO189" s="31"/>
      <c r="SP189" s="31"/>
      <c r="SQ189" s="31"/>
      <c r="SR189" s="31"/>
      <c r="SS189" s="31"/>
      <c r="ST189" s="31"/>
      <c r="SU189" s="31"/>
      <c r="SV189" s="31"/>
      <c r="SW189" s="31"/>
      <c r="SX189" s="31"/>
      <c r="SY189" s="31"/>
      <c r="SZ189" s="31"/>
      <c r="TA189" s="31"/>
      <c r="TB189" s="31"/>
      <c r="TC189" s="31"/>
      <c r="TD189" s="31"/>
      <c r="TE189" s="31"/>
      <c r="TF189" s="31"/>
      <c r="TG189" s="31"/>
      <c r="TH189" s="31"/>
      <c r="TI189" s="31"/>
      <c r="TJ189" s="31"/>
      <c r="TK189" s="31"/>
      <c r="TL189" s="31"/>
      <c r="TM189" s="31"/>
      <c r="TN189" s="31"/>
      <c r="TO189" s="31"/>
      <c r="TP189" s="31"/>
      <c r="TQ189" s="31"/>
      <c r="TR189" s="31"/>
      <c r="TS189" s="31"/>
      <c r="TT189" s="31"/>
      <c r="TU189" s="31"/>
      <c r="TV189" s="31"/>
      <c r="TW189" s="31"/>
      <c r="TX189" s="31"/>
      <c r="TY189" s="31"/>
      <c r="TZ189" s="31"/>
      <c r="UA189" s="31"/>
      <c r="UB189" s="31"/>
      <c r="UC189" s="31"/>
      <c r="UD189" s="31"/>
      <c r="UE189" s="31"/>
      <c r="UF189" s="31"/>
      <c r="UG189" s="31"/>
      <c r="UH189" s="31"/>
      <c r="UI189" s="31"/>
      <c r="UJ189" s="31"/>
      <c r="UK189" s="31"/>
      <c r="UL189" s="31"/>
      <c r="UM189" s="31"/>
      <c r="UN189" s="31"/>
      <c r="UO189" s="31"/>
      <c r="UP189" s="31"/>
      <c r="UQ189" s="31"/>
      <c r="UR189" s="31"/>
      <c r="US189" s="31"/>
      <c r="UT189" s="31"/>
      <c r="UU189" s="31"/>
      <c r="UV189" s="31"/>
      <c r="UW189" s="31"/>
      <c r="UX189" s="31"/>
      <c r="UY189" s="31"/>
      <c r="UZ189" s="31"/>
      <c r="VA189" s="31"/>
      <c r="VB189" s="31"/>
      <c r="VC189" s="31"/>
      <c r="VD189" s="31"/>
      <c r="VE189" s="31"/>
      <c r="VF189" s="31"/>
      <c r="VG189" s="31"/>
      <c r="VH189" s="31"/>
      <c r="VI189" s="31"/>
      <c r="VJ189" s="31"/>
      <c r="VK189" s="31"/>
      <c r="VL189" s="31"/>
      <c r="VM189" s="31"/>
      <c r="VN189" s="31"/>
      <c r="VO189" s="31"/>
      <c r="VP189" s="31"/>
      <c r="VQ189" s="31"/>
      <c r="VR189" s="31"/>
      <c r="VS189" s="31"/>
      <c r="VT189" s="31"/>
      <c r="VU189" s="31"/>
      <c r="VV189" s="31"/>
      <c r="VW189" s="31"/>
      <c r="VX189" s="31"/>
      <c r="VY189" s="31"/>
      <c r="VZ189" s="31"/>
      <c r="WA189" s="31"/>
      <c r="WB189" s="31"/>
      <c r="WC189" s="31"/>
      <c r="WD189" s="31"/>
      <c r="WE189" s="31"/>
      <c r="WF189" s="31"/>
      <c r="WG189" s="31"/>
      <c r="WH189" s="31"/>
      <c r="WI189" s="31"/>
      <c r="WJ189" s="31"/>
      <c r="WK189" s="31"/>
      <c r="WL189" s="31"/>
      <c r="WM189" s="31"/>
      <c r="WN189" s="31"/>
      <c r="WO189" s="31"/>
      <c r="WP189" s="31"/>
      <c r="WQ189" s="31"/>
      <c r="WR189" s="31"/>
      <c r="WS189" s="31"/>
      <c r="WT189" s="31"/>
      <c r="WU189" s="31"/>
      <c r="WV189" s="31"/>
      <c r="WW189" s="31"/>
      <c r="WX189" s="31"/>
      <c r="WY189" s="31"/>
      <c r="WZ189" s="31"/>
      <c r="XA189" s="31"/>
      <c r="XB189" s="31"/>
      <c r="XC189" s="31"/>
      <c r="XD189" s="31"/>
      <c r="XE189" s="31"/>
      <c r="XF189" s="31"/>
      <c r="XG189" s="31"/>
      <c r="XH189" s="31"/>
      <c r="XI189" s="31"/>
      <c r="XJ189" s="31"/>
      <c r="XK189" s="31"/>
      <c r="XL189" s="31"/>
      <c r="XM189" s="31"/>
      <c r="XN189" s="31"/>
      <c r="XO189" s="31"/>
      <c r="XP189" s="31"/>
      <c r="XQ189" s="31"/>
      <c r="XR189" s="31"/>
      <c r="XS189" s="31"/>
      <c r="XT189" s="31"/>
      <c r="XU189" s="31"/>
      <c r="XV189" s="31"/>
      <c r="XW189" s="31"/>
      <c r="XX189" s="31"/>
      <c r="XY189" s="31"/>
      <c r="XZ189" s="31"/>
      <c r="YA189" s="31"/>
      <c r="YB189" s="31"/>
      <c r="YC189" s="31"/>
      <c r="YD189" s="31"/>
      <c r="YE189" s="31"/>
      <c r="YF189" s="31"/>
      <c r="YG189" s="31"/>
      <c r="YH189" s="31"/>
      <c r="YI189" s="31"/>
      <c r="YJ189" s="31"/>
      <c r="YK189" s="31"/>
      <c r="YL189" s="31"/>
      <c r="YM189" s="31"/>
      <c r="YN189" s="31"/>
      <c r="YO189" s="31"/>
      <c r="YP189" s="31"/>
      <c r="YQ189" s="31"/>
      <c r="YR189" s="31"/>
      <c r="YS189" s="31"/>
      <c r="YT189" s="31"/>
      <c r="YU189" s="31"/>
      <c r="YV189" s="31"/>
      <c r="YW189" s="31"/>
      <c r="YX189" s="31"/>
      <c r="YY189" s="31"/>
      <c r="YZ189" s="31"/>
      <c r="ZA189" s="31"/>
      <c r="ZB189" s="31"/>
      <c r="ZC189" s="31"/>
      <c r="ZD189" s="31"/>
      <c r="ZE189" s="31"/>
      <c r="ZF189" s="31"/>
      <c r="ZG189" s="31"/>
      <c r="ZH189" s="31"/>
      <c r="ZI189" s="31"/>
      <c r="ZJ189" s="31"/>
      <c r="ZK189" s="31"/>
      <c r="ZL189" s="31"/>
      <c r="ZM189" s="31"/>
      <c r="ZN189" s="31"/>
      <c r="ZO189" s="31"/>
      <c r="ZP189" s="31"/>
      <c r="ZQ189" s="31"/>
      <c r="ZR189" s="31"/>
      <c r="ZS189" s="31"/>
      <c r="ZT189" s="31"/>
      <c r="ZU189" s="31"/>
      <c r="ZV189" s="31"/>
      <c r="ZW189" s="31"/>
      <c r="ZX189" s="31"/>
      <c r="ZY189" s="31"/>
      <c r="ZZ189" s="31"/>
      <c r="AAA189" s="31"/>
      <c r="AAB189" s="31"/>
      <c r="AAC189" s="31"/>
      <c r="AAD189" s="31"/>
      <c r="AAE189" s="31"/>
      <c r="AAF189" s="31"/>
      <c r="AAG189" s="31"/>
      <c r="AAH189" s="31"/>
      <c r="AAI189" s="31"/>
      <c r="AAJ189" s="31"/>
      <c r="AAK189" s="31"/>
      <c r="AAL189" s="31"/>
      <c r="AAM189" s="31"/>
      <c r="AAN189" s="31"/>
      <c r="AAO189" s="31"/>
      <c r="AAP189" s="31"/>
      <c r="AAQ189" s="31"/>
      <c r="AAR189" s="31"/>
      <c r="AAS189" s="31"/>
      <c r="AAT189" s="31"/>
      <c r="AAU189" s="31"/>
      <c r="AAV189" s="31"/>
      <c r="AAW189" s="31"/>
      <c r="AAX189" s="31"/>
      <c r="AAY189" s="31"/>
      <c r="AAZ189" s="31"/>
      <c r="ABA189" s="31"/>
      <c r="ABB189" s="31"/>
      <c r="ABC189" s="31"/>
      <c r="ABD189" s="31"/>
      <c r="ABE189" s="31"/>
      <c r="ABF189" s="31"/>
      <c r="ABG189" s="31"/>
      <c r="ABH189" s="31"/>
      <c r="ABI189" s="31"/>
      <c r="ABJ189" s="31"/>
      <c r="ABK189" s="31"/>
      <c r="ABL189" s="31"/>
      <c r="ABM189" s="31"/>
      <c r="ABN189" s="31"/>
      <c r="ABO189" s="31"/>
      <c r="ABP189" s="31"/>
      <c r="ABQ189" s="31"/>
      <c r="ABR189" s="31"/>
      <c r="ABS189" s="31"/>
      <c r="ABT189" s="31"/>
      <c r="ABU189" s="31"/>
      <c r="ABV189" s="31"/>
      <c r="ABW189" s="31"/>
      <c r="ABX189" s="31"/>
      <c r="ABY189" s="31"/>
      <c r="ABZ189" s="31"/>
      <c r="ACA189" s="31"/>
      <c r="ACB189" s="31"/>
      <c r="ACC189" s="31"/>
      <c r="ACD189" s="31"/>
      <c r="ACE189" s="31"/>
      <c r="ACF189" s="31"/>
      <c r="ACG189" s="31"/>
      <c r="ACH189" s="31"/>
      <c r="ACI189" s="31"/>
      <c r="ACJ189" s="31"/>
      <c r="ACK189" s="31"/>
      <c r="ACL189" s="31"/>
      <c r="ACM189" s="31"/>
      <c r="ACN189" s="31"/>
      <c r="ACO189" s="31"/>
      <c r="ACP189" s="31"/>
      <c r="ACQ189" s="31"/>
      <c r="ACR189" s="31"/>
      <c r="ACS189" s="31"/>
      <c r="ACT189" s="31"/>
      <c r="ACU189" s="31"/>
      <c r="ACV189" s="31"/>
      <c r="ACW189" s="31"/>
      <c r="ACX189" s="31"/>
      <c r="ACY189" s="31"/>
      <c r="ACZ189" s="31"/>
      <c r="ADA189" s="31"/>
      <c r="ADB189" s="31"/>
      <c r="ADC189" s="31"/>
      <c r="ADD189" s="31"/>
      <c r="ADE189" s="31"/>
      <c r="ADF189" s="31"/>
      <c r="ADG189" s="31"/>
      <c r="ADH189" s="31"/>
      <c r="ADI189" s="31"/>
      <c r="ADJ189" s="31"/>
      <c r="ADK189" s="31"/>
      <c r="ADL189" s="31"/>
      <c r="ADM189" s="31"/>
      <c r="ADN189" s="31"/>
      <c r="ADO189" s="31"/>
      <c r="ADP189" s="31"/>
      <c r="ADQ189" s="31"/>
      <c r="ADR189" s="31"/>
      <c r="ADS189" s="31"/>
      <c r="ADT189" s="31"/>
      <c r="ADU189" s="31"/>
      <c r="ADV189" s="31"/>
      <c r="ADW189" s="31"/>
      <c r="ADX189" s="31"/>
      <c r="ADY189" s="31"/>
      <c r="ADZ189" s="31"/>
      <c r="AEA189" s="31"/>
      <c r="AEB189" s="31"/>
      <c r="AEC189" s="31"/>
      <c r="AED189" s="31"/>
      <c r="AEE189" s="31"/>
      <c r="AEF189" s="31"/>
      <c r="AEG189" s="31"/>
      <c r="AEH189" s="31"/>
      <c r="AEI189" s="31"/>
      <c r="AEJ189" s="31"/>
      <c r="AEK189" s="31"/>
      <c r="AEL189" s="31"/>
      <c r="AEM189" s="31"/>
      <c r="AEN189" s="31"/>
      <c r="AEO189" s="31"/>
      <c r="AEP189" s="31"/>
      <c r="AEQ189" s="31"/>
      <c r="AER189" s="31"/>
      <c r="AES189" s="31"/>
      <c r="AET189" s="31"/>
      <c r="AEU189" s="31"/>
      <c r="AEV189" s="31"/>
      <c r="AEW189" s="31"/>
      <c r="AEX189" s="31"/>
      <c r="AEY189" s="31"/>
      <c r="AEZ189" s="31"/>
      <c r="AFA189" s="31"/>
      <c r="AFB189" s="31"/>
      <c r="AFC189" s="31"/>
      <c r="AFD189" s="31"/>
      <c r="AFE189" s="31"/>
      <c r="AFF189" s="31"/>
      <c r="AFG189" s="31"/>
      <c r="AFH189" s="31"/>
      <c r="AFI189" s="31"/>
      <c r="AFJ189" s="31"/>
      <c r="AFK189" s="31"/>
      <c r="AFL189" s="31"/>
      <c r="AFM189" s="31"/>
      <c r="AFN189" s="31"/>
      <c r="AFO189" s="31"/>
      <c r="AFP189" s="31"/>
      <c r="AFQ189" s="31"/>
      <c r="AFR189" s="31"/>
      <c r="AFS189" s="31"/>
      <c r="AFT189" s="31"/>
      <c r="AFU189" s="31"/>
      <c r="AFV189" s="31"/>
      <c r="AFW189" s="31"/>
      <c r="AFX189" s="31"/>
      <c r="AFY189" s="31"/>
      <c r="AFZ189" s="31"/>
      <c r="AGA189" s="31"/>
      <c r="AGB189" s="31"/>
      <c r="AGC189" s="31"/>
      <c r="AGD189" s="31"/>
      <c r="AGE189" s="31"/>
      <c r="AGF189" s="31"/>
      <c r="AGG189" s="31"/>
      <c r="AGH189" s="31"/>
      <c r="AGI189" s="31"/>
      <c r="AGJ189" s="31"/>
      <c r="AGK189" s="31"/>
      <c r="AGL189" s="31"/>
      <c r="AGM189" s="31"/>
      <c r="AGN189" s="31"/>
      <c r="AGO189" s="31"/>
      <c r="AGP189" s="31"/>
      <c r="AGQ189" s="31"/>
      <c r="AGR189" s="31"/>
      <c r="AGS189" s="31"/>
      <c r="AGT189" s="31"/>
      <c r="AGU189" s="31"/>
      <c r="AGV189" s="31"/>
      <c r="AGW189" s="31"/>
      <c r="AGX189" s="31"/>
      <c r="AGY189" s="31"/>
      <c r="AGZ189" s="31"/>
      <c r="AHA189" s="31"/>
      <c r="AHB189" s="31"/>
      <c r="AHC189" s="31"/>
      <c r="AHD189" s="31"/>
      <c r="AHE189" s="31"/>
      <c r="AHF189" s="31"/>
      <c r="AHG189" s="31"/>
      <c r="AHH189" s="31"/>
      <c r="AHI189" s="31"/>
      <c r="AHJ189" s="31"/>
      <c r="AHK189" s="31"/>
      <c r="AHL189" s="31"/>
      <c r="AHM189" s="31"/>
      <c r="AHN189" s="31"/>
      <c r="AHO189" s="31"/>
      <c r="AHP189" s="31"/>
      <c r="AHQ189" s="31"/>
      <c r="AHR189" s="31"/>
      <c r="AHS189" s="31"/>
      <c r="AHT189" s="31"/>
      <c r="AHU189" s="31"/>
      <c r="AHV189" s="31"/>
      <c r="AHW189" s="31"/>
      <c r="AHX189" s="31"/>
      <c r="AHY189" s="31"/>
      <c r="AHZ189" s="31"/>
      <c r="AIA189" s="31"/>
      <c r="AIB189" s="31"/>
      <c r="AIC189" s="31"/>
      <c r="AID189" s="31"/>
      <c r="AIE189" s="31"/>
      <c r="AIF189" s="31"/>
      <c r="AIG189" s="31"/>
      <c r="AIH189" s="31"/>
      <c r="AII189" s="31"/>
      <c r="AIJ189" s="31"/>
      <c r="AIK189" s="31"/>
      <c r="AIL189" s="31"/>
      <c r="AIM189" s="31"/>
      <c r="AIN189" s="31"/>
      <c r="AIO189" s="31"/>
      <c r="AIP189" s="31"/>
      <c r="AIQ189" s="31"/>
      <c r="AIR189" s="31"/>
      <c r="AIS189" s="31"/>
      <c r="AIT189" s="31"/>
      <c r="AIU189" s="31"/>
      <c r="AIV189" s="31"/>
      <c r="AIW189" s="31"/>
      <c r="AIX189" s="31"/>
      <c r="AIY189" s="31"/>
      <c r="AIZ189" s="31"/>
      <c r="AJA189" s="31"/>
      <c r="AJB189" s="31"/>
      <c r="AJC189" s="31"/>
      <c r="AJD189" s="31"/>
      <c r="AJE189" s="31"/>
      <c r="AJF189" s="31"/>
      <c r="AJG189" s="31"/>
      <c r="AJH189" s="31"/>
      <c r="AJI189" s="31"/>
      <c r="AJJ189" s="31"/>
      <c r="AJK189" s="31"/>
      <c r="AJL189" s="31"/>
      <c r="AJM189" s="31"/>
      <c r="AJN189" s="31"/>
      <c r="AJO189" s="31"/>
      <c r="AJP189" s="31"/>
      <c r="AJQ189" s="31"/>
      <c r="AJR189" s="31"/>
      <c r="AJS189" s="31"/>
      <c r="AJT189" s="31"/>
      <c r="AJU189" s="31"/>
      <c r="AJV189" s="31"/>
      <c r="AJW189" s="31"/>
      <c r="AJX189" s="31"/>
      <c r="AJY189" s="31"/>
      <c r="AJZ189" s="31"/>
      <c r="AKA189" s="31"/>
      <c r="AKB189" s="31"/>
      <c r="AKC189" s="31"/>
      <c r="AKD189" s="31"/>
      <c r="AKE189" s="31"/>
      <c r="AKF189" s="31"/>
      <c r="AKG189" s="31"/>
      <c r="AKH189" s="31"/>
      <c r="AKI189" s="31"/>
      <c r="AKJ189" s="31"/>
      <c r="AKK189" s="31"/>
      <c r="AKL189" s="31"/>
      <c r="AKM189" s="31"/>
      <c r="AKN189" s="31"/>
      <c r="AKO189" s="31"/>
      <c r="AKP189" s="31"/>
      <c r="AKQ189" s="31"/>
      <c r="AKR189" s="31"/>
      <c r="AKS189" s="31"/>
      <c r="AKT189" s="31"/>
      <c r="AKU189" s="31"/>
      <c r="AKV189" s="31"/>
      <c r="AKW189" s="31"/>
      <c r="AKX189" s="31"/>
      <c r="AKY189" s="31"/>
      <c r="AKZ189" s="31"/>
      <c r="ALA189" s="31"/>
      <c r="ALB189" s="31"/>
      <c r="ALC189" s="31"/>
      <c r="ALD189" s="31"/>
      <c r="ALE189" s="31"/>
      <c r="ALF189" s="31"/>
      <c r="ALG189" s="31"/>
      <c r="ALH189" s="31"/>
      <c r="ALI189" s="31"/>
      <c r="ALJ189" s="31"/>
      <c r="ALK189" s="31"/>
      <c r="ALL189" s="31"/>
      <c r="ALM189" s="31"/>
      <c r="ALN189" s="31"/>
      <c r="ALO189" s="31"/>
      <c r="ALP189" s="31"/>
      <c r="ALQ189" s="31"/>
      <c r="ALR189" s="31"/>
      <c r="ALS189" s="31"/>
      <c r="ALT189" s="31"/>
      <c r="ALU189" s="31"/>
      <c r="ALV189" s="31"/>
      <c r="ALW189" s="31"/>
      <c r="ALX189" s="31"/>
      <c r="ALY189" s="31"/>
      <c r="ALZ189" s="31"/>
      <c r="AMA189" s="31"/>
      <c r="AMB189" s="31"/>
      <c r="AMC189" s="31"/>
      <c r="AMD189" s="31"/>
      <c r="AME189" s="31"/>
      <c r="AMF189" s="31"/>
      <c r="AMG189" s="31"/>
      <c r="AMH189" s="31"/>
      <c r="AMI189" s="31"/>
      <c r="AMJ189" s="31"/>
      <c r="AMK189" s="31"/>
      <c r="AML189" s="31"/>
      <c r="AMM189" s="31"/>
      <c r="AMN189" s="31"/>
      <c r="AMO189" s="31"/>
      <c r="AMP189" s="31"/>
      <c r="AMQ189" s="31"/>
      <c r="AMR189" s="31"/>
      <c r="AMS189" s="31"/>
      <c r="AMT189" s="31"/>
      <c r="AMU189" s="31"/>
      <c r="AMV189" s="31"/>
      <c r="AMW189" s="31"/>
      <c r="AMX189" s="31"/>
      <c r="AMY189" s="31"/>
      <c r="AMZ189" s="31"/>
      <c r="ANA189" s="31"/>
      <c r="ANB189" s="31"/>
      <c r="ANC189" s="31"/>
      <c r="AND189" s="31"/>
      <c r="ANE189" s="31"/>
      <c r="ANF189" s="31"/>
      <c r="ANG189" s="31"/>
      <c r="ANH189" s="31"/>
      <c r="ANI189" s="31"/>
      <c r="ANJ189" s="31"/>
      <c r="ANK189" s="31"/>
      <c r="ANL189" s="31"/>
      <c r="ANM189" s="31"/>
      <c r="ANN189" s="31"/>
      <c r="ANO189" s="31"/>
      <c r="ANP189" s="31"/>
      <c r="ANQ189" s="31"/>
      <c r="ANR189" s="31"/>
      <c r="ANS189" s="31"/>
      <c r="ANT189" s="31"/>
      <c r="ANU189" s="31"/>
      <c r="ANV189" s="31"/>
      <c r="ANW189" s="31"/>
      <c r="ANX189" s="31"/>
      <c r="ANY189" s="31"/>
      <c r="ANZ189" s="31"/>
      <c r="AOA189" s="31"/>
      <c r="AOB189" s="31"/>
      <c r="AOC189" s="31"/>
      <c r="AOD189" s="31"/>
      <c r="AOE189" s="31"/>
      <c r="AOF189" s="31"/>
      <c r="AOG189" s="31"/>
      <c r="AOH189" s="31"/>
      <c r="AOI189" s="31"/>
      <c r="AOJ189" s="31"/>
      <c r="AOK189" s="31"/>
      <c r="AOL189" s="31"/>
      <c r="AOM189" s="31"/>
      <c r="AON189" s="31"/>
      <c r="AOO189" s="31"/>
      <c r="AOP189" s="31"/>
      <c r="AOQ189" s="31"/>
      <c r="AOR189" s="31"/>
      <c r="AOS189" s="31"/>
      <c r="AOT189" s="31"/>
      <c r="AOU189" s="31"/>
      <c r="AOV189" s="31"/>
      <c r="AOW189" s="31"/>
      <c r="AOX189" s="31"/>
      <c r="AOY189" s="31"/>
      <c r="AOZ189" s="31"/>
      <c r="APA189" s="31"/>
      <c r="APB189" s="31"/>
      <c r="APC189" s="31"/>
      <c r="APD189" s="31"/>
      <c r="APE189" s="31"/>
      <c r="APF189" s="31"/>
      <c r="APG189" s="31"/>
      <c r="APH189" s="31"/>
      <c r="API189" s="31"/>
      <c r="APJ189" s="31"/>
      <c r="APK189" s="31"/>
      <c r="APL189" s="31"/>
      <c r="APM189" s="31"/>
      <c r="APN189" s="31"/>
      <c r="APO189" s="31"/>
      <c r="APP189" s="31"/>
      <c r="APQ189" s="31"/>
      <c r="APR189" s="31"/>
      <c r="APS189" s="31"/>
      <c r="APT189" s="31"/>
      <c r="APU189" s="31"/>
      <c r="APV189" s="31"/>
      <c r="APW189" s="31"/>
      <c r="APX189" s="31"/>
      <c r="APY189" s="31"/>
      <c r="APZ189" s="31"/>
      <c r="AQA189" s="31"/>
      <c r="AQB189" s="31"/>
      <c r="AQC189" s="31"/>
      <c r="AQD189" s="31"/>
      <c r="AQE189" s="31"/>
      <c r="AQF189" s="31"/>
      <c r="AQG189" s="31"/>
      <c r="AQH189" s="31"/>
      <c r="AQI189" s="31"/>
      <c r="AQJ189" s="31"/>
      <c r="AQK189" s="31"/>
      <c r="AQL189" s="31"/>
      <c r="AQM189" s="31"/>
      <c r="AQN189" s="31"/>
      <c r="AQO189" s="31"/>
      <c r="AQP189" s="31"/>
      <c r="AQQ189" s="31"/>
      <c r="AQR189" s="31"/>
      <c r="AQS189" s="31"/>
      <c r="AQT189" s="31"/>
      <c r="AQU189" s="31"/>
      <c r="AQV189" s="31"/>
      <c r="AQW189" s="31"/>
      <c r="AQX189" s="31"/>
      <c r="AQY189" s="31"/>
      <c r="AQZ189" s="31"/>
      <c r="ARA189" s="31"/>
      <c r="ARB189" s="31"/>
      <c r="ARC189" s="31"/>
      <c r="ARD189" s="31"/>
      <c r="ARE189" s="31"/>
      <c r="ARF189" s="31"/>
      <c r="ARG189" s="31"/>
      <c r="ARH189" s="31"/>
      <c r="ARI189" s="31"/>
      <c r="ARJ189" s="31"/>
      <c r="ARK189" s="31"/>
      <c r="ARL189" s="31"/>
      <c r="ARM189" s="31"/>
      <c r="ARN189" s="31"/>
      <c r="ARO189" s="31"/>
      <c r="ARP189" s="31"/>
      <c r="ARQ189" s="31"/>
      <c r="ARR189" s="31"/>
      <c r="ARS189" s="31"/>
      <c r="ART189" s="31"/>
      <c r="ARU189" s="31"/>
      <c r="ARV189" s="31"/>
      <c r="ARW189" s="31"/>
      <c r="ARX189" s="31"/>
      <c r="ARY189" s="31"/>
      <c r="ARZ189" s="31"/>
      <c r="ASA189" s="31"/>
      <c r="ASB189" s="31"/>
      <c r="ASC189" s="31"/>
      <c r="ASD189" s="31"/>
      <c r="ASE189" s="31"/>
      <c r="ASF189" s="31"/>
      <c r="ASG189" s="31"/>
      <c r="ASH189" s="31"/>
      <c r="ASI189" s="31"/>
      <c r="ASJ189" s="31"/>
      <c r="ASK189" s="31"/>
      <c r="ASL189" s="31"/>
      <c r="ASM189" s="31"/>
      <c r="ASN189" s="31"/>
      <c r="ASO189" s="31"/>
      <c r="ASP189" s="31"/>
      <c r="ASQ189" s="31"/>
      <c r="ASR189" s="31"/>
      <c r="ASS189" s="31"/>
      <c r="AST189" s="31"/>
      <c r="ASU189" s="31"/>
      <c r="ASV189" s="31"/>
      <c r="ASW189" s="31"/>
      <c r="ASX189" s="31"/>
      <c r="ASY189" s="31"/>
      <c r="ASZ189" s="31"/>
      <c r="ATA189" s="31"/>
      <c r="ATB189" s="31"/>
      <c r="ATC189" s="31"/>
      <c r="ATD189" s="31"/>
      <c r="ATE189" s="31"/>
    </row>
    <row r="190" spans="1:1201" ht="15.75" customHeight="1" x14ac:dyDescent="0.3">
      <c r="A190" s="76"/>
      <c r="B190" s="76"/>
      <c r="C190" s="57" t="s">
        <v>256</v>
      </c>
      <c r="D190" s="63"/>
      <c r="E190" s="63"/>
      <c r="F190" s="63"/>
      <c r="G190" s="144">
        <v>1000000</v>
      </c>
      <c r="H190" s="647">
        <v>1000000</v>
      </c>
      <c r="I190" s="649">
        <v>1000000</v>
      </c>
      <c r="J190" s="649">
        <f>I190+J257</f>
        <v>0</v>
      </c>
      <c r="K190" s="649">
        <f>J190+K257</f>
        <v>0</v>
      </c>
      <c r="L190" s="649">
        <f>K190+L257</f>
        <v>0</v>
      </c>
      <c r="M190" s="730"/>
      <c r="N190" s="730">
        <f>M190+N257</f>
        <v>0</v>
      </c>
      <c r="O190" s="730">
        <f>N190+O257</f>
        <v>0</v>
      </c>
      <c r="P190" s="730">
        <f>O190+P257</f>
        <v>0</v>
      </c>
      <c r="Q190" s="730">
        <f>P190+Q257</f>
        <v>0</v>
      </c>
      <c r="R190" s="730">
        <f>Q190+R257</f>
        <v>0</v>
      </c>
      <c r="S190" s="924">
        <f>'MXD BS'!B94</f>
        <v>0</v>
      </c>
      <c r="T190" s="924">
        <f>'MXD BS'!C94</f>
        <v>0</v>
      </c>
      <c r="U190" s="924">
        <f>'MXD BS'!D94</f>
        <v>0</v>
      </c>
      <c r="V190" s="924">
        <f>'MXD BS'!E94</f>
        <v>0</v>
      </c>
      <c r="W190" s="924">
        <f>'MXD BS'!F94</f>
        <v>0</v>
      </c>
      <c r="X190" s="924">
        <f>'MXD BS'!G94</f>
        <v>0</v>
      </c>
      <c r="Y190" s="924">
        <f>'MXD BS'!H94</f>
        <v>0</v>
      </c>
      <c r="Z190" s="1076">
        <f>'MXD BS'!I94</f>
        <v>0</v>
      </c>
      <c r="AA190" s="1076">
        <f>'MXD BS'!J94</f>
        <v>0</v>
      </c>
      <c r="AB190" s="1076">
        <f t="shared" ref="AB190:AI190" si="332">X190+AB257</f>
        <v>0</v>
      </c>
      <c r="AC190" s="1076">
        <f t="shared" si="332"/>
        <v>0</v>
      </c>
      <c r="AD190" s="1076">
        <f t="shared" si="332"/>
        <v>0</v>
      </c>
      <c r="AE190" s="1076">
        <f t="shared" si="332"/>
        <v>0</v>
      </c>
      <c r="AF190" s="1076">
        <f t="shared" si="332"/>
        <v>0</v>
      </c>
      <c r="AG190" s="1076">
        <f t="shared" si="332"/>
        <v>0</v>
      </c>
      <c r="AH190" s="1076">
        <f t="shared" si="332"/>
        <v>0</v>
      </c>
      <c r="AI190" s="1076">
        <f t="shared" si="332"/>
        <v>0</v>
      </c>
      <c r="AJ190" s="1076">
        <f t="shared" ref="AJ190" si="333">AF190+AJ257</f>
        <v>0</v>
      </c>
      <c r="AK190" s="1076">
        <f t="shared" ref="AK190" si="334">AG190+AK257</f>
        <v>0</v>
      </c>
      <c r="AL190" s="1076">
        <f t="shared" ref="AL190" si="335">AH190+AL257</f>
        <v>0</v>
      </c>
      <c r="AM190" s="1076">
        <f t="shared" ref="AM190:AO190" si="336">AI190+AM257</f>
        <v>0</v>
      </c>
      <c r="AN190" s="1076">
        <f t="shared" si="336"/>
        <v>0</v>
      </c>
      <c r="AO190" s="1076">
        <f t="shared" si="336"/>
        <v>0</v>
      </c>
      <c r="AP190" s="730"/>
      <c r="AQ190" s="730"/>
      <c r="AR190" s="1639"/>
      <c r="AS190" s="730"/>
      <c r="AT190" s="730"/>
      <c r="AU190" s="730"/>
      <c r="AV190" s="730"/>
      <c r="AW190" s="730"/>
      <c r="AX190" s="730"/>
      <c r="AY190" s="730"/>
      <c r="AZ190" s="730"/>
      <c r="BA190" s="730"/>
      <c r="BB190" s="730"/>
      <c r="BC190" s="730"/>
      <c r="BE190" s="1195">
        <v>0</v>
      </c>
      <c r="BF190" s="924">
        <f t="shared" ref="BF190:BF200" si="337">AQ190</f>
        <v>0</v>
      </c>
      <c r="BG190" s="1195">
        <f t="shared" ref="BG190:BG203" si="338">BC190</f>
        <v>0</v>
      </c>
    </row>
    <row r="191" spans="1:1201" ht="15.75" customHeight="1" x14ac:dyDescent="0.3">
      <c r="A191" s="76"/>
      <c r="B191" s="76"/>
      <c r="C191" s="57" t="s">
        <v>733</v>
      </c>
      <c r="D191" s="63"/>
      <c r="E191" s="63"/>
      <c r="F191" s="63"/>
      <c r="G191" s="144"/>
      <c r="H191" s="647"/>
      <c r="I191" s="649"/>
      <c r="J191" s="649"/>
      <c r="K191" s="649"/>
      <c r="L191" s="649"/>
      <c r="M191" s="730"/>
      <c r="N191" s="730"/>
      <c r="O191" s="730"/>
      <c r="P191" s="730"/>
      <c r="Q191" s="730"/>
      <c r="R191" s="730"/>
      <c r="S191" s="924">
        <f>'MXD BS'!B80+'MXD BS'!B81</f>
        <v>288004.76</v>
      </c>
      <c r="T191" s="924">
        <f>'MXD BS'!C80+'MXD BS'!C81</f>
        <v>207753.26</v>
      </c>
      <c r="U191" s="924">
        <f>'MXD BS'!D80+'MXD BS'!D81</f>
        <v>232570.15</v>
      </c>
      <c r="V191" s="924">
        <f>'MXD BS'!E80+'MXD BS'!E81</f>
        <v>153408.25</v>
      </c>
      <c r="W191" s="924">
        <f>'MXD BS'!F80+'MXD BS'!F81</f>
        <v>112329.32999999999</v>
      </c>
      <c r="X191" s="924">
        <f>'MXD BS'!G80+'MXD BS'!G81</f>
        <v>474077.17000000004</v>
      </c>
      <c r="Y191" s="924">
        <f>'MXD BS'!H80+'MXD BS'!H81</f>
        <v>331623.71999999997</v>
      </c>
      <c r="Z191" s="1076">
        <f>'MXD BS'!I80+'MXD BS'!I81</f>
        <v>283985.93</v>
      </c>
      <c r="AA191" s="1076">
        <f>'MXD BS'!J80+'MXD BS'!J81</f>
        <v>407258.18000000005</v>
      </c>
      <c r="AB191" s="1076">
        <f>'MXD BS'!K80+'MXD BS'!K81</f>
        <v>195959.27</v>
      </c>
      <c r="AC191" s="1076">
        <f>'MXD BS'!L80+'MXD BS'!L81</f>
        <v>203349.83000000002</v>
      </c>
      <c r="AD191" s="1076">
        <f>'MXD BS'!M80+'MXD BS'!M81</f>
        <v>217091.15</v>
      </c>
      <c r="AE191" s="1076">
        <f>'MXD BS'!N80+'MXD BS'!N81</f>
        <v>222862.72</v>
      </c>
      <c r="AF191" s="1076">
        <f>'MXD BS'!O80+'MXD BS'!O81</f>
        <v>195758.03</v>
      </c>
      <c r="AG191" s="1076">
        <f>'MXD BS'!P80+'MXD BS'!P81</f>
        <v>313082.12</v>
      </c>
      <c r="AH191" s="1076">
        <f>'MXD BS'!Q80+'MXD BS'!Q81</f>
        <v>151446.26999999999</v>
      </c>
      <c r="AI191" s="1076">
        <f>'MXD BS'!R80+'MXD BS'!R81</f>
        <v>228424.99</v>
      </c>
      <c r="AJ191" s="1076">
        <f>'MXD BS'!S80+'MXD BS'!S81</f>
        <v>225470.51</v>
      </c>
      <c r="AK191" s="1076">
        <f>'MXD BS'!T80+'MXD BS'!T81</f>
        <v>208475.25</v>
      </c>
      <c r="AL191" s="1076">
        <f>'MXD BS'!U80+'MXD BS'!U81</f>
        <v>189222.03999999998</v>
      </c>
      <c r="AM191" s="1076">
        <f>'MXD BS'!V80+'MXD BS'!V81</f>
        <v>226800.22</v>
      </c>
      <c r="AN191" s="1076">
        <f>'MXD BS'!W80+'MXD BS'!W81</f>
        <v>221302.41999999998</v>
      </c>
      <c r="AO191" s="1076">
        <f>'MXD BS'!X80+'MXD BS'!X81</f>
        <v>167392.75</v>
      </c>
      <c r="AP191" s="1026">
        <f t="shared" ref="AP191:BC191" si="339">AVERAGE(AJ191:AO191)</f>
        <v>206443.86499999999</v>
      </c>
      <c r="AQ191" s="1026">
        <f t="shared" si="339"/>
        <v>203272.75749999998</v>
      </c>
      <c r="AR191" s="1049">
        <f t="shared" si="339"/>
        <v>202405.67541666667</v>
      </c>
      <c r="AS191" s="1026">
        <f t="shared" si="339"/>
        <v>204602.94798611113</v>
      </c>
      <c r="AT191" s="1026">
        <f t="shared" si="339"/>
        <v>200903.40265046293</v>
      </c>
      <c r="AU191" s="1026">
        <f t="shared" si="339"/>
        <v>197503.56642554011</v>
      </c>
      <c r="AV191" s="1026">
        <f t="shared" si="339"/>
        <v>202522.03582979681</v>
      </c>
      <c r="AW191" s="1026">
        <f t="shared" si="339"/>
        <v>201868.39763476295</v>
      </c>
      <c r="AX191" s="1026">
        <f t="shared" si="339"/>
        <v>201634.33765722346</v>
      </c>
      <c r="AY191" s="1026">
        <f t="shared" si="339"/>
        <v>201505.78136398291</v>
      </c>
      <c r="AZ191" s="1026">
        <f t="shared" si="339"/>
        <v>200989.58692696152</v>
      </c>
      <c r="BA191" s="1026">
        <f t="shared" si="339"/>
        <v>201003.95097304462</v>
      </c>
      <c r="BB191" s="1026">
        <f t="shared" si="339"/>
        <v>201587.34839762872</v>
      </c>
      <c r="BC191" s="1026">
        <f t="shared" si="339"/>
        <v>201431.56715893405</v>
      </c>
      <c r="BE191" s="1195">
        <v>222862.72</v>
      </c>
      <c r="BF191" s="924">
        <f t="shared" si="337"/>
        <v>203272.75749999998</v>
      </c>
      <c r="BG191" s="1195">
        <f t="shared" si="338"/>
        <v>201431.56715893405</v>
      </c>
    </row>
    <row r="192" spans="1:1201" ht="15.75" customHeight="1" x14ac:dyDescent="0.3">
      <c r="A192" s="76"/>
      <c r="B192" s="76"/>
      <c r="C192" s="57" t="s">
        <v>406</v>
      </c>
      <c r="D192" s="63"/>
      <c r="E192" s="63"/>
      <c r="F192" s="63"/>
      <c r="G192" s="144">
        <v>266525.14</v>
      </c>
      <c r="H192" s="647">
        <v>266525.14</v>
      </c>
      <c r="I192" s="649">
        <v>266525.14</v>
      </c>
      <c r="J192" s="649">
        <v>266525.14</v>
      </c>
      <c r="K192" s="649">
        <v>266525.14</v>
      </c>
      <c r="L192" s="649">
        <v>266525.14</v>
      </c>
      <c r="M192" s="730">
        <v>266525.14</v>
      </c>
      <c r="N192" s="730">
        <v>266525.14</v>
      </c>
      <c r="O192" s="730">
        <v>0</v>
      </c>
      <c r="P192" s="730">
        <v>0</v>
      </c>
      <c r="Q192" s="730">
        <v>0</v>
      </c>
      <c r="R192" s="730">
        <v>0</v>
      </c>
      <c r="S192" s="924">
        <f>'MXD BS'!B82</f>
        <v>0</v>
      </c>
      <c r="T192" s="924">
        <f>'MXD BS'!C82</f>
        <v>0</v>
      </c>
      <c r="U192" s="924">
        <f>'MXD BS'!D82</f>
        <v>0</v>
      </c>
      <c r="V192" s="924">
        <f>'MXD BS'!E82</f>
        <v>0</v>
      </c>
      <c r="W192" s="924">
        <f>'MXD BS'!F82</f>
        <v>0</v>
      </c>
      <c r="X192" s="924">
        <f>'MXD BS'!G82</f>
        <v>0</v>
      </c>
      <c r="Y192" s="924">
        <f>'MXD BS'!H82</f>
        <v>0</v>
      </c>
      <c r="Z192" s="1076">
        <f>'MXD BS'!I82</f>
        <v>0</v>
      </c>
      <c r="AA192" s="1076">
        <f>'MXD BS'!J82</f>
        <v>0</v>
      </c>
      <c r="AB192" s="1076">
        <v>0</v>
      </c>
      <c r="AC192" s="1076">
        <v>0</v>
      </c>
      <c r="AD192" s="1076">
        <v>0</v>
      </c>
      <c r="AE192" s="1076">
        <v>0</v>
      </c>
      <c r="AF192" s="1076">
        <v>0</v>
      </c>
      <c r="AG192" s="1076">
        <v>0</v>
      </c>
      <c r="AH192" s="1076">
        <v>0</v>
      </c>
      <c r="AI192" s="1076">
        <v>0</v>
      </c>
      <c r="AJ192" s="1076">
        <v>0</v>
      </c>
      <c r="AK192" s="1076">
        <v>0</v>
      </c>
      <c r="AL192" s="1076">
        <v>0</v>
      </c>
      <c r="AM192" s="1076">
        <v>0</v>
      </c>
      <c r="AN192" s="1076">
        <v>0</v>
      </c>
      <c r="AO192" s="1076">
        <v>0</v>
      </c>
      <c r="AP192" s="1026"/>
      <c r="AQ192" s="1026"/>
      <c r="AR192" s="1049"/>
      <c r="AS192" s="1026"/>
      <c r="AT192" s="1026"/>
      <c r="AU192" s="1026"/>
      <c r="AV192" s="1026"/>
      <c r="AW192" s="1026"/>
      <c r="AX192" s="1026"/>
      <c r="AY192" s="1026"/>
      <c r="AZ192" s="1026"/>
      <c r="BA192" s="1026"/>
      <c r="BB192" s="1026"/>
      <c r="BC192" s="1026"/>
      <c r="BE192" s="1195">
        <v>222862.72</v>
      </c>
      <c r="BF192" s="924">
        <f t="shared" si="337"/>
        <v>0</v>
      </c>
      <c r="BG192" s="1195">
        <f t="shared" si="338"/>
        <v>0</v>
      </c>
    </row>
    <row r="193" spans="1:60" ht="15.75" customHeight="1" x14ac:dyDescent="0.3">
      <c r="A193" s="76"/>
      <c r="B193" s="76"/>
      <c r="C193" s="57" t="s">
        <v>257</v>
      </c>
      <c r="D193" s="63"/>
      <c r="E193" s="63" t="s">
        <v>243</v>
      </c>
      <c r="F193" s="148"/>
      <c r="G193" s="144">
        <v>391212.31</v>
      </c>
      <c r="H193" s="647">
        <v>834757.76</v>
      </c>
      <c r="I193" s="649">
        <v>1164054.0299999998</v>
      </c>
      <c r="J193" s="649">
        <v>1551086.4900000005</v>
      </c>
      <c r="K193" s="649">
        <v>1555184.1100000017</v>
      </c>
      <c r="L193" s="649">
        <v>1519531.319999998</v>
      </c>
      <c r="M193" s="649">
        <v>878896.87000000093</v>
      </c>
      <c r="N193" s="649">
        <v>601642.12000000081</v>
      </c>
      <c r="O193" s="649">
        <v>1198569.2999999993</v>
      </c>
      <c r="P193" s="649">
        <v>847185.35000000056</v>
      </c>
      <c r="Q193" s="649">
        <v>622331.7699999999</v>
      </c>
      <c r="R193" s="649">
        <v>861154.90000000258</v>
      </c>
      <c r="S193" s="924">
        <f>'MXD BS'!B97</f>
        <v>584574.14</v>
      </c>
      <c r="T193" s="924">
        <f>'MXD BS'!C97</f>
        <v>784632.19</v>
      </c>
      <c r="U193" s="924">
        <f>'MXD BS'!D97</f>
        <v>1029067.36</v>
      </c>
      <c r="V193" s="924">
        <f>'MXD BS'!E97</f>
        <v>818846.08</v>
      </c>
      <c r="W193" s="924">
        <f>'MXD BS'!F97</f>
        <v>1016909.04</v>
      </c>
      <c r="X193" s="924">
        <f>'MXD BS'!G97</f>
        <v>775135.32</v>
      </c>
      <c r="Y193" s="924">
        <f>'MXD BS'!H97</f>
        <v>468667.35</v>
      </c>
      <c r="Z193" s="1076">
        <f>'MXD BS'!I97</f>
        <v>261699.45</v>
      </c>
      <c r="AA193" s="1076">
        <f>'MXD BS'!J97</f>
        <v>249922.57</v>
      </c>
      <c r="AB193" s="1076">
        <f>'MXD BS'!K97</f>
        <v>158105.67000000001</v>
      </c>
      <c r="AC193" s="1076">
        <f>'MXD BS'!L97</f>
        <v>488929.03</v>
      </c>
      <c r="AD193" s="1076">
        <f>'MXD BS'!M97</f>
        <v>452873.85</v>
      </c>
      <c r="AE193" s="1076">
        <f>'MXD BS'!N97</f>
        <v>503548.12</v>
      </c>
      <c r="AF193" s="1076">
        <f>'MXD BS'!O97</f>
        <v>500559.27</v>
      </c>
      <c r="AG193" s="1076">
        <f>'MXD BS'!P97</f>
        <v>658780.07999999996</v>
      </c>
      <c r="AH193" s="1076">
        <f>'MXD BS'!Q97</f>
        <v>750667.76</v>
      </c>
      <c r="AI193" s="1076">
        <f>'MXD BS'!R97</f>
        <v>590917.88</v>
      </c>
      <c r="AJ193" s="1076">
        <f>'MXD BS'!S97</f>
        <v>439238.63</v>
      </c>
      <c r="AK193" s="1076">
        <f>'MXD BS'!T97</f>
        <v>482725.64</v>
      </c>
      <c r="AL193" s="1076">
        <f>'MXD BS'!U97</f>
        <v>437343.3</v>
      </c>
      <c r="AM193" s="1076">
        <f>'MXD BS'!V97</f>
        <v>489327.16</v>
      </c>
      <c r="AN193" s="1076">
        <f>'MXD BS'!W97</f>
        <v>724406.88</v>
      </c>
      <c r="AO193" s="1076">
        <f>'MXD BS'!X97</f>
        <v>641601.73</v>
      </c>
      <c r="AP193" s="649">
        <f t="shared" ref="AP193:AQ193" si="340">AP$71/AP15</f>
        <v>492790.27349177864</v>
      </c>
      <c r="AQ193" s="649">
        <f t="shared" si="340"/>
        <v>532477.4738801521</v>
      </c>
      <c r="AR193" s="618">
        <f t="shared" ref="AR193:BC193" si="341">AR$71/AR15</f>
        <v>526556.90940710623</v>
      </c>
      <c r="AS193" s="649">
        <f t="shared" si="341"/>
        <v>536209.58813229844</v>
      </c>
      <c r="AT193" s="649">
        <f t="shared" si="341"/>
        <v>524826.31853017141</v>
      </c>
      <c r="AU193" s="649">
        <f t="shared" si="341"/>
        <v>510370.82127797487</v>
      </c>
      <c r="AV193" s="649">
        <f t="shared" si="341"/>
        <v>524354.72666375898</v>
      </c>
      <c r="AW193" s="649">
        <f t="shared" si="341"/>
        <v>520897.3618275515</v>
      </c>
      <c r="AX193" s="649">
        <f t="shared" si="341"/>
        <v>523756.99841036339</v>
      </c>
      <c r="AY193" s="649">
        <f t="shared" si="341"/>
        <v>523293.23894831957</v>
      </c>
      <c r="AZ193" s="649">
        <f t="shared" si="341"/>
        <v>521200.77010447416</v>
      </c>
      <c r="BA193" s="649">
        <f t="shared" si="341"/>
        <v>520601.37641490623</v>
      </c>
      <c r="BB193" s="649">
        <f t="shared" si="341"/>
        <v>522346.47828459227</v>
      </c>
      <c r="BC193" s="649">
        <f t="shared" si="341"/>
        <v>522013.26483204</v>
      </c>
      <c r="BE193" s="1195">
        <v>222862.72</v>
      </c>
      <c r="BF193" s="924">
        <f t="shared" si="337"/>
        <v>532477.4738801521</v>
      </c>
      <c r="BG193" s="1195">
        <f t="shared" si="338"/>
        <v>522013.26483204</v>
      </c>
    </row>
    <row r="194" spans="1:60" ht="15.75" customHeight="1" x14ac:dyDescent="0.3">
      <c r="A194" s="76"/>
      <c r="B194" s="76"/>
      <c r="C194" s="57" t="s">
        <v>734</v>
      </c>
      <c r="D194" s="63"/>
      <c r="E194" s="63" t="s">
        <v>259</v>
      </c>
      <c r="F194" s="148">
        <f>SUM(AF194:AM194)/SUM($AD$47:$AM$47)</f>
        <v>5.6866914634264881E-2</v>
      </c>
      <c r="G194" s="144">
        <v>61172.46</v>
      </c>
      <c r="H194" s="647">
        <v>21928.41</v>
      </c>
      <c r="I194" s="680">
        <v>2772.78999999999</v>
      </c>
      <c r="J194" s="680">
        <v>27423.670000000009</v>
      </c>
      <c r="K194" s="680">
        <v>42745.559999999983</v>
      </c>
      <c r="L194" s="680">
        <v>58878.560000000027</v>
      </c>
      <c r="M194" s="680">
        <v>66992.449999999983</v>
      </c>
      <c r="N194" s="680">
        <v>60416.149999999987</v>
      </c>
      <c r="O194" s="680">
        <v>71925.290000000008</v>
      </c>
      <c r="P194" s="680">
        <v>88620.039999999964</v>
      </c>
      <c r="Q194" s="680">
        <v>57311.150000000009</v>
      </c>
      <c r="R194" s="680">
        <v>35903.720000000008</v>
      </c>
      <c r="S194" s="1176">
        <f>'MXD BS'!B93</f>
        <v>51256.51</v>
      </c>
      <c r="T194" s="1176">
        <f>'MXD BS'!C93</f>
        <v>58746.15</v>
      </c>
      <c r="U194" s="1176">
        <f>'MXD BS'!D93</f>
        <v>79645.789999999994</v>
      </c>
      <c r="V194" s="1176">
        <f>'MXD BS'!E93</f>
        <v>43744.44</v>
      </c>
      <c r="W194" s="1176">
        <f>'MXD BS'!F93</f>
        <v>22385.62</v>
      </c>
      <c r="X194" s="1176">
        <f>'MXD BS'!G93</f>
        <v>36368.25</v>
      </c>
      <c r="Y194" s="1176">
        <f>'MXD BS'!H93</f>
        <v>45850.99</v>
      </c>
      <c r="Z194" s="1177">
        <f>'MXD BS'!I93</f>
        <v>45035.4</v>
      </c>
      <c r="AA194" s="1177">
        <f>'MXD BS'!J93</f>
        <v>60182.65</v>
      </c>
      <c r="AB194" s="1177">
        <f>'MXD BS'!K93</f>
        <v>54661.15</v>
      </c>
      <c r="AC194" s="1177">
        <f>'MXD BS'!L93</f>
        <v>33981.65</v>
      </c>
      <c r="AD194" s="1177">
        <f>'MXD BS'!M93</f>
        <v>37933.15</v>
      </c>
      <c r="AE194" s="1177">
        <f>'MXD BS'!N93</f>
        <v>50656.17</v>
      </c>
      <c r="AF194" s="1177">
        <f>'MXD BS'!O93</f>
        <v>52496.6</v>
      </c>
      <c r="AG194" s="1177">
        <f>'MXD BS'!P93</f>
        <v>41421.97</v>
      </c>
      <c r="AH194" s="1177">
        <f>'MXD BS'!Q93</f>
        <v>51140.61</v>
      </c>
      <c r="AI194" s="1177">
        <f>'MXD BS'!R93</f>
        <v>97069.6</v>
      </c>
      <c r="AJ194" s="1177">
        <f>'MXD BS'!S93</f>
        <v>81786.23</v>
      </c>
      <c r="AK194" s="1177">
        <f>'MXD BS'!T93</f>
        <v>69176.42</v>
      </c>
      <c r="AL194" s="1177">
        <f>'MXD BS'!U93</f>
        <v>72491.360000000001</v>
      </c>
      <c r="AM194" s="1177">
        <f>'MXD BS'!V93</f>
        <v>80268.740000000005</v>
      </c>
      <c r="AN194" s="1177">
        <f>'MXD BS'!W93</f>
        <v>81066.45</v>
      </c>
      <c r="AO194" s="1177">
        <f>'MXD BS'!X93</f>
        <v>78954.67</v>
      </c>
      <c r="AP194" s="1579">
        <f t="shared" ref="AP194:BC197" si="342">$F194*AP$47</f>
        <v>81548.717634380475</v>
      </c>
      <c r="AQ194" s="1579">
        <f t="shared" si="342"/>
        <v>95406.386528255287</v>
      </c>
      <c r="AR194" s="1640">
        <f t="shared" si="342"/>
        <v>90371.049461486255</v>
      </c>
      <c r="AS194" s="1579">
        <f t="shared" si="342"/>
        <v>90371.049461486255</v>
      </c>
      <c r="AT194" s="1579">
        <f t="shared" si="342"/>
        <v>90371.049461486255</v>
      </c>
      <c r="AU194" s="1579">
        <f t="shared" si="342"/>
        <v>90371.049461486255</v>
      </c>
      <c r="AV194" s="1579">
        <f t="shared" si="342"/>
        <v>90371.049461486255</v>
      </c>
      <c r="AW194" s="1579">
        <f t="shared" si="342"/>
        <v>90371.049461486255</v>
      </c>
      <c r="AX194" s="1579">
        <f t="shared" si="342"/>
        <v>90371.049461486255</v>
      </c>
      <c r="AY194" s="1579">
        <f t="shared" si="342"/>
        <v>90371.049461486255</v>
      </c>
      <c r="AZ194" s="1579">
        <f t="shared" si="342"/>
        <v>90371.049461486255</v>
      </c>
      <c r="BA194" s="1579">
        <f t="shared" si="342"/>
        <v>90371.049461486255</v>
      </c>
      <c r="BB194" s="1579">
        <f t="shared" si="342"/>
        <v>90371.049461486255</v>
      </c>
      <c r="BC194" s="1579">
        <f t="shared" si="342"/>
        <v>90371.049461486255</v>
      </c>
      <c r="BE194" s="1208">
        <v>222862.72</v>
      </c>
      <c r="BF194" s="1176">
        <f t="shared" si="337"/>
        <v>95406.386528255287</v>
      </c>
      <c r="BG194" s="1208">
        <f t="shared" si="338"/>
        <v>90371.049461486255</v>
      </c>
    </row>
    <row r="195" spans="1:60" ht="15.75" customHeight="1" x14ac:dyDescent="0.3">
      <c r="A195" s="76"/>
      <c r="B195" s="76"/>
      <c r="C195" s="57" t="s">
        <v>260</v>
      </c>
      <c r="D195" s="63"/>
      <c r="E195" s="63" t="s">
        <v>259</v>
      </c>
      <c r="F195" s="148">
        <f>SUM(AF195:AM195)/SUM($AD$47:$AM$47)</f>
        <v>0.25284293718910877</v>
      </c>
      <c r="G195" s="144">
        <v>68146.739999999991</v>
      </c>
      <c r="H195" s="647">
        <v>70710.09</v>
      </c>
      <c r="I195" s="649">
        <v>59614.939999999973</v>
      </c>
      <c r="J195" s="649">
        <v>102233.13999999993</v>
      </c>
      <c r="K195" s="649">
        <v>127879.6200000001</v>
      </c>
      <c r="L195" s="649">
        <v>143098.59</v>
      </c>
      <c r="M195" s="649">
        <v>160789.1099999999</v>
      </c>
      <c r="N195" s="649">
        <v>68919.20000000007</v>
      </c>
      <c r="O195" s="649">
        <v>102651.84000000001</v>
      </c>
      <c r="P195" s="649">
        <v>141400.56</v>
      </c>
      <c r="Q195" s="649">
        <v>179268.9599999999</v>
      </c>
      <c r="R195" s="649">
        <v>162326.56000000023</v>
      </c>
      <c r="S195" s="924">
        <f>SUM('MXD BS'!B84:B89)</f>
        <v>107299.99</v>
      </c>
      <c r="T195" s="924">
        <f>SUM('MXD BS'!C84:C89)</f>
        <v>103155.62</v>
      </c>
      <c r="U195" s="924">
        <f>SUM('MXD BS'!D84:D89)</f>
        <v>114266.93000000001</v>
      </c>
      <c r="V195" s="924">
        <f>SUM('MXD BS'!E84:E89)</f>
        <v>143330.63999999998</v>
      </c>
      <c r="W195" s="924">
        <f>SUM('MXD BS'!F84:F89)</f>
        <v>140325.71</v>
      </c>
      <c r="X195" s="924">
        <f>SUM('MXD BS'!G84:G89)</f>
        <v>182112.47</v>
      </c>
      <c r="Y195" s="924">
        <f>SUM('MXD BS'!H84:H89)</f>
        <v>209462.97999999998</v>
      </c>
      <c r="Z195" s="1076">
        <f>SUM('MXD BS'!I84:I89)</f>
        <v>81898.64</v>
      </c>
      <c r="AA195" s="1076">
        <f>SUM('MXD BS'!J84:J89)</f>
        <v>120531.36000000002</v>
      </c>
      <c r="AB195" s="1076">
        <f>SUM('MXD BS'!K84:K89)</f>
        <v>148771.78</v>
      </c>
      <c r="AC195" s="1076">
        <f>SUM('MXD BS'!L84:L89)</f>
        <v>160523.68</v>
      </c>
      <c r="AD195" s="1076">
        <f>SUM('MXD BS'!M84:M89)</f>
        <v>169970.16</v>
      </c>
      <c r="AE195" s="1076">
        <f>SUM('MXD BS'!N84:N89)</f>
        <v>241908.53000000003</v>
      </c>
      <c r="AF195" s="1076">
        <f>SUM('MXD BS'!O84:O89)</f>
        <v>246659.09999999998</v>
      </c>
      <c r="AG195" s="1076">
        <f>SUM('MXD BS'!P84:P89)</f>
        <v>239668.80000000002</v>
      </c>
      <c r="AH195" s="1076">
        <f>SUM('MXD BS'!Q84:Q89)</f>
        <v>292959.28999999998</v>
      </c>
      <c r="AI195" s="1076">
        <f>SUM('MXD BS'!R84:R89)</f>
        <v>307683.44000000006</v>
      </c>
      <c r="AJ195" s="1076">
        <f>SUM('MXD BS'!S84:S89)</f>
        <v>457405.14</v>
      </c>
      <c r="AK195" s="1076">
        <f>SUM('MXD BS'!T84:T89)</f>
        <v>292202.22000000003</v>
      </c>
      <c r="AL195" s="1076">
        <f>SUM('MXD BS'!U84:U89)</f>
        <v>275452.78000000003</v>
      </c>
      <c r="AM195" s="1076">
        <f>SUM('MXD BS'!V84:V89)</f>
        <v>314946.41000000003</v>
      </c>
      <c r="AN195" s="1076">
        <f>SUM('MXD BS'!W84:W89)</f>
        <v>321983.90000000002</v>
      </c>
      <c r="AO195" s="1076">
        <f>SUM('MXD BS'!X84:X89)</f>
        <v>352459.17000000004</v>
      </c>
      <c r="AP195" s="1579">
        <f t="shared" si="342"/>
        <v>362583.71714540216</v>
      </c>
      <c r="AQ195" s="1579">
        <f t="shared" si="342"/>
        <v>424197.99195274769</v>
      </c>
      <c r="AR195" s="1640">
        <f t="shared" si="342"/>
        <v>401809.76459968596</v>
      </c>
      <c r="AS195" s="1579">
        <f t="shared" si="342"/>
        <v>401809.76459968596</v>
      </c>
      <c r="AT195" s="1579">
        <f t="shared" si="342"/>
        <v>401809.76459968596</v>
      </c>
      <c r="AU195" s="1579">
        <f t="shared" si="342"/>
        <v>401809.76459968596</v>
      </c>
      <c r="AV195" s="1579">
        <f t="shared" si="342"/>
        <v>401809.76459968596</v>
      </c>
      <c r="AW195" s="1579">
        <f t="shared" si="342"/>
        <v>401809.76459968596</v>
      </c>
      <c r="AX195" s="1579">
        <f t="shared" si="342"/>
        <v>401809.76459968596</v>
      </c>
      <c r="AY195" s="1579">
        <f t="shared" si="342"/>
        <v>401809.76459968596</v>
      </c>
      <c r="AZ195" s="1579">
        <f t="shared" si="342"/>
        <v>401809.76459968596</v>
      </c>
      <c r="BA195" s="1579">
        <f t="shared" si="342"/>
        <v>401809.76459968596</v>
      </c>
      <c r="BB195" s="1579">
        <f t="shared" si="342"/>
        <v>401809.76459968596</v>
      </c>
      <c r="BC195" s="1579">
        <f t="shared" si="342"/>
        <v>401809.76459968596</v>
      </c>
      <c r="BE195" s="1195">
        <v>222862.72</v>
      </c>
      <c r="BF195" s="924">
        <f t="shared" si="337"/>
        <v>424197.99195274769</v>
      </c>
      <c r="BG195" s="1195">
        <f t="shared" si="338"/>
        <v>401809.76459968596</v>
      </c>
    </row>
    <row r="196" spans="1:60" ht="15.75" customHeight="1" x14ac:dyDescent="0.3">
      <c r="A196" s="76"/>
      <c r="B196" s="76"/>
      <c r="C196" s="57" t="s">
        <v>261</v>
      </c>
      <c r="D196" s="63"/>
      <c r="E196" s="63" t="s">
        <v>259</v>
      </c>
      <c r="F196" s="148">
        <f>SUM(AF196:AM196)/SUM($AD$47:$AM$47)</f>
        <v>4.0239778650022915</v>
      </c>
      <c r="G196" s="144">
        <v>1536000.64</v>
      </c>
      <c r="H196" s="647">
        <v>1655241.28</v>
      </c>
      <c r="I196" s="649">
        <v>1722477.3499999999</v>
      </c>
      <c r="J196" s="649">
        <v>1525852.45</v>
      </c>
      <c r="K196" s="649">
        <v>1823491.29</v>
      </c>
      <c r="L196" s="649">
        <v>1895455.26</v>
      </c>
      <c r="M196" s="649">
        <v>2275101.2199999997</v>
      </c>
      <c r="N196" s="649">
        <v>2493877.5499999989</v>
      </c>
      <c r="O196" s="649">
        <v>3180718.5</v>
      </c>
      <c r="P196" s="649">
        <v>3310107.37</v>
      </c>
      <c r="Q196" s="649">
        <v>3473294.73</v>
      </c>
      <c r="R196" s="649">
        <v>4871679.5699999984</v>
      </c>
      <c r="S196" s="924">
        <f>'MXD BS'!B91</f>
        <v>5729015.1900000004</v>
      </c>
      <c r="T196" s="924">
        <f>'MXD BS'!C91</f>
        <v>5073260.58</v>
      </c>
      <c r="U196" s="924">
        <f>'MXD BS'!D91</f>
        <v>5702010.3600000003</v>
      </c>
      <c r="V196" s="924">
        <f>'MXD BS'!E91</f>
        <v>6165049.0599999996</v>
      </c>
      <c r="W196" s="924">
        <f>'MXD BS'!F91</f>
        <v>6037160.0099999998</v>
      </c>
      <c r="X196" s="924">
        <f>'MXD BS'!G91</f>
        <v>6237002.5599999996</v>
      </c>
      <c r="Y196" s="924">
        <f>'MXD BS'!H91</f>
        <v>5623054.3499999996</v>
      </c>
      <c r="Z196" s="1076">
        <f>'MXD BS'!I91</f>
        <v>3308669.27</v>
      </c>
      <c r="AA196" s="1076">
        <f>'MXD BS'!J91</f>
        <v>3854654.68</v>
      </c>
      <c r="AB196" s="1076">
        <f>'MXD BS'!K91</f>
        <v>3701914.82</v>
      </c>
      <c r="AC196" s="1076">
        <f>'MXD BS'!L91</f>
        <v>3984215.51</v>
      </c>
      <c r="AD196" s="1076">
        <f>'MXD BS'!M91</f>
        <v>4171708.76</v>
      </c>
      <c r="AE196" s="1076">
        <f>'MXD BS'!N91</f>
        <v>4610977.5999999996</v>
      </c>
      <c r="AF196" s="1076">
        <f>'MXD BS'!O91</f>
        <v>4224947.2300000004</v>
      </c>
      <c r="AG196" s="1076">
        <f>'MXD BS'!P91</f>
        <v>4666660.16</v>
      </c>
      <c r="AH196" s="1076">
        <f>'MXD BS'!Q91</f>
        <v>5750039.0800000001</v>
      </c>
      <c r="AI196" s="1076">
        <f>'MXD BS'!R91</f>
        <v>5711456.4400000004</v>
      </c>
      <c r="AJ196" s="1076">
        <f>'MXD BS'!S91</f>
        <v>5100104.97</v>
      </c>
      <c r="AK196" s="1076">
        <f>'MXD BS'!T91</f>
        <v>4535481.74</v>
      </c>
      <c r="AL196" s="1076">
        <f>'MXD BS'!U91</f>
        <v>4423043.87</v>
      </c>
      <c r="AM196" s="1076">
        <f>'MXD BS'!V91</f>
        <v>4213440.54</v>
      </c>
      <c r="AN196" s="1076">
        <f>'MXD BS'!W91</f>
        <v>4062408.22</v>
      </c>
      <c r="AO196" s="1076">
        <f>'MXD BS'!X91</f>
        <v>4314356.1100000003</v>
      </c>
      <c r="AP196" s="1579">
        <f t="shared" si="342"/>
        <v>5770494.7910492709</v>
      </c>
      <c r="AQ196" s="1579">
        <f t="shared" si="342"/>
        <v>6751081.7148892237</v>
      </c>
      <c r="AR196" s="1640">
        <f t="shared" si="342"/>
        <v>6394774.6243811818</v>
      </c>
      <c r="AS196" s="1579">
        <f t="shared" si="342"/>
        <v>6394774.6243811818</v>
      </c>
      <c r="AT196" s="1579">
        <f t="shared" si="342"/>
        <v>6394774.6243811818</v>
      </c>
      <c r="AU196" s="1579">
        <f t="shared" si="342"/>
        <v>6394774.6243811818</v>
      </c>
      <c r="AV196" s="1579">
        <f t="shared" si="342"/>
        <v>6394774.6243811818</v>
      </c>
      <c r="AW196" s="1579">
        <f t="shared" si="342"/>
        <v>6394774.6243811818</v>
      </c>
      <c r="AX196" s="1579">
        <f t="shared" si="342"/>
        <v>6394774.6243811818</v>
      </c>
      <c r="AY196" s="1579">
        <f t="shared" si="342"/>
        <v>6394774.6243811818</v>
      </c>
      <c r="AZ196" s="1579">
        <f t="shared" si="342"/>
        <v>6394774.6243811818</v>
      </c>
      <c r="BA196" s="1579">
        <f t="shared" si="342"/>
        <v>6394774.6243811818</v>
      </c>
      <c r="BB196" s="1579">
        <f t="shared" si="342"/>
        <v>6394774.6243811818</v>
      </c>
      <c r="BC196" s="1579">
        <f t="shared" si="342"/>
        <v>6394774.6243811818</v>
      </c>
      <c r="BE196" s="1195">
        <v>222862.72</v>
      </c>
      <c r="BF196" s="924">
        <f t="shared" si="337"/>
        <v>6751081.7148892237</v>
      </c>
      <c r="BG196" s="1195">
        <f t="shared" si="338"/>
        <v>6394774.6243811818</v>
      </c>
    </row>
    <row r="197" spans="1:60" ht="15.75" customHeight="1" x14ac:dyDescent="0.3">
      <c r="A197" s="76"/>
      <c r="B197" s="76"/>
      <c r="C197" s="57" t="s">
        <v>262</v>
      </c>
      <c r="E197" s="63" t="s">
        <v>259</v>
      </c>
      <c r="F197" s="148">
        <f>SUM(AF197:AM197)/SUM($AD$47:$AM$47)</f>
        <v>5.2913973491622218E-2</v>
      </c>
      <c r="G197" s="144">
        <v>5810.52</v>
      </c>
      <c r="H197" s="647">
        <v>-30438.45</v>
      </c>
      <c r="I197" s="649">
        <v>-30523.77</v>
      </c>
      <c r="J197" s="649">
        <v>-30600</v>
      </c>
      <c r="K197" s="649">
        <v>-31322.44</v>
      </c>
      <c r="L197" s="649">
        <v>-18217.61</v>
      </c>
      <c r="M197" s="649">
        <v>-12610.86</v>
      </c>
      <c r="N197" s="649">
        <v>-7004.1899999999987</v>
      </c>
      <c r="O197" s="649">
        <v>-1397.4399999999987</v>
      </c>
      <c r="P197" s="649">
        <v>4209.3100000000013</v>
      </c>
      <c r="Q197" s="649">
        <v>9816.0600000000013</v>
      </c>
      <c r="R197" s="649">
        <v>-18217.689999999999</v>
      </c>
      <c r="S197" s="924">
        <f>SUM('MXD BS'!B90,'MXD BS'!B92,'MXD BS'!B98)</f>
        <v>5914.2200000000012</v>
      </c>
      <c r="T197" s="924">
        <f>SUM('MXD BS'!C90,'MXD BS'!C92,'MXD BS'!C98)</f>
        <v>11520.970000000001</v>
      </c>
      <c r="U197" s="924">
        <f>SUM('MXD BS'!D90,'MXD BS'!D92,'MXD BS'!D98)</f>
        <v>17127.72</v>
      </c>
      <c r="V197" s="924">
        <f>SUM('MXD BS'!E90,'MXD BS'!E92,'MXD BS'!E98)</f>
        <v>26957.82</v>
      </c>
      <c r="W197" s="924">
        <f>SUM('MXD BS'!F90,'MXD BS'!F92,'MXD BS'!F98)</f>
        <v>5832.56</v>
      </c>
      <c r="X197" s="924">
        <f>SUM('MXD BS'!G90,'MXD BS'!G92,'MXD BS'!G98)</f>
        <v>90346.65</v>
      </c>
      <c r="Y197" s="924">
        <f>SUM('MXD BS'!H90,'MXD BS'!H92,'MXD BS'!H98)</f>
        <v>90904.98000000001</v>
      </c>
      <c r="Z197" s="1076">
        <f>SUM('MXD BS'!I90,'MXD BS'!I92,'MXD BS'!I98)</f>
        <v>113663.29000000001</v>
      </c>
      <c r="AA197" s="1076">
        <f>SUM('MXD BS'!J90,'MXD BS'!J92,'MXD BS'!J98)</f>
        <v>90157.59</v>
      </c>
      <c r="AB197" s="1076">
        <f>SUM('MXD BS'!K90,'MXD BS'!K92,'MXD BS'!K98)</f>
        <v>125122.66</v>
      </c>
      <c r="AC197" s="1076">
        <f>SUM('MXD BS'!L90,'MXD BS'!L92,'MXD BS'!L98)</f>
        <v>102107.97</v>
      </c>
      <c r="AD197" s="1076">
        <f>SUM('MXD BS'!M90,'MXD BS'!M92,'MXD BS'!M98)</f>
        <v>132010.69</v>
      </c>
      <c r="AE197" s="1076">
        <f>SUM('MXD BS'!N90,'MXD BS'!N92,'MXD BS'!N98)</f>
        <v>120613.59</v>
      </c>
      <c r="AF197" s="1076">
        <f>SUM('MXD BS'!O90,'MXD BS'!O92,'MXD BS'!O98)</f>
        <v>105295.97</v>
      </c>
      <c r="AG197" s="1076">
        <f>SUM('MXD BS'!P90,'MXD BS'!P92,'MXD BS'!P98)</f>
        <v>111450.59</v>
      </c>
      <c r="AH197" s="1076">
        <f>SUM('MXD BS'!Q90,'MXD BS'!Q92,'MXD BS'!Q98)</f>
        <v>57188.829999999994</v>
      </c>
      <c r="AI197" s="1076">
        <f>SUM('MXD BS'!R90,'MXD BS'!R92,'MXD BS'!R98)</f>
        <v>24742.07</v>
      </c>
      <c r="AJ197" s="1076">
        <f>SUM('MXD BS'!S90,'MXD BS'!S92,'MXD BS'!S98)</f>
        <v>41339.270000000004</v>
      </c>
      <c r="AK197" s="1076">
        <f>SUM('MXD BS'!T90,'MXD BS'!T92,'MXD BS'!T98)</f>
        <v>43137.009999999995</v>
      </c>
      <c r="AL197" s="1076">
        <f>SUM('MXD BS'!U90,'MXD BS'!U92,'MXD BS'!U98)</f>
        <v>59354.93</v>
      </c>
      <c r="AM197" s="1076">
        <f>SUM('MXD BS'!V90,'MXD BS'!V92,'MXD BS'!V98)</f>
        <v>65399.55</v>
      </c>
      <c r="AN197" s="1076">
        <f>SUM('MXD BS'!W90,'MXD BS'!W92,'MXD BS'!W98)</f>
        <v>84253.87</v>
      </c>
      <c r="AO197" s="1076">
        <f>SUM('MXD BS'!X90,'MXD BS'!X92,'MXD BS'!X98)</f>
        <v>79442.720000000001</v>
      </c>
      <c r="AP197" s="1579">
        <f t="shared" si="342"/>
        <v>75880.09145446711</v>
      </c>
      <c r="AQ197" s="1579">
        <f t="shared" si="342"/>
        <v>88774.484076646491</v>
      </c>
      <c r="AR197" s="1640">
        <f t="shared" si="342"/>
        <v>84089.16408371237</v>
      </c>
      <c r="AS197" s="1579">
        <f t="shared" si="342"/>
        <v>84089.16408371237</v>
      </c>
      <c r="AT197" s="1579">
        <f t="shared" si="342"/>
        <v>84089.16408371237</v>
      </c>
      <c r="AU197" s="1579">
        <f t="shared" si="342"/>
        <v>84089.16408371237</v>
      </c>
      <c r="AV197" s="1579">
        <f t="shared" si="342"/>
        <v>84089.16408371237</v>
      </c>
      <c r="AW197" s="1579">
        <f t="shared" si="342"/>
        <v>84089.16408371237</v>
      </c>
      <c r="AX197" s="1579">
        <f t="shared" si="342"/>
        <v>84089.16408371237</v>
      </c>
      <c r="AY197" s="1579">
        <f t="shared" si="342"/>
        <v>84089.16408371237</v>
      </c>
      <c r="AZ197" s="1579">
        <f t="shared" si="342"/>
        <v>84089.16408371237</v>
      </c>
      <c r="BA197" s="1579">
        <f t="shared" si="342"/>
        <v>84089.16408371237</v>
      </c>
      <c r="BB197" s="1579">
        <f t="shared" si="342"/>
        <v>84089.16408371237</v>
      </c>
      <c r="BC197" s="1579">
        <f t="shared" si="342"/>
        <v>84089.16408371237</v>
      </c>
      <c r="BE197" s="1195">
        <v>222862.72</v>
      </c>
      <c r="BF197" s="924">
        <f t="shared" si="337"/>
        <v>88774.484076646491</v>
      </c>
      <c r="BG197" s="1195">
        <f t="shared" si="338"/>
        <v>84089.16408371237</v>
      </c>
    </row>
    <row r="198" spans="1:60" ht="15.75" customHeight="1" x14ac:dyDescent="0.3">
      <c r="A198" s="76"/>
      <c r="B198" s="76"/>
      <c r="C198" s="57" t="s">
        <v>263</v>
      </c>
      <c r="E198" s="63" t="s">
        <v>264</v>
      </c>
      <c r="F198" s="148"/>
      <c r="G198" s="144">
        <v>-66913.279999999999</v>
      </c>
      <c r="H198" s="647">
        <v>-66913.279999999999</v>
      </c>
      <c r="I198" s="649">
        <v>-66913.279999999999</v>
      </c>
      <c r="J198" s="649">
        <v>-66913.279999999999</v>
      </c>
      <c r="K198" s="649">
        <v>-66913.279999999999</v>
      </c>
      <c r="L198" s="649">
        <v>-66913.279999999999</v>
      </c>
      <c r="M198" s="649">
        <v>-66913.279999999999</v>
      </c>
      <c r="N198" s="649">
        <v>-66913.279999999999</v>
      </c>
      <c r="O198" s="649">
        <v>-70413.279999999999</v>
      </c>
      <c r="P198" s="649">
        <v>-70413.279999999999</v>
      </c>
      <c r="Q198" s="649">
        <v>-70413.279999999999</v>
      </c>
      <c r="R198" s="649">
        <v>-70413.279999999999</v>
      </c>
      <c r="S198" s="924">
        <f>'MXD BS'!B83</f>
        <v>-56913.279999999999</v>
      </c>
      <c r="T198" s="924">
        <f>'MXD BS'!C83</f>
        <v>-56913.279999999999</v>
      </c>
      <c r="U198" s="924">
        <f>'MXD BS'!D83</f>
        <v>-56913.279999999999</v>
      </c>
      <c r="V198" s="924">
        <f>'MXD BS'!E83</f>
        <v>-56913.279999999999</v>
      </c>
      <c r="W198" s="924">
        <f>'MXD BS'!F83</f>
        <v>-56913.279999999999</v>
      </c>
      <c r="X198" s="924">
        <f>'MXD BS'!G83</f>
        <v>-56913.279999999999</v>
      </c>
      <c r="Y198" s="924">
        <f>'MXD BS'!H83</f>
        <v>-56913.279999999999</v>
      </c>
      <c r="Z198" s="1076">
        <f>'MXD BS'!I83</f>
        <v>-56913.279999999999</v>
      </c>
      <c r="AA198" s="1076">
        <f>'MXD BS'!J83</f>
        <v>-56913.279999999999</v>
      </c>
      <c r="AB198" s="1076">
        <f>'MXD BS'!K83</f>
        <v>-56913.279999999999</v>
      </c>
      <c r="AC198" s="1076">
        <f>'MXD BS'!L83</f>
        <v>-56913.279999999999</v>
      </c>
      <c r="AD198" s="1076">
        <f>'MXD BS'!M83</f>
        <v>-56913.279999999999</v>
      </c>
      <c r="AE198" s="1076">
        <f>'MXD BS'!N83</f>
        <v>-56913.279999999999</v>
      </c>
      <c r="AF198" s="1076">
        <f>'MXD BS'!O83</f>
        <v>-56913.279999999999</v>
      </c>
      <c r="AG198" s="1076">
        <f>'MXD BS'!P83</f>
        <v>-56913.279999999999</v>
      </c>
      <c r="AH198" s="1076">
        <f>'MXD BS'!Q83</f>
        <v>-56913.279999999999</v>
      </c>
      <c r="AI198" s="1076">
        <f>'MXD BS'!R83</f>
        <v>-56913.279999999999</v>
      </c>
      <c r="AJ198" s="1076">
        <f>'MXD BS'!S83</f>
        <v>-56913.279999999999</v>
      </c>
      <c r="AK198" s="1076">
        <f>'MXD BS'!T83</f>
        <v>-56913.279999999999</v>
      </c>
      <c r="AL198" s="1076">
        <f>'MXD BS'!U83</f>
        <v>-56913.279999999999</v>
      </c>
      <c r="AM198" s="1076">
        <f>'MXD BS'!V83</f>
        <v>-56913.279999999999</v>
      </c>
      <c r="AN198" s="1076">
        <f>'MXD BS'!W83</f>
        <v>-56913.279999999999</v>
      </c>
      <c r="AO198" s="1076">
        <f>'MXD BS'!X83</f>
        <v>-56913.279999999999</v>
      </c>
      <c r="AP198" s="649">
        <f t="shared" ref="AP198:BC198" si="343">AO198</f>
        <v>-56913.279999999999</v>
      </c>
      <c r="AQ198" s="649">
        <f t="shared" si="343"/>
        <v>-56913.279999999999</v>
      </c>
      <c r="AR198" s="618">
        <f t="shared" si="343"/>
        <v>-56913.279999999999</v>
      </c>
      <c r="AS198" s="649">
        <f t="shared" si="343"/>
        <v>-56913.279999999999</v>
      </c>
      <c r="AT198" s="649">
        <f t="shared" si="343"/>
        <v>-56913.279999999999</v>
      </c>
      <c r="AU198" s="649">
        <f t="shared" si="343"/>
        <v>-56913.279999999999</v>
      </c>
      <c r="AV198" s="649">
        <f t="shared" si="343"/>
        <v>-56913.279999999999</v>
      </c>
      <c r="AW198" s="649">
        <f t="shared" si="343"/>
        <v>-56913.279999999999</v>
      </c>
      <c r="AX198" s="649">
        <f t="shared" si="343"/>
        <v>-56913.279999999999</v>
      </c>
      <c r="AY198" s="649">
        <f t="shared" si="343"/>
        <v>-56913.279999999999</v>
      </c>
      <c r="AZ198" s="649">
        <f t="shared" si="343"/>
        <v>-56913.279999999999</v>
      </c>
      <c r="BA198" s="649">
        <f t="shared" si="343"/>
        <v>-56913.279999999999</v>
      </c>
      <c r="BB198" s="649">
        <f t="shared" si="343"/>
        <v>-56913.279999999999</v>
      </c>
      <c r="BC198" s="649">
        <f t="shared" si="343"/>
        <v>-56913.279999999999</v>
      </c>
      <c r="BE198" s="1195">
        <v>222862.72</v>
      </c>
      <c r="BF198" s="924">
        <f t="shared" si="337"/>
        <v>-56913.279999999999</v>
      </c>
      <c r="BG198" s="1195">
        <f t="shared" si="338"/>
        <v>-56913.279999999999</v>
      </c>
    </row>
    <row r="199" spans="1:60" s="1312" customFormat="1" ht="15.75" customHeight="1" x14ac:dyDescent="0.3">
      <c r="A199" s="1324"/>
      <c r="B199" s="1324"/>
      <c r="C199" s="1325" t="s">
        <v>1207</v>
      </c>
      <c r="E199" s="1364"/>
      <c r="F199" s="1374"/>
      <c r="G199" s="1370"/>
      <c r="H199" s="1370"/>
      <c r="I199" s="1371"/>
      <c r="J199" s="1371"/>
      <c r="K199" s="1371"/>
      <c r="L199" s="1371"/>
      <c r="M199" s="1371"/>
      <c r="N199" s="1371"/>
      <c r="O199" s="1371"/>
      <c r="P199" s="1371"/>
      <c r="Q199" s="1371"/>
      <c r="R199" s="1371"/>
      <c r="S199" s="1328"/>
      <c r="T199" s="1328"/>
      <c r="U199" s="1328"/>
      <c r="V199" s="1328"/>
      <c r="W199" s="1328"/>
      <c r="X199" s="1328"/>
      <c r="Y199" s="1328"/>
      <c r="Z199" s="1329"/>
      <c r="AA199" s="1329"/>
      <c r="AB199" s="1329"/>
      <c r="AC199" s="1329"/>
      <c r="AD199" s="1329"/>
      <c r="AE199" s="1329"/>
      <c r="AF199" s="1329"/>
      <c r="AG199" s="1329"/>
      <c r="AH199" s="1329"/>
      <c r="AI199" s="1329"/>
      <c r="AJ199" s="1329"/>
      <c r="AK199" s="1329">
        <f>'HEC Financials'!AZ178</f>
        <v>690498.18</v>
      </c>
      <c r="AL199" s="1329">
        <f>'HEC Financials'!BA178</f>
        <v>708473.9</v>
      </c>
      <c r="AM199" s="1329">
        <f>'HEC Financials'!BB178</f>
        <v>780623.1</v>
      </c>
      <c r="AN199" s="1329">
        <f>'HEC Financials'!BC178</f>
        <v>582423.38</v>
      </c>
      <c r="AO199" s="1329">
        <f>'HEC Financials'!BD178</f>
        <v>747573.05</v>
      </c>
      <c r="AP199" s="1371">
        <f>SUM('HEC Financials'!$AS$178:$AX$178)/SUM('HEC Financials'!$AS$7:$AX$7)*AP48</f>
        <v>712557.71078766626</v>
      </c>
      <c r="AQ199" s="1371">
        <f>SUM('HEC Financials'!$AS$178:$AX$178)/SUM('HEC Financials'!$AS$7:$AX$7)*AQ48</f>
        <v>737636.88495445123</v>
      </c>
      <c r="AR199" s="1328">
        <f>SUM('HEC Financials'!$AS$178:$AX$178)/SUM('HEC Financials'!$AS$7:$AX$7)*AR48</f>
        <v>698706.04935963289</v>
      </c>
      <c r="AS199" s="1371">
        <f>SUM('HEC Financials'!$AS$178:$AX$178)/SUM('HEC Financials'!$AS$7:$AX$7)*AS48</f>
        <v>698706.04935963289</v>
      </c>
      <c r="AT199" s="1371">
        <f>SUM('HEC Financials'!$AS$178:$AX$178)/SUM('HEC Financials'!$AS$7:$AX$7)*AT48</f>
        <v>698706.04935963289</v>
      </c>
      <c r="AU199" s="1371">
        <f>SUM('HEC Financials'!$AS$178:$AX$178)/SUM('HEC Financials'!$AS$7:$AX$7)*AU48</f>
        <v>698706.04935963289</v>
      </c>
      <c r="AV199" s="1371">
        <f>SUM('HEC Financials'!$AS$178:$AX$178)/SUM('HEC Financials'!$AS$7:$AX$7)*AV48</f>
        <v>698706.04935963289</v>
      </c>
      <c r="AW199" s="1371">
        <f>SUM('HEC Financials'!$AS$178:$AX$178)/SUM('HEC Financials'!$AS$7:$AX$7)*AW48</f>
        <v>698706.04935963289</v>
      </c>
      <c r="AX199" s="1371">
        <f>SUM('HEC Financials'!$AS$178:$AX$178)/SUM('HEC Financials'!$AS$7:$AX$7)*AX48</f>
        <v>698706.04935963289</v>
      </c>
      <c r="AY199" s="1371">
        <f>SUM('HEC Financials'!$AS$178:$AX$178)/SUM('HEC Financials'!$AS$7:$AX$7)*AY48</f>
        <v>698706.04935963289</v>
      </c>
      <c r="AZ199" s="1371">
        <f>SUM('HEC Financials'!$AS$178:$AX$178)/SUM('HEC Financials'!$AS$7:$AX$7)*AZ48</f>
        <v>698706.04935963289</v>
      </c>
      <c r="BA199" s="1371">
        <f>SUM('HEC Financials'!$AS$178:$AX$178)/SUM('HEC Financials'!$AS$7:$AX$7)*BA48</f>
        <v>698706.04935963289</v>
      </c>
      <c r="BB199" s="1371">
        <f>SUM('HEC Financials'!$AS$178:$AX$178)/SUM('HEC Financials'!$AS$7:$AX$7)*BB48</f>
        <v>698706.04935963289</v>
      </c>
      <c r="BC199" s="1371">
        <f>SUM('HEC Financials'!$AS$178:$AX$178)/SUM('HEC Financials'!$AS$7:$AX$7)*BC48</f>
        <v>698706.04935963289</v>
      </c>
      <c r="BE199" s="1372">
        <v>222862.72</v>
      </c>
      <c r="BF199" s="1328">
        <f t="shared" si="337"/>
        <v>737636.88495445123</v>
      </c>
      <c r="BG199" s="1372">
        <f t="shared" si="338"/>
        <v>698706.04935963289</v>
      </c>
    </row>
    <row r="200" spans="1:60" s="1312" customFormat="1" ht="15.75" customHeight="1" x14ac:dyDescent="0.3">
      <c r="A200" s="1324"/>
      <c r="B200" s="1324"/>
      <c r="C200" s="1325" t="s">
        <v>1206</v>
      </c>
      <c r="E200" s="1364"/>
      <c r="F200" s="1374"/>
      <c r="G200" s="1370"/>
      <c r="H200" s="1370"/>
      <c r="I200" s="1371"/>
      <c r="J200" s="1371"/>
      <c r="K200" s="1371"/>
      <c r="L200" s="1371"/>
      <c r="M200" s="1371"/>
      <c r="N200" s="1371"/>
      <c r="O200" s="1371"/>
      <c r="P200" s="1371"/>
      <c r="Q200" s="1371"/>
      <c r="R200" s="1371"/>
      <c r="S200" s="1328"/>
      <c r="T200" s="1328"/>
      <c r="U200" s="1328"/>
      <c r="V200" s="1328"/>
      <c r="W200" s="1328"/>
      <c r="X200" s="1328"/>
      <c r="Y200" s="1328"/>
      <c r="Z200" s="1329"/>
      <c r="AA200" s="1329"/>
      <c r="AB200" s="1329"/>
      <c r="AC200" s="1329"/>
      <c r="AD200" s="1329"/>
      <c r="AE200" s="1329"/>
      <c r="AF200" s="1329"/>
      <c r="AG200" s="1329"/>
      <c r="AH200" s="1329"/>
      <c r="AI200" s="1329"/>
      <c r="AJ200" s="1329"/>
      <c r="AK200" s="1329">
        <f>'HEC Financials'!AZ160</f>
        <v>369138.3</v>
      </c>
      <c r="AL200" s="1329">
        <f>'HEC Financials'!BA160</f>
        <v>381852.11</v>
      </c>
      <c r="AM200" s="1329">
        <f>'HEC Financials'!BB160</f>
        <v>332202.48</v>
      </c>
      <c r="AN200" s="1329">
        <f>'HEC Financials'!BC160</f>
        <v>404672.13</v>
      </c>
      <c r="AO200" s="1329">
        <f>'HEC Financials'!BD160</f>
        <v>361930.27</v>
      </c>
      <c r="AP200" s="1371">
        <f>AP72/AP22</f>
        <v>321419.22768456087</v>
      </c>
      <c r="AQ200" s="1371">
        <f t="shared" ref="AQ200:BC200" si="344">AQ72/AQ22</f>
        <v>316412.75907992787</v>
      </c>
      <c r="AR200" s="1328">
        <f t="shared" si="344"/>
        <v>315855.17456381064</v>
      </c>
      <c r="AS200" s="1371">
        <f t="shared" si="344"/>
        <v>349400.70139268111</v>
      </c>
      <c r="AT200" s="1371">
        <f t="shared" si="344"/>
        <v>345465.40582083521</v>
      </c>
      <c r="AU200" s="1371">
        <f t="shared" si="344"/>
        <v>338136.03403945116</v>
      </c>
      <c r="AV200" s="1371">
        <f t="shared" si="344"/>
        <v>329167.94375280023</v>
      </c>
      <c r="AW200" s="1371">
        <f t="shared" si="344"/>
        <v>330878.12533472595</v>
      </c>
      <c r="AX200" s="1371">
        <f t="shared" si="344"/>
        <v>336144.28916891472</v>
      </c>
      <c r="AY200" s="1371">
        <f t="shared" si="344"/>
        <v>339421.64059261355</v>
      </c>
      <c r="AZ200" s="1371">
        <f t="shared" si="344"/>
        <v>337602.3182596105</v>
      </c>
      <c r="BA200" s="1371">
        <f t="shared" si="344"/>
        <v>336166.2443125812</v>
      </c>
      <c r="BB200" s="1371">
        <f t="shared" si="344"/>
        <v>335710.12598519266</v>
      </c>
      <c r="BC200" s="1371">
        <f t="shared" si="344"/>
        <v>336713.89530459594</v>
      </c>
      <c r="BE200" s="1372">
        <v>222862.72</v>
      </c>
      <c r="BF200" s="1328">
        <f t="shared" si="337"/>
        <v>316412.75907992787</v>
      </c>
      <c r="BG200" s="1372">
        <f t="shared" si="338"/>
        <v>336713.89530459594</v>
      </c>
    </row>
    <row r="201" spans="1:60" s="1312" customFormat="1" ht="15.75" customHeight="1" x14ac:dyDescent="0.3">
      <c r="A201" s="1324"/>
      <c r="B201" s="1324"/>
      <c r="C201" s="1313" t="s">
        <v>1314</v>
      </c>
      <c r="D201" s="1315"/>
      <c r="E201" s="1315"/>
      <c r="F201" s="1380"/>
      <c r="G201" s="1378"/>
      <c r="H201" s="1378"/>
      <c r="I201" s="1319"/>
      <c r="J201" s="1319"/>
      <c r="K201" s="1319"/>
      <c r="L201" s="1319"/>
      <c r="M201" s="1319"/>
      <c r="N201" s="1319"/>
      <c r="O201" s="1319"/>
      <c r="P201" s="1319"/>
      <c r="Q201" s="1319"/>
      <c r="R201" s="1319"/>
      <c r="S201" s="1318"/>
      <c r="T201" s="1318"/>
      <c r="U201" s="1318"/>
      <c r="V201" s="1318"/>
      <c r="W201" s="1318"/>
      <c r="X201" s="1318"/>
      <c r="Y201" s="1318"/>
      <c r="Z201" s="1320"/>
      <c r="AA201" s="1320"/>
      <c r="AB201" s="1320"/>
      <c r="AC201" s="1320"/>
      <c r="AD201" s="1320"/>
      <c r="AE201" s="1321"/>
      <c r="AF201" s="1321"/>
      <c r="AG201" s="1321"/>
      <c r="AH201" s="1321"/>
      <c r="AI201" s="1321"/>
      <c r="AJ201" s="1321"/>
      <c r="AK201" s="1321">
        <f>'HEC Financials'!AZ182-SUM(AK199:AK200)</f>
        <v>172489.94999999995</v>
      </c>
      <c r="AL201" s="1321">
        <f>'HEC Financials'!BA182-SUM(AL199:AL200)</f>
        <v>126344.01000000001</v>
      </c>
      <c r="AM201" s="1321">
        <f>'HEC Financials'!BB182-SUM(AM199:AM200)</f>
        <v>196933.56999999983</v>
      </c>
      <c r="AN201" s="1321">
        <f>'HEC Financials'!BC182-SUM(AN199:AN200)</f>
        <v>196543.45999999996</v>
      </c>
      <c r="AO201" s="1321">
        <f>'HEC Financials'!BD182-SUM(AO199:AO200)</f>
        <v>233074.64999999991</v>
      </c>
      <c r="AP201" s="1319">
        <f t="shared" ref="AP201:BC201" si="345">AVERAGE(AM201:AO201)</f>
        <v>208850.55999999991</v>
      </c>
      <c r="AQ201" s="1319">
        <f t="shared" si="345"/>
        <v>212822.88999999993</v>
      </c>
      <c r="AR201" s="1613">
        <f t="shared" si="345"/>
        <v>218249.36666666658</v>
      </c>
      <c r="AS201" s="1319">
        <f t="shared" si="345"/>
        <v>213307.60555555546</v>
      </c>
      <c r="AT201" s="1319">
        <f t="shared" si="345"/>
        <v>214793.2874074073</v>
      </c>
      <c r="AU201" s="1319">
        <f t="shared" si="345"/>
        <v>215450.08654320976</v>
      </c>
      <c r="AV201" s="1319">
        <f t="shared" si="345"/>
        <v>214516.99316872415</v>
      </c>
      <c r="AW201" s="1319">
        <f t="shared" si="345"/>
        <v>214920.12237311373</v>
      </c>
      <c r="AX201" s="1319">
        <f t="shared" si="345"/>
        <v>214962.40069501588</v>
      </c>
      <c r="AY201" s="1319">
        <f t="shared" si="345"/>
        <v>214799.83874561792</v>
      </c>
      <c r="AZ201" s="1319">
        <f t="shared" si="345"/>
        <v>214894.12060458251</v>
      </c>
      <c r="BA201" s="1319">
        <f t="shared" si="345"/>
        <v>214885.45334840543</v>
      </c>
      <c r="BB201" s="1319">
        <f t="shared" si="345"/>
        <v>214859.8042328686</v>
      </c>
      <c r="BC201" s="1319">
        <f t="shared" si="345"/>
        <v>214879.79272861884</v>
      </c>
      <c r="BE201" s="1379"/>
      <c r="BF201" s="1321">
        <v>212822.88999999993</v>
      </c>
      <c r="BG201" s="1379">
        <f t="shared" si="338"/>
        <v>214879.79272861884</v>
      </c>
    </row>
    <row r="202" spans="1:60" ht="15.75" customHeight="1" x14ac:dyDescent="0.3">
      <c r="A202" s="197"/>
      <c r="B202" s="197"/>
      <c r="C202" s="687" t="s">
        <v>265</v>
      </c>
      <c r="D202" s="84"/>
      <c r="E202" s="84"/>
      <c r="F202" s="84"/>
      <c r="G202" s="692">
        <f>SUM(G190:G198)</f>
        <v>3261954.5300000003</v>
      </c>
      <c r="H202" s="693">
        <f>SUM(H190:H198)</f>
        <v>3751810.9500000007</v>
      </c>
      <c r="I202" s="667">
        <f>SUM(I190:I198)</f>
        <v>4118007.2</v>
      </c>
      <c r="J202" s="667">
        <f>SUM(J189:J198)</f>
        <v>3375607.6100000003</v>
      </c>
      <c r="K202" s="667">
        <f t="shared" ref="K202:T202" si="346">SUM(K190:K198)</f>
        <v>3717590.0000000023</v>
      </c>
      <c r="L202" s="667">
        <f t="shared" si="346"/>
        <v>3798357.9799999986</v>
      </c>
      <c r="M202" s="667">
        <f t="shared" si="346"/>
        <v>3568780.6500000008</v>
      </c>
      <c r="N202" s="667">
        <f t="shared" si="346"/>
        <v>3417462.69</v>
      </c>
      <c r="O202" s="667">
        <f t="shared" si="346"/>
        <v>4482054.209999999</v>
      </c>
      <c r="P202" s="667">
        <f t="shared" si="346"/>
        <v>4321109.3499999996</v>
      </c>
      <c r="Q202" s="667">
        <f t="shared" si="346"/>
        <v>4271609.3899999987</v>
      </c>
      <c r="R202" s="667">
        <f t="shared" si="346"/>
        <v>5842433.7800000003</v>
      </c>
      <c r="S202" s="941">
        <f t="shared" si="346"/>
        <v>6709151.5300000003</v>
      </c>
      <c r="T202" s="1132">
        <f t="shared" si="346"/>
        <v>6182155.4899999993</v>
      </c>
      <c r="U202" s="1133">
        <f t="shared" ref="U202:AB202" si="347">SUM(U190:U198)</f>
        <v>7117775.0299999993</v>
      </c>
      <c r="V202" s="1133">
        <f>SUM(V190:V198)</f>
        <v>7294423.0099999998</v>
      </c>
      <c r="W202" s="1133">
        <f t="shared" si="347"/>
        <v>7278028.9899999993</v>
      </c>
      <c r="X202" s="1133">
        <f t="shared" si="347"/>
        <v>7738129.1399999997</v>
      </c>
      <c r="Y202" s="1133">
        <f t="shared" si="347"/>
        <v>6712651.0899999999</v>
      </c>
      <c r="Z202" s="1133">
        <f>SUM(Z190:Z198)</f>
        <v>4038038.7</v>
      </c>
      <c r="AA202" s="1079">
        <f>SUM(AA190:AA198)</f>
        <v>4725793.75</v>
      </c>
      <c r="AB202" s="1079">
        <f t="shared" si="347"/>
        <v>4327622.0699999994</v>
      </c>
      <c r="AC202" s="1079">
        <f t="shared" ref="AC202:AI202" si="348">SUM(AC190:AC198)</f>
        <v>4916194.3899999997</v>
      </c>
      <c r="AD202" s="1079">
        <f t="shared" si="348"/>
        <v>5124674.4800000004</v>
      </c>
      <c r="AE202" s="1079">
        <f t="shared" ref="AE202" si="349">SUM(AE190:AE198)</f>
        <v>5693653.4499999993</v>
      </c>
      <c r="AF202" s="1079">
        <f t="shared" si="348"/>
        <v>5268802.92</v>
      </c>
      <c r="AG202" s="1079">
        <f t="shared" si="348"/>
        <v>5974150.4399999995</v>
      </c>
      <c r="AH202" s="1079">
        <f t="shared" si="348"/>
        <v>6996528.5599999996</v>
      </c>
      <c r="AI202" s="1079">
        <f t="shared" si="348"/>
        <v>6903381.1400000006</v>
      </c>
      <c r="AJ202" s="1079">
        <f>SUM(AJ190:AJ200)</f>
        <v>6288431.4699999988</v>
      </c>
      <c r="AK202" s="1079">
        <f>SUM(AK190:AK201)</f>
        <v>6806411.4299999997</v>
      </c>
      <c r="AL202" s="1079">
        <f t="shared" ref="AL202:AQ202" si="350">SUM(AL190:AL201)</f>
        <v>6616665.0199999996</v>
      </c>
      <c r="AM202" s="1079">
        <f t="shared" si="350"/>
        <v>6643028.4900000002</v>
      </c>
      <c r="AN202" s="1079">
        <f t="shared" ref="AN202:AO202" si="351">SUM(AN190:AN201)</f>
        <v>6622147.4299999997</v>
      </c>
      <c r="AO202" s="1079">
        <f t="shared" si="351"/>
        <v>6919871.8399999999</v>
      </c>
      <c r="AP202" s="667">
        <f t="shared" si="350"/>
        <v>8175655.6742475256</v>
      </c>
      <c r="AQ202" s="667">
        <f t="shared" si="350"/>
        <v>9305170.0628614035</v>
      </c>
      <c r="AR202" s="1614">
        <f t="shared" ref="AR202:BC202" si="352">SUM(AR190:AR201)</f>
        <v>8875904.4979399499</v>
      </c>
      <c r="AS202" s="667">
        <f t="shared" si="352"/>
        <v>8916358.2149523441</v>
      </c>
      <c r="AT202" s="667">
        <f t="shared" si="352"/>
        <v>8898825.7862945758</v>
      </c>
      <c r="AU202" s="667">
        <f t="shared" si="352"/>
        <v>8874297.8801718745</v>
      </c>
      <c r="AV202" s="667">
        <f t="shared" si="352"/>
        <v>8883399.0713007804</v>
      </c>
      <c r="AW202" s="667">
        <f t="shared" si="352"/>
        <v>8881401.3790558539</v>
      </c>
      <c r="AX202" s="667">
        <f t="shared" si="352"/>
        <v>8889335.3978172168</v>
      </c>
      <c r="AY202" s="667">
        <f t="shared" si="352"/>
        <v>8891857.8715362344</v>
      </c>
      <c r="AZ202" s="667">
        <f t="shared" si="352"/>
        <v>8887524.1677813269</v>
      </c>
      <c r="BA202" s="667">
        <f t="shared" si="352"/>
        <v>8885494.3969346359</v>
      </c>
      <c r="BB202" s="667">
        <f t="shared" si="352"/>
        <v>8887341.1287859827</v>
      </c>
      <c r="BC202" s="667">
        <f t="shared" si="352"/>
        <v>8887875.891909888</v>
      </c>
      <c r="BE202" s="1079">
        <f t="shared" ref="BE202" si="353">SUM(BE190:BE200)</f>
        <v>2228627.2000000002</v>
      </c>
      <c r="BF202" s="1079">
        <f>SUM(BF190:BF201)</f>
        <v>9305170.0628614035</v>
      </c>
      <c r="BG202" s="1079">
        <f t="shared" si="338"/>
        <v>8887875.891909888</v>
      </c>
    </row>
    <row r="203" spans="1:60" ht="15.75" customHeight="1" x14ac:dyDescent="0.3">
      <c r="A203" s="76"/>
      <c r="B203" s="76"/>
      <c r="C203" s="1452" t="s">
        <v>1315</v>
      </c>
      <c r="D203" s="1456"/>
      <c r="E203" s="1456"/>
      <c r="F203" s="1456"/>
      <c r="G203" s="1457"/>
      <c r="H203" s="1458"/>
      <c r="I203" s="1459"/>
      <c r="J203" s="1459"/>
      <c r="K203" s="1459"/>
      <c r="L203" s="1459"/>
      <c r="M203" s="1459"/>
      <c r="N203" s="1459"/>
      <c r="O203" s="1459"/>
      <c r="P203" s="1459"/>
      <c r="Q203" s="1459"/>
      <c r="R203" s="1459"/>
      <c r="S203" s="1460"/>
      <c r="T203" s="1460"/>
      <c r="U203" s="1460"/>
      <c r="V203" s="1460"/>
      <c r="W203" s="1460"/>
      <c r="X203" s="1460"/>
      <c r="Y203" s="1460"/>
      <c r="Z203" s="1461"/>
      <c r="AA203" s="1461"/>
      <c r="AB203" s="1461"/>
      <c r="AC203" s="1461"/>
      <c r="AD203" s="1461"/>
      <c r="AE203" s="1462"/>
      <c r="AF203" s="1461"/>
      <c r="AG203" s="1461"/>
      <c r="AH203" s="1461"/>
      <c r="AI203" s="1461"/>
      <c r="AJ203" s="1461"/>
      <c r="AK203" s="1463">
        <f>AK202-'MXD BS'!T100-'HEC Financials'!AZ182</f>
        <v>0</v>
      </c>
      <c r="AL203" s="1463">
        <f>AL202-'MXD BS'!U100-'HEC Financials'!BA182</f>
        <v>0</v>
      </c>
      <c r="AM203" s="1463">
        <f>AM202-'MXD BS'!V100-'HEC Financials'!BB182</f>
        <v>0</v>
      </c>
      <c r="AN203" s="1463">
        <f>AN202-'MXD BS'!W100-'HEC Financials'!BC182</f>
        <v>0</v>
      </c>
      <c r="AO203" s="1463">
        <f>AO202-'MXD BS'!X100-'HEC Financials'!BD182</f>
        <v>0</v>
      </c>
      <c r="AP203" s="1459"/>
      <c r="AQ203" s="1459"/>
      <c r="AR203" s="1641"/>
      <c r="AS203" s="1459"/>
      <c r="AT203" s="1459"/>
      <c r="AU203" s="1459"/>
      <c r="AV203" s="1459"/>
      <c r="AW203" s="1459"/>
      <c r="AX203" s="1459"/>
      <c r="AY203" s="1459"/>
      <c r="AZ203" s="1459"/>
      <c r="BA203" s="1459"/>
      <c r="BB203" s="1459"/>
      <c r="BC203" s="1459"/>
      <c r="BE203" s="1195">
        <v>504201.58000000054</v>
      </c>
      <c r="BF203" s="1460">
        <f t="shared" ref="BF203:BF212" si="354">AQ203</f>
        <v>0</v>
      </c>
      <c r="BG203" s="1195">
        <f t="shared" si="338"/>
        <v>0</v>
      </c>
    </row>
    <row r="204" spans="1:60" ht="15.75" customHeight="1" x14ac:dyDescent="0.3">
      <c r="A204" s="76"/>
      <c r="B204" s="76"/>
      <c r="C204" s="84" t="s">
        <v>266</v>
      </c>
      <c r="D204" s="63"/>
      <c r="E204" s="63"/>
      <c r="F204" s="63"/>
      <c r="G204" s="161"/>
      <c r="H204" s="651"/>
      <c r="I204" s="681"/>
      <c r="J204" s="681"/>
      <c r="K204" s="681"/>
      <c r="L204" s="681"/>
      <c r="M204" s="681"/>
      <c r="N204" s="681"/>
      <c r="O204" s="681"/>
      <c r="P204" s="681"/>
      <c r="Q204" s="681"/>
      <c r="R204" s="681"/>
      <c r="S204" s="942"/>
      <c r="T204" s="942"/>
      <c r="U204" s="942"/>
      <c r="V204" s="942"/>
      <c r="W204" s="942"/>
      <c r="X204" s="942"/>
      <c r="Y204" s="942"/>
      <c r="Z204" s="1096"/>
      <c r="AA204" s="1096"/>
      <c r="AB204" s="1096"/>
      <c r="AC204" s="1096"/>
      <c r="AD204" s="1096"/>
      <c r="AE204" s="946"/>
      <c r="AF204" s="1096"/>
      <c r="AG204" s="1096"/>
      <c r="AH204" s="1096"/>
      <c r="AI204" s="1096"/>
      <c r="AJ204" s="1096"/>
      <c r="AK204" s="1096"/>
      <c r="AL204" s="1096"/>
      <c r="AM204" s="1096"/>
      <c r="AN204" s="1096"/>
      <c r="AO204" s="1096"/>
      <c r="AP204" s="681"/>
      <c r="AQ204" s="681"/>
      <c r="AR204" s="1642"/>
      <c r="AS204" s="681"/>
      <c r="AT204" s="681"/>
      <c r="AU204" s="681"/>
      <c r="AV204" s="681"/>
      <c r="AW204" s="681"/>
      <c r="AX204" s="681"/>
      <c r="AY204" s="681"/>
      <c r="AZ204" s="681"/>
      <c r="BA204" s="681"/>
      <c r="BB204" s="681"/>
      <c r="BC204" s="681"/>
      <c r="BE204" s="1195"/>
      <c r="BF204" s="942">
        <f t="shared" si="354"/>
        <v>0</v>
      </c>
      <c r="BG204" s="1195"/>
    </row>
    <row r="205" spans="1:60" ht="15.75" customHeight="1" x14ac:dyDescent="0.3">
      <c r="A205" s="76"/>
      <c r="B205" s="76"/>
      <c r="C205" s="57" t="s">
        <v>267</v>
      </c>
      <c r="D205" s="63"/>
      <c r="E205" s="63"/>
      <c r="F205" s="63"/>
      <c r="G205" s="144">
        <v>695226</v>
      </c>
      <c r="H205" s="647">
        <v>670849.98</v>
      </c>
      <c r="I205" s="681">
        <v>670849.98</v>
      </c>
      <c r="J205" s="681">
        <v>670849.98</v>
      </c>
      <c r="K205" s="681">
        <v>647976.53</v>
      </c>
      <c r="L205" s="681">
        <v>647976.53</v>
      </c>
      <c r="M205" s="681">
        <v>647976.53</v>
      </c>
      <c r="N205" s="681">
        <v>624954.93000000005</v>
      </c>
      <c r="O205" s="681">
        <f>N205+O251</f>
        <v>624954.93000000005</v>
      </c>
      <c r="P205" s="681">
        <v>624954.93000000005</v>
      </c>
      <c r="Q205" s="681">
        <v>601784.2300000001</v>
      </c>
      <c r="R205" s="681">
        <f>Q205+R251</f>
        <v>601784.2300000001</v>
      </c>
      <c r="S205" s="942">
        <f>'MXD BS'!B103</f>
        <v>601784.23</v>
      </c>
      <c r="T205" s="942">
        <f>'MXD BS'!C103</f>
        <v>578847.5</v>
      </c>
      <c r="U205" s="942">
        <f>'MXD BS'!D103</f>
        <v>578847.5</v>
      </c>
      <c r="V205" s="942">
        <f>'MXD BS'!E103</f>
        <v>578847.5</v>
      </c>
      <c r="W205" s="942">
        <f>'MXD BS'!F103</f>
        <v>555604.37</v>
      </c>
      <c r="X205" s="942">
        <f>'MXD BS'!G103</f>
        <v>555604.37</v>
      </c>
      <c r="Y205" s="942">
        <f>'MXD BS'!H103</f>
        <v>532195.46</v>
      </c>
      <c r="Z205" s="1096">
        <f>'MXD BS'!I103</f>
        <v>532195.46</v>
      </c>
      <c r="AA205" s="1096">
        <f>'MXD BS'!J103</f>
        <v>532195.46</v>
      </c>
      <c r="AB205" s="1096">
        <f>'MXD BS'!K103</f>
        <v>532195.46</v>
      </c>
      <c r="AC205" s="1096">
        <f>'MXD BS'!L103</f>
        <v>508619.59</v>
      </c>
      <c r="AD205" s="1096">
        <f>'MXD BS'!M103</f>
        <v>508619.59</v>
      </c>
      <c r="AE205" s="1096">
        <f>'MXD BS'!N103</f>
        <v>508619.59</v>
      </c>
      <c r="AF205" s="1096">
        <f>'MXD BS'!O103</f>
        <v>0</v>
      </c>
      <c r="AG205" s="1096">
        <f>'MXD BS'!P103</f>
        <v>0</v>
      </c>
      <c r="AH205" s="1096">
        <f>'MXD BS'!Q103</f>
        <v>0</v>
      </c>
      <c r="AI205" s="1096">
        <f>'MXD BS'!R103</f>
        <v>0</v>
      </c>
      <c r="AJ205" s="1096"/>
      <c r="AK205" s="1096"/>
      <c r="AL205" s="1096"/>
      <c r="AM205" s="1096"/>
      <c r="AN205" s="1096"/>
      <c r="AO205" s="1096"/>
      <c r="AP205" s="681"/>
      <c r="AQ205" s="681"/>
      <c r="AR205" s="1642"/>
      <c r="AS205" s="681"/>
      <c r="AT205" s="681"/>
      <c r="AU205" s="681"/>
      <c r="AV205" s="681"/>
      <c r="AW205" s="681"/>
      <c r="AX205" s="681"/>
      <c r="AY205" s="681"/>
      <c r="AZ205" s="681"/>
      <c r="BA205" s="681"/>
      <c r="BB205" s="681"/>
      <c r="BC205" s="681"/>
      <c r="BE205" s="1195">
        <v>508619.59</v>
      </c>
      <c r="BF205" s="942">
        <f t="shared" si="354"/>
        <v>0</v>
      </c>
      <c r="BG205" s="1195">
        <f t="shared" ref="BG205" si="355">BC205</f>
        <v>0</v>
      </c>
    </row>
    <row r="206" spans="1:60" ht="15.75" customHeight="1" x14ac:dyDescent="0.3">
      <c r="A206" s="76"/>
      <c r="B206" s="76"/>
      <c r="C206" s="57" t="s">
        <v>268</v>
      </c>
      <c r="D206" s="63"/>
      <c r="E206" s="63"/>
      <c r="F206" s="63"/>
      <c r="G206" s="144">
        <v>0</v>
      </c>
      <c r="H206" s="647"/>
      <c r="I206" s="649"/>
      <c r="J206" s="649"/>
      <c r="K206" s="649"/>
      <c r="L206" s="649"/>
      <c r="M206" s="649"/>
      <c r="N206" s="649">
        <f>M206</f>
        <v>0</v>
      </c>
      <c r="O206" s="649">
        <f>N206</f>
        <v>0</v>
      </c>
      <c r="P206" s="649"/>
      <c r="Q206" s="649"/>
      <c r="R206" s="649">
        <f>Q206</f>
        <v>0</v>
      </c>
      <c r="S206" s="924"/>
      <c r="T206" s="924"/>
      <c r="U206" s="924"/>
      <c r="V206" s="924"/>
      <c r="W206" s="924"/>
      <c r="X206" s="924"/>
      <c r="Y206" s="924"/>
      <c r="Z206" s="1076"/>
      <c r="AA206" s="1076"/>
      <c r="AB206" s="1076"/>
      <c r="AC206" s="1076"/>
      <c r="AD206" s="1076"/>
      <c r="AE206" s="1146"/>
      <c r="AF206" s="1076"/>
      <c r="AG206" s="1076"/>
      <c r="AH206" s="1076"/>
      <c r="AI206" s="1076"/>
      <c r="AJ206" s="1076"/>
      <c r="AK206" s="1076"/>
      <c r="AL206" s="1076"/>
      <c r="AM206" s="1076"/>
      <c r="AN206" s="1076"/>
      <c r="AO206" s="1076"/>
      <c r="AP206" s="649"/>
      <c r="AQ206" s="649"/>
      <c r="AR206" s="618"/>
      <c r="AS206" s="649"/>
      <c r="AT206" s="649"/>
      <c r="AU206" s="649"/>
      <c r="AV206" s="649"/>
      <c r="AW206" s="649"/>
      <c r="AX206" s="649"/>
      <c r="AY206" s="649"/>
      <c r="AZ206" s="649"/>
      <c r="BA206" s="649"/>
      <c r="BB206" s="649"/>
      <c r="BC206" s="649"/>
      <c r="BE206" s="1195"/>
      <c r="BF206" s="924">
        <f t="shared" si="354"/>
        <v>0</v>
      </c>
      <c r="BG206" s="1195"/>
    </row>
    <row r="207" spans="1:60" s="1312" customFormat="1" ht="15.75" customHeight="1" x14ac:dyDescent="0.3">
      <c r="A207" s="1324"/>
      <c r="B207" s="1324"/>
      <c r="C207" s="1325" t="s">
        <v>1328</v>
      </c>
      <c r="D207" s="1364"/>
      <c r="E207" s="1364"/>
      <c r="F207" s="1364"/>
      <c r="G207" s="1370"/>
      <c r="H207" s="1370"/>
      <c r="I207" s="1371"/>
      <c r="J207" s="1371"/>
      <c r="K207" s="1371"/>
      <c r="L207" s="1371"/>
      <c r="M207" s="1371"/>
      <c r="N207" s="1371"/>
      <c r="O207" s="1371"/>
      <c r="P207" s="1371"/>
      <c r="Q207" s="1371"/>
      <c r="R207" s="1371"/>
      <c r="S207" s="1328"/>
      <c r="T207" s="1328"/>
      <c r="U207" s="1328"/>
      <c r="V207" s="1328"/>
      <c r="W207" s="1328"/>
      <c r="X207" s="1328"/>
      <c r="Y207" s="1328"/>
      <c r="Z207" s="1329"/>
      <c r="AA207" s="1329"/>
      <c r="AB207" s="1329"/>
      <c r="AC207" s="1329"/>
      <c r="AD207" s="1329"/>
      <c r="AE207" s="1327"/>
      <c r="AF207" s="1329"/>
      <c r="AG207" s="1329"/>
      <c r="AH207" s="1329"/>
      <c r="AI207" s="1329"/>
      <c r="AJ207" s="1329"/>
      <c r="AK207" s="1329">
        <f>'HEC Financials'!AZ193</f>
        <v>1962526.56</v>
      </c>
      <c r="AL207" s="1329">
        <f>'HEC Financials'!BA193</f>
        <v>1950053.12</v>
      </c>
      <c r="AM207" s="1329">
        <f>'HEC Financials'!BB193</f>
        <v>1936928.16</v>
      </c>
      <c r="AN207" s="1329">
        <f>'HEC Financials'!BC193</f>
        <v>1925106.24</v>
      </c>
      <c r="AO207" s="1329">
        <f>'HEC Financials'!BD193</f>
        <v>1912632.8</v>
      </c>
      <c r="AP207" s="1371">
        <f t="shared" ref="AP207:BC207" ca="1" si="356">AO207+AP252</f>
        <v>1900717.7577214409</v>
      </c>
      <c r="AQ207" s="1371">
        <f t="shared" ca="1" si="356"/>
        <v>1888422.7154428817</v>
      </c>
      <c r="AR207" s="1328">
        <f t="shared" ca="1" si="356"/>
        <v>1876377.6731643225</v>
      </c>
      <c r="AS207" s="1371">
        <f t="shared" ca="1" si="356"/>
        <v>1864272.6308857633</v>
      </c>
      <c r="AT207" s="1371">
        <f t="shared" ca="1" si="356"/>
        <v>1851477.5886072041</v>
      </c>
      <c r="AU207" s="1371">
        <f t="shared" ca="1" si="356"/>
        <v>1839242.546328645</v>
      </c>
      <c r="AV207" s="1371">
        <f t="shared" ca="1" si="356"/>
        <v>1826637.5040500858</v>
      </c>
      <c r="AW207" s="1371">
        <f t="shared" ca="1" si="356"/>
        <v>1814272.4617715266</v>
      </c>
      <c r="AX207" s="1371">
        <f t="shared" ca="1" si="356"/>
        <v>1801537.4194929674</v>
      </c>
      <c r="AY207" s="1371">
        <f t="shared" ca="1" si="356"/>
        <v>1789042.3772144082</v>
      </c>
      <c r="AZ207" s="1371">
        <f t="shared" ca="1" si="356"/>
        <v>1776477.3349358491</v>
      </c>
      <c r="BA207" s="1371">
        <f t="shared" ca="1" si="356"/>
        <v>1763552.2926572899</v>
      </c>
      <c r="BB207" s="1371">
        <f t="shared" ca="1" si="356"/>
        <v>1750857.2503787307</v>
      </c>
      <c r="BC207" s="1371">
        <f t="shared" ca="1" si="356"/>
        <v>1737802.2081001715</v>
      </c>
      <c r="BE207" s="1372">
        <v>143845.60999999999</v>
      </c>
      <c r="BF207" s="1328">
        <f t="shared" ca="1" si="354"/>
        <v>1888422.7154428817</v>
      </c>
      <c r="BG207" s="1372">
        <f t="shared" ref="BG207:BG208" ca="1" si="357">BC207</f>
        <v>1737802.2081001715</v>
      </c>
      <c r="BH207" s="1543"/>
    </row>
    <row r="208" spans="1:60" s="1312" customFormat="1" ht="15.75" customHeight="1" x14ac:dyDescent="0.3">
      <c r="A208" s="1324"/>
      <c r="B208" s="1324"/>
      <c r="C208" s="1325" t="s">
        <v>1329</v>
      </c>
      <c r="D208" s="1364"/>
      <c r="E208" s="1364"/>
      <c r="F208" s="1364"/>
      <c r="G208" s="1370"/>
      <c r="H208" s="1370"/>
      <c r="I208" s="1371"/>
      <c r="J208" s="1371"/>
      <c r="K208" s="1371"/>
      <c r="L208" s="1371"/>
      <c r="M208" s="1371"/>
      <c r="N208" s="1371"/>
      <c r="O208" s="1371"/>
      <c r="P208" s="1371"/>
      <c r="Q208" s="1371"/>
      <c r="R208" s="1371"/>
      <c r="S208" s="1328"/>
      <c r="T208" s="1328"/>
      <c r="U208" s="1328"/>
      <c r="V208" s="1328"/>
      <c r="W208" s="1328"/>
      <c r="X208" s="1328"/>
      <c r="Y208" s="1328"/>
      <c r="Z208" s="1329"/>
      <c r="AA208" s="1329"/>
      <c r="AB208" s="1329"/>
      <c r="AC208" s="1329"/>
      <c r="AD208" s="1329"/>
      <c r="AE208" s="1327"/>
      <c r="AF208" s="1329"/>
      <c r="AG208" s="1329"/>
      <c r="AH208" s="1329"/>
      <c r="AI208" s="1329"/>
      <c r="AJ208" s="1329"/>
      <c r="AK208" s="1329">
        <f>'HEC Financials'!AZ194</f>
        <v>500000</v>
      </c>
      <c r="AL208" s="1329">
        <f>'HEC Financials'!BA194</f>
        <v>500000</v>
      </c>
      <c r="AM208" s="1329">
        <f>'HEC Financials'!BB194</f>
        <v>500000</v>
      </c>
      <c r="AN208" s="1329">
        <f>'HEC Financials'!BC194</f>
        <v>500000</v>
      </c>
      <c r="AO208" s="1329">
        <f>'HEC Financials'!BD194</f>
        <v>485038.73</v>
      </c>
      <c r="AP208" s="1371">
        <f t="shared" ref="AP208:BC208" ca="1" si="358">AO208+AP253</f>
        <v>477770.4207813791</v>
      </c>
      <c r="AQ208" s="1371">
        <f t="shared" ca="1" si="358"/>
        <v>470392.11156275822</v>
      </c>
      <c r="AR208" s="1328">
        <f t="shared" ca="1" si="358"/>
        <v>463053.80234413734</v>
      </c>
      <c r="AS208" s="1371">
        <f t="shared" ca="1" si="358"/>
        <v>455675.49312551646</v>
      </c>
      <c r="AT208" s="1371">
        <f t="shared" ca="1" si="358"/>
        <v>448117.18390689557</v>
      </c>
      <c r="AU208" s="1371">
        <f t="shared" ca="1" si="358"/>
        <v>440658.87468827469</v>
      </c>
      <c r="AV208" s="1371">
        <f t="shared" ca="1" si="358"/>
        <v>433100.56546965381</v>
      </c>
      <c r="AW208" s="1371">
        <f t="shared" ca="1" si="358"/>
        <v>425572.25625103293</v>
      </c>
      <c r="AX208" s="1371">
        <f t="shared" ca="1" si="358"/>
        <v>417933.94703241205</v>
      </c>
      <c r="AY208" s="1371">
        <f t="shared" ca="1" si="358"/>
        <v>410325.63781379117</v>
      </c>
      <c r="AZ208" s="1371">
        <f t="shared" ca="1" si="358"/>
        <v>402677.32859517029</v>
      </c>
      <c r="BA208" s="1371">
        <f t="shared" ca="1" si="358"/>
        <v>394929.0193765494</v>
      </c>
      <c r="BB208" s="1371">
        <f t="shared" ca="1" si="358"/>
        <v>387200.71015792852</v>
      </c>
      <c r="BC208" s="1371">
        <f t="shared" ca="1" si="358"/>
        <v>379372.40093930764</v>
      </c>
      <c r="BE208" s="1372">
        <v>143845.60999999999</v>
      </c>
      <c r="BF208" s="1328">
        <f t="shared" ca="1" si="354"/>
        <v>470392.11156275822</v>
      </c>
      <c r="BG208" s="1372">
        <f t="shared" ca="1" si="357"/>
        <v>379372.40093930764</v>
      </c>
      <c r="BH208" s="1544"/>
    </row>
    <row r="209" spans="1:1201" s="1508" customFormat="1" ht="15.75" customHeight="1" x14ac:dyDescent="0.3">
      <c r="A209" s="1499"/>
      <c r="B209" s="1499"/>
      <c r="C209" s="1500" t="s">
        <v>1330</v>
      </c>
      <c r="D209" s="1501"/>
      <c r="E209" s="1501"/>
      <c r="F209" s="1501"/>
      <c r="G209" s="1502"/>
      <c r="H209" s="1502"/>
      <c r="I209" s="1503"/>
      <c r="J209" s="1503"/>
      <c r="K209" s="1503"/>
      <c r="L209" s="1503"/>
      <c r="M209" s="1503"/>
      <c r="N209" s="1503"/>
      <c r="O209" s="1503"/>
      <c r="P209" s="1503"/>
      <c r="Q209" s="1503"/>
      <c r="R209" s="1503"/>
      <c r="S209" s="1504"/>
      <c r="T209" s="1504"/>
      <c r="U209" s="1504"/>
      <c r="V209" s="1504"/>
      <c r="W209" s="1504"/>
      <c r="X209" s="1504"/>
      <c r="Y209" s="1504"/>
      <c r="Z209" s="1505"/>
      <c r="AA209" s="1505"/>
      <c r="AB209" s="1505"/>
      <c r="AC209" s="1505"/>
      <c r="AD209" s="1505"/>
      <c r="AE209" s="1506"/>
      <c r="AF209" s="1505"/>
      <c r="AG209" s="1505"/>
      <c r="AH209" s="1505"/>
      <c r="AI209" s="1505"/>
      <c r="AJ209" s="1505"/>
      <c r="AK209" s="1505"/>
      <c r="AL209" s="1505"/>
      <c r="AM209" s="1505"/>
      <c r="AN209" s="1505"/>
      <c r="AO209" s="1505"/>
      <c r="AP209" s="1503"/>
      <c r="AQ209" s="1503">
        <f t="shared" ref="AQ209" si="359">AQ254</f>
        <v>0</v>
      </c>
      <c r="AR209" s="1504">
        <f>AR254</f>
        <v>1282397.1813522365</v>
      </c>
      <c r="AS209" s="1503">
        <f ca="1">AR209+AS254</f>
        <v>1264181.722704473</v>
      </c>
      <c r="AT209" s="1503">
        <f t="shared" ref="AT209:BC209" ca="1" si="360">AS209+AT254</f>
        <v>1246695.7140567093</v>
      </c>
      <c r="AU209" s="1503">
        <f t="shared" ca="1" si="360"/>
        <v>1228812.1954089457</v>
      </c>
      <c r="AV209" s="1503">
        <f t="shared" ca="1" si="360"/>
        <v>1211082.5267611821</v>
      </c>
      <c r="AW209" s="1503">
        <f t="shared" ca="1" si="360"/>
        <v>1192961.5881134185</v>
      </c>
      <c r="AX209" s="1503">
        <f t="shared" ca="1" si="360"/>
        <v>1174984.949465655</v>
      </c>
      <c r="AY209" s="1503">
        <f t="shared" ca="1" si="360"/>
        <v>1156884.4708178914</v>
      </c>
      <c r="AZ209" s="1503">
        <f t="shared" ca="1" si="360"/>
        <v>1138402.2121701278</v>
      </c>
      <c r="BA209" s="1503">
        <f t="shared" ca="1" si="360"/>
        <v>1120049.7235223642</v>
      </c>
      <c r="BB209" s="1503">
        <f t="shared" ca="1" si="360"/>
        <v>1101321.9048746007</v>
      </c>
      <c r="BC209" s="1503">
        <f t="shared" ca="1" si="360"/>
        <v>1082713.9662268371</v>
      </c>
      <c r="BE209" s="1507"/>
      <c r="BF209" s="1504">
        <f t="shared" si="354"/>
        <v>0</v>
      </c>
      <c r="BG209" s="1507"/>
    </row>
    <row r="210" spans="1:1201" s="1508" customFormat="1" ht="15.75" customHeight="1" x14ac:dyDescent="0.3">
      <c r="A210" s="1499"/>
      <c r="B210" s="1499"/>
      <c r="C210" s="1500" t="s">
        <v>1331</v>
      </c>
      <c r="D210" s="1501"/>
      <c r="E210" s="1501"/>
      <c r="F210" s="1501"/>
      <c r="G210" s="1502"/>
      <c r="H210" s="1502"/>
      <c r="I210" s="1503"/>
      <c r="J210" s="1503"/>
      <c r="K210" s="1503"/>
      <c r="L210" s="1503"/>
      <c r="M210" s="1503"/>
      <c r="N210" s="1503"/>
      <c r="O210" s="1503"/>
      <c r="P210" s="1503"/>
      <c r="Q210" s="1503"/>
      <c r="R210" s="1503"/>
      <c r="S210" s="1504"/>
      <c r="T210" s="1504"/>
      <c r="U210" s="1504"/>
      <c r="V210" s="1504"/>
      <c r="W210" s="1504"/>
      <c r="X210" s="1504"/>
      <c r="Y210" s="1504"/>
      <c r="Z210" s="1505"/>
      <c r="AA210" s="1505"/>
      <c r="AB210" s="1505"/>
      <c r="AC210" s="1505"/>
      <c r="AD210" s="1505"/>
      <c r="AE210" s="1506"/>
      <c r="AF210" s="1505"/>
      <c r="AG210" s="1505"/>
      <c r="AH210" s="1505"/>
      <c r="AI210" s="1505"/>
      <c r="AJ210" s="1505"/>
      <c r="AK210" s="1505"/>
      <c r="AL210" s="1505"/>
      <c r="AM210" s="1505"/>
      <c r="AN210" s="1505"/>
      <c r="AO210" s="1505"/>
      <c r="AP210" s="1503"/>
      <c r="AQ210" s="1503">
        <v>0</v>
      </c>
      <c r="AR210" s="1504">
        <f>'Sources and Uses'!P4*1000+AR255</f>
        <v>986067.05856800382</v>
      </c>
      <c r="AS210" s="1503">
        <f ca="1">AR210+AS255</f>
        <v>971675.74713600765</v>
      </c>
      <c r="AT210" s="1503">
        <f t="shared" ref="AT210:BC210" ca="1" si="361">AS210+AT255</f>
        <v>957766.19570401148</v>
      </c>
      <c r="AU210" s="1503">
        <f t="shared" ca="1" si="361"/>
        <v>943590.2742720152</v>
      </c>
      <c r="AV210" s="1503">
        <f t="shared" ca="1" si="361"/>
        <v>929513.75284001895</v>
      </c>
      <c r="AW210" s="1503">
        <f t="shared" ca="1" si="361"/>
        <v>915175.28140802274</v>
      </c>
      <c r="AX210" s="1503">
        <f t="shared" ca="1" si="361"/>
        <v>900929.82997602655</v>
      </c>
      <c r="AY210" s="1503">
        <f t="shared" ca="1" si="361"/>
        <v>886599.67854403029</v>
      </c>
      <c r="AZ210" s="1503">
        <f t="shared" ca="1" si="361"/>
        <v>872014.29711203405</v>
      </c>
      <c r="BA210" s="1503">
        <f t="shared" ca="1" si="361"/>
        <v>857512.23568003788</v>
      </c>
      <c r="BB210" s="1503">
        <f t="shared" ca="1" si="361"/>
        <v>842759.50424804166</v>
      </c>
      <c r="BC210" s="1503">
        <f t="shared" ca="1" si="361"/>
        <v>828083.52281604544</v>
      </c>
      <c r="BE210" s="1507"/>
      <c r="BF210" s="1504">
        <f t="shared" si="354"/>
        <v>0</v>
      </c>
      <c r="BG210" s="1507">
        <f t="shared" ref="BG210:BG212" ca="1" si="362">BC210</f>
        <v>828083.52281604544</v>
      </c>
    </row>
    <row r="211" spans="1:1201" s="1508" customFormat="1" ht="15.75" customHeight="1" x14ac:dyDescent="0.3">
      <c r="A211" s="1499"/>
      <c r="B211" s="1499"/>
      <c r="C211" s="1500" t="s">
        <v>1352</v>
      </c>
      <c r="D211" s="1501"/>
      <c r="E211" s="1501"/>
      <c r="F211" s="1501"/>
      <c r="G211" s="1502"/>
      <c r="H211" s="1502"/>
      <c r="I211" s="1503"/>
      <c r="J211" s="1503"/>
      <c r="K211" s="1503"/>
      <c r="L211" s="1503"/>
      <c r="M211" s="1503"/>
      <c r="N211" s="1503"/>
      <c r="O211" s="1503"/>
      <c r="P211" s="1503"/>
      <c r="Q211" s="1503"/>
      <c r="R211" s="1503"/>
      <c r="S211" s="1504"/>
      <c r="T211" s="1504"/>
      <c r="U211" s="1504"/>
      <c r="V211" s="1504"/>
      <c r="W211" s="1504"/>
      <c r="X211" s="1504"/>
      <c r="Y211" s="1504"/>
      <c r="Z211" s="1505"/>
      <c r="AA211" s="1505"/>
      <c r="AB211" s="1505"/>
      <c r="AC211" s="1505"/>
      <c r="AD211" s="1505"/>
      <c r="AE211" s="1506"/>
      <c r="AF211" s="1505"/>
      <c r="AG211" s="1505"/>
      <c r="AH211" s="1505"/>
      <c r="AI211" s="1505"/>
      <c r="AJ211" s="1505"/>
      <c r="AK211" s="1505"/>
      <c r="AL211" s="1505"/>
      <c r="AM211" s="1505"/>
      <c r="AN211" s="1505"/>
      <c r="AO211" s="1505"/>
      <c r="AP211" s="1503"/>
      <c r="AQ211" s="1503">
        <f t="shared" ref="AQ211" si="363">AQ256</f>
        <v>0</v>
      </c>
      <c r="AR211" s="1504">
        <f>'Sources and Uses'!P5*1000</f>
        <v>115000</v>
      </c>
      <c r="AS211" s="1503">
        <f>AR211</f>
        <v>115000</v>
      </c>
      <c r="AT211" s="1503">
        <f t="shared" ref="AT211:BC211" si="364">AS211</f>
        <v>115000</v>
      </c>
      <c r="AU211" s="1503">
        <f t="shared" si="364"/>
        <v>115000</v>
      </c>
      <c r="AV211" s="1503">
        <f t="shared" si="364"/>
        <v>115000</v>
      </c>
      <c r="AW211" s="1503">
        <f t="shared" si="364"/>
        <v>115000</v>
      </c>
      <c r="AX211" s="1503">
        <f t="shared" si="364"/>
        <v>115000</v>
      </c>
      <c r="AY211" s="1503">
        <f t="shared" si="364"/>
        <v>115000</v>
      </c>
      <c r="AZ211" s="1503">
        <f t="shared" si="364"/>
        <v>115000</v>
      </c>
      <c r="BA211" s="1503">
        <f t="shared" si="364"/>
        <v>115000</v>
      </c>
      <c r="BB211" s="1503">
        <f t="shared" si="364"/>
        <v>115000</v>
      </c>
      <c r="BC211" s="1503">
        <f t="shared" si="364"/>
        <v>115000</v>
      </c>
      <c r="BE211" s="1507"/>
      <c r="BF211" s="1504">
        <f t="shared" si="354"/>
        <v>0</v>
      </c>
      <c r="BG211" s="1507">
        <f t="shared" si="362"/>
        <v>115000</v>
      </c>
    </row>
    <row r="212" spans="1:1201" ht="15.75" customHeight="1" x14ac:dyDescent="0.3">
      <c r="A212" s="76"/>
      <c r="B212" s="76"/>
      <c r="C212" s="57" t="s">
        <v>528</v>
      </c>
      <c r="D212" s="63"/>
      <c r="E212" s="63"/>
      <c r="F212" s="63"/>
      <c r="G212" s="144">
        <v>55626.58</v>
      </c>
      <c r="H212" s="647">
        <v>54341.279999999999</v>
      </c>
      <c r="I212" s="649">
        <v>53052.53</v>
      </c>
      <c r="J212" s="649">
        <v>51760.32</v>
      </c>
      <c r="K212" s="649">
        <v>50464.65</v>
      </c>
      <c r="L212" s="649">
        <v>49165.5</v>
      </c>
      <c r="M212" s="649">
        <v>47862.86</v>
      </c>
      <c r="N212" s="649">
        <v>46556.73</v>
      </c>
      <c r="O212" s="649">
        <f>N212+O259</f>
        <v>45247.093590068391</v>
      </c>
      <c r="P212" s="649">
        <v>43933.94</v>
      </c>
      <c r="Q212" s="649">
        <v>42617.27</v>
      </c>
      <c r="R212" s="649">
        <v>41297.06</v>
      </c>
      <c r="S212" s="924">
        <f>'MXD BS'!B104</f>
        <v>73523.31</v>
      </c>
      <c r="T212" s="924">
        <f>'MXD BS'!C104</f>
        <v>72196.009999999995</v>
      </c>
      <c r="U212" s="924">
        <f>'MXD BS'!D104</f>
        <v>70865.149999999994</v>
      </c>
      <c r="V212" s="924">
        <f>'MXD BS'!E104</f>
        <v>69530.720000000001</v>
      </c>
      <c r="W212" s="924">
        <f>'MXD BS'!F104</f>
        <v>68192.7</v>
      </c>
      <c r="X212" s="924">
        <f>'MXD BS'!G104</f>
        <v>128903.59</v>
      </c>
      <c r="Y212" s="924">
        <f>'MXD BS'!H104</f>
        <v>127558.38</v>
      </c>
      <c r="Z212" s="1076">
        <f>'MXD BS'!I104</f>
        <v>126209.56</v>
      </c>
      <c r="AA212" s="1076">
        <f>'MXD BS'!J104</f>
        <v>124857.13</v>
      </c>
      <c r="AB212" s="1076">
        <f>'MXD BS'!K104</f>
        <v>114298.57</v>
      </c>
      <c r="AC212" s="1076">
        <f>'MXD BS'!L104</f>
        <v>112938.87</v>
      </c>
      <c r="AD212" s="1076">
        <f>'MXD BS'!M104</f>
        <v>142250.51999999999</v>
      </c>
      <c r="AE212" s="1146">
        <f>'MXD BS'!N104</f>
        <v>143845.60999999999</v>
      </c>
      <c r="AF212" s="1076">
        <f>'MXD BS'!O104</f>
        <v>140497.1</v>
      </c>
      <c r="AG212" s="1076">
        <f>'MXD BS'!P104</f>
        <v>137144.91</v>
      </c>
      <c r="AH212" s="1076">
        <f>'MXD BS'!Q104</f>
        <v>133839.78</v>
      </c>
      <c r="AI212" s="1076">
        <f>'MXD BS'!R104</f>
        <v>130534.65</v>
      </c>
      <c r="AJ212" s="1076">
        <f>'MXD BS'!S104</f>
        <v>127171.38</v>
      </c>
      <c r="AK212" s="1076">
        <f>'MXD BS'!T104</f>
        <v>0</v>
      </c>
      <c r="AL212" s="1076">
        <f>'MXD BS'!U104</f>
        <v>0</v>
      </c>
      <c r="AM212" s="1076">
        <f>'MXD BS'!V104</f>
        <v>0</v>
      </c>
      <c r="AN212" s="1076">
        <f>'MXD BS'!W104</f>
        <v>0</v>
      </c>
      <c r="AO212" s="1076">
        <f>'MXD BS'!X104</f>
        <v>0</v>
      </c>
      <c r="AP212" s="649">
        <v>0</v>
      </c>
      <c r="AQ212" s="649">
        <v>0</v>
      </c>
      <c r="AR212" s="618">
        <v>0</v>
      </c>
      <c r="AS212" s="649">
        <v>0</v>
      </c>
      <c r="AT212" s="649">
        <v>0</v>
      </c>
      <c r="AU212" s="649">
        <v>0</v>
      </c>
      <c r="AV212" s="649">
        <v>0</v>
      </c>
      <c r="AW212" s="649">
        <v>0</v>
      </c>
      <c r="AX212" s="649">
        <v>0</v>
      </c>
      <c r="AY212" s="649">
        <v>0</v>
      </c>
      <c r="AZ212" s="649">
        <v>0</v>
      </c>
      <c r="BA212" s="649">
        <v>0</v>
      </c>
      <c r="BB212" s="649">
        <v>0</v>
      </c>
      <c r="BC212" s="649">
        <v>0</v>
      </c>
      <c r="BE212" s="1195">
        <v>143845.60999999999</v>
      </c>
      <c r="BF212" s="924">
        <f t="shared" si="354"/>
        <v>0</v>
      </c>
      <c r="BG212" s="1195">
        <f t="shared" si="362"/>
        <v>0</v>
      </c>
    </row>
    <row r="213" spans="1:1201" ht="15.75" customHeight="1" x14ac:dyDescent="0.3">
      <c r="A213" s="76"/>
      <c r="B213" s="76"/>
      <c r="C213" s="57" t="s">
        <v>529</v>
      </c>
      <c r="D213" s="63"/>
      <c r="E213" s="63"/>
      <c r="F213" s="63"/>
      <c r="G213" s="144"/>
      <c r="H213" s="647"/>
      <c r="I213" s="649"/>
      <c r="J213" s="649"/>
      <c r="K213" s="649"/>
      <c r="L213" s="649"/>
      <c r="M213" s="649"/>
      <c r="N213" s="649"/>
      <c r="O213" s="649"/>
      <c r="P213" s="649"/>
      <c r="Q213" s="649"/>
      <c r="R213" s="649"/>
      <c r="S213" s="924"/>
      <c r="T213" s="924"/>
      <c r="U213" s="924"/>
      <c r="V213" s="924"/>
      <c r="W213" s="924"/>
      <c r="X213" s="924"/>
      <c r="Y213" s="924"/>
      <c r="Z213" s="1076"/>
      <c r="AA213" s="1076"/>
      <c r="AB213" s="1076"/>
      <c r="AC213" s="1076"/>
      <c r="AD213" s="1076"/>
      <c r="AE213" s="1146"/>
      <c r="AF213" s="1076"/>
      <c r="AG213" s="1076"/>
      <c r="AH213" s="1076"/>
      <c r="AI213" s="1076"/>
      <c r="AJ213" s="1076"/>
      <c r="AK213" s="1076"/>
      <c r="AL213" s="1076"/>
      <c r="AM213" s="1076"/>
      <c r="AN213" s="1076"/>
      <c r="AO213" s="1076"/>
      <c r="AP213" s="649"/>
      <c r="AQ213" s="649"/>
      <c r="AR213" s="618"/>
      <c r="AS213" s="649"/>
      <c r="AT213" s="649"/>
      <c r="AU213" s="649"/>
      <c r="AV213" s="649"/>
      <c r="AW213" s="649"/>
      <c r="AX213" s="649"/>
      <c r="AY213" s="649"/>
      <c r="AZ213" s="649"/>
      <c r="BA213" s="649"/>
      <c r="BB213" s="649"/>
      <c r="BC213" s="649"/>
      <c r="BE213" s="1195"/>
      <c r="BF213" s="924"/>
      <c r="BG213" s="1195"/>
    </row>
    <row r="214" spans="1:1201" ht="15.75" customHeight="1" x14ac:dyDescent="0.3">
      <c r="A214" s="76"/>
      <c r="B214" s="76"/>
      <c r="C214" s="57" t="s">
        <v>270</v>
      </c>
      <c r="D214" s="63"/>
      <c r="E214" s="63"/>
      <c r="F214" s="63"/>
      <c r="G214" s="144">
        <v>84467.56</v>
      </c>
      <c r="H214" s="647">
        <v>84467.56</v>
      </c>
      <c r="I214" s="649">
        <v>82092.56</v>
      </c>
      <c r="J214" s="649">
        <v>82092.56</v>
      </c>
      <c r="K214" s="649">
        <v>82092.56</v>
      </c>
      <c r="L214" s="649">
        <v>79717.56</v>
      </c>
      <c r="M214" s="649">
        <v>79717.56</v>
      </c>
      <c r="N214" s="649">
        <v>79717.56</v>
      </c>
      <c r="O214" s="649">
        <f>N214</f>
        <v>79717.56</v>
      </c>
      <c r="P214" s="649">
        <v>79717.56</v>
      </c>
      <c r="Q214" s="649">
        <v>79717.56</v>
      </c>
      <c r="R214" s="649">
        <v>79717.56</v>
      </c>
      <c r="S214" s="924">
        <f>'MXD BS'!B102</f>
        <v>79717.56</v>
      </c>
      <c r="T214" s="924">
        <f>'MXD BS'!C102</f>
        <v>79717.56</v>
      </c>
      <c r="U214" s="924">
        <f>'MXD BS'!D102</f>
        <v>79717.56</v>
      </c>
      <c r="V214" s="924">
        <f>'MXD BS'!E102</f>
        <v>79717.56</v>
      </c>
      <c r="W214" s="924">
        <f>'MXD BS'!F102</f>
        <v>18861.23</v>
      </c>
      <c r="X214" s="924">
        <f>'MXD BS'!G102</f>
        <v>11931.42</v>
      </c>
      <c r="Y214" s="924">
        <f>'MXD BS'!H102</f>
        <v>5728.26</v>
      </c>
      <c r="Z214" s="1076">
        <f>'MXD BS'!I102</f>
        <v>1752.05</v>
      </c>
      <c r="AA214" s="1076">
        <f>'MXD BS'!J102</f>
        <v>3466.55</v>
      </c>
      <c r="AB214" s="1076">
        <f>'MXD BS'!K102</f>
        <v>740.89</v>
      </c>
      <c r="AC214" s="1076">
        <f>'MXD BS'!L102</f>
        <v>1295.57</v>
      </c>
      <c r="AD214" s="1076">
        <f>'MXD BS'!M102</f>
        <v>1621.88</v>
      </c>
      <c r="AE214" s="1146">
        <f>'MXD BS'!N102</f>
        <v>2637.22</v>
      </c>
      <c r="AF214" s="1076">
        <f>'MXD BS'!O102</f>
        <v>-7087.12</v>
      </c>
      <c r="AG214" s="1076">
        <f>'MXD BS'!P102</f>
        <v>-5586.98</v>
      </c>
      <c r="AH214" s="1076">
        <f>'MXD BS'!Q102</f>
        <v>4415.5600000000004</v>
      </c>
      <c r="AI214" s="1076">
        <f>'MXD BS'!R102</f>
        <v>3707.1</v>
      </c>
      <c r="AJ214" s="1076">
        <f>'MXD BS'!S102</f>
        <v>8798.61</v>
      </c>
      <c r="AK214" s="1076">
        <f>'MXD BS'!T102</f>
        <v>9962.01</v>
      </c>
      <c r="AL214" s="1076">
        <f>'MXD BS'!U102</f>
        <v>9923.75</v>
      </c>
      <c r="AM214" s="1076">
        <f>'MXD BS'!V102</f>
        <v>10000</v>
      </c>
      <c r="AN214" s="1076">
        <f>'MXD BS'!W102</f>
        <v>10000</v>
      </c>
      <c r="AO214" s="1076">
        <f>'MXD BS'!X102</f>
        <v>92000</v>
      </c>
      <c r="AP214" s="649">
        <f t="shared" ref="AP214:BC215" si="365">AO214</f>
        <v>92000</v>
      </c>
      <c r="AQ214" s="649">
        <f t="shared" si="365"/>
        <v>92000</v>
      </c>
      <c r="AR214" s="618">
        <f t="shared" si="365"/>
        <v>92000</v>
      </c>
      <c r="AS214" s="649">
        <f t="shared" si="365"/>
        <v>92000</v>
      </c>
      <c r="AT214" s="649">
        <f t="shared" si="365"/>
        <v>92000</v>
      </c>
      <c r="AU214" s="649">
        <f t="shared" si="365"/>
        <v>92000</v>
      </c>
      <c r="AV214" s="649">
        <f t="shared" si="365"/>
        <v>92000</v>
      </c>
      <c r="AW214" s="649">
        <f t="shared" si="365"/>
        <v>92000</v>
      </c>
      <c r="AX214" s="649">
        <f t="shared" si="365"/>
        <v>92000</v>
      </c>
      <c r="AY214" s="649">
        <f t="shared" si="365"/>
        <v>92000</v>
      </c>
      <c r="AZ214" s="649">
        <f t="shared" si="365"/>
        <v>92000</v>
      </c>
      <c r="BA214" s="649">
        <f t="shared" si="365"/>
        <v>92000</v>
      </c>
      <c r="BB214" s="649">
        <f t="shared" si="365"/>
        <v>92000</v>
      </c>
      <c r="BC214" s="649">
        <f t="shared" si="365"/>
        <v>92000</v>
      </c>
      <c r="BE214" s="1195">
        <v>2637.22</v>
      </c>
      <c r="BF214" s="924">
        <f>AQ214</f>
        <v>92000</v>
      </c>
      <c r="BG214" s="1195">
        <f t="shared" ref="BG214:BG217" si="366">BC214</f>
        <v>92000</v>
      </c>
    </row>
    <row r="215" spans="1:1201" ht="15.75" customHeight="1" x14ac:dyDescent="0.3">
      <c r="A215" s="76"/>
      <c r="B215" s="76"/>
      <c r="C215" s="64" t="s">
        <v>1296</v>
      </c>
      <c r="D215" s="65"/>
      <c r="E215" s="65"/>
      <c r="F215" s="82"/>
      <c r="G215" s="151"/>
      <c r="H215" s="650"/>
      <c r="I215" s="682"/>
      <c r="J215" s="682"/>
      <c r="K215" s="682"/>
      <c r="L215" s="682"/>
      <c r="M215" s="682"/>
      <c r="N215" s="682"/>
      <c r="O215" s="682"/>
      <c r="P215" s="682"/>
      <c r="Q215" s="682"/>
      <c r="R215" s="682"/>
      <c r="S215" s="943"/>
      <c r="T215" s="943"/>
      <c r="U215" s="943"/>
      <c r="V215" s="943"/>
      <c r="W215" s="943"/>
      <c r="X215" s="943"/>
      <c r="Y215" s="943"/>
      <c r="Z215" s="1097"/>
      <c r="AA215" s="1097"/>
      <c r="AB215" s="1097"/>
      <c r="AC215" s="1097"/>
      <c r="AD215" s="1148">
        <f>'MXD BS'!M105</f>
        <v>0</v>
      </c>
      <c r="AE215" s="1148">
        <f>'MXD BS'!N105</f>
        <v>1151400.01</v>
      </c>
      <c r="AF215" s="1148">
        <f>'MXD BS'!O105</f>
        <v>1151400.01</v>
      </c>
      <c r="AG215" s="1148">
        <f>'MXD BS'!P105</f>
        <v>1151400.01</v>
      </c>
      <c r="AH215" s="1148">
        <f>'MXD BS'!Q105</f>
        <v>1151400.01</v>
      </c>
      <c r="AI215" s="1148">
        <f>'MXD BS'!R105</f>
        <v>1151400.01</v>
      </c>
      <c r="AJ215" s="1148">
        <f>'MXD BS'!S105</f>
        <v>1151400.01</v>
      </c>
      <c r="AK215" s="1148">
        <f>'MXD BS'!T105</f>
        <v>1151400.01</v>
      </c>
      <c r="AL215" s="1148">
        <f>'MXD BS'!U105</f>
        <v>1151400.01</v>
      </c>
      <c r="AM215" s="1148">
        <f>'MXD BS'!V105</f>
        <v>1151400.01</v>
      </c>
      <c r="AN215" s="1148">
        <f>'MXD BS'!W105</f>
        <v>1151400.01</v>
      </c>
      <c r="AO215" s="1148">
        <f>'MXD BS'!X105</f>
        <v>1151400.01</v>
      </c>
      <c r="AP215" s="682">
        <f t="shared" si="365"/>
        <v>1151400.01</v>
      </c>
      <c r="AQ215" s="682">
        <f t="shared" si="365"/>
        <v>1151400.01</v>
      </c>
      <c r="AR215" s="1643">
        <f t="shared" si="365"/>
        <v>1151400.01</v>
      </c>
      <c r="AS215" s="682">
        <f t="shared" si="365"/>
        <v>1151400.01</v>
      </c>
      <c r="AT215" s="682">
        <f t="shared" si="365"/>
        <v>1151400.01</v>
      </c>
      <c r="AU215" s="682">
        <f t="shared" si="365"/>
        <v>1151400.01</v>
      </c>
      <c r="AV215" s="682">
        <f t="shared" si="365"/>
        <v>1151400.01</v>
      </c>
      <c r="AW215" s="682">
        <f t="shared" si="365"/>
        <v>1151400.01</v>
      </c>
      <c r="AX215" s="682">
        <f t="shared" si="365"/>
        <v>1151400.01</v>
      </c>
      <c r="AY215" s="682">
        <f t="shared" si="365"/>
        <v>1151400.01</v>
      </c>
      <c r="AZ215" s="682">
        <f t="shared" si="365"/>
        <v>1151400.01</v>
      </c>
      <c r="BA215" s="682">
        <f t="shared" si="365"/>
        <v>1151400.01</v>
      </c>
      <c r="BB215" s="682">
        <f t="shared" si="365"/>
        <v>1151400.01</v>
      </c>
      <c r="BC215" s="682">
        <f t="shared" si="365"/>
        <v>1151400.01</v>
      </c>
      <c r="BE215" s="1207"/>
      <c r="BF215" s="1569">
        <v>1151400.01</v>
      </c>
      <c r="BG215" s="1207">
        <f t="shared" si="366"/>
        <v>1151400.01</v>
      </c>
    </row>
    <row r="216" spans="1:1201" ht="15.75" customHeight="1" x14ac:dyDescent="0.3">
      <c r="A216" s="197"/>
      <c r="B216" s="197"/>
      <c r="C216" s="687" t="s">
        <v>271</v>
      </c>
      <c r="D216" s="84"/>
      <c r="E216" s="84"/>
      <c r="F216" s="84"/>
      <c r="G216" s="694">
        <f t="shared" ref="G216:S216" si="367">SUM(G205:G214)</f>
        <v>835320.1399999999</v>
      </c>
      <c r="H216" s="695">
        <f t="shared" si="367"/>
        <v>809658.82000000007</v>
      </c>
      <c r="I216" s="696">
        <f t="shared" si="367"/>
        <v>805995.07000000007</v>
      </c>
      <c r="J216" s="696">
        <f t="shared" si="367"/>
        <v>804702.85999999987</v>
      </c>
      <c r="K216" s="696">
        <f t="shared" si="367"/>
        <v>780533.74</v>
      </c>
      <c r="L216" s="696">
        <f t="shared" si="367"/>
        <v>776859.59000000008</v>
      </c>
      <c r="M216" s="696">
        <f t="shared" si="367"/>
        <v>775556.95</v>
      </c>
      <c r="N216" s="696">
        <f t="shared" si="367"/>
        <v>751229.22</v>
      </c>
      <c r="O216" s="696">
        <f t="shared" si="367"/>
        <v>749919.58359006839</v>
      </c>
      <c r="P216" s="696">
        <f t="shared" si="367"/>
        <v>748606.43000000017</v>
      </c>
      <c r="Q216" s="696">
        <f t="shared" si="367"/>
        <v>724119.06</v>
      </c>
      <c r="R216" s="696">
        <f t="shared" si="367"/>
        <v>722798.85000000009</v>
      </c>
      <c r="S216" s="944">
        <f t="shared" si="367"/>
        <v>755025.10000000009</v>
      </c>
      <c r="T216" s="1130">
        <f t="shared" ref="T216:AB216" si="368">SUM(T205:T214)</f>
        <v>730761.07000000007</v>
      </c>
      <c r="U216" s="1131">
        <f t="shared" si="368"/>
        <v>729430.21</v>
      </c>
      <c r="V216" s="1131">
        <f>SUM(V205:V214)</f>
        <v>728095.78</v>
      </c>
      <c r="W216" s="1131">
        <f t="shared" si="368"/>
        <v>642658.29999999993</v>
      </c>
      <c r="X216" s="1131">
        <f t="shared" si="368"/>
        <v>696439.38</v>
      </c>
      <c r="Y216" s="1131">
        <f t="shared" si="368"/>
        <v>665482.1</v>
      </c>
      <c r="Z216" s="1131">
        <f>SUM(Z205:Z214)</f>
        <v>660157.07000000007</v>
      </c>
      <c r="AA216" s="1131">
        <f>SUM(AA205:AA214)</f>
        <v>660519.14</v>
      </c>
      <c r="AB216" s="1104">
        <f t="shared" si="368"/>
        <v>647234.92000000004</v>
      </c>
      <c r="AC216" s="1104">
        <f t="shared" ref="AC216:AD216" si="369">SUM(AC205:AC214)</f>
        <v>622854.02999999991</v>
      </c>
      <c r="AD216" s="1104">
        <f t="shared" si="369"/>
        <v>652491.99</v>
      </c>
      <c r="AE216" s="1104">
        <f>SUM(AE205:AE215)</f>
        <v>1806502.43</v>
      </c>
      <c r="AF216" s="1104">
        <f>SUM(AF205:AF215)</f>
        <v>1284809.99</v>
      </c>
      <c r="AG216" s="1104">
        <f t="shared" ref="AG216:AQ216" si="370">SUM(AG205:AG215)</f>
        <v>1282957.94</v>
      </c>
      <c r="AH216" s="1104">
        <f t="shared" si="370"/>
        <v>1289655.3500000001</v>
      </c>
      <c r="AI216" s="1104">
        <f t="shared" si="370"/>
        <v>1285641.76</v>
      </c>
      <c r="AJ216" s="1104">
        <f t="shared" si="370"/>
        <v>1287370</v>
      </c>
      <c r="AK216" s="1104">
        <f t="shared" si="370"/>
        <v>3623888.58</v>
      </c>
      <c r="AL216" s="1104">
        <f t="shared" si="370"/>
        <v>3611376.88</v>
      </c>
      <c r="AM216" s="1104">
        <f t="shared" si="370"/>
        <v>3598328.17</v>
      </c>
      <c r="AN216" s="1104">
        <f t="shared" ref="AN216:AO216" si="371">SUM(AN205:AN215)</f>
        <v>3586506.25</v>
      </c>
      <c r="AO216" s="1104">
        <f t="shared" si="371"/>
        <v>3641071.54</v>
      </c>
      <c r="AP216" s="696">
        <f t="shared" ca="1" si="370"/>
        <v>3621888.1885028202</v>
      </c>
      <c r="AQ216" s="696">
        <f t="shared" ca="1" si="370"/>
        <v>3602214.8370056394</v>
      </c>
      <c r="AR216" s="1644">
        <f t="shared" ref="AR216:BC216" ca="1" si="372">SUM(AR205:AR215)</f>
        <v>5966295.7254286995</v>
      </c>
      <c r="AS216" s="696">
        <f t="shared" ca="1" si="372"/>
        <v>5914205.6038517607</v>
      </c>
      <c r="AT216" s="696">
        <f t="shared" ca="1" si="372"/>
        <v>5862456.6922748201</v>
      </c>
      <c r="AU216" s="696">
        <f t="shared" ca="1" si="372"/>
        <v>5810703.9006978804</v>
      </c>
      <c r="AV216" s="696">
        <f t="shared" ca="1" si="372"/>
        <v>5758734.3591209408</v>
      </c>
      <c r="AW216" s="696">
        <f t="shared" ca="1" si="372"/>
        <v>5706381.5975440014</v>
      </c>
      <c r="AX216" s="696">
        <f t="shared" ca="1" si="372"/>
        <v>5653786.1559670614</v>
      </c>
      <c r="AY216" s="696">
        <f t="shared" ca="1" si="372"/>
        <v>5601252.1743901204</v>
      </c>
      <c r="AZ216" s="696">
        <f t="shared" ca="1" si="372"/>
        <v>5547971.1828131806</v>
      </c>
      <c r="BA216" s="696">
        <f t="shared" ca="1" si="372"/>
        <v>5494443.2812362416</v>
      </c>
      <c r="BB216" s="696">
        <f t="shared" ca="1" si="372"/>
        <v>5440539.3796593016</v>
      </c>
      <c r="BC216" s="696">
        <f t="shared" ca="1" si="372"/>
        <v>5386372.1080823615</v>
      </c>
      <c r="BE216" s="1195">
        <v>655102.41999999993</v>
      </c>
      <c r="BF216" s="1570">
        <f ca="1">SUM(BF206:BF215)</f>
        <v>3602214.8370056394</v>
      </c>
      <c r="BG216" s="1195">
        <f t="shared" ca="1" si="366"/>
        <v>5386372.1080823615</v>
      </c>
    </row>
    <row r="217" spans="1:1201" ht="15.75" customHeight="1" x14ac:dyDescent="0.3">
      <c r="A217" s="76"/>
      <c r="B217" s="76"/>
      <c r="C217" s="84" t="s">
        <v>272</v>
      </c>
      <c r="D217" s="84"/>
      <c r="E217" s="84"/>
      <c r="F217" s="164"/>
      <c r="G217" s="165">
        <f t="shared" ref="G217:S217" si="373">G216+G202</f>
        <v>4097274.67</v>
      </c>
      <c r="H217" s="652">
        <f t="shared" si="373"/>
        <v>4561469.7700000005</v>
      </c>
      <c r="I217" s="683">
        <f t="shared" si="373"/>
        <v>4924002.2700000005</v>
      </c>
      <c r="J217" s="683">
        <f t="shared" si="373"/>
        <v>4180310.47</v>
      </c>
      <c r="K217" s="683">
        <f t="shared" si="373"/>
        <v>4498123.7400000021</v>
      </c>
      <c r="L217" s="683">
        <f t="shared" si="373"/>
        <v>4575217.5699999984</v>
      </c>
      <c r="M217" s="683">
        <f t="shared" si="373"/>
        <v>4344337.6000000006</v>
      </c>
      <c r="N217" s="683">
        <f t="shared" si="373"/>
        <v>4168691.91</v>
      </c>
      <c r="O217" s="683">
        <f t="shared" si="373"/>
        <v>5231973.793590067</v>
      </c>
      <c r="P217" s="683">
        <f t="shared" si="373"/>
        <v>5069715.7799999993</v>
      </c>
      <c r="Q217" s="683">
        <f t="shared" si="373"/>
        <v>4995728.4499999993</v>
      </c>
      <c r="R217" s="683">
        <f t="shared" si="373"/>
        <v>6565232.6300000008</v>
      </c>
      <c r="S217" s="945">
        <f t="shared" si="373"/>
        <v>7464176.6300000008</v>
      </c>
      <c r="T217" s="1064">
        <f t="shared" ref="T217:AB217" si="374">T216+T202</f>
        <v>6912916.5599999996</v>
      </c>
      <c r="U217" s="1105">
        <f t="shared" si="374"/>
        <v>7847205.2399999993</v>
      </c>
      <c r="V217" s="1105">
        <f t="shared" si="374"/>
        <v>8022518.79</v>
      </c>
      <c r="W217" s="1105">
        <f t="shared" si="374"/>
        <v>7920687.2899999991</v>
      </c>
      <c r="X217" s="1105">
        <f t="shared" si="374"/>
        <v>8434568.5199999996</v>
      </c>
      <c r="Y217" s="1105">
        <f t="shared" si="374"/>
        <v>7378133.1899999995</v>
      </c>
      <c r="Z217" s="1105">
        <f>Z216+Z202</f>
        <v>4698195.7700000005</v>
      </c>
      <c r="AA217" s="1105">
        <f>AA216+AA202</f>
        <v>5386312.8899999997</v>
      </c>
      <c r="AB217" s="1105">
        <f t="shared" si="374"/>
        <v>4974856.9899999993</v>
      </c>
      <c r="AC217" s="1105">
        <f>AC216+AC202</f>
        <v>5539048.4199999999</v>
      </c>
      <c r="AD217" s="1105">
        <f>AD216+AD202</f>
        <v>5777166.4700000007</v>
      </c>
      <c r="AE217" s="945">
        <f>AE216+AE202</f>
        <v>7500155.879999999</v>
      </c>
      <c r="AF217" s="1105">
        <f t="shared" ref="AF217:AQ217" si="375">AF216+AF202</f>
        <v>6553612.9100000001</v>
      </c>
      <c r="AG217" s="1105">
        <f>AG216+AG202</f>
        <v>7257108.379999999</v>
      </c>
      <c r="AH217" s="1105">
        <f>AH216+AH202</f>
        <v>8286183.9100000001</v>
      </c>
      <c r="AI217" s="1105">
        <f>AI216+AI202</f>
        <v>8189022.9000000004</v>
      </c>
      <c r="AJ217" s="1105">
        <f t="shared" si="375"/>
        <v>7575801.4699999988</v>
      </c>
      <c r="AK217" s="1105">
        <f t="shared" si="375"/>
        <v>10430300.01</v>
      </c>
      <c r="AL217" s="1105">
        <f t="shared" si="375"/>
        <v>10228041.899999999</v>
      </c>
      <c r="AM217" s="1105">
        <f t="shared" si="375"/>
        <v>10241356.66</v>
      </c>
      <c r="AN217" s="1105">
        <f t="shared" ref="AN217:AO217" si="376">AN216+AN202</f>
        <v>10208653.68</v>
      </c>
      <c r="AO217" s="1105">
        <f t="shared" si="376"/>
        <v>10560943.379999999</v>
      </c>
      <c r="AP217" s="683">
        <f t="shared" ca="1" si="375"/>
        <v>11797543.862750346</v>
      </c>
      <c r="AQ217" s="683">
        <f t="shared" ca="1" si="375"/>
        <v>12907384.899867043</v>
      </c>
      <c r="AR217" s="1645">
        <f t="shared" ref="AR217:BC217" ca="1" si="377">AR216+AR202</f>
        <v>14842200.223368648</v>
      </c>
      <c r="AS217" s="683">
        <f t="shared" ca="1" si="377"/>
        <v>14830563.818804104</v>
      </c>
      <c r="AT217" s="683">
        <f t="shared" ca="1" si="377"/>
        <v>14761282.478569396</v>
      </c>
      <c r="AU217" s="683">
        <f t="shared" ca="1" si="377"/>
        <v>14685001.780869756</v>
      </c>
      <c r="AV217" s="683">
        <f t="shared" ca="1" si="377"/>
        <v>14642133.430421721</v>
      </c>
      <c r="AW217" s="683">
        <f t="shared" ca="1" si="377"/>
        <v>14587782.976599855</v>
      </c>
      <c r="AX217" s="683">
        <f t="shared" ca="1" si="377"/>
        <v>14543121.553784277</v>
      </c>
      <c r="AY217" s="683">
        <f t="shared" ca="1" si="377"/>
        <v>14493110.045926355</v>
      </c>
      <c r="AZ217" s="683">
        <f t="shared" ca="1" si="377"/>
        <v>14435495.350594508</v>
      </c>
      <c r="BA217" s="683">
        <f t="shared" ca="1" si="377"/>
        <v>14379937.678170878</v>
      </c>
      <c r="BB217" s="683">
        <f t="shared" ca="1" si="377"/>
        <v>14327880.508445285</v>
      </c>
      <c r="BC217" s="683">
        <f t="shared" ca="1" si="377"/>
        <v>14274247.99999225</v>
      </c>
      <c r="BE217" s="1195">
        <v>6348755.8699999992</v>
      </c>
      <c r="BF217" s="1571">
        <f ca="1">AQ217</f>
        <v>12907384.899867043</v>
      </c>
      <c r="BG217" s="1195">
        <f t="shared" ca="1" si="366"/>
        <v>14274247.99999225</v>
      </c>
    </row>
    <row r="218" spans="1:1201" s="34" customFormat="1" ht="15.75" customHeight="1" x14ac:dyDescent="0.3">
      <c r="A218" s="76"/>
      <c r="B218" s="76"/>
      <c r="C218" s="31"/>
      <c r="D218" s="63"/>
      <c r="E218" s="63"/>
      <c r="F218" s="63"/>
      <c r="G218" s="167"/>
      <c r="H218" s="653"/>
      <c r="I218" s="684"/>
      <c r="J218" s="684"/>
      <c r="K218" s="684"/>
      <c r="L218" s="684"/>
      <c r="M218" s="684"/>
      <c r="N218" s="684"/>
      <c r="O218" s="684"/>
      <c r="P218" s="684"/>
      <c r="Q218" s="684"/>
      <c r="R218" s="684"/>
      <c r="S218" s="946"/>
      <c r="T218" s="1063"/>
      <c r="U218" s="1096"/>
      <c r="V218" s="1096"/>
      <c r="W218" s="1096"/>
      <c r="X218" s="1096"/>
      <c r="Y218" s="1096"/>
      <c r="Z218" s="1096"/>
      <c r="AA218" s="1096"/>
      <c r="AB218" s="1096"/>
      <c r="AC218" s="1096"/>
      <c r="AD218" s="1096"/>
      <c r="AE218" s="946"/>
      <c r="AF218" s="1096"/>
      <c r="AG218" s="1096"/>
      <c r="AH218" s="1096"/>
      <c r="AI218" s="1096"/>
      <c r="AJ218" s="1096"/>
      <c r="AK218" s="1096"/>
      <c r="AL218" s="1096"/>
      <c r="AM218" s="1096"/>
      <c r="AN218" s="1096"/>
      <c r="AO218" s="1096"/>
      <c r="AP218" s="684"/>
      <c r="AQ218" s="684"/>
      <c r="AR218" s="1642"/>
      <c r="AS218" s="684"/>
      <c r="AT218" s="684"/>
      <c r="AU218" s="684"/>
      <c r="AV218" s="684"/>
      <c r="AW218" s="684"/>
      <c r="AX218" s="684"/>
      <c r="AY218" s="684"/>
      <c r="AZ218" s="684"/>
      <c r="BA218" s="684"/>
      <c r="BB218" s="684"/>
      <c r="BC218" s="684"/>
      <c r="BE218" s="1195"/>
      <c r="BF218" s="942"/>
      <c r="BG218" s="1195"/>
      <c r="BH218" s="31"/>
      <c r="BI218" s="31"/>
      <c r="BJ218" s="31"/>
      <c r="BK218" s="31"/>
      <c r="BL218" s="31"/>
      <c r="BM218" s="31"/>
      <c r="BN218" s="31"/>
      <c r="BO218" s="31"/>
      <c r="BP218" s="31"/>
      <c r="BQ218" s="31"/>
      <c r="BR218" s="31"/>
      <c r="BS218" s="31"/>
      <c r="BT218" s="31"/>
      <c r="BU218" s="31"/>
      <c r="BV218" s="31"/>
      <c r="BW218" s="31"/>
      <c r="BX218" s="31"/>
      <c r="BY218" s="31"/>
      <c r="BZ218" s="31"/>
      <c r="CA218" s="31"/>
      <c r="CB218" s="31"/>
      <c r="CC218" s="31"/>
      <c r="CD218" s="31"/>
      <c r="CE218" s="31"/>
      <c r="CF218" s="31"/>
      <c r="CG218" s="31"/>
      <c r="CH218" s="31"/>
      <c r="CI218" s="31"/>
      <c r="CJ218" s="31"/>
      <c r="CK218" s="31"/>
      <c r="CL218" s="31"/>
      <c r="CM218" s="31"/>
      <c r="CN218" s="31"/>
      <c r="CO218" s="31"/>
      <c r="CP218" s="31"/>
      <c r="CQ218" s="31"/>
      <c r="CR218" s="31"/>
      <c r="CS218" s="31"/>
      <c r="CT218" s="31"/>
      <c r="CU218" s="31"/>
      <c r="CV218" s="31"/>
      <c r="CW218" s="31"/>
      <c r="CX218" s="31"/>
      <c r="CY218" s="31"/>
      <c r="CZ218" s="31"/>
      <c r="DA218" s="31"/>
      <c r="DB218" s="31"/>
      <c r="DC218" s="31"/>
      <c r="DD218" s="31"/>
      <c r="DE218" s="31"/>
      <c r="DF218" s="31"/>
      <c r="DG218" s="31"/>
      <c r="DH218" s="31"/>
      <c r="DI218" s="31"/>
      <c r="DJ218" s="31"/>
      <c r="DK218" s="31"/>
      <c r="DL218" s="31"/>
      <c r="DM218" s="31"/>
      <c r="DN218" s="31"/>
      <c r="DO218" s="31"/>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c r="EX218" s="31"/>
      <c r="EY218" s="31"/>
      <c r="EZ218" s="31"/>
      <c r="FA218" s="31"/>
      <c r="FB218" s="31"/>
      <c r="FC218" s="31"/>
      <c r="FD218" s="31"/>
      <c r="FE218" s="31"/>
      <c r="FF218" s="31"/>
      <c r="FG218" s="31"/>
      <c r="FH218" s="31"/>
      <c r="FI218" s="31"/>
      <c r="FJ218" s="31"/>
      <c r="FK218" s="31"/>
      <c r="FL218" s="31"/>
      <c r="FM218" s="31"/>
      <c r="FN218" s="31"/>
      <c r="FO218" s="31"/>
      <c r="FP218" s="31"/>
      <c r="FQ218" s="31"/>
      <c r="FR218" s="31"/>
      <c r="FS218" s="31"/>
      <c r="FT218" s="31"/>
      <c r="FU218" s="31"/>
      <c r="FV218" s="31"/>
      <c r="FW218" s="31"/>
      <c r="FX218" s="31"/>
      <c r="FY218" s="31"/>
      <c r="FZ218" s="31"/>
      <c r="GA218" s="31"/>
      <c r="GB218" s="31"/>
      <c r="GC218" s="31"/>
      <c r="GD218" s="31"/>
      <c r="GE218" s="31"/>
      <c r="GF218" s="31"/>
      <c r="GG218" s="31"/>
      <c r="GH218" s="31"/>
      <c r="GI218" s="31"/>
      <c r="GJ218" s="31"/>
      <c r="GK218" s="31"/>
      <c r="GL218" s="31"/>
      <c r="GM218" s="31"/>
      <c r="GN218" s="31"/>
      <c r="GO218" s="31"/>
      <c r="GP218" s="31"/>
      <c r="GQ218" s="31"/>
      <c r="GR218" s="31"/>
      <c r="GS218" s="31"/>
      <c r="GT218" s="31"/>
      <c r="GU218" s="31"/>
      <c r="GV218" s="31"/>
      <c r="GW218" s="31"/>
      <c r="GX218" s="31"/>
      <c r="GY218" s="31"/>
      <c r="GZ218" s="31"/>
      <c r="HA218" s="31"/>
      <c r="HB218" s="31"/>
      <c r="HC218" s="31"/>
      <c r="HD218" s="31"/>
      <c r="HE218" s="31"/>
      <c r="HF218" s="31"/>
      <c r="HG218" s="31"/>
      <c r="HH218" s="31"/>
      <c r="HI218" s="31"/>
      <c r="HJ218" s="31"/>
      <c r="HK218" s="31"/>
      <c r="HL218" s="31"/>
      <c r="HM218" s="31"/>
      <c r="HN218" s="31"/>
      <c r="HO218" s="31"/>
      <c r="HP218" s="31"/>
      <c r="HQ218" s="31"/>
      <c r="HR218" s="31"/>
      <c r="HS218" s="31"/>
      <c r="HT218" s="31"/>
      <c r="HU218" s="31"/>
      <c r="HV218" s="31"/>
      <c r="HW218" s="31"/>
      <c r="HX218" s="31"/>
      <c r="HY218" s="31"/>
      <c r="HZ218" s="31"/>
      <c r="IA218" s="31"/>
      <c r="IB218" s="31"/>
      <c r="IC218" s="31"/>
      <c r="ID218" s="31"/>
      <c r="IE218" s="31"/>
      <c r="IF218" s="31"/>
      <c r="IG218" s="31"/>
      <c r="IH218" s="31"/>
      <c r="II218" s="31"/>
      <c r="IJ218" s="31"/>
      <c r="IK218" s="31"/>
      <c r="IL218" s="31"/>
      <c r="IM218" s="31"/>
      <c r="IN218" s="31"/>
      <c r="IO218" s="31"/>
      <c r="IP218" s="31"/>
      <c r="IQ218" s="31"/>
      <c r="IR218" s="31"/>
      <c r="IS218" s="31"/>
      <c r="IT218" s="31"/>
      <c r="IU218" s="31"/>
      <c r="IV218" s="31"/>
      <c r="IW218" s="31"/>
      <c r="IX218" s="31"/>
      <c r="IY218" s="31"/>
      <c r="IZ218" s="31"/>
      <c r="JA218" s="31"/>
      <c r="JB218" s="31"/>
      <c r="JC218" s="31"/>
      <c r="JD218" s="31"/>
      <c r="JE218" s="31"/>
      <c r="JF218" s="31"/>
      <c r="JG218" s="31"/>
      <c r="JH218" s="31"/>
      <c r="JI218" s="31"/>
      <c r="JJ218" s="31"/>
      <c r="JK218" s="31"/>
      <c r="JL218" s="31"/>
      <c r="JM218" s="31"/>
      <c r="JN218" s="31"/>
      <c r="JO218" s="31"/>
      <c r="JP218" s="31"/>
      <c r="JQ218" s="31"/>
      <c r="JR218" s="31"/>
      <c r="JS218" s="31"/>
      <c r="JT218" s="31"/>
      <c r="JU218" s="31"/>
      <c r="JV218" s="31"/>
      <c r="JW218" s="31"/>
      <c r="JX218" s="31"/>
      <c r="JY218" s="31"/>
      <c r="JZ218" s="31"/>
      <c r="KA218" s="31"/>
      <c r="KB218" s="31"/>
      <c r="KC218" s="31"/>
      <c r="KD218" s="31"/>
      <c r="KE218" s="31"/>
      <c r="KF218" s="31"/>
      <c r="KG218" s="31"/>
      <c r="KH218" s="31"/>
      <c r="KI218" s="31"/>
      <c r="KJ218" s="31"/>
      <c r="KK218" s="31"/>
      <c r="KL218" s="31"/>
      <c r="KM218" s="31"/>
      <c r="KN218" s="31"/>
      <c r="KO218" s="31"/>
      <c r="KP218" s="31"/>
      <c r="KQ218" s="31"/>
      <c r="KR218" s="31"/>
      <c r="KS218" s="31"/>
      <c r="KT218" s="31"/>
      <c r="KU218" s="31"/>
      <c r="KV218" s="31"/>
      <c r="KW218" s="31"/>
      <c r="KX218" s="31"/>
      <c r="KY218" s="31"/>
      <c r="KZ218" s="31"/>
      <c r="LA218" s="31"/>
      <c r="LB218" s="31"/>
      <c r="LC218" s="31"/>
      <c r="LD218" s="31"/>
      <c r="LE218" s="31"/>
      <c r="LF218" s="31"/>
      <c r="LG218" s="31"/>
      <c r="LH218" s="31"/>
      <c r="LI218" s="31"/>
      <c r="LJ218" s="31"/>
      <c r="LK218" s="31"/>
      <c r="LL218" s="31"/>
      <c r="LM218" s="31"/>
      <c r="LN218" s="31"/>
      <c r="LO218" s="31"/>
      <c r="LP218" s="31"/>
      <c r="LQ218" s="31"/>
      <c r="LR218" s="31"/>
      <c r="LS218" s="31"/>
      <c r="LT218" s="31"/>
      <c r="LU218" s="31"/>
      <c r="LV218" s="31"/>
      <c r="LW218" s="31"/>
      <c r="LX218" s="31"/>
      <c r="LY218" s="31"/>
      <c r="LZ218" s="31"/>
      <c r="MA218" s="31"/>
      <c r="MB218" s="31"/>
      <c r="MC218" s="31"/>
      <c r="MD218" s="31"/>
      <c r="ME218" s="31"/>
      <c r="MF218" s="31"/>
      <c r="MG218" s="31"/>
      <c r="MH218" s="31"/>
      <c r="MI218" s="31"/>
      <c r="MJ218" s="31"/>
      <c r="MK218" s="31"/>
      <c r="ML218" s="31"/>
      <c r="MM218" s="31"/>
      <c r="MN218" s="31"/>
      <c r="MO218" s="31"/>
      <c r="MP218" s="31"/>
      <c r="MQ218" s="31"/>
      <c r="MR218" s="31"/>
      <c r="MS218" s="31"/>
      <c r="MT218" s="31"/>
      <c r="MU218" s="31"/>
      <c r="MV218" s="31"/>
      <c r="MW218" s="31"/>
      <c r="MX218" s="31"/>
      <c r="MY218" s="31"/>
      <c r="MZ218" s="31"/>
      <c r="NA218" s="31"/>
      <c r="NB218" s="31"/>
      <c r="NC218" s="31"/>
      <c r="ND218" s="31"/>
      <c r="NE218" s="31"/>
      <c r="NF218" s="31"/>
      <c r="NG218" s="31"/>
      <c r="NH218" s="31"/>
      <c r="NI218" s="31"/>
      <c r="NJ218" s="31"/>
      <c r="NK218" s="31"/>
      <c r="NL218" s="31"/>
      <c r="NM218" s="31"/>
      <c r="NN218" s="31"/>
      <c r="NO218" s="31"/>
      <c r="NP218" s="31"/>
      <c r="NQ218" s="31"/>
      <c r="NR218" s="31"/>
      <c r="NS218" s="31"/>
      <c r="NT218" s="31"/>
      <c r="NU218" s="31"/>
      <c r="NV218" s="31"/>
      <c r="NW218" s="31"/>
      <c r="NX218" s="31"/>
      <c r="NY218" s="31"/>
      <c r="NZ218" s="31"/>
      <c r="OA218" s="31"/>
      <c r="OB218" s="31"/>
      <c r="OC218" s="31"/>
      <c r="OD218" s="31"/>
      <c r="OE218" s="31"/>
      <c r="OF218" s="31"/>
      <c r="OG218" s="31"/>
      <c r="OH218" s="31"/>
      <c r="OI218" s="31"/>
      <c r="OJ218" s="31"/>
      <c r="OK218" s="31"/>
      <c r="OL218" s="31"/>
      <c r="OM218" s="31"/>
      <c r="ON218" s="31"/>
      <c r="OO218" s="31"/>
      <c r="OP218" s="31"/>
      <c r="OQ218" s="31"/>
      <c r="OR218" s="31"/>
      <c r="OS218" s="31"/>
      <c r="OT218" s="31"/>
      <c r="OU218" s="31"/>
      <c r="OV218" s="31"/>
      <c r="OW218" s="31"/>
      <c r="OX218" s="31"/>
      <c r="OY218" s="31"/>
      <c r="OZ218" s="31"/>
      <c r="PA218" s="31"/>
      <c r="PB218" s="31"/>
      <c r="PC218" s="31"/>
      <c r="PD218" s="31"/>
      <c r="PE218" s="31"/>
      <c r="PF218" s="31"/>
      <c r="PG218" s="31"/>
      <c r="PH218" s="31"/>
      <c r="PI218" s="31"/>
      <c r="PJ218" s="31"/>
      <c r="PK218" s="31"/>
      <c r="PL218" s="31"/>
      <c r="PM218" s="31"/>
      <c r="PN218" s="31"/>
      <c r="PO218" s="31"/>
      <c r="PP218" s="31"/>
      <c r="PQ218" s="31"/>
      <c r="PR218" s="31"/>
      <c r="PS218" s="31"/>
      <c r="PT218" s="31"/>
      <c r="PU218" s="31"/>
      <c r="PV218" s="31"/>
      <c r="PW218" s="31"/>
      <c r="PX218" s="31"/>
      <c r="PY218" s="31"/>
      <c r="PZ218" s="31"/>
      <c r="QA218" s="31"/>
      <c r="QB218" s="31"/>
      <c r="QC218" s="31"/>
      <c r="QD218" s="31"/>
      <c r="QE218" s="31"/>
      <c r="QF218" s="31"/>
      <c r="QG218" s="31"/>
      <c r="QH218" s="31"/>
      <c r="QI218" s="31"/>
      <c r="QJ218" s="31"/>
      <c r="QK218" s="31"/>
      <c r="QL218" s="31"/>
      <c r="QM218" s="31"/>
      <c r="QN218" s="31"/>
      <c r="QO218" s="31"/>
      <c r="QP218" s="31"/>
      <c r="QQ218" s="31"/>
      <c r="QR218" s="31"/>
      <c r="QS218" s="31"/>
      <c r="QT218" s="31"/>
      <c r="QU218" s="31"/>
      <c r="QV218" s="31"/>
      <c r="QW218" s="31"/>
      <c r="QX218" s="31"/>
      <c r="QY218" s="31"/>
      <c r="QZ218" s="31"/>
      <c r="RA218" s="31"/>
      <c r="RB218" s="31"/>
      <c r="RC218" s="31"/>
      <c r="RD218" s="31"/>
      <c r="RE218" s="31"/>
      <c r="RF218" s="31"/>
      <c r="RG218" s="31"/>
      <c r="RH218" s="31"/>
      <c r="RI218" s="31"/>
      <c r="RJ218" s="31"/>
      <c r="RK218" s="31"/>
      <c r="RL218" s="31"/>
      <c r="RM218" s="31"/>
      <c r="RN218" s="31"/>
      <c r="RO218" s="31"/>
      <c r="RP218" s="31"/>
      <c r="RQ218" s="31"/>
      <c r="RR218" s="31"/>
      <c r="RS218" s="31"/>
      <c r="RT218" s="31"/>
      <c r="RU218" s="31"/>
      <c r="RV218" s="31"/>
      <c r="RW218" s="31"/>
      <c r="RX218" s="31"/>
      <c r="RY218" s="31"/>
      <c r="RZ218" s="31"/>
      <c r="SA218" s="31"/>
      <c r="SB218" s="31"/>
      <c r="SC218" s="31"/>
      <c r="SD218" s="31"/>
      <c r="SE218" s="31"/>
      <c r="SF218" s="31"/>
      <c r="SG218" s="31"/>
      <c r="SH218" s="31"/>
      <c r="SI218" s="31"/>
      <c r="SJ218" s="31"/>
      <c r="SK218" s="31"/>
      <c r="SL218" s="31"/>
      <c r="SM218" s="31"/>
      <c r="SN218" s="31"/>
      <c r="SO218" s="31"/>
      <c r="SP218" s="31"/>
      <c r="SQ218" s="31"/>
      <c r="SR218" s="31"/>
      <c r="SS218" s="31"/>
      <c r="ST218" s="31"/>
      <c r="SU218" s="31"/>
      <c r="SV218" s="31"/>
      <c r="SW218" s="31"/>
      <c r="SX218" s="31"/>
      <c r="SY218" s="31"/>
      <c r="SZ218" s="31"/>
      <c r="TA218" s="31"/>
      <c r="TB218" s="31"/>
      <c r="TC218" s="31"/>
      <c r="TD218" s="31"/>
      <c r="TE218" s="31"/>
      <c r="TF218" s="31"/>
      <c r="TG218" s="31"/>
      <c r="TH218" s="31"/>
      <c r="TI218" s="31"/>
      <c r="TJ218" s="31"/>
      <c r="TK218" s="31"/>
      <c r="TL218" s="31"/>
      <c r="TM218" s="31"/>
      <c r="TN218" s="31"/>
      <c r="TO218" s="31"/>
      <c r="TP218" s="31"/>
      <c r="TQ218" s="31"/>
      <c r="TR218" s="31"/>
      <c r="TS218" s="31"/>
      <c r="TT218" s="31"/>
      <c r="TU218" s="31"/>
      <c r="TV218" s="31"/>
      <c r="TW218" s="31"/>
      <c r="TX218" s="31"/>
      <c r="TY218" s="31"/>
      <c r="TZ218" s="31"/>
      <c r="UA218" s="31"/>
      <c r="UB218" s="31"/>
      <c r="UC218" s="31"/>
      <c r="UD218" s="31"/>
      <c r="UE218" s="31"/>
      <c r="UF218" s="31"/>
      <c r="UG218" s="31"/>
      <c r="UH218" s="31"/>
      <c r="UI218" s="31"/>
      <c r="UJ218" s="31"/>
      <c r="UK218" s="31"/>
      <c r="UL218" s="31"/>
      <c r="UM218" s="31"/>
      <c r="UN218" s="31"/>
      <c r="UO218" s="31"/>
      <c r="UP218" s="31"/>
      <c r="UQ218" s="31"/>
      <c r="UR218" s="31"/>
      <c r="US218" s="31"/>
      <c r="UT218" s="31"/>
      <c r="UU218" s="31"/>
      <c r="UV218" s="31"/>
      <c r="UW218" s="31"/>
      <c r="UX218" s="31"/>
      <c r="UY218" s="31"/>
      <c r="UZ218" s="31"/>
      <c r="VA218" s="31"/>
      <c r="VB218" s="31"/>
      <c r="VC218" s="31"/>
      <c r="VD218" s="31"/>
      <c r="VE218" s="31"/>
      <c r="VF218" s="31"/>
      <c r="VG218" s="31"/>
      <c r="VH218" s="31"/>
      <c r="VI218" s="31"/>
      <c r="VJ218" s="31"/>
      <c r="VK218" s="31"/>
      <c r="VL218" s="31"/>
      <c r="VM218" s="31"/>
      <c r="VN218" s="31"/>
      <c r="VO218" s="31"/>
      <c r="VP218" s="31"/>
      <c r="VQ218" s="31"/>
      <c r="VR218" s="31"/>
      <c r="VS218" s="31"/>
      <c r="VT218" s="31"/>
      <c r="VU218" s="31"/>
      <c r="VV218" s="31"/>
      <c r="VW218" s="31"/>
      <c r="VX218" s="31"/>
      <c r="VY218" s="31"/>
      <c r="VZ218" s="31"/>
      <c r="WA218" s="31"/>
      <c r="WB218" s="31"/>
      <c r="WC218" s="31"/>
      <c r="WD218" s="31"/>
      <c r="WE218" s="31"/>
      <c r="WF218" s="31"/>
      <c r="WG218" s="31"/>
      <c r="WH218" s="31"/>
      <c r="WI218" s="31"/>
      <c r="WJ218" s="31"/>
      <c r="WK218" s="31"/>
      <c r="WL218" s="31"/>
      <c r="WM218" s="31"/>
      <c r="WN218" s="31"/>
      <c r="WO218" s="31"/>
      <c r="WP218" s="31"/>
      <c r="WQ218" s="31"/>
      <c r="WR218" s="31"/>
      <c r="WS218" s="31"/>
      <c r="WT218" s="31"/>
      <c r="WU218" s="31"/>
      <c r="WV218" s="31"/>
      <c r="WW218" s="31"/>
      <c r="WX218" s="31"/>
      <c r="WY218" s="31"/>
      <c r="WZ218" s="31"/>
      <c r="XA218" s="31"/>
      <c r="XB218" s="31"/>
      <c r="XC218" s="31"/>
      <c r="XD218" s="31"/>
      <c r="XE218" s="31"/>
      <c r="XF218" s="31"/>
      <c r="XG218" s="31"/>
      <c r="XH218" s="31"/>
      <c r="XI218" s="31"/>
      <c r="XJ218" s="31"/>
      <c r="XK218" s="31"/>
      <c r="XL218" s="31"/>
      <c r="XM218" s="31"/>
      <c r="XN218" s="31"/>
      <c r="XO218" s="31"/>
      <c r="XP218" s="31"/>
      <c r="XQ218" s="31"/>
      <c r="XR218" s="31"/>
      <c r="XS218" s="31"/>
      <c r="XT218" s="31"/>
      <c r="XU218" s="31"/>
      <c r="XV218" s="31"/>
      <c r="XW218" s="31"/>
      <c r="XX218" s="31"/>
      <c r="XY218" s="31"/>
      <c r="XZ218" s="31"/>
      <c r="YA218" s="31"/>
      <c r="YB218" s="31"/>
      <c r="YC218" s="31"/>
      <c r="YD218" s="31"/>
      <c r="YE218" s="31"/>
      <c r="YF218" s="31"/>
      <c r="YG218" s="31"/>
      <c r="YH218" s="31"/>
      <c r="YI218" s="31"/>
      <c r="YJ218" s="31"/>
      <c r="YK218" s="31"/>
      <c r="YL218" s="31"/>
      <c r="YM218" s="31"/>
      <c r="YN218" s="31"/>
      <c r="YO218" s="31"/>
      <c r="YP218" s="31"/>
      <c r="YQ218" s="31"/>
      <c r="YR218" s="31"/>
      <c r="YS218" s="31"/>
      <c r="YT218" s="31"/>
      <c r="YU218" s="31"/>
      <c r="YV218" s="31"/>
      <c r="YW218" s="31"/>
      <c r="YX218" s="31"/>
      <c r="YY218" s="31"/>
      <c r="YZ218" s="31"/>
      <c r="ZA218" s="31"/>
      <c r="ZB218" s="31"/>
      <c r="ZC218" s="31"/>
      <c r="ZD218" s="31"/>
      <c r="ZE218" s="31"/>
      <c r="ZF218" s="31"/>
      <c r="ZG218" s="31"/>
      <c r="ZH218" s="31"/>
      <c r="ZI218" s="31"/>
      <c r="ZJ218" s="31"/>
      <c r="ZK218" s="31"/>
      <c r="ZL218" s="31"/>
      <c r="ZM218" s="31"/>
      <c r="ZN218" s="31"/>
      <c r="ZO218" s="31"/>
      <c r="ZP218" s="31"/>
      <c r="ZQ218" s="31"/>
      <c r="ZR218" s="31"/>
      <c r="ZS218" s="31"/>
      <c r="ZT218" s="31"/>
      <c r="ZU218" s="31"/>
      <c r="ZV218" s="31"/>
      <c r="ZW218" s="31"/>
      <c r="ZX218" s="31"/>
      <c r="ZY218" s="31"/>
      <c r="ZZ218" s="31"/>
      <c r="AAA218" s="31"/>
      <c r="AAB218" s="31"/>
      <c r="AAC218" s="31"/>
      <c r="AAD218" s="31"/>
      <c r="AAE218" s="31"/>
      <c r="AAF218" s="31"/>
      <c r="AAG218" s="31"/>
      <c r="AAH218" s="31"/>
      <c r="AAI218" s="31"/>
      <c r="AAJ218" s="31"/>
      <c r="AAK218" s="31"/>
      <c r="AAL218" s="31"/>
      <c r="AAM218" s="31"/>
      <c r="AAN218" s="31"/>
      <c r="AAO218" s="31"/>
      <c r="AAP218" s="31"/>
      <c r="AAQ218" s="31"/>
      <c r="AAR218" s="31"/>
      <c r="AAS218" s="31"/>
      <c r="AAT218" s="31"/>
      <c r="AAU218" s="31"/>
      <c r="AAV218" s="31"/>
      <c r="AAW218" s="31"/>
      <c r="AAX218" s="31"/>
      <c r="AAY218" s="31"/>
      <c r="AAZ218" s="31"/>
      <c r="ABA218" s="31"/>
      <c r="ABB218" s="31"/>
      <c r="ABC218" s="31"/>
      <c r="ABD218" s="31"/>
      <c r="ABE218" s="31"/>
      <c r="ABF218" s="31"/>
      <c r="ABG218" s="31"/>
      <c r="ABH218" s="31"/>
      <c r="ABI218" s="31"/>
      <c r="ABJ218" s="31"/>
      <c r="ABK218" s="31"/>
      <c r="ABL218" s="31"/>
      <c r="ABM218" s="31"/>
      <c r="ABN218" s="31"/>
      <c r="ABO218" s="31"/>
      <c r="ABP218" s="31"/>
      <c r="ABQ218" s="31"/>
      <c r="ABR218" s="31"/>
      <c r="ABS218" s="31"/>
      <c r="ABT218" s="31"/>
      <c r="ABU218" s="31"/>
      <c r="ABV218" s="31"/>
      <c r="ABW218" s="31"/>
      <c r="ABX218" s="31"/>
      <c r="ABY218" s="31"/>
      <c r="ABZ218" s="31"/>
      <c r="ACA218" s="31"/>
      <c r="ACB218" s="31"/>
      <c r="ACC218" s="31"/>
      <c r="ACD218" s="31"/>
      <c r="ACE218" s="31"/>
      <c r="ACF218" s="31"/>
      <c r="ACG218" s="31"/>
      <c r="ACH218" s="31"/>
      <c r="ACI218" s="31"/>
      <c r="ACJ218" s="31"/>
      <c r="ACK218" s="31"/>
      <c r="ACL218" s="31"/>
      <c r="ACM218" s="31"/>
      <c r="ACN218" s="31"/>
      <c r="ACO218" s="31"/>
      <c r="ACP218" s="31"/>
      <c r="ACQ218" s="31"/>
      <c r="ACR218" s="31"/>
      <c r="ACS218" s="31"/>
      <c r="ACT218" s="31"/>
      <c r="ACU218" s="31"/>
      <c r="ACV218" s="31"/>
      <c r="ACW218" s="31"/>
      <c r="ACX218" s="31"/>
      <c r="ACY218" s="31"/>
      <c r="ACZ218" s="31"/>
      <c r="ADA218" s="31"/>
      <c r="ADB218" s="31"/>
      <c r="ADC218" s="31"/>
      <c r="ADD218" s="31"/>
      <c r="ADE218" s="31"/>
      <c r="ADF218" s="31"/>
      <c r="ADG218" s="31"/>
      <c r="ADH218" s="31"/>
      <c r="ADI218" s="31"/>
      <c r="ADJ218" s="31"/>
      <c r="ADK218" s="31"/>
      <c r="ADL218" s="31"/>
      <c r="ADM218" s="31"/>
      <c r="ADN218" s="31"/>
      <c r="ADO218" s="31"/>
      <c r="ADP218" s="31"/>
      <c r="ADQ218" s="31"/>
      <c r="ADR218" s="31"/>
      <c r="ADS218" s="31"/>
      <c r="ADT218" s="31"/>
      <c r="ADU218" s="31"/>
      <c r="ADV218" s="31"/>
      <c r="ADW218" s="31"/>
      <c r="ADX218" s="31"/>
      <c r="ADY218" s="31"/>
      <c r="ADZ218" s="31"/>
      <c r="AEA218" s="31"/>
      <c r="AEB218" s="31"/>
      <c r="AEC218" s="31"/>
      <c r="AED218" s="31"/>
      <c r="AEE218" s="31"/>
      <c r="AEF218" s="31"/>
      <c r="AEG218" s="31"/>
      <c r="AEH218" s="31"/>
      <c r="AEI218" s="31"/>
      <c r="AEJ218" s="31"/>
      <c r="AEK218" s="31"/>
      <c r="AEL218" s="31"/>
      <c r="AEM218" s="31"/>
      <c r="AEN218" s="31"/>
      <c r="AEO218" s="31"/>
      <c r="AEP218" s="31"/>
      <c r="AEQ218" s="31"/>
      <c r="AER218" s="31"/>
      <c r="AES218" s="31"/>
      <c r="AET218" s="31"/>
      <c r="AEU218" s="31"/>
      <c r="AEV218" s="31"/>
      <c r="AEW218" s="31"/>
      <c r="AEX218" s="31"/>
      <c r="AEY218" s="31"/>
      <c r="AEZ218" s="31"/>
      <c r="AFA218" s="31"/>
      <c r="AFB218" s="31"/>
      <c r="AFC218" s="31"/>
      <c r="AFD218" s="31"/>
      <c r="AFE218" s="31"/>
      <c r="AFF218" s="31"/>
      <c r="AFG218" s="31"/>
      <c r="AFH218" s="31"/>
      <c r="AFI218" s="31"/>
      <c r="AFJ218" s="31"/>
      <c r="AFK218" s="31"/>
      <c r="AFL218" s="31"/>
      <c r="AFM218" s="31"/>
      <c r="AFN218" s="31"/>
      <c r="AFO218" s="31"/>
      <c r="AFP218" s="31"/>
      <c r="AFQ218" s="31"/>
      <c r="AFR218" s="31"/>
      <c r="AFS218" s="31"/>
      <c r="AFT218" s="31"/>
      <c r="AFU218" s="31"/>
      <c r="AFV218" s="31"/>
      <c r="AFW218" s="31"/>
      <c r="AFX218" s="31"/>
      <c r="AFY218" s="31"/>
      <c r="AFZ218" s="31"/>
      <c r="AGA218" s="31"/>
      <c r="AGB218" s="31"/>
      <c r="AGC218" s="31"/>
      <c r="AGD218" s="31"/>
      <c r="AGE218" s="31"/>
      <c r="AGF218" s="31"/>
      <c r="AGG218" s="31"/>
      <c r="AGH218" s="31"/>
      <c r="AGI218" s="31"/>
      <c r="AGJ218" s="31"/>
      <c r="AGK218" s="31"/>
      <c r="AGL218" s="31"/>
      <c r="AGM218" s="31"/>
      <c r="AGN218" s="31"/>
      <c r="AGO218" s="31"/>
      <c r="AGP218" s="31"/>
      <c r="AGQ218" s="31"/>
      <c r="AGR218" s="31"/>
      <c r="AGS218" s="31"/>
      <c r="AGT218" s="31"/>
      <c r="AGU218" s="31"/>
      <c r="AGV218" s="31"/>
      <c r="AGW218" s="31"/>
      <c r="AGX218" s="31"/>
      <c r="AGY218" s="31"/>
      <c r="AGZ218" s="31"/>
      <c r="AHA218" s="31"/>
      <c r="AHB218" s="31"/>
      <c r="AHC218" s="31"/>
      <c r="AHD218" s="31"/>
      <c r="AHE218" s="31"/>
      <c r="AHF218" s="31"/>
      <c r="AHG218" s="31"/>
      <c r="AHH218" s="31"/>
      <c r="AHI218" s="31"/>
      <c r="AHJ218" s="31"/>
      <c r="AHK218" s="31"/>
      <c r="AHL218" s="31"/>
      <c r="AHM218" s="31"/>
      <c r="AHN218" s="31"/>
      <c r="AHO218" s="31"/>
      <c r="AHP218" s="31"/>
      <c r="AHQ218" s="31"/>
      <c r="AHR218" s="31"/>
      <c r="AHS218" s="31"/>
      <c r="AHT218" s="31"/>
      <c r="AHU218" s="31"/>
      <c r="AHV218" s="31"/>
      <c r="AHW218" s="31"/>
      <c r="AHX218" s="31"/>
      <c r="AHY218" s="31"/>
      <c r="AHZ218" s="31"/>
      <c r="AIA218" s="31"/>
      <c r="AIB218" s="31"/>
      <c r="AIC218" s="31"/>
      <c r="AID218" s="31"/>
      <c r="AIE218" s="31"/>
      <c r="AIF218" s="31"/>
      <c r="AIG218" s="31"/>
      <c r="AIH218" s="31"/>
      <c r="AII218" s="31"/>
      <c r="AIJ218" s="31"/>
      <c r="AIK218" s="31"/>
      <c r="AIL218" s="31"/>
      <c r="AIM218" s="31"/>
      <c r="AIN218" s="31"/>
      <c r="AIO218" s="31"/>
      <c r="AIP218" s="31"/>
      <c r="AIQ218" s="31"/>
      <c r="AIR218" s="31"/>
      <c r="AIS218" s="31"/>
      <c r="AIT218" s="31"/>
      <c r="AIU218" s="31"/>
      <c r="AIV218" s="31"/>
      <c r="AIW218" s="31"/>
      <c r="AIX218" s="31"/>
      <c r="AIY218" s="31"/>
      <c r="AIZ218" s="31"/>
      <c r="AJA218" s="31"/>
      <c r="AJB218" s="31"/>
      <c r="AJC218" s="31"/>
      <c r="AJD218" s="31"/>
      <c r="AJE218" s="31"/>
      <c r="AJF218" s="31"/>
      <c r="AJG218" s="31"/>
      <c r="AJH218" s="31"/>
      <c r="AJI218" s="31"/>
      <c r="AJJ218" s="31"/>
      <c r="AJK218" s="31"/>
      <c r="AJL218" s="31"/>
      <c r="AJM218" s="31"/>
      <c r="AJN218" s="31"/>
      <c r="AJO218" s="31"/>
      <c r="AJP218" s="31"/>
      <c r="AJQ218" s="31"/>
      <c r="AJR218" s="31"/>
      <c r="AJS218" s="31"/>
      <c r="AJT218" s="31"/>
      <c r="AJU218" s="31"/>
      <c r="AJV218" s="31"/>
      <c r="AJW218" s="31"/>
      <c r="AJX218" s="31"/>
      <c r="AJY218" s="31"/>
      <c r="AJZ218" s="31"/>
      <c r="AKA218" s="31"/>
      <c r="AKB218" s="31"/>
      <c r="AKC218" s="31"/>
      <c r="AKD218" s="31"/>
      <c r="AKE218" s="31"/>
      <c r="AKF218" s="31"/>
      <c r="AKG218" s="31"/>
      <c r="AKH218" s="31"/>
      <c r="AKI218" s="31"/>
      <c r="AKJ218" s="31"/>
      <c r="AKK218" s="31"/>
      <c r="AKL218" s="31"/>
      <c r="AKM218" s="31"/>
      <c r="AKN218" s="31"/>
      <c r="AKO218" s="31"/>
      <c r="AKP218" s="31"/>
      <c r="AKQ218" s="31"/>
      <c r="AKR218" s="31"/>
      <c r="AKS218" s="31"/>
      <c r="AKT218" s="31"/>
      <c r="AKU218" s="31"/>
      <c r="AKV218" s="31"/>
      <c r="AKW218" s="31"/>
      <c r="AKX218" s="31"/>
      <c r="AKY218" s="31"/>
      <c r="AKZ218" s="31"/>
      <c r="ALA218" s="31"/>
      <c r="ALB218" s="31"/>
      <c r="ALC218" s="31"/>
      <c r="ALD218" s="31"/>
      <c r="ALE218" s="31"/>
      <c r="ALF218" s="31"/>
      <c r="ALG218" s="31"/>
      <c r="ALH218" s="31"/>
      <c r="ALI218" s="31"/>
      <c r="ALJ218" s="31"/>
      <c r="ALK218" s="31"/>
      <c r="ALL218" s="31"/>
      <c r="ALM218" s="31"/>
      <c r="ALN218" s="31"/>
      <c r="ALO218" s="31"/>
      <c r="ALP218" s="31"/>
      <c r="ALQ218" s="31"/>
      <c r="ALR218" s="31"/>
      <c r="ALS218" s="31"/>
      <c r="ALT218" s="31"/>
      <c r="ALU218" s="31"/>
      <c r="ALV218" s="31"/>
      <c r="ALW218" s="31"/>
      <c r="ALX218" s="31"/>
      <c r="ALY218" s="31"/>
      <c r="ALZ218" s="31"/>
      <c r="AMA218" s="31"/>
      <c r="AMB218" s="31"/>
      <c r="AMC218" s="31"/>
      <c r="AMD218" s="31"/>
      <c r="AME218" s="31"/>
      <c r="AMF218" s="31"/>
      <c r="AMG218" s="31"/>
      <c r="AMH218" s="31"/>
      <c r="AMI218" s="31"/>
      <c r="AMJ218" s="31"/>
      <c r="AMK218" s="31"/>
      <c r="AML218" s="31"/>
      <c r="AMM218" s="31"/>
      <c r="AMN218" s="31"/>
      <c r="AMO218" s="31"/>
      <c r="AMP218" s="31"/>
      <c r="AMQ218" s="31"/>
      <c r="AMR218" s="31"/>
      <c r="AMS218" s="31"/>
      <c r="AMT218" s="31"/>
      <c r="AMU218" s="31"/>
      <c r="AMV218" s="31"/>
      <c r="AMW218" s="31"/>
      <c r="AMX218" s="31"/>
      <c r="AMY218" s="31"/>
      <c r="AMZ218" s="31"/>
      <c r="ANA218" s="31"/>
      <c r="ANB218" s="31"/>
      <c r="ANC218" s="31"/>
      <c r="AND218" s="31"/>
      <c r="ANE218" s="31"/>
      <c r="ANF218" s="31"/>
      <c r="ANG218" s="31"/>
      <c r="ANH218" s="31"/>
      <c r="ANI218" s="31"/>
      <c r="ANJ218" s="31"/>
      <c r="ANK218" s="31"/>
      <c r="ANL218" s="31"/>
      <c r="ANM218" s="31"/>
      <c r="ANN218" s="31"/>
      <c r="ANO218" s="31"/>
      <c r="ANP218" s="31"/>
      <c r="ANQ218" s="31"/>
      <c r="ANR218" s="31"/>
      <c r="ANS218" s="31"/>
      <c r="ANT218" s="31"/>
      <c r="ANU218" s="31"/>
      <c r="ANV218" s="31"/>
      <c r="ANW218" s="31"/>
      <c r="ANX218" s="31"/>
      <c r="ANY218" s="31"/>
      <c r="ANZ218" s="31"/>
      <c r="AOA218" s="31"/>
      <c r="AOB218" s="31"/>
      <c r="AOC218" s="31"/>
      <c r="AOD218" s="31"/>
      <c r="AOE218" s="31"/>
      <c r="AOF218" s="31"/>
      <c r="AOG218" s="31"/>
      <c r="AOH218" s="31"/>
      <c r="AOI218" s="31"/>
      <c r="AOJ218" s="31"/>
      <c r="AOK218" s="31"/>
      <c r="AOL218" s="31"/>
      <c r="AOM218" s="31"/>
      <c r="AON218" s="31"/>
      <c r="AOO218" s="31"/>
      <c r="AOP218" s="31"/>
      <c r="AOQ218" s="31"/>
      <c r="AOR218" s="31"/>
      <c r="AOS218" s="31"/>
      <c r="AOT218" s="31"/>
      <c r="AOU218" s="31"/>
      <c r="AOV218" s="31"/>
      <c r="AOW218" s="31"/>
      <c r="AOX218" s="31"/>
      <c r="AOY218" s="31"/>
      <c r="AOZ218" s="31"/>
      <c r="APA218" s="31"/>
      <c r="APB218" s="31"/>
      <c r="APC218" s="31"/>
      <c r="APD218" s="31"/>
      <c r="APE218" s="31"/>
      <c r="APF218" s="31"/>
      <c r="APG218" s="31"/>
      <c r="APH218" s="31"/>
      <c r="API218" s="31"/>
      <c r="APJ218" s="31"/>
      <c r="APK218" s="31"/>
      <c r="APL218" s="31"/>
      <c r="APM218" s="31"/>
      <c r="APN218" s="31"/>
      <c r="APO218" s="31"/>
      <c r="APP218" s="31"/>
      <c r="APQ218" s="31"/>
      <c r="APR218" s="31"/>
      <c r="APS218" s="31"/>
      <c r="APT218" s="31"/>
      <c r="APU218" s="31"/>
      <c r="APV218" s="31"/>
      <c r="APW218" s="31"/>
      <c r="APX218" s="31"/>
      <c r="APY218" s="31"/>
      <c r="APZ218" s="31"/>
      <c r="AQA218" s="31"/>
      <c r="AQB218" s="31"/>
      <c r="AQC218" s="31"/>
      <c r="AQD218" s="31"/>
      <c r="AQE218" s="31"/>
      <c r="AQF218" s="31"/>
      <c r="AQG218" s="31"/>
      <c r="AQH218" s="31"/>
      <c r="AQI218" s="31"/>
      <c r="AQJ218" s="31"/>
      <c r="AQK218" s="31"/>
      <c r="AQL218" s="31"/>
      <c r="AQM218" s="31"/>
      <c r="AQN218" s="31"/>
      <c r="AQO218" s="31"/>
      <c r="AQP218" s="31"/>
      <c r="AQQ218" s="31"/>
      <c r="AQR218" s="31"/>
      <c r="AQS218" s="31"/>
      <c r="AQT218" s="31"/>
      <c r="AQU218" s="31"/>
      <c r="AQV218" s="31"/>
      <c r="AQW218" s="31"/>
      <c r="AQX218" s="31"/>
      <c r="AQY218" s="31"/>
      <c r="AQZ218" s="31"/>
      <c r="ARA218" s="31"/>
      <c r="ARB218" s="31"/>
      <c r="ARC218" s="31"/>
      <c r="ARD218" s="31"/>
      <c r="ARE218" s="31"/>
      <c r="ARF218" s="31"/>
      <c r="ARG218" s="31"/>
      <c r="ARH218" s="31"/>
      <c r="ARI218" s="31"/>
      <c r="ARJ218" s="31"/>
      <c r="ARK218" s="31"/>
      <c r="ARL218" s="31"/>
      <c r="ARM218" s="31"/>
      <c r="ARN218" s="31"/>
      <c r="ARO218" s="31"/>
      <c r="ARP218" s="31"/>
      <c r="ARQ218" s="31"/>
      <c r="ARR218" s="31"/>
      <c r="ARS218" s="31"/>
      <c r="ART218" s="31"/>
      <c r="ARU218" s="31"/>
      <c r="ARV218" s="31"/>
      <c r="ARW218" s="31"/>
      <c r="ARX218" s="31"/>
      <c r="ARY218" s="31"/>
      <c r="ARZ218" s="31"/>
      <c r="ASA218" s="31"/>
      <c r="ASB218" s="31"/>
      <c r="ASC218" s="31"/>
      <c r="ASD218" s="31"/>
      <c r="ASE218" s="31"/>
      <c r="ASF218" s="31"/>
      <c r="ASG218" s="31"/>
      <c r="ASH218" s="31"/>
      <c r="ASI218" s="31"/>
      <c r="ASJ218" s="31"/>
      <c r="ASK218" s="31"/>
      <c r="ASL218" s="31"/>
      <c r="ASM218" s="31"/>
      <c r="ASN218" s="31"/>
      <c r="ASO218" s="31"/>
      <c r="ASP218" s="31"/>
      <c r="ASQ218" s="31"/>
      <c r="ASR218" s="31"/>
      <c r="ASS218" s="31"/>
      <c r="AST218" s="31"/>
      <c r="ASU218" s="31"/>
      <c r="ASV218" s="31"/>
      <c r="ASW218" s="31"/>
      <c r="ASX218" s="31"/>
      <c r="ASY218" s="31"/>
      <c r="ASZ218" s="31"/>
      <c r="ATA218" s="31"/>
      <c r="ATB218" s="31"/>
      <c r="ATC218" s="31"/>
      <c r="ATD218" s="31"/>
      <c r="ATE218" s="31"/>
    </row>
    <row r="219" spans="1:1201" s="34" customFormat="1" ht="15.75" customHeight="1" x14ac:dyDescent="0.3">
      <c r="A219" s="76"/>
      <c r="B219" s="76"/>
      <c r="C219" s="1452" t="s">
        <v>1316</v>
      </c>
      <c r="D219" s="63"/>
      <c r="E219" s="63"/>
      <c r="F219" s="63"/>
      <c r="G219" s="167"/>
      <c r="H219" s="653"/>
      <c r="I219" s="684"/>
      <c r="J219" s="684"/>
      <c r="K219" s="684"/>
      <c r="L219" s="684"/>
      <c r="M219" s="684"/>
      <c r="N219" s="684"/>
      <c r="O219" s="684"/>
      <c r="P219" s="684"/>
      <c r="Q219" s="684"/>
      <c r="R219" s="684"/>
      <c r="S219" s="946"/>
      <c r="T219" s="946"/>
      <c r="U219" s="942"/>
      <c r="V219" s="942"/>
      <c r="W219" s="942"/>
      <c r="X219" s="942"/>
      <c r="Y219" s="942"/>
      <c r="Z219" s="1096"/>
      <c r="AA219" s="1096"/>
      <c r="AB219" s="1096"/>
      <c r="AC219" s="1096"/>
      <c r="AD219" s="1096"/>
      <c r="AE219" s="1463">
        <f>AE217-'MXD BS'!N107</f>
        <v>0</v>
      </c>
      <c r="AF219" s="1096"/>
      <c r="AG219" s="1096"/>
      <c r="AH219" s="1096"/>
      <c r="AI219" s="1096"/>
      <c r="AJ219" s="1096"/>
      <c r="AK219" s="1463">
        <f>AK217-'MXD BS'!T107-'HEC Financials'!AZ196</f>
        <v>0</v>
      </c>
      <c r="AL219" s="1463">
        <f>AL217-'MXD BS'!U107-'HEC Financials'!BA196</f>
        <v>0</v>
      </c>
      <c r="AM219" s="1463">
        <f>AM217-'MXD BS'!V107-'HEC Financials'!BB196</f>
        <v>0</v>
      </c>
      <c r="AN219" s="1463">
        <f>AN217-'MXD BS'!W107-'HEC Financials'!BC196</f>
        <v>0</v>
      </c>
      <c r="AO219" s="1581">
        <f>AO217-'MXD BS'!X107-'HEC Financials'!BD196</f>
        <v>0</v>
      </c>
      <c r="AP219" s="684"/>
      <c r="AQ219" s="684"/>
      <c r="AR219" s="1642"/>
      <c r="AS219" s="684"/>
      <c r="AT219" s="684"/>
      <c r="AU219" s="684"/>
      <c r="AV219" s="684"/>
      <c r="AW219" s="684"/>
      <c r="AX219" s="684"/>
      <c r="AY219" s="684"/>
      <c r="AZ219" s="684"/>
      <c r="BA219" s="684"/>
      <c r="BB219" s="684"/>
      <c r="BC219" s="684"/>
      <c r="BE219" s="1195"/>
      <c r="BF219" s="942"/>
      <c r="BG219" s="1195"/>
      <c r="BH219" s="31"/>
      <c r="BI219" s="31"/>
      <c r="BJ219" s="31"/>
      <c r="BK219" s="31"/>
      <c r="BL219" s="31"/>
      <c r="BM219" s="31"/>
      <c r="BN219" s="31"/>
      <c r="BO219" s="31"/>
      <c r="BP219" s="31"/>
      <c r="BQ219" s="31"/>
      <c r="BR219" s="31"/>
      <c r="BS219" s="31"/>
      <c r="BT219" s="31"/>
      <c r="BU219" s="31"/>
      <c r="BV219" s="31"/>
      <c r="BW219" s="31"/>
      <c r="BX219" s="31"/>
      <c r="BY219" s="31"/>
      <c r="BZ219" s="31"/>
      <c r="CA219" s="31"/>
      <c r="CB219" s="31"/>
      <c r="CC219" s="31"/>
      <c r="CD219" s="31"/>
      <c r="CE219" s="31"/>
      <c r="CF219" s="31"/>
      <c r="CG219" s="31"/>
      <c r="CH219" s="31"/>
      <c r="CI219" s="31"/>
      <c r="CJ219" s="31"/>
      <c r="CK219" s="31"/>
      <c r="CL219" s="31"/>
      <c r="CM219" s="31"/>
      <c r="CN219" s="31"/>
      <c r="CO219" s="31"/>
      <c r="CP219" s="31"/>
      <c r="CQ219" s="31"/>
      <c r="CR219" s="31"/>
      <c r="CS219" s="31"/>
      <c r="CT219" s="31"/>
      <c r="CU219" s="31"/>
      <c r="CV219" s="31"/>
      <c r="CW219" s="31"/>
      <c r="CX219" s="31"/>
      <c r="CY219" s="31"/>
      <c r="CZ219" s="31"/>
      <c r="DA219" s="31"/>
      <c r="DB219" s="31"/>
      <c r="DC219" s="31"/>
      <c r="DD219" s="31"/>
      <c r="DE219" s="31"/>
      <c r="DF219" s="31"/>
      <c r="DG219" s="31"/>
      <c r="DH219" s="31"/>
      <c r="DI219" s="31"/>
      <c r="DJ219" s="31"/>
      <c r="DK219" s="31"/>
      <c r="DL219" s="31"/>
      <c r="DM219" s="31"/>
      <c r="DN219" s="31"/>
      <c r="DO219" s="31"/>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c r="EX219" s="31"/>
      <c r="EY219" s="31"/>
      <c r="EZ219" s="31"/>
      <c r="FA219" s="31"/>
      <c r="FB219" s="31"/>
      <c r="FC219" s="31"/>
      <c r="FD219" s="31"/>
      <c r="FE219" s="31"/>
      <c r="FF219" s="31"/>
      <c r="FG219" s="31"/>
      <c r="FH219" s="31"/>
      <c r="FI219" s="31"/>
      <c r="FJ219" s="31"/>
      <c r="FK219" s="31"/>
      <c r="FL219" s="31"/>
      <c r="FM219" s="31"/>
      <c r="FN219" s="31"/>
      <c r="FO219" s="31"/>
      <c r="FP219" s="31"/>
      <c r="FQ219" s="31"/>
      <c r="FR219" s="31"/>
      <c r="FS219" s="31"/>
      <c r="FT219" s="31"/>
      <c r="FU219" s="31"/>
      <c r="FV219" s="31"/>
      <c r="FW219" s="31"/>
      <c r="FX219" s="31"/>
      <c r="FY219" s="31"/>
      <c r="FZ219" s="31"/>
      <c r="GA219" s="31"/>
      <c r="GB219" s="31"/>
      <c r="GC219" s="31"/>
      <c r="GD219" s="31"/>
      <c r="GE219" s="31"/>
      <c r="GF219" s="31"/>
      <c r="GG219" s="31"/>
      <c r="GH219" s="31"/>
      <c r="GI219" s="31"/>
      <c r="GJ219" s="31"/>
      <c r="GK219" s="31"/>
      <c r="GL219" s="31"/>
      <c r="GM219" s="31"/>
      <c r="GN219" s="31"/>
      <c r="GO219" s="31"/>
      <c r="GP219" s="31"/>
      <c r="GQ219" s="31"/>
      <c r="GR219" s="31"/>
      <c r="GS219" s="31"/>
      <c r="GT219" s="31"/>
      <c r="GU219" s="31"/>
      <c r="GV219" s="31"/>
      <c r="GW219" s="31"/>
      <c r="GX219" s="31"/>
      <c r="GY219" s="31"/>
      <c r="GZ219" s="31"/>
      <c r="HA219" s="31"/>
      <c r="HB219" s="31"/>
      <c r="HC219" s="31"/>
      <c r="HD219" s="31"/>
      <c r="HE219" s="31"/>
      <c r="HF219" s="31"/>
      <c r="HG219" s="31"/>
      <c r="HH219" s="31"/>
      <c r="HI219" s="31"/>
      <c r="HJ219" s="31"/>
      <c r="HK219" s="31"/>
      <c r="HL219" s="31"/>
      <c r="HM219" s="31"/>
      <c r="HN219" s="31"/>
      <c r="HO219" s="31"/>
      <c r="HP219" s="31"/>
      <c r="HQ219" s="31"/>
      <c r="HR219" s="31"/>
      <c r="HS219" s="31"/>
      <c r="HT219" s="31"/>
      <c r="HU219" s="31"/>
      <c r="HV219" s="31"/>
      <c r="HW219" s="31"/>
      <c r="HX219" s="31"/>
      <c r="HY219" s="31"/>
      <c r="HZ219" s="31"/>
      <c r="IA219" s="31"/>
      <c r="IB219" s="31"/>
      <c r="IC219" s="31"/>
      <c r="ID219" s="31"/>
      <c r="IE219" s="31"/>
      <c r="IF219" s="31"/>
      <c r="IG219" s="31"/>
      <c r="IH219" s="31"/>
      <c r="II219" s="31"/>
      <c r="IJ219" s="31"/>
      <c r="IK219" s="31"/>
      <c r="IL219" s="31"/>
      <c r="IM219" s="31"/>
      <c r="IN219" s="31"/>
      <c r="IO219" s="31"/>
      <c r="IP219" s="31"/>
      <c r="IQ219" s="31"/>
      <c r="IR219" s="31"/>
      <c r="IS219" s="31"/>
      <c r="IT219" s="31"/>
      <c r="IU219" s="31"/>
      <c r="IV219" s="31"/>
      <c r="IW219" s="31"/>
      <c r="IX219" s="31"/>
      <c r="IY219" s="31"/>
      <c r="IZ219" s="31"/>
      <c r="JA219" s="31"/>
      <c r="JB219" s="31"/>
      <c r="JC219" s="31"/>
      <c r="JD219" s="31"/>
      <c r="JE219" s="31"/>
      <c r="JF219" s="31"/>
      <c r="JG219" s="31"/>
      <c r="JH219" s="31"/>
      <c r="JI219" s="31"/>
      <c r="JJ219" s="31"/>
      <c r="JK219" s="31"/>
      <c r="JL219" s="31"/>
      <c r="JM219" s="31"/>
      <c r="JN219" s="31"/>
      <c r="JO219" s="31"/>
      <c r="JP219" s="31"/>
      <c r="JQ219" s="31"/>
      <c r="JR219" s="31"/>
      <c r="JS219" s="31"/>
      <c r="JT219" s="31"/>
      <c r="JU219" s="31"/>
      <c r="JV219" s="31"/>
      <c r="JW219" s="31"/>
      <c r="JX219" s="31"/>
      <c r="JY219" s="31"/>
      <c r="JZ219" s="31"/>
      <c r="KA219" s="31"/>
      <c r="KB219" s="31"/>
      <c r="KC219" s="31"/>
      <c r="KD219" s="31"/>
      <c r="KE219" s="31"/>
      <c r="KF219" s="31"/>
      <c r="KG219" s="31"/>
      <c r="KH219" s="31"/>
      <c r="KI219" s="31"/>
      <c r="KJ219" s="31"/>
      <c r="KK219" s="31"/>
      <c r="KL219" s="31"/>
      <c r="KM219" s="31"/>
      <c r="KN219" s="31"/>
      <c r="KO219" s="31"/>
      <c r="KP219" s="31"/>
      <c r="KQ219" s="31"/>
      <c r="KR219" s="31"/>
      <c r="KS219" s="31"/>
      <c r="KT219" s="31"/>
      <c r="KU219" s="31"/>
      <c r="KV219" s="31"/>
      <c r="KW219" s="31"/>
      <c r="KX219" s="31"/>
      <c r="KY219" s="31"/>
      <c r="KZ219" s="31"/>
      <c r="LA219" s="31"/>
      <c r="LB219" s="31"/>
      <c r="LC219" s="31"/>
      <c r="LD219" s="31"/>
      <c r="LE219" s="31"/>
      <c r="LF219" s="31"/>
      <c r="LG219" s="31"/>
      <c r="LH219" s="31"/>
      <c r="LI219" s="31"/>
      <c r="LJ219" s="31"/>
      <c r="LK219" s="31"/>
      <c r="LL219" s="31"/>
      <c r="LM219" s="31"/>
      <c r="LN219" s="31"/>
      <c r="LO219" s="31"/>
      <c r="LP219" s="31"/>
      <c r="LQ219" s="31"/>
      <c r="LR219" s="31"/>
      <c r="LS219" s="31"/>
      <c r="LT219" s="31"/>
      <c r="LU219" s="31"/>
      <c r="LV219" s="31"/>
      <c r="LW219" s="31"/>
      <c r="LX219" s="31"/>
      <c r="LY219" s="31"/>
      <c r="LZ219" s="31"/>
      <c r="MA219" s="31"/>
      <c r="MB219" s="31"/>
      <c r="MC219" s="31"/>
      <c r="MD219" s="31"/>
      <c r="ME219" s="31"/>
      <c r="MF219" s="31"/>
      <c r="MG219" s="31"/>
      <c r="MH219" s="31"/>
      <c r="MI219" s="31"/>
      <c r="MJ219" s="31"/>
      <c r="MK219" s="31"/>
      <c r="ML219" s="31"/>
      <c r="MM219" s="31"/>
      <c r="MN219" s="31"/>
      <c r="MO219" s="31"/>
      <c r="MP219" s="31"/>
      <c r="MQ219" s="31"/>
      <c r="MR219" s="31"/>
      <c r="MS219" s="31"/>
      <c r="MT219" s="31"/>
      <c r="MU219" s="31"/>
      <c r="MV219" s="31"/>
      <c r="MW219" s="31"/>
      <c r="MX219" s="31"/>
      <c r="MY219" s="31"/>
      <c r="MZ219" s="31"/>
      <c r="NA219" s="31"/>
      <c r="NB219" s="31"/>
      <c r="NC219" s="31"/>
      <c r="ND219" s="31"/>
      <c r="NE219" s="31"/>
      <c r="NF219" s="31"/>
      <c r="NG219" s="31"/>
      <c r="NH219" s="31"/>
      <c r="NI219" s="31"/>
      <c r="NJ219" s="31"/>
      <c r="NK219" s="31"/>
      <c r="NL219" s="31"/>
      <c r="NM219" s="31"/>
      <c r="NN219" s="31"/>
      <c r="NO219" s="31"/>
      <c r="NP219" s="31"/>
      <c r="NQ219" s="31"/>
      <c r="NR219" s="31"/>
      <c r="NS219" s="31"/>
      <c r="NT219" s="31"/>
      <c r="NU219" s="31"/>
      <c r="NV219" s="31"/>
      <c r="NW219" s="31"/>
      <c r="NX219" s="31"/>
      <c r="NY219" s="31"/>
      <c r="NZ219" s="31"/>
      <c r="OA219" s="31"/>
      <c r="OB219" s="31"/>
      <c r="OC219" s="31"/>
      <c r="OD219" s="31"/>
      <c r="OE219" s="31"/>
      <c r="OF219" s="31"/>
      <c r="OG219" s="31"/>
      <c r="OH219" s="31"/>
      <c r="OI219" s="31"/>
      <c r="OJ219" s="31"/>
      <c r="OK219" s="31"/>
      <c r="OL219" s="31"/>
      <c r="OM219" s="31"/>
      <c r="ON219" s="31"/>
      <c r="OO219" s="31"/>
      <c r="OP219" s="31"/>
      <c r="OQ219" s="31"/>
      <c r="OR219" s="31"/>
      <c r="OS219" s="31"/>
      <c r="OT219" s="31"/>
      <c r="OU219" s="31"/>
      <c r="OV219" s="31"/>
      <c r="OW219" s="31"/>
      <c r="OX219" s="31"/>
      <c r="OY219" s="31"/>
      <c r="OZ219" s="31"/>
      <c r="PA219" s="31"/>
      <c r="PB219" s="31"/>
      <c r="PC219" s="31"/>
      <c r="PD219" s="31"/>
      <c r="PE219" s="31"/>
      <c r="PF219" s="31"/>
      <c r="PG219" s="31"/>
      <c r="PH219" s="31"/>
      <c r="PI219" s="31"/>
      <c r="PJ219" s="31"/>
      <c r="PK219" s="31"/>
      <c r="PL219" s="31"/>
      <c r="PM219" s="31"/>
      <c r="PN219" s="31"/>
      <c r="PO219" s="31"/>
      <c r="PP219" s="31"/>
      <c r="PQ219" s="31"/>
      <c r="PR219" s="31"/>
      <c r="PS219" s="31"/>
      <c r="PT219" s="31"/>
      <c r="PU219" s="31"/>
      <c r="PV219" s="31"/>
      <c r="PW219" s="31"/>
      <c r="PX219" s="31"/>
      <c r="PY219" s="31"/>
      <c r="PZ219" s="31"/>
      <c r="QA219" s="31"/>
      <c r="QB219" s="31"/>
      <c r="QC219" s="31"/>
      <c r="QD219" s="31"/>
      <c r="QE219" s="31"/>
      <c r="QF219" s="31"/>
      <c r="QG219" s="31"/>
      <c r="QH219" s="31"/>
      <c r="QI219" s="31"/>
      <c r="QJ219" s="31"/>
      <c r="QK219" s="31"/>
      <c r="QL219" s="31"/>
      <c r="QM219" s="31"/>
      <c r="QN219" s="31"/>
      <c r="QO219" s="31"/>
      <c r="QP219" s="31"/>
      <c r="QQ219" s="31"/>
      <c r="QR219" s="31"/>
      <c r="QS219" s="31"/>
      <c r="QT219" s="31"/>
      <c r="QU219" s="31"/>
      <c r="QV219" s="31"/>
      <c r="QW219" s="31"/>
      <c r="QX219" s="31"/>
      <c r="QY219" s="31"/>
      <c r="QZ219" s="31"/>
      <c r="RA219" s="31"/>
      <c r="RB219" s="31"/>
      <c r="RC219" s="31"/>
      <c r="RD219" s="31"/>
      <c r="RE219" s="31"/>
      <c r="RF219" s="31"/>
      <c r="RG219" s="31"/>
      <c r="RH219" s="31"/>
      <c r="RI219" s="31"/>
      <c r="RJ219" s="31"/>
      <c r="RK219" s="31"/>
      <c r="RL219" s="31"/>
      <c r="RM219" s="31"/>
      <c r="RN219" s="31"/>
      <c r="RO219" s="31"/>
      <c r="RP219" s="31"/>
      <c r="RQ219" s="31"/>
      <c r="RR219" s="31"/>
      <c r="RS219" s="31"/>
      <c r="RT219" s="31"/>
      <c r="RU219" s="31"/>
      <c r="RV219" s="31"/>
      <c r="RW219" s="31"/>
      <c r="RX219" s="31"/>
      <c r="RY219" s="31"/>
      <c r="RZ219" s="31"/>
      <c r="SA219" s="31"/>
      <c r="SB219" s="31"/>
      <c r="SC219" s="31"/>
      <c r="SD219" s="31"/>
      <c r="SE219" s="31"/>
      <c r="SF219" s="31"/>
      <c r="SG219" s="31"/>
      <c r="SH219" s="31"/>
      <c r="SI219" s="31"/>
      <c r="SJ219" s="31"/>
      <c r="SK219" s="31"/>
      <c r="SL219" s="31"/>
      <c r="SM219" s="31"/>
      <c r="SN219" s="31"/>
      <c r="SO219" s="31"/>
      <c r="SP219" s="31"/>
      <c r="SQ219" s="31"/>
      <c r="SR219" s="31"/>
      <c r="SS219" s="31"/>
      <c r="ST219" s="31"/>
      <c r="SU219" s="31"/>
      <c r="SV219" s="31"/>
      <c r="SW219" s="31"/>
      <c r="SX219" s="31"/>
      <c r="SY219" s="31"/>
      <c r="SZ219" s="31"/>
      <c r="TA219" s="31"/>
      <c r="TB219" s="31"/>
      <c r="TC219" s="31"/>
      <c r="TD219" s="31"/>
      <c r="TE219" s="31"/>
      <c r="TF219" s="31"/>
      <c r="TG219" s="31"/>
      <c r="TH219" s="31"/>
      <c r="TI219" s="31"/>
      <c r="TJ219" s="31"/>
      <c r="TK219" s="31"/>
      <c r="TL219" s="31"/>
      <c r="TM219" s="31"/>
      <c r="TN219" s="31"/>
      <c r="TO219" s="31"/>
      <c r="TP219" s="31"/>
      <c r="TQ219" s="31"/>
      <c r="TR219" s="31"/>
      <c r="TS219" s="31"/>
      <c r="TT219" s="31"/>
      <c r="TU219" s="31"/>
      <c r="TV219" s="31"/>
      <c r="TW219" s="31"/>
      <c r="TX219" s="31"/>
      <c r="TY219" s="31"/>
      <c r="TZ219" s="31"/>
      <c r="UA219" s="31"/>
      <c r="UB219" s="31"/>
      <c r="UC219" s="31"/>
      <c r="UD219" s="31"/>
      <c r="UE219" s="31"/>
      <c r="UF219" s="31"/>
      <c r="UG219" s="31"/>
      <c r="UH219" s="31"/>
      <c r="UI219" s="31"/>
      <c r="UJ219" s="31"/>
      <c r="UK219" s="31"/>
      <c r="UL219" s="31"/>
      <c r="UM219" s="31"/>
      <c r="UN219" s="31"/>
      <c r="UO219" s="31"/>
      <c r="UP219" s="31"/>
      <c r="UQ219" s="31"/>
      <c r="UR219" s="31"/>
      <c r="US219" s="31"/>
      <c r="UT219" s="31"/>
      <c r="UU219" s="31"/>
      <c r="UV219" s="31"/>
      <c r="UW219" s="31"/>
      <c r="UX219" s="31"/>
      <c r="UY219" s="31"/>
      <c r="UZ219" s="31"/>
      <c r="VA219" s="31"/>
      <c r="VB219" s="31"/>
      <c r="VC219" s="31"/>
      <c r="VD219" s="31"/>
      <c r="VE219" s="31"/>
      <c r="VF219" s="31"/>
      <c r="VG219" s="31"/>
      <c r="VH219" s="31"/>
      <c r="VI219" s="31"/>
      <c r="VJ219" s="31"/>
      <c r="VK219" s="31"/>
      <c r="VL219" s="31"/>
      <c r="VM219" s="31"/>
      <c r="VN219" s="31"/>
      <c r="VO219" s="31"/>
      <c r="VP219" s="31"/>
      <c r="VQ219" s="31"/>
      <c r="VR219" s="31"/>
      <c r="VS219" s="31"/>
      <c r="VT219" s="31"/>
      <c r="VU219" s="31"/>
      <c r="VV219" s="31"/>
      <c r="VW219" s="31"/>
      <c r="VX219" s="31"/>
      <c r="VY219" s="31"/>
      <c r="VZ219" s="31"/>
      <c r="WA219" s="31"/>
      <c r="WB219" s="31"/>
      <c r="WC219" s="31"/>
      <c r="WD219" s="31"/>
      <c r="WE219" s="31"/>
      <c r="WF219" s="31"/>
      <c r="WG219" s="31"/>
      <c r="WH219" s="31"/>
      <c r="WI219" s="31"/>
      <c r="WJ219" s="31"/>
      <c r="WK219" s="31"/>
      <c r="WL219" s="31"/>
      <c r="WM219" s="31"/>
      <c r="WN219" s="31"/>
      <c r="WO219" s="31"/>
      <c r="WP219" s="31"/>
      <c r="WQ219" s="31"/>
      <c r="WR219" s="31"/>
      <c r="WS219" s="31"/>
      <c r="WT219" s="31"/>
      <c r="WU219" s="31"/>
      <c r="WV219" s="31"/>
      <c r="WW219" s="31"/>
      <c r="WX219" s="31"/>
      <c r="WY219" s="31"/>
      <c r="WZ219" s="31"/>
      <c r="XA219" s="31"/>
      <c r="XB219" s="31"/>
      <c r="XC219" s="31"/>
      <c r="XD219" s="31"/>
      <c r="XE219" s="31"/>
      <c r="XF219" s="31"/>
      <c r="XG219" s="31"/>
      <c r="XH219" s="31"/>
      <c r="XI219" s="31"/>
      <c r="XJ219" s="31"/>
      <c r="XK219" s="31"/>
      <c r="XL219" s="31"/>
      <c r="XM219" s="31"/>
      <c r="XN219" s="31"/>
      <c r="XO219" s="31"/>
      <c r="XP219" s="31"/>
      <c r="XQ219" s="31"/>
      <c r="XR219" s="31"/>
      <c r="XS219" s="31"/>
      <c r="XT219" s="31"/>
      <c r="XU219" s="31"/>
      <c r="XV219" s="31"/>
      <c r="XW219" s="31"/>
      <c r="XX219" s="31"/>
      <c r="XY219" s="31"/>
      <c r="XZ219" s="31"/>
      <c r="YA219" s="31"/>
      <c r="YB219" s="31"/>
      <c r="YC219" s="31"/>
      <c r="YD219" s="31"/>
      <c r="YE219" s="31"/>
      <c r="YF219" s="31"/>
      <c r="YG219" s="31"/>
      <c r="YH219" s="31"/>
      <c r="YI219" s="31"/>
      <c r="YJ219" s="31"/>
      <c r="YK219" s="31"/>
      <c r="YL219" s="31"/>
      <c r="YM219" s="31"/>
      <c r="YN219" s="31"/>
      <c r="YO219" s="31"/>
      <c r="YP219" s="31"/>
      <c r="YQ219" s="31"/>
      <c r="YR219" s="31"/>
      <c r="YS219" s="31"/>
      <c r="YT219" s="31"/>
      <c r="YU219" s="31"/>
      <c r="YV219" s="31"/>
      <c r="YW219" s="31"/>
      <c r="YX219" s="31"/>
      <c r="YY219" s="31"/>
      <c r="YZ219" s="31"/>
      <c r="ZA219" s="31"/>
      <c r="ZB219" s="31"/>
      <c r="ZC219" s="31"/>
      <c r="ZD219" s="31"/>
      <c r="ZE219" s="31"/>
      <c r="ZF219" s="31"/>
      <c r="ZG219" s="31"/>
      <c r="ZH219" s="31"/>
      <c r="ZI219" s="31"/>
      <c r="ZJ219" s="31"/>
      <c r="ZK219" s="31"/>
      <c r="ZL219" s="31"/>
      <c r="ZM219" s="31"/>
      <c r="ZN219" s="31"/>
      <c r="ZO219" s="31"/>
      <c r="ZP219" s="31"/>
      <c r="ZQ219" s="31"/>
      <c r="ZR219" s="31"/>
      <c r="ZS219" s="31"/>
      <c r="ZT219" s="31"/>
      <c r="ZU219" s="31"/>
      <c r="ZV219" s="31"/>
      <c r="ZW219" s="31"/>
      <c r="ZX219" s="31"/>
      <c r="ZY219" s="31"/>
      <c r="ZZ219" s="31"/>
      <c r="AAA219" s="31"/>
      <c r="AAB219" s="31"/>
      <c r="AAC219" s="31"/>
      <c r="AAD219" s="31"/>
      <c r="AAE219" s="31"/>
      <c r="AAF219" s="31"/>
      <c r="AAG219" s="31"/>
      <c r="AAH219" s="31"/>
      <c r="AAI219" s="31"/>
      <c r="AAJ219" s="31"/>
      <c r="AAK219" s="31"/>
      <c r="AAL219" s="31"/>
      <c r="AAM219" s="31"/>
      <c r="AAN219" s="31"/>
      <c r="AAO219" s="31"/>
      <c r="AAP219" s="31"/>
      <c r="AAQ219" s="31"/>
      <c r="AAR219" s="31"/>
      <c r="AAS219" s="31"/>
      <c r="AAT219" s="31"/>
      <c r="AAU219" s="31"/>
      <c r="AAV219" s="31"/>
      <c r="AAW219" s="31"/>
      <c r="AAX219" s="31"/>
      <c r="AAY219" s="31"/>
      <c r="AAZ219" s="31"/>
      <c r="ABA219" s="31"/>
      <c r="ABB219" s="31"/>
      <c r="ABC219" s="31"/>
      <c r="ABD219" s="31"/>
      <c r="ABE219" s="31"/>
      <c r="ABF219" s="31"/>
      <c r="ABG219" s="31"/>
      <c r="ABH219" s="31"/>
      <c r="ABI219" s="31"/>
      <c r="ABJ219" s="31"/>
      <c r="ABK219" s="31"/>
      <c r="ABL219" s="31"/>
      <c r="ABM219" s="31"/>
      <c r="ABN219" s="31"/>
      <c r="ABO219" s="31"/>
      <c r="ABP219" s="31"/>
      <c r="ABQ219" s="31"/>
      <c r="ABR219" s="31"/>
      <c r="ABS219" s="31"/>
      <c r="ABT219" s="31"/>
      <c r="ABU219" s="31"/>
      <c r="ABV219" s="31"/>
      <c r="ABW219" s="31"/>
      <c r="ABX219" s="31"/>
      <c r="ABY219" s="31"/>
      <c r="ABZ219" s="31"/>
      <c r="ACA219" s="31"/>
      <c r="ACB219" s="31"/>
      <c r="ACC219" s="31"/>
      <c r="ACD219" s="31"/>
      <c r="ACE219" s="31"/>
      <c r="ACF219" s="31"/>
      <c r="ACG219" s="31"/>
      <c r="ACH219" s="31"/>
      <c r="ACI219" s="31"/>
      <c r="ACJ219" s="31"/>
      <c r="ACK219" s="31"/>
      <c r="ACL219" s="31"/>
      <c r="ACM219" s="31"/>
      <c r="ACN219" s="31"/>
      <c r="ACO219" s="31"/>
      <c r="ACP219" s="31"/>
      <c r="ACQ219" s="31"/>
      <c r="ACR219" s="31"/>
      <c r="ACS219" s="31"/>
      <c r="ACT219" s="31"/>
      <c r="ACU219" s="31"/>
      <c r="ACV219" s="31"/>
      <c r="ACW219" s="31"/>
      <c r="ACX219" s="31"/>
      <c r="ACY219" s="31"/>
      <c r="ACZ219" s="31"/>
      <c r="ADA219" s="31"/>
      <c r="ADB219" s="31"/>
      <c r="ADC219" s="31"/>
      <c r="ADD219" s="31"/>
      <c r="ADE219" s="31"/>
      <c r="ADF219" s="31"/>
      <c r="ADG219" s="31"/>
      <c r="ADH219" s="31"/>
      <c r="ADI219" s="31"/>
      <c r="ADJ219" s="31"/>
      <c r="ADK219" s="31"/>
      <c r="ADL219" s="31"/>
      <c r="ADM219" s="31"/>
      <c r="ADN219" s="31"/>
      <c r="ADO219" s="31"/>
      <c r="ADP219" s="31"/>
      <c r="ADQ219" s="31"/>
      <c r="ADR219" s="31"/>
      <c r="ADS219" s="31"/>
      <c r="ADT219" s="31"/>
      <c r="ADU219" s="31"/>
      <c r="ADV219" s="31"/>
      <c r="ADW219" s="31"/>
      <c r="ADX219" s="31"/>
      <c r="ADY219" s="31"/>
      <c r="ADZ219" s="31"/>
      <c r="AEA219" s="31"/>
      <c r="AEB219" s="31"/>
      <c r="AEC219" s="31"/>
      <c r="AED219" s="31"/>
      <c r="AEE219" s="31"/>
      <c r="AEF219" s="31"/>
      <c r="AEG219" s="31"/>
      <c r="AEH219" s="31"/>
      <c r="AEI219" s="31"/>
      <c r="AEJ219" s="31"/>
      <c r="AEK219" s="31"/>
      <c r="AEL219" s="31"/>
      <c r="AEM219" s="31"/>
      <c r="AEN219" s="31"/>
      <c r="AEO219" s="31"/>
      <c r="AEP219" s="31"/>
      <c r="AEQ219" s="31"/>
      <c r="AER219" s="31"/>
      <c r="AES219" s="31"/>
      <c r="AET219" s="31"/>
      <c r="AEU219" s="31"/>
      <c r="AEV219" s="31"/>
      <c r="AEW219" s="31"/>
      <c r="AEX219" s="31"/>
      <c r="AEY219" s="31"/>
      <c r="AEZ219" s="31"/>
      <c r="AFA219" s="31"/>
      <c r="AFB219" s="31"/>
      <c r="AFC219" s="31"/>
      <c r="AFD219" s="31"/>
      <c r="AFE219" s="31"/>
      <c r="AFF219" s="31"/>
      <c r="AFG219" s="31"/>
      <c r="AFH219" s="31"/>
      <c r="AFI219" s="31"/>
      <c r="AFJ219" s="31"/>
      <c r="AFK219" s="31"/>
      <c r="AFL219" s="31"/>
      <c r="AFM219" s="31"/>
      <c r="AFN219" s="31"/>
      <c r="AFO219" s="31"/>
      <c r="AFP219" s="31"/>
      <c r="AFQ219" s="31"/>
      <c r="AFR219" s="31"/>
      <c r="AFS219" s="31"/>
      <c r="AFT219" s="31"/>
      <c r="AFU219" s="31"/>
      <c r="AFV219" s="31"/>
      <c r="AFW219" s="31"/>
      <c r="AFX219" s="31"/>
      <c r="AFY219" s="31"/>
      <c r="AFZ219" s="31"/>
      <c r="AGA219" s="31"/>
      <c r="AGB219" s="31"/>
      <c r="AGC219" s="31"/>
      <c r="AGD219" s="31"/>
      <c r="AGE219" s="31"/>
      <c r="AGF219" s="31"/>
      <c r="AGG219" s="31"/>
      <c r="AGH219" s="31"/>
      <c r="AGI219" s="31"/>
      <c r="AGJ219" s="31"/>
      <c r="AGK219" s="31"/>
      <c r="AGL219" s="31"/>
      <c r="AGM219" s="31"/>
      <c r="AGN219" s="31"/>
      <c r="AGO219" s="31"/>
      <c r="AGP219" s="31"/>
      <c r="AGQ219" s="31"/>
      <c r="AGR219" s="31"/>
      <c r="AGS219" s="31"/>
      <c r="AGT219" s="31"/>
      <c r="AGU219" s="31"/>
      <c r="AGV219" s="31"/>
      <c r="AGW219" s="31"/>
      <c r="AGX219" s="31"/>
      <c r="AGY219" s="31"/>
      <c r="AGZ219" s="31"/>
      <c r="AHA219" s="31"/>
      <c r="AHB219" s="31"/>
      <c r="AHC219" s="31"/>
      <c r="AHD219" s="31"/>
      <c r="AHE219" s="31"/>
      <c r="AHF219" s="31"/>
      <c r="AHG219" s="31"/>
      <c r="AHH219" s="31"/>
      <c r="AHI219" s="31"/>
      <c r="AHJ219" s="31"/>
      <c r="AHK219" s="31"/>
      <c r="AHL219" s="31"/>
      <c r="AHM219" s="31"/>
      <c r="AHN219" s="31"/>
      <c r="AHO219" s="31"/>
      <c r="AHP219" s="31"/>
      <c r="AHQ219" s="31"/>
      <c r="AHR219" s="31"/>
      <c r="AHS219" s="31"/>
      <c r="AHT219" s="31"/>
      <c r="AHU219" s="31"/>
      <c r="AHV219" s="31"/>
      <c r="AHW219" s="31"/>
      <c r="AHX219" s="31"/>
      <c r="AHY219" s="31"/>
      <c r="AHZ219" s="31"/>
      <c r="AIA219" s="31"/>
      <c r="AIB219" s="31"/>
      <c r="AIC219" s="31"/>
      <c r="AID219" s="31"/>
      <c r="AIE219" s="31"/>
      <c r="AIF219" s="31"/>
      <c r="AIG219" s="31"/>
      <c r="AIH219" s="31"/>
      <c r="AII219" s="31"/>
      <c r="AIJ219" s="31"/>
      <c r="AIK219" s="31"/>
      <c r="AIL219" s="31"/>
      <c r="AIM219" s="31"/>
      <c r="AIN219" s="31"/>
      <c r="AIO219" s="31"/>
      <c r="AIP219" s="31"/>
      <c r="AIQ219" s="31"/>
      <c r="AIR219" s="31"/>
      <c r="AIS219" s="31"/>
      <c r="AIT219" s="31"/>
      <c r="AIU219" s="31"/>
      <c r="AIV219" s="31"/>
      <c r="AIW219" s="31"/>
      <c r="AIX219" s="31"/>
      <c r="AIY219" s="31"/>
      <c r="AIZ219" s="31"/>
      <c r="AJA219" s="31"/>
      <c r="AJB219" s="31"/>
      <c r="AJC219" s="31"/>
      <c r="AJD219" s="31"/>
      <c r="AJE219" s="31"/>
      <c r="AJF219" s="31"/>
      <c r="AJG219" s="31"/>
      <c r="AJH219" s="31"/>
      <c r="AJI219" s="31"/>
      <c r="AJJ219" s="31"/>
      <c r="AJK219" s="31"/>
      <c r="AJL219" s="31"/>
      <c r="AJM219" s="31"/>
      <c r="AJN219" s="31"/>
      <c r="AJO219" s="31"/>
      <c r="AJP219" s="31"/>
      <c r="AJQ219" s="31"/>
      <c r="AJR219" s="31"/>
      <c r="AJS219" s="31"/>
      <c r="AJT219" s="31"/>
      <c r="AJU219" s="31"/>
      <c r="AJV219" s="31"/>
      <c r="AJW219" s="31"/>
      <c r="AJX219" s="31"/>
      <c r="AJY219" s="31"/>
      <c r="AJZ219" s="31"/>
      <c r="AKA219" s="31"/>
      <c r="AKB219" s="31"/>
      <c r="AKC219" s="31"/>
      <c r="AKD219" s="31"/>
      <c r="AKE219" s="31"/>
      <c r="AKF219" s="31"/>
      <c r="AKG219" s="31"/>
      <c r="AKH219" s="31"/>
      <c r="AKI219" s="31"/>
      <c r="AKJ219" s="31"/>
      <c r="AKK219" s="31"/>
      <c r="AKL219" s="31"/>
      <c r="AKM219" s="31"/>
      <c r="AKN219" s="31"/>
      <c r="AKO219" s="31"/>
      <c r="AKP219" s="31"/>
      <c r="AKQ219" s="31"/>
      <c r="AKR219" s="31"/>
      <c r="AKS219" s="31"/>
      <c r="AKT219" s="31"/>
      <c r="AKU219" s="31"/>
      <c r="AKV219" s="31"/>
      <c r="AKW219" s="31"/>
      <c r="AKX219" s="31"/>
      <c r="AKY219" s="31"/>
      <c r="AKZ219" s="31"/>
      <c r="ALA219" s="31"/>
      <c r="ALB219" s="31"/>
      <c r="ALC219" s="31"/>
      <c r="ALD219" s="31"/>
      <c r="ALE219" s="31"/>
      <c r="ALF219" s="31"/>
      <c r="ALG219" s="31"/>
      <c r="ALH219" s="31"/>
      <c r="ALI219" s="31"/>
      <c r="ALJ219" s="31"/>
      <c r="ALK219" s="31"/>
      <c r="ALL219" s="31"/>
      <c r="ALM219" s="31"/>
      <c r="ALN219" s="31"/>
      <c r="ALO219" s="31"/>
      <c r="ALP219" s="31"/>
      <c r="ALQ219" s="31"/>
      <c r="ALR219" s="31"/>
      <c r="ALS219" s="31"/>
      <c r="ALT219" s="31"/>
      <c r="ALU219" s="31"/>
      <c r="ALV219" s="31"/>
      <c r="ALW219" s="31"/>
      <c r="ALX219" s="31"/>
      <c r="ALY219" s="31"/>
      <c r="ALZ219" s="31"/>
      <c r="AMA219" s="31"/>
      <c r="AMB219" s="31"/>
      <c r="AMC219" s="31"/>
      <c r="AMD219" s="31"/>
      <c r="AME219" s="31"/>
      <c r="AMF219" s="31"/>
      <c r="AMG219" s="31"/>
      <c r="AMH219" s="31"/>
      <c r="AMI219" s="31"/>
      <c r="AMJ219" s="31"/>
      <c r="AMK219" s="31"/>
      <c r="AML219" s="31"/>
      <c r="AMM219" s="31"/>
      <c r="AMN219" s="31"/>
      <c r="AMO219" s="31"/>
      <c r="AMP219" s="31"/>
      <c r="AMQ219" s="31"/>
      <c r="AMR219" s="31"/>
      <c r="AMS219" s="31"/>
      <c r="AMT219" s="31"/>
      <c r="AMU219" s="31"/>
      <c r="AMV219" s="31"/>
      <c r="AMW219" s="31"/>
      <c r="AMX219" s="31"/>
      <c r="AMY219" s="31"/>
      <c r="AMZ219" s="31"/>
      <c r="ANA219" s="31"/>
      <c r="ANB219" s="31"/>
      <c r="ANC219" s="31"/>
      <c r="AND219" s="31"/>
      <c r="ANE219" s="31"/>
      <c r="ANF219" s="31"/>
      <c r="ANG219" s="31"/>
      <c r="ANH219" s="31"/>
      <c r="ANI219" s="31"/>
      <c r="ANJ219" s="31"/>
      <c r="ANK219" s="31"/>
      <c r="ANL219" s="31"/>
      <c r="ANM219" s="31"/>
      <c r="ANN219" s="31"/>
      <c r="ANO219" s="31"/>
      <c r="ANP219" s="31"/>
      <c r="ANQ219" s="31"/>
      <c r="ANR219" s="31"/>
      <c r="ANS219" s="31"/>
      <c r="ANT219" s="31"/>
      <c r="ANU219" s="31"/>
      <c r="ANV219" s="31"/>
      <c r="ANW219" s="31"/>
      <c r="ANX219" s="31"/>
      <c r="ANY219" s="31"/>
      <c r="ANZ219" s="31"/>
      <c r="AOA219" s="31"/>
      <c r="AOB219" s="31"/>
      <c r="AOC219" s="31"/>
      <c r="AOD219" s="31"/>
      <c r="AOE219" s="31"/>
      <c r="AOF219" s="31"/>
      <c r="AOG219" s="31"/>
      <c r="AOH219" s="31"/>
      <c r="AOI219" s="31"/>
      <c r="AOJ219" s="31"/>
      <c r="AOK219" s="31"/>
      <c r="AOL219" s="31"/>
      <c r="AOM219" s="31"/>
      <c r="AON219" s="31"/>
      <c r="AOO219" s="31"/>
      <c r="AOP219" s="31"/>
      <c r="AOQ219" s="31"/>
      <c r="AOR219" s="31"/>
      <c r="AOS219" s="31"/>
      <c r="AOT219" s="31"/>
      <c r="AOU219" s="31"/>
      <c r="AOV219" s="31"/>
      <c r="AOW219" s="31"/>
      <c r="AOX219" s="31"/>
      <c r="AOY219" s="31"/>
      <c r="AOZ219" s="31"/>
      <c r="APA219" s="31"/>
      <c r="APB219" s="31"/>
      <c r="APC219" s="31"/>
      <c r="APD219" s="31"/>
      <c r="APE219" s="31"/>
      <c r="APF219" s="31"/>
      <c r="APG219" s="31"/>
      <c r="APH219" s="31"/>
      <c r="API219" s="31"/>
      <c r="APJ219" s="31"/>
      <c r="APK219" s="31"/>
      <c r="APL219" s="31"/>
      <c r="APM219" s="31"/>
      <c r="APN219" s="31"/>
      <c r="APO219" s="31"/>
      <c r="APP219" s="31"/>
      <c r="APQ219" s="31"/>
      <c r="APR219" s="31"/>
      <c r="APS219" s="31"/>
      <c r="APT219" s="31"/>
      <c r="APU219" s="31"/>
      <c r="APV219" s="31"/>
      <c r="APW219" s="31"/>
      <c r="APX219" s="31"/>
      <c r="APY219" s="31"/>
      <c r="APZ219" s="31"/>
      <c r="AQA219" s="31"/>
      <c r="AQB219" s="31"/>
      <c r="AQC219" s="31"/>
      <c r="AQD219" s="31"/>
      <c r="AQE219" s="31"/>
      <c r="AQF219" s="31"/>
      <c r="AQG219" s="31"/>
      <c r="AQH219" s="31"/>
      <c r="AQI219" s="31"/>
      <c r="AQJ219" s="31"/>
      <c r="AQK219" s="31"/>
      <c r="AQL219" s="31"/>
      <c r="AQM219" s="31"/>
      <c r="AQN219" s="31"/>
      <c r="AQO219" s="31"/>
      <c r="AQP219" s="31"/>
      <c r="AQQ219" s="31"/>
      <c r="AQR219" s="31"/>
      <c r="AQS219" s="31"/>
      <c r="AQT219" s="31"/>
      <c r="AQU219" s="31"/>
      <c r="AQV219" s="31"/>
      <c r="AQW219" s="31"/>
      <c r="AQX219" s="31"/>
      <c r="AQY219" s="31"/>
      <c r="AQZ219" s="31"/>
      <c r="ARA219" s="31"/>
      <c r="ARB219" s="31"/>
      <c r="ARC219" s="31"/>
      <c r="ARD219" s="31"/>
      <c r="ARE219" s="31"/>
      <c r="ARF219" s="31"/>
      <c r="ARG219" s="31"/>
      <c r="ARH219" s="31"/>
      <c r="ARI219" s="31"/>
      <c r="ARJ219" s="31"/>
      <c r="ARK219" s="31"/>
      <c r="ARL219" s="31"/>
      <c r="ARM219" s="31"/>
      <c r="ARN219" s="31"/>
      <c r="ARO219" s="31"/>
      <c r="ARP219" s="31"/>
      <c r="ARQ219" s="31"/>
      <c r="ARR219" s="31"/>
      <c r="ARS219" s="31"/>
      <c r="ART219" s="31"/>
      <c r="ARU219" s="31"/>
      <c r="ARV219" s="31"/>
      <c r="ARW219" s="31"/>
      <c r="ARX219" s="31"/>
      <c r="ARY219" s="31"/>
      <c r="ARZ219" s="31"/>
      <c r="ASA219" s="31"/>
      <c r="ASB219" s="31"/>
      <c r="ASC219" s="31"/>
      <c r="ASD219" s="31"/>
      <c r="ASE219" s="31"/>
      <c r="ASF219" s="31"/>
      <c r="ASG219" s="31"/>
      <c r="ASH219" s="31"/>
      <c r="ASI219" s="31"/>
      <c r="ASJ219" s="31"/>
      <c r="ASK219" s="31"/>
      <c r="ASL219" s="31"/>
      <c r="ASM219" s="31"/>
      <c r="ASN219" s="31"/>
      <c r="ASO219" s="31"/>
      <c r="ASP219" s="31"/>
      <c r="ASQ219" s="31"/>
      <c r="ASR219" s="31"/>
      <c r="ASS219" s="31"/>
      <c r="AST219" s="31"/>
      <c r="ASU219" s="31"/>
      <c r="ASV219" s="31"/>
      <c r="ASW219" s="31"/>
      <c r="ASX219" s="31"/>
      <c r="ASY219" s="31"/>
      <c r="ASZ219" s="31"/>
      <c r="ATA219" s="31"/>
      <c r="ATB219" s="31"/>
      <c r="ATC219" s="31"/>
      <c r="ATD219" s="31"/>
      <c r="ATE219" s="31"/>
    </row>
    <row r="220" spans="1:1201" s="34" customFormat="1" ht="15.75" customHeight="1" x14ac:dyDescent="0.3">
      <c r="A220" s="76"/>
      <c r="B220" s="76"/>
      <c r="C220" s="84" t="s">
        <v>274</v>
      </c>
      <c r="D220" s="63"/>
      <c r="E220" s="63"/>
      <c r="F220" s="63"/>
      <c r="G220" s="167"/>
      <c r="H220" s="653"/>
      <c r="I220" s="684"/>
      <c r="J220" s="684"/>
      <c r="K220" s="684"/>
      <c r="L220" s="684"/>
      <c r="M220" s="684"/>
      <c r="N220" s="684"/>
      <c r="O220" s="684"/>
      <c r="P220" s="684"/>
      <c r="Q220" s="684"/>
      <c r="R220" s="684"/>
      <c r="S220" s="942"/>
      <c r="T220" s="942"/>
      <c r="U220" s="942"/>
      <c r="V220" s="942"/>
      <c r="W220" s="942"/>
      <c r="X220" s="942"/>
      <c r="Y220" s="942"/>
      <c r="Z220" s="1096"/>
      <c r="AA220" s="1096"/>
      <c r="AB220" s="1096"/>
      <c r="AC220" s="1096"/>
      <c r="AD220" s="1096"/>
      <c r="AE220" s="946"/>
      <c r="AF220" s="1096"/>
      <c r="AG220" s="1096"/>
      <c r="AH220" s="1096"/>
      <c r="AI220" s="1096"/>
      <c r="AJ220" s="1096"/>
      <c r="AK220" s="1096"/>
      <c r="AL220" s="1096"/>
      <c r="AM220" s="1096"/>
      <c r="AN220" s="1096"/>
      <c r="AO220" s="1096"/>
      <c r="AP220" s="684"/>
      <c r="AQ220" s="684"/>
      <c r="AR220" s="1642"/>
      <c r="AS220" s="684"/>
      <c r="AT220" s="684"/>
      <c r="AU220" s="684"/>
      <c r="AV220" s="684"/>
      <c r="AW220" s="684"/>
      <c r="AX220" s="684"/>
      <c r="AY220" s="684"/>
      <c r="AZ220" s="684"/>
      <c r="BA220" s="684"/>
      <c r="BB220" s="684"/>
      <c r="BC220" s="684"/>
      <c r="BE220" s="1195"/>
      <c r="BF220" s="942">
        <f>AQ220</f>
        <v>0</v>
      </c>
      <c r="BG220" s="1195"/>
      <c r="BH220" s="31"/>
      <c r="BI220" s="31"/>
      <c r="BJ220" s="31"/>
      <c r="BK220" s="31"/>
      <c r="BL220" s="31"/>
      <c r="BM220" s="31"/>
      <c r="BN220" s="31"/>
      <c r="BO220" s="31"/>
      <c r="BP220" s="31"/>
      <c r="BQ220" s="31"/>
      <c r="BR220" s="31"/>
      <c r="BS220" s="31"/>
      <c r="BT220" s="31"/>
      <c r="BU220" s="31"/>
      <c r="BV220" s="31"/>
      <c r="BW220" s="31"/>
      <c r="BX220" s="31"/>
      <c r="BY220" s="31"/>
      <c r="BZ220" s="31"/>
      <c r="CA220" s="31"/>
      <c r="CB220" s="31"/>
      <c r="CC220" s="31"/>
      <c r="CD220" s="31"/>
      <c r="CE220" s="31"/>
      <c r="CF220" s="31"/>
      <c r="CG220" s="31"/>
      <c r="CH220" s="31"/>
      <c r="CI220" s="31"/>
      <c r="CJ220" s="31"/>
      <c r="CK220" s="31"/>
      <c r="CL220" s="31"/>
      <c r="CM220" s="31"/>
      <c r="CN220" s="31"/>
      <c r="CO220" s="31"/>
      <c r="CP220" s="31"/>
      <c r="CQ220" s="31"/>
      <c r="CR220" s="31"/>
      <c r="CS220" s="31"/>
      <c r="CT220" s="31"/>
      <c r="CU220" s="31"/>
      <c r="CV220" s="31"/>
      <c r="CW220" s="31"/>
      <c r="CX220" s="31"/>
      <c r="CY220" s="31"/>
      <c r="CZ220" s="31"/>
      <c r="DA220" s="31"/>
      <c r="DB220" s="31"/>
      <c r="DC220" s="31"/>
      <c r="DD220" s="31"/>
      <c r="DE220" s="31"/>
      <c r="DF220" s="31"/>
      <c r="DG220" s="31"/>
      <c r="DH220" s="31"/>
      <c r="DI220" s="31"/>
      <c r="DJ220" s="31"/>
      <c r="DK220" s="31"/>
      <c r="DL220" s="31"/>
      <c r="DM220" s="31"/>
      <c r="DN220" s="31"/>
      <c r="DO220" s="31"/>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c r="EX220" s="31"/>
      <c r="EY220" s="31"/>
      <c r="EZ220" s="31"/>
      <c r="FA220" s="31"/>
      <c r="FB220" s="31"/>
      <c r="FC220" s="31"/>
      <c r="FD220" s="31"/>
      <c r="FE220" s="31"/>
      <c r="FF220" s="31"/>
      <c r="FG220" s="31"/>
      <c r="FH220" s="31"/>
      <c r="FI220" s="31"/>
      <c r="FJ220" s="31"/>
      <c r="FK220" s="31"/>
      <c r="FL220" s="31"/>
      <c r="FM220" s="31"/>
      <c r="FN220" s="31"/>
      <c r="FO220" s="31"/>
      <c r="FP220" s="31"/>
      <c r="FQ220" s="31"/>
      <c r="FR220" s="31"/>
      <c r="FS220" s="31"/>
      <c r="FT220" s="31"/>
      <c r="FU220" s="31"/>
      <c r="FV220" s="31"/>
      <c r="FW220" s="31"/>
      <c r="FX220" s="31"/>
      <c r="FY220" s="31"/>
      <c r="FZ220" s="31"/>
      <c r="GA220" s="31"/>
      <c r="GB220" s="31"/>
      <c r="GC220" s="31"/>
      <c r="GD220" s="31"/>
      <c r="GE220" s="31"/>
      <c r="GF220" s="31"/>
      <c r="GG220" s="31"/>
      <c r="GH220" s="31"/>
      <c r="GI220" s="31"/>
      <c r="GJ220" s="31"/>
      <c r="GK220" s="31"/>
      <c r="GL220" s="31"/>
      <c r="GM220" s="31"/>
      <c r="GN220" s="31"/>
      <c r="GO220" s="31"/>
      <c r="GP220" s="31"/>
      <c r="GQ220" s="31"/>
      <c r="GR220" s="31"/>
      <c r="GS220" s="31"/>
      <c r="GT220" s="31"/>
      <c r="GU220" s="31"/>
      <c r="GV220" s="31"/>
      <c r="GW220" s="31"/>
      <c r="GX220" s="31"/>
      <c r="GY220" s="31"/>
      <c r="GZ220" s="31"/>
      <c r="HA220" s="31"/>
      <c r="HB220" s="31"/>
      <c r="HC220" s="31"/>
      <c r="HD220" s="31"/>
      <c r="HE220" s="31"/>
      <c r="HF220" s="31"/>
      <c r="HG220" s="31"/>
      <c r="HH220" s="31"/>
      <c r="HI220" s="31"/>
      <c r="HJ220" s="31"/>
      <c r="HK220" s="31"/>
      <c r="HL220" s="31"/>
      <c r="HM220" s="31"/>
      <c r="HN220" s="31"/>
      <c r="HO220" s="31"/>
      <c r="HP220" s="31"/>
      <c r="HQ220" s="31"/>
      <c r="HR220" s="31"/>
      <c r="HS220" s="31"/>
      <c r="HT220" s="31"/>
      <c r="HU220" s="31"/>
      <c r="HV220" s="31"/>
      <c r="HW220" s="31"/>
      <c r="HX220" s="31"/>
      <c r="HY220" s="31"/>
      <c r="HZ220" s="31"/>
      <c r="IA220" s="31"/>
      <c r="IB220" s="31"/>
      <c r="IC220" s="31"/>
      <c r="ID220" s="31"/>
      <c r="IE220" s="31"/>
      <c r="IF220" s="31"/>
      <c r="IG220" s="31"/>
      <c r="IH220" s="31"/>
      <c r="II220" s="31"/>
      <c r="IJ220" s="31"/>
      <c r="IK220" s="31"/>
      <c r="IL220" s="31"/>
      <c r="IM220" s="31"/>
      <c r="IN220" s="31"/>
      <c r="IO220" s="31"/>
      <c r="IP220" s="31"/>
      <c r="IQ220" s="31"/>
      <c r="IR220" s="31"/>
      <c r="IS220" s="31"/>
      <c r="IT220" s="31"/>
      <c r="IU220" s="31"/>
      <c r="IV220" s="31"/>
      <c r="IW220" s="31"/>
      <c r="IX220" s="31"/>
      <c r="IY220" s="31"/>
      <c r="IZ220" s="31"/>
      <c r="JA220" s="31"/>
      <c r="JB220" s="31"/>
      <c r="JC220" s="31"/>
      <c r="JD220" s="31"/>
      <c r="JE220" s="31"/>
      <c r="JF220" s="31"/>
      <c r="JG220" s="31"/>
      <c r="JH220" s="31"/>
      <c r="JI220" s="31"/>
      <c r="JJ220" s="31"/>
      <c r="JK220" s="31"/>
      <c r="JL220" s="31"/>
      <c r="JM220" s="31"/>
      <c r="JN220" s="31"/>
      <c r="JO220" s="31"/>
      <c r="JP220" s="31"/>
      <c r="JQ220" s="31"/>
      <c r="JR220" s="31"/>
      <c r="JS220" s="31"/>
      <c r="JT220" s="31"/>
      <c r="JU220" s="31"/>
      <c r="JV220" s="31"/>
      <c r="JW220" s="31"/>
      <c r="JX220" s="31"/>
      <c r="JY220" s="31"/>
      <c r="JZ220" s="31"/>
      <c r="KA220" s="31"/>
      <c r="KB220" s="31"/>
      <c r="KC220" s="31"/>
      <c r="KD220" s="31"/>
      <c r="KE220" s="31"/>
      <c r="KF220" s="31"/>
      <c r="KG220" s="31"/>
      <c r="KH220" s="31"/>
      <c r="KI220" s="31"/>
      <c r="KJ220" s="31"/>
      <c r="KK220" s="31"/>
      <c r="KL220" s="31"/>
      <c r="KM220" s="31"/>
      <c r="KN220" s="31"/>
      <c r="KO220" s="31"/>
      <c r="KP220" s="31"/>
      <c r="KQ220" s="31"/>
      <c r="KR220" s="31"/>
      <c r="KS220" s="31"/>
      <c r="KT220" s="31"/>
      <c r="KU220" s="31"/>
      <c r="KV220" s="31"/>
      <c r="KW220" s="31"/>
      <c r="KX220" s="31"/>
      <c r="KY220" s="31"/>
      <c r="KZ220" s="31"/>
      <c r="LA220" s="31"/>
      <c r="LB220" s="31"/>
      <c r="LC220" s="31"/>
      <c r="LD220" s="31"/>
      <c r="LE220" s="31"/>
      <c r="LF220" s="31"/>
      <c r="LG220" s="31"/>
      <c r="LH220" s="31"/>
      <c r="LI220" s="31"/>
      <c r="LJ220" s="31"/>
      <c r="LK220" s="31"/>
      <c r="LL220" s="31"/>
      <c r="LM220" s="31"/>
      <c r="LN220" s="31"/>
      <c r="LO220" s="31"/>
      <c r="LP220" s="31"/>
      <c r="LQ220" s="31"/>
      <c r="LR220" s="31"/>
      <c r="LS220" s="31"/>
      <c r="LT220" s="31"/>
      <c r="LU220" s="31"/>
      <c r="LV220" s="31"/>
      <c r="LW220" s="31"/>
      <c r="LX220" s="31"/>
      <c r="LY220" s="31"/>
      <c r="LZ220" s="31"/>
      <c r="MA220" s="31"/>
      <c r="MB220" s="31"/>
      <c r="MC220" s="31"/>
      <c r="MD220" s="31"/>
      <c r="ME220" s="31"/>
      <c r="MF220" s="31"/>
      <c r="MG220" s="31"/>
      <c r="MH220" s="31"/>
      <c r="MI220" s="31"/>
      <c r="MJ220" s="31"/>
      <c r="MK220" s="31"/>
      <c r="ML220" s="31"/>
      <c r="MM220" s="31"/>
      <c r="MN220" s="31"/>
      <c r="MO220" s="31"/>
      <c r="MP220" s="31"/>
      <c r="MQ220" s="31"/>
      <c r="MR220" s="31"/>
      <c r="MS220" s="31"/>
      <c r="MT220" s="31"/>
      <c r="MU220" s="31"/>
      <c r="MV220" s="31"/>
      <c r="MW220" s="31"/>
      <c r="MX220" s="31"/>
      <c r="MY220" s="31"/>
      <c r="MZ220" s="31"/>
      <c r="NA220" s="31"/>
      <c r="NB220" s="31"/>
      <c r="NC220" s="31"/>
      <c r="ND220" s="31"/>
      <c r="NE220" s="31"/>
      <c r="NF220" s="31"/>
      <c r="NG220" s="31"/>
      <c r="NH220" s="31"/>
      <c r="NI220" s="31"/>
      <c r="NJ220" s="31"/>
      <c r="NK220" s="31"/>
      <c r="NL220" s="31"/>
      <c r="NM220" s="31"/>
      <c r="NN220" s="31"/>
      <c r="NO220" s="31"/>
      <c r="NP220" s="31"/>
      <c r="NQ220" s="31"/>
      <c r="NR220" s="31"/>
      <c r="NS220" s="31"/>
      <c r="NT220" s="31"/>
      <c r="NU220" s="31"/>
      <c r="NV220" s="31"/>
      <c r="NW220" s="31"/>
      <c r="NX220" s="31"/>
      <c r="NY220" s="31"/>
      <c r="NZ220" s="31"/>
      <c r="OA220" s="31"/>
      <c r="OB220" s="31"/>
      <c r="OC220" s="31"/>
      <c r="OD220" s="31"/>
      <c r="OE220" s="31"/>
      <c r="OF220" s="31"/>
      <c r="OG220" s="31"/>
      <c r="OH220" s="31"/>
      <c r="OI220" s="31"/>
      <c r="OJ220" s="31"/>
      <c r="OK220" s="31"/>
      <c r="OL220" s="31"/>
      <c r="OM220" s="31"/>
      <c r="ON220" s="31"/>
      <c r="OO220" s="31"/>
      <c r="OP220" s="31"/>
      <c r="OQ220" s="31"/>
      <c r="OR220" s="31"/>
      <c r="OS220" s="31"/>
      <c r="OT220" s="31"/>
      <c r="OU220" s="31"/>
      <c r="OV220" s="31"/>
      <c r="OW220" s="31"/>
      <c r="OX220" s="31"/>
      <c r="OY220" s="31"/>
      <c r="OZ220" s="31"/>
      <c r="PA220" s="31"/>
      <c r="PB220" s="31"/>
      <c r="PC220" s="31"/>
      <c r="PD220" s="31"/>
      <c r="PE220" s="31"/>
      <c r="PF220" s="31"/>
      <c r="PG220" s="31"/>
      <c r="PH220" s="31"/>
      <c r="PI220" s="31"/>
      <c r="PJ220" s="31"/>
      <c r="PK220" s="31"/>
      <c r="PL220" s="31"/>
      <c r="PM220" s="31"/>
      <c r="PN220" s="31"/>
      <c r="PO220" s="31"/>
      <c r="PP220" s="31"/>
      <c r="PQ220" s="31"/>
      <c r="PR220" s="31"/>
      <c r="PS220" s="31"/>
      <c r="PT220" s="31"/>
      <c r="PU220" s="31"/>
      <c r="PV220" s="31"/>
      <c r="PW220" s="31"/>
      <c r="PX220" s="31"/>
      <c r="PY220" s="31"/>
      <c r="PZ220" s="31"/>
      <c r="QA220" s="31"/>
      <c r="QB220" s="31"/>
      <c r="QC220" s="31"/>
      <c r="QD220" s="31"/>
      <c r="QE220" s="31"/>
      <c r="QF220" s="31"/>
      <c r="QG220" s="31"/>
      <c r="QH220" s="31"/>
      <c r="QI220" s="31"/>
      <c r="QJ220" s="31"/>
      <c r="QK220" s="31"/>
      <c r="QL220" s="31"/>
      <c r="QM220" s="31"/>
      <c r="QN220" s="31"/>
      <c r="QO220" s="31"/>
      <c r="QP220" s="31"/>
      <c r="QQ220" s="31"/>
      <c r="QR220" s="31"/>
      <c r="QS220" s="31"/>
      <c r="QT220" s="31"/>
      <c r="QU220" s="31"/>
      <c r="QV220" s="31"/>
      <c r="QW220" s="31"/>
      <c r="QX220" s="31"/>
      <c r="QY220" s="31"/>
      <c r="QZ220" s="31"/>
      <c r="RA220" s="31"/>
      <c r="RB220" s="31"/>
      <c r="RC220" s="31"/>
      <c r="RD220" s="31"/>
      <c r="RE220" s="31"/>
      <c r="RF220" s="31"/>
      <c r="RG220" s="31"/>
      <c r="RH220" s="31"/>
      <c r="RI220" s="31"/>
      <c r="RJ220" s="31"/>
      <c r="RK220" s="31"/>
      <c r="RL220" s="31"/>
      <c r="RM220" s="31"/>
      <c r="RN220" s="31"/>
      <c r="RO220" s="31"/>
      <c r="RP220" s="31"/>
      <c r="RQ220" s="31"/>
      <c r="RR220" s="31"/>
      <c r="RS220" s="31"/>
      <c r="RT220" s="31"/>
      <c r="RU220" s="31"/>
      <c r="RV220" s="31"/>
      <c r="RW220" s="31"/>
      <c r="RX220" s="31"/>
      <c r="RY220" s="31"/>
      <c r="RZ220" s="31"/>
      <c r="SA220" s="31"/>
      <c r="SB220" s="31"/>
      <c r="SC220" s="31"/>
      <c r="SD220" s="31"/>
      <c r="SE220" s="31"/>
      <c r="SF220" s="31"/>
      <c r="SG220" s="31"/>
      <c r="SH220" s="31"/>
      <c r="SI220" s="31"/>
      <c r="SJ220" s="31"/>
      <c r="SK220" s="31"/>
      <c r="SL220" s="31"/>
      <c r="SM220" s="31"/>
      <c r="SN220" s="31"/>
      <c r="SO220" s="31"/>
      <c r="SP220" s="31"/>
      <c r="SQ220" s="31"/>
      <c r="SR220" s="31"/>
      <c r="SS220" s="31"/>
      <c r="ST220" s="31"/>
      <c r="SU220" s="31"/>
      <c r="SV220" s="31"/>
      <c r="SW220" s="31"/>
      <c r="SX220" s="31"/>
      <c r="SY220" s="31"/>
      <c r="SZ220" s="31"/>
      <c r="TA220" s="31"/>
      <c r="TB220" s="31"/>
      <c r="TC220" s="31"/>
      <c r="TD220" s="31"/>
      <c r="TE220" s="31"/>
      <c r="TF220" s="31"/>
      <c r="TG220" s="31"/>
      <c r="TH220" s="31"/>
      <c r="TI220" s="31"/>
      <c r="TJ220" s="31"/>
      <c r="TK220" s="31"/>
      <c r="TL220" s="31"/>
      <c r="TM220" s="31"/>
      <c r="TN220" s="31"/>
      <c r="TO220" s="31"/>
      <c r="TP220" s="31"/>
      <c r="TQ220" s="31"/>
      <c r="TR220" s="31"/>
      <c r="TS220" s="31"/>
      <c r="TT220" s="31"/>
      <c r="TU220" s="31"/>
      <c r="TV220" s="31"/>
      <c r="TW220" s="31"/>
      <c r="TX220" s="31"/>
      <c r="TY220" s="31"/>
      <c r="TZ220" s="31"/>
      <c r="UA220" s="31"/>
      <c r="UB220" s="31"/>
      <c r="UC220" s="31"/>
      <c r="UD220" s="31"/>
      <c r="UE220" s="31"/>
      <c r="UF220" s="31"/>
      <c r="UG220" s="31"/>
      <c r="UH220" s="31"/>
      <c r="UI220" s="31"/>
      <c r="UJ220" s="31"/>
      <c r="UK220" s="31"/>
      <c r="UL220" s="31"/>
      <c r="UM220" s="31"/>
      <c r="UN220" s="31"/>
      <c r="UO220" s="31"/>
      <c r="UP220" s="31"/>
      <c r="UQ220" s="31"/>
      <c r="UR220" s="31"/>
      <c r="US220" s="31"/>
      <c r="UT220" s="31"/>
      <c r="UU220" s="31"/>
      <c r="UV220" s="31"/>
      <c r="UW220" s="31"/>
      <c r="UX220" s="31"/>
      <c r="UY220" s="31"/>
      <c r="UZ220" s="31"/>
      <c r="VA220" s="31"/>
      <c r="VB220" s="31"/>
      <c r="VC220" s="31"/>
      <c r="VD220" s="31"/>
      <c r="VE220" s="31"/>
      <c r="VF220" s="31"/>
      <c r="VG220" s="31"/>
      <c r="VH220" s="31"/>
      <c r="VI220" s="31"/>
      <c r="VJ220" s="31"/>
      <c r="VK220" s="31"/>
      <c r="VL220" s="31"/>
      <c r="VM220" s="31"/>
      <c r="VN220" s="31"/>
      <c r="VO220" s="31"/>
      <c r="VP220" s="31"/>
      <c r="VQ220" s="31"/>
      <c r="VR220" s="31"/>
      <c r="VS220" s="31"/>
      <c r="VT220" s="31"/>
      <c r="VU220" s="31"/>
      <c r="VV220" s="31"/>
      <c r="VW220" s="31"/>
      <c r="VX220" s="31"/>
      <c r="VY220" s="31"/>
      <c r="VZ220" s="31"/>
      <c r="WA220" s="31"/>
      <c r="WB220" s="31"/>
      <c r="WC220" s="31"/>
      <c r="WD220" s="31"/>
      <c r="WE220" s="31"/>
      <c r="WF220" s="31"/>
      <c r="WG220" s="31"/>
      <c r="WH220" s="31"/>
      <c r="WI220" s="31"/>
      <c r="WJ220" s="31"/>
      <c r="WK220" s="31"/>
      <c r="WL220" s="31"/>
      <c r="WM220" s="31"/>
      <c r="WN220" s="31"/>
      <c r="WO220" s="31"/>
      <c r="WP220" s="31"/>
      <c r="WQ220" s="31"/>
      <c r="WR220" s="31"/>
      <c r="WS220" s="31"/>
      <c r="WT220" s="31"/>
      <c r="WU220" s="31"/>
      <c r="WV220" s="31"/>
      <c r="WW220" s="31"/>
      <c r="WX220" s="31"/>
      <c r="WY220" s="31"/>
      <c r="WZ220" s="31"/>
      <c r="XA220" s="31"/>
      <c r="XB220" s="31"/>
      <c r="XC220" s="31"/>
      <c r="XD220" s="31"/>
      <c r="XE220" s="31"/>
      <c r="XF220" s="31"/>
      <c r="XG220" s="31"/>
      <c r="XH220" s="31"/>
      <c r="XI220" s="31"/>
      <c r="XJ220" s="31"/>
      <c r="XK220" s="31"/>
      <c r="XL220" s="31"/>
      <c r="XM220" s="31"/>
      <c r="XN220" s="31"/>
      <c r="XO220" s="31"/>
      <c r="XP220" s="31"/>
      <c r="XQ220" s="31"/>
      <c r="XR220" s="31"/>
      <c r="XS220" s="31"/>
      <c r="XT220" s="31"/>
      <c r="XU220" s="31"/>
      <c r="XV220" s="31"/>
      <c r="XW220" s="31"/>
      <c r="XX220" s="31"/>
      <c r="XY220" s="31"/>
      <c r="XZ220" s="31"/>
      <c r="YA220" s="31"/>
      <c r="YB220" s="31"/>
      <c r="YC220" s="31"/>
      <c r="YD220" s="31"/>
      <c r="YE220" s="31"/>
      <c r="YF220" s="31"/>
      <c r="YG220" s="31"/>
      <c r="YH220" s="31"/>
      <c r="YI220" s="31"/>
      <c r="YJ220" s="31"/>
      <c r="YK220" s="31"/>
      <c r="YL220" s="31"/>
      <c r="YM220" s="31"/>
      <c r="YN220" s="31"/>
      <c r="YO220" s="31"/>
      <c r="YP220" s="31"/>
      <c r="YQ220" s="31"/>
      <c r="YR220" s="31"/>
      <c r="YS220" s="31"/>
      <c r="YT220" s="31"/>
      <c r="YU220" s="31"/>
      <c r="YV220" s="31"/>
      <c r="YW220" s="31"/>
      <c r="YX220" s="31"/>
      <c r="YY220" s="31"/>
      <c r="YZ220" s="31"/>
      <c r="ZA220" s="31"/>
      <c r="ZB220" s="31"/>
      <c r="ZC220" s="31"/>
      <c r="ZD220" s="31"/>
      <c r="ZE220" s="31"/>
      <c r="ZF220" s="31"/>
      <c r="ZG220" s="31"/>
      <c r="ZH220" s="31"/>
      <c r="ZI220" s="31"/>
      <c r="ZJ220" s="31"/>
      <c r="ZK220" s="31"/>
      <c r="ZL220" s="31"/>
      <c r="ZM220" s="31"/>
      <c r="ZN220" s="31"/>
      <c r="ZO220" s="31"/>
      <c r="ZP220" s="31"/>
      <c r="ZQ220" s="31"/>
      <c r="ZR220" s="31"/>
      <c r="ZS220" s="31"/>
      <c r="ZT220" s="31"/>
      <c r="ZU220" s="31"/>
      <c r="ZV220" s="31"/>
      <c r="ZW220" s="31"/>
      <c r="ZX220" s="31"/>
      <c r="ZY220" s="31"/>
      <c r="ZZ220" s="31"/>
      <c r="AAA220" s="31"/>
      <c r="AAB220" s="31"/>
      <c r="AAC220" s="31"/>
      <c r="AAD220" s="31"/>
      <c r="AAE220" s="31"/>
      <c r="AAF220" s="31"/>
      <c r="AAG220" s="31"/>
      <c r="AAH220" s="31"/>
      <c r="AAI220" s="31"/>
      <c r="AAJ220" s="31"/>
      <c r="AAK220" s="31"/>
      <c r="AAL220" s="31"/>
      <c r="AAM220" s="31"/>
      <c r="AAN220" s="31"/>
      <c r="AAO220" s="31"/>
      <c r="AAP220" s="31"/>
      <c r="AAQ220" s="31"/>
      <c r="AAR220" s="31"/>
      <c r="AAS220" s="31"/>
      <c r="AAT220" s="31"/>
      <c r="AAU220" s="31"/>
      <c r="AAV220" s="31"/>
      <c r="AAW220" s="31"/>
      <c r="AAX220" s="31"/>
      <c r="AAY220" s="31"/>
      <c r="AAZ220" s="31"/>
      <c r="ABA220" s="31"/>
      <c r="ABB220" s="31"/>
      <c r="ABC220" s="31"/>
      <c r="ABD220" s="31"/>
      <c r="ABE220" s="31"/>
      <c r="ABF220" s="31"/>
      <c r="ABG220" s="31"/>
      <c r="ABH220" s="31"/>
      <c r="ABI220" s="31"/>
      <c r="ABJ220" s="31"/>
      <c r="ABK220" s="31"/>
      <c r="ABL220" s="31"/>
      <c r="ABM220" s="31"/>
      <c r="ABN220" s="31"/>
      <c r="ABO220" s="31"/>
      <c r="ABP220" s="31"/>
      <c r="ABQ220" s="31"/>
      <c r="ABR220" s="31"/>
      <c r="ABS220" s="31"/>
      <c r="ABT220" s="31"/>
      <c r="ABU220" s="31"/>
      <c r="ABV220" s="31"/>
      <c r="ABW220" s="31"/>
      <c r="ABX220" s="31"/>
      <c r="ABY220" s="31"/>
      <c r="ABZ220" s="31"/>
      <c r="ACA220" s="31"/>
      <c r="ACB220" s="31"/>
      <c r="ACC220" s="31"/>
      <c r="ACD220" s="31"/>
      <c r="ACE220" s="31"/>
      <c r="ACF220" s="31"/>
      <c r="ACG220" s="31"/>
      <c r="ACH220" s="31"/>
      <c r="ACI220" s="31"/>
      <c r="ACJ220" s="31"/>
      <c r="ACK220" s="31"/>
      <c r="ACL220" s="31"/>
      <c r="ACM220" s="31"/>
      <c r="ACN220" s="31"/>
      <c r="ACO220" s="31"/>
      <c r="ACP220" s="31"/>
      <c r="ACQ220" s="31"/>
      <c r="ACR220" s="31"/>
      <c r="ACS220" s="31"/>
      <c r="ACT220" s="31"/>
      <c r="ACU220" s="31"/>
      <c r="ACV220" s="31"/>
      <c r="ACW220" s="31"/>
      <c r="ACX220" s="31"/>
      <c r="ACY220" s="31"/>
      <c r="ACZ220" s="31"/>
      <c r="ADA220" s="31"/>
      <c r="ADB220" s="31"/>
      <c r="ADC220" s="31"/>
      <c r="ADD220" s="31"/>
      <c r="ADE220" s="31"/>
      <c r="ADF220" s="31"/>
      <c r="ADG220" s="31"/>
      <c r="ADH220" s="31"/>
      <c r="ADI220" s="31"/>
      <c r="ADJ220" s="31"/>
      <c r="ADK220" s="31"/>
      <c r="ADL220" s="31"/>
      <c r="ADM220" s="31"/>
      <c r="ADN220" s="31"/>
      <c r="ADO220" s="31"/>
      <c r="ADP220" s="31"/>
      <c r="ADQ220" s="31"/>
      <c r="ADR220" s="31"/>
      <c r="ADS220" s="31"/>
      <c r="ADT220" s="31"/>
      <c r="ADU220" s="31"/>
      <c r="ADV220" s="31"/>
      <c r="ADW220" s="31"/>
      <c r="ADX220" s="31"/>
      <c r="ADY220" s="31"/>
      <c r="ADZ220" s="31"/>
      <c r="AEA220" s="31"/>
      <c r="AEB220" s="31"/>
      <c r="AEC220" s="31"/>
      <c r="AED220" s="31"/>
      <c r="AEE220" s="31"/>
      <c r="AEF220" s="31"/>
      <c r="AEG220" s="31"/>
      <c r="AEH220" s="31"/>
      <c r="AEI220" s="31"/>
      <c r="AEJ220" s="31"/>
      <c r="AEK220" s="31"/>
      <c r="AEL220" s="31"/>
      <c r="AEM220" s="31"/>
      <c r="AEN220" s="31"/>
      <c r="AEO220" s="31"/>
      <c r="AEP220" s="31"/>
      <c r="AEQ220" s="31"/>
      <c r="AER220" s="31"/>
      <c r="AES220" s="31"/>
      <c r="AET220" s="31"/>
      <c r="AEU220" s="31"/>
      <c r="AEV220" s="31"/>
      <c r="AEW220" s="31"/>
      <c r="AEX220" s="31"/>
      <c r="AEY220" s="31"/>
      <c r="AEZ220" s="31"/>
      <c r="AFA220" s="31"/>
      <c r="AFB220" s="31"/>
      <c r="AFC220" s="31"/>
      <c r="AFD220" s="31"/>
      <c r="AFE220" s="31"/>
      <c r="AFF220" s="31"/>
      <c r="AFG220" s="31"/>
      <c r="AFH220" s="31"/>
      <c r="AFI220" s="31"/>
      <c r="AFJ220" s="31"/>
      <c r="AFK220" s="31"/>
      <c r="AFL220" s="31"/>
      <c r="AFM220" s="31"/>
      <c r="AFN220" s="31"/>
      <c r="AFO220" s="31"/>
      <c r="AFP220" s="31"/>
      <c r="AFQ220" s="31"/>
      <c r="AFR220" s="31"/>
      <c r="AFS220" s="31"/>
      <c r="AFT220" s="31"/>
      <c r="AFU220" s="31"/>
      <c r="AFV220" s="31"/>
      <c r="AFW220" s="31"/>
      <c r="AFX220" s="31"/>
      <c r="AFY220" s="31"/>
      <c r="AFZ220" s="31"/>
      <c r="AGA220" s="31"/>
      <c r="AGB220" s="31"/>
      <c r="AGC220" s="31"/>
      <c r="AGD220" s="31"/>
      <c r="AGE220" s="31"/>
      <c r="AGF220" s="31"/>
      <c r="AGG220" s="31"/>
      <c r="AGH220" s="31"/>
      <c r="AGI220" s="31"/>
      <c r="AGJ220" s="31"/>
      <c r="AGK220" s="31"/>
      <c r="AGL220" s="31"/>
      <c r="AGM220" s="31"/>
      <c r="AGN220" s="31"/>
      <c r="AGO220" s="31"/>
      <c r="AGP220" s="31"/>
      <c r="AGQ220" s="31"/>
      <c r="AGR220" s="31"/>
      <c r="AGS220" s="31"/>
      <c r="AGT220" s="31"/>
      <c r="AGU220" s="31"/>
      <c r="AGV220" s="31"/>
      <c r="AGW220" s="31"/>
      <c r="AGX220" s="31"/>
      <c r="AGY220" s="31"/>
      <c r="AGZ220" s="31"/>
      <c r="AHA220" s="31"/>
      <c r="AHB220" s="31"/>
      <c r="AHC220" s="31"/>
      <c r="AHD220" s="31"/>
      <c r="AHE220" s="31"/>
      <c r="AHF220" s="31"/>
      <c r="AHG220" s="31"/>
      <c r="AHH220" s="31"/>
      <c r="AHI220" s="31"/>
      <c r="AHJ220" s="31"/>
      <c r="AHK220" s="31"/>
      <c r="AHL220" s="31"/>
      <c r="AHM220" s="31"/>
      <c r="AHN220" s="31"/>
      <c r="AHO220" s="31"/>
      <c r="AHP220" s="31"/>
      <c r="AHQ220" s="31"/>
      <c r="AHR220" s="31"/>
      <c r="AHS220" s="31"/>
      <c r="AHT220" s="31"/>
      <c r="AHU220" s="31"/>
      <c r="AHV220" s="31"/>
      <c r="AHW220" s="31"/>
      <c r="AHX220" s="31"/>
      <c r="AHY220" s="31"/>
      <c r="AHZ220" s="31"/>
      <c r="AIA220" s="31"/>
      <c r="AIB220" s="31"/>
      <c r="AIC220" s="31"/>
      <c r="AID220" s="31"/>
      <c r="AIE220" s="31"/>
      <c r="AIF220" s="31"/>
      <c r="AIG220" s="31"/>
      <c r="AIH220" s="31"/>
      <c r="AII220" s="31"/>
      <c r="AIJ220" s="31"/>
      <c r="AIK220" s="31"/>
      <c r="AIL220" s="31"/>
      <c r="AIM220" s="31"/>
      <c r="AIN220" s="31"/>
      <c r="AIO220" s="31"/>
      <c r="AIP220" s="31"/>
      <c r="AIQ220" s="31"/>
      <c r="AIR220" s="31"/>
      <c r="AIS220" s="31"/>
      <c r="AIT220" s="31"/>
      <c r="AIU220" s="31"/>
      <c r="AIV220" s="31"/>
      <c r="AIW220" s="31"/>
      <c r="AIX220" s="31"/>
      <c r="AIY220" s="31"/>
      <c r="AIZ220" s="31"/>
      <c r="AJA220" s="31"/>
      <c r="AJB220" s="31"/>
      <c r="AJC220" s="31"/>
      <c r="AJD220" s="31"/>
      <c r="AJE220" s="31"/>
      <c r="AJF220" s="31"/>
      <c r="AJG220" s="31"/>
      <c r="AJH220" s="31"/>
      <c r="AJI220" s="31"/>
      <c r="AJJ220" s="31"/>
      <c r="AJK220" s="31"/>
      <c r="AJL220" s="31"/>
      <c r="AJM220" s="31"/>
      <c r="AJN220" s="31"/>
      <c r="AJO220" s="31"/>
      <c r="AJP220" s="31"/>
      <c r="AJQ220" s="31"/>
      <c r="AJR220" s="31"/>
      <c r="AJS220" s="31"/>
      <c r="AJT220" s="31"/>
      <c r="AJU220" s="31"/>
      <c r="AJV220" s="31"/>
      <c r="AJW220" s="31"/>
      <c r="AJX220" s="31"/>
      <c r="AJY220" s="31"/>
      <c r="AJZ220" s="31"/>
      <c r="AKA220" s="31"/>
      <c r="AKB220" s="31"/>
      <c r="AKC220" s="31"/>
      <c r="AKD220" s="31"/>
      <c r="AKE220" s="31"/>
      <c r="AKF220" s="31"/>
      <c r="AKG220" s="31"/>
      <c r="AKH220" s="31"/>
      <c r="AKI220" s="31"/>
      <c r="AKJ220" s="31"/>
      <c r="AKK220" s="31"/>
      <c r="AKL220" s="31"/>
      <c r="AKM220" s="31"/>
      <c r="AKN220" s="31"/>
      <c r="AKO220" s="31"/>
      <c r="AKP220" s="31"/>
      <c r="AKQ220" s="31"/>
      <c r="AKR220" s="31"/>
      <c r="AKS220" s="31"/>
      <c r="AKT220" s="31"/>
      <c r="AKU220" s="31"/>
      <c r="AKV220" s="31"/>
      <c r="AKW220" s="31"/>
      <c r="AKX220" s="31"/>
      <c r="AKY220" s="31"/>
      <c r="AKZ220" s="31"/>
      <c r="ALA220" s="31"/>
      <c r="ALB220" s="31"/>
      <c r="ALC220" s="31"/>
      <c r="ALD220" s="31"/>
      <c r="ALE220" s="31"/>
      <c r="ALF220" s="31"/>
      <c r="ALG220" s="31"/>
      <c r="ALH220" s="31"/>
      <c r="ALI220" s="31"/>
      <c r="ALJ220" s="31"/>
      <c r="ALK220" s="31"/>
      <c r="ALL220" s="31"/>
      <c r="ALM220" s="31"/>
      <c r="ALN220" s="31"/>
      <c r="ALO220" s="31"/>
      <c r="ALP220" s="31"/>
      <c r="ALQ220" s="31"/>
      <c r="ALR220" s="31"/>
      <c r="ALS220" s="31"/>
      <c r="ALT220" s="31"/>
      <c r="ALU220" s="31"/>
      <c r="ALV220" s="31"/>
      <c r="ALW220" s="31"/>
      <c r="ALX220" s="31"/>
      <c r="ALY220" s="31"/>
      <c r="ALZ220" s="31"/>
      <c r="AMA220" s="31"/>
      <c r="AMB220" s="31"/>
      <c r="AMC220" s="31"/>
      <c r="AMD220" s="31"/>
      <c r="AME220" s="31"/>
      <c r="AMF220" s="31"/>
      <c r="AMG220" s="31"/>
      <c r="AMH220" s="31"/>
      <c r="AMI220" s="31"/>
      <c r="AMJ220" s="31"/>
      <c r="AMK220" s="31"/>
      <c r="AML220" s="31"/>
      <c r="AMM220" s="31"/>
      <c r="AMN220" s="31"/>
      <c r="AMO220" s="31"/>
      <c r="AMP220" s="31"/>
      <c r="AMQ220" s="31"/>
      <c r="AMR220" s="31"/>
      <c r="AMS220" s="31"/>
      <c r="AMT220" s="31"/>
      <c r="AMU220" s="31"/>
      <c r="AMV220" s="31"/>
      <c r="AMW220" s="31"/>
      <c r="AMX220" s="31"/>
      <c r="AMY220" s="31"/>
      <c r="AMZ220" s="31"/>
      <c r="ANA220" s="31"/>
      <c r="ANB220" s="31"/>
      <c r="ANC220" s="31"/>
      <c r="AND220" s="31"/>
      <c r="ANE220" s="31"/>
      <c r="ANF220" s="31"/>
      <c r="ANG220" s="31"/>
      <c r="ANH220" s="31"/>
      <c r="ANI220" s="31"/>
      <c r="ANJ220" s="31"/>
      <c r="ANK220" s="31"/>
      <c r="ANL220" s="31"/>
      <c r="ANM220" s="31"/>
      <c r="ANN220" s="31"/>
      <c r="ANO220" s="31"/>
      <c r="ANP220" s="31"/>
      <c r="ANQ220" s="31"/>
      <c r="ANR220" s="31"/>
      <c r="ANS220" s="31"/>
      <c r="ANT220" s="31"/>
      <c r="ANU220" s="31"/>
      <c r="ANV220" s="31"/>
      <c r="ANW220" s="31"/>
      <c r="ANX220" s="31"/>
      <c r="ANY220" s="31"/>
      <c r="ANZ220" s="31"/>
      <c r="AOA220" s="31"/>
      <c r="AOB220" s="31"/>
      <c r="AOC220" s="31"/>
      <c r="AOD220" s="31"/>
      <c r="AOE220" s="31"/>
      <c r="AOF220" s="31"/>
      <c r="AOG220" s="31"/>
      <c r="AOH220" s="31"/>
      <c r="AOI220" s="31"/>
      <c r="AOJ220" s="31"/>
      <c r="AOK220" s="31"/>
      <c r="AOL220" s="31"/>
      <c r="AOM220" s="31"/>
      <c r="AON220" s="31"/>
      <c r="AOO220" s="31"/>
      <c r="AOP220" s="31"/>
      <c r="AOQ220" s="31"/>
      <c r="AOR220" s="31"/>
      <c r="AOS220" s="31"/>
      <c r="AOT220" s="31"/>
      <c r="AOU220" s="31"/>
      <c r="AOV220" s="31"/>
      <c r="AOW220" s="31"/>
      <c r="AOX220" s="31"/>
      <c r="AOY220" s="31"/>
      <c r="AOZ220" s="31"/>
      <c r="APA220" s="31"/>
      <c r="APB220" s="31"/>
      <c r="APC220" s="31"/>
      <c r="APD220" s="31"/>
      <c r="APE220" s="31"/>
      <c r="APF220" s="31"/>
      <c r="APG220" s="31"/>
      <c r="APH220" s="31"/>
      <c r="API220" s="31"/>
      <c r="APJ220" s="31"/>
      <c r="APK220" s="31"/>
      <c r="APL220" s="31"/>
      <c r="APM220" s="31"/>
      <c r="APN220" s="31"/>
      <c r="APO220" s="31"/>
      <c r="APP220" s="31"/>
      <c r="APQ220" s="31"/>
      <c r="APR220" s="31"/>
      <c r="APS220" s="31"/>
      <c r="APT220" s="31"/>
      <c r="APU220" s="31"/>
      <c r="APV220" s="31"/>
      <c r="APW220" s="31"/>
      <c r="APX220" s="31"/>
      <c r="APY220" s="31"/>
      <c r="APZ220" s="31"/>
      <c r="AQA220" s="31"/>
      <c r="AQB220" s="31"/>
      <c r="AQC220" s="31"/>
      <c r="AQD220" s="31"/>
      <c r="AQE220" s="31"/>
      <c r="AQF220" s="31"/>
      <c r="AQG220" s="31"/>
      <c r="AQH220" s="31"/>
      <c r="AQI220" s="31"/>
      <c r="AQJ220" s="31"/>
      <c r="AQK220" s="31"/>
      <c r="AQL220" s="31"/>
      <c r="AQM220" s="31"/>
      <c r="AQN220" s="31"/>
      <c r="AQO220" s="31"/>
      <c r="AQP220" s="31"/>
      <c r="AQQ220" s="31"/>
      <c r="AQR220" s="31"/>
      <c r="AQS220" s="31"/>
      <c r="AQT220" s="31"/>
      <c r="AQU220" s="31"/>
      <c r="AQV220" s="31"/>
      <c r="AQW220" s="31"/>
      <c r="AQX220" s="31"/>
      <c r="AQY220" s="31"/>
      <c r="AQZ220" s="31"/>
      <c r="ARA220" s="31"/>
      <c r="ARB220" s="31"/>
      <c r="ARC220" s="31"/>
      <c r="ARD220" s="31"/>
      <c r="ARE220" s="31"/>
      <c r="ARF220" s="31"/>
      <c r="ARG220" s="31"/>
      <c r="ARH220" s="31"/>
      <c r="ARI220" s="31"/>
      <c r="ARJ220" s="31"/>
      <c r="ARK220" s="31"/>
      <c r="ARL220" s="31"/>
      <c r="ARM220" s="31"/>
      <c r="ARN220" s="31"/>
      <c r="ARO220" s="31"/>
      <c r="ARP220" s="31"/>
      <c r="ARQ220" s="31"/>
      <c r="ARR220" s="31"/>
      <c r="ARS220" s="31"/>
      <c r="ART220" s="31"/>
      <c r="ARU220" s="31"/>
      <c r="ARV220" s="31"/>
      <c r="ARW220" s="31"/>
      <c r="ARX220" s="31"/>
      <c r="ARY220" s="31"/>
      <c r="ARZ220" s="31"/>
      <c r="ASA220" s="31"/>
      <c r="ASB220" s="31"/>
      <c r="ASC220" s="31"/>
      <c r="ASD220" s="31"/>
      <c r="ASE220" s="31"/>
      <c r="ASF220" s="31"/>
      <c r="ASG220" s="31"/>
      <c r="ASH220" s="31"/>
      <c r="ASI220" s="31"/>
      <c r="ASJ220" s="31"/>
      <c r="ASK220" s="31"/>
      <c r="ASL220" s="31"/>
      <c r="ASM220" s="31"/>
      <c r="ASN220" s="31"/>
      <c r="ASO220" s="31"/>
      <c r="ASP220" s="31"/>
      <c r="ASQ220" s="31"/>
      <c r="ASR220" s="31"/>
      <c r="ASS220" s="31"/>
      <c r="AST220" s="31"/>
      <c r="ASU220" s="31"/>
      <c r="ASV220" s="31"/>
      <c r="ASW220" s="31"/>
      <c r="ASX220" s="31"/>
      <c r="ASY220" s="31"/>
      <c r="ASZ220" s="31"/>
      <c r="ATA220" s="31"/>
      <c r="ATB220" s="31"/>
      <c r="ATC220" s="31"/>
      <c r="ATD220" s="31"/>
      <c r="ATE220" s="31"/>
    </row>
    <row r="221" spans="1:1201" s="34" customFormat="1" ht="15.75" customHeight="1" x14ac:dyDescent="0.3">
      <c r="A221" s="76"/>
      <c r="B221" s="76"/>
      <c r="C221" s="57" t="s">
        <v>275</v>
      </c>
      <c r="D221" s="63"/>
      <c r="E221" s="169"/>
      <c r="F221" s="143"/>
      <c r="G221" s="144">
        <v>301000</v>
      </c>
      <c r="H221" s="647">
        <v>301000</v>
      </c>
      <c r="I221" s="684">
        <v>301000</v>
      </c>
      <c r="J221" s="684">
        <v>301000</v>
      </c>
      <c r="K221" s="684">
        <v>301000</v>
      </c>
      <c r="L221" s="684">
        <f t="shared" ref="L221:M225" si="378">K221</f>
        <v>301000</v>
      </c>
      <c r="M221" s="684">
        <f t="shared" si="378"/>
        <v>301000</v>
      </c>
      <c r="N221" s="684">
        <v>301000</v>
      </c>
      <c r="O221" s="684">
        <f>N221</f>
        <v>301000</v>
      </c>
      <c r="P221" s="684">
        <v>301000</v>
      </c>
      <c r="Q221" s="684">
        <v>301000</v>
      </c>
      <c r="R221" s="684">
        <f>Q221</f>
        <v>301000</v>
      </c>
      <c r="S221" s="942">
        <f>'MXD BS'!B118+'MXD BS'!B120</f>
        <v>301000</v>
      </c>
      <c r="T221" s="942">
        <f>'MXD BS'!C118+'MXD BS'!C120</f>
        <v>301000</v>
      </c>
      <c r="U221" s="942">
        <f>'MXD BS'!D118+'MXD BS'!D120</f>
        <v>301000</v>
      </c>
      <c r="V221" s="942">
        <f>'MXD BS'!E118+'MXD BS'!E120</f>
        <v>301000</v>
      </c>
      <c r="W221" s="942">
        <f>'MXD BS'!F118+'MXD BS'!F120</f>
        <v>301000</v>
      </c>
      <c r="X221" s="942">
        <f>'MXD BS'!G118+'MXD BS'!G120</f>
        <v>301000</v>
      </c>
      <c r="Y221" s="942">
        <f>'MXD BS'!H118+'MXD BS'!H120</f>
        <v>301000</v>
      </c>
      <c r="Z221" s="1096">
        <f>'MXD BS'!I118+'MXD BS'!I120</f>
        <v>301000</v>
      </c>
      <c r="AA221" s="1096">
        <f>'MXD BS'!J118+'MXD BS'!J120</f>
        <v>301000</v>
      </c>
      <c r="AB221" s="1096">
        <f>'MXD BS'!K118+'MXD BS'!K120</f>
        <v>301000</v>
      </c>
      <c r="AC221" s="1096">
        <f>'MXD BS'!L118+'MXD BS'!L120</f>
        <v>301000</v>
      </c>
      <c r="AD221" s="1096">
        <f>'MXD BS'!M118+'MXD BS'!M120</f>
        <v>301000</v>
      </c>
      <c r="AE221" s="1096">
        <f>'MXD BS'!N118+'MXD BS'!N120</f>
        <v>301000</v>
      </c>
      <c r="AF221" s="1096">
        <f>'MXD BS'!O118+'MXD BS'!O120</f>
        <v>301000</v>
      </c>
      <c r="AG221" s="1096">
        <f>'MXD BS'!P118+'MXD BS'!P120</f>
        <v>301000</v>
      </c>
      <c r="AH221" s="1096">
        <f>'MXD BS'!Q118+'MXD BS'!Q120</f>
        <v>301000</v>
      </c>
      <c r="AI221" s="1096">
        <f>'MXD BS'!R118+'MXD BS'!R120</f>
        <v>301000</v>
      </c>
      <c r="AJ221" s="1096">
        <f>'MXD BS'!S118+'MXD BS'!S120</f>
        <v>301000</v>
      </c>
      <c r="AK221" s="1096">
        <f>'MXD BS'!T118+'MXD BS'!T120</f>
        <v>301000</v>
      </c>
      <c r="AL221" s="1096">
        <f>'MXD BS'!U118+'MXD BS'!U120</f>
        <v>301000</v>
      </c>
      <c r="AM221" s="1096">
        <f>'MXD BS'!V118+'MXD BS'!V120</f>
        <v>301000</v>
      </c>
      <c r="AN221" s="1096">
        <f>'MXD BS'!W118+'MXD BS'!W120</f>
        <v>301000</v>
      </c>
      <c r="AO221" s="1096">
        <f>'MXD BS'!X118+'MXD BS'!X120</f>
        <v>301000</v>
      </c>
      <c r="AP221" s="684">
        <v>301000</v>
      </c>
      <c r="AQ221" s="684">
        <v>301000</v>
      </c>
      <c r="AR221" s="1642">
        <v>301000</v>
      </c>
      <c r="AS221" s="684">
        <v>301000</v>
      </c>
      <c r="AT221" s="684">
        <v>301000</v>
      </c>
      <c r="AU221" s="684">
        <v>301000</v>
      </c>
      <c r="AV221" s="684">
        <v>301000</v>
      </c>
      <c r="AW221" s="684">
        <v>301000</v>
      </c>
      <c r="AX221" s="684">
        <v>301000</v>
      </c>
      <c r="AY221" s="684">
        <v>301000</v>
      </c>
      <c r="AZ221" s="684">
        <v>301000</v>
      </c>
      <c r="BA221" s="684">
        <v>301000</v>
      </c>
      <c r="BB221" s="684">
        <v>301000</v>
      </c>
      <c r="BC221" s="684">
        <v>301000</v>
      </c>
      <c r="BE221" s="1195">
        <v>301000</v>
      </c>
      <c r="BF221" s="942">
        <f>AQ221</f>
        <v>301000</v>
      </c>
      <c r="BG221" s="1195">
        <f t="shared" ref="BG221:BG222" si="379">BC221</f>
        <v>301000</v>
      </c>
      <c r="BH221" s="31"/>
      <c r="BI221" s="31"/>
      <c r="BJ221" s="31"/>
      <c r="BK221" s="31"/>
      <c r="BL221" s="31"/>
      <c r="BM221" s="31"/>
      <c r="BN221" s="31"/>
      <c r="BO221" s="31"/>
      <c r="BP221" s="31"/>
      <c r="BQ221" s="31"/>
      <c r="BR221" s="31"/>
      <c r="BS221" s="31"/>
      <c r="BT221" s="31"/>
      <c r="BU221" s="31"/>
      <c r="BV221" s="31"/>
      <c r="BW221" s="31"/>
      <c r="BX221" s="31"/>
      <c r="BY221" s="31"/>
      <c r="BZ221" s="31"/>
      <c r="CA221" s="31"/>
      <c r="CB221" s="31"/>
      <c r="CC221" s="31"/>
      <c r="CD221" s="31"/>
      <c r="CE221" s="31"/>
      <c r="CF221" s="31"/>
      <c r="CG221" s="31"/>
      <c r="CH221" s="31"/>
      <c r="CI221" s="31"/>
      <c r="CJ221" s="31"/>
      <c r="CK221" s="31"/>
      <c r="CL221" s="31"/>
      <c r="CM221" s="31"/>
      <c r="CN221" s="31"/>
      <c r="CO221" s="31"/>
      <c r="CP221" s="31"/>
      <c r="CQ221" s="31"/>
      <c r="CR221" s="31"/>
      <c r="CS221" s="31"/>
      <c r="CT221" s="31"/>
      <c r="CU221" s="31"/>
      <c r="CV221" s="31"/>
      <c r="CW221" s="31"/>
      <c r="CX221" s="31"/>
      <c r="CY221" s="31"/>
      <c r="CZ221" s="31"/>
      <c r="DA221" s="31"/>
      <c r="DB221" s="31"/>
      <c r="DC221" s="31"/>
      <c r="DD221" s="31"/>
      <c r="DE221" s="31"/>
      <c r="DF221" s="31"/>
      <c r="DG221" s="31"/>
      <c r="DH221" s="31"/>
      <c r="DI221" s="31"/>
      <c r="DJ221" s="31"/>
      <c r="DK221" s="31"/>
      <c r="DL221" s="31"/>
      <c r="DM221" s="31"/>
      <c r="DN221" s="31"/>
      <c r="DO221" s="31"/>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c r="EX221" s="31"/>
      <c r="EY221" s="31"/>
      <c r="EZ221" s="31"/>
      <c r="FA221" s="31"/>
      <c r="FB221" s="31"/>
      <c r="FC221" s="31"/>
      <c r="FD221" s="31"/>
      <c r="FE221" s="31"/>
      <c r="FF221" s="31"/>
      <c r="FG221" s="31"/>
      <c r="FH221" s="31"/>
      <c r="FI221" s="31"/>
      <c r="FJ221" s="31"/>
      <c r="FK221" s="31"/>
      <c r="FL221" s="31"/>
      <c r="FM221" s="31"/>
      <c r="FN221" s="31"/>
      <c r="FO221" s="31"/>
      <c r="FP221" s="31"/>
      <c r="FQ221" s="31"/>
      <c r="FR221" s="31"/>
      <c r="FS221" s="31"/>
      <c r="FT221" s="31"/>
      <c r="FU221" s="31"/>
      <c r="FV221" s="31"/>
      <c r="FW221" s="31"/>
      <c r="FX221" s="31"/>
      <c r="FY221" s="31"/>
      <c r="FZ221" s="31"/>
      <c r="GA221" s="31"/>
      <c r="GB221" s="31"/>
      <c r="GC221" s="31"/>
      <c r="GD221" s="31"/>
      <c r="GE221" s="31"/>
      <c r="GF221" s="31"/>
      <c r="GG221" s="31"/>
      <c r="GH221" s="31"/>
      <c r="GI221" s="31"/>
      <c r="GJ221" s="31"/>
      <c r="GK221" s="31"/>
      <c r="GL221" s="31"/>
      <c r="GM221" s="31"/>
      <c r="GN221" s="31"/>
      <c r="GO221" s="31"/>
      <c r="GP221" s="31"/>
      <c r="GQ221" s="31"/>
      <c r="GR221" s="31"/>
      <c r="GS221" s="31"/>
      <c r="GT221" s="31"/>
      <c r="GU221" s="31"/>
      <c r="GV221" s="31"/>
      <c r="GW221" s="31"/>
      <c r="GX221" s="31"/>
      <c r="GY221" s="31"/>
      <c r="GZ221" s="31"/>
      <c r="HA221" s="31"/>
      <c r="HB221" s="31"/>
      <c r="HC221" s="31"/>
      <c r="HD221" s="31"/>
      <c r="HE221" s="31"/>
      <c r="HF221" s="31"/>
      <c r="HG221" s="31"/>
      <c r="HH221" s="31"/>
      <c r="HI221" s="31"/>
      <c r="HJ221" s="31"/>
      <c r="HK221" s="31"/>
      <c r="HL221" s="31"/>
      <c r="HM221" s="31"/>
      <c r="HN221" s="31"/>
      <c r="HO221" s="31"/>
      <c r="HP221" s="31"/>
      <c r="HQ221" s="31"/>
      <c r="HR221" s="31"/>
      <c r="HS221" s="31"/>
      <c r="HT221" s="31"/>
      <c r="HU221" s="31"/>
      <c r="HV221" s="31"/>
      <c r="HW221" s="31"/>
      <c r="HX221" s="31"/>
      <c r="HY221" s="31"/>
      <c r="HZ221" s="31"/>
      <c r="IA221" s="31"/>
      <c r="IB221" s="31"/>
      <c r="IC221" s="31"/>
      <c r="ID221" s="31"/>
      <c r="IE221" s="31"/>
      <c r="IF221" s="31"/>
      <c r="IG221" s="31"/>
      <c r="IH221" s="31"/>
      <c r="II221" s="31"/>
      <c r="IJ221" s="31"/>
      <c r="IK221" s="31"/>
      <c r="IL221" s="31"/>
      <c r="IM221" s="31"/>
      <c r="IN221" s="31"/>
      <c r="IO221" s="31"/>
      <c r="IP221" s="31"/>
      <c r="IQ221" s="31"/>
      <c r="IR221" s="31"/>
      <c r="IS221" s="31"/>
      <c r="IT221" s="31"/>
      <c r="IU221" s="31"/>
      <c r="IV221" s="31"/>
      <c r="IW221" s="31"/>
      <c r="IX221" s="31"/>
      <c r="IY221" s="31"/>
      <c r="IZ221" s="31"/>
      <c r="JA221" s="31"/>
      <c r="JB221" s="31"/>
      <c r="JC221" s="31"/>
      <c r="JD221" s="31"/>
      <c r="JE221" s="31"/>
      <c r="JF221" s="31"/>
      <c r="JG221" s="31"/>
      <c r="JH221" s="31"/>
      <c r="JI221" s="31"/>
      <c r="JJ221" s="31"/>
      <c r="JK221" s="31"/>
      <c r="JL221" s="31"/>
      <c r="JM221" s="31"/>
      <c r="JN221" s="31"/>
      <c r="JO221" s="31"/>
      <c r="JP221" s="31"/>
      <c r="JQ221" s="31"/>
      <c r="JR221" s="31"/>
      <c r="JS221" s="31"/>
      <c r="JT221" s="31"/>
      <c r="JU221" s="31"/>
      <c r="JV221" s="31"/>
      <c r="JW221" s="31"/>
      <c r="JX221" s="31"/>
      <c r="JY221" s="31"/>
      <c r="JZ221" s="31"/>
      <c r="KA221" s="31"/>
      <c r="KB221" s="31"/>
      <c r="KC221" s="31"/>
      <c r="KD221" s="31"/>
      <c r="KE221" s="31"/>
      <c r="KF221" s="31"/>
      <c r="KG221" s="31"/>
      <c r="KH221" s="31"/>
      <c r="KI221" s="31"/>
      <c r="KJ221" s="31"/>
      <c r="KK221" s="31"/>
      <c r="KL221" s="31"/>
      <c r="KM221" s="31"/>
      <c r="KN221" s="31"/>
      <c r="KO221" s="31"/>
      <c r="KP221" s="31"/>
      <c r="KQ221" s="31"/>
      <c r="KR221" s="31"/>
      <c r="KS221" s="31"/>
      <c r="KT221" s="31"/>
      <c r="KU221" s="31"/>
      <c r="KV221" s="31"/>
      <c r="KW221" s="31"/>
      <c r="KX221" s="31"/>
      <c r="KY221" s="31"/>
      <c r="KZ221" s="31"/>
      <c r="LA221" s="31"/>
      <c r="LB221" s="31"/>
      <c r="LC221" s="31"/>
      <c r="LD221" s="31"/>
      <c r="LE221" s="31"/>
      <c r="LF221" s="31"/>
      <c r="LG221" s="31"/>
      <c r="LH221" s="31"/>
      <c r="LI221" s="31"/>
      <c r="LJ221" s="31"/>
      <c r="LK221" s="31"/>
      <c r="LL221" s="31"/>
      <c r="LM221" s="31"/>
      <c r="LN221" s="31"/>
      <c r="LO221" s="31"/>
      <c r="LP221" s="31"/>
      <c r="LQ221" s="31"/>
      <c r="LR221" s="31"/>
      <c r="LS221" s="31"/>
      <c r="LT221" s="31"/>
      <c r="LU221" s="31"/>
      <c r="LV221" s="31"/>
      <c r="LW221" s="31"/>
      <c r="LX221" s="31"/>
      <c r="LY221" s="31"/>
      <c r="LZ221" s="31"/>
      <c r="MA221" s="31"/>
      <c r="MB221" s="31"/>
      <c r="MC221" s="31"/>
      <c r="MD221" s="31"/>
      <c r="ME221" s="31"/>
      <c r="MF221" s="31"/>
      <c r="MG221" s="31"/>
      <c r="MH221" s="31"/>
      <c r="MI221" s="31"/>
      <c r="MJ221" s="31"/>
      <c r="MK221" s="31"/>
      <c r="ML221" s="31"/>
      <c r="MM221" s="31"/>
      <c r="MN221" s="31"/>
      <c r="MO221" s="31"/>
      <c r="MP221" s="31"/>
      <c r="MQ221" s="31"/>
      <c r="MR221" s="31"/>
      <c r="MS221" s="31"/>
      <c r="MT221" s="31"/>
      <c r="MU221" s="31"/>
      <c r="MV221" s="31"/>
      <c r="MW221" s="31"/>
      <c r="MX221" s="31"/>
      <c r="MY221" s="31"/>
      <c r="MZ221" s="31"/>
      <c r="NA221" s="31"/>
      <c r="NB221" s="31"/>
      <c r="NC221" s="31"/>
      <c r="ND221" s="31"/>
      <c r="NE221" s="31"/>
      <c r="NF221" s="31"/>
      <c r="NG221" s="31"/>
      <c r="NH221" s="31"/>
      <c r="NI221" s="31"/>
      <c r="NJ221" s="31"/>
      <c r="NK221" s="31"/>
      <c r="NL221" s="31"/>
      <c r="NM221" s="31"/>
      <c r="NN221" s="31"/>
      <c r="NO221" s="31"/>
      <c r="NP221" s="31"/>
      <c r="NQ221" s="31"/>
      <c r="NR221" s="31"/>
      <c r="NS221" s="31"/>
      <c r="NT221" s="31"/>
      <c r="NU221" s="31"/>
      <c r="NV221" s="31"/>
      <c r="NW221" s="31"/>
      <c r="NX221" s="31"/>
      <c r="NY221" s="31"/>
      <c r="NZ221" s="31"/>
      <c r="OA221" s="31"/>
      <c r="OB221" s="31"/>
      <c r="OC221" s="31"/>
      <c r="OD221" s="31"/>
      <c r="OE221" s="31"/>
      <c r="OF221" s="31"/>
      <c r="OG221" s="31"/>
      <c r="OH221" s="31"/>
      <c r="OI221" s="31"/>
      <c r="OJ221" s="31"/>
      <c r="OK221" s="31"/>
      <c r="OL221" s="31"/>
      <c r="OM221" s="31"/>
      <c r="ON221" s="31"/>
      <c r="OO221" s="31"/>
      <c r="OP221" s="31"/>
      <c r="OQ221" s="31"/>
      <c r="OR221" s="31"/>
      <c r="OS221" s="31"/>
      <c r="OT221" s="31"/>
      <c r="OU221" s="31"/>
      <c r="OV221" s="31"/>
      <c r="OW221" s="31"/>
      <c r="OX221" s="31"/>
      <c r="OY221" s="31"/>
      <c r="OZ221" s="31"/>
      <c r="PA221" s="31"/>
      <c r="PB221" s="31"/>
      <c r="PC221" s="31"/>
      <c r="PD221" s="31"/>
      <c r="PE221" s="31"/>
      <c r="PF221" s="31"/>
      <c r="PG221" s="31"/>
      <c r="PH221" s="31"/>
      <c r="PI221" s="31"/>
      <c r="PJ221" s="31"/>
      <c r="PK221" s="31"/>
      <c r="PL221" s="31"/>
      <c r="PM221" s="31"/>
      <c r="PN221" s="31"/>
      <c r="PO221" s="31"/>
      <c r="PP221" s="31"/>
      <c r="PQ221" s="31"/>
      <c r="PR221" s="31"/>
      <c r="PS221" s="31"/>
      <c r="PT221" s="31"/>
      <c r="PU221" s="31"/>
      <c r="PV221" s="31"/>
      <c r="PW221" s="31"/>
      <c r="PX221" s="31"/>
      <c r="PY221" s="31"/>
      <c r="PZ221" s="31"/>
      <c r="QA221" s="31"/>
      <c r="QB221" s="31"/>
      <c r="QC221" s="31"/>
      <c r="QD221" s="31"/>
      <c r="QE221" s="31"/>
      <c r="QF221" s="31"/>
      <c r="QG221" s="31"/>
      <c r="QH221" s="31"/>
      <c r="QI221" s="31"/>
      <c r="QJ221" s="31"/>
      <c r="QK221" s="31"/>
      <c r="QL221" s="31"/>
      <c r="QM221" s="31"/>
      <c r="QN221" s="31"/>
      <c r="QO221" s="31"/>
      <c r="QP221" s="31"/>
      <c r="QQ221" s="31"/>
      <c r="QR221" s="31"/>
      <c r="QS221" s="31"/>
      <c r="QT221" s="31"/>
      <c r="QU221" s="31"/>
      <c r="QV221" s="31"/>
      <c r="QW221" s="31"/>
      <c r="QX221" s="31"/>
      <c r="QY221" s="31"/>
      <c r="QZ221" s="31"/>
      <c r="RA221" s="31"/>
      <c r="RB221" s="31"/>
      <c r="RC221" s="31"/>
      <c r="RD221" s="31"/>
      <c r="RE221" s="31"/>
      <c r="RF221" s="31"/>
      <c r="RG221" s="31"/>
      <c r="RH221" s="31"/>
      <c r="RI221" s="31"/>
      <c r="RJ221" s="31"/>
      <c r="RK221" s="31"/>
      <c r="RL221" s="31"/>
      <c r="RM221" s="31"/>
      <c r="RN221" s="31"/>
      <c r="RO221" s="31"/>
      <c r="RP221" s="31"/>
      <c r="RQ221" s="31"/>
      <c r="RR221" s="31"/>
      <c r="RS221" s="31"/>
      <c r="RT221" s="31"/>
      <c r="RU221" s="31"/>
      <c r="RV221" s="31"/>
      <c r="RW221" s="31"/>
      <c r="RX221" s="31"/>
      <c r="RY221" s="31"/>
      <c r="RZ221" s="31"/>
      <c r="SA221" s="31"/>
      <c r="SB221" s="31"/>
      <c r="SC221" s="31"/>
      <c r="SD221" s="31"/>
      <c r="SE221" s="31"/>
      <c r="SF221" s="31"/>
      <c r="SG221" s="31"/>
      <c r="SH221" s="31"/>
      <c r="SI221" s="31"/>
      <c r="SJ221" s="31"/>
      <c r="SK221" s="31"/>
      <c r="SL221" s="31"/>
      <c r="SM221" s="31"/>
      <c r="SN221" s="31"/>
      <c r="SO221" s="31"/>
      <c r="SP221" s="31"/>
      <c r="SQ221" s="31"/>
      <c r="SR221" s="31"/>
      <c r="SS221" s="31"/>
      <c r="ST221" s="31"/>
      <c r="SU221" s="31"/>
      <c r="SV221" s="31"/>
      <c r="SW221" s="31"/>
      <c r="SX221" s="31"/>
      <c r="SY221" s="31"/>
      <c r="SZ221" s="31"/>
      <c r="TA221" s="31"/>
      <c r="TB221" s="31"/>
      <c r="TC221" s="31"/>
      <c r="TD221" s="31"/>
      <c r="TE221" s="31"/>
      <c r="TF221" s="31"/>
      <c r="TG221" s="31"/>
      <c r="TH221" s="31"/>
      <c r="TI221" s="31"/>
      <c r="TJ221" s="31"/>
      <c r="TK221" s="31"/>
      <c r="TL221" s="31"/>
      <c r="TM221" s="31"/>
      <c r="TN221" s="31"/>
      <c r="TO221" s="31"/>
      <c r="TP221" s="31"/>
      <c r="TQ221" s="31"/>
      <c r="TR221" s="31"/>
      <c r="TS221" s="31"/>
      <c r="TT221" s="31"/>
      <c r="TU221" s="31"/>
      <c r="TV221" s="31"/>
      <c r="TW221" s="31"/>
      <c r="TX221" s="31"/>
      <c r="TY221" s="31"/>
      <c r="TZ221" s="31"/>
      <c r="UA221" s="31"/>
      <c r="UB221" s="31"/>
      <c r="UC221" s="31"/>
      <c r="UD221" s="31"/>
      <c r="UE221" s="31"/>
      <c r="UF221" s="31"/>
      <c r="UG221" s="31"/>
      <c r="UH221" s="31"/>
      <c r="UI221" s="31"/>
      <c r="UJ221" s="31"/>
      <c r="UK221" s="31"/>
      <c r="UL221" s="31"/>
      <c r="UM221" s="31"/>
      <c r="UN221" s="31"/>
      <c r="UO221" s="31"/>
      <c r="UP221" s="31"/>
      <c r="UQ221" s="31"/>
      <c r="UR221" s="31"/>
      <c r="US221" s="31"/>
      <c r="UT221" s="31"/>
      <c r="UU221" s="31"/>
      <c r="UV221" s="31"/>
      <c r="UW221" s="31"/>
      <c r="UX221" s="31"/>
      <c r="UY221" s="31"/>
      <c r="UZ221" s="31"/>
      <c r="VA221" s="31"/>
      <c r="VB221" s="31"/>
      <c r="VC221" s="31"/>
      <c r="VD221" s="31"/>
      <c r="VE221" s="31"/>
      <c r="VF221" s="31"/>
      <c r="VG221" s="31"/>
      <c r="VH221" s="31"/>
      <c r="VI221" s="31"/>
      <c r="VJ221" s="31"/>
      <c r="VK221" s="31"/>
      <c r="VL221" s="31"/>
      <c r="VM221" s="31"/>
      <c r="VN221" s="31"/>
      <c r="VO221" s="31"/>
      <c r="VP221" s="31"/>
      <c r="VQ221" s="31"/>
      <c r="VR221" s="31"/>
      <c r="VS221" s="31"/>
      <c r="VT221" s="31"/>
      <c r="VU221" s="31"/>
      <c r="VV221" s="31"/>
      <c r="VW221" s="31"/>
      <c r="VX221" s="31"/>
      <c r="VY221" s="31"/>
      <c r="VZ221" s="31"/>
      <c r="WA221" s="31"/>
      <c r="WB221" s="31"/>
      <c r="WC221" s="31"/>
      <c r="WD221" s="31"/>
      <c r="WE221" s="31"/>
      <c r="WF221" s="31"/>
      <c r="WG221" s="31"/>
      <c r="WH221" s="31"/>
      <c r="WI221" s="31"/>
      <c r="WJ221" s="31"/>
      <c r="WK221" s="31"/>
      <c r="WL221" s="31"/>
      <c r="WM221" s="31"/>
      <c r="WN221" s="31"/>
      <c r="WO221" s="31"/>
      <c r="WP221" s="31"/>
      <c r="WQ221" s="31"/>
      <c r="WR221" s="31"/>
      <c r="WS221" s="31"/>
      <c r="WT221" s="31"/>
      <c r="WU221" s="31"/>
      <c r="WV221" s="31"/>
      <c r="WW221" s="31"/>
      <c r="WX221" s="31"/>
      <c r="WY221" s="31"/>
      <c r="WZ221" s="31"/>
      <c r="XA221" s="31"/>
      <c r="XB221" s="31"/>
      <c r="XC221" s="31"/>
      <c r="XD221" s="31"/>
      <c r="XE221" s="31"/>
      <c r="XF221" s="31"/>
      <c r="XG221" s="31"/>
      <c r="XH221" s="31"/>
      <c r="XI221" s="31"/>
      <c r="XJ221" s="31"/>
      <c r="XK221" s="31"/>
      <c r="XL221" s="31"/>
      <c r="XM221" s="31"/>
      <c r="XN221" s="31"/>
      <c r="XO221" s="31"/>
      <c r="XP221" s="31"/>
      <c r="XQ221" s="31"/>
      <c r="XR221" s="31"/>
      <c r="XS221" s="31"/>
      <c r="XT221" s="31"/>
      <c r="XU221" s="31"/>
      <c r="XV221" s="31"/>
      <c r="XW221" s="31"/>
      <c r="XX221" s="31"/>
      <c r="XY221" s="31"/>
      <c r="XZ221" s="31"/>
      <c r="YA221" s="31"/>
      <c r="YB221" s="31"/>
      <c r="YC221" s="31"/>
      <c r="YD221" s="31"/>
      <c r="YE221" s="31"/>
      <c r="YF221" s="31"/>
      <c r="YG221" s="31"/>
      <c r="YH221" s="31"/>
      <c r="YI221" s="31"/>
      <c r="YJ221" s="31"/>
      <c r="YK221" s="31"/>
      <c r="YL221" s="31"/>
      <c r="YM221" s="31"/>
      <c r="YN221" s="31"/>
      <c r="YO221" s="31"/>
      <c r="YP221" s="31"/>
      <c r="YQ221" s="31"/>
      <c r="YR221" s="31"/>
      <c r="YS221" s="31"/>
      <c r="YT221" s="31"/>
      <c r="YU221" s="31"/>
      <c r="YV221" s="31"/>
      <c r="YW221" s="31"/>
      <c r="YX221" s="31"/>
      <c r="YY221" s="31"/>
      <c r="YZ221" s="31"/>
      <c r="ZA221" s="31"/>
      <c r="ZB221" s="31"/>
      <c r="ZC221" s="31"/>
      <c r="ZD221" s="31"/>
      <c r="ZE221" s="31"/>
      <c r="ZF221" s="31"/>
      <c r="ZG221" s="31"/>
      <c r="ZH221" s="31"/>
      <c r="ZI221" s="31"/>
      <c r="ZJ221" s="31"/>
      <c r="ZK221" s="31"/>
      <c r="ZL221" s="31"/>
      <c r="ZM221" s="31"/>
      <c r="ZN221" s="31"/>
      <c r="ZO221" s="31"/>
      <c r="ZP221" s="31"/>
      <c r="ZQ221" s="31"/>
      <c r="ZR221" s="31"/>
      <c r="ZS221" s="31"/>
      <c r="ZT221" s="31"/>
      <c r="ZU221" s="31"/>
      <c r="ZV221" s="31"/>
      <c r="ZW221" s="31"/>
      <c r="ZX221" s="31"/>
      <c r="ZY221" s="31"/>
      <c r="ZZ221" s="31"/>
      <c r="AAA221" s="31"/>
      <c r="AAB221" s="31"/>
      <c r="AAC221" s="31"/>
      <c r="AAD221" s="31"/>
      <c r="AAE221" s="31"/>
      <c r="AAF221" s="31"/>
      <c r="AAG221" s="31"/>
      <c r="AAH221" s="31"/>
      <c r="AAI221" s="31"/>
      <c r="AAJ221" s="31"/>
      <c r="AAK221" s="31"/>
      <c r="AAL221" s="31"/>
      <c r="AAM221" s="31"/>
      <c r="AAN221" s="31"/>
      <c r="AAO221" s="31"/>
      <c r="AAP221" s="31"/>
      <c r="AAQ221" s="31"/>
      <c r="AAR221" s="31"/>
      <c r="AAS221" s="31"/>
      <c r="AAT221" s="31"/>
      <c r="AAU221" s="31"/>
      <c r="AAV221" s="31"/>
      <c r="AAW221" s="31"/>
      <c r="AAX221" s="31"/>
      <c r="AAY221" s="31"/>
      <c r="AAZ221" s="31"/>
      <c r="ABA221" s="31"/>
      <c r="ABB221" s="31"/>
      <c r="ABC221" s="31"/>
      <c r="ABD221" s="31"/>
      <c r="ABE221" s="31"/>
      <c r="ABF221" s="31"/>
      <c r="ABG221" s="31"/>
      <c r="ABH221" s="31"/>
      <c r="ABI221" s="31"/>
      <c r="ABJ221" s="31"/>
      <c r="ABK221" s="31"/>
      <c r="ABL221" s="31"/>
      <c r="ABM221" s="31"/>
      <c r="ABN221" s="31"/>
      <c r="ABO221" s="31"/>
      <c r="ABP221" s="31"/>
      <c r="ABQ221" s="31"/>
      <c r="ABR221" s="31"/>
      <c r="ABS221" s="31"/>
      <c r="ABT221" s="31"/>
      <c r="ABU221" s="31"/>
      <c r="ABV221" s="31"/>
      <c r="ABW221" s="31"/>
      <c r="ABX221" s="31"/>
      <c r="ABY221" s="31"/>
      <c r="ABZ221" s="31"/>
      <c r="ACA221" s="31"/>
      <c r="ACB221" s="31"/>
      <c r="ACC221" s="31"/>
      <c r="ACD221" s="31"/>
      <c r="ACE221" s="31"/>
      <c r="ACF221" s="31"/>
      <c r="ACG221" s="31"/>
      <c r="ACH221" s="31"/>
      <c r="ACI221" s="31"/>
      <c r="ACJ221" s="31"/>
      <c r="ACK221" s="31"/>
      <c r="ACL221" s="31"/>
      <c r="ACM221" s="31"/>
      <c r="ACN221" s="31"/>
      <c r="ACO221" s="31"/>
      <c r="ACP221" s="31"/>
      <c r="ACQ221" s="31"/>
      <c r="ACR221" s="31"/>
      <c r="ACS221" s="31"/>
      <c r="ACT221" s="31"/>
      <c r="ACU221" s="31"/>
      <c r="ACV221" s="31"/>
      <c r="ACW221" s="31"/>
      <c r="ACX221" s="31"/>
      <c r="ACY221" s="31"/>
      <c r="ACZ221" s="31"/>
      <c r="ADA221" s="31"/>
      <c r="ADB221" s="31"/>
      <c r="ADC221" s="31"/>
      <c r="ADD221" s="31"/>
      <c r="ADE221" s="31"/>
      <c r="ADF221" s="31"/>
      <c r="ADG221" s="31"/>
      <c r="ADH221" s="31"/>
      <c r="ADI221" s="31"/>
      <c r="ADJ221" s="31"/>
      <c r="ADK221" s="31"/>
      <c r="ADL221" s="31"/>
      <c r="ADM221" s="31"/>
      <c r="ADN221" s="31"/>
      <c r="ADO221" s="31"/>
      <c r="ADP221" s="31"/>
      <c r="ADQ221" s="31"/>
      <c r="ADR221" s="31"/>
      <c r="ADS221" s="31"/>
      <c r="ADT221" s="31"/>
      <c r="ADU221" s="31"/>
      <c r="ADV221" s="31"/>
      <c r="ADW221" s="31"/>
      <c r="ADX221" s="31"/>
      <c r="ADY221" s="31"/>
      <c r="ADZ221" s="31"/>
      <c r="AEA221" s="31"/>
      <c r="AEB221" s="31"/>
      <c r="AEC221" s="31"/>
      <c r="AED221" s="31"/>
      <c r="AEE221" s="31"/>
      <c r="AEF221" s="31"/>
      <c r="AEG221" s="31"/>
      <c r="AEH221" s="31"/>
      <c r="AEI221" s="31"/>
      <c r="AEJ221" s="31"/>
      <c r="AEK221" s="31"/>
      <c r="AEL221" s="31"/>
      <c r="AEM221" s="31"/>
      <c r="AEN221" s="31"/>
      <c r="AEO221" s="31"/>
      <c r="AEP221" s="31"/>
      <c r="AEQ221" s="31"/>
      <c r="AER221" s="31"/>
      <c r="AES221" s="31"/>
      <c r="AET221" s="31"/>
      <c r="AEU221" s="31"/>
      <c r="AEV221" s="31"/>
      <c r="AEW221" s="31"/>
      <c r="AEX221" s="31"/>
      <c r="AEY221" s="31"/>
      <c r="AEZ221" s="31"/>
      <c r="AFA221" s="31"/>
      <c r="AFB221" s="31"/>
      <c r="AFC221" s="31"/>
      <c r="AFD221" s="31"/>
      <c r="AFE221" s="31"/>
      <c r="AFF221" s="31"/>
      <c r="AFG221" s="31"/>
      <c r="AFH221" s="31"/>
      <c r="AFI221" s="31"/>
      <c r="AFJ221" s="31"/>
      <c r="AFK221" s="31"/>
      <c r="AFL221" s="31"/>
      <c r="AFM221" s="31"/>
      <c r="AFN221" s="31"/>
      <c r="AFO221" s="31"/>
      <c r="AFP221" s="31"/>
      <c r="AFQ221" s="31"/>
      <c r="AFR221" s="31"/>
      <c r="AFS221" s="31"/>
      <c r="AFT221" s="31"/>
      <c r="AFU221" s="31"/>
      <c r="AFV221" s="31"/>
      <c r="AFW221" s="31"/>
      <c r="AFX221" s="31"/>
      <c r="AFY221" s="31"/>
      <c r="AFZ221" s="31"/>
      <c r="AGA221" s="31"/>
      <c r="AGB221" s="31"/>
      <c r="AGC221" s="31"/>
      <c r="AGD221" s="31"/>
      <c r="AGE221" s="31"/>
      <c r="AGF221" s="31"/>
      <c r="AGG221" s="31"/>
      <c r="AGH221" s="31"/>
      <c r="AGI221" s="31"/>
      <c r="AGJ221" s="31"/>
      <c r="AGK221" s="31"/>
      <c r="AGL221" s="31"/>
      <c r="AGM221" s="31"/>
      <c r="AGN221" s="31"/>
      <c r="AGO221" s="31"/>
      <c r="AGP221" s="31"/>
      <c r="AGQ221" s="31"/>
      <c r="AGR221" s="31"/>
      <c r="AGS221" s="31"/>
      <c r="AGT221" s="31"/>
      <c r="AGU221" s="31"/>
      <c r="AGV221" s="31"/>
      <c r="AGW221" s="31"/>
      <c r="AGX221" s="31"/>
      <c r="AGY221" s="31"/>
      <c r="AGZ221" s="31"/>
      <c r="AHA221" s="31"/>
      <c r="AHB221" s="31"/>
      <c r="AHC221" s="31"/>
      <c r="AHD221" s="31"/>
      <c r="AHE221" s="31"/>
      <c r="AHF221" s="31"/>
      <c r="AHG221" s="31"/>
      <c r="AHH221" s="31"/>
      <c r="AHI221" s="31"/>
      <c r="AHJ221" s="31"/>
      <c r="AHK221" s="31"/>
      <c r="AHL221" s="31"/>
      <c r="AHM221" s="31"/>
      <c r="AHN221" s="31"/>
      <c r="AHO221" s="31"/>
      <c r="AHP221" s="31"/>
      <c r="AHQ221" s="31"/>
      <c r="AHR221" s="31"/>
      <c r="AHS221" s="31"/>
      <c r="AHT221" s="31"/>
      <c r="AHU221" s="31"/>
      <c r="AHV221" s="31"/>
      <c r="AHW221" s="31"/>
      <c r="AHX221" s="31"/>
      <c r="AHY221" s="31"/>
      <c r="AHZ221" s="31"/>
      <c r="AIA221" s="31"/>
      <c r="AIB221" s="31"/>
      <c r="AIC221" s="31"/>
      <c r="AID221" s="31"/>
      <c r="AIE221" s="31"/>
      <c r="AIF221" s="31"/>
      <c r="AIG221" s="31"/>
      <c r="AIH221" s="31"/>
      <c r="AII221" s="31"/>
      <c r="AIJ221" s="31"/>
      <c r="AIK221" s="31"/>
      <c r="AIL221" s="31"/>
      <c r="AIM221" s="31"/>
      <c r="AIN221" s="31"/>
      <c r="AIO221" s="31"/>
      <c r="AIP221" s="31"/>
      <c r="AIQ221" s="31"/>
      <c r="AIR221" s="31"/>
      <c r="AIS221" s="31"/>
      <c r="AIT221" s="31"/>
      <c r="AIU221" s="31"/>
      <c r="AIV221" s="31"/>
      <c r="AIW221" s="31"/>
      <c r="AIX221" s="31"/>
      <c r="AIY221" s="31"/>
      <c r="AIZ221" s="31"/>
      <c r="AJA221" s="31"/>
      <c r="AJB221" s="31"/>
      <c r="AJC221" s="31"/>
      <c r="AJD221" s="31"/>
      <c r="AJE221" s="31"/>
      <c r="AJF221" s="31"/>
      <c r="AJG221" s="31"/>
      <c r="AJH221" s="31"/>
      <c r="AJI221" s="31"/>
      <c r="AJJ221" s="31"/>
      <c r="AJK221" s="31"/>
      <c r="AJL221" s="31"/>
      <c r="AJM221" s="31"/>
      <c r="AJN221" s="31"/>
      <c r="AJO221" s="31"/>
      <c r="AJP221" s="31"/>
      <c r="AJQ221" s="31"/>
      <c r="AJR221" s="31"/>
      <c r="AJS221" s="31"/>
      <c r="AJT221" s="31"/>
      <c r="AJU221" s="31"/>
      <c r="AJV221" s="31"/>
      <c r="AJW221" s="31"/>
      <c r="AJX221" s="31"/>
      <c r="AJY221" s="31"/>
      <c r="AJZ221" s="31"/>
      <c r="AKA221" s="31"/>
      <c r="AKB221" s="31"/>
      <c r="AKC221" s="31"/>
      <c r="AKD221" s="31"/>
      <c r="AKE221" s="31"/>
      <c r="AKF221" s="31"/>
      <c r="AKG221" s="31"/>
      <c r="AKH221" s="31"/>
      <c r="AKI221" s="31"/>
      <c r="AKJ221" s="31"/>
      <c r="AKK221" s="31"/>
      <c r="AKL221" s="31"/>
      <c r="AKM221" s="31"/>
      <c r="AKN221" s="31"/>
      <c r="AKO221" s="31"/>
      <c r="AKP221" s="31"/>
      <c r="AKQ221" s="31"/>
      <c r="AKR221" s="31"/>
      <c r="AKS221" s="31"/>
      <c r="AKT221" s="31"/>
      <c r="AKU221" s="31"/>
      <c r="AKV221" s="31"/>
      <c r="AKW221" s="31"/>
      <c r="AKX221" s="31"/>
      <c r="AKY221" s="31"/>
      <c r="AKZ221" s="31"/>
      <c r="ALA221" s="31"/>
      <c r="ALB221" s="31"/>
      <c r="ALC221" s="31"/>
      <c r="ALD221" s="31"/>
      <c r="ALE221" s="31"/>
      <c r="ALF221" s="31"/>
      <c r="ALG221" s="31"/>
      <c r="ALH221" s="31"/>
      <c r="ALI221" s="31"/>
      <c r="ALJ221" s="31"/>
      <c r="ALK221" s="31"/>
      <c r="ALL221" s="31"/>
      <c r="ALM221" s="31"/>
      <c r="ALN221" s="31"/>
      <c r="ALO221" s="31"/>
      <c r="ALP221" s="31"/>
      <c r="ALQ221" s="31"/>
      <c r="ALR221" s="31"/>
      <c r="ALS221" s="31"/>
      <c r="ALT221" s="31"/>
      <c r="ALU221" s="31"/>
      <c r="ALV221" s="31"/>
      <c r="ALW221" s="31"/>
      <c r="ALX221" s="31"/>
      <c r="ALY221" s="31"/>
      <c r="ALZ221" s="31"/>
      <c r="AMA221" s="31"/>
      <c r="AMB221" s="31"/>
      <c r="AMC221" s="31"/>
      <c r="AMD221" s="31"/>
      <c r="AME221" s="31"/>
      <c r="AMF221" s="31"/>
      <c r="AMG221" s="31"/>
      <c r="AMH221" s="31"/>
      <c r="AMI221" s="31"/>
      <c r="AMJ221" s="31"/>
      <c r="AMK221" s="31"/>
      <c r="AML221" s="31"/>
      <c r="AMM221" s="31"/>
      <c r="AMN221" s="31"/>
      <c r="AMO221" s="31"/>
      <c r="AMP221" s="31"/>
      <c r="AMQ221" s="31"/>
      <c r="AMR221" s="31"/>
      <c r="AMS221" s="31"/>
      <c r="AMT221" s="31"/>
      <c r="AMU221" s="31"/>
      <c r="AMV221" s="31"/>
      <c r="AMW221" s="31"/>
      <c r="AMX221" s="31"/>
      <c r="AMY221" s="31"/>
      <c r="AMZ221" s="31"/>
      <c r="ANA221" s="31"/>
      <c r="ANB221" s="31"/>
      <c r="ANC221" s="31"/>
      <c r="AND221" s="31"/>
      <c r="ANE221" s="31"/>
      <c r="ANF221" s="31"/>
      <c r="ANG221" s="31"/>
      <c r="ANH221" s="31"/>
      <c r="ANI221" s="31"/>
      <c r="ANJ221" s="31"/>
      <c r="ANK221" s="31"/>
      <c r="ANL221" s="31"/>
      <c r="ANM221" s="31"/>
      <c r="ANN221" s="31"/>
      <c r="ANO221" s="31"/>
      <c r="ANP221" s="31"/>
      <c r="ANQ221" s="31"/>
      <c r="ANR221" s="31"/>
      <c r="ANS221" s="31"/>
      <c r="ANT221" s="31"/>
      <c r="ANU221" s="31"/>
      <c r="ANV221" s="31"/>
      <c r="ANW221" s="31"/>
      <c r="ANX221" s="31"/>
      <c r="ANY221" s="31"/>
      <c r="ANZ221" s="31"/>
      <c r="AOA221" s="31"/>
      <c r="AOB221" s="31"/>
      <c r="AOC221" s="31"/>
      <c r="AOD221" s="31"/>
      <c r="AOE221" s="31"/>
      <c r="AOF221" s="31"/>
      <c r="AOG221" s="31"/>
      <c r="AOH221" s="31"/>
      <c r="AOI221" s="31"/>
      <c r="AOJ221" s="31"/>
      <c r="AOK221" s="31"/>
      <c r="AOL221" s="31"/>
      <c r="AOM221" s="31"/>
      <c r="AON221" s="31"/>
      <c r="AOO221" s="31"/>
      <c r="AOP221" s="31"/>
      <c r="AOQ221" s="31"/>
      <c r="AOR221" s="31"/>
      <c r="AOS221" s="31"/>
      <c r="AOT221" s="31"/>
      <c r="AOU221" s="31"/>
      <c r="AOV221" s="31"/>
      <c r="AOW221" s="31"/>
      <c r="AOX221" s="31"/>
      <c r="AOY221" s="31"/>
      <c r="AOZ221" s="31"/>
      <c r="APA221" s="31"/>
      <c r="APB221" s="31"/>
      <c r="APC221" s="31"/>
      <c r="APD221" s="31"/>
      <c r="APE221" s="31"/>
      <c r="APF221" s="31"/>
      <c r="APG221" s="31"/>
      <c r="APH221" s="31"/>
      <c r="API221" s="31"/>
      <c r="APJ221" s="31"/>
      <c r="APK221" s="31"/>
      <c r="APL221" s="31"/>
      <c r="APM221" s="31"/>
      <c r="APN221" s="31"/>
      <c r="APO221" s="31"/>
      <c r="APP221" s="31"/>
      <c r="APQ221" s="31"/>
      <c r="APR221" s="31"/>
      <c r="APS221" s="31"/>
      <c r="APT221" s="31"/>
      <c r="APU221" s="31"/>
      <c r="APV221" s="31"/>
      <c r="APW221" s="31"/>
      <c r="APX221" s="31"/>
      <c r="APY221" s="31"/>
      <c r="APZ221" s="31"/>
      <c r="AQA221" s="31"/>
      <c r="AQB221" s="31"/>
      <c r="AQC221" s="31"/>
      <c r="AQD221" s="31"/>
      <c r="AQE221" s="31"/>
      <c r="AQF221" s="31"/>
      <c r="AQG221" s="31"/>
      <c r="AQH221" s="31"/>
      <c r="AQI221" s="31"/>
      <c r="AQJ221" s="31"/>
      <c r="AQK221" s="31"/>
      <c r="AQL221" s="31"/>
      <c r="AQM221" s="31"/>
      <c r="AQN221" s="31"/>
      <c r="AQO221" s="31"/>
      <c r="AQP221" s="31"/>
      <c r="AQQ221" s="31"/>
      <c r="AQR221" s="31"/>
      <c r="AQS221" s="31"/>
      <c r="AQT221" s="31"/>
      <c r="AQU221" s="31"/>
      <c r="AQV221" s="31"/>
      <c r="AQW221" s="31"/>
      <c r="AQX221" s="31"/>
      <c r="AQY221" s="31"/>
      <c r="AQZ221" s="31"/>
      <c r="ARA221" s="31"/>
      <c r="ARB221" s="31"/>
      <c r="ARC221" s="31"/>
      <c r="ARD221" s="31"/>
      <c r="ARE221" s="31"/>
      <c r="ARF221" s="31"/>
      <c r="ARG221" s="31"/>
      <c r="ARH221" s="31"/>
      <c r="ARI221" s="31"/>
      <c r="ARJ221" s="31"/>
      <c r="ARK221" s="31"/>
      <c r="ARL221" s="31"/>
      <c r="ARM221" s="31"/>
      <c r="ARN221" s="31"/>
      <c r="ARO221" s="31"/>
      <c r="ARP221" s="31"/>
      <c r="ARQ221" s="31"/>
      <c r="ARR221" s="31"/>
      <c r="ARS221" s="31"/>
      <c r="ART221" s="31"/>
      <c r="ARU221" s="31"/>
      <c r="ARV221" s="31"/>
      <c r="ARW221" s="31"/>
      <c r="ARX221" s="31"/>
      <c r="ARY221" s="31"/>
      <c r="ARZ221" s="31"/>
      <c r="ASA221" s="31"/>
      <c r="ASB221" s="31"/>
      <c r="ASC221" s="31"/>
      <c r="ASD221" s="31"/>
      <c r="ASE221" s="31"/>
      <c r="ASF221" s="31"/>
      <c r="ASG221" s="31"/>
      <c r="ASH221" s="31"/>
      <c r="ASI221" s="31"/>
      <c r="ASJ221" s="31"/>
      <c r="ASK221" s="31"/>
      <c r="ASL221" s="31"/>
      <c r="ASM221" s="31"/>
      <c r="ASN221" s="31"/>
      <c r="ASO221" s="31"/>
      <c r="ASP221" s="31"/>
      <c r="ASQ221" s="31"/>
      <c r="ASR221" s="31"/>
      <c r="ASS221" s="31"/>
      <c r="AST221" s="31"/>
      <c r="ASU221" s="31"/>
      <c r="ASV221" s="31"/>
      <c r="ASW221" s="31"/>
      <c r="ASX221" s="31"/>
      <c r="ASY221" s="31"/>
      <c r="ASZ221" s="31"/>
      <c r="ATA221" s="31"/>
      <c r="ATB221" s="31"/>
      <c r="ATC221" s="31"/>
      <c r="ATD221" s="31"/>
      <c r="ATE221" s="31"/>
    </row>
    <row r="222" spans="1:1201" s="1312" customFormat="1" ht="15.75" customHeight="1" x14ac:dyDescent="0.3">
      <c r="A222" s="1324"/>
      <c r="B222" s="1324"/>
      <c r="C222" s="1313" t="s">
        <v>1308</v>
      </c>
      <c r="D222" s="1315"/>
      <c r="E222" s="1315"/>
      <c r="F222" s="1380"/>
      <c r="G222" s="1378"/>
      <c r="H222" s="1378"/>
      <c r="I222" s="1319"/>
      <c r="J222" s="1319"/>
      <c r="K222" s="1319"/>
      <c r="L222" s="1319"/>
      <c r="M222" s="1319"/>
      <c r="N222" s="1319"/>
      <c r="O222" s="1319"/>
      <c r="P222" s="1319"/>
      <c r="Q222" s="1319"/>
      <c r="R222" s="1319"/>
      <c r="S222" s="1318"/>
      <c r="T222" s="1318"/>
      <c r="U222" s="1318"/>
      <c r="V222" s="1318"/>
      <c r="W222" s="1318"/>
      <c r="X222" s="1318"/>
      <c r="Y222" s="1318"/>
      <c r="Z222" s="1320"/>
      <c r="AA222" s="1320"/>
      <c r="AB222" s="1320"/>
      <c r="AC222" s="1320"/>
      <c r="AD222" s="1320"/>
      <c r="AE222" s="1321"/>
      <c r="AF222" s="1321"/>
      <c r="AG222" s="1321"/>
      <c r="AH222" s="1321"/>
      <c r="AI222" s="1321"/>
      <c r="AJ222" s="1321"/>
      <c r="AK222" s="1321">
        <f>SUM('HEC Financials'!AZ199:AZ202)</f>
        <v>114179.45999999999</v>
      </c>
      <c r="AL222" s="1321">
        <f>SUM('HEC Financials'!BA199:BA202)</f>
        <v>114179.45999999999</v>
      </c>
      <c r="AM222" s="1321">
        <f>SUM('HEC Financials'!BB199:BB202)</f>
        <v>114179.45999999999</v>
      </c>
      <c r="AN222" s="1321">
        <f>SUM('HEC Financials'!BC199:BC202)</f>
        <v>114450.4</v>
      </c>
      <c r="AO222" s="1321">
        <f>SUM('HEC Financials'!BD199:BD202)</f>
        <v>114450.4</v>
      </c>
      <c r="AP222" s="1319">
        <f t="shared" ref="AP222:BC222" si="380">AO222</f>
        <v>114450.4</v>
      </c>
      <c r="AQ222" s="1319">
        <f t="shared" si="380"/>
        <v>114450.4</v>
      </c>
      <c r="AR222" s="1613">
        <f t="shared" si="380"/>
        <v>114450.4</v>
      </c>
      <c r="AS222" s="1319">
        <f t="shared" si="380"/>
        <v>114450.4</v>
      </c>
      <c r="AT222" s="1319">
        <f t="shared" si="380"/>
        <v>114450.4</v>
      </c>
      <c r="AU222" s="1319">
        <f t="shared" si="380"/>
        <v>114450.4</v>
      </c>
      <c r="AV222" s="1319">
        <f t="shared" si="380"/>
        <v>114450.4</v>
      </c>
      <c r="AW222" s="1319">
        <f t="shared" si="380"/>
        <v>114450.4</v>
      </c>
      <c r="AX222" s="1319">
        <f t="shared" si="380"/>
        <v>114450.4</v>
      </c>
      <c r="AY222" s="1319">
        <f t="shared" si="380"/>
        <v>114450.4</v>
      </c>
      <c r="AZ222" s="1319">
        <f t="shared" si="380"/>
        <v>114450.4</v>
      </c>
      <c r="BA222" s="1319">
        <f t="shared" si="380"/>
        <v>114450.4</v>
      </c>
      <c r="BB222" s="1319">
        <f t="shared" si="380"/>
        <v>114450.4</v>
      </c>
      <c r="BC222" s="1319">
        <f t="shared" si="380"/>
        <v>114450.4</v>
      </c>
      <c r="BE222" s="1379">
        <v>222862.72</v>
      </c>
      <c r="BF222" s="1321">
        <f>AQ222</f>
        <v>114450.4</v>
      </c>
      <c r="BG222" s="1379">
        <f t="shared" si="379"/>
        <v>114450.4</v>
      </c>
    </row>
    <row r="223" spans="1:1201" s="1508" customFormat="1" ht="15.75" customHeight="1" x14ac:dyDescent="0.3">
      <c r="A223" s="1499"/>
      <c r="B223" s="1499"/>
      <c r="C223" s="1514" t="s">
        <v>1333</v>
      </c>
      <c r="D223" s="1501"/>
      <c r="E223" s="1501"/>
      <c r="F223" s="1515"/>
      <c r="G223" s="1512"/>
      <c r="H223" s="1512"/>
      <c r="I223" s="1506"/>
      <c r="J223" s="1506"/>
      <c r="K223" s="1506"/>
      <c r="L223" s="1506"/>
      <c r="M223" s="1506"/>
      <c r="N223" s="1506"/>
      <c r="O223" s="1506"/>
      <c r="P223" s="1506"/>
      <c r="Q223" s="1506"/>
      <c r="R223" s="1506"/>
      <c r="S223" s="1504"/>
      <c r="T223" s="1504"/>
      <c r="U223" s="1504"/>
      <c r="V223" s="1504"/>
      <c r="W223" s="1504"/>
      <c r="X223" s="1504"/>
      <c r="Y223" s="1504"/>
      <c r="Z223" s="1505"/>
      <c r="AA223" s="1505"/>
      <c r="AB223" s="1505"/>
      <c r="AC223" s="1505"/>
      <c r="AD223" s="1505"/>
      <c r="AE223" s="1505"/>
      <c r="AF223" s="1505"/>
      <c r="AG223" s="1505"/>
      <c r="AH223" s="1505"/>
      <c r="AI223" s="1505"/>
      <c r="AJ223" s="1505"/>
      <c r="AK223" s="1505"/>
      <c r="AL223" s="1505"/>
      <c r="AM223" s="1505"/>
      <c r="AN223" s="1505"/>
      <c r="AO223" s="1505"/>
      <c r="AP223" s="1506"/>
      <c r="AQ223" s="1506">
        <f>'Sources and Uses'!J6*1000</f>
        <v>0</v>
      </c>
      <c r="AR223" s="1504">
        <v>0</v>
      </c>
      <c r="AS223" s="1506">
        <v>0</v>
      </c>
      <c r="AT223" s="1506">
        <v>0</v>
      </c>
      <c r="AU223" s="1506">
        <v>0</v>
      </c>
      <c r="AV223" s="1506">
        <v>0</v>
      </c>
      <c r="AW223" s="1506">
        <v>0</v>
      </c>
      <c r="AX223" s="1506">
        <v>0</v>
      </c>
      <c r="AY223" s="1506">
        <v>0</v>
      </c>
      <c r="AZ223" s="1506">
        <v>0</v>
      </c>
      <c r="BA223" s="1506">
        <v>0</v>
      </c>
      <c r="BB223" s="1506">
        <v>0</v>
      </c>
      <c r="BC223" s="1506">
        <v>0</v>
      </c>
      <c r="BE223" s="1507"/>
      <c r="BF223" s="1504"/>
      <c r="BG223" s="1507"/>
    </row>
    <row r="224" spans="1:1201" s="34" customFormat="1" ht="15.75" customHeight="1" x14ac:dyDescent="0.3">
      <c r="A224" s="76"/>
      <c r="B224" s="76"/>
      <c r="C224" s="57" t="s">
        <v>276</v>
      </c>
      <c r="D224" s="63"/>
      <c r="E224" s="169"/>
      <c r="F224" s="143"/>
      <c r="G224" s="144">
        <v>-943667</v>
      </c>
      <c r="H224" s="647">
        <v>-943667</v>
      </c>
      <c r="I224" s="684">
        <v>-943667</v>
      </c>
      <c r="J224" s="684">
        <v>-943667</v>
      </c>
      <c r="K224" s="684">
        <v>-943667</v>
      </c>
      <c r="L224" s="684">
        <f t="shared" si="378"/>
        <v>-943667</v>
      </c>
      <c r="M224" s="684">
        <f t="shared" si="378"/>
        <v>-943667</v>
      </c>
      <c r="N224" s="684">
        <v>-943667</v>
      </c>
      <c r="O224" s="684">
        <f>N224</f>
        <v>-943667</v>
      </c>
      <c r="P224" s="684">
        <v>-943667</v>
      </c>
      <c r="Q224" s="684">
        <v>-943667</v>
      </c>
      <c r="R224" s="684">
        <f>Q224</f>
        <v>-943667</v>
      </c>
      <c r="S224" s="942">
        <f>'MXD BS'!B119</f>
        <v>-943667</v>
      </c>
      <c r="T224" s="942">
        <f>'MXD BS'!C119</f>
        <v>-943667</v>
      </c>
      <c r="U224" s="942">
        <f>'MXD BS'!D119</f>
        <v>-943667</v>
      </c>
      <c r="V224" s="942">
        <f>'MXD BS'!E119</f>
        <v>-943667</v>
      </c>
      <c r="W224" s="942">
        <f>'MXD BS'!F119</f>
        <v>-943667</v>
      </c>
      <c r="X224" s="942">
        <f>'MXD BS'!G119</f>
        <v>-943667</v>
      </c>
      <c r="Y224" s="942">
        <f>'MXD BS'!H119</f>
        <v>-943667</v>
      </c>
      <c r="Z224" s="1096">
        <f>'MXD BS'!I119</f>
        <v>-943667</v>
      </c>
      <c r="AA224" s="1096">
        <f>'MXD BS'!J119</f>
        <v>-943667</v>
      </c>
      <c r="AB224" s="1096">
        <f>'MXD BS'!K119</f>
        <v>-943667</v>
      </c>
      <c r="AC224" s="1096">
        <f>'MXD BS'!L119</f>
        <v>-943667</v>
      </c>
      <c r="AD224" s="1096">
        <f>'MXD BS'!M119</f>
        <v>-943667</v>
      </c>
      <c r="AE224" s="1096">
        <f>'MXD BS'!N119</f>
        <v>-943667</v>
      </c>
      <c r="AF224" s="1096">
        <f>'MXD BS'!O119</f>
        <v>-943667</v>
      </c>
      <c r="AG224" s="1096">
        <f>'MXD BS'!P119</f>
        <v>-943667</v>
      </c>
      <c r="AH224" s="1096">
        <f>'MXD BS'!Q119</f>
        <v>-943667</v>
      </c>
      <c r="AI224" s="1096">
        <f>'MXD BS'!R119</f>
        <v>-943667</v>
      </c>
      <c r="AJ224" s="1096">
        <f>'MXD BS'!S119</f>
        <v>-943667</v>
      </c>
      <c r="AK224" s="1096">
        <f>'MXD BS'!T119</f>
        <v>-943667</v>
      </c>
      <c r="AL224" s="1096">
        <f>'MXD BS'!U119</f>
        <v>-943667</v>
      </c>
      <c r="AM224" s="1096">
        <f>'MXD BS'!V119</f>
        <v>-943667</v>
      </c>
      <c r="AN224" s="1096">
        <f>'MXD BS'!W119</f>
        <v>-943667</v>
      </c>
      <c r="AO224" s="1096">
        <f>'MXD BS'!X119</f>
        <v>-943667</v>
      </c>
      <c r="AP224" s="684">
        <v>-943667</v>
      </c>
      <c r="AQ224" s="684">
        <v>-943667</v>
      </c>
      <c r="AR224" s="1642">
        <v>-943667</v>
      </c>
      <c r="AS224" s="684">
        <v>-943667</v>
      </c>
      <c r="AT224" s="684">
        <v>-943667</v>
      </c>
      <c r="AU224" s="684">
        <v>-943667</v>
      </c>
      <c r="AV224" s="684">
        <v>-943667</v>
      </c>
      <c r="AW224" s="684">
        <v>-943667</v>
      </c>
      <c r="AX224" s="684">
        <v>-943667</v>
      </c>
      <c r="AY224" s="684">
        <v>-943667</v>
      </c>
      <c r="AZ224" s="684">
        <v>-943667</v>
      </c>
      <c r="BA224" s="684">
        <v>-943667</v>
      </c>
      <c r="BB224" s="684">
        <v>-943667</v>
      </c>
      <c r="BC224" s="684">
        <v>-943667</v>
      </c>
      <c r="BE224" s="1195">
        <v>-943667</v>
      </c>
      <c r="BF224" s="942">
        <f>AQ224</f>
        <v>-943667</v>
      </c>
      <c r="BG224" s="1195">
        <f t="shared" ref="BG224:BG230" si="381">BC224</f>
        <v>-943667</v>
      </c>
      <c r="BH224" s="31"/>
      <c r="BI224" s="31"/>
      <c r="BJ224" s="31"/>
      <c r="BK224" s="31"/>
      <c r="BL224" s="31"/>
      <c r="BM224" s="31"/>
      <c r="BN224" s="31"/>
      <c r="BO224" s="31"/>
      <c r="BP224" s="31"/>
      <c r="BQ224" s="31"/>
      <c r="BR224" s="31"/>
      <c r="BS224" s="31"/>
      <c r="BT224" s="31"/>
      <c r="BU224" s="31"/>
      <c r="BV224" s="31"/>
      <c r="BW224" s="31"/>
      <c r="BX224" s="31"/>
      <c r="BY224" s="31"/>
      <c r="BZ224" s="31"/>
      <c r="CA224" s="31"/>
      <c r="CB224" s="31"/>
      <c r="CC224" s="31"/>
      <c r="CD224" s="31"/>
      <c r="CE224" s="31"/>
      <c r="CF224" s="31"/>
      <c r="CG224" s="31"/>
      <c r="CH224" s="31"/>
      <c r="CI224" s="31"/>
      <c r="CJ224" s="31"/>
      <c r="CK224" s="31"/>
      <c r="CL224" s="31"/>
      <c r="CM224" s="31"/>
      <c r="CN224" s="31"/>
      <c r="CO224" s="31"/>
      <c r="CP224" s="31"/>
      <c r="CQ224" s="31"/>
      <c r="CR224" s="31"/>
      <c r="CS224" s="31"/>
      <c r="CT224" s="31"/>
      <c r="CU224" s="31"/>
      <c r="CV224" s="31"/>
      <c r="CW224" s="31"/>
      <c r="CX224" s="31"/>
      <c r="CY224" s="31"/>
      <c r="CZ224" s="31"/>
      <c r="DA224" s="31"/>
      <c r="DB224" s="31"/>
      <c r="DC224" s="31"/>
      <c r="DD224" s="31"/>
      <c r="DE224" s="31"/>
      <c r="DF224" s="31"/>
      <c r="DG224" s="31"/>
      <c r="DH224" s="31"/>
      <c r="DI224" s="31"/>
      <c r="DJ224" s="31"/>
      <c r="DK224" s="31"/>
      <c r="DL224" s="31"/>
      <c r="DM224" s="31"/>
      <c r="DN224" s="31"/>
      <c r="DO224" s="31"/>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c r="EX224" s="31"/>
      <c r="EY224" s="31"/>
      <c r="EZ224" s="31"/>
      <c r="FA224" s="31"/>
      <c r="FB224" s="31"/>
      <c r="FC224" s="31"/>
      <c r="FD224" s="31"/>
      <c r="FE224" s="31"/>
      <c r="FF224" s="31"/>
      <c r="FG224" s="31"/>
      <c r="FH224" s="31"/>
      <c r="FI224" s="31"/>
      <c r="FJ224" s="31"/>
      <c r="FK224" s="31"/>
      <c r="FL224" s="31"/>
      <c r="FM224" s="31"/>
      <c r="FN224" s="31"/>
      <c r="FO224" s="31"/>
      <c r="FP224" s="31"/>
      <c r="FQ224" s="31"/>
      <c r="FR224" s="31"/>
      <c r="FS224" s="31"/>
      <c r="FT224" s="31"/>
      <c r="FU224" s="31"/>
      <c r="FV224" s="31"/>
      <c r="FW224" s="31"/>
      <c r="FX224" s="31"/>
      <c r="FY224" s="31"/>
      <c r="FZ224" s="31"/>
      <c r="GA224" s="31"/>
      <c r="GB224" s="31"/>
      <c r="GC224" s="31"/>
      <c r="GD224" s="31"/>
      <c r="GE224" s="31"/>
      <c r="GF224" s="31"/>
      <c r="GG224" s="31"/>
      <c r="GH224" s="31"/>
      <c r="GI224" s="31"/>
      <c r="GJ224" s="31"/>
      <c r="GK224" s="31"/>
      <c r="GL224" s="31"/>
      <c r="GM224" s="31"/>
      <c r="GN224" s="31"/>
      <c r="GO224" s="31"/>
      <c r="GP224" s="31"/>
      <c r="GQ224" s="31"/>
      <c r="GR224" s="31"/>
      <c r="GS224" s="31"/>
      <c r="GT224" s="31"/>
      <c r="GU224" s="31"/>
      <c r="GV224" s="31"/>
      <c r="GW224" s="31"/>
      <c r="GX224" s="31"/>
      <c r="GY224" s="31"/>
      <c r="GZ224" s="31"/>
      <c r="HA224" s="31"/>
      <c r="HB224" s="31"/>
      <c r="HC224" s="31"/>
      <c r="HD224" s="31"/>
      <c r="HE224" s="31"/>
      <c r="HF224" s="31"/>
      <c r="HG224" s="31"/>
      <c r="HH224" s="31"/>
      <c r="HI224" s="31"/>
      <c r="HJ224" s="31"/>
      <c r="HK224" s="31"/>
      <c r="HL224" s="31"/>
      <c r="HM224" s="31"/>
      <c r="HN224" s="31"/>
      <c r="HO224" s="31"/>
      <c r="HP224" s="31"/>
      <c r="HQ224" s="31"/>
      <c r="HR224" s="31"/>
      <c r="HS224" s="31"/>
      <c r="HT224" s="31"/>
      <c r="HU224" s="31"/>
      <c r="HV224" s="31"/>
      <c r="HW224" s="31"/>
      <c r="HX224" s="31"/>
      <c r="HY224" s="31"/>
      <c r="HZ224" s="31"/>
      <c r="IA224" s="31"/>
      <c r="IB224" s="31"/>
      <c r="IC224" s="31"/>
      <c r="ID224" s="31"/>
      <c r="IE224" s="31"/>
      <c r="IF224" s="31"/>
      <c r="IG224" s="31"/>
      <c r="IH224" s="31"/>
      <c r="II224" s="31"/>
      <c r="IJ224" s="31"/>
      <c r="IK224" s="31"/>
      <c r="IL224" s="31"/>
      <c r="IM224" s="31"/>
      <c r="IN224" s="31"/>
      <c r="IO224" s="31"/>
      <c r="IP224" s="31"/>
      <c r="IQ224" s="31"/>
      <c r="IR224" s="31"/>
      <c r="IS224" s="31"/>
      <c r="IT224" s="31"/>
      <c r="IU224" s="31"/>
      <c r="IV224" s="31"/>
      <c r="IW224" s="31"/>
      <c r="IX224" s="31"/>
      <c r="IY224" s="31"/>
      <c r="IZ224" s="31"/>
      <c r="JA224" s="31"/>
      <c r="JB224" s="31"/>
      <c r="JC224" s="31"/>
      <c r="JD224" s="31"/>
      <c r="JE224" s="31"/>
      <c r="JF224" s="31"/>
      <c r="JG224" s="31"/>
      <c r="JH224" s="31"/>
      <c r="JI224" s="31"/>
      <c r="JJ224" s="31"/>
      <c r="JK224" s="31"/>
      <c r="JL224" s="31"/>
      <c r="JM224" s="31"/>
      <c r="JN224" s="31"/>
      <c r="JO224" s="31"/>
      <c r="JP224" s="31"/>
      <c r="JQ224" s="31"/>
      <c r="JR224" s="31"/>
      <c r="JS224" s="31"/>
      <c r="JT224" s="31"/>
      <c r="JU224" s="31"/>
      <c r="JV224" s="31"/>
      <c r="JW224" s="31"/>
      <c r="JX224" s="31"/>
      <c r="JY224" s="31"/>
      <c r="JZ224" s="31"/>
      <c r="KA224" s="31"/>
      <c r="KB224" s="31"/>
      <c r="KC224" s="31"/>
      <c r="KD224" s="31"/>
      <c r="KE224" s="31"/>
      <c r="KF224" s="31"/>
      <c r="KG224" s="31"/>
      <c r="KH224" s="31"/>
      <c r="KI224" s="31"/>
      <c r="KJ224" s="31"/>
      <c r="KK224" s="31"/>
      <c r="KL224" s="31"/>
      <c r="KM224" s="31"/>
      <c r="KN224" s="31"/>
      <c r="KO224" s="31"/>
      <c r="KP224" s="31"/>
      <c r="KQ224" s="31"/>
      <c r="KR224" s="31"/>
      <c r="KS224" s="31"/>
      <c r="KT224" s="31"/>
      <c r="KU224" s="31"/>
      <c r="KV224" s="31"/>
      <c r="KW224" s="31"/>
      <c r="KX224" s="31"/>
      <c r="KY224" s="31"/>
      <c r="KZ224" s="31"/>
      <c r="LA224" s="31"/>
      <c r="LB224" s="31"/>
      <c r="LC224" s="31"/>
      <c r="LD224" s="31"/>
      <c r="LE224" s="31"/>
      <c r="LF224" s="31"/>
      <c r="LG224" s="31"/>
      <c r="LH224" s="31"/>
      <c r="LI224" s="31"/>
      <c r="LJ224" s="31"/>
      <c r="LK224" s="31"/>
      <c r="LL224" s="31"/>
      <c r="LM224" s="31"/>
      <c r="LN224" s="31"/>
      <c r="LO224" s="31"/>
      <c r="LP224" s="31"/>
      <c r="LQ224" s="31"/>
      <c r="LR224" s="31"/>
      <c r="LS224" s="31"/>
      <c r="LT224" s="31"/>
      <c r="LU224" s="31"/>
      <c r="LV224" s="31"/>
      <c r="LW224" s="31"/>
      <c r="LX224" s="31"/>
      <c r="LY224" s="31"/>
      <c r="LZ224" s="31"/>
      <c r="MA224" s="31"/>
      <c r="MB224" s="31"/>
      <c r="MC224" s="31"/>
      <c r="MD224" s="31"/>
      <c r="ME224" s="31"/>
      <c r="MF224" s="31"/>
      <c r="MG224" s="31"/>
      <c r="MH224" s="31"/>
      <c r="MI224" s="31"/>
      <c r="MJ224" s="31"/>
      <c r="MK224" s="31"/>
      <c r="ML224" s="31"/>
      <c r="MM224" s="31"/>
      <c r="MN224" s="31"/>
      <c r="MO224" s="31"/>
      <c r="MP224" s="31"/>
      <c r="MQ224" s="31"/>
      <c r="MR224" s="31"/>
      <c r="MS224" s="31"/>
      <c r="MT224" s="31"/>
      <c r="MU224" s="31"/>
      <c r="MV224" s="31"/>
      <c r="MW224" s="31"/>
      <c r="MX224" s="31"/>
      <c r="MY224" s="31"/>
      <c r="MZ224" s="31"/>
      <c r="NA224" s="31"/>
      <c r="NB224" s="31"/>
      <c r="NC224" s="31"/>
      <c r="ND224" s="31"/>
      <c r="NE224" s="31"/>
      <c r="NF224" s="31"/>
      <c r="NG224" s="31"/>
      <c r="NH224" s="31"/>
      <c r="NI224" s="31"/>
      <c r="NJ224" s="31"/>
      <c r="NK224" s="31"/>
      <c r="NL224" s="31"/>
      <c r="NM224" s="31"/>
      <c r="NN224" s="31"/>
      <c r="NO224" s="31"/>
      <c r="NP224" s="31"/>
      <c r="NQ224" s="31"/>
      <c r="NR224" s="31"/>
      <c r="NS224" s="31"/>
      <c r="NT224" s="31"/>
      <c r="NU224" s="31"/>
      <c r="NV224" s="31"/>
      <c r="NW224" s="31"/>
      <c r="NX224" s="31"/>
      <c r="NY224" s="31"/>
      <c r="NZ224" s="31"/>
      <c r="OA224" s="31"/>
      <c r="OB224" s="31"/>
      <c r="OC224" s="31"/>
      <c r="OD224" s="31"/>
      <c r="OE224" s="31"/>
      <c r="OF224" s="31"/>
      <c r="OG224" s="31"/>
      <c r="OH224" s="31"/>
      <c r="OI224" s="31"/>
      <c r="OJ224" s="31"/>
      <c r="OK224" s="31"/>
      <c r="OL224" s="31"/>
      <c r="OM224" s="31"/>
      <c r="ON224" s="31"/>
      <c r="OO224" s="31"/>
      <c r="OP224" s="31"/>
      <c r="OQ224" s="31"/>
      <c r="OR224" s="31"/>
      <c r="OS224" s="31"/>
      <c r="OT224" s="31"/>
      <c r="OU224" s="31"/>
      <c r="OV224" s="31"/>
      <c r="OW224" s="31"/>
      <c r="OX224" s="31"/>
      <c r="OY224" s="31"/>
      <c r="OZ224" s="31"/>
      <c r="PA224" s="31"/>
      <c r="PB224" s="31"/>
      <c r="PC224" s="31"/>
      <c r="PD224" s="31"/>
      <c r="PE224" s="31"/>
      <c r="PF224" s="31"/>
      <c r="PG224" s="31"/>
      <c r="PH224" s="31"/>
      <c r="PI224" s="31"/>
      <c r="PJ224" s="31"/>
      <c r="PK224" s="31"/>
      <c r="PL224" s="31"/>
      <c r="PM224" s="31"/>
      <c r="PN224" s="31"/>
      <c r="PO224" s="31"/>
      <c r="PP224" s="31"/>
      <c r="PQ224" s="31"/>
      <c r="PR224" s="31"/>
      <c r="PS224" s="31"/>
      <c r="PT224" s="31"/>
      <c r="PU224" s="31"/>
      <c r="PV224" s="31"/>
      <c r="PW224" s="31"/>
      <c r="PX224" s="31"/>
      <c r="PY224" s="31"/>
      <c r="PZ224" s="31"/>
      <c r="QA224" s="31"/>
      <c r="QB224" s="31"/>
      <c r="QC224" s="31"/>
      <c r="QD224" s="31"/>
      <c r="QE224" s="31"/>
      <c r="QF224" s="31"/>
      <c r="QG224" s="31"/>
      <c r="QH224" s="31"/>
      <c r="QI224" s="31"/>
      <c r="QJ224" s="31"/>
      <c r="QK224" s="31"/>
      <c r="QL224" s="31"/>
      <c r="QM224" s="31"/>
      <c r="QN224" s="31"/>
      <c r="QO224" s="31"/>
      <c r="QP224" s="31"/>
      <c r="QQ224" s="31"/>
      <c r="QR224" s="31"/>
      <c r="QS224" s="31"/>
      <c r="QT224" s="31"/>
      <c r="QU224" s="31"/>
      <c r="QV224" s="31"/>
      <c r="QW224" s="31"/>
      <c r="QX224" s="31"/>
      <c r="QY224" s="31"/>
      <c r="QZ224" s="31"/>
      <c r="RA224" s="31"/>
      <c r="RB224" s="31"/>
      <c r="RC224" s="31"/>
      <c r="RD224" s="31"/>
      <c r="RE224" s="31"/>
      <c r="RF224" s="31"/>
      <c r="RG224" s="31"/>
      <c r="RH224" s="31"/>
      <c r="RI224" s="31"/>
      <c r="RJ224" s="31"/>
      <c r="RK224" s="31"/>
      <c r="RL224" s="31"/>
      <c r="RM224" s="31"/>
      <c r="RN224" s="31"/>
      <c r="RO224" s="31"/>
      <c r="RP224" s="31"/>
      <c r="RQ224" s="31"/>
      <c r="RR224" s="31"/>
      <c r="RS224" s="31"/>
      <c r="RT224" s="31"/>
      <c r="RU224" s="31"/>
      <c r="RV224" s="31"/>
      <c r="RW224" s="31"/>
      <c r="RX224" s="31"/>
      <c r="RY224" s="31"/>
      <c r="RZ224" s="31"/>
      <c r="SA224" s="31"/>
      <c r="SB224" s="31"/>
      <c r="SC224" s="31"/>
      <c r="SD224" s="31"/>
      <c r="SE224" s="31"/>
      <c r="SF224" s="31"/>
      <c r="SG224" s="31"/>
      <c r="SH224" s="31"/>
      <c r="SI224" s="31"/>
      <c r="SJ224" s="31"/>
      <c r="SK224" s="31"/>
      <c r="SL224" s="31"/>
      <c r="SM224" s="31"/>
      <c r="SN224" s="31"/>
      <c r="SO224" s="31"/>
      <c r="SP224" s="31"/>
      <c r="SQ224" s="31"/>
      <c r="SR224" s="31"/>
      <c r="SS224" s="31"/>
      <c r="ST224" s="31"/>
      <c r="SU224" s="31"/>
      <c r="SV224" s="31"/>
      <c r="SW224" s="31"/>
      <c r="SX224" s="31"/>
      <c r="SY224" s="31"/>
      <c r="SZ224" s="31"/>
      <c r="TA224" s="31"/>
      <c r="TB224" s="31"/>
      <c r="TC224" s="31"/>
      <c r="TD224" s="31"/>
      <c r="TE224" s="31"/>
      <c r="TF224" s="31"/>
      <c r="TG224" s="31"/>
      <c r="TH224" s="31"/>
      <c r="TI224" s="31"/>
      <c r="TJ224" s="31"/>
      <c r="TK224" s="31"/>
      <c r="TL224" s="31"/>
      <c r="TM224" s="31"/>
      <c r="TN224" s="31"/>
      <c r="TO224" s="31"/>
      <c r="TP224" s="31"/>
      <c r="TQ224" s="31"/>
      <c r="TR224" s="31"/>
      <c r="TS224" s="31"/>
      <c r="TT224" s="31"/>
      <c r="TU224" s="31"/>
      <c r="TV224" s="31"/>
      <c r="TW224" s="31"/>
      <c r="TX224" s="31"/>
      <c r="TY224" s="31"/>
      <c r="TZ224" s="31"/>
      <c r="UA224" s="31"/>
      <c r="UB224" s="31"/>
      <c r="UC224" s="31"/>
      <c r="UD224" s="31"/>
      <c r="UE224" s="31"/>
      <c r="UF224" s="31"/>
      <c r="UG224" s="31"/>
      <c r="UH224" s="31"/>
      <c r="UI224" s="31"/>
      <c r="UJ224" s="31"/>
      <c r="UK224" s="31"/>
      <c r="UL224" s="31"/>
      <c r="UM224" s="31"/>
      <c r="UN224" s="31"/>
      <c r="UO224" s="31"/>
      <c r="UP224" s="31"/>
      <c r="UQ224" s="31"/>
      <c r="UR224" s="31"/>
      <c r="US224" s="31"/>
      <c r="UT224" s="31"/>
      <c r="UU224" s="31"/>
      <c r="UV224" s="31"/>
      <c r="UW224" s="31"/>
      <c r="UX224" s="31"/>
      <c r="UY224" s="31"/>
      <c r="UZ224" s="31"/>
      <c r="VA224" s="31"/>
      <c r="VB224" s="31"/>
      <c r="VC224" s="31"/>
      <c r="VD224" s="31"/>
      <c r="VE224" s="31"/>
      <c r="VF224" s="31"/>
      <c r="VG224" s="31"/>
      <c r="VH224" s="31"/>
      <c r="VI224" s="31"/>
      <c r="VJ224" s="31"/>
      <c r="VK224" s="31"/>
      <c r="VL224" s="31"/>
      <c r="VM224" s="31"/>
      <c r="VN224" s="31"/>
      <c r="VO224" s="31"/>
      <c r="VP224" s="31"/>
      <c r="VQ224" s="31"/>
      <c r="VR224" s="31"/>
      <c r="VS224" s="31"/>
      <c r="VT224" s="31"/>
      <c r="VU224" s="31"/>
      <c r="VV224" s="31"/>
      <c r="VW224" s="31"/>
      <c r="VX224" s="31"/>
      <c r="VY224" s="31"/>
      <c r="VZ224" s="31"/>
      <c r="WA224" s="31"/>
      <c r="WB224" s="31"/>
      <c r="WC224" s="31"/>
      <c r="WD224" s="31"/>
      <c r="WE224" s="31"/>
      <c r="WF224" s="31"/>
      <c r="WG224" s="31"/>
      <c r="WH224" s="31"/>
      <c r="WI224" s="31"/>
      <c r="WJ224" s="31"/>
      <c r="WK224" s="31"/>
      <c r="WL224" s="31"/>
      <c r="WM224" s="31"/>
      <c r="WN224" s="31"/>
      <c r="WO224" s="31"/>
      <c r="WP224" s="31"/>
      <c r="WQ224" s="31"/>
      <c r="WR224" s="31"/>
      <c r="WS224" s="31"/>
      <c r="WT224" s="31"/>
      <c r="WU224" s="31"/>
      <c r="WV224" s="31"/>
      <c r="WW224" s="31"/>
      <c r="WX224" s="31"/>
      <c r="WY224" s="31"/>
      <c r="WZ224" s="31"/>
      <c r="XA224" s="31"/>
      <c r="XB224" s="31"/>
      <c r="XC224" s="31"/>
      <c r="XD224" s="31"/>
      <c r="XE224" s="31"/>
      <c r="XF224" s="31"/>
      <c r="XG224" s="31"/>
      <c r="XH224" s="31"/>
      <c r="XI224" s="31"/>
      <c r="XJ224" s="31"/>
      <c r="XK224" s="31"/>
      <c r="XL224" s="31"/>
      <c r="XM224" s="31"/>
      <c r="XN224" s="31"/>
      <c r="XO224" s="31"/>
      <c r="XP224" s="31"/>
      <c r="XQ224" s="31"/>
      <c r="XR224" s="31"/>
      <c r="XS224" s="31"/>
      <c r="XT224" s="31"/>
      <c r="XU224" s="31"/>
      <c r="XV224" s="31"/>
      <c r="XW224" s="31"/>
      <c r="XX224" s="31"/>
      <c r="XY224" s="31"/>
      <c r="XZ224" s="31"/>
      <c r="YA224" s="31"/>
      <c r="YB224" s="31"/>
      <c r="YC224" s="31"/>
      <c r="YD224" s="31"/>
      <c r="YE224" s="31"/>
      <c r="YF224" s="31"/>
      <c r="YG224" s="31"/>
      <c r="YH224" s="31"/>
      <c r="YI224" s="31"/>
      <c r="YJ224" s="31"/>
      <c r="YK224" s="31"/>
      <c r="YL224" s="31"/>
      <c r="YM224" s="31"/>
      <c r="YN224" s="31"/>
      <c r="YO224" s="31"/>
      <c r="YP224" s="31"/>
      <c r="YQ224" s="31"/>
      <c r="YR224" s="31"/>
      <c r="YS224" s="31"/>
      <c r="YT224" s="31"/>
      <c r="YU224" s="31"/>
      <c r="YV224" s="31"/>
      <c r="YW224" s="31"/>
      <c r="YX224" s="31"/>
      <c r="YY224" s="31"/>
      <c r="YZ224" s="31"/>
      <c r="ZA224" s="31"/>
      <c r="ZB224" s="31"/>
      <c r="ZC224" s="31"/>
      <c r="ZD224" s="31"/>
      <c r="ZE224" s="31"/>
      <c r="ZF224" s="31"/>
      <c r="ZG224" s="31"/>
      <c r="ZH224" s="31"/>
      <c r="ZI224" s="31"/>
      <c r="ZJ224" s="31"/>
      <c r="ZK224" s="31"/>
      <c r="ZL224" s="31"/>
      <c r="ZM224" s="31"/>
      <c r="ZN224" s="31"/>
      <c r="ZO224" s="31"/>
      <c r="ZP224" s="31"/>
      <c r="ZQ224" s="31"/>
      <c r="ZR224" s="31"/>
      <c r="ZS224" s="31"/>
      <c r="ZT224" s="31"/>
      <c r="ZU224" s="31"/>
      <c r="ZV224" s="31"/>
      <c r="ZW224" s="31"/>
      <c r="ZX224" s="31"/>
      <c r="ZY224" s="31"/>
      <c r="ZZ224" s="31"/>
      <c r="AAA224" s="31"/>
      <c r="AAB224" s="31"/>
      <c r="AAC224" s="31"/>
      <c r="AAD224" s="31"/>
      <c r="AAE224" s="31"/>
      <c r="AAF224" s="31"/>
      <c r="AAG224" s="31"/>
      <c r="AAH224" s="31"/>
      <c r="AAI224" s="31"/>
      <c r="AAJ224" s="31"/>
      <c r="AAK224" s="31"/>
      <c r="AAL224" s="31"/>
      <c r="AAM224" s="31"/>
      <c r="AAN224" s="31"/>
      <c r="AAO224" s="31"/>
      <c r="AAP224" s="31"/>
      <c r="AAQ224" s="31"/>
      <c r="AAR224" s="31"/>
      <c r="AAS224" s="31"/>
      <c r="AAT224" s="31"/>
      <c r="AAU224" s="31"/>
      <c r="AAV224" s="31"/>
      <c r="AAW224" s="31"/>
      <c r="AAX224" s="31"/>
      <c r="AAY224" s="31"/>
      <c r="AAZ224" s="31"/>
      <c r="ABA224" s="31"/>
      <c r="ABB224" s="31"/>
      <c r="ABC224" s="31"/>
      <c r="ABD224" s="31"/>
      <c r="ABE224" s="31"/>
      <c r="ABF224" s="31"/>
      <c r="ABG224" s="31"/>
      <c r="ABH224" s="31"/>
      <c r="ABI224" s="31"/>
      <c r="ABJ224" s="31"/>
      <c r="ABK224" s="31"/>
      <c r="ABL224" s="31"/>
      <c r="ABM224" s="31"/>
      <c r="ABN224" s="31"/>
      <c r="ABO224" s="31"/>
      <c r="ABP224" s="31"/>
      <c r="ABQ224" s="31"/>
      <c r="ABR224" s="31"/>
      <c r="ABS224" s="31"/>
      <c r="ABT224" s="31"/>
      <c r="ABU224" s="31"/>
      <c r="ABV224" s="31"/>
      <c r="ABW224" s="31"/>
      <c r="ABX224" s="31"/>
      <c r="ABY224" s="31"/>
      <c r="ABZ224" s="31"/>
      <c r="ACA224" s="31"/>
      <c r="ACB224" s="31"/>
      <c r="ACC224" s="31"/>
      <c r="ACD224" s="31"/>
      <c r="ACE224" s="31"/>
      <c r="ACF224" s="31"/>
      <c r="ACG224" s="31"/>
      <c r="ACH224" s="31"/>
      <c r="ACI224" s="31"/>
      <c r="ACJ224" s="31"/>
      <c r="ACK224" s="31"/>
      <c r="ACL224" s="31"/>
      <c r="ACM224" s="31"/>
      <c r="ACN224" s="31"/>
      <c r="ACO224" s="31"/>
      <c r="ACP224" s="31"/>
      <c r="ACQ224" s="31"/>
      <c r="ACR224" s="31"/>
      <c r="ACS224" s="31"/>
      <c r="ACT224" s="31"/>
      <c r="ACU224" s="31"/>
      <c r="ACV224" s="31"/>
      <c r="ACW224" s="31"/>
      <c r="ACX224" s="31"/>
      <c r="ACY224" s="31"/>
      <c r="ACZ224" s="31"/>
      <c r="ADA224" s="31"/>
      <c r="ADB224" s="31"/>
      <c r="ADC224" s="31"/>
      <c r="ADD224" s="31"/>
      <c r="ADE224" s="31"/>
      <c r="ADF224" s="31"/>
      <c r="ADG224" s="31"/>
      <c r="ADH224" s="31"/>
      <c r="ADI224" s="31"/>
      <c r="ADJ224" s="31"/>
      <c r="ADK224" s="31"/>
      <c r="ADL224" s="31"/>
      <c r="ADM224" s="31"/>
      <c r="ADN224" s="31"/>
      <c r="ADO224" s="31"/>
      <c r="ADP224" s="31"/>
      <c r="ADQ224" s="31"/>
      <c r="ADR224" s="31"/>
      <c r="ADS224" s="31"/>
      <c r="ADT224" s="31"/>
      <c r="ADU224" s="31"/>
      <c r="ADV224" s="31"/>
      <c r="ADW224" s="31"/>
      <c r="ADX224" s="31"/>
      <c r="ADY224" s="31"/>
      <c r="ADZ224" s="31"/>
      <c r="AEA224" s="31"/>
      <c r="AEB224" s="31"/>
      <c r="AEC224" s="31"/>
      <c r="AED224" s="31"/>
      <c r="AEE224" s="31"/>
      <c r="AEF224" s="31"/>
      <c r="AEG224" s="31"/>
      <c r="AEH224" s="31"/>
      <c r="AEI224" s="31"/>
      <c r="AEJ224" s="31"/>
      <c r="AEK224" s="31"/>
      <c r="AEL224" s="31"/>
      <c r="AEM224" s="31"/>
      <c r="AEN224" s="31"/>
      <c r="AEO224" s="31"/>
      <c r="AEP224" s="31"/>
      <c r="AEQ224" s="31"/>
      <c r="AER224" s="31"/>
      <c r="AES224" s="31"/>
      <c r="AET224" s="31"/>
      <c r="AEU224" s="31"/>
      <c r="AEV224" s="31"/>
      <c r="AEW224" s="31"/>
      <c r="AEX224" s="31"/>
      <c r="AEY224" s="31"/>
      <c r="AEZ224" s="31"/>
      <c r="AFA224" s="31"/>
      <c r="AFB224" s="31"/>
      <c r="AFC224" s="31"/>
      <c r="AFD224" s="31"/>
      <c r="AFE224" s="31"/>
      <c r="AFF224" s="31"/>
      <c r="AFG224" s="31"/>
      <c r="AFH224" s="31"/>
      <c r="AFI224" s="31"/>
      <c r="AFJ224" s="31"/>
      <c r="AFK224" s="31"/>
      <c r="AFL224" s="31"/>
      <c r="AFM224" s="31"/>
      <c r="AFN224" s="31"/>
      <c r="AFO224" s="31"/>
      <c r="AFP224" s="31"/>
      <c r="AFQ224" s="31"/>
      <c r="AFR224" s="31"/>
      <c r="AFS224" s="31"/>
      <c r="AFT224" s="31"/>
      <c r="AFU224" s="31"/>
      <c r="AFV224" s="31"/>
      <c r="AFW224" s="31"/>
      <c r="AFX224" s="31"/>
      <c r="AFY224" s="31"/>
      <c r="AFZ224" s="31"/>
      <c r="AGA224" s="31"/>
      <c r="AGB224" s="31"/>
      <c r="AGC224" s="31"/>
      <c r="AGD224" s="31"/>
      <c r="AGE224" s="31"/>
      <c r="AGF224" s="31"/>
      <c r="AGG224" s="31"/>
      <c r="AGH224" s="31"/>
      <c r="AGI224" s="31"/>
      <c r="AGJ224" s="31"/>
      <c r="AGK224" s="31"/>
      <c r="AGL224" s="31"/>
      <c r="AGM224" s="31"/>
      <c r="AGN224" s="31"/>
      <c r="AGO224" s="31"/>
      <c r="AGP224" s="31"/>
      <c r="AGQ224" s="31"/>
      <c r="AGR224" s="31"/>
      <c r="AGS224" s="31"/>
      <c r="AGT224" s="31"/>
      <c r="AGU224" s="31"/>
      <c r="AGV224" s="31"/>
      <c r="AGW224" s="31"/>
      <c r="AGX224" s="31"/>
      <c r="AGY224" s="31"/>
      <c r="AGZ224" s="31"/>
      <c r="AHA224" s="31"/>
      <c r="AHB224" s="31"/>
      <c r="AHC224" s="31"/>
      <c r="AHD224" s="31"/>
      <c r="AHE224" s="31"/>
      <c r="AHF224" s="31"/>
      <c r="AHG224" s="31"/>
      <c r="AHH224" s="31"/>
      <c r="AHI224" s="31"/>
      <c r="AHJ224" s="31"/>
      <c r="AHK224" s="31"/>
      <c r="AHL224" s="31"/>
      <c r="AHM224" s="31"/>
      <c r="AHN224" s="31"/>
      <c r="AHO224" s="31"/>
      <c r="AHP224" s="31"/>
      <c r="AHQ224" s="31"/>
      <c r="AHR224" s="31"/>
      <c r="AHS224" s="31"/>
      <c r="AHT224" s="31"/>
      <c r="AHU224" s="31"/>
      <c r="AHV224" s="31"/>
      <c r="AHW224" s="31"/>
      <c r="AHX224" s="31"/>
      <c r="AHY224" s="31"/>
      <c r="AHZ224" s="31"/>
      <c r="AIA224" s="31"/>
      <c r="AIB224" s="31"/>
      <c r="AIC224" s="31"/>
      <c r="AID224" s="31"/>
      <c r="AIE224" s="31"/>
      <c r="AIF224" s="31"/>
      <c r="AIG224" s="31"/>
      <c r="AIH224" s="31"/>
      <c r="AII224" s="31"/>
      <c r="AIJ224" s="31"/>
      <c r="AIK224" s="31"/>
      <c r="AIL224" s="31"/>
      <c r="AIM224" s="31"/>
      <c r="AIN224" s="31"/>
      <c r="AIO224" s="31"/>
      <c r="AIP224" s="31"/>
      <c r="AIQ224" s="31"/>
      <c r="AIR224" s="31"/>
      <c r="AIS224" s="31"/>
      <c r="AIT224" s="31"/>
      <c r="AIU224" s="31"/>
      <c r="AIV224" s="31"/>
      <c r="AIW224" s="31"/>
      <c r="AIX224" s="31"/>
      <c r="AIY224" s="31"/>
      <c r="AIZ224" s="31"/>
      <c r="AJA224" s="31"/>
      <c r="AJB224" s="31"/>
      <c r="AJC224" s="31"/>
      <c r="AJD224" s="31"/>
      <c r="AJE224" s="31"/>
      <c r="AJF224" s="31"/>
      <c r="AJG224" s="31"/>
      <c r="AJH224" s="31"/>
      <c r="AJI224" s="31"/>
      <c r="AJJ224" s="31"/>
      <c r="AJK224" s="31"/>
      <c r="AJL224" s="31"/>
      <c r="AJM224" s="31"/>
      <c r="AJN224" s="31"/>
      <c r="AJO224" s="31"/>
      <c r="AJP224" s="31"/>
      <c r="AJQ224" s="31"/>
      <c r="AJR224" s="31"/>
      <c r="AJS224" s="31"/>
      <c r="AJT224" s="31"/>
      <c r="AJU224" s="31"/>
      <c r="AJV224" s="31"/>
      <c r="AJW224" s="31"/>
      <c r="AJX224" s="31"/>
      <c r="AJY224" s="31"/>
      <c r="AJZ224" s="31"/>
      <c r="AKA224" s="31"/>
      <c r="AKB224" s="31"/>
      <c r="AKC224" s="31"/>
      <c r="AKD224" s="31"/>
      <c r="AKE224" s="31"/>
      <c r="AKF224" s="31"/>
      <c r="AKG224" s="31"/>
      <c r="AKH224" s="31"/>
      <c r="AKI224" s="31"/>
      <c r="AKJ224" s="31"/>
      <c r="AKK224" s="31"/>
      <c r="AKL224" s="31"/>
      <c r="AKM224" s="31"/>
      <c r="AKN224" s="31"/>
      <c r="AKO224" s="31"/>
      <c r="AKP224" s="31"/>
      <c r="AKQ224" s="31"/>
      <c r="AKR224" s="31"/>
      <c r="AKS224" s="31"/>
      <c r="AKT224" s="31"/>
      <c r="AKU224" s="31"/>
      <c r="AKV224" s="31"/>
      <c r="AKW224" s="31"/>
      <c r="AKX224" s="31"/>
      <c r="AKY224" s="31"/>
      <c r="AKZ224" s="31"/>
      <c r="ALA224" s="31"/>
      <c r="ALB224" s="31"/>
      <c r="ALC224" s="31"/>
      <c r="ALD224" s="31"/>
      <c r="ALE224" s="31"/>
      <c r="ALF224" s="31"/>
      <c r="ALG224" s="31"/>
      <c r="ALH224" s="31"/>
      <c r="ALI224" s="31"/>
      <c r="ALJ224" s="31"/>
      <c r="ALK224" s="31"/>
      <c r="ALL224" s="31"/>
      <c r="ALM224" s="31"/>
      <c r="ALN224" s="31"/>
      <c r="ALO224" s="31"/>
      <c r="ALP224" s="31"/>
      <c r="ALQ224" s="31"/>
      <c r="ALR224" s="31"/>
      <c r="ALS224" s="31"/>
      <c r="ALT224" s="31"/>
      <c r="ALU224" s="31"/>
      <c r="ALV224" s="31"/>
      <c r="ALW224" s="31"/>
      <c r="ALX224" s="31"/>
      <c r="ALY224" s="31"/>
      <c r="ALZ224" s="31"/>
      <c r="AMA224" s="31"/>
      <c r="AMB224" s="31"/>
      <c r="AMC224" s="31"/>
      <c r="AMD224" s="31"/>
      <c r="AME224" s="31"/>
      <c r="AMF224" s="31"/>
      <c r="AMG224" s="31"/>
      <c r="AMH224" s="31"/>
      <c r="AMI224" s="31"/>
      <c r="AMJ224" s="31"/>
      <c r="AMK224" s="31"/>
      <c r="AML224" s="31"/>
      <c r="AMM224" s="31"/>
      <c r="AMN224" s="31"/>
      <c r="AMO224" s="31"/>
      <c r="AMP224" s="31"/>
      <c r="AMQ224" s="31"/>
      <c r="AMR224" s="31"/>
      <c r="AMS224" s="31"/>
      <c r="AMT224" s="31"/>
      <c r="AMU224" s="31"/>
      <c r="AMV224" s="31"/>
      <c r="AMW224" s="31"/>
      <c r="AMX224" s="31"/>
      <c r="AMY224" s="31"/>
      <c r="AMZ224" s="31"/>
      <c r="ANA224" s="31"/>
      <c r="ANB224" s="31"/>
      <c r="ANC224" s="31"/>
      <c r="AND224" s="31"/>
      <c r="ANE224" s="31"/>
      <c r="ANF224" s="31"/>
      <c r="ANG224" s="31"/>
      <c r="ANH224" s="31"/>
      <c r="ANI224" s="31"/>
      <c r="ANJ224" s="31"/>
      <c r="ANK224" s="31"/>
      <c r="ANL224" s="31"/>
      <c r="ANM224" s="31"/>
      <c r="ANN224" s="31"/>
      <c r="ANO224" s="31"/>
      <c r="ANP224" s="31"/>
      <c r="ANQ224" s="31"/>
      <c r="ANR224" s="31"/>
      <c r="ANS224" s="31"/>
      <c r="ANT224" s="31"/>
      <c r="ANU224" s="31"/>
      <c r="ANV224" s="31"/>
      <c r="ANW224" s="31"/>
      <c r="ANX224" s="31"/>
      <c r="ANY224" s="31"/>
      <c r="ANZ224" s="31"/>
      <c r="AOA224" s="31"/>
      <c r="AOB224" s="31"/>
      <c r="AOC224" s="31"/>
      <c r="AOD224" s="31"/>
      <c r="AOE224" s="31"/>
      <c r="AOF224" s="31"/>
      <c r="AOG224" s="31"/>
      <c r="AOH224" s="31"/>
      <c r="AOI224" s="31"/>
      <c r="AOJ224" s="31"/>
      <c r="AOK224" s="31"/>
      <c r="AOL224" s="31"/>
      <c r="AOM224" s="31"/>
      <c r="AON224" s="31"/>
      <c r="AOO224" s="31"/>
      <c r="AOP224" s="31"/>
      <c r="AOQ224" s="31"/>
      <c r="AOR224" s="31"/>
      <c r="AOS224" s="31"/>
      <c r="AOT224" s="31"/>
      <c r="AOU224" s="31"/>
      <c r="AOV224" s="31"/>
      <c r="AOW224" s="31"/>
      <c r="AOX224" s="31"/>
      <c r="AOY224" s="31"/>
      <c r="AOZ224" s="31"/>
      <c r="APA224" s="31"/>
      <c r="APB224" s="31"/>
      <c r="APC224" s="31"/>
      <c r="APD224" s="31"/>
      <c r="APE224" s="31"/>
      <c r="APF224" s="31"/>
      <c r="APG224" s="31"/>
      <c r="APH224" s="31"/>
      <c r="API224" s="31"/>
      <c r="APJ224" s="31"/>
      <c r="APK224" s="31"/>
      <c r="APL224" s="31"/>
      <c r="APM224" s="31"/>
      <c r="APN224" s="31"/>
      <c r="APO224" s="31"/>
      <c r="APP224" s="31"/>
      <c r="APQ224" s="31"/>
      <c r="APR224" s="31"/>
      <c r="APS224" s="31"/>
      <c r="APT224" s="31"/>
      <c r="APU224" s="31"/>
      <c r="APV224" s="31"/>
      <c r="APW224" s="31"/>
      <c r="APX224" s="31"/>
      <c r="APY224" s="31"/>
      <c r="APZ224" s="31"/>
      <c r="AQA224" s="31"/>
      <c r="AQB224" s="31"/>
      <c r="AQC224" s="31"/>
      <c r="AQD224" s="31"/>
      <c r="AQE224" s="31"/>
      <c r="AQF224" s="31"/>
      <c r="AQG224" s="31"/>
      <c r="AQH224" s="31"/>
      <c r="AQI224" s="31"/>
      <c r="AQJ224" s="31"/>
      <c r="AQK224" s="31"/>
      <c r="AQL224" s="31"/>
      <c r="AQM224" s="31"/>
      <c r="AQN224" s="31"/>
      <c r="AQO224" s="31"/>
      <c r="AQP224" s="31"/>
      <c r="AQQ224" s="31"/>
      <c r="AQR224" s="31"/>
      <c r="AQS224" s="31"/>
      <c r="AQT224" s="31"/>
      <c r="AQU224" s="31"/>
      <c r="AQV224" s="31"/>
      <c r="AQW224" s="31"/>
      <c r="AQX224" s="31"/>
      <c r="AQY224" s="31"/>
      <c r="AQZ224" s="31"/>
      <c r="ARA224" s="31"/>
      <c r="ARB224" s="31"/>
      <c r="ARC224" s="31"/>
      <c r="ARD224" s="31"/>
      <c r="ARE224" s="31"/>
      <c r="ARF224" s="31"/>
      <c r="ARG224" s="31"/>
      <c r="ARH224" s="31"/>
      <c r="ARI224" s="31"/>
      <c r="ARJ224" s="31"/>
      <c r="ARK224" s="31"/>
      <c r="ARL224" s="31"/>
      <c r="ARM224" s="31"/>
      <c r="ARN224" s="31"/>
      <c r="ARO224" s="31"/>
      <c r="ARP224" s="31"/>
      <c r="ARQ224" s="31"/>
      <c r="ARR224" s="31"/>
      <c r="ARS224" s="31"/>
      <c r="ART224" s="31"/>
      <c r="ARU224" s="31"/>
      <c r="ARV224" s="31"/>
      <c r="ARW224" s="31"/>
      <c r="ARX224" s="31"/>
      <c r="ARY224" s="31"/>
      <c r="ARZ224" s="31"/>
      <c r="ASA224" s="31"/>
      <c r="ASB224" s="31"/>
      <c r="ASC224" s="31"/>
      <c r="ASD224" s="31"/>
      <c r="ASE224" s="31"/>
      <c r="ASF224" s="31"/>
      <c r="ASG224" s="31"/>
      <c r="ASH224" s="31"/>
      <c r="ASI224" s="31"/>
      <c r="ASJ224" s="31"/>
      <c r="ASK224" s="31"/>
      <c r="ASL224" s="31"/>
      <c r="ASM224" s="31"/>
      <c r="ASN224" s="31"/>
      <c r="ASO224" s="31"/>
      <c r="ASP224" s="31"/>
      <c r="ASQ224" s="31"/>
      <c r="ASR224" s="31"/>
      <c r="ASS224" s="31"/>
      <c r="AST224" s="31"/>
      <c r="ASU224" s="31"/>
      <c r="ASV224" s="31"/>
      <c r="ASW224" s="31"/>
      <c r="ASX224" s="31"/>
      <c r="ASY224" s="31"/>
      <c r="ASZ224" s="31"/>
      <c r="ATA224" s="31"/>
      <c r="ATB224" s="31"/>
      <c r="ATC224" s="31"/>
      <c r="ATD224" s="31"/>
      <c r="ATE224" s="31"/>
    </row>
    <row r="225" spans="1:1201" s="34" customFormat="1" ht="15.6" customHeight="1" x14ac:dyDescent="0.3">
      <c r="A225" s="76"/>
      <c r="B225" s="76"/>
      <c r="C225" s="57" t="s">
        <v>277</v>
      </c>
      <c r="D225" s="63"/>
      <c r="E225" s="63"/>
      <c r="F225" s="63"/>
      <c r="G225" s="144">
        <v>2818196.87</v>
      </c>
      <c r="H225" s="647">
        <v>3646301.6</v>
      </c>
      <c r="I225" s="629">
        <v>3646301.6</v>
      </c>
      <c r="J225" s="629">
        <v>3646301.6</v>
      </c>
      <c r="K225" s="629">
        <v>3646301.6</v>
      </c>
      <c r="L225" s="629">
        <f t="shared" si="378"/>
        <v>3646301.6</v>
      </c>
      <c r="M225" s="629">
        <f t="shared" si="378"/>
        <v>3646301.6</v>
      </c>
      <c r="N225" s="629">
        <v>3646301.6</v>
      </c>
      <c r="O225" s="629">
        <f>N225</f>
        <v>3646301.6</v>
      </c>
      <c r="P225" s="629">
        <v>3646301.6</v>
      </c>
      <c r="Q225" s="629">
        <v>3646301.6</v>
      </c>
      <c r="R225" s="629">
        <f>Q225</f>
        <v>3646301.6</v>
      </c>
      <c r="S225" s="924">
        <f>'MXD BS'!B121</f>
        <v>3578314.35</v>
      </c>
      <c r="T225" s="924">
        <f>'MXD BS'!C121</f>
        <v>3578314.35</v>
      </c>
      <c r="U225" s="924">
        <f>'MXD BS'!D121</f>
        <v>3578314.35</v>
      </c>
      <c r="V225" s="924">
        <f>'MXD BS'!E121</f>
        <v>3578314.35</v>
      </c>
      <c r="W225" s="924">
        <f>'MXD BS'!F121</f>
        <v>3578314.35</v>
      </c>
      <c r="X225" s="924">
        <f>'MXD BS'!G121</f>
        <v>3578314.35</v>
      </c>
      <c r="Y225" s="924">
        <f>'MXD BS'!H121</f>
        <v>3578314.35</v>
      </c>
      <c r="Z225" s="1076">
        <f>'MXD BS'!I121</f>
        <v>3578314.35</v>
      </c>
      <c r="AA225" s="1076">
        <f>'MXD BS'!J121</f>
        <v>3578314.35</v>
      </c>
      <c r="AB225" s="1076">
        <f>'MXD BS'!K121</f>
        <v>3578314.35</v>
      </c>
      <c r="AC225" s="1076">
        <f>'MXD BS'!L121</f>
        <v>3578314.35</v>
      </c>
      <c r="AD225" s="1076">
        <f>'MXD BS'!M121</f>
        <v>3578314.35</v>
      </c>
      <c r="AE225" s="1076">
        <f>'MXD BS'!N121</f>
        <v>4646994.46</v>
      </c>
      <c r="AF225" s="1076">
        <f>'MXD BS'!O121</f>
        <v>4646994.46</v>
      </c>
      <c r="AG225" s="1076">
        <f>'MXD BS'!P121</f>
        <v>4646994.46</v>
      </c>
      <c r="AH225" s="1076">
        <f>'MXD BS'!Q121</f>
        <v>4646994.46</v>
      </c>
      <c r="AI225" s="1076">
        <f>'MXD BS'!R121</f>
        <v>4646994.46</v>
      </c>
      <c r="AJ225" s="1076">
        <f>'MXD BS'!S121</f>
        <v>4646994.46</v>
      </c>
      <c r="AK225" s="1076">
        <f>'MXD BS'!T121</f>
        <v>4646994.46</v>
      </c>
      <c r="AL225" s="1076">
        <f>'MXD BS'!U121</f>
        <v>4646994.46</v>
      </c>
      <c r="AM225" s="1076">
        <f>'MXD BS'!V121</f>
        <v>4646994.46</v>
      </c>
      <c r="AN225" s="1076">
        <f>'MXD BS'!W121</f>
        <v>4646994.46</v>
      </c>
      <c r="AO225" s="1076">
        <f>'MXD BS'!X121</f>
        <v>4646994.46</v>
      </c>
      <c r="AP225" s="629">
        <f t="shared" ref="AP225:BC225" si="382">AO225</f>
        <v>4646994.46</v>
      </c>
      <c r="AQ225" s="629">
        <f t="shared" si="382"/>
        <v>4646994.46</v>
      </c>
      <c r="AR225" s="618">
        <f t="shared" si="382"/>
        <v>4646994.46</v>
      </c>
      <c r="AS225" s="629">
        <f t="shared" si="382"/>
        <v>4646994.46</v>
      </c>
      <c r="AT225" s="629">
        <f t="shared" si="382"/>
        <v>4646994.46</v>
      </c>
      <c r="AU225" s="629">
        <f t="shared" si="382"/>
        <v>4646994.46</v>
      </c>
      <c r="AV225" s="629">
        <f t="shared" si="382"/>
        <v>4646994.46</v>
      </c>
      <c r="AW225" s="629">
        <f t="shared" si="382"/>
        <v>4646994.46</v>
      </c>
      <c r="AX225" s="629">
        <f t="shared" si="382"/>
        <v>4646994.46</v>
      </c>
      <c r="AY225" s="629">
        <f t="shared" si="382"/>
        <v>4646994.46</v>
      </c>
      <c r="AZ225" s="629">
        <f t="shared" si="382"/>
        <v>4646994.46</v>
      </c>
      <c r="BA225" s="629">
        <f t="shared" si="382"/>
        <v>4646994.46</v>
      </c>
      <c r="BB225" s="629">
        <f t="shared" si="382"/>
        <v>4646994.46</v>
      </c>
      <c r="BC225" s="629">
        <f t="shared" si="382"/>
        <v>4646994.46</v>
      </c>
      <c r="BE225" s="1195">
        <v>2909063.6</v>
      </c>
      <c r="BF225" s="924">
        <f>AQ225</f>
        <v>4646994.46</v>
      </c>
      <c r="BG225" s="1195">
        <f t="shared" si="381"/>
        <v>4646994.46</v>
      </c>
      <c r="BH225" s="31"/>
      <c r="BI225" s="31"/>
      <c r="BJ225" s="31"/>
      <c r="BK225" s="31"/>
      <c r="BL225" s="31"/>
      <c r="BM225" s="31"/>
      <c r="BN225" s="31"/>
      <c r="BO225" s="31"/>
      <c r="BP225" s="31"/>
      <c r="BQ225" s="31"/>
      <c r="BR225" s="31"/>
      <c r="BS225" s="31"/>
      <c r="BT225" s="31"/>
      <c r="BU225" s="31"/>
      <c r="BV225" s="31"/>
      <c r="BW225" s="31"/>
      <c r="BX225" s="31"/>
      <c r="BY225" s="31"/>
      <c r="BZ225" s="31"/>
      <c r="CA225" s="31"/>
      <c r="CB225" s="31"/>
      <c r="CC225" s="31"/>
      <c r="CD225" s="31"/>
      <c r="CE225" s="31"/>
      <c r="CF225" s="31"/>
      <c r="CG225" s="31"/>
      <c r="CH225" s="31"/>
      <c r="CI225" s="31"/>
      <c r="CJ225" s="31"/>
      <c r="CK225" s="31"/>
      <c r="CL225" s="31"/>
      <c r="CM225" s="31"/>
      <c r="CN225" s="31"/>
      <c r="CO225" s="31"/>
      <c r="CP225" s="31"/>
      <c r="CQ225" s="31"/>
      <c r="CR225" s="31"/>
      <c r="CS225" s="31"/>
      <c r="CT225" s="31"/>
      <c r="CU225" s="31"/>
      <c r="CV225" s="31"/>
      <c r="CW225" s="31"/>
      <c r="CX225" s="31"/>
      <c r="CY225" s="31"/>
      <c r="CZ225" s="31"/>
      <c r="DA225" s="31"/>
      <c r="DB225" s="31"/>
      <c r="DC225" s="31"/>
      <c r="DD225" s="31"/>
      <c r="DE225" s="31"/>
      <c r="DF225" s="31"/>
      <c r="DG225" s="31"/>
      <c r="DH225" s="31"/>
      <c r="DI225" s="31"/>
      <c r="DJ225" s="31"/>
      <c r="DK225" s="31"/>
      <c r="DL225" s="31"/>
      <c r="DM225" s="31"/>
      <c r="DN225" s="31"/>
      <c r="DO225" s="31"/>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c r="EX225" s="31"/>
      <c r="EY225" s="31"/>
      <c r="EZ225" s="31"/>
      <c r="FA225" s="31"/>
      <c r="FB225" s="31"/>
      <c r="FC225" s="31"/>
      <c r="FD225" s="31"/>
      <c r="FE225" s="31"/>
      <c r="FF225" s="31"/>
      <c r="FG225" s="31"/>
      <c r="FH225" s="31"/>
      <c r="FI225" s="31"/>
      <c r="FJ225" s="31"/>
      <c r="FK225" s="31"/>
      <c r="FL225" s="31"/>
      <c r="FM225" s="31"/>
      <c r="FN225" s="31"/>
      <c r="FO225" s="31"/>
      <c r="FP225" s="31"/>
      <c r="FQ225" s="31"/>
      <c r="FR225" s="31"/>
      <c r="FS225" s="31"/>
      <c r="FT225" s="31"/>
      <c r="FU225" s="31"/>
      <c r="FV225" s="31"/>
      <c r="FW225" s="31"/>
      <c r="FX225" s="31"/>
      <c r="FY225" s="31"/>
      <c r="FZ225" s="31"/>
      <c r="GA225" s="31"/>
      <c r="GB225" s="31"/>
      <c r="GC225" s="31"/>
      <c r="GD225" s="31"/>
      <c r="GE225" s="31"/>
      <c r="GF225" s="31"/>
      <c r="GG225" s="31"/>
      <c r="GH225" s="31"/>
      <c r="GI225" s="31"/>
      <c r="GJ225" s="31"/>
      <c r="GK225" s="31"/>
      <c r="GL225" s="31"/>
      <c r="GM225" s="31"/>
      <c r="GN225" s="31"/>
      <c r="GO225" s="31"/>
      <c r="GP225" s="31"/>
      <c r="GQ225" s="31"/>
      <c r="GR225" s="31"/>
      <c r="GS225" s="31"/>
      <c r="GT225" s="31"/>
      <c r="GU225" s="31"/>
      <c r="GV225" s="31"/>
      <c r="GW225" s="31"/>
      <c r="GX225" s="31"/>
      <c r="GY225" s="31"/>
      <c r="GZ225" s="31"/>
      <c r="HA225" s="31"/>
      <c r="HB225" s="31"/>
      <c r="HC225" s="31"/>
      <c r="HD225" s="31"/>
      <c r="HE225" s="31"/>
      <c r="HF225" s="31"/>
      <c r="HG225" s="31"/>
      <c r="HH225" s="31"/>
      <c r="HI225" s="31"/>
      <c r="HJ225" s="31"/>
      <c r="HK225" s="31"/>
      <c r="HL225" s="31"/>
      <c r="HM225" s="31"/>
      <c r="HN225" s="31"/>
      <c r="HO225" s="31"/>
      <c r="HP225" s="31"/>
      <c r="HQ225" s="31"/>
      <c r="HR225" s="31"/>
      <c r="HS225" s="31"/>
      <c r="HT225" s="31"/>
      <c r="HU225" s="31"/>
      <c r="HV225" s="31"/>
      <c r="HW225" s="31"/>
      <c r="HX225" s="31"/>
      <c r="HY225" s="31"/>
      <c r="HZ225" s="31"/>
      <c r="IA225" s="31"/>
      <c r="IB225" s="31"/>
      <c r="IC225" s="31"/>
      <c r="ID225" s="31"/>
      <c r="IE225" s="31"/>
      <c r="IF225" s="31"/>
      <c r="IG225" s="31"/>
      <c r="IH225" s="31"/>
      <c r="II225" s="31"/>
      <c r="IJ225" s="31"/>
      <c r="IK225" s="31"/>
      <c r="IL225" s="31"/>
      <c r="IM225" s="31"/>
      <c r="IN225" s="31"/>
      <c r="IO225" s="31"/>
      <c r="IP225" s="31"/>
      <c r="IQ225" s="31"/>
      <c r="IR225" s="31"/>
      <c r="IS225" s="31"/>
      <c r="IT225" s="31"/>
      <c r="IU225" s="31"/>
      <c r="IV225" s="31"/>
      <c r="IW225" s="31"/>
      <c r="IX225" s="31"/>
      <c r="IY225" s="31"/>
      <c r="IZ225" s="31"/>
      <c r="JA225" s="31"/>
      <c r="JB225" s="31"/>
      <c r="JC225" s="31"/>
      <c r="JD225" s="31"/>
      <c r="JE225" s="31"/>
      <c r="JF225" s="31"/>
      <c r="JG225" s="31"/>
      <c r="JH225" s="31"/>
      <c r="JI225" s="31"/>
      <c r="JJ225" s="31"/>
      <c r="JK225" s="31"/>
      <c r="JL225" s="31"/>
      <c r="JM225" s="31"/>
      <c r="JN225" s="31"/>
      <c r="JO225" s="31"/>
      <c r="JP225" s="31"/>
      <c r="JQ225" s="31"/>
      <c r="JR225" s="31"/>
      <c r="JS225" s="31"/>
      <c r="JT225" s="31"/>
      <c r="JU225" s="31"/>
      <c r="JV225" s="31"/>
      <c r="JW225" s="31"/>
      <c r="JX225" s="31"/>
      <c r="JY225" s="31"/>
      <c r="JZ225" s="31"/>
      <c r="KA225" s="31"/>
      <c r="KB225" s="31"/>
      <c r="KC225" s="31"/>
      <c r="KD225" s="31"/>
      <c r="KE225" s="31"/>
      <c r="KF225" s="31"/>
      <c r="KG225" s="31"/>
      <c r="KH225" s="31"/>
      <c r="KI225" s="31"/>
      <c r="KJ225" s="31"/>
      <c r="KK225" s="31"/>
      <c r="KL225" s="31"/>
      <c r="KM225" s="31"/>
      <c r="KN225" s="31"/>
      <c r="KO225" s="31"/>
      <c r="KP225" s="31"/>
      <c r="KQ225" s="31"/>
      <c r="KR225" s="31"/>
      <c r="KS225" s="31"/>
      <c r="KT225" s="31"/>
      <c r="KU225" s="31"/>
      <c r="KV225" s="31"/>
      <c r="KW225" s="31"/>
      <c r="KX225" s="31"/>
      <c r="KY225" s="31"/>
      <c r="KZ225" s="31"/>
      <c r="LA225" s="31"/>
      <c r="LB225" s="31"/>
      <c r="LC225" s="31"/>
      <c r="LD225" s="31"/>
      <c r="LE225" s="31"/>
      <c r="LF225" s="31"/>
      <c r="LG225" s="31"/>
      <c r="LH225" s="31"/>
      <c r="LI225" s="31"/>
      <c r="LJ225" s="31"/>
      <c r="LK225" s="31"/>
      <c r="LL225" s="31"/>
      <c r="LM225" s="31"/>
      <c r="LN225" s="31"/>
      <c r="LO225" s="31"/>
      <c r="LP225" s="31"/>
      <c r="LQ225" s="31"/>
      <c r="LR225" s="31"/>
      <c r="LS225" s="31"/>
      <c r="LT225" s="31"/>
      <c r="LU225" s="31"/>
      <c r="LV225" s="31"/>
      <c r="LW225" s="31"/>
      <c r="LX225" s="31"/>
      <c r="LY225" s="31"/>
      <c r="LZ225" s="31"/>
      <c r="MA225" s="31"/>
      <c r="MB225" s="31"/>
      <c r="MC225" s="31"/>
      <c r="MD225" s="31"/>
      <c r="ME225" s="31"/>
      <c r="MF225" s="31"/>
      <c r="MG225" s="31"/>
      <c r="MH225" s="31"/>
      <c r="MI225" s="31"/>
      <c r="MJ225" s="31"/>
      <c r="MK225" s="31"/>
      <c r="ML225" s="31"/>
      <c r="MM225" s="31"/>
      <c r="MN225" s="31"/>
      <c r="MO225" s="31"/>
      <c r="MP225" s="31"/>
      <c r="MQ225" s="31"/>
      <c r="MR225" s="31"/>
      <c r="MS225" s="31"/>
      <c r="MT225" s="31"/>
      <c r="MU225" s="31"/>
      <c r="MV225" s="31"/>
      <c r="MW225" s="31"/>
      <c r="MX225" s="31"/>
      <c r="MY225" s="31"/>
      <c r="MZ225" s="31"/>
      <c r="NA225" s="31"/>
      <c r="NB225" s="31"/>
      <c r="NC225" s="31"/>
      <c r="ND225" s="31"/>
      <c r="NE225" s="31"/>
      <c r="NF225" s="31"/>
      <c r="NG225" s="31"/>
      <c r="NH225" s="31"/>
      <c r="NI225" s="31"/>
      <c r="NJ225" s="31"/>
      <c r="NK225" s="31"/>
      <c r="NL225" s="31"/>
      <c r="NM225" s="31"/>
      <c r="NN225" s="31"/>
      <c r="NO225" s="31"/>
      <c r="NP225" s="31"/>
      <c r="NQ225" s="31"/>
      <c r="NR225" s="31"/>
      <c r="NS225" s="31"/>
      <c r="NT225" s="31"/>
      <c r="NU225" s="31"/>
      <c r="NV225" s="31"/>
      <c r="NW225" s="31"/>
      <c r="NX225" s="31"/>
      <c r="NY225" s="31"/>
      <c r="NZ225" s="31"/>
      <c r="OA225" s="31"/>
      <c r="OB225" s="31"/>
      <c r="OC225" s="31"/>
      <c r="OD225" s="31"/>
      <c r="OE225" s="31"/>
      <c r="OF225" s="31"/>
      <c r="OG225" s="31"/>
      <c r="OH225" s="31"/>
      <c r="OI225" s="31"/>
      <c r="OJ225" s="31"/>
      <c r="OK225" s="31"/>
      <c r="OL225" s="31"/>
      <c r="OM225" s="31"/>
      <c r="ON225" s="31"/>
      <c r="OO225" s="31"/>
      <c r="OP225" s="31"/>
      <c r="OQ225" s="31"/>
      <c r="OR225" s="31"/>
      <c r="OS225" s="31"/>
      <c r="OT225" s="31"/>
      <c r="OU225" s="31"/>
      <c r="OV225" s="31"/>
      <c r="OW225" s="31"/>
      <c r="OX225" s="31"/>
      <c r="OY225" s="31"/>
      <c r="OZ225" s="31"/>
      <c r="PA225" s="31"/>
      <c r="PB225" s="31"/>
      <c r="PC225" s="31"/>
      <c r="PD225" s="31"/>
      <c r="PE225" s="31"/>
      <c r="PF225" s="31"/>
      <c r="PG225" s="31"/>
      <c r="PH225" s="31"/>
      <c r="PI225" s="31"/>
      <c r="PJ225" s="31"/>
      <c r="PK225" s="31"/>
      <c r="PL225" s="31"/>
      <c r="PM225" s="31"/>
      <c r="PN225" s="31"/>
      <c r="PO225" s="31"/>
      <c r="PP225" s="31"/>
      <c r="PQ225" s="31"/>
      <c r="PR225" s="31"/>
      <c r="PS225" s="31"/>
      <c r="PT225" s="31"/>
      <c r="PU225" s="31"/>
      <c r="PV225" s="31"/>
      <c r="PW225" s="31"/>
      <c r="PX225" s="31"/>
      <c r="PY225" s="31"/>
      <c r="PZ225" s="31"/>
      <c r="QA225" s="31"/>
      <c r="QB225" s="31"/>
      <c r="QC225" s="31"/>
      <c r="QD225" s="31"/>
      <c r="QE225" s="31"/>
      <c r="QF225" s="31"/>
      <c r="QG225" s="31"/>
      <c r="QH225" s="31"/>
      <c r="QI225" s="31"/>
      <c r="QJ225" s="31"/>
      <c r="QK225" s="31"/>
      <c r="QL225" s="31"/>
      <c r="QM225" s="31"/>
      <c r="QN225" s="31"/>
      <c r="QO225" s="31"/>
      <c r="QP225" s="31"/>
      <c r="QQ225" s="31"/>
      <c r="QR225" s="31"/>
      <c r="QS225" s="31"/>
      <c r="QT225" s="31"/>
      <c r="QU225" s="31"/>
      <c r="QV225" s="31"/>
      <c r="QW225" s="31"/>
      <c r="QX225" s="31"/>
      <c r="QY225" s="31"/>
      <c r="QZ225" s="31"/>
      <c r="RA225" s="31"/>
      <c r="RB225" s="31"/>
      <c r="RC225" s="31"/>
      <c r="RD225" s="31"/>
      <c r="RE225" s="31"/>
      <c r="RF225" s="31"/>
      <c r="RG225" s="31"/>
      <c r="RH225" s="31"/>
      <c r="RI225" s="31"/>
      <c r="RJ225" s="31"/>
      <c r="RK225" s="31"/>
      <c r="RL225" s="31"/>
      <c r="RM225" s="31"/>
      <c r="RN225" s="31"/>
      <c r="RO225" s="31"/>
      <c r="RP225" s="31"/>
      <c r="RQ225" s="31"/>
      <c r="RR225" s="31"/>
      <c r="RS225" s="31"/>
      <c r="RT225" s="31"/>
      <c r="RU225" s="31"/>
      <c r="RV225" s="31"/>
      <c r="RW225" s="31"/>
      <c r="RX225" s="31"/>
      <c r="RY225" s="31"/>
      <c r="RZ225" s="31"/>
      <c r="SA225" s="31"/>
      <c r="SB225" s="31"/>
      <c r="SC225" s="31"/>
      <c r="SD225" s="31"/>
      <c r="SE225" s="31"/>
      <c r="SF225" s="31"/>
      <c r="SG225" s="31"/>
      <c r="SH225" s="31"/>
      <c r="SI225" s="31"/>
      <c r="SJ225" s="31"/>
      <c r="SK225" s="31"/>
      <c r="SL225" s="31"/>
      <c r="SM225" s="31"/>
      <c r="SN225" s="31"/>
      <c r="SO225" s="31"/>
      <c r="SP225" s="31"/>
      <c r="SQ225" s="31"/>
      <c r="SR225" s="31"/>
      <c r="SS225" s="31"/>
      <c r="ST225" s="31"/>
      <c r="SU225" s="31"/>
      <c r="SV225" s="31"/>
      <c r="SW225" s="31"/>
      <c r="SX225" s="31"/>
      <c r="SY225" s="31"/>
      <c r="SZ225" s="31"/>
      <c r="TA225" s="31"/>
      <c r="TB225" s="31"/>
      <c r="TC225" s="31"/>
      <c r="TD225" s="31"/>
      <c r="TE225" s="31"/>
      <c r="TF225" s="31"/>
      <c r="TG225" s="31"/>
      <c r="TH225" s="31"/>
      <c r="TI225" s="31"/>
      <c r="TJ225" s="31"/>
      <c r="TK225" s="31"/>
      <c r="TL225" s="31"/>
      <c r="TM225" s="31"/>
      <c r="TN225" s="31"/>
      <c r="TO225" s="31"/>
      <c r="TP225" s="31"/>
      <c r="TQ225" s="31"/>
      <c r="TR225" s="31"/>
      <c r="TS225" s="31"/>
      <c r="TT225" s="31"/>
      <c r="TU225" s="31"/>
      <c r="TV225" s="31"/>
      <c r="TW225" s="31"/>
      <c r="TX225" s="31"/>
      <c r="TY225" s="31"/>
      <c r="TZ225" s="31"/>
      <c r="UA225" s="31"/>
      <c r="UB225" s="31"/>
      <c r="UC225" s="31"/>
      <c r="UD225" s="31"/>
      <c r="UE225" s="31"/>
      <c r="UF225" s="31"/>
      <c r="UG225" s="31"/>
      <c r="UH225" s="31"/>
      <c r="UI225" s="31"/>
      <c r="UJ225" s="31"/>
      <c r="UK225" s="31"/>
      <c r="UL225" s="31"/>
      <c r="UM225" s="31"/>
      <c r="UN225" s="31"/>
      <c r="UO225" s="31"/>
      <c r="UP225" s="31"/>
      <c r="UQ225" s="31"/>
      <c r="UR225" s="31"/>
      <c r="US225" s="31"/>
      <c r="UT225" s="31"/>
      <c r="UU225" s="31"/>
      <c r="UV225" s="31"/>
      <c r="UW225" s="31"/>
      <c r="UX225" s="31"/>
      <c r="UY225" s="31"/>
      <c r="UZ225" s="31"/>
      <c r="VA225" s="31"/>
      <c r="VB225" s="31"/>
      <c r="VC225" s="31"/>
      <c r="VD225" s="31"/>
      <c r="VE225" s="31"/>
      <c r="VF225" s="31"/>
      <c r="VG225" s="31"/>
      <c r="VH225" s="31"/>
      <c r="VI225" s="31"/>
      <c r="VJ225" s="31"/>
      <c r="VK225" s="31"/>
      <c r="VL225" s="31"/>
      <c r="VM225" s="31"/>
      <c r="VN225" s="31"/>
      <c r="VO225" s="31"/>
      <c r="VP225" s="31"/>
      <c r="VQ225" s="31"/>
      <c r="VR225" s="31"/>
      <c r="VS225" s="31"/>
      <c r="VT225" s="31"/>
      <c r="VU225" s="31"/>
      <c r="VV225" s="31"/>
      <c r="VW225" s="31"/>
      <c r="VX225" s="31"/>
      <c r="VY225" s="31"/>
      <c r="VZ225" s="31"/>
      <c r="WA225" s="31"/>
      <c r="WB225" s="31"/>
      <c r="WC225" s="31"/>
      <c r="WD225" s="31"/>
      <c r="WE225" s="31"/>
      <c r="WF225" s="31"/>
      <c r="WG225" s="31"/>
      <c r="WH225" s="31"/>
      <c r="WI225" s="31"/>
      <c r="WJ225" s="31"/>
      <c r="WK225" s="31"/>
      <c r="WL225" s="31"/>
      <c r="WM225" s="31"/>
      <c r="WN225" s="31"/>
      <c r="WO225" s="31"/>
      <c r="WP225" s="31"/>
      <c r="WQ225" s="31"/>
      <c r="WR225" s="31"/>
      <c r="WS225" s="31"/>
      <c r="WT225" s="31"/>
      <c r="WU225" s="31"/>
      <c r="WV225" s="31"/>
      <c r="WW225" s="31"/>
      <c r="WX225" s="31"/>
      <c r="WY225" s="31"/>
      <c r="WZ225" s="31"/>
      <c r="XA225" s="31"/>
      <c r="XB225" s="31"/>
      <c r="XC225" s="31"/>
      <c r="XD225" s="31"/>
      <c r="XE225" s="31"/>
      <c r="XF225" s="31"/>
      <c r="XG225" s="31"/>
      <c r="XH225" s="31"/>
      <c r="XI225" s="31"/>
      <c r="XJ225" s="31"/>
      <c r="XK225" s="31"/>
      <c r="XL225" s="31"/>
      <c r="XM225" s="31"/>
      <c r="XN225" s="31"/>
      <c r="XO225" s="31"/>
      <c r="XP225" s="31"/>
      <c r="XQ225" s="31"/>
      <c r="XR225" s="31"/>
      <c r="XS225" s="31"/>
      <c r="XT225" s="31"/>
      <c r="XU225" s="31"/>
      <c r="XV225" s="31"/>
      <c r="XW225" s="31"/>
      <c r="XX225" s="31"/>
      <c r="XY225" s="31"/>
      <c r="XZ225" s="31"/>
      <c r="YA225" s="31"/>
      <c r="YB225" s="31"/>
      <c r="YC225" s="31"/>
      <c r="YD225" s="31"/>
      <c r="YE225" s="31"/>
      <c r="YF225" s="31"/>
      <c r="YG225" s="31"/>
      <c r="YH225" s="31"/>
      <c r="YI225" s="31"/>
      <c r="YJ225" s="31"/>
      <c r="YK225" s="31"/>
      <c r="YL225" s="31"/>
      <c r="YM225" s="31"/>
      <c r="YN225" s="31"/>
      <c r="YO225" s="31"/>
      <c r="YP225" s="31"/>
      <c r="YQ225" s="31"/>
      <c r="YR225" s="31"/>
      <c r="YS225" s="31"/>
      <c r="YT225" s="31"/>
      <c r="YU225" s="31"/>
      <c r="YV225" s="31"/>
      <c r="YW225" s="31"/>
      <c r="YX225" s="31"/>
      <c r="YY225" s="31"/>
      <c r="YZ225" s="31"/>
      <c r="ZA225" s="31"/>
      <c r="ZB225" s="31"/>
      <c r="ZC225" s="31"/>
      <c r="ZD225" s="31"/>
      <c r="ZE225" s="31"/>
      <c r="ZF225" s="31"/>
      <c r="ZG225" s="31"/>
      <c r="ZH225" s="31"/>
      <c r="ZI225" s="31"/>
      <c r="ZJ225" s="31"/>
      <c r="ZK225" s="31"/>
      <c r="ZL225" s="31"/>
      <c r="ZM225" s="31"/>
      <c r="ZN225" s="31"/>
      <c r="ZO225" s="31"/>
      <c r="ZP225" s="31"/>
      <c r="ZQ225" s="31"/>
      <c r="ZR225" s="31"/>
      <c r="ZS225" s="31"/>
      <c r="ZT225" s="31"/>
      <c r="ZU225" s="31"/>
      <c r="ZV225" s="31"/>
      <c r="ZW225" s="31"/>
      <c r="ZX225" s="31"/>
      <c r="ZY225" s="31"/>
      <c r="ZZ225" s="31"/>
      <c r="AAA225" s="31"/>
      <c r="AAB225" s="31"/>
      <c r="AAC225" s="31"/>
      <c r="AAD225" s="31"/>
      <c r="AAE225" s="31"/>
      <c r="AAF225" s="31"/>
      <c r="AAG225" s="31"/>
      <c r="AAH225" s="31"/>
      <c r="AAI225" s="31"/>
      <c r="AAJ225" s="31"/>
      <c r="AAK225" s="31"/>
      <c r="AAL225" s="31"/>
      <c r="AAM225" s="31"/>
      <c r="AAN225" s="31"/>
      <c r="AAO225" s="31"/>
      <c r="AAP225" s="31"/>
      <c r="AAQ225" s="31"/>
      <c r="AAR225" s="31"/>
      <c r="AAS225" s="31"/>
      <c r="AAT225" s="31"/>
      <c r="AAU225" s="31"/>
      <c r="AAV225" s="31"/>
      <c r="AAW225" s="31"/>
      <c r="AAX225" s="31"/>
      <c r="AAY225" s="31"/>
      <c r="AAZ225" s="31"/>
      <c r="ABA225" s="31"/>
      <c r="ABB225" s="31"/>
      <c r="ABC225" s="31"/>
      <c r="ABD225" s="31"/>
      <c r="ABE225" s="31"/>
      <c r="ABF225" s="31"/>
      <c r="ABG225" s="31"/>
      <c r="ABH225" s="31"/>
      <c r="ABI225" s="31"/>
      <c r="ABJ225" s="31"/>
      <c r="ABK225" s="31"/>
      <c r="ABL225" s="31"/>
      <c r="ABM225" s="31"/>
      <c r="ABN225" s="31"/>
      <c r="ABO225" s="31"/>
      <c r="ABP225" s="31"/>
      <c r="ABQ225" s="31"/>
      <c r="ABR225" s="31"/>
      <c r="ABS225" s="31"/>
      <c r="ABT225" s="31"/>
      <c r="ABU225" s="31"/>
      <c r="ABV225" s="31"/>
      <c r="ABW225" s="31"/>
      <c r="ABX225" s="31"/>
      <c r="ABY225" s="31"/>
      <c r="ABZ225" s="31"/>
      <c r="ACA225" s="31"/>
      <c r="ACB225" s="31"/>
      <c r="ACC225" s="31"/>
      <c r="ACD225" s="31"/>
      <c r="ACE225" s="31"/>
      <c r="ACF225" s="31"/>
      <c r="ACG225" s="31"/>
      <c r="ACH225" s="31"/>
      <c r="ACI225" s="31"/>
      <c r="ACJ225" s="31"/>
      <c r="ACK225" s="31"/>
      <c r="ACL225" s="31"/>
      <c r="ACM225" s="31"/>
      <c r="ACN225" s="31"/>
      <c r="ACO225" s="31"/>
      <c r="ACP225" s="31"/>
      <c r="ACQ225" s="31"/>
      <c r="ACR225" s="31"/>
      <c r="ACS225" s="31"/>
      <c r="ACT225" s="31"/>
      <c r="ACU225" s="31"/>
      <c r="ACV225" s="31"/>
      <c r="ACW225" s="31"/>
      <c r="ACX225" s="31"/>
      <c r="ACY225" s="31"/>
      <c r="ACZ225" s="31"/>
      <c r="ADA225" s="31"/>
      <c r="ADB225" s="31"/>
      <c r="ADC225" s="31"/>
      <c r="ADD225" s="31"/>
      <c r="ADE225" s="31"/>
      <c r="ADF225" s="31"/>
      <c r="ADG225" s="31"/>
      <c r="ADH225" s="31"/>
      <c r="ADI225" s="31"/>
      <c r="ADJ225" s="31"/>
      <c r="ADK225" s="31"/>
      <c r="ADL225" s="31"/>
      <c r="ADM225" s="31"/>
      <c r="ADN225" s="31"/>
      <c r="ADO225" s="31"/>
      <c r="ADP225" s="31"/>
      <c r="ADQ225" s="31"/>
      <c r="ADR225" s="31"/>
      <c r="ADS225" s="31"/>
      <c r="ADT225" s="31"/>
      <c r="ADU225" s="31"/>
      <c r="ADV225" s="31"/>
      <c r="ADW225" s="31"/>
      <c r="ADX225" s="31"/>
      <c r="ADY225" s="31"/>
      <c r="ADZ225" s="31"/>
      <c r="AEA225" s="31"/>
      <c r="AEB225" s="31"/>
      <c r="AEC225" s="31"/>
      <c r="AED225" s="31"/>
      <c r="AEE225" s="31"/>
      <c r="AEF225" s="31"/>
      <c r="AEG225" s="31"/>
      <c r="AEH225" s="31"/>
      <c r="AEI225" s="31"/>
      <c r="AEJ225" s="31"/>
      <c r="AEK225" s="31"/>
      <c r="AEL225" s="31"/>
      <c r="AEM225" s="31"/>
      <c r="AEN225" s="31"/>
      <c r="AEO225" s="31"/>
      <c r="AEP225" s="31"/>
      <c r="AEQ225" s="31"/>
      <c r="AER225" s="31"/>
      <c r="AES225" s="31"/>
      <c r="AET225" s="31"/>
      <c r="AEU225" s="31"/>
      <c r="AEV225" s="31"/>
      <c r="AEW225" s="31"/>
      <c r="AEX225" s="31"/>
      <c r="AEY225" s="31"/>
      <c r="AEZ225" s="31"/>
      <c r="AFA225" s="31"/>
      <c r="AFB225" s="31"/>
      <c r="AFC225" s="31"/>
      <c r="AFD225" s="31"/>
      <c r="AFE225" s="31"/>
      <c r="AFF225" s="31"/>
      <c r="AFG225" s="31"/>
      <c r="AFH225" s="31"/>
      <c r="AFI225" s="31"/>
      <c r="AFJ225" s="31"/>
      <c r="AFK225" s="31"/>
      <c r="AFL225" s="31"/>
      <c r="AFM225" s="31"/>
      <c r="AFN225" s="31"/>
      <c r="AFO225" s="31"/>
      <c r="AFP225" s="31"/>
      <c r="AFQ225" s="31"/>
      <c r="AFR225" s="31"/>
      <c r="AFS225" s="31"/>
      <c r="AFT225" s="31"/>
      <c r="AFU225" s="31"/>
      <c r="AFV225" s="31"/>
      <c r="AFW225" s="31"/>
      <c r="AFX225" s="31"/>
      <c r="AFY225" s="31"/>
      <c r="AFZ225" s="31"/>
      <c r="AGA225" s="31"/>
      <c r="AGB225" s="31"/>
      <c r="AGC225" s="31"/>
      <c r="AGD225" s="31"/>
      <c r="AGE225" s="31"/>
      <c r="AGF225" s="31"/>
      <c r="AGG225" s="31"/>
      <c r="AGH225" s="31"/>
      <c r="AGI225" s="31"/>
      <c r="AGJ225" s="31"/>
      <c r="AGK225" s="31"/>
      <c r="AGL225" s="31"/>
      <c r="AGM225" s="31"/>
      <c r="AGN225" s="31"/>
      <c r="AGO225" s="31"/>
      <c r="AGP225" s="31"/>
      <c r="AGQ225" s="31"/>
      <c r="AGR225" s="31"/>
      <c r="AGS225" s="31"/>
      <c r="AGT225" s="31"/>
      <c r="AGU225" s="31"/>
      <c r="AGV225" s="31"/>
      <c r="AGW225" s="31"/>
      <c r="AGX225" s="31"/>
      <c r="AGY225" s="31"/>
      <c r="AGZ225" s="31"/>
      <c r="AHA225" s="31"/>
      <c r="AHB225" s="31"/>
      <c r="AHC225" s="31"/>
      <c r="AHD225" s="31"/>
      <c r="AHE225" s="31"/>
      <c r="AHF225" s="31"/>
      <c r="AHG225" s="31"/>
      <c r="AHH225" s="31"/>
      <c r="AHI225" s="31"/>
      <c r="AHJ225" s="31"/>
      <c r="AHK225" s="31"/>
      <c r="AHL225" s="31"/>
      <c r="AHM225" s="31"/>
      <c r="AHN225" s="31"/>
      <c r="AHO225" s="31"/>
      <c r="AHP225" s="31"/>
      <c r="AHQ225" s="31"/>
      <c r="AHR225" s="31"/>
      <c r="AHS225" s="31"/>
      <c r="AHT225" s="31"/>
      <c r="AHU225" s="31"/>
      <c r="AHV225" s="31"/>
      <c r="AHW225" s="31"/>
      <c r="AHX225" s="31"/>
      <c r="AHY225" s="31"/>
      <c r="AHZ225" s="31"/>
      <c r="AIA225" s="31"/>
      <c r="AIB225" s="31"/>
      <c r="AIC225" s="31"/>
      <c r="AID225" s="31"/>
      <c r="AIE225" s="31"/>
      <c r="AIF225" s="31"/>
      <c r="AIG225" s="31"/>
      <c r="AIH225" s="31"/>
      <c r="AII225" s="31"/>
      <c r="AIJ225" s="31"/>
      <c r="AIK225" s="31"/>
      <c r="AIL225" s="31"/>
      <c r="AIM225" s="31"/>
      <c r="AIN225" s="31"/>
      <c r="AIO225" s="31"/>
      <c r="AIP225" s="31"/>
      <c r="AIQ225" s="31"/>
      <c r="AIR225" s="31"/>
      <c r="AIS225" s="31"/>
      <c r="AIT225" s="31"/>
      <c r="AIU225" s="31"/>
      <c r="AIV225" s="31"/>
      <c r="AIW225" s="31"/>
      <c r="AIX225" s="31"/>
      <c r="AIY225" s="31"/>
      <c r="AIZ225" s="31"/>
      <c r="AJA225" s="31"/>
      <c r="AJB225" s="31"/>
      <c r="AJC225" s="31"/>
      <c r="AJD225" s="31"/>
      <c r="AJE225" s="31"/>
      <c r="AJF225" s="31"/>
      <c r="AJG225" s="31"/>
      <c r="AJH225" s="31"/>
      <c r="AJI225" s="31"/>
      <c r="AJJ225" s="31"/>
      <c r="AJK225" s="31"/>
      <c r="AJL225" s="31"/>
      <c r="AJM225" s="31"/>
      <c r="AJN225" s="31"/>
      <c r="AJO225" s="31"/>
      <c r="AJP225" s="31"/>
      <c r="AJQ225" s="31"/>
      <c r="AJR225" s="31"/>
      <c r="AJS225" s="31"/>
      <c r="AJT225" s="31"/>
      <c r="AJU225" s="31"/>
      <c r="AJV225" s="31"/>
      <c r="AJW225" s="31"/>
      <c r="AJX225" s="31"/>
      <c r="AJY225" s="31"/>
      <c r="AJZ225" s="31"/>
      <c r="AKA225" s="31"/>
      <c r="AKB225" s="31"/>
      <c r="AKC225" s="31"/>
      <c r="AKD225" s="31"/>
      <c r="AKE225" s="31"/>
      <c r="AKF225" s="31"/>
      <c r="AKG225" s="31"/>
      <c r="AKH225" s="31"/>
      <c r="AKI225" s="31"/>
      <c r="AKJ225" s="31"/>
      <c r="AKK225" s="31"/>
      <c r="AKL225" s="31"/>
      <c r="AKM225" s="31"/>
      <c r="AKN225" s="31"/>
      <c r="AKO225" s="31"/>
      <c r="AKP225" s="31"/>
      <c r="AKQ225" s="31"/>
      <c r="AKR225" s="31"/>
      <c r="AKS225" s="31"/>
      <c r="AKT225" s="31"/>
      <c r="AKU225" s="31"/>
      <c r="AKV225" s="31"/>
      <c r="AKW225" s="31"/>
      <c r="AKX225" s="31"/>
      <c r="AKY225" s="31"/>
      <c r="AKZ225" s="31"/>
      <c r="ALA225" s="31"/>
      <c r="ALB225" s="31"/>
      <c r="ALC225" s="31"/>
      <c r="ALD225" s="31"/>
      <c r="ALE225" s="31"/>
      <c r="ALF225" s="31"/>
      <c r="ALG225" s="31"/>
      <c r="ALH225" s="31"/>
      <c r="ALI225" s="31"/>
      <c r="ALJ225" s="31"/>
      <c r="ALK225" s="31"/>
      <c r="ALL225" s="31"/>
      <c r="ALM225" s="31"/>
      <c r="ALN225" s="31"/>
      <c r="ALO225" s="31"/>
      <c r="ALP225" s="31"/>
      <c r="ALQ225" s="31"/>
      <c r="ALR225" s="31"/>
      <c r="ALS225" s="31"/>
      <c r="ALT225" s="31"/>
      <c r="ALU225" s="31"/>
      <c r="ALV225" s="31"/>
      <c r="ALW225" s="31"/>
      <c r="ALX225" s="31"/>
      <c r="ALY225" s="31"/>
      <c r="ALZ225" s="31"/>
      <c r="AMA225" s="31"/>
      <c r="AMB225" s="31"/>
      <c r="AMC225" s="31"/>
      <c r="AMD225" s="31"/>
      <c r="AME225" s="31"/>
      <c r="AMF225" s="31"/>
      <c r="AMG225" s="31"/>
      <c r="AMH225" s="31"/>
      <c r="AMI225" s="31"/>
      <c r="AMJ225" s="31"/>
      <c r="AMK225" s="31"/>
      <c r="AML225" s="31"/>
      <c r="AMM225" s="31"/>
      <c r="AMN225" s="31"/>
      <c r="AMO225" s="31"/>
      <c r="AMP225" s="31"/>
      <c r="AMQ225" s="31"/>
      <c r="AMR225" s="31"/>
      <c r="AMS225" s="31"/>
      <c r="AMT225" s="31"/>
      <c r="AMU225" s="31"/>
      <c r="AMV225" s="31"/>
      <c r="AMW225" s="31"/>
      <c r="AMX225" s="31"/>
      <c r="AMY225" s="31"/>
      <c r="AMZ225" s="31"/>
      <c r="ANA225" s="31"/>
      <c r="ANB225" s="31"/>
      <c r="ANC225" s="31"/>
      <c r="AND225" s="31"/>
      <c r="ANE225" s="31"/>
      <c r="ANF225" s="31"/>
      <c r="ANG225" s="31"/>
      <c r="ANH225" s="31"/>
      <c r="ANI225" s="31"/>
      <c r="ANJ225" s="31"/>
      <c r="ANK225" s="31"/>
      <c r="ANL225" s="31"/>
      <c r="ANM225" s="31"/>
      <c r="ANN225" s="31"/>
      <c r="ANO225" s="31"/>
      <c r="ANP225" s="31"/>
      <c r="ANQ225" s="31"/>
      <c r="ANR225" s="31"/>
      <c r="ANS225" s="31"/>
      <c r="ANT225" s="31"/>
      <c r="ANU225" s="31"/>
      <c r="ANV225" s="31"/>
      <c r="ANW225" s="31"/>
      <c r="ANX225" s="31"/>
      <c r="ANY225" s="31"/>
      <c r="ANZ225" s="31"/>
      <c r="AOA225" s="31"/>
      <c r="AOB225" s="31"/>
      <c r="AOC225" s="31"/>
      <c r="AOD225" s="31"/>
      <c r="AOE225" s="31"/>
      <c r="AOF225" s="31"/>
      <c r="AOG225" s="31"/>
      <c r="AOH225" s="31"/>
      <c r="AOI225" s="31"/>
      <c r="AOJ225" s="31"/>
      <c r="AOK225" s="31"/>
      <c r="AOL225" s="31"/>
      <c r="AOM225" s="31"/>
      <c r="AON225" s="31"/>
      <c r="AOO225" s="31"/>
      <c r="AOP225" s="31"/>
      <c r="AOQ225" s="31"/>
      <c r="AOR225" s="31"/>
      <c r="AOS225" s="31"/>
      <c r="AOT225" s="31"/>
      <c r="AOU225" s="31"/>
      <c r="AOV225" s="31"/>
      <c r="AOW225" s="31"/>
      <c r="AOX225" s="31"/>
      <c r="AOY225" s="31"/>
      <c r="AOZ225" s="31"/>
      <c r="APA225" s="31"/>
      <c r="APB225" s="31"/>
      <c r="APC225" s="31"/>
      <c r="APD225" s="31"/>
      <c r="APE225" s="31"/>
      <c r="APF225" s="31"/>
      <c r="APG225" s="31"/>
      <c r="APH225" s="31"/>
      <c r="API225" s="31"/>
      <c r="APJ225" s="31"/>
      <c r="APK225" s="31"/>
      <c r="APL225" s="31"/>
      <c r="APM225" s="31"/>
      <c r="APN225" s="31"/>
      <c r="APO225" s="31"/>
      <c r="APP225" s="31"/>
      <c r="APQ225" s="31"/>
      <c r="APR225" s="31"/>
      <c r="APS225" s="31"/>
      <c r="APT225" s="31"/>
      <c r="APU225" s="31"/>
      <c r="APV225" s="31"/>
      <c r="APW225" s="31"/>
      <c r="APX225" s="31"/>
      <c r="APY225" s="31"/>
      <c r="APZ225" s="31"/>
      <c r="AQA225" s="31"/>
      <c r="AQB225" s="31"/>
      <c r="AQC225" s="31"/>
      <c r="AQD225" s="31"/>
      <c r="AQE225" s="31"/>
      <c r="AQF225" s="31"/>
      <c r="AQG225" s="31"/>
      <c r="AQH225" s="31"/>
      <c r="AQI225" s="31"/>
      <c r="AQJ225" s="31"/>
      <c r="AQK225" s="31"/>
      <c r="AQL225" s="31"/>
      <c r="AQM225" s="31"/>
      <c r="AQN225" s="31"/>
      <c r="AQO225" s="31"/>
      <c r="AQP225" s="31"/>
      <c r="AQQ225" s="31"/>
      <c r="AQR225" s="31"/>
      <c r="AQS225" s="31"/>
      <c r="AQT225" s="31"/>
      <c r="AQU225" s="31"/>
      <c r="AQV225" s="31"/>
      <c r="AQW225" s="31"/>
      <c r="AQX225" s="31"/>
      <c r="AQY225" s="31"/>
      <c r="AQZ225" s="31"/>
      <c r="ARA225" s="31"/>
      <c r="ARB225" s="31"/>
      <c r="ARC225" s="31"/>
      <c r="ARD225" s="31"/>
      <c r="ARE225" s="31"/>
      <c r="ARF225" s="31"/>
      <c r="ARG225" s="31"/>
      <c r="ARH225" s="31"/>
      <c r="ARI225" s="31"/>
      <c r="ARJ225" s="31"/>
      <c r="ARK225" s="31"/>
      <c r="ARL225" s="31"/>
      <c r="ARM225" s="31"/>
      <c r="ARN225" s="31"/>
      <c r="ARO225" s="31"/>
      <c r="ARP225" s="31"/>
      <c r="ARQ225" s="31"/>
      <c r="ARR225" s="31"/>
      <c r="ARS225" s="31"/>
      <c r="ART225" s="31"/>
      <c r="ARU225" s="31"/>
      <c r="ARV225" s="31"/>
      <c r="ARW225" s="31"/>
      <c r="ARX225" s="31"/>
      <c r="ARY225" s="31"/>
      <c r="ARZ225" s="31"/>
      <c r="ASA225" s="31"/>
      <c r="ASB225" s="31"/>
      <c r="ASC225" s="31"/>
      <c r="ASD225" s="31"/>
      <c r="ASE225" s="31"/>
      <c r="ASF225" s="31"/>
      <c r="ASG225" s="31"/>
      <c r="ASH225" s="31"/>
      <c r="ASI225" s="31"/>
      <c r="ASJ225" s="31"/>
      <c r="ASK225" s="31"/>
      <c r="ASL225" s="31"/>
      <c r="ASM225" s="31"/>
      <c r="ASN225" s="31"/>
      <c r="ASO225" s="31"/>
      <c r="ASP225" s="31"/>
      <c r="ASQ225" s="31"/>
      <c r="ASR225" s="31"/>
      <c r="ASS225" s="31"/>
      <c r="AST225" s="31"/>
      <c r="ASU225" s="31"/>
      <c r="ASV225" s="31"/>
      <c r="ASW225" s="31"/>
      <c r="ASX225" s="31"/>
      <c r="ASY225" s="31"/>
      <c r="ASZ225" s="31"/>
      <c r="ATA225" s="31"/>
      <c r="ATB225" s="31"/>
      <c r="ATC225" s="31"/>
      <c r="ATD225" s="31"/>
      <c r="ATE225" s="31"/>
    </row>
    <row r="226" spans="1:1201" s="34" customFormat="1" ht="15.75" customHeight="1" x14ac:dyDescent="0.3">
      <c r="A226" s="76"/>
      <c r="B226" s="76"/>
      <c r="C226" s="57" t="s">
        <v>278</v>
      </c>
      <c r="D226" s="63"/>
      <c r="E226" s="63"/>
      <c r="F226" s="59"/>
      <c r="G226" s="144">
        <v>-737238</v>
      </c>
      <c r="H226" s="647">
        <v>-909750.79</v>
      </c>
      <c r="I226" s="629">
        <v>-909750.79</v>
      </c>
      <c r="J226" s="629">
        <v>-909750.79</v>
      </c>
      <c r="K226" s="629">
        <v>-909750.79</v>
      </c>
      <c r="L226" s="629">
        <f>K226+L261</f>
        <v>-909750.79</v>
      </c>
      <c r="M226" s="629">
        <f>L226+M261</f>
        <v>-909750.79</v>
      </c>
      <c r="N226" s="629">
        <v>-909750.79</v>
      </c>
      <c r="O226" s="629">
        <f>N226+O261</f>
        <v>-909750.79</v>
      </c>
      <c r="P226" s="629">
        <v>-909750.79</v>
      </c>
      <c r="Q226" s="629">
        <v>-1098550.79</v>
      </c>
      <c r="R226" s="629">
        <f>Q226+R261</f>
        <v>-1098550.79</v>
      </c>
      <c r="S226" s="924">
        <f>'MXD BS'!B122</f>
        <v>-361312.79</v>
      </c>
      <c r="T226" s="924">
        <f>'MXD BS'!C122</f>
        <v>-361312.79</v>
      </c>
      <c r="U226" s="924">
        <f>'MXD BS'!D122</f>
        <v>-361312.79</v>
      </c>
      <c r="V226" s="924">
        <f>'MXD BS'!E122</f>
        <v>-361312.79</v>
      </c>
      <c r="W226" s="924">
        <f>'MXD BS'!F122</f>
        <v>-1179387.79</v>
      </c>
      <c r="X226" s="924">
        <f>'MXD BS'!G122</f>
        <v>-1179387.79</v>
      </c>
      <c r="Y226" s="924">
        <f>'MXD BS'!H122</f>
        <v>-1179387.79</v>
      </c>
      <c r="Z226" s="1076">
        <f>'MXD BS'!I122</f>
        <v>-1179387.79</v>
      </c>
      <c r="AA226" s="1076">
        <f>'MXD BS'!J122</f>
        <v>-1179387.79</v>
      </c>
      <c r="AB226" s="1076">
        <f>'MXD BS'!K122</f>
        <v>-1179387.79</v>
      </c>
      <c r="AC226" s="1076">
        <f>'MXD BS'!L122</f>
        <v>-1253652.1200000001</v>
      </c>
      <c r="AD226" s="1076">
        <f>'MXD BS'!M122</f>
        <v>-1253652.1200000001</v>
      </c>
      <c r="AE226" s="1076">
        <f>'MXD BS'!N122</f>
        <v>-894493.79</v>
      </c>
      <c r="AF226" s="1076">
        <f>'MXD BS'!O122</f>
        <v>-894493.79</v>
      </c>
      <c r="AG226" s="1076">
        <f>'MXD BS'!P122</f>
        <v>-894493.79</v>
      </c>
      <c r="AH226" s="1076">
        <f>'MXD BS'!Q122</f>
        <v>-894493.79</v>
      </c>
      <c r="AI226" s="1076">
        <f>'MXD BS'!R122</f>
        <v>-1394493.79</v>
      </c>
      <c r="AJ226" s="1076">
        <f>'MXD BS'!S122</f>
        <v>-1394493.79</v>
      </c>
      <c r="AK226" s="1076">
        <f>'MXD BS'!T122</f>
        <v>-1394493.79</v>
      </c>
      <c r="AL226" s="1076">
        <f>'MXD BS'!U122</f>
        <v>-1394493.79</v>
      </c>
      <c r="AM226" s="1076">
        <f>'MXD BS'!V122</f>
        <v>-1394493.79</v>
      </c>
      <c r="AN226" s="1076">
        <f>'MXD BS'!W122</f>
        <v>-1394493.79</v>
      </c>
      <c r="AO226" s="1076">
        <f>'MXD BS'!X122</f>
        <v>-1394493.79</v>
      </c>
      <c r="AP226" s="629">
        <f t="shared" ref="AP226:BC226" si="383">AO226+AP261</f>
        <v>-1394493.79</v>
      </c>
      <c r="AQ226" s="629">
        <f t="shared" ca="1" si="383"/>
        <v>-1822850.8244444304</v>
      </c>
      <c r="AR226" s="618">
        <f t="shared" ca="1" si="383"/>
        <v>-1822850.8244444304</v>
      </c>
      <c r="AS226" s="629">
        <f t="shared" ca="1" si="383"/>
        <v>-1822850.8244444304</v>
      </c>
      <c r="AT226" s="629">
        <f t="shared" ca="1" si="383"/>
        <v>-2133923.7073610178</v>
      </c>
      <c r="AU226" s="629">
        <f t="shared" ca="1" si="383"/>
        <v>-2133923.7073610178</v>
      </c>
      <c r="AV226" s="629">
        <f t="shared" ca="1" si="383"/>
        <v>-2133923.7073610178</v>
      </c>
      <c r="AW226" s="629">
        <f t="shared" ca="1" si="383"/>
        <v>-2479005.0940905339</v>
      </c>
      <c r="AX226" s="629">
        <f t="shared" ca="1" si="383"/>
        <v>-2479005.0940905339</v>
      </c>
      <c r="AY226" s="629">
        <f t="shared" ca="1" si="383"/>
        <v>-2479005.0940905339</v>
      </c>
      <c r="AZ226" s="629">
        <f t="shared" ca="1" si="383"/>
        <v>-2852858.8501604581</v>
      </c>
      <c r="BA226" s="629">
        <f t="shared" ca="1" si="383"/>
        <v>-2852858.8501604581</v>
      </c>
      <c r="BB226" s="629">
        <f t="shared" ca="1" si="383"/>
        <v>-2852858.8501604581</v>
      </c>
      <c r="BC226" s="629">
        <f t="shared" ca="1" si="383"/>
        <v>-3123018.9493440306</v>
      </c>
      <c r="BE226" s="1195">
        <v>-1753652.12</v>
      </c>
      <c r="BF226" s="924">
        <v>-1753652.12</v>
      </c>
      <c r="BG226" s="1195">
        <f t="shared" ca="1" si="381"/>
        <v>-3123018.9493440306</v>
      </c>
      <c r="BH226" s="31"/>
      <c r="BI226" s="31"/>
      <c r="BJ226" s="31"/>
      <c r="BK226" s="31"/>
      <c r="BL226" s="31"/>
      <c r="BM226" s="31"/>
      <c r="BN226" s="31"/>
      <c r="BO226" s="31"/>
      <c r="BP226" s="31"/>
      <c r="BQ226" s="31"/>
      <c r="BR226" s="31"/>
      <c r="BS226" s="31"/>
      <c r="BT226" s="31"/>
      <c r="BU226" s="31"/>
      <c r="BV226" s="31"/>
      <c r="BW226" s="31"/>
      <c r="BX226" s="31"/>
      <c r="BY226" s="31"/>
      <c r="BZ226" s="31"/>
      <c r="CA226" s="31"/>
      <c r="CB226" s="31"/>
      <c r="CC226" s="31"/>
      <c r="CD226" s="31"/>
      <c r="CE226" s="31"/>
      <c r="CF226" s="31"/>
      <c r="CG226" s="31"/>
      <c r="CH226" s="31"/>
      <c r="CI226" s="31"/>
      <c r="CJ226" s="31"/>
      <c r="CK226" s="31"/>
      <c r="CL226" s="31"/>
      <c r="CM226" s="31"/>
      <c r="CN226" s="31"/>
      <c r="CO226" s="31"/>
      <c r="CP226" s="31"/>
      <c r="CQ226" s="31"/>
      <c r="CR226" s="31"/>
      <c r="CS226" s="31"/>
      <c r="CT226" s="31"/>
      <c r="CU226" s="31"/>
      <c r="CV226" s="31"/>
      <c r="CW226" s="31"/>
      <c r="CX226" s="31"/>
      <c r="CY226" s="31"/>
      <c r="CZ226" s="31"/>
      <c r="DA226" s="31"/>
      <c r="DB226" s="31"/>
      <c r="DC226" s="31"/>
      <c r="DD226" s="31"/>
      <c r="DE226" s="31"/>
      <c r="DF226" s="31"/>
      <c r="DG226" s="31"/>
      <c r="DH226" s="31"/>
      <c r="DI226" s="31"/>
      <c r="DJ226" s="31"/>
      <c r="DK226" s="31"/>
      <c r="DL226" s="31"/>
      <c r="DM226" s="31"/>
      <c r="DN226" s="31"/>
      <c r="DO226" s="31"/>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c r="EX226" s="31"/>
      <c r="EY226" s="31"/>
      <c r="EZ226" s="31"/>
      <c r="FA226" s="31"/>
      <c r="FB226" s="31"/>
      <c r="FC226" s="31"/>
      <c r="FD226" s="31"/>
      <c r="FE226" s="31"/>
      <c r="FF226" s="31"/>
      <c r="FG226" s="31"/>
      <c r="FH226" s="31"/>
      <c r="FI226" s="31"/>
      <c r="FJ226" s="31"/>
      <c r="FK226" s="31"/>
      <c r="FL226" s="31"/>
      <c r="FM226" s="31"/>
      <c r="FN226" s="31"/>
      <c r="FO226" s="31"/>
      <c r="FP226" s="31"/>
      <c r="FQ226" s="31"/>
      <c r="FR226" s="31"/>
      <c r="FS226" s="31"/>
      <c r="FT226" s="31"/>
      <c r="FU226" s="31"/>
      <c r="FV226" s="31"/>
      <c r="FW226" s="31"/>
      <c r="FX226" s="31"/>
      <c r="FY226" s="31"/>
      <c r="FZ226" s="31"/>
      <c r="GA226" s="31"/>
      <c r="GB226" s="31"/>
      <c r="GC226" s="31"/>
      <c r="GD226" s="31"/>
      <c r="GE226" s="31"/>
      <c r="GF226" s="31"/>
      <c r="GG226" s="31"/>
      <c r="GH226" s="31"/>
      <c r="GI226" s="31"/>
      <c r="GJ226" s="31"/>
      <c r="GK226" s="31"/>
      <c r="GL226" s="31"/>
      <c r="GM226" s="31"/>
      <c r="GN226" s="31"/>
      <c r="GO226" s="31"/>
      <c r="GP226" s="31"/>
      <c r="GQ226" s="31"/>
      <c r="GR226" s="31"/>
      <c r="GS226" s="31"/>
      <c r="GT226" s="31"/>
      <c r="GU226" s="31"/>
      <c r="GV226" s="31"/>
      <c r="GW226" s="31"/>
      <c r="GX226" s="31"/>
      <c r="GY226" s="31"/>
      <c r="GZ226" s="31"/>
      <c r="HA226" s="31"/>
      <c r="HB226" s="31"/>
      <c r="HC226" s="31"/>
      <c r="HD226" s="31"/>
      <c r="HE226" s="31"/>
      <c r="HF226" s="31"/>
      <c r="HG226" s="31"/>
      <c r="HH226" s="31"/>
      <c r="HI226" s="31"/>
      <c r="HJ226" s="31"/>
      <c r="HK226" s="31"/>
      <c r="HL226" s="31"/>
      <c r="HM226" s="31"/>
      <c r="HN226" s="31"/>
      <c r="HO226" s="31"/>
      <c r="HP226" s="31"/>
      <c r="HQ226" s="31"/>
      <c r="HR226" s="31"/>
      <c r="HS226" s="31"/>
      <c r="HT226" s="31"/>
      <c r="HU226" s="31"/>
      <c r="HV226" s="31"/>
      <c r="HW226" s="31"/>
      <c r="HX226" s="31"/>
      <c r="HY226" s="31"/>
      <c r="HZ226" s="31"/>
      <c r="IA226" s="31"/>
      <c r="IB226" s="31"/>
      <c r="IC226" s="31"/>
      <c r="ID226" s="31"/>
      <c r="IE226" s="31"/>
      <c r="IF226" s="31"/>
      <c r="IG226" s="31"/>
      <c r="IH226" s="31"/>
      <c r="II226" s="31"/>
      <c r="IJ226" s="31"/>
      <c r="IK226" s="31"/>
      <c r="IL226" s="31"/>
      <c r="IM226" s="31"/>
      <c r="IN226" s="31"/>
      <c r="IO226" s="31"/>
      <c r="IP226" s="31"/>
      <c r="IQ226" s="31"/>
      <c r="IR226" s="31"/>
      <c r="IS226" s="31"/>
      <c r="IT226" s="31"/>
      <c r="IU226" s="31"/>
      <c r="IV226" s="31"/>
      <c r="IW226" s="31"/>
      <c r="IX226" s="31"/>
      <c r="IY226" s="31"/>
      <c r="IZ226" s="31"/>
      <c r="JA226" s="31"/>
      <c r="JB226" s="31"/>
      <c r="JC226" s="31"/>
      <c r="JD226" s="31"/>
      <c r="JE226" s="31"/>
      <c r="JF226" s="31"/>
      <c r="JG226" s="31"/>
      <c r="JH226" s="31"/>
      <c r="JI226" s="31"/>
      <c r="JJ226" s="31"/>
      <c r="JK226" s="31"/>
      <c r="JL226" s="31"/>
      <c r="JM226" s="31"/>
      <c r="JN226" s="31"/>
      <c r="JO226" s="31"/>
      <c r="JP226" s="31"/>
      <c r="JQ226" s="31"/>
      <c r="JR226" s="31"/>
      <c r="JS226" s="31"/>
      <c r="JT226" s="31"/>
      <c r="JU226" s="31"/>
      <c r="JV226" s="31"/>
      <c r="JW226" s="31"/>
      <c r="JX226" s="31"/>
      <c r="JY226" s="31"/>
      <c r="JZ226" s="31"/>
      <c r="KA226" s="31"/>
      <c r="KB226" s="31"/>
      <c r="KC226" s="31"/>
      <c r="KD226" s="31"/>
      <c r="KE226" s="31"/>
      <c r="KF226" s="31"/>
      <c r="KG226" s="31"/>
      <c r="KH226" s="31"/>
      <c r="KI226" s="31"/>
      <c r="KJ226" s="31"/>
      <c r="KK226" s="31"/>
      <c r="KL226" s="31"/>
      <c r="KM226" s="31"/>
      <c r="KN226" s="31"/>
      <c r="KO226" s="31"/>
      <c r="KP226" s="31"/>
      <c r="KQ226" s="31"/>
      <c r="KR226" s="31"/>
      <c r="KS226" s="31"/>
      <c r="KT226" s="31"/>
      <c r="KU226" s="31"/>
      <c r="KV226" s="31"/>
      <c r="KW226" s="31"/>
      <c r="KX226" s="31"/>
      <c r="KY226" s="31"/>
      <c r="KZ226" s="31"/>
      <c r="LA226" s="31"/>
      <c r="LB226" s="31"/>
      <c r="LC226" s="31"/>
      <c r="LD226" s="31"/>
      <c r="LE226" s="31"/>
      <c r="LF226" s="31"/>
      <c r="LG226" s="31"/>
      <c r="LH226" s="31"/>
      <c r="LI226" s="31"/>
      <c r="LJ226" s="31"/>
      <c r="LK226" s="31"/>
      <c r="LL226" s="31"/>
      <c r="LM226" s="31"/>
      <c r="LN226" s="31"/>
      <c r="LO226" s="31"/>
      <c r="LP226" s="31"/>
      <c r="LQ226" s="31"/>
      <c r="LR226" s="31"/>
      <c r="LS226" s="31"/>
      <c r="LT226" s="31"/>
      <c r="LU226" s="31"/>
      <c r="LV226" s="31"/>
      <c r="LW226" s="31"/>
      <c r="LX226" s="31"/>
      <c r="LY226" s="31"/>
      <c r="LZ226" s="31"/>
      <c r="MA226" s="31"/>
      <c r="MB226" s="31"/>
      <c r="MC226" s="31"/>
      <c r="MD226" s="31"/>
      <c r="ME226" s="31"/>
      <c r="MF226" s="31"/>
      <c r="MG226" s="31"/>
      <c r="MH226" s="31"/>
      <c r="MI226" s="31"/>
      <c r="MJ226" s="31"/>
      <c r="MK226" s="31"/>
      <c r="ML226" s="31"/>
      <c r="MM226" s="31"/>
      <c r="MN226" s="31"/>
      <c r="MO226" s="31"/>
      <c r="MP226" s="31"/>
      <c r="MQ226" s="31"/>
      <c r="MR226" s="31"/>
      <c r="MS226" s="31"/>
      <c r="MT226" s="31"/>
      <c r="MU226" s="31"/>
      <c r="MV226" s="31"/>
      <c r="MW226" s="31"/>
      <c r="MX226" s="31"/>
      <c r="MY226" s="31"/>
      <c r="MZ226" s="31"/>
      <c r="NA226" s="31"/>
      <c r="NB226" s="31"/>
      <c r="NC226" s="31"/>
      <c r="ND226" s="31"/>
      <c r="NE226" s="31"/>
      <c r="NF226" s="31"/>
      <c r="NG226" s="31"/>
      <c r="NH226" s="31"/>
      <c r="NI226" s="31"/>
      <c r="NJ226" s="31"/>
      <c r="NK226" s="31"/>
      <c r="NL226" s="31"/>
      <c r="NM226" s="31"/>
      <c r="NN226" s="31"/>
      <c r="NO226" s="31"/>
      <c r="NP226" s="31"/>
      <c r="NQ226" s="31"/>
      <c r="NR226" s="31"/>
      <c r="NS226" s="31"/>
      <c r="NT226" s="31"/>
      <c r="NU226" s="31"/>
      <c r="NV226" s="31"/>
      <c r="NW226" s="31"/>
      <c r="NX226" s="31"/>
      <c r="NY226" s="31"/>
      <c r="NZ226" s="31"/>
      <c r="OA226" s="31"/>
      <c r="OB226" s="31"/>
      <c r="OC226" s="31"/>
      <c r="OD226" s="31"/>
      <c r="OE226" s="31"/>
      <c r="OF226" s="31"/>
      <c r="OG226" s="31"/>
      <c r="OH226" s="31"/>
      <c r="OI226" s="31"/>
      <c r="OJ226" s="31"/>
      <c r="OK226" s="31"/>
      <c r="OL226" s="31"/>
      <c r="OM226" s="31"/>
      <c r="ON226" s="31"/>
      <c r="OO226" s="31"/>
      <c r="OP226" s="31"/>
      <c r="OQ226" s="31"/>
      <c r="OR226" s="31"/>
      <c r="OS226" s="31"/>
      <c r="OT226" s="31"/>
      <c r="OU226" s="31"/>
      <c r="OV226" s="31"/>
      <c r="OW226" s="31"/>
      <c r="OX226" s="31"/>
      <c r="OY226" s="31"/>
      <c r="OZ226" s="31"/>
      <c r="PA226" s="31"/>
      <c r="PB226" s="31"/>
      <c r="PC226" s="31"/>
      <c r="PD226" s="31"/>
      <c r="PE226" s="31"/>
      <c r="PF226" s="31"/>
      <c r="PG226" s="31"/>
      <c r="PH226" s="31"/>
      <c r="PI226" s="31"/>
      <c r="PJ226" s="31"/>
      <c r="PK226" s="31"/>
      <c r="PL226" s="31"/>
      <c r="PM226" s="31"/>
      <c r="PN226" s="31"/>
      <c r="PO226" s="31"/>
      <c r="PP226" s="31"/>
      <c r="PQ226" s="31"/>
      <c r="PR226" s="31"/>
      <c r="PS226" s="31"/>
      <c r="PT226" s="31"/>
      <c r="PU226" s="31"/>
      <c r="PV226" s="31"/>
      <c r="PW226" s="31"/>
      <c r="PX226" s="31"/>
      <c r="PY226" s="31"/>
      <c r="PZ226" s="31"/>
      <c r="QA226" s="31"/>
      <c r="QB226" s="31"/>
      <c r="QC226" s="31"/>
      <c r="QD226" s="31"/>
      <c r="QE226" s="31"/>
      <c r="QF226" s="31"/>
      <c r="QG226" s="31"/>
      <c r="QH226" s="31"/>
      <c r="QI226" s="31"/>
      <c r="QJ226" s="31"/>
      <c r="QK226" s="31"/>
      <c r="QL226" s="31"/>
      <c r="QM226" s="31"/>
      <c r="QN226" s="31"/>
      <c r="QO226" s="31"/>
      <c r="QP226" s="31"/>
      <c r="QQ226" s="31"/>
      <c r="QR226" s="31"/>
      <c r="QS226" s="31"/>
      <c r="QT226" s="31"/>
      <c r="QU226" s="31"/>
      <c r="QV226" s="31"/>
      <c r="QW226" s="31"/>
      <c r="QX226" s="31"/>
      <c r="QY226" s="31"/>
      <c r="QZ226" s="31"/>
      <c r="RA226" s="31"/>
      <c r="RB226" s="31"/>
      <c r="RC226" s="31"/>
      <c r="RD226" s="31"/>
      <c r="RE226" s="31"/>
      <c r="RF226" s="31"/>
      <c r="RG226" s="31"/>
      <c r="RH226" s="31"/>
      <c r="RI226" s="31"/>
      <c r="RJ226" s="31"/>
      <c r="RK226" s="31"/>
      <c r="RL226" s="31"/>
      <c r="RM226" s="31"/>
      <c r="RN226" s="31"/>
      <c r="RO226" s="31"/>
      <c r="RP226" s="31"/>
      <c r="RQ226" s="31"/>
      <c r="RR226" s="31"/>
      <c r="RS226" s="31"/>
      <c r="RT226" s="31"/>
      <c r="RU226" s="31"/>
      <c r="RV226" s="31"/>
      <c r="RW226" s="31"/>
      <c r="RX226" s="31"/>
      <c r="RY226" s="31"/>
      <c r="RZ226" s="31"/>
      <c r="SA226" s="31"/>
      <c r="SB226" s="31"/>
      <c r="SC226" s="31"/>
      <c r="SD226" s="31"/>
      <c r="SE226" s="31"/>
      <c r="SF226" s="31"/>
      <c r="SG226" s="31"/>
      <c r="SH226" s="31"/>
      <c r="SI226" s="31"/>
      <c r="SJ226" s="31"/>
      <c r="SK226" s="31"/>
      <c r="SL226" s="31"/>
      <c r="SM226" s="31"/>
      <c r="SN226" s="31"/>
      <c r="SO226" s="31"/>
      <c r="SP226" s="31"/>
      <c r="SQ226" s="31"/>
      <c r="SR226" s="31"/>
      <c r="SS226" s="31"/>
      <c r="ST226" s="31"/>
      <c r="SU226" s="31"/>
      <c r="SV226" s="31"/>
      <c r="SW226" s="31"/>
      <c r="SX226" s="31"/>
      <c r="SY226" s="31"/>
      <c r="SZ226" s="31"/>
      <c r="TA226" s="31"/>
      <c r="TB226" s="31"/>
      <c r="TC226" s="31"/>
      <c r="TD226" s="31"/>
      <c r="TE226" s="31"/>
      <c r="TF226" s="31"/>
      <c r="TG226" s="31"/>
      <c r="TH226" s="31"/>
      <c r="TI226" s="31"/>
      <c r="TJ226" s="31"/>
      <c r="TK226" s="31"/>
      <c r="TL226" s="31"/>
      <c r="TM226" s="31"/>
      <c r="TN226" s="31"/>
      <c r="TO226" s="31"/>
      <c r="TP226" s="31"/>
      <c r="TQ226" s="31"/>
      <c r="TR226" s="31"/>
      <c r="TS226" s="31"/>
      <c r="TT226" s="31"/>
      <c r="TU226" s="31"/>
      <c r="TV226" s="31"/>
      <c r="TW226" s="31"/>
      <c r="TX226" s="31"/>
      <c r="TY226" s="31"/>
      <c r="TZ226" s="31"/>
      <c r="UA226" s="31"/>
      <c r="UB226" s="31"/>
      <c r="UC226" s="31"/>
      <c r="UD226" s="31"/>
      <c r="UE226" s="31"/>
      <c r="UF226" s="31"/>
      <c r="UG226" s="31"/>
      <c r="UH226" s="31"/>
      <c r="UI226" s="31"/>
      <c r="UJ226" s="31"/>
      <c r="UK226" s="31"/>
      <c r="UL226" s="31"/>
      <c r="UM226" s="31"/>
      <c r="UN226" s="31"/>
      <c r="UO226" s="31"/>
      <c r="UP226" s="31"/>
      <c r="UQ226" s="31"/>
      <c r="UR226" s="31"/>
      <c r="US226" s="31"/>
      <c r="UT226" s="31"/>
      <c r="UU226" s="31"/>
      <c r="UV226" s="31"/>
      <c r="UW226" s="31"/>
      <c r="UX226" s="31"/>
      <c r="UY226" s="31"/>
      <c r="UZ226" s="31"/>
      <c r="VA226" s="31"/>
      <c r="VB226" s="31"/>
      <c r="VC226" s="31"/>
      <c r="VD226" s="31"/>
      <c r="VE226" s="31"/>
      <c r="VF226" s="31"/>
      <c r="VG226" s="31"/>
      <c r="VH226" s="31"/>
      <c r="VI226" s="31"/>
      <c r="VJ226" s="31"/>
      <c r="VK226" s="31"/>
      <c r="VL226" s="31"/>
      <c r="VM226" s="31"/>
      <c r="VN226" s="31"/>
      <c r="VO226" s="31"/>
      <c r="VP226" s="31"/>
      <c r="VQ226" s="31"/>
      <c r="VR226" s="31"/>
      <c r="VS226" s="31"/>
      <c r="VT226" s="31"/>
      <c r="VU226" s="31"/>
      <c r="VV226" s="31"/>
      <c r="VW226" s="31"/>
      <c r="VX226" s="31"/>
      <c r="VY226" s="31"/>
      <c r="VZ226" s="31"/>
      <c r="WA226" s="31"/>
      <c r="WB226" s="31"/>
      <c r="WC226" s="31"/>
      <c r="WD226" s="31"/>
      <c r="WE226" s="31"/>
      <c r="WF226" s="31"/>
      <c r="WG226" s="31"/>
      <c r="WH226" s="31"/>
      <c r="WI226" s="31"/>
      <c r="WJ226" s="31"/>
      <c r="WK226" s="31"/>
      <c r="WL226" s="31"/>
      <c r="WM226" s="31"/>
      <c r="WN226" s="31"/>
      <c r="WO226" s="31"/>
      <c r="WP226" s="31"/>
      <c r="WQ226" s="31"/>
      <c r="WR226" s="31"/>
      <c r="WS226" s="31"/>
      <c r="WT226" s="31"/>
      <c r="WU226" s="31"/>
      <c r="WV226" s="31"/>
      <c r="WW226" s="31"/>
      <c r="WX226" s="31"/>
      <c r="WY226" s="31"/>
      <c r="WZ226" s="31"/>
      <c r="XA226" s="31"/>
      <c r="XB226" s="31"/>
      <c r="XC226" s="31"/>
      <c r="XD226" s="31"/>
      <c r="XE226" s="31"/>
      <c r="XF226" s="31"/>
      <c r="XG226" s="31"/>
      <c r="XH226" s="31"/>
      <c r="XI226" s="31"/>
      <c r="XJ226" s="31"/>
      <c r="XK226" s="31"/>
      <c r="XL226" s="31"/>
      <c r="XM226" s="31"/>
      <c r="XN226" s="31"/>
      <c r="XO226" s="31"/>
      <c r="XP226" s="31"/>
      <c r="XQ226" s="31"/>
      <c r="XR226" s="31"/>
      <c r="XS226" s="31"/>
      <c r="XT226" s="31"/>
      <c r="XU226" s="31"/>
      <c r="XV226" s="31"/>
      <c r="XW226" s="31"/>
      <c r="XX226" s="31"/>
      <c r="XY226" s="31"/>
      <c r="XZ226" s="31"/>
      <c r="YA226" s="31"/>
      <c r="YB226" s="31"/>
      <c r="YC226" s="31"/>
      <c r="YD226" s="31"/>
      <c r="YE226" s="31"/>
      <c r="YF226" s="31"/>
      <c r="YG226" s="31"/>
      <c r="YH226" s="31"/>
      <c r="YI226" s="31"/>
      <c r="YJ226" s="31"/>
      <c r="YK226" s="31"/>
      <c r="YL226" s="31"/>
      <c r="YM226" s="31"/>
      <c r="YN226" s="31"/>
      <c r="YO226" s="31"/>
      <c r="YP226" s="31"/>
      <c r="YQ226" s="31"/>
      <c r="YR226" s="31"/>
      <c r="YS226" s="31"/>
      <c r="YT226" s="31"/>
      <c r="YU226" s="31"/>
      <c r="YV226" s="31"/>
      <c r="YW226" s="31"/>
      <c r="YX226" s="31"/>
      <c r="YY226" s="31"/>
      <c r="YZ226" s="31"/>
      <c r="ZA226" s="31"/>
      <c r="ZB226" s="31"/>
      <c r="ZC226" s="31"/>
      <c r="ZD226" s="31"/>
      <c r="ZE226" s="31"/>
      <c r="ZF226" s="31"/>
      <c r="ZG226" s="31"/>
      <c r="ZH226" s="31"/>
      <c r="ZI226" s="31"/>
      <c r="ZJ226" s="31"/>
      <c r="ZK226" s="31"/>
      <c r="ZL226" s="31"/>
      <c r="ZM226" s="31"/>
      <c r="ZN226" s="31"/>
      <c r="ZO226" s="31"/>
      <c r="ZP226" s="31"/>
      <c r="ZQ226" s="31"/>
      <c r="ZR226" s="31"/>
      <c r="ZS226" s="31"/>
      <c r="ZT226" s="31"/>
      <c r="ZU226" s="31"/>
      <c r="ZV226" s="31"/>
      <c r="ZW226" s="31"/>
      <c r="ZX226" s="31"/>
      <c r="ZY226" s="31"/>
      <c r="ZZ226" s="31"/>
      <c r="AAA226" s="31"/>
      <c r="AAB226" s="31"/>
      <c r="AAC226" s="31"/>
      <c r="AAD226" s="31"/>
      <c r="AAE226" s="31"/>
      <c r="AAF226" s="31"/>
      <c r="AAG226" s="31"/>
      <c r="AAH226" s="31"/>
      <c r="AAI226" s="31"/>
      <c r="AAJ226" s="31"/>
      <c r="AAK226" s="31"/>
      <c r="AAL226" s="31"/>
      <c r="AAM226" s="31"/>
      <c r="AAN226" s="31"/>
      <c r="AAO226" s="31"/>
      <c r="AAP226" s="31"/>
      <c r="AAQ226" s="31"/>
      <c r="AAR226" s="31"/>
      <c r="AAS226" s="31"/>
      <c r="AAT226" s="31"/>
      <c r="AAU226" s="31"/>
      <c r="AAV226" s="31"/>
      <c r="AAW226" s="31"/>
      <c r="AAX226" s="31"/>
      <c r="AAY226" s="31"/>
      <c r="AAZ226" s="31"/>
      <c r="ABA226" s="31"/>
      <c r="ABB226" s="31"/>
      <c r="ABC226" s="31"/>
      <c r="ABD226" s="31"/>
      <c r="ABE226" s="31"/>
      <c r="ABF226" s="31"/>
      <c r="ABG226" s="31"/>
      <c r="ABH226" s="31"/>
      <c r="ABI226" s="31"/>
      <c r="ABJ226" s="31"/>
      <c r="ABK226" s="31"/>
      <c r="ABL226" s="31"/>
      <c r="ABM226" s="31"/>
      <c r="ABN226" s="31"/>
      <c r="ABO226" s="31"/>
      <c r="ABP226" s="31"/>
      <c r="ABQ226" s="31"/>
      <c r="ABR226" s="31"/>
      <c r="ABS226" s="31"/>
      <c r="ABT226" s="31"/>
      <c r="ABU226" s="31"/>
      <c r="ABV226" s="31"/>
      <c r="ABW226" s="31"/>
      <c r="ABX226" s="31"/>
      <c r="ABY226" s="31"/>
      <c r="ABZ226" s="31"/>
      <c r="ACA226" s="31"/>
      <c r="ACB226" s="31"/>
      <c r="ACC226" s="31"/>
      <c r="ACD226" s="31"/>
      <c r="ACE226" s="31"/>
      <c r="ACF226" s="31"/>
      <c r="ACG226" s="31"/>
      <c r="ACH226" s="31"/>
      <c r="ACI226" s="31"/>
      <c r="ACJ226" s="31"/>
      <c r="ACK226" s="31"/>
      <c r="ACL226" s="31"/>
      <c r="ACM226" s="31"/>
      <c r="ACN226" s="31"/>
      <c r="ACO226" s="31"/>
      <c r="ACP226" s="31"/>
      <c r="ACQ226" s="31"/>
      <c r="ACR226" s="31"/>
      <c r="ACS226" s="31"/>
      <c r="ACT226" s="31"/>
      <c r="ACU226" s="31"/>
      <c r="ACV226" s="31"/>
      <c r="ACW226" s="31"/>
      <c r="ACX226" s="31"/>
      <c r="ACY226" s="31"/>
      <c r="ACZ226" s="31"/>
      <c r="ADA226" s="31"/>
      <c r="ADB226" s="31"/>
      <c r="ADC226" s="31"/>
      <c r="ADD226" s="31"/>
      <c r="ADE226" s="31"/>
      <c r="ADF226" s="31"/>
      <c r="ADG226" s="31"/>
      <c r="ADH226" s="31"/>
      <c r="ADI226" s="31"/>
      <c r="ADJ226" s="31"/>
      <c r="ADK226" s="31"/>
      <c r="ADL226" s="31"/>
      <c r="ADM226" s="31"/>
      <c r="ADN226" s="31"/>
      <c r="ADO226" s="31"/>
      <c r="ADP226" s="31"/>
      <c r="ADQ226" s="31"/>
      <c r="ADR226" s="31"/>
      <c r="ADS226" s="31"/>
      <c r="ADT226" s="31"/>
      <c r="ADU226" s="31"/>
      <c r="ADV226" s="31"/>
      <c r="ADW226" s="31"/>
      <c r="ADX226" s="31"/>
      <c r="ADY226" s="31"/>
      <c r="ADZ226" s="31"/>
      <c r="AEA226" s="31"/>
      <c r="AEB226" s="31"/>
      <c r="AEC226" s="31"/>
      <c r="AED226" s="31"/>
      <c r="AEE226" s="31"/>
      <c r="AEF226" s="31"/>
      <c r="AEG226" s="31"/>
      <c r="AEH226" s="31"/>
      <c r="AEI226" s="31"/>
      <c r="AEJ226" s="31"/>
      <c r="AEK226" s="31"/>
      <c r="AEL226" s="31"/>
      <c r="AEM226" s="31"/>
      <c r="AEN226" s="31"/>
      <c r="AEO226" s="31"/>
      <c r="AEP226" s="31"/>
      <c r="AEQ226" s="31"/>
      <c r="AER226" s="31"/>
      <c r="AES226" s="31"/>
      <c r="AET226" s="31"/>
      <c r="AEU226" s="31"/>
      <c r="AEV226" s="31"/>
      <c r="AEW226" s="31"/>
      <c r="AEX226" s="31"/>
      <c r="AEY226" s="31"/>
      <c r="AEZ226" s="31"/>
      <c r="AFA226" s="31"/>
      <c r="AFB226" s="31"/>
      <c r="AFC226" s="31"/>
      <c r="AFD226" s="31"/>
      <c r="AFE226" s="31"/>
      <c r="AFF226" s="31"/>
      <c r="AFG226" s="31"/>
      <c r="AFH226" s="31"/>
      <c r="AFI226" s="31"/>
      <c r="AFJ226" s="31"/>
      <c r="AFK226" s="31"/>
      <c r="AFL226" s="31"/>
      <c r="AFM226" s="31"/>
      <c r="AFN226" s="31"/>
      <c r="AFO226" s="31"/>
      <c r="AFP226" s="31"/>
      <c r="AFQ226" s="31"/>
      <c r="AFR226" s="31"/>
      <c r="AFS226" s="31"/>
      <c r="AFT226" s="31"/>
      <c r="AFU226" s="31"/>
      <c r="AFV226" s="31"/>
      <c r="AFW226" s="31"/>
      <c r="AFX226" s="31"/>
      <c r="AFY226" s="31"/>
      <c r="AFZ226" s="31"/>
      <c r="AGA226" s="31"/>
      <c r="AGB226" s="31"/>
      <c r="AGC226" s="31"/>
      <c r="AGD226" s="31"/>
      <c r="AGE226" s="31"/>
      <c r="AGF226" s="31"/>
      <c r="AGG226" s="31"/>
      <c r="AGH226" s="31"/>
      <c r="AGI226" s="31"/>
      <c r="AGJ226" s="31"/>
      <c r="AGK226" s="31"/>
      <c r="AGL226" s="31"/>
      <c r="AGM226" s="31"/>
      <c r="AGN226" s="31"/>
      <c r="AGO226" s="31"/>
      <c r="AGP226" s="31"/>
      <c r="AGQ226" s="31"/>
      <c r="AGR226" s="31"/>
      <c r="AGS226" s="31"/>
      <c r="AGT226" s="31"/>
      <c r="AGU226" s="31"/>
      <c r="AGV226" s="31"/>
      <c r="AGW226" s="31"/>
      <c r="AGX226" s="31"/>
      <c r="AGY226" s="31"/>
      <c r="AGZ226" s="31"/>
      <c r="AHA226" s="31"/>
      <c r="AHB226" s="31"/>
      <c r="AHC226" s="31"/>
      <c r="AHD226" s="31"/>
      <c r="AHE226" s="31"/>
      <c r="AHF226" s="31"/>
      <c r="AHG226" s="31"/>
      <c r="AHH226" s="31"/>
      <c r="AHI226" s="31"/>
      <c r="AHJ226" s="31"/>
      <c r="AHK226" s="31"/>
      <c r="AHL226" s="31"/>
      <c r="AHM226" s="31"/>
      <c r="AHN226" s="31"/>
      <c r="AHO226" s="31"/>
      <c r="AHP226" s="31"/>
      <c r="AHQ226" s="31"/>
      <c r="AHR226" s="31"/>
      <c r="AHS226" s="31"/>
      <c r="AHT226" s="31"/>
      <c r="AHU226" s="31"/>
      <c r="AHV226" s="31"/>
      <c r="AHW226" s="31"/>
      <c r="AHX226" s="31"/>
      <c r="AHY226" s="31"/>
      <c r="AHZ226" s="31"/>
      <c r="AIA226" s="31"/>
      <c r="AIB226" s="31"/>
      <c r="AIC226" s="31"/>
      <c r="AID226" s="31"/>
      <c r="AIE226" s="31"/>
      <c r="AIF226" s="31"/>
      <c r="AIG226" s="31"/>
      <c r="AIH226" s="31"/>
      <c r="AII226" s="31"/>
      <c r="AIJ226" s="31"/>
      <c r="AIK226" s="31"/>
      <c r="AIL226" s="31"/>
      <c r="AIM226" s="31"/>
      <c r="AIN226" s="31"/>
      <c r="AIO226" s="31"/>
      <c r="AIP226" s="31"/>
      <c r="AIQ226" s="31"/>
      <c r="AIR226" s="31"/>
      <c r="AIS226" s="31"/>
      <c r="AIT226" s="31"/>
      <c r="AIU226" s="31"/>
      <c r="AIV226" s="31"/>
      <c r="AIW226" s="31"/>
      <c r="AIX226" s="31"/>
      <c r="AIY226" s="31"/>
      <c r="AIZ226" s="31"/>
      <c r="AJA226" s="31"/>
      <c r="AJB226" s="31"/>
      <c r="AJC226" s="31"/>
      <c r="AJD226" s="31"/>
      <c r="AJE226" s="31"/>
      <c r="AJF226" s="31"/>
      <c r="AJG226" s="31"/>
      <c r="AJH226" s="31"/>
      <c r="AJI226" s="31"/>
      <c r="AJJ226" s="31"/>
      <c r="AJK226" s="31"/>
      <c r="AJL226" s="31"/>
      <c r="AJM226" s="31"/>
      <c r="AJN226" s="31"/>
      <c r="AJO226" s="31"/>
      <c r="AJP226" s="31"/>
      <c r="AJQ226" s="31"/>
      <c r="AJR226" s="31"/>
      <c r="AJS226" s="31"/>
      <c r="AJT226" s="31"/>
      <c r="AJU226" s="31"/>
      <c r="AJV226" s="31"/>
      <c r="AJW226" s="31"/>
      <c r="AJX226" s="31"/>
      <c r="AJY226" s="31"/>
      <c r="AJZ226" s="31"/>
      <c r="AKA226" s="31"/>
      <c r="AKB226" s="31"/>
      <c r="AKC226" s="31"/>
      <c r="AKD226" s="31"/>
      <c r="AKE226" s="31"/>
      <c r="AKF226" s="31"/>
      <c r="AKG226" s="31"/>
      <c r="AKH226" s="31"/>
      <c r="AKI226" s="31"/>
      <c r="AKJ226" s="31"/>
      <c r="AKK226" s="31"/>
      <c r="AKL226" s="31"/>
      <c r="AKM226" s="31"/>
      <c r="AKN226" s="31"/>
      <c r="AKO226" s="31"/>
      <c r="AKP226" s="31"/>
      <c r="AKQ226" s="31"/>
      <c r="AKR226" s="31"/>
      <c r="AKS226" s="31"/>
      <c r="AKT226" s="31"/>
      <c r="AKU226" s="31"/>
      <c r="AKV226" s="31"/>
      <c r="AKW226" s="31"/>
      <c r="AKX226" s="31"/>
      <c r="AKY226" s="31"/>
      <c r="AKZ226" s="31"/>
      <c r="ALA226" s="31"/>
      <c r="ALB226" s="31"/>
      <c r="ALC226" s="31"/>
      <c r="ALD226" s="31"/>
      <c r="ALE226" s="31"/>
      <c r="ALF226" s="31"/>
      <c r="ALG226" s="31"/>
      <c r="ALH226" s="31"/>
      <c r="ALI226" s="31"/>
      <c r="ALJ226" s="31"/>
      <c r="ALK226" s="31"/>
      <c r="ALL226" s="31"/>
      <c r="ALM226" s="31"/>
      <c r="ALN226" s="31"/>
      <c r="ALO226" s="31"/>
      <c r="ALP226" s="31"/>
      <c r="ALQ226" s="31"/>
      <c r="ALR226" s="31"/>
      <c r="ALS226" s="31"/>
      <c r="ALT226" s="31"/>
      <c r="ALU226" s="31"/>
      <c r="ALV226" s="31"/>
      <c r="ALW226" s="31"/>
      <c r="ALX226" s="31"/>
      <c r="ALY226" s="31"/>
      <c r="ALZ226" s="31"/>
      <c r="AMA226" s="31"/>
      <c r="AMB226" s="31"/>
      <c r="AMC226" s="31"/>
      <c r="AMD226" s="31"/>
      <c r="AME226" s="31"/>
      <c r="AMF226" s="31"/>
      <c r="AMG226" s="31"/>
      <c r="AMH226" s="31"/>
      <c r="AMI226" s="31"/>
      <c r="AMJ226" s="31"/>
      <c r="AMK226" s="31"/>
      <c r="AML226" s="31"/>
      <c r="AMM226" s="31"/>
      <c r="AMN226" s="31"/>
      <c r="AMO226" s="31"/>
      <c r="AMP226" s="31"/>
      <c r="AMQ226" s="31"/>
      <c r="AMR226" s="31"/>
      <c r="AMS226" s="31"/>
      <c r="AMT226" s="31"/>
      <c r="AMU226" s="31"/>
      <c r="AMV226" s="31"/>
      <c r="AMW226" s="31"/>
      <c r="AMX226" s="31"/>
      <c r="AMY226" s="31"/>
      <c r="AMZ226" s="31"/>
      <c r="ANA226" s="31"/>
      <c r="ANB226" s="31"/>
      <c r="ANC226" s="31"/>
      <c r="AND226" s="31"/>
      <c r="ANE226" s="31"/>
      <c r="ANF226" s="31"/>
      <c r="ANG226" s="31"/>
      <c r="ANH226" s="31"/>
      <c r="ANI226" s="31"/>
      <c r="ANJ226" s="31"/>
      <c r="ANK226" s="31"/>
      <c r="ANL226" s="31"/>
      <c r="ANM226" s="31"/>
      <c r="ANN226" s="31"/>
      <c r="ANO226" s="31"/>
      <c r="ANP226" s="31"/>
      <c r="ANQ226" s="31"/>
      <c r="ANR226" s="31"/>
      <c r="ANS226" s="31"/>
      <c r="ANT226" s="31"/>
      <c r="ANU226" s="31"/>
      <c r="ANV226" s="31"/>
      <c r="ANW226" s="31"/>
      <c r="ANX226" s="31"/>
      <c r="ANY226" s="31"/>
      <c r="ANZ226" s="31"/>
      <c r="AOA226" s="31"/>
      <c r="AOB226" s="31"/>
      <c r="AOC226" s="31"/>
      <c r="AOD226" s="31"/>
      <c r="AOE226" s="31"/>
      <c r="AOF226" s="31"/>
      <c r="AOG226" s="31"/>
      <c r="AOH226" s="31"/>
      <c r="AOI226" s="31"/>
      <c r="AOJ226" s="31"/>
      <c r="AOK226" s="31"/>
      <c r="AOL226" s="31"/>
      <c r="AOM226" s="31"/>
      <c r="AON226" s="31"/>
      <c r="AOO226" s="31"/>
      <c r="AOP226" s="31"/>
      <c r="AOQ226" s="31"/>
      <c r="AOR226" s="31"/>
      <c r="AOS226" s="31"/>
      <c r="AOT226" s="31"/>
      <c r="AOU226" s="31"/>
      <c r="AOV226" s="31"/>
      <c r="AOW226" s="31"/>
      <c r="AOX226" s="31"/>
      <c r="AOY226" s="31"/>
      <c r="AOZ226" s="31"/>
      <c r="APA226" s="31"/>
      <c r="APB226" s="31"/>
      <c r="APC226" s="31"/>
      <c r="APD226" s="31"/>
      <c r="APE226" s="31"/>
      <c r="APF226" s="31"/>
      <c r="APG226" s="31"/>
      <c r="APH226" s="31"/>
      <c r="API226" s="31"/>
      <c r="APJ226" s="31"/>
      <c r="APK226" s="31"/>
      <c r="APL226" s="31"/>
      <c r="APM226" s="31"/>
      <c r="APN226" s="31"/>
      <c r="APO226" s="31"/>
      <c r="APP226" s="31"/>
      <c r="APQ226" s="31"/>
      <c r="APR226" s="31"/>
      <c r="APS226" s="31"/>
      <c r="APT226" s="31"/>
      <c r="APU226" s="31"/>
      <c r="APV226" s="31"/>
      <c r="APW226" s="31"/>
      <c r="APX226" s="31"/>
      <c r="APY226" s="31"/>
      <c r="APZ226" s="31"/>
      <c r="AQA226" s="31"/>
      <c r="AQB226" s="31"/>
      <c r="AQC226" s="31"/>
      <c r="AQD226" s="31"/>
      <c r="AQE226" s="31"/>
      <c r="AQF226" s="31"/>
      <c r="AQG226" s="31"/>
      <c r="AQH226" s="31"/>
      <c r="AQI226" s="31"/>
      <c r="AQJ226" s="31"/>
      <c r="AQK226" s="31"/>
      <c r="AQL226" s="31"/>
      <c r="AQM226" s="31"/>
      <c r="AQN226" s="31"/>
      <c r="AQO226" s="31"/>
      <c r="AQP226" s="31"/>
      <c r="AQQ226" s="31"/>
      <c r="AQR226" s="31"/>
      <c r="AQS226" s="31"/>
      <c r="AQT226" s="31"/>
      <c r="AQU226" s="31"/>
      <c r="AQV226" s="31"/>
      <c r="AQW226" s="31"/>
      <c r="AQX226" s="31"/>
      <c r="AQY226" s="31"/>
      <c r="AQZ226" s="31"/>
      <c r="ARA226" s="31"/>
      <c r="ARB226" s="31"/>
      <c r="ARC226" s="31"/>
      <c r="ARD226" s="31"/>
      <c r="ARE226" s="31"/>
      <c r="ARF226" s="31"/>
      <c r="ARG226" s="31"/>
      <c r="ARH226" s="31"/>
      <c r="ARI226" s="31"/>
      <c r="ARJ226" s="31"/>
      <c r="ARK226" s="31"/>
      <c r="ARL226" s="31"/>
      <c r="ARM226" s="31"/>
      <c r="ARN226" s="31"/>
      <c r="ARO226" s="31"/>
      <c r="ARP226" s="31"/>
      <c r="ARQ226" s="31"/>
      <c r="ARR226" s="31"/>
      <c r="ARS226" s="31"/>
      <c r="ART226" s="31"/>
      <c r="ARU226" s="31"/>
      <c r="ARV226" s="31"/>
      <c r="ARW226" s="31"/>
      <c r="ARX226" s="31"/>
      <c r="ARY226" s="31"/>
      <c r="ARZ226" s="31"/>
      <c r="ASA226" s="31"/>
      <c r="ASB226" s="31"/>
      <c r="ASC226" s="31"/>
      <c r="ASD226" s="31"/>
      <c r="ASE226" s="31"/>
      <c r="ASF226" s="31"/>
      <c r="ASG226" s="31"/>
      <c r="ASH226" s="31"/>
      <c r="ASI226" s="31"/>
      <c r="ASJ226" s="31"/>
      <c r="ASK226" s="31"/>
      <c r="ASL226" s="31"/>
      <c r="ASM226" s="31"/>
      <c r="ASN226" s="31"/>
      <c r="ASO226" s="31"/>
      <c r="ASP226" s="31"/>
      <c r="ASQ226" s="31"/>
      <c r="ASR226" s="31"/>
      <c r="ASS226" s="31"/>
      <c r="AST226" s="31"/>
      <c r="ASU226" s="31"/>
      <c r="ASV226" s="31"/>
      <c r="ASW226" s="31"/>
      <c r="ASX226" s="31"/>
      <c r="ASY226" s="31"/>
      <c r="ASZ226" s="31"/>
      <c r="ATA226" s="31"/>
      <c r="ATB226" s="31"/>
      <c r="ATC226" s="31"/>
      <c r="ATD226" s="31"/>
      <c r="ATE226" s="31"/>
    </row>
    <row r="227" spans="1:1201" s="34" customFormat="1" ht="15.75" customHeight="1" x14ac:dyDescent="0.3">
      <c r="A227" s="76"/>
      <c r="B227" s="76"/>
      <c r="C227" s="64" t="s">
        <v>279</v>
      </c>
      <c r="D227" s="65"/>
      <c r="E227" s="65"/>
      <c r="F227" s="82"/>
      <c r="G227" s="170">
        <v>832626.9600000002</v>
      </c>
      <c r="H227" s="654">
        <v>-203041.74</v>
      </c>
      <c r="I227" s="682">
        <v>-272738</v>
      </c>
      <c r="J227" s="682">
        <v>-15491.26</v>
      </c>
      <c r="K227" s="682">
        <v>-119727.05</v>
      </c>
      <c r="L227" s="682">
        <f>L115+K227</f>
        <v>23062.570000000138</v>
      </c>
      <c r="M227" s="682">
        <v>-65203.48</v>
      </c>
      <c r="N227" s="682">
        <v>165269.37</v>
      </c>
      <c r="O227" s="682">
        <v>282754</v>
      </c>
      <c r="P227" s="682">
        <v>472532.2</v>
      </c>
      <c r="Q227" s="682">
        <v>692486.19</v>
      </c>
      <c r="R227" s="682">
        <v>734031.15</v>
      </c>
      <c r="S227" s="943">
        <f>'MXD BS'!B112+'MXD BS'!B115</f>
        <v>669250.75</v>
      </c>
      <c r="T227" s="943">
        <f>'MXD BS'!C112+'MXD BS'!C115</f>
        <v>60434.359999999993</v>
      </c>
      <c r="U227" s="943">
        <f>'MXD BS'!D112+'MXD BS'!D115</f>
        <v>277036.13999999996</v>
      </c>
      <c r="V227" s="943">
        <f>'MXD BS'!E112+'MXD BS'!E115</f>
        <v>323365.65999999992</v>
      </c>
      <c r="W227" s="943">
        <f>'MXD BS'!F112+'MXD BS'!F115</f>
        <v>57822.839999999967</v>
      </c>
      <c r="X227" s="943">
        <f>'MXD BS'!G112+'MXD BS'!G115</f>
        <v>-70569.890000000014</v>
      </c>
      <c r="Y227" s="943">
        <f>'MXD BS'!H112+'MXD BS'!H115</f>
        <v>208668.77000000008</v>
      </c>
      <c r="Z227" s="1097">
        <f>'MXD BS'!I112+'MXD BS'!I115</f>
        <v>188815.78999999992</v>
      </c>
      <c r="AA227" s="1097">
        <f>'MXD BS'!J112+'MXD BS'!J115</f>
        <v>693493.78</v>
      </c>
      <c r="AB227" s="1097">
        <f>'MXD BS'!K112+'MXD BS'!K115</f>
        <v>925218.84999999986</v>
      </c>
      <c r="AC227" s="1097">
        <f>'MXD BS'!L112+'MXD BS'!L115</f>
        <v>1061295.6699999995</v>
      </c>
      <c r="AD227" s="1097">
        <f>'MXD BS'!M112+'MXD BS'!M115</f>
        <v>1206339.44</v>
      </c>
      <c r="AE227" s="1465">
        <f>'MXD BS'!N112+'MXD BS'!N113</f>
        <v>0</v>
      </c>
      <c r="AF227" s="1148">
        <f>'MXD BS'!O112+'MXD BS'!O115</f>
        <v>-272071.57000000012</v>
      </c>
      <c r="AG227" s="1148">
        <f>'MXD BS'!P112+'MXD BS'!P115</f>
        <v>-197380.90999999992</v>
      </c>
      <c r="AH227" s="1148">
        <f>'MXD BS'!Q112+'MXD BS'!Q115</f>
        <v>149730.60000000009</v>
      </c>
      <c r="AI227" s="1148">
        <f>'MXD BS'!R112+'MXD BS'!R115</f>
        <v>355796.49000000022</v>
      </c>
      <c r="AJ227" s="1148">
        <f>'MXD BS'!S112+'MXD BS'!S115</f>
        <v>792010.08999999985</v>
      </c>
      <c r="AK227" s="1148">
        <f>'MXD BS'!T112+'MXD BS'!T115+'HEC Financials'!AZ204</f>
        <v>632643.73</v>
      </c>
      <c r="AL227" s="1148">
        <f>'MXD BS'!U112+'MXD BS'!U115+'HEC Financials'!BA204</f>
        <v>753571.31000000052</v>
      </c>
      <c r="AM227" s="1148">
        <f>'MXD BS'!V112+'MXD BS'!V115+'HEC Financials'!BB204</f>
        <v>994520.19</v>
      </c>
      <c r="AN227" s="1148">
        <f>'MXD BS'!W112+'MXD BS'!W115+'HEC Financials'!BC204</f>
        <v>1206143.2900000005</v>
      </c>
      <c r="AO227" s="1148">
        <f>'MXD BS'!X112+'MXD BS'!X115+'HEC Financials'!BD204</f>
        <v>1454267.1700000006</v>
      </c>
      <c r="AP227" s="682">
        <f t="shared" ref="AP227:BC227" ca="1" si="384">AO227+AP115</f>
        <v>1826802.1821843167</v>
      </c>
      <c r="AQ227" s="682">
        <f t="shared" ca="1" si="384"/>
        <v>2285936.1661110763</v>
      </c>
      <c r="AR227" s="1643">
        <f t="shared" ca="1" si="384"/>
        <v>2428656.6378919636</v>
      </c>
      <c r="AS227" s="682">
        <f t="shared" ca="1" si="384"/>
        <v>2952819.563514302</v>
      </c>
      <c r="AT227" s="682">
        <f t="shared" ca="1" si="384"/>
        <v>3258038.9252254125</v>
      </c>
      <c r="AU227" s="682">
        <f t="shared" ca="1" si="384"/>
        <v>3740118.3208265575</v>
      </c>
      <c r="AV227" s="682">
        <f t="shared" ca="1" si="384"/>
        <v>4040725.3477623067</v>
      </c>
      <c r="AW227" s="682">
        <f t="shared" ca="1" si="384"/>
        <v>4336418.2587551503</v>
      </c>
      <c r="AX227" s="682">
        <f t="shared" ca="1" si="384"/>
        <v>4629082.9133195821</v>
      </c>
      <c r="AY227" s="682">
        <f t="shared" ca="1" si="384"/>
        <v>5171752.181885316</v>
      </c>
      <c r="AZ227" s="682">
        <f t="shared" ca="1" si="384"/>
        <v>5504711.2464736626</v>
      </c>
      <c r="BA227" s="682">
        <f t="shared" ca="1" si="384"/>
        <v>5789183.2505407576</v>
      </c>
      <c r="BB227" s="682">
        <f t="shared" ca="1" si="384"/>
        <v>6070618.6311016334</v>
      </c>
      <c r="BC227" s="682">
        <f t="shared" ca="1" si="384"/>
        <v>6348961.5564223267</v>
      </c>
      <c r="BE227" s="1207">
        <v>2155144.3099999996</v>
      </c>
      <c r="BF227" s="1148">
        <f ca="1">AQ227</f>
        <v>2285936.1661110763</v>
      </c>
      <c r="BG227" s="1207">
        <f t="shared" ca="1" si="381"/>
        <v>6348961.5564223267</v>
      </c>
      <c r="BH227" s="31"/>
      <c r="BI227" s="31"/>
      <c r="BJ227" s="31"/>
      <c r="BK227" s="31"/>
      <c r="BL227" s="31"/>
      <c r="BM227" s="31"/>
      <c r="BN227" s="31"/>
      <c r="BO227" s="31"/>
      <c r="BP227" s="31"/>
      <c r="BQ227" s="31"/>
      <c r="BR227" s="31"/>
      <c r="BS227" s="31"/>
      <c r="BT227" s="31"/>
      <c r="BU227" s="31"/>
      <c r="BV227" s="31"/>
      <c r="BW227" s="31"/>
      <c r="BX227" s="31"/>
      <c r="BY227" s="31"/>
      <c r="BZ227" s="31"/>
      <c r="CA227" s="31"/>
      <c r="CB227" s="31"/>
      <c r="CC227" s="31"/>
      <c r="CD227" s="31"/>
      <c r="CE227" s="31"/>
      <c r="CF227" s="31"/>
      <c r="CG227" s="31"/>
      <c r="CH227" s="31"/>
      <c r="CI227" s="31"/>
      <c r="CJ227" s="31"/>
      <c r="CK227" s="31"/>
      <c r="CL227" s="31"/>
      <c r="CM227" s="31"/>
      <c r="CN227" s="31"/>
      <c r="CO227" s="31"/>
      <c r="CP227" s="31"/>
      <c r="CQ227" s="31"/>
      <c r="CR227" s="31"/>
      <c r="CS227" s="31"/>
      <c r="CT227" s="31"/>
      <c r="CU227" s="31"/>
      <c r="CV227" s="31"/>
      <c r="CW227" s="31"/>
      <c r="CX227" s="31"/>
      <c r="CY227" s="31"/>
      <c r="CZ227" s="31"/>
      <c r="DA227" s="31"/>
      <c r="DB227" s="31"/>
      <c r="DC227" s="31"/>
      <c r="DD227" s="31"/>
      <c r="DE227" s="31"/>
      <c r="DF227" s="31"/>
      <c r="DG227" s="31"/>
      <c r="DH227" s="31"/>
      <c r="DI227" s="31"/>
      <c r="DJ227" s="31"/>
      <c r="DK227" s="31"/>
      <c r="DL227" s="31"/>
      <c r="DM227" s="31"/>
      <c r="DN227" s="31"/>
      <c r="DO227" s="31"/>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c r="EX227" s="31"/>
      <c r="EY227" s="31"/>
      <c r="EZ227" s="31"/>
      <c r="FA227" s="31"/>
      <c r="FB227" s="31"/>
      <c r="FC227" s="31"/>
      <c r="FD227" s="31"/>
      <c r="FE227" s="31"/>
      <c r="FF227" s="31"/>
      <c r="FG227" s="31"/>
      <c r="FH227" s="31"/>
      <c r="FI227" s="31"/>
      <c r="FJ227" s="31"/>
      <c r="FK227" s="31"/>
      <c r="FL227" s="31"/>
      <c r="FM227" s="31"/>
      <c r="FN227" s="31"/>
      <c r="FO227" s="31"/>
      <c r="FP227" s="31"/>
      <c r="FQ227" s="31"/>
      <c r="FR227" s="31"/>
      <c r="FS227" s="31"/>
      <c r="FT227" s="31"/>
      <c r="FU227" s="31"/>
      <c r="FV227" s="31"/>
      <c r="FW227" s="31"/>
      <c r="FX227" s="31"/>
      <c r="FY227" s="31"/>
      <c r="FZ227" s="31"/>
      <c r="GA227" s="31"/>
      <c r="GB227" s="31"/>
      <c r="GC227" s="31"/>
      <c r="GD227" s="31"/>
      <c r="GE227" s="31"/>
      <c r="GF227" s="31"/>
      <c r="GG227" s="31"/>
      <c r="GH227" s="31"/>
      <c r="GI227" s="31"/>
      <c r="GJ227" s="31"/>
      <c r="GK227" s="31"/>
      <c r="GL227" s="31"/>
      <c r="GM227" s="31"/>
      <c r="GN227" s="31"/>
      <c r="GO227" s="31"/>
      <c r="GP227" s="31"/>
      <c r="GQ227" s="31"/>
      <c r="GR227" s="31"/>
      <c r="GS227" s="31"/>
      <c r="GT227" s="31"/>
      <c r="GU227" s="31"/>
      <c r="GV227" s="31"/>
      <c r="GW227" s="31"/>
      <c r="GX227" s="31"/>
      <c r="GY227" s="31"/>
      <c r="GZ227" s="31"/>
      <c r="HA227" s="31"/>
      <c r="HB227" s="31"/>
      <c r="HC227" s="31"/>
      <c r="HD227" s="31"/>
      <c r="HE227" s="31"/>
      <c r="HF227" s="31"/>
      <c r="HG227" s="31"/>
      <c r="HH227" s="31"/>
      <c r="HI227" s="31"/>
      <c r="HJ227" s="31"/>
      <c r="HK227" s="31"/>
      <c r="HL227" s="31"/>
      <c r="HM227" s="31"/>
      <c r="HN227" s="31"/>
      <c r="HO227" s="31"/>
      <c r="HP227" s="31"/>
      <c r="HQ227" s="31"/>
      <c r="HR227" s="31"/>
      <c r="HS227" s="31"/>
      <c r="HT227" s="31"/>
      <c r="HU227" s="31"/>
      <c r="HV227" s="31"/>
      <c r="HW227" s="31"/>
      <c r="HX227" s="31"/>
      <c r="HY227" s="31"/>
      <c r="HZ227" s="31"/>
      <c r="IA227" s="31"/>
      <c r="IB227" s="31"/>
      <c r="IC227" s="31"/>
      <c r="ID227" s="31"/>
      <c r="IE227" s="31"/>
      <c r="IF227" s="31"/>
      <c r="IG227" s="31"/>
      <c r="IH227" s="31"/>
      <c r="II227" s="31"/>
      <c r="IJ227" s="31"/>
      <c r="IK227" s="31"/>
      <c r="IL227" s="31"/>
      <c r="IM227" s="31"/>
      <c r="IN227" s="31"/>
      <c r="IO227" s="31"/>
      <c r="IP227" s="31"/>
      <c r="IQ227" s="31"/>
      <c r="IR227" s="31"/>
      <c r="IS227" s="31"/>
      <c r="IT227" s="31"/>
      <c r="IU227" s="31"/>
      <c r="IV227" s="31"/>
      <c r="IW227" s="31"/>
      <c r="IX227" s="31"/>
      <c r="IY227" s="31"/>
      <c r="IZ227" s="31"/>
      <c r="JA227" s="31"/>
      <c r="JB227" s="31"/>
      <c r="JC227" s="31"/>
      <c r="JD227" s="31"/>
      <c r="JE227" s="31"/>
      <c r="JF227" s="31"/>
      <c r="JG227" s="31"/>
      <c r="JH227" s="31"/>
      <c r="JI227" s="31"/>
      <c r="JJ227" s="31"/>
      <c r="JK227" s="31"/>
      <c r="JL227" s="31"/>
      <c r="JM227" s="31"/>
      <c r="JN227" s="31"/>
      <c r="JO227" s="31"/>
      <c r="JP227" s="31"/>
      <c r="JQ227" s="31"/>
      <c r="JR227" s="31"/>
      <c r="JS227" s="31"/>
      <c r="JT227" s="31"/>
      <c r="JU227" s="31"/>
      <c r="JV227" s="31"/>
      <c r="JW227" s="31"/>
      <c r="JX227" s="31"/>
      <c r="JY227" s="31"/>
      <c r="JZ227" s="31"/>
      <c r="KA227" s="31"/>
      <c r="KB227" s="31"/>
      <c r="KC227" s="31"/>
      <c r="KD227" s="31"/>
      <c r="KE227" s="31"/>
      <c r="KF227" s="31"/>
      <c r="KG227" s="31"/>
      <c r="KH227" s="31"/>
      <c r="KI227" s="31"/>
      <c r="KJ227" s="31"/>
      <c r="KK227" s="31"/>
      <c r="KL227" s="31"/>
      <c r="KM227" s="31"/>
      <c r="KN227" s="31"/>
      <c r="KO227" s="31"/>
      <c r="KP227" s="31"/>
      <c r="KQ227" s="31"/>
      <c r="KR227" s="31"/>
      <c r="KS227" s="31"/>
      <c r="KT227" s="31"/>
      <c r="KU227" s="31"/>
      <c r="KV227" s="31"/>
      <c r="KW227" s="31"/>
      <c r="KX227" s="31"/>
      <c r="KY227" s="31"/>
      <c r="KZ227" s="31"/>
      <c r="LA227" s="31"/>
      <c r="LB227" s="31"/>
      <c r="LC227" s="31"/>
      <c r="LD227" s="31"/>
      <c r="LE227" s="31"/>
      <c r="LF227" s="31"/>
      <c r="LG227" s="31"/>
      <c r="LH227" s="31"/>
      <c r="LI227" s="31"/>
      <c r="LJ227" s="31"/>
      <c r="LK227" s="31"/>
      <c r="LL227" s="31"/>
      <c r="LM227" s="31"/>
      <c r="LN227" s="31"/>
      <c r="LO227" s="31"/>
      <c r="LP227" s="31"/>
      <c r="LQ227" s="31"/>
      <c r="LR227" s="31"/>
      <c r="LS227" s="31"/>
      <c r="LT227" s="31"/>
      <c r="LU227" s="31"/>
      <c r="LV227" s="31"/>
      <c r="LW227" s="31"/>
      <c r="LX227" s="31"/>
      <c r="LY227" s="31"/>
      <c r="LZ227" s="31"/>
      <c r="MA227" s="31"/>
      <c r="MB227" s="31"/>
      <c r="MC227" s="31"/>
      <c r="MD227" s="31"/>
      <c r="ME227" s="31"/>
      <c r="MF227" s="31"/>
      <c r="MG227" s="31"/>
      <c r="MH227" s="31"/>
      <c r="MI227" s="31"/>
      <c r="MJ227" s="31"/>
      <c r="MK227" s="31"/>
      <c r="ML227" s="31"/>
      <c r="MM227" s="31"/>
      <c r="MN227" s="31"/>
      <c r="MO227" s="31"/>
      <c r="MP227" s="31"/>
      <c r="MQ227" s="31"/>
      <c r="MR227" s="31"/>
      <c r="MS227" s="31"/>
      <c r="MT227" s="31"/>
      <c r="MU227" s="31"/>
      <c r="MV227" s="31"/>
      <c r="MW227" s="31"/>
      <c r="MX227" s="31"/>
      <c r="MY227" s="31"/>
      <c r="MZ227" s="31"/>
      <c r="NA227" s="31"/>
      <c r="NB227" s="31"/>
      <c r="NC227" s="31"/>
      <c r="ND227" s="31"/>
      <c r="NE227" s="31"/>
      <c r="NF227" s="31"/>
      <c r="NG227" s="31"/>
      <c r="NH227" s="31"/>
      <c r="NI227" s="31"/>
      <c r="NJ227" s="31"/>
      <c r="NK227" s="31"/>
      <c r="NL227" s="31"/>
      <c r="NM227" s="31"/>
      <c r="NN227" s="31"/>
      <c r="NO227" s="31"/>
      <c r="NP227" s="31"/>
      <c r="NQ227" s="31"/>
      <c r="NR227" s="31"/>
      <c r="NS227" s="31"/>
      <c r="NT227" s="31"/>
      <c r="NU227" s="31"/>
      <c r="NV227" s="31"/>
      <c r="NW227" s="31"/>
      <c r="NX227" s="31"/>
      <c r="NY227" s="31"/>
      <c r="NZ227" s="31"/>
      <c r="OA227" s="31"/>
      <c r="OB227" s="31"/>
      <c r="OC227" s="31"/>
      <c r="OD227" s="31"/>
      <c r="OE227" s="31"/>
      <c r="OF227" s="31"/>
      <c r="OG227" s="31"/>
      <c r="OH227" s="31"/>
      <c r="OI227" s="31"/>
      <c r="OJ227" s="31"/>
      <c r="OK227" s="31"/>
      <c r="OL227" s="31"/>
      <c r="OM227" s="31"/>
      <c r="ON227" s="31"/>
      <c r="OO227" s="31"/>
      <c r="OP227" s="31"/>
      <c r="OQ227" s="31"/>
      <c r="OR227" s="31"/>
      <c r="OS227" s="31"/>
      <c r="OT227" s="31"/>
      <c r="OU227" s="31"/>
      <c r="OV227" s="31"/>
      <c r="OW227" s="31"/>
      <c r="OX227" s="31"/>
      <c r="OY227" s="31"/>
      <c r="OZ227" s="31"/>
      <c r="PA227" s="31"/>
      <c r="PB227" s="31"/>
      <c r="PC227" s="31"/>
      <c r="PD227" s="31"/>
      <c r="PE227" s="31"/>
      <c r="PF227" s="31"/>
      <c r="PG227" s="31"/>
      <c r="PH227" s="31"/>
      <c r="PI227" s="31"/>
      <c r="PJ227" s="31"/>
      <c r="PK227" s="31"/>
      <c r="PL227" s="31"/>
      <c r="PM227" s="31"/>
      <c r="PN227" s="31"/>
      <c r="PO227" s="31"/>
      <c r="PP227" s="31"/>
      <c r="PQ227" s="31"/>
      <c r="PR227" s="31"/>
      <c r="PS227" s="31"/>
      <c r="PT227" s="31"/>
      <c r="PU227" s="31"/>
      <c r="PV227" s="31"/>
      <c r="PW227" s="31"/>
      <c r="PX227" s="31"/>
      <c r="PY227" s="31"/>
      <c r="PZ227" s="31"/>
      <c r="QA227" s="31"/>
      <c r="QB227" s="31"/>
      <c r="QC227" s="31"/>
      <c r="QD227" s="31"/>
      <c r="QE227" s="31"/>
      <c r="QF227" s="31"/>
      <c r="QG227" s="31"/>
      <c r="QH227" s="31"/>
      <c r="QI227" s="31"/>
      <c r="QJ227" s="31"/>
      <c r="QK227" s="31"/>
      <c r="QL227" s="31"/>
      <c r="QM227" s="31"/>
      <c r="QN227" s="31"/>
      <c r="QO227" s="31"/>
      <c r="QP227" s="31"/>
      <c r="QQ227" s="31"/>
      <c r="QR227" s="31"/>
      <c r="QS227" s="31"/>
      <c r="QT227" s="31"/>
      <c r="QU227" s="31"/>
      <c r="QV227" s="31"/>
      <c r="QW227" s="31"/>
      <c r="QX227" s="31"/>
      <c r="QY227" s="31"/>
      <c r="QZ227" s="31"/>
      <c r="RA227" s="31"/>
      <c r="RB227" s="31"/>
      <c r="RC227" s="31"/>
      <c r="RD227" s="31"/>
      <c r="RE227" s="31"/>
      <c r="RF227" s="31"/>
      <c r="RG227" s="31"/>
      <c r="RH227" s="31"/>
      <c r="RI227" s="31"/>
      <c r="RJ227" s="31"/>
      <c r="RK227" s="31"/>
      <c r="RL227" s="31"/>
      <c r="RM227" s="31"/>
      <c r="RN227" s="31"/>
      <c r="RO227" s="31"/>
      <c r="RP227" s="31"/>
      <c r="RQ227" s="31"/>
      <c r="RR227" s="31"/>
      <c r="RS227" s="31"/>
      <c r="RT227" s="31"/>
      <c r="RU227" s="31"/>
      <c r="RV227" s="31"/>
      <c r="RW227" s="31"/>
      <c r="RX227" s="31"/>
      <c r="RY227" s="31"/>
      <c r="RZ227" s="31"/>
      <c r="SA227" s="31"/>
      <c r="SB227" s="31"/>
      <c r="SC227" s="31"/>
      <c r="SD227" s="31"/>
      <c r="SE227" s="31"/>
      <c r="SF227" s="31"/>
      <c r="SG227" s="31"/>
      <c r="SH227" s="31"/>
      <c r="SI227" s="31"/>
      <c r="SJ227" s="31"/>
      <c r="SK227" s="31"/>
      <c r="SL227" s="31"/>
      <c r="SM227" s="31"/>
      <c r="SN227" s="31"/>
      <c r="SO227" s="31"/>
      <c r="SP227" s="31"/>
      <c r="SQ227" s="31"/>
      <c r="SR227" s="31"/>
      <c r="SS227" s="31"/>
      <c r="ST227" s="31"/>
      <c r="SU227" s="31"/>
      <c r="SV227" s="31"/>
      <c r="SW227" s="31"/>
      <c r="SX227" s="31"/>
      <c r="SY227" s="31"/>
      <c r="SZ227" s="31"/>
      <c r="TA227" s="31"/>
      <c r="TB227" s="31"/>
      <c r="TC227" s="31"/>
      <c r="TD227" s="31"/>
      <c r="TE227" s="31"/>
      <c r="TF227" s="31"/>
      <c r="TG227" s="31"/>
      <c r="TH227" s="31"/>
      <c r="TI227" s="31"/>
      <c r="TJ227" s="31"/>
      <c r="TK227" s="31"/>
      <c r="TL227" s="31"/>
      <c r="TM227" s="31"/>
      <c r="TN227" s="31"/>
      <c r="TO227" s="31"/>
      <c r="TP227" s="31"/>
      <c r="TQ227" s="31"/>
      <c r="TR227" s="31"/>
      <c r="TS227" s="31"/>
      <c r="TT227" s="31"/>
      <c r="TU227" s="31"/>
      <c r="TV227" s="31"/>
      <c r="TW227" s="31"/>
      <c r="TX227" s="31"/>
      <c r="TY227" s="31"/>
      <c r="TZ227" s="31"/>
      <c r="UA227" s="31"/>
      <c r="UB227" s="31"/>
      <c r="UC227" s="31"/>
      <c r="UD227" s="31"/>
      <c r="UE227" s="31"/>
      <c r="UF227" s="31"/>
      <c r="UG227" s="31"/>
      <c r="UH227" s="31"/>
      <c r="UI227" s="31"/>
      <c r="UJ227" s="31"/>
      <c r="UK227" s="31"/>
      <c r="UL227" s="31"/>
      <c r="UM227" s="31"/>
      <c r="UN227" s="31"/>
      <c r="UO227" s="31"/>
      <c r="UP227" s="31"/>
      <c r="UQ227" s="31"/>
      <c r="UR227" s="31"/>
      <c r="US227" s="31"/>
      <c r="UT227" s="31"/>
      <c r="UU227" s="31"/>
      <c r="UV227" s="31"/>
      <c r="UW227" s="31"/>
      <c r="UX227" s="31"/>
      <c r="UY227" s="31"/>
      <c r="UZ227" s="31"/>
      <c r="VA227" s="31"/>
      <c r="VB227" s="31"/>
      <c r="VC227" s="31"/>
      <c r="VD227" s="31"/>
      <c r="VE227" s="31"/>
      <c r="VF227" s="31"/>
      <c r="VG227" s="31"/>
      <c r="VH227" s="31"/>
      <c r="VI227" s="31"/>
      <c r="VJ227" s="31"/>
      <c r="VK227" s="31"/>
      <c r="VL227" s="31"/>
      <c r="VM227" s="31"/>
      <c r="VN227" s="31"/>
      <c r="VO227" s="31"/>
      <c r="VP227" s="31"/>
      <c r="VQ227" s="31"/>
      <c r="VR227" s="31"/>
      <c r="VS227" s="31"/>
      <c r="VT227" s="31"/>
      <c r="VU227" s="31"/>
      <c r="VV227" s="31"/>
      <c r="VW227" s="31"/>
      <c r="VX227" s="31"/>
      <c r="VY227" s="31"/>
      <c r="VZ227" s="31"/>
      <c r="WA227" s="31"/>
      <c r="WB227" s="31"/>
      <c r="WC227" s="31"/>
      <c r="WD227" s="31"/>
      <c r="WE227" s="31"/>
      <c r="WF227" s="31"/>
      <c r="WG227" s="31"/>
      <c r="WH227" s="31"/>
      <c r="WI227" s="31"/>
      <c r="WJ227" s="31"/>
      <c r="WK227" s="31"/>
      <c r="WL227" s="31"/>
      <c r="WM227" s="31"/>
      <c r="WN227" s="31"/>
      <c r="WO227" s="31"/>
      <c r="WP227" s="31"/>
      <c r="WQ227" s="31"/>
      <c r="WR227" s="31"/>
      <c r="WS227" s="31"/>
      <c r="WT227" s="31"/>
      <c r="WU227" s="31"/>
      <c r="WV227" s="31"/>
      <c r="WW227" s="31"/>
      <c r="WX227" s="31"/>
      <c r="WY227" s="31"/>
      <c r="WZ227" s="31"/>
      <c r="XA227" s="31"/>
      <c r="XB227" s="31"/>
      <c r="XC227" s="31"/>
      <c r="XD227" s="31"/>
      <c r="XE227" s="31"/>
      <c r="XF227" s="31"/>
      <c r="XG227" s="31"/>
      <c r="XH227" s="31"/>
      <c r="XI227" s="31"/>
      <c r="XJ227" s="31"/>
      <c r="XK227" s="31"/>
      <c r="XL227" s="31"/>
      <c r="XM227" s="31"/>
      <c r="XN227" s="31"/>
      <c r="XO227" s="31"/>
      <c r="XP227" s="31"/>
      <c r="XQ227" s="31"/>
      <c r="XR227" s="31"/>
      <c r="XS227" s="31"/>
      <c r="XT227" s="31"/>
      <c r="XU227" s="31"/>
      <c r="XV227" s="31"/>
      <c r="XW227" s="31"/>
      <c r="XX227" s="31"/>
      <c r="XY227" s="31"/>
      <c r="XZ227" s="31"/>
      <c r="YA227" s="31"/>
      <c r="YB227" s="31"/>
      <c r="YC227" s="31"/>
      <c r="YD227" s="31"/>
      <c r="YE227" s="31"/>
      <c r="YF227" s="31"/>
      <c r="YG227" s="31"/>
      <c r="YH227" s="31"/>
      <c r="YI227" s="31"/>
      <c r="YJ227" s="31"/>
      <c r="YK227" s="31"/>
      <c r="YL227" s="31"/>
      <c r="YM227" s="31"/>
      <c r="YN227" s="31"/>
      <c r="YO227" s="31"/>
      <c r="YP227" s="31"/>
      <c r="YQ227" s="31"/>
      <c r="YR227" s="31"/>
      <c r="YS227" s="31"/>
      <c r="YT227" s="31"/>
      <c r="YU227" s="31"/>
      <c r="YV227" s="31"/>
      <c r="YW227" s="31"/>
      <c r="YX227" s="31"/>
      <c r="YY227" s="31"/>
      <c r="YZ227" s="31"/>
      <c r="ZA227" s="31"/>
      <c r="ZB227" s="31"/>
      <c r="ZC227" s="31"/>
      <c r="ZD227" s="31"/>
      <c r="ZE227" s="31"/>
      <c r="ZF227" s="31"/>
      <c r="ZG227" s="31"/>
      <c r="ZH227" s="31"/>
      <c r="ZI227" s="31"/>
      <c r="ZJ227" s="31"/>
      <c r="ZK227" s="31"/>
      <c r="ZL227" s="31"/>
      <c r="ZM227" s="31"/>
      <c r="ZN227" s="31"/>
      <c r="ZO227" s="31"/>
      <c r="ZP227" s="31"/>
      <c r="ZQ227" s="31"/>
      <c r="ZR227" s="31"/>
      <c r="ZS227" s="31"/>
      <c r="ZT227" s="31"/>
      <c r="ZU227" s="31"/>
      <c r="ZV227" s="31"/>
      <c r="ZW227" s="31"/>
      <c r="ZX227" s="31"/>
      <c r="ZY227" s="31"/>
      <c r="ZZ227" s="31"/>
      <c r="AAA227" s="31"/>
      <c r="AAB227" s="31"/>
      <c r="AAC227" s="31"/>
      <c r="AAD227" s="31"/>
      <c r="AAE227" s="31"/>
      <c r="AAF227" s="31"/>
      <c r="AAG227" s="31"/>
      <c r="AAH227" s="31"/>
      <c r="AAI227" s="31"/>
      <c r="AAJ227" s="31"/>
      <c r="AAK227" s="31"/>
      <c r="AAL227" s="31"/>
      <c r="AAM227" s="31"/>
      <c r="AAN227" s="31"/>
      <c r="AAO227" s="31"/>
      <c r="AAP227" s="31"/>
      <c r="AAQ227" s="31"/>
      <c r="AAR227" s="31"/>
      <c r="AAS227" s="31"/>
      <c r="AAT227" s="31"/>
      <c r="AAU227" s="31"/>
      <c r="AAV227" s="31"/>
      <c r="AAW227" s="31"/>
      <c r="AAX227" s="31"/>
      <c r="AAY227" s="31"/>
      <c r="AAZ227" s="31"/>
      <c r="ABA227" s="31"/>
      <c r="ABB227" s="31"/>
      <c r="ABC227" s="31"/>
      <c r="ABD227" s="31"/>
      <c r="ABE227" s="31"/>
      <c r="ABF227" s="31"/>
      <c r="ABG227" s="31"/>
      <c r="ABH227" s="31"/>
      <c r="ABI227" s="31"/>
      <c r="ABJ227" s="31"/>
      <c r="ABK227" s="31"/>
      <c r="ABL227" s="31"/>
      <c r="ABM227" s="31"/>
      <c r="ABN227" s="31"/>
      <c r="ABO227" s="31"/>
      <c r="ABP227" s="31"/>
      <c r="ABQ227" s="31"/>
      <c r="ABR227" s="31"/>
      <c r="ABS227" s="31"/>
      <c r="ABT227" s="31"/>
      <c r="ABU227" s="31"/>
      <c r="ABV227" s="31"/>
      <c r="ABW227" s="31"/>
      <c r="ABX227" s="31"/>
      <c r="ABY227" s="31"/>
      <c r="ABZ227" s="31"/>
      <c r="ACA227" s="31"/>
      <c r="ACB227" s="31"/>
      <c r="ACC227" s="31"/>
      <c r="ACD227" s="31"/>
      <c r="ACE227" s="31"/>
      <c r="ACF227" s="31"/>
      <c r="ACG227" s="31"/>
      <c r="ACH227" s="31"/>
      <c r="ACI227" s="31"/>
      <c r="ACJ227" s="31"/>
      <c r="ACK227" s="31"/>
      <c r="ACL227" s="31"/>
      <c r="ACM227" s="31"/>
      <c r="ACN227" s="31"/>
      <c r="ACO227" s="31"/>
      <c r="ACP227" s="31"/>
      <c r="ACQ227" s="31"/>
      <c r="ACR227" s="31"/>
      <c r="ACS227" s="31"/>
      <c r="ACT227" s="31"/>
      <c r="ACU227" s="31"/>
      <c r="ACV227" s="31"/>
      <c r="ACW227" s="31"/>
      <c r="ACX227" s="31"/>
      <c r="ACY227" s="31"/>
      <c r="ACZ227" s="31"/>
      <c r="ADA227" s="31"/>
      <c r="ADB227" s="31"/>
      <c r="ADC227" s="31"/>
      <c r="ADD227" s="31"/>
      <c r="ADE227" s="31"/>
      <c r="ADF227" s="31"/>
      <c r="ADG227" s="31"/>
      <c r="ADH227" s="31"/>
      <c r="ADI227" s="31"/>
      <c r="ADJ227" s="31"/>
      <c r="ADK227" s="31"/>
      <c r="ADL227" s="31"/>
      <c r="ADM227" s="31"/>
      <c r="ADN227" s="31"/>
      <c r="ADO227" s="31"/>
      <c r="ADP227" s="31"/>
      <c r="ADQ227" s="31"/>
      <c r="ADR227" s="31"/>
      <c r="ADS227" s="31"/>
      <c r="ADT227" s="31"/>
      <c r="ADU227" s="31"/>
      <c r="ADV227" s="31"/>
      <c r="ADW227" s="31"/>
      <c r="ADX227" s="31"/>
      <c r="ADY227" s="31"/>
      <c r="ADZ227" s="31"/>
      <c r="AEA227" s="31"/>
      <c r="AEB227" s="31"/>
      <c r="AEC227" s="31"/>
      <c r="AED227" s="31"/>
      <c r="AEE227" s="31"/>
      <c r="AEF227" s="31"/>
      <c r="AEG227" s="31"/>
      <c r="AEH227" s="31"/>
      <c r="AEI227" s="31"/>
      <c r="AEJ227" s="31"/>
      <c r="AEK227" s="31"/>
      <c r="AEL227" s="31"/>
      <c r="AEM227" s="31"/>
      <c r="AEN227" s="31"/>
      <c r="AEO227" s="31"/>
      <c r="AEP227" s="31"/>
      <c r="AEQ227" s="31"/>
      <c r="AER227" s="31"/>
      <c r="AES227" s="31"/>
      <c r="AET227" s="31"/>
      <c r="AEU227" s="31"/>
      <c r="AEV227" s="31"/>
      <c r="AEW227" s="31"/>
      <c r="AEX227" s="31"/>
      <c r="AEY227" s="31"/>
      <c r="AEZ227" s="31"/>
      <c r="AFA227" s="31"/>
      <c r="AFB227" s="31"/>
      <c r="AFC227" s="31"/>
      <c r="AFD227" s="31"/>
      <c r="AFE227" s="31"/>
      <c r="AFF227" s="31"/>
      <c r="AFG227" s="31"/>
      <c r="AFH227" s="31"/>
      <c r="AFI227" s="31"/>
      <c r="AFJ227" s="31"/>
      <c r="AFK227" s="31"/>
      <c r="AFL227" s="31"/>
      <c r="AFM227" s="31"/>
      <c r="AFN227" s="31"/>
      <c r="AFO227" s="31"/>
      <c r="AFP227" s="31"/>
      <c r="AFQ227" s="31"/>
      <c r="AFR227" s="31"/>
      <c r="AFS227" s="31"/>
      <c r="AFT227" s="31"/>
      <c r="AFU227" s="31"/>
      <c r="AFV227" s="31"/>
      <c r="AFW227" s="31"/>
      <c r="AFX227" s="31"/>
      <c r="AFY227" s="31"/>
      <c r="AFZ227" s="31"/>
      <c r="AGA227" s="31"/>
      <c r="AGB227" s="31"/>
      <c r="AGC227" s="31"/>
      <c r="AGD227" s="31"/>
      <c r="AGE227" s="31"/>
      <c r="AGF227" s="31"/>
      <c r="AGG227" s="31"/>
      <c r="AGH227" s="31"/>
      <c r="AGI227" s="31"/>
      <c r="AGJ227" s="31"/>
      <c r="AGK227" s="31"/>
      <c r="AGL227" s="31"/>
      <c r="AGM227" s="31"/>
      <c r="AGN227" s="31"/>
      <c r="AGO227" s="31"/>
      <c r="AGP227" s="31"/>
      <c r="AGQ227" s="31"/>
      <c r="AGR227" s="31"/>
      <c r="AGS227" s="31"/>
      <c r="AGT227" s="31"/>
      <c r="AGU227" s="31"/>
      <c r="AGV227" s="31"/>
      <c r="AGW227" s="31"/>
      <c r="AGX227" s="31"/>
      <c r="AGY227" s="31"/>
      <c r="AGZ227" s="31"/>
      <c r="AHA227" s="31"/>
      <c r="AHB227" s="31"/>
      <c r="AHC227" s="31"/>
      <c r="AHD227" s="31"/>
      <c r="AHE227" s="31"/>
      <c r="AHF227" s="31"/>
      <c r="AHG227" s="31"/>
      <c r="AHH227" s="31"/>
      <c r="AHI227" s="31"/>
      <c r="AHJ227" s="31"/>
      <c r="AHK227" s="31"/>
      <c r="AHL227" s="31"/>
      <c r="AHM227" s="31"/>
      <c r="AHN227" s="31"/>
      <c r="AHO227" s="31"/>
      <c r="AHP227" s="31"/>
      <c r="AHQ227" s="31"/>
      <c r="AHR227" s="31"/>
      <c r="AHS227" s="31"/>
      <c r="AHT227" s="31"/>
      <c r="AHU227" s="31"/>
      <c r="AHV227" s="31"/>
      <c r="AHW227" s="31"/>
      <c r="AHX227" s="31"/>
      <c r="AHY227" s="31"/>
      <c r="AHZ227" s="31"/>
      <c r="AIA227" s="31"/>
      <c r="AIB227" s="31"/>
      <c r="AIC227" s="31"/>
      <c r="AID227" s="31"/>
      <c r="AIE227" s="31"/>
      <c r="AIF227" s="31"/>
      <c r="AIG227" s="31"/>
      <c r="AIH227" s="31"/>
      <c r="AII227" s="31"/>
      <c r="AIJ227" s="31"/>
      <c r="AIK227" s="31"/>
      <c r="AIL227" s="31"/>
      <c r="AIM227" s="31"/>
      <c r="AIN227" s="31"/>
      <c r="AIO227" s="31"/>
      <c r="AIP227" s="31"/>
      <c r="AIQ227" s="31"/>
      <c r="AIR227" s="31"/>
      <c r="AIS227" s="31"/>
      <c r="AIT227" s="31"/>
      <c r="AIU227" s="31"/>
      <c r="AIV227" s="31"/>
      <c r="AIW227" s="31"/>
      <c r="AIX227" s="31"/>
      <c r="AIY227" s="31"/>
      <c r="AIZ227" s="31"/>
      <c r="AJA227" s="31"/>
      <c r="AJB227" s="31"/>
      <c r="AJC227" s="31"/>
      <c r="AJD227" s="31"/>
      <c r="AJE227" s="31"/>
      <c r="AJF227" s="31"/>
      <c r="AJG227" s="31"/>
      <c r="AJH227" s="31"/>
      <c r="AJI227" s="31"/>
      <c r="AJJ227" s="31"/>
      <c r="AJK227" s="31"/>
      <c r="AJL227" s="31"/>
      <c r="AJM227" s="31"/>
      <c r="AJN227" s="31"/>
      <c r="AJO227" s="31"/>
      <c r="AJP227" s="31"/>
      <c r="AJQ227" s="31"/>
      <c r="AJR227" s="31"/>
      <c r="AJS227" s="31"/>
      <c r="AJT227" s="31"/>
      <c r="AJU227" s="31"/>
      <c r="AJV227" s="31"/>
      <c r="AJW227" s="31"/>
      <c r="AJX227" s="31"/>
      <c r="AJY227" s="31"/>
      <c r="AJZ227" s="31"/>
      <c r="AKA227" s="31"/>
      <c r="AKB227" s="31"/>
      <c r="AKC227" s="31"/>
      <c r="AKD227" s="31"/>
      <c r="AKE227" s="31"/>
      <c r="AKF227" s="31"/>
      <c r="AKG227" s="31"/>
      <c r="AKH227" s="31"/>
      <c r="AKI227" s="31"/>
      <c r="AKJ227" s="31"/>
      <c r="AKK227" s="31"/>
      <c r="AKL227" s="31"/>
      <c r="AKM227" s="31"/>
      <c r="AKN227" s="31"/>
      <c r="AKO227" s="31"/>
      <c r="AKP227" s="31"/>
      <c r="AKQ227" s="31"/>
      <c r="AKR227" s="31"/>
      <c r="AKS227" s="31"/>
      <c r="AKT227" s="31"/>
      <c r="AKU227" s="31"/>
      <c r="AKV227" s="31"/>
      <c r="AKW227" s="31"/>
      <c r="AKX227" s="31"/>
      <c r="AKY227" s="31"/>
      <c r="AKZ227" s="31"/>
      <c r="ALA227" s="31"/>
      <c r="ALB227" s="31"/>
      <c r="ALC227" s="31"/>
      <c r="ALD227" s="31"/>
      <c r="ALE227" s="31"/>
      <c r="ALF227" s="31"/>
      <c r="ALG227" s="31"/>
      <c r="ALH227" s="31"/>
      <c r="ALI227" s="31"/>
      <c r="ALJ227" s="31"/>
      <c r="ALK227" s="31"/>
      <c r="ALL227" s="31"/>
      <c r="ALM227" s="31"/>
      <c r="ALN227" s="31"/>
      <c r="ALO227" s="31"/>
      <c r="ALP227" s="31"/>
      <c r="ALQ227" s="31"/>
      <c r="ALR227" s="31"/>
      <c r="ALS227" s="31"/>
      <c r="ALT227" s="31"/>
      <c r="ALU227" s="31"/>
      <c r="ALV227" s="31"/>
      <c r="ALW227" s="31"/>
      <c r="ALX227" s="31"/>
      <c r="ALY227" s="31"/>
      <c r="ALZ227" s="31"/>
      <c r="AMA227" s="31"/>
      <c r="AMB227" s="31"/>
      <c r="AMC227" s="31"/>
      <c r="AMD227" s="31"/>
      <c r="AME227" s="31"/>
      <c r="AMF227" s="31"/>
      <c r="AMG227" s="31"/>
      <c r="AMH227" s="31"/>
      <c r="AMI227" s="31"/>
      <c r="AMJ227" s="31"/>
      <c r="AMK227" s="31"/>
      <c r="AML227" s="31"/>
      <c r="AMM227" s="31"/>
      <c r="AMN227" s="31"/>
      <c r="AMO227" s="31"/>
      <c r="AMP227" s="31"/>
      <c r="AMQ227" s="31"/>
      <c r="AMR227" s="31"/>
      <c r="AMS227" s="31"/>
      <c r="AMT227" s="31"/>
      <c r="AMU227" s="31"/>
      <c r="AMV227" s="31"/>
      <c r="AMW227" s="31"/>
      <c r="AMX227" s="31"/>
      <c r="AMY227" s="31"/>
      <c r="AMZ227" s="31"/>
      <c r="ANA227" s="31"/>
      <c r="ANB227" s="31"/>
      <c r="ANC227" s="31"/>
      <c r="AND227" s="31"/>
      <c r="ANE227" s="31"/>
      <c r="ANF227" s="31"/>
      <c r="ANG227" s="31"/>
      <c r="ANH227" s="31"/>
      <c r="ANI227" s="31"/>
      <c r="ANJ227" s="31"/>
      <c r="ANK227" s="31"/>
      <c r="ANL227" s="31"/>
      <c r="ANM227" s="31"/>
      <c r="ANN227" s="31"/>
      <c r="ANO227" s="31"/>
      <c r="ANP227" s="31"/>
      <c r="ANQ227" s="31"/>
      <c r="ANR227" s="31"/>
      <c r="ANS227" s="31"/>
      <c r="ANT227" s="31"/>
      <c r="ANU227" s="31"/>
      <c r="ANV227" s="31"/>
      <c r="ANW227" s="31"/>
      <c r="ANX227" s="31"/>
      <c r="ANY227" s="31"/>
      <c r="ANZ227" s="31"/>
      <c r="AOA227" s="31"/>
      <c r="AOB227" s="31"/>
      <c r="AOC227" s="31"/>
      <c r="AOD227" s="31"/>
      <c r="AOE227" s="31"/>
      <c r="AOF227" s="31"/>
      <c r="AOG227" s="31"/>
      <c r="AOH227" s="31"/>
      <c r="AOI227" s="31"/>
      <c r="AOJ227" s="31"/>
      <c r="AOK227" s="31"/>
      <c r="AOL227" s="31"/>
      <c r="AOM227" s="31"/>
      <c r="AON227" s="31"/>
      <c r="AOO227" s="31"/>
      <c r="AOP227" s="31"/>
      <c r="AOQ227" s="31"/>
      <c r="AOR227" s="31"/>
      <c r="AOS227" s="31"/>
      <c r="AOT227" s="31"/>
      <c r="AOU227" s="31"/>
      <c r="AOV227" s="31"/>
      <c r="AOW227" s="31"/>
      <c r="AOX227" s="31"/>
      <c r="AOY227" s="31"/>
      <c r="AOZ227" s="31"/>
      <c r="APA227" s="31"/>
      <c r="APB227" s="31"/>
      <c r="APC227" s="31"/>
      <c r="APD227" s="31"/>
      <c r="APE227" s="31"/>
      <c r="APF227" s="31"/>
      <c r="APG227" s="31"/>
      <c r="APH227" s="31"/>
      <c r="API227" s="31"/>
      <c r="APJ227" s="31"/>
      <c r="APK227" s="31"/>
      <c r="APL227" s="31"/>
      <c r="APM227" s="31"/>
      <c r="APN227" s="31"/>
      <c r="APO227" s="31"/>
      <c r="APP227" s="31"/>
      <c r="APQ227" s="31"/>
      <c r="APR227" s="31"/>
      <c r="APS227" s="31"/>
      <c r="APT227" s="31"/>
      <c r="APU227" s="31"/>
      <c r="APV227" s="31"/>
      <c r="APW227" s="31"/>
      <c r="APX227" s="31"/>
      <c r="APY227" s="31"/>
      <c r="APZ227" s="31"/>
      <c r="AQA227" s="31"/>
      <c r="AQB227" s="31"/>
      <c r="AQC227" s="31"/>
      <c r="AQD227" s="31"/>
      <c r="AQE227" s="31"/>
      <c r="AQF227" s="31"/>
      <c r="AQG227" s="31"/>
      <c r="AQH227" s="31"/>
      <c r="AQI227" s="31"/>
      <c r="AQJ227" s="31"/>
      <c r="AQK227" s="31"/>
      <c r="AQL227" s="31"/>
      <c r="AQM227" s="31"/>
      <c r="AQN227" s="31"/>
      <c r="AQO227" s="31"/>
      <c r="AQP227" s="31"/>
      <c r="AQQ227" s="31"/>
      <c r="AQR227" s="31"/>
      <c r="AQS227" s="31"/>
      <c r="AQT227" s="31"/>
      <c r="AQU227" s="31"/>
      <c r="AQV227" s="31"/>
      <c r="AQW227" s="31"/>
      <c r="AQX227" s="31"/>
      <c r="AQY227" s="31"/>
      <c r="AQZ227" s="31"/>
      <c r="ARA227" s="31"/>
      <c r="ARB227" s="31"/>
      <c r="ARC227" s="31"/>
      <c r="ARD227" s="31"/>
      <c r="ARE227" s="31"/>
      <c r="ARF227" s="31"/>
      <c r="ARG227" s="31"/>
      <c r="ARH227" s="31"/>
      <c r="ARI227" s="31"/>
      <c r="ARJ227" s="31"/>
      <c r="ARK227" s="31"/>
      <c r="ARL227" s="31"/>
      <c r="ARM227" s="31"/>
      <c r="ARN227" s="31"/>
      <c r="ARO227" s="31"/>
      <c r="ARP227" s="31"/>
      <c r="ARQ227" s="31"/>
      <c r="ARR227" s="31"/>
      <c r="ARS227" s="31"/>
      <c r="ART227" s="31"/>
      <c r="ARU227" s="31"/>
      <c r="ARV227" s="31"/>
      <c r="ARW227" s="31"/>
      <c r="ARX227" s="31"/>
      <c r="ARY227" s="31"/>
      <c r="ARZ227" s="31"/>
      <c r="ASA227" s="31"/>
      <c r="ASB227" s="31"/>
      <c r="ASC227" s="31"/>
      <c r="ASD227" s="31"/>
      <c r="ASE227" s="31"/>
      <c r="ASF227" s="31"/>
      <c r="ASG227" s="31"/>
      <c r="ASH227" s="31"/>
      <c r="ASI227" s="31"/>
      <c r="ASJ227" s="31"/>
      <c r="ASK227" s="31"/>
      <c r="ASL227" s="31"/>
      <c r="ASM227" s="31"/>
      <c r="ASN227" s="31"/>
      <c r="ASO227" s="31"/>
      <c r="ASP227" s="31"/>
      <c r="ASQ227" s="31"/>
      <c r="ASR227" s="31"/>
      <c r="ASS227" s="31"/>
      <c r="AST227" s="31"/>
      <c r="ASU227" s="31"/>
      <c r="ASV227" s="31"/>
      <c r="ASW227" s="31"/>
      <c r="ASX227" s="31"/>
      <c r="ASY227" s="31"/>
      <c r="ASZ227" s="31"/>
      <c r="ATA227" s="31"/>
      <c r="ATB227" s="31"/>
      <c r="ATC227" s="31"/>
      <c r="ATD227" s="31"/>
      <c r="ATE227" s="31"/>
    </row>
    <row r="228" spans="1:1201" s="34" customFormat="1" ht="15.75" customHeight="1" x14ac:dyDescent="0.3">
      <c r="A228" s="197"/>
      <c r="B228" s="197"/>
      <c r="C228" s="697" t="s">
        <v>280</v>
      </c>
      <c r="D228" s="698"/>
      <c r="E228" s="698"/>
      <c r="F228" s="699"/>
      <c r="G228" s="700">
        <f t="shared" ref="G228:T228" si="385">SUM(G221:G227)</f>
        <v>2270918.83</v>
      </c>
      <c r="H228" s="701">
        <f t="shared" si="385"/>
        <v>1890842.07</v>
      </c>
      <c r="I228" s="702">
        <f t="shared" si="385"/>
        <v>1821145.81</v>
      </c>
      <c r="J228" s="702">
        <f t="shared" si="385"/>
        <v>2078392.55</v>
      </c>
      <c r="K228" s="702">
        <f t="shared" si="385"/>
        <v>1974156.76</v>
      </c>
      <c r="L228" s="702">
        <f t="shared" si="385"/>
        <v>2116946.3800000004</v>
      </c>
      <c r="M228" s="702">
        <f t="shared" si="385"/>
        <v>2028680.33</v>
      </c>
      <c r="N228" s="702">
        <f t="shared" si="385"/>
        <v>2259153.1800000002</v>
      </c>
      <c r="O228" s="702">
        <f t="shared" si="385"/>
        <v>2376637.81</v>
      </c>
      <c r="P228" s="702">
        <f t="shared" si="385"/>
        <v>2566416.0100000002</v>
      </c>
      <c r="Q228" s="702">
        <f t="shared" si="385"/>
        <v>2597570</v>
      </c>
      <c r="R228" s="702">
        <f t="shared" si="385"/>
        <v>2639114.96</v>
      </c>
      <c r="S228" s="947">
        <f t="shared" si="385"/>
        <v>3243585.31</v>
      </c>
      <c r="T228" s="1065">
        <f t="shared" si="385"/>
        <v>2634768.92</v>
      </c>
      <c r="U228" s="1106">
        <f t="shared" ref="U228:AB228" si="386">SUM(U221:U227)</f>
        <v>2851370.7</v>
      </c>
      <c r="V228" s="1106">
        <f t="shared" si="386"/>
        <v>2897700.2199999997</v>
      </c>
      <c r="W228" s="1106">
        <f t="shared" si="386"/>
        <v>1814082.4</v>
      </c>
      <c r="X228" s="1106">
        <f t="shared" si="386"/>
        <v>1685689.67</v>
      </c>
      <c r="Y228" s="1106">
        <f t="shared" si="386"/>
        <v>1964928.33</v>
      </c>
      <c r="Z228" s="1106">
        <f>SUM(Z221:Z227)</f>
        <v>1945075.35</v>
      </c>
      <c r="AA228" s="1106">
        <f>SUM(AA221:AA227)</f>
        <v>2449753.34</v>
      </c>
      <c r="AB228" s="1106">
        <f t="shared" si="386"/>
        <v>2681478.41</v>
      </c>
      <c r="AC228" s="1106">
        <f>SUM(AC221:AC227)</f>
        <v>2743290.8999999994</v>
      </c>
      <c r="AD228" s="1106">
        <f>SUM(AD221:AD227)</f>
        <v>2888334.67</v>
      </c>
      <c r="AE228" s="1106">
        <f t="shared" ref="AE228" si="387">SUM(AE221:AE227)</f>
        <v>3109833.67</v>
      </c>
      <c r="AF228" s="1106">
        <f t="shared" ref="AF228:AQ228" si="388">SUM(AF221:AF227)</f>
        <v>2837762.0999999996</v>
      </c>
      <c r="AG228" s="1106">
        <f>SUM(AG221:AG227)</f>
        <v>2912452.76</v>
      </c>
      <c r="AH228" s="1106">
        <f>SUM(AH221:AH227)</f>
        <v>3259564.27</v>
      </c>
      <c r="AI228" s="1106">
        <f>SUM(AI221:AI227)</f>
        <v>2965630.16</v>
      </c>
      <c r="AJ228" s="1284">
        <f t="shared" si="388"/>
        <v>3401843.76</v>
      </c>
      <c r="AK228" s="1284">
        <f t="shared" si="388"/>
        <v>3356656.86</v>
      </c>
      <c r="AL228" s="1284">
        <f t="shared" si="388"/>
        <v>3477584.4400000004</v>
      </c>
      <c r="AM228" s="1284">
        <f t="shared" si="388"/>
        <v>3718533.32</v>
      </c>
      <c r="AN228" s="1284">
        <f t="shared" ref="AN228:AO228" si="389">SUM(AN221:AN227)</f>
        <v>3930427.3600000003</v>
      </c>
      <c r="AO228" s="1284">
        <f t="shared" si="389"/>
        <v>4178551.24</v>
      </c>
      <c r="AP228" s="702">
        <f t="shared" ca="1" si="388"/>
        <v>4551086.2521843165</v>
      </c>
      <c r="AQ228" s="702">
        <f t="shared" ca="1" si="388"/>
        <v>4581863.2016666457</v>
      </c>
      <c r="AR228" s="1646">
        <f t="shared" ref="AR228:BC228" ca="1" si="390">SUM(AR221:AR227)</f>
        <v>4724583.6734475326</v>
      </c>
      <c r="AS228" s="702">
        <f t="shared" ca="1" si="390"/>
        <v>5248746.599069871</v>
      </c>
      <c r="AT228" s="702">
        <f t="shared" ca="1" si="390"/>
        <v>5242893.0778643945</v>
      </c>
      <c r="AU228" s="702">
        <f t="shared" ca="1" si="390"/>
        <v>5724972.4734655395</v>
      </c>
      <c r="AV228" s="702">
        <f t="shared" ca="1" si="390"/>
        <v>6025579.5004012883</v>
      </c>
      <c r="AW228" s="702">
        <f t="shared" ca="1" si="390"/>
        <v>5976191.0246646162</v>
      </c>
      <c r="AX228" s="702">
        <f t="shared" ca="1" si="390"/>
        <v>6268855.6792290481</v>
      </c>
      <c r="AY228" s="702">
        <f t="shared" ca="1" si="390"/>
        <v>6811524.947794782</v>
      </c>
      <c r="AZ228" s="702">
        <f t="shared" ca="1" si="390"/>
        <v>6770630.2563132048</v>
      </c>
      <c r="BA228" s="702">
        <f t="shared" ca="1" si="390"/>
        <v>7055102.2603802998</v>
      </c>
      <c r="BB228" s="702">
        <f t="shared" ca="1" si="390"/>
        <v>7336537.6409411747</v>
      </c>
      <c r="BC228" s="702">
        <f t="shared" ca="1" si="390"/>
        <v>7344720.4670782965</v>
      </c>
      <c r="BE228" s="1207">
        <v>3167888.7899999996</v>
      </c>
      <c r="BF228" s="1284">
        <f ca="1">AQ228</f>
        <v>4581863.2016666457</v>
      </c>
      <c r="BG228" s="1207">
        <f t="shared" ca="1" si="381"/>
        <v>7344720.4670782965</v>
      </c>
      <c r="BH228" s="31"/>
      <c r="BI228" s="31"/>
      <c r="BJ228" s="31"/>
      <c r="BK228" s="31"/>
      <c r="BL228" s="31"/>
      <c r="BM228" s="31"/>
      <c r="BN228" s="31"/>
      <c r="BO228" s="31"/>
      <c r="BP228" s="31"/>
      <c r="BQ228" s="31"/>
      <c r="BR228" s="31"/>
      <c r="BS228" s="31"/>
      <c r="BT228" s="31"/>
      <c r="BU228" s="31"/>
      <c r="BV228" s="31"/>
      <c r="BW228" s="31"/>
      <c r="BX228" s="31"/>
      <c r="BY228" s="31"/>
      <c r="BZ228" s="31"/>
      <c r="CA228" s="31"/>
      <c r="CB228" s="31"/>
      <c r="CC228" s="31"/>
      <c r="CD228" s="31"/>
      <c r="CE228" s="31"/>
      <c r="CF228" s="31"/>
      <c r="CG228" s="31"/>
      <c r="CH228" s="31"/>
      <c r="CI228" s="31"/>
      <c r="CJ228" s="31"/>
      <c r="CK228" s="31"/>
      <c r="CL228" s="31"/>
      <c r="CM228" s="31"/>
      <c r="CN228" s="31"/>
      <c r="CO228" s="31"/>
      <c r="CP228" s="31"/>
      <c r="CQ228" s="31"/>
      <c r="CR228" s="31"/>
      <c r="CS228" s="31"/>
      <c r="CT228" s="31"/>
      <c r="CU228" s="31"/>
      <c r="CV228" s="31"/>
      <c r="CW228" s="31"/>
      <c r="CX228" s="31"/>
      <c r="CY228" s="31"/>
      <c r="CZ228" s="31"/>
      <c r="DA228" s="31"/>
      <c r="DB228" s="31"/>
      <c r="DC228" s="31"/>
      <c r="DD228" s="31"/>
      <c r="DE228" s="31"/>
      <c r="DF228" s="31"/>
      <c r="DG228" s="31"/>
      <c r="DH228" s="31"/>
      <c r="DI228" s="31"/>
      <c r="DJ228" s="31"/>
      <c r="DK228" s="31"/>
      <c r="DL228" s="31"/>
      <c r="DM228" s="31"/>
      <c r="DN228" s="31"/>
      <c r="DO228" s="31"/>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c r="EX228" s="31"/>
      <c r="EY228" s="31"/>
      <c r="EZ228" s="31"/>
      <c r="FA228" s="31"/>
      <c r="FB228" s="31"/>
      <c r="FC228" s="31"/>
      <c r="FD228" s="31"/>
      <c r="FE228" s="31"/>
      <c r="FF228" s="31"/>
      <c r="FG228" s="31"/>
      <c r="FH228" s="31"/>
      <c r="FI228" s="31"/>
      <c r="FJ228" s="31"/>
      <c r="FK228" s="31"/>
      <c r="FL228" s="31"/>
      <c r="FM228" s="31"/>
      <c r="FN228" s="31"/>
      <c r="FO228" s="31"/>
      <c r="FP228" s="31"/>
      <c r="FQ228" s="31"/>
      <c r="FR228" s="31"/>
      <c r="FS228" s="31"/>
      <c r="FT228" s="31"/>
      <c r="FU228" s="31"/>
      <c r="FV228" s="31"/>
      <c r="FW228" s="31"/>
      <c r="FX228" s="31"/>
      <c r="FY228" s="31"/>
      <c r="FZ228" s="31"/>
      <c r="GA228" s="31"/>
      <c r="GB228" s="31"/>
      <c r="GC228" s="31"/>
      <c r="GD228" s="31"/>
      <c r="GE228" s="31"/>
      <c r="GF228" s="31"/>
      <c r="GG228" s="31"/>
      <c r="GH228" s="31"/>
      <c r="GI228" s="31"/>
      <c r="GJ228" s="31"/>
      <c r="GK228" s="31"/>
      <c r="GL228" s="31"/>
      <c r="GM228" s="31"/>
      <c r="GN228" s="31"/>
      <c r="GO228" s="31"/>
      <c r="GP228" s="31"/>
      <c r="GQ228" s="31"/>
      <c r="GR228" s="31"/>
      <c r="GS228" s="31"/>
      <c r="GT228" s="31"/>
      <c r="GU228" s="31"/>
      <c r="GV228" s="31"/>
      <c r="GW228" s="31"/>
      <c r="GX228" s="31"/>
      <c r="GY228" s="31"/>
      <c r="GZ228" s="31"/>
      <c r="HA228" s="31"/>
      <c r="HB228" s="31"/>
      <c r="HC228" s="31"/>
      <c r="HD228" s="31"/>
      <c r="HE228" s="31"/>
      <c r="HF228" s="31"/>
      <c r="HG228" s="31"/>
      <c r="HH228" s="31"/>
      <c r="HI228" s="31"/>
      <c r="HJ228" s="31"/>
      <c r="HK228" s="31"/>
      <c r="HL228" s="31"/>
      <c r="HM228" s="31"/>
      <c r="HN228" s="31"/>
      <c r="HO228" s="31"/>
      <c r="HP228" s="31"/>
      <c r="HQ228" s="31"/>
      <c r="HR228" s="31"/>
      <c r="HS228" s="31"/>
      <c r="HT228" s="31"/>
      <c r="HU228" s="31"/>
      <c r="HV228" s="31"/>
      <c r="HW228" s="31"/>
      <c r="HX228" s="31"/>
      <c r="HY228" s="31"/>
      <c r="HZ228" s="31"/>
      <c r="IA228" s="31"/>
      <c r="IB228" s="31"/>
      <c r="IC228" s="31"/>
      <c r="ID228" s="31"/>
      <c r="IE228" s="31"/>
      <c r="IF228" s="31"/>
      <c r="IG228" s="31"/>
      <c r="IH228" s="31"/>
      <c r="II228" s="31"/>
      <c r="IJ228" s="31"/>
      <c r="IK228" s="31"/>
      <c r="IL228" s="31"/>
      <c r="IM228" s="31"/>
      <c r="IN228" s="31"/>
      <c r="IO228" s="31"/>
      <c r="IP228" s="31"/>
      <c r="IQ228" s="31"/>
      <c r="IR228" s="31"/>
      <c r="IS228" s="31"/>
      <c r="IT228" s="31"/>
      <c r="IU228" s="31"/>
      <c r="IV228" s="31"/>
      <c r="IW228" s="31"/>
      <c r="IX228" s="31"/>
      <c r="IY228" s="31"/>
      <c r="IZ228" s="31"/>
      <c r="JA228" s="31"/>
      <c r="JB228" s="31"/>
      <c r="JC228" s="31"/>
      <c r="JD228" s="31"/>
      <c r="JE228" s="31"/>
      <c r="JF228" s="31"/>
      <c r="JG228" s="31"/>
      <c r="JH228" s="31"/>
      <c r="JI228" s="31"/>
      <c r="JJ228" s="31"/>
      <c r="JK228" s="31"/>
      <c r="JL228" s="31"/>
      <c r="JM228" s="31"/>
      <c r="JN228" s="31"/>
      <c r="JO228" s="31"/>
      <c r="JP228" s="31"/>
      <c r="JQ228" s="31"/>
      <c r="JR228" s="31"/>
      <c r="JS228" s="31"/>
      <c r="JT228" s="31"/>
      <c r="JU228" s="31"/>
      <c r="JV228" s="31"/>
      <c r="JW228" s="31"/>
      <c r="JX228" s="31"/>
      <c r="JY228" s="31"/>
      <c r="JZ228" s="31"/>
      <c r="KA228" s="31"/>
      <c r="KB228" s="31"/>
      <c r="KC228" s="31"/>
      <c r="KD228" s="31"/>
      <c r="KE228" s="31"/>
      <c r="KF228" s="31"/>
      <c r="KG228" s="31"/>
      <c r="KH228" s="31"/>
      <c r="KI228" s="31"/>
      <c r="KJ228" s="31"/>
      <c r="KK228" s="31"/>
      <c r="KL228" s="31"/>
      <c r="KM228" s="31"/>
      <c r="KN228" s="31"/>
      <c r="KO228" s="31"/>
      <c r="KP228" s="31"/>
      <c r="KQ228" s="31"/>
      <c r="KR228" s="31"/>
      <c r="KS228" s="31"/>
      <c r="KT228" s="31"/>
      <c r="KU228" s="31"/>
      <c r="KV228" s="31"/>
      <c r="KW228" s="31"/>
      <c r="KX228" s="31"/>
      <c r="KY228" s="31"/>
      <c r="KZ228" s="31"/>
      <c r="LA228" s="31"/>
      <c r="LB228" s="31"/>
      <c r="LC228" s="31"/>
      <c r="LD228" s="31"/>
      <c r="LE228" s="31"/>
      <c r="LF228" s="31"/>
      <c r="LG228" s="31"/>
      <c r="LH228" s="31"/>
      <c r="LI228" s="31"/>
      <c r="LJ228" s="31"/>
      <c r="LK228" s="31"/>
      <c r="LL228" s="31"/>
      <c r="LM228" s="31"/>
      <c r="LN228" s="31"/>
      <c r="LO228" s="31"/>
      <c r="LP228" s="31"/>
      <c r="LQ228" s="31"/>
      <c r="LR228" s="31"/>
      <c r="LS228" s="31"/>
      <c r="LT228" s="31"/>
      <c r="LU228" s="31"/>
      <c r="LV228" s="31"/>
      <c r="LW228" s="31"/>
      <c r="LX228" s="31"/>
      <c r="LY228" s="31"/>
      <c r="LZ228" s="31"/>
      <c r="MA228" s="31"/>
      <c r="MB228" s="31"/>
      <c r="MC228" s="31"/>
      <c r="MD228" s="31"/>
      <c r="ME228" s="31"/>
      <c r="MF228" s="31"/>
      <c r="MG228" s="31"/>
      <c r="MH228" s="31"/>
      <c r="MI228" s="31"/>
      <c r="MJ228" s="31"/>
      <c r="MK228" s="31"/>
      <c r="ML228" s="31"/>
      <c r="MM228" s="31"/>
      <c r="MN228" s="31"/>
      <c r="MO228" s="31"/>
      <c r="MP228" s="31"/>
      <c r="MQ228" s="31"/>
      <c r="MR228" s="31"/>
      <c r="MS228" s="31"/>
      <c r="MT228" s="31"/>
      <c r="MU228" s="31"/>
      <c r="MV228" s="31"/>
      <c r="MW228" s="31"/>
      <c r="MX228" s="31"/>
      <c r="MY228" s="31"/>
      <c r="MZ228" s="31"/>
      <c r="NA228" s="31"/>
      <c r="NB228" s="31"/>
      <c r="NC228" s="31"/>
      <c r="ND228" s="31"/>
      <c r="NE228" s="31"/>
      <c r="NF228" s="31"/>
      <c r="NG228" s="31"/>
      <c r="NH228" s="31"/>
      <c r="NI228" s="31"/>
      <c r="NJ228" s="31"/>
      <c r="NK228" s="31"/>
      <c r="NL228" s="31"/>
      <c r="NM228" s="31"/>
      <c r="NN228" s="31"/>
      <c r="NO228" s="31"/>
      <c r="NP228" s="31"/>
      <c r="NQ228" s="31"/>
      <c r="NR228" s="31"/>
      <c r="NS228" s="31"/>
      <c r="NT228" s="31"/>
      <c r="NU228" s="31"/>
      <c r="NV228" s="31"/>
      <c r="NW228" s="31"/>
      <c r="NX228" s="31"/>
      <c r="NY228" s="31"/>
      <c r="NZ228" s="31"/>
      <c r="OA228" s="31"/>
      <c r="OB228" s="31"/>
      <c r="OC228" s="31"/>
      <c r="OD228" s="31"/>
      <c r="OE228" s="31"/>
      <c r="OF228" s="31"/>
      <c r="OG228" s="31"/>
      <c r="OH228" s="31"/>
      <c r="OI228" s="31"/>
      <c r="OJ228" s="31"/>
      <c r="OK228" s="31"/>
      <c r="OL228" s="31"/>
      <c r="OM228" s="31"/>
      <c r="ON228" s="31"/>
      <c r="OO228" s="31"/>
      <c r="OP228" s="31"/>
      <c r="OQ228" s="31"/>
      <c r="OR228" s="31"/>
      <c r="OS228" s="31"/>
      <c r="OT228" s="31"/>
      <c r="OU228" s="31"/>
      <c r="OV228" s="31"/>
      <c r="OW228" s="31"/>
      <c r="OX228" s="31"/>
      <c r="OY228" s="31"/>
      <c r="OZ228" s="31"/>
      <c r="PA228" s="31"/>
      <c r="PB228" s="31"/>
      <c r="PC228" s="31"/>
      <c r="PD228" s="31"/>
      <c r="PE228" s="31"/>
      <c r="PF228" s="31"/>
      <c r="PG228" s="31"/>
      <c r="PH228" s="31"/>
      <c r="PI228" s="31"/>
      <c r="PJ228" s="31"/>
      <c r="PK228" s="31"/>
      <c r="PL228" s="31"/>
      <c r="PM228" s="31"/>
      <c r="PN228" s="31"/>
      <c r="PO228" s="31"/>
      <c r="PP228" s="31"/>
      <c r="PQ228" s="31"/>
      <c r="PR228" s="31"/>
      <c r="PS228" s="31"/>
      <c r="PT228" s="31"/>
      <c r="PU228" s="31"/>
      <c r="PV228" s="31"/>
      <c r="PW228" s="31"/>
      <c r="PX228" s="31"/>
      <c r="PY228" s="31"/>
      <c r="PZ228" s="31"/>
      <c r="QA228" s="31"/>
      <c r="QB228" s="31"/>
      <c r="QC228" s="31"/>
      <c r="QD228" s="31"/>
      <c r="QE228" s="31"/>
      <c r="QF228" s="31"/>
      <c r="QG228" s="31"/>
      <c r="QH228" s="31"/>
      <c r="QI228" s="31"/>
      <c r="QJ228" s="31"/>
      <c r="QK228" s="31"/>
      <c r="QL228" s="31"/>
      <c r="QM228" s="31"/>
      <c r="QN228" s="31"/>
      <c r="QO228" s="31"/>
      <c r="QP228" s="31"/>
      <c r="QQ228" s="31"/>
      <c r="QR228" s="31"/>
      <c r="QS228" s="31"/>
      <c r="QT228" s="31"/>
      <c r="QU228" s="31"/>
      <c r="QV228" s="31"/>
      <c r="QW228" s="31"/>
      <c r="QX228" s="31"/>
      <c r="QY228" s="31"/>
      <c r="QZ228" s="31"/>
      <c r="RA228" s="31"/>
      <c r="RB228" s="31"/>
      <c r="RC228" s="31"/>
      <c r="RD228" s="31"/>
      <c r="RE228" s="31"/>
      <c r="RF228" s="31"/>
      <c r="RG228" s="31"/>
      <c r="RH228" s="31"/>
      <c r="RI228" s="31"/>
      <c r="RJ228" s="31"/>
      <c r="RK228" s="31"/>
      <c r="RL228" s="31"/>
      <c r="RM228" s="31"/>
      <c r="RN228" s="31"/>
      <c r="RO228" s="31"/>
      <c r="RP228" s="31"/>
      <c r="RQ228" s="31"/>
      <c r="RR228" s="31"/>
      <c r="RS228" s="31"/>
      <c r="RT228" s="31"/>
      <c r="RU228" s="31"/>
      <c r="RV228" s="31"/>
      <c r="RW228" s="31"/>
      <c r="RX228" s="31"/>
      <c r="RY228" s="31"/>
      <c r="RZ228" s="31"/>
      <c r="SA228" s="31"/>
      <c r="SB228" s="31"/>
      <c r="SC228" s="31"/>
      <c r="SD228" s="31"/>
      <c r="SE228" s="31"/>
      <c r="SF228" s="31"/>
      <c r="SG228" s="31"/>
      <c r="SH228" s="31"/>
      <c r="SI228" s="31"/>
      <c r="SJ228" s="31"/>
      <c r="SK228" s="31"/>
      <c r="SL228" s="31"/>
      <c r="SM228" s="31"/>
      <c r="SN228" s="31"/>
      <c r="SO228" s="31"/>
      <c r="SP228" s="31"/>
      <c r="SQ228" s="31"/>
      <c r="SR228" s="31"/>
      <c r="SS228" s="31"/>
      <c r="ST228" s="31"/>
      <c r="SU228" s="31"/>
      <c r="SV228" s="31"/>
      <c r="SW228" s="31"/>
      <c r="SX228" s="31"/>
      <c r="SY228" s="31"/>
      <c r="SZ228" s="31"/>
      <c r="TA228" s="31"/>
      <c r="TB228" s="31"/>
      <c r="TC228" s="31"/>
      <c r="TD228" s="31"/>
      <c r="TE228" s="31"/>
      <c r="TF228" s="31"/>
      <c r="TG228" s="31"/>
      <c r="TH228" s="31"/>
      <c r="TI228" s="31"/>
      <c r="TJ228" s="31"/>
      <c r="TK228" s="31"/>
      <c r="TL228" s="31"/>
      <c r="TM228" s="31"/>
      <c r="TN228" s="31"/>
      <c r="TO228" s="31"/>
      <c r="TP228" s="31"/>
      <c r="TQ228" s="31"/>
      <c r="TR228" s="31"/>
      <c r="TS228" s="31"/>
      <c r="TT228" s="31"/>
      <c r="TU228" s="31"/>
      <c r="TV228" s="31"/>
      <c r="TW228" s="31"/>
      <c r="TX228" s="31"/>
      <c r="TY228" s="31"/>
      <c r="TZ228" s="31"/>
      <c r="UA228" s="31"/>
      <c r="UB228" s="31"/>
      <c r="UC228" s="31"/>
      <c r="UD228" s="31"/>
      <c r="UE228" s="31"/>
      <c r="UF228" s="31"/>
      <c r="UG228" s="31"/>
      <c r="UH228" s="31"/>
      <c r="UI228" s="31"/>
      <c r="UJ228" s="31"/>
      <c r="UK228" s="31"/>
      <c r="UL228" s="31"/>
      <c r="UM228" s="31"/>
      <c r="UN228" s="31"/>
      <c r="UO228" s="31"/>
      <c r="UP228" s="31"/>
      <c r="UQ228" s="31"/>
      <c r="UR228" s="31"/>
      <c r="US228" s="31"/>
      <c r="UT228" s="31"/>
      <c r="UU228" s="31"/>
      <c r="UV228" s="31"/>
      <c r="UW228" s="31"/>
      <c r="UX228" s="31"/>
      <c r="UY228" s="31"/>
      <c r="UZ228" s="31"/>
      <c r="VA228" s="31"/>
      <c r="VB228" s="31"/>
      <c r="VC228" s="31"/>
      <c r="VD228" s="31"/>
      <c r="VE228" s="31"/>
      <c r="VF228" s="31"/>
      <c r="VG228" s="31"/>
      <c r="VH228" s="31"/>
      <c r="VI228" s="31"/>
      <c r="VJ228" s="31"/>
      <c r="VK228" s="31"/>
      <c r="VL228" s="31"/>
      <c r="VM228" s="31"/>
      <c r="VN228" s="31"/>
      <c r="VO228" s="31"/>
      <c r="VP228" s="31"/>
      <c r="VQ228" s="31"/>
      <c r="VR228" s="31"/>
      <c r="VS228" s="31"/>
      <c r="VT228" s="31"/>
      <c r="VU228" s="31"/>
      <c r="VV228" s="31"/>
      <c r="VW228" s="31"/>
      <c r="VX228" s="31"/>
      <c r="VY228" s="31"/>
      <c r="VZ228" s="31"/>
      <c r="WA228" s="31"/>
      <c r="WB228" s="31"/>
      <c r="WC228" s="31"/>
      <c r="WD228" s="31"/>
      <c r="WE228" s="31"/>
      <c r="WF228" s="31"/>
      <c r="WG228" s="31"/>
      <c r="WH228" s="31"/>
      <c r="WI228" s="31"/>
      <c r="WJ228" s="31"/>
      <c r="WK228" s="31"/>
      <c r="WL228" s="31"/>
      <c r="WM228" s="31"/>
      <c r="WN228" s="31"/>
      <c r="WO228" s="31"/>
      <c r="WP228" s="31"/>
      <c r="WQ228" s="31"/>
      <c r="WR228" s="31"/>
      <c r="WS228" s="31"/>
      <c r="WT228" s="31"/>
      <c r="WU228" s="31"/>
      <c r="WV228" s="31"/>
      <c r="WW228" s="31"/>
      <c r="WX228" s="31"/>
      <c r="WY228" s="31"/>
      <c r="WZ228" s="31"/>
      <c r="XA228" s="31"/>
      <c r="XB228" s="31"/>
      <c r="XC228" s="31"/>
      <c r="XD228" s="31"/>
      <c r="XE228" s="31"/>
      <c r="XF228" s="31"/>
      <c r="XG228" s="31"/>
      <c r="XH228" s="31"/>
      <c r="XI228" s="31"/>
      <c r="XJ228" s="31"/>
      <c r="XK228" s="31"/>
      <c r="XL228" s="31"/>
      <c r="XM228" s="31"/>
      <c r="XN228" s="31"/>
      <c r="XO228" s="31"/>
      <c r="XP228" s="31"/>
      <c r="XQ228" s="31"/>
      <c r="XR228" s="31"/>
      <c r="XS228" s="31"/>
      <c r="XT228" s="31"/>
      <c r="XU228" s="31"/>
      <c r="XV228" s="31"/>
      <c r="XW228" s="31"/>
      <c r="XX228" s="31"/>
      <c r="XY228" s="31"/>
      <c r="XZ228" s="31"/>
      <c r="YA228" s="31"/>
      <c r="YB228" s="31"/>
      <c r="YC228" s="31"/>
      <c r="YD228" s="31"/>
      <c r="YE228" s="31"/>
      <c r="YF228" s="31"/>
      <c r="YG228" s="31"/>
      <c r="YH228" s="31"/>
      <c r="YI228" s="31"/>
      <c r="YJ228" s="31"/>
      <c r="YK228" s="31"/>
      <c r="YL228" s="31"/>
      <c r="YM228" s="31"/>
      <c r="YN228" s="31"/>
      <c r="YO228" s="31"/>
      <c r="YP228" s="31"/>
      <c r="YQ228" s="31"/>
      <c r="YR228" s="31"/>
      <c r="YS228" s="31"/>
      <c r="YT228" s="31"/>
      <c r="YU228" s="31"/>
      <c r="YV228" s="31"/>
      <c r="YW228" s="31"/>
      <c r="YX228" s="31"/>
      <c r="YY228" s="31"/>
      <c r="YZ228" s="31"/>
      <c r="ZA228" s="31"/>
      <c r="ZB228" s="31"/>
      <c r="ZC228" s="31"/>
      <c r="ZD228" s="31"/>
      <c r="ZE228" s="31"/>
      <c r="ZF228" s="31"/>
      <c r="ZG228" s="31"/>
      <c r="ZH228" s="31"/>
      <c r="ZI228" s="31"/>
      <c r="ZJ228" s="31"/>
      <c r="ZK228" s="31"/>
      <c r="ZL228" s="31"/>
      <c r="ZM228" s="31"/>
      <c r="ZN228" s="31"/>
      <c r="ZO228" s="31"/>
      <c r="ZP228" s="31"/>
      <c r="ZQ228" s="31"/>
      <c r="ZR228" s="31"/>
      <c r="ZS228" s="31"/>
      <c r="ZT228" s="31"/>
      <c r="ZU228" s="31"/>
      <c r="ZV228" s="31"/>
      <c r="ZW228" s="31"/>
      <c r="ZX228" s="31"/>
      <c r="ZY228" s="31"/>
      <c r="ZZ228" s="31"/>
      <c r="AAA228" s="31"/>
      <c r="AAB228" s="31"/>
      <c r="AAC228" s="31"/>
      <c r="AAD228" s="31"/>
      <c r="AAE228" s="31"/>
      <c r="AAF228" s="31"/>
      <c r="AAG228" s="31"/>
      <c r="AAH228" s="31"/>
      <c r="AAI228" s="31"/>
      <c r="AAJ228" s="31"/>
      <c r="AAK228" s="31"/>
      <c r="AAL228" s="31"/>
      <c r="AAM228" s="31"/>
      <c r="AAN228" s="31"/>
      <c r="AAO228" s="31"/>
      <c r="AAP228" s="31"/>
      <c r="AAQ228" s="31"/>
      <c r="AAR228" s="31"/>
      <c r="AAS228" s="31"/>
      <c r="AAT228" s="31"/>
      <c r="AAU228" s="31"/>
      <c r="AAV228" s="31"/>
      <c r="AAW228" s="31"/>
      <c r="AAX228" s="31"/>
      <c r="AAY228" s="31"/>
      <c r="AAZ228" s="31"/>
      <c r="ABA228" s="31"/>
      <c r="ABB228" s="31"/>
      <c r="ABC228" s="31"/>
      <c r="ABD228" s="31"/>
      <c r="ABE228" s="31"/>
      <c r="ABF228" s="31"/>
      <c r="ABG228" s="31"/>
      <c r="ABH228" s="31"/>
      <c r="ABI228" s="31"/>
      <c r="ABJ228" s="31"/>
      <c r="ABK228" s="31"/>
      <c r="ABL228" s="31"/>
      <c r="ABM228" s="31"/>
      <c r="ABN228" s="31"/>
      <c r="ABO228" s="31"/>
      <c r="ABP228" s="31"/>
      <c r="ABQ228" s="31"/>
      <c r="ABR228" s="31"/>
      <c r="ABS228" s="31"/>
      <c r="ABT228" s="31"/>
      <c r="ABU228" s="31"/>
      <c r="ABV228" s="31"/>
      <c r="ABW228" s="31"/>
      <c r="ABX228" s="31"/>
      <c r="ABY228" s="31"/>
      <c r="ABZ228" s="31"/>
      <c r="ACA228" s="31"/>
      <c r="ACB228" s="31"/>
      <c r="ACC228" s="31"/>
      <c r="ACD228" s="31"/>
      <c r="ACE228" s="31"/>
      <c r="ACF228" s="31"/>
      <c r="ACG228" s="31"/>
      <c r="ACH228" s="31"/>
      <c r="ACI228" s="31"/>
      <c r="ACJ228" s="31"/>
      <c r="ACK228" s="31"/>
      <c r="ACL228" s="31"/>
      <c r="ACM228" s="31"/>
      <c r="ACN228" s="31"/>
      <c r="ACO228" s="31"/>
      <c r="ACP228" s="31"/>
      <c r="ACQ228" s="31"/>
      <c r="ACR228" s="31"/>
      <c r="ACS228" s="31"/>
      <c r="ACT228" s="31"/>
      <c r="ACU228" s="31"/>
      <c r="ACV228" s="31"/>
      <c r="ACW228" s="31"/>
      <c r="ACX228" s="31"/>
      <c r="ACY228" s="31"/>
      <c r="ACZ228" s="31"/>
      <c r="ADA228" s="31"/>
      <c r="ADB228" s="31"/>
      <c r="ADC228" s="31"/>
      <c r="ADD228" s="31"/>
      <c r="ADE228" s="31"/>
      <c r="ADF228" s="31"/>
      <c r="ADG228" s="31"/>
      <c r="ADH228" s="31"/>
      <c r="ADI228" s="31"/>
      <c r="ADJ228" s="31"/>
      <c r="ADK228" s="31"/>
      <c r="ADL228" s="31"/>
      <c r="ADM228" s="31"/>
      <c r="ADN228" s="31"/>
      <c r="ADO228" s="31"/>
      <c r="ADP228" s="31"/>
      <c r="ADQ228" s="31"/>
      <c r="ADR228" s="31"/>
      <c r="ADS228" s="31"/>
      <c r="ADT228" s="31"/>
      <c r="ADU228" s="31"/>
      <c r="ADV228" s="31"/>
      <c r="ADW228" s="31"/>
      <c r="ADX228" s="31"/>
      <c r="ADY228" s="31"/>
      <c r="ADZ228" s="31"/>
      <c r="AEA228" s="31"/>
      <c r="AEB228" s="31"/>
      <c r="AEC228" s="31"/>
      <c r="AED228" s="31"/>
      <c r="AEE228" s="31"/>
      <c r="AEF228" s="31"/>
      <c r="AEG228" s="31"/>
      <c r="AEH228" s="31"/>
      <c r="AEI228" s="31"/>
      <c r="AEJ228" s="31"/>
      <c r="AEK228" s="31"/>
      <c r="AEL228" s="31"/>
      <c r="AEM228" s="31"/>
      <c r="AEN228" s="31"/>
      <c r="AEO228" s="31"/>
      <c r="AEP228" s="31"/>
      <c r="AEQ228" s="31"/>
      <c r="AER228" s="31"/>
      <c r="AES228" s="31"/>
      <c r="AET228" s="31"/>
      <c r="AEU228" s="31"/>
      <c r="AEV228" s="31"/>
      <c r="AEW228" s="31"/>
      <c r="AEX228" s="31"/>
      <c r="AEY228" s="31"/>
      <c r="AEZ228" s="31"/>
      <c r="AFA228" s="31"/>
      <c r="AFB228" s="31"/>
      <c r="AFC228" s="31"/>
      <c r="AFD228" s="31"/>
      <c r="AFE228" s="31"/>
      <c r="AFF228" s="31"/>
      <c r="AFG228" s="31"/>
      <c r="AFH228" s="31"/>
      <c r="AFI228" s="31"/>
      <c r="AFJ228" s="31"/>
      <c r="AFK228" s="31"/>
      <c r="AFL228" s="31"/>
      <c r="AFM228" s="31"/>
      <c r="AFN228" s="31"/>
      <c r="AFO228" s="31"/>
      <c r="AFP228" s="31"/>
      <c r="AFQ228" s="31"/>
      <c r="AFR228" s="31"/>
      <c r="AFS228" s="31"/>
      <c r="AFT228" s="31"/>
      <c r="AFU228" s="31"/>
      <c r="AFV228" s="31"/>
      <c r="AFW228" s="31"/>
      <c r="AFX228" s="31"/>
      <c r="AFY228" s="31"/>
      <c r="AFZ228" s="31"/>
      <c r="AGA228" s="31"/>
      <c r="AGB228" s="31"/>
      <c r="AGC228" s="31"/>
      <c r="AGD228" s="31"/>
      <c r="AGE228" s="31"/>
      <c r="AGF228" s="31"/>
      <c r="AGG228" s="31"/>
      <c r="AGH228" s="31"/>
      <c r="AGI228" s="31"/>
      <c r="AGJ228" s="31"/>
      <c r="AGK228" s="31"/>
      <c r="AGL228" s="31"/>
      <c r="AGM228" s="31"/>
      <c r="AGN228" s="31"/>
      <c r="AGO228" s="31"/>
      <c r="AGP228" s="31"/>
      <c r="AGQ228" s="31"/>
      <c r="AGR228" s="31"/>
      <c r="AGS228" s="31"/>
      <c r="AGT228" s="31"/>
      <c r="AGU228" s="31"/>
      <c r="AGV228" s="31"/>
      <c r="AGW228" s="31"/>
      <c r="AGX228" s="31"/>
      <c r="AGY228" s="31"/>
      <c r="AGZ228" s="31"/>
      <c r="AHA228" s="31"/>
      <c r="AHB228" s="31"/>
      <c r="AHC228" s="31"/>
      <c r="AHD228" s="31"/>
      <c r="AHE228" s="31"/>
      <c r="AHF228" s="31"/>
      <c r="AHG228" s="31"/>
      <c r="AHH228" s="31"/>
      <c r="AHI228" s="31"/>
      <c r="AHJ228" s="31"/>
      <c r="AHK228" s="31"/>
      <c r="AHL228" s="31"/>
      <c r="AHM228" s="31"/>
      <c r="AHN228" s="31"/>
      <c r="AHO228" s="31"/>
      <c r="AHP228" s="31"/>
      <c r="AHQ228" s="31"/>
      <c r="AHR228" s="31"/>
      <c r="AHS228" s="31"/>
      <c r="AHT228" s="31"/>
      <c r="AHU228" s="31"/>
      <c r="AHV228" s="31"/>
      <c r="AHW228" s="31"/>
      <c r="AHX228" s="31"/>
      <c r="AHY228" s="31"/>
      <c r="AHZ228" s="31"/>
      <c r="AIA228" s="31"/>
      <c r="AIB228" s="31"/>
      <c r="AIC228" s="31"/>
      <c r="AID228" s="31"/>
      <c r="AIE228" s="31"/>
      <c r="AIF228" s="31"/>
      <c r="AIG228" s="31"/>
      <c r="AIH228" s="31"/>
      <c r="AII228" s="31"/>
      <c r="AIJ228" s="31"/>
      <c r="AIK228" s="31"/>
      <c r="AIL228" s="31"/>
      <c r="AIM228" s="31"/>
      <c r="AIN228" s="31"/>
      <c r="AIO228" s="31"/>
      <c r="AIP228" s="31"/>
      <c r="AIQ228" s="31"/>
      <c r="AIR228" s="31"/>
      <c r="AIS228" s="31"/>
      <c r="AIT228" s="31"/>
      <c r="AIU228" s="31"/>
      <c r="AIV228" s="31"/>
      <c r="AIW228" s="31"/>
      <c r="AIX228" s="31"/>
      <c r="AIY228" s="31"/>
      <c r="AIZ228" s="31"/>
      <c r="AJA228" s="31"/>
      <c r="AJB228" s="31"/>
      <c r="AJC228" s="31"/>
      <c r="AJD228" s="31"/>
      <c r="AJE228" s="31"/>
      <c r="AJF228" s="31"/>
      <c r="AJG228" s="31"/>
      <c r="AJH228" s="31"/>
      <c r="AJI228" s="31"/>
      <c r="AJJ228" s="31"/>
      <c r="AJK228" s="31"/>
      <c r="AJL228" s="31"/>
      <c r="AJM228" s="31"/>
      <c r="AJN228" s="31"/>
      <c r="AJO228" s="31"/>
      <c r="AJP228" s="31"/>
      <c r="AJQ228" s="31"/>
      <c r="AJR228" s="31"/>
      <c r="AJS228" s="31"/>
      <c r="AJT228" s="31"/>
      <c r="AJU228" s="31"/>
      <c r="AJV228" s="31"/>
      <c r="AJW228" s="31"/>
      <c r="AJX228" s="31"/>
      <c r="AJY228" s="31"/>
      <c r="AJZ228" s="31"/>
      <c r="AKA228" s="31"/>
      <c r="AKB228" s="31"/>
      <c r="AKC228" s="31"/>
      <c r="AKD228" s="31"/>
      <c r="AKE228" s="31"/>
      <c r="AKF228" s="31"/>
      <c r="AKG228" s="31"/>
      <c r="AKH228" s="31"/>
      <c r="AKI228" s="31"/>
      <c r="AKJ228" s="31"/>
      <c r="AKK228" s="31"/>
      <c r="AKL228" s="31"/>
      <c r="AKM228" s="31"/>
      <c r="AKN228" s="31"/>
      <c r="AKO228" s="31"/>
      <c r="AKP228" s="31"/>
      <c r="AKQ228" s="31"/>
      <c r="AKR228" s="31"/>
      <c r="AKS228" s="31"/>
      <c r="AKT228" s="31"/>
      <c r="AKU228" s="31"/>
      <c r="AKV228" s="31"/>
      <c r="AKW228" s="31"/>
      <c r="AKX228" s="31"/>
      <c r="AKY228" s="31"/>
      <c r="AKZ228" s="31"/>
      <c r="ALA228" s="31"/>
      <c r="ALB228" s="31"/>
      <c r="ALC228" s="31"/>
      <c r="ALD228" s="31"/>
      <c r="ALE228" s="31"/>
      <c r="ALF228" s="31"/>
      <c r="ALG228" s="31"/>
      <c r="ALH228" s="31"/>
      <c r="ALI228" s="31"/>
      <c r="ALJ228" s="31"/>
      <c r="ALK228" s="31"/>
      <c r="ALL228" s="31"/>
      <c r="ALM228" s="31"/>
      <c r="ALN228" s="31"/>
      <c r="ALO228" s="31"/>
      <c r="ALP228" s="31"/>
      <c r="ALQ228" s="31"/>
      <c r="ALR228" s="31"/>
      <c r="ALS228" s="31"/>
      <c r="ALT228" s="31"/>
      <c r="ALU228" s="31"/>
      <c r="ALV228" s="31"/>
      <c r="ALW228" s="31"/>
      <c r="ALX228" s="31"/>
      <c r="ALY228" s="31"/>
      <c r="ALZ228" s="31"/>
      <c r="AMA228" s="31"/>
      <c r="AMB228" s="31"/>
      <c r="AMC228" s="31"/>
      <c r="AMD228" s="31"/>
      <c r="AME228" s="31"/>
      <c r="AMF228" s="31"/>
      <c r="AMG228" s="31"/>
      <c r="AMH228" s="31"/>
      <c r="AMI228" s="31"/>
      <c r="AMJ228" s="31"/>
      <c r="AMK228" s="31"/>
      <c r="AML228" s="31"/>
      <c r="AMM228" s="31"/>
      <c r="AMN228" s="31"/>
      <c r="AMO228" s="31"/>
      <c r="AMP228" s="31"/>
      <c r="AMQ228" s="31"/>
      <c r="AMR228" s="31"/>
      <c r="AMS228" s="31"/>
      <c r="AMT228" s="31"/>
      <c r="AMU228" s="31"/>
      <c r="AMV228" s="31"/>
      <c r="AMW228" s="31"/>
      <c r="AMX228" s="31"/>
      <c r="AMY228" s="31"/>
      <c r="AMZ228" s="31"/>
      <c r="ANA228" s="31"/>
      <c r="ANB228" s="31"/>
      <c r="ANC228" s="31"/>
      <c r="AND228" s="31"/>
      <c r="ANE228" s="31"/>
      <c r="ANF228" s="31"/>
      <c r="ANG228" s="31"/>
      <c r="ANH228" s="31"/>
      <c r="ANI228" s="31"/>
      <c r="ANJ228" s="31"/>
      <c r="ANK228" s="31"/>
      <c r="ANL228" s="31"/>
      <c r="ANM228" s="31"/>
      <c r="ANN228" s="31"/>
      <c r="ANO228" s="31"/>
      <c r="ANP228" s="31"/>
      <c r="ANQ228" s="31"/>
      <c r="ANR228" s="31"/>
      <c r="ANS228" s="31"/>
      <c r="ANT228" s="31"/>
      <c r="ANU228" s="31"/>
      <c r="ANV228" s="31"/>
      <c r="ANW228" s="31"/>
      <c r="ANX228" s="31"/>
      <c r="ANY228" s="31"/>
      <c r="ANZ228" s="31"/>
      <c r="AOA228" s="31"/>
      <c r="AOB228" s="31"/>
      <c r="AOC228" s="31"/>
      <c r="AOD228" s="31"/>
      <c r="AOE228" s="31"/>
      <c r="AOF228" s="31"/>
      <c r="AOG228" s="31"/>
      <c r="AOH228" s="31"/>
      <c r="AOI228" s="31"/>
      <c r="AOJ228" s="31"/>
      <c r="AOK228" s="31"/>
      <c r="AOL228" s="31"/>
      <c r="AOM228" s="31"/>
      <c r="AON228" s="31"/>
      <c r="AOO228" s="31"/>
      <c r="AOP228" s="31"/>
      <c r="AOQ228" s="31"/>
      <c r="AOR228" s="31"/>
      <c r="AOS228" s="31"/>
      <c r="AOT228" s="31"/>
      <c r="AOU228" s="31"/>
      <c r="AOV228" s="31"/>
      <c r="AOW228" s="31"/>
      <c r="AOX228" s="31"/>
      <c r="AOY228" s="31"/>
      <c r="AOZ228" s="31"/>
      <c r="APA228" s="31"/>
      <c r="APB228" s="31"/>
      <c r="APC228" s="31"/>
      <c r="APD228" s="31"/>
      <c r="APE228" s="31"/>
      <c r="APF228" s="31"/>
      <c r="APG228" s="31"/>
      <c r="APH228" s="31"/>
      <c r="API228" s="31"/>
      <c r="APJ228" s="31"/>
      <c r="APK228" s="31"/>
      <c r="APL228" s="31"/>
      <c r="APM228" s="31"/>
      <c r="APN228" s="31"/>
      <c r="APO228" s="31"/>
      <c r="APP228" s="31"/>
      <c r="APQ228" s="31"/>
      <c r="APR228" s="31"/>
      <c r="APS228" s="31"/>
      <c r="APT228" s="31"/>
      <c r="APU228" s="31"/>
      <c r="APV228" s="31"/>
      <c r="APW228" s="31"/>
      <c r="APX228" s="31"/>
      <c r="APY228" s="31"/>
      <c r="APZ228" s="31"/>
      <c r="AQA228" s="31"/>
      <c r="AQB228" s="31"/>
      <c r="AQC228" s="31"/>
      <c r="AQD228" s="31"/>
      <c r="AQE228" s="31"/>
      <c r="AQF228" s="31"/>
      <c r="AQG228" s="31"/>
      <c r="AQH228" s="31"/>
      <c r="AQI228" s="31"/>
      <c r="AQJ228" s="31"/>
      <c r="AQK228" s="31"/>
      <c r="AQL228" s="31"/>
      <c r="AQM228" s="31"/>
      <c r="AQN228" s="31"/>
      <c r="AQO228" s="31"/>
      <c r="AQP228" s="31"/>
      <c r="AQQ228" s="31"/>
      <c r="AQR228" s="31"/>
      <c r="AQS228" s="31"/>
      <c r="AQT228" s="31"/>
      <c r="AQU228" s="31"/>
      <c r="AQV228" s="31"/>
      <c r="AQW228" s="31"/>
      <c r="AQX228" s="31"/>
      <c r="AQY228" s="31"/>
      <c r="AQZ228" s="31"/>
      <c r="ARA228" s="31"/>
      <c r="ARB228" s="31"/>
      <c r="ARC228" s="31"/>
      <c r="ARD228" s="31"/>
      <c r="ARE228" s="31"/>
      <c r="ARF228" s="31"/>
      <c r="ARG228" s="31"/>
      <c r="ARH228" s="31"/>
      <c r="ARI228" s="31"/>
      <c r="ARJ228" s="31"/>
      <c r="ARK228" s="31"/>
      <c r="ARL228" s="31"/>
      <c r="ARM228" s="31"/>
      <c r="ARN228" s="31"/>
      <c r="ARO228" s="31"/>
      <c r="ARP228" s="31"/>
      <c r="ARQ228" s="31"/>
      <c r="ARR228" s="31"/>
      <c r="ARS228" s="31"/>
      <c r="ART228" s="31"/>
      <c r="ARU228" s="31"/>
      <c r="ARV228" s="31"/>
      <c r="ARW228" s="31"/>
      <c r="ARX228" s="31"/>
      <c r="ARY228" s="31"/>
      <c r="ARZ228" s="31"/>
      <c r="ASA228" s="31"/>
      <c r="ASB228" s="31"/>
      <c r="ASC228" s="31"/>
      <c r="ASD228" s="31"/>
      <c r="ASE228" s="31"/>
      <c r="ASF228" s="31"/>
      <c r="ASG228" s="31"/>
      <c r="ASH228" s="31"/>
      <c r="ASI228" s="31"/>
      <c r="ASJ228" s="31"/>
      <c r="ASK228" s="31"/>
      <c r="ASL228" s="31"/>
      <c r="ASM228" s="31"/>
      <c r="ASN228" s="31"/>
      <c r="ASO228" s="31"/>
      <c r="ASP228" s="31"/>
      <c r="ASQ228" s="31"/>
      <c r="ASR228" s="31"/>
      <c r="ASS228" s="31"/>
      <c r="AST228" s="31"/>
      <c r="ASU228" s="31"/>
      <c r="ASV228" s="31"/>
      <c r="ASW228" s="31"/>
      <c r="ASX228" s="31"/>
      <c r="ASY228" s="31"/>
      <c r="ASZ228" s="31"/>
      <c r="ATA228" s="31"/>
      <c r="ATB228" s="31"/>
      <c r="ATC228" s="31"/>
      <c r="ATD228" s="31"/>
      <c r="ATE228" s="31"/>
    </row>
    <row r="229" spans="1:1201" s="34" customFormat="1" ht="15.75" customHeight="1" x14ac:dyDescent="0.3">
      <c r="A229" s="197"/>
      <c r="B229" s="197"/>
      <c r="C229" s="84" t="s">
        <v>281</v>
      </c>
      <c r="D229" s="84"/>
      <c r="E229" s="84"/>
      <c r="F229" s="690"/>
      <c r="G229" s="165">
        <f t="shared" ref="G229:T229" si="391">G228+G217</f>
        <v>6368193.5</v>
      </c>
      <c r="H229" s="652">
        <f t="shared" si="391"/>
        <v>6452311.8400000008</v>
      </c>
      <c r="I229" s="683">
        <f t="shared" si="391"/>
        <v>6745148.0800000001</v>
      </c>
      <c r="J229" s="683">
        <f t="shared" si="391"/>
        <v>6258703.0200000005</v>
      </c>
      <c r="K229" s="683">
        <f t="shared" si="391"/>
        <v>6472280.5000000019</v>
      </c>
      <c r="L229" s="683">
        <f t="shared" si="391"/>
        <v>6692163.9499999993</v>
      </c>
      <c r="M229" s="683">
        <f t="shared" si="391"/>
        <v>6373017.9300000006</v>
      </c>
      <c r="N229" s="683">
        <f t="shared" si="391"/>
        <v>6427845.0899999999</v>
      </c>
      <c r="O229" s="683">
        <f t="shared" si="391"/>
        <v>7608611.6035900675</v>
      </c>
      <c r="P229" s="683">
        <f t="shared" si="391"/>
        <v>7636131.7899999991</v>
      </c>
      <c r="Q229" s="683">
        <f t="shared" si="391"/>
        <v>7593298.4499999993</v>
      </c>
      <c r="R229" s="683">
        <f t="shared" si="391"/>
        <v>9204347.5899999999</v>
      </c>
      <c r="S229" s="945">
        <f t="shared" si="391"/>
        <v>10707761.940000001</v>
      </c>
      <c r="T229" s="1128">
        <f t="shared" si="391"/>
        <v>9547685.4800000004</v>
      </c>
      <c r="U229" s="1129">
        <f t="shared" ref="U229:AB229" si="392">U228+U217</f>
        <v>10698575.939999999</v>
      </c>
      <c r="V229" s="1129">
        <f t="shared" si="392"/>
        <v>10920219.01</v>
      </c>
      <c r="W229" s="1129">
        <f t="shared" si="392"/>
        <v>9734769.6899999995</v>
      </c>
      <c r="X229" s="1129">
        <f t="shared" si="392"/>
        <v>10120258.189999999</v>
      </c>
      <c r="Y229" s="1129">
        <f t="shared" si="392"/>
        <v>9343061.5199999996</v>
      </c>
      <c r="Z229" s="1064">
        <f>Z228+Z217</f>
        <v>6643271.120000001</v>
      </c>
      <c r="AA229" s="1105">
        <f>AA228+AA217</f>
        <v>7836066.2299999995</v>
      </c>
      <c r="AB229" s="1105">
        <f t="shared" si="392"/>
        <v>7656335.3999999994</v>
      </c>
      <c r="AC229" s="1105">
        <f>AC228+AC217</f>
        <v>8282339.3199999994</v>
      </c>
      <c r="AD229" s="1105">
        <f>AD228+AD217</f>
        <v>8665501.1400000006</v>
      </c>
      <c r="AE229" s="1129">
        <f t="shared" ref="AE229" si="393">AE228+AE217</f>
        <v>10609989.549999999</v>
      </c>
      <c r="AF229" s="1129">
        <f t="shared" ref="AF229:AQ229" si="394">AF228+AF217</f>
        <v>9391375.0099999998</v>
      </c>
      <c r="AG229" s="1129">
        <f>AG228+AG217</f>
        <v>10169561.139999999</v>
      </c>
      <c r="AH229" s="1129">
        <f>AH228+AH217</f>
        <v>11545748.18</v>
      </c>
      <c r="AI229" s="1129">
        <f>AI228+AI217</f>
        <v>11154653.060000001</v>
      </c>
      <c r="AJ229" s="1105">
        <f t="shared" si="394"/>
        <v>10977645.229999999</v>
      </c>
      <c r="AK229" s="1105">
        <f t="shared" si="394"/>
        <v>13786956.869999999</v>
      </c>
      <c r="AL229" s="1105">
        <f t="shared" si="394"/>
        <v>13705626.34</v>
      </c>
      <c r="AM229" s="1105">
        <f t="shared" si="394"/>
        <v>13959889.98</v>
      </c>
      <c r="AN229" s="1105">
        <f t="shared" ref="AN229:AO229" si="395">AN228+AN217</f>
        <v>14139081.039999999</v>
      </c>
      <c r="AO229" s="1105">
        <f t="shared" si="395"/>
        <v>14739494.619999999</v>
      </c>
      <c r="AP229" s="683">
        <f t="shared" ca="1" si="394"/>
        <v>16348630.114934662</v>
      </c>
      <c r="AQ229" s="683">
        <f t="shared" ca="1" si="394"/>
        <v>17489248.101533689</v>
      </c>
      <c r="AR229" s="1645">
        <f t="shared" ref="AR229:BC229" ca="1" si="396">AR228+AR217</f>
        <v>19566783.896816179</v>
      </c>
      <c r="AS229" s="683">
        <f t="shared" ca="1" si="396"/>
        <v>20079310.417873975</v>
      </c>
      <c r="AT229" s="683">
        <f t="shared" ca="1" si="396"/>
        <v>20004175.556433789</v>
      </c>
      <c r="AU229" s="683">
        <f t="shared" ca="1" si="396"/>
        <v>20409974.254335295</v>
      </c>
      <c r="AV229" s="683">
        <f t="shared" ca="1" si="396"/>
        <v>20667712.930823009</v>
      </c>
      <c r="AW229" s="683">
        <f t="shared" ca="1" si="396"/>
        <v>20563974.001264472</v>
      </c>
      <c r="AX229" s="683">
        <f t="shared" ca="1" si="396"/>
        <v>20811977.233013324</v>
      </c>
      <c r="AY229" s="683">
        <f t="shared" ca="1" si="396"/>
        <v>21304634.993721135</v>
      </c>
      <c r="AZ229" s="683">
        <f t="shared" ca="1" si="396"/>
        <v>21206125.60690771</v>
      </c>
      <c r="BA229" s="683">
        <f t="shared" ca="1" si="396"/>
        <v>21435039.93855118</v>
      </c>
      <c r="BB229" s="683">
        <f t="shared" ca="1" si="396"/>
        <v>21664418.149386458</v>
      </c>
      <c r="BC229" s="683">
        <f t="shared" ca="1" si="396"/>
        <v>21618968.467070546</v>
      </c>
      <c r="BE229" s="1195">
        <v>9516644.6599999983</v>
      </c>
      <c r="BF229" s="1105">
        <f ca="1">AQ229</f>
        <v>17489248.101533689</v>
      </c>
      <c r="BG229" s="1195">
        <f t="shared" ca="1" si="381"/>
        <v>21618968.467070546</v>
      </c>
      <c r="BH229" s="31"/>
      <c r="BI229" s="31"/>
      <c r="BJ229" s="31"/>
      <c r="BK229" s="31"/>
      <c r="BL229" s="31"/>
      <c r="BM229" s="31"/>
      <c r="BN229" s="31"/>
      <c r="BO229" s="31"/>
      <c r="BP229" s="31"/>
      <c r="BQ229" s="31"/>
      <c r="BR229" s="31"/>
      <c r="BS229" s="31"/>
      <c r="BT229" s="31"/>
      <c r="BU229" s="31"/>
      <c r="BV229" s="31"/>
      <c r="BW229" s="31"/>
      <c r="BX229" s="31"/>
      <c r="BY229" s="31"/>
      <c r="BZ229" s="31"/>
      <c r="CA229" s="31"/>
      <c r="CB229" s="31"/>
      <c r="CC229" s="31"/>
      <c r="CD229" s="31"/>
      <c r="CE229" s="31"/>
      <c r="CF229" s="31"/>
      <c r="CG229" s="31"/>
      <c r="CH229" s="31"/>
      <c r="CI229" s="31"/>
      <c r="CJ229" s="31"/>
      <c r="CK229" s="31"/>
      <c r="CL229" s="31"/>
      <c r="CM229" s="31"/>
      <c r="CN229" s="31"/>
      <c r="CO229" s="31"/>
      <c r="CP229" s="31"/>
      <c r="CQ229" s="31"/>
      <c r="CR229" s="31"/>
      <c r="CS229" s="31"/>
      <c r="CT229" s="31"/>
      <c r="CU229" s="31"/>
      <c r="CV229" s="31"/>
      <c r="CW229" s="31"/>
      <c r="CX229" s="31"/>
      <c r="CY229" s="31"/>
      <c r="CZ229" s="31"/>
      <c r="DA229" s="31"/>
      <c r="DB229" s="31"/>
      <c r="DC229" s="31"/>
      <c r="DD229" s="31"/>
      <c r="DE229" s="31"/>
      <c r="DF229" s="31"/>
      <c r="DG229" s="31"/>
      <c r="DH229" s="31"/>
      <c r="DI229" s="31"/>
      <c r="DJ229" s="31"/>
      <c r="DK229" s="31"/>
      <c r="DL229" s="31"/>
      <c r="DM229" s="31"/>
      <c r="DN229" s="31"/>
      <c r="DO229" s="31"/>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c r="EX229" s="31"/>
      <c r="EY229" s="31"/>
      <c r="EZ229" s="31"/>
      <c r="FA229" s="31"/>
      <c r="FB229" s="31"/>
      <c r="FC229" s="31"/>
      <c r="FD229" s="31"/>
      <c r="FE229" s="31"/>
      <c r="FF229" s="31"/>
      <c r="FG229" s="31"/>
      <c r="FH229" s="31"/>
      <c r="FI229" s="31"/>
      <c r="FJ229" s="31"/>
      <c r="FK229" s="31"/>
      <c r="FL229" s="31"/>
      <c r="FM229" s="31"/>
      <c r="FN229" s="31"/>
      <c r="FO229" s="31"/>
      <c r="FP229" s="31"/>
      <c r="FQ229" s="31"/>
      <c r="FR229" s="31"/>
      <c r="FS229" s="31"/>
      <c r="FT229" s="31"/>
      <c r="FU229" s="31"/>
      <c r="FV229" s="31"/>
      <c r="FW229" s="31"/>
      <c r="FX229" s="31"/>
      <c r="FY229" s="31"/>
      <c r="FZ229" s="31"/>
      <c r="GA229" s="31"/>
      <c r="GB229" s="31"/>
      <c r="GC229" s="31"/>
      <c r="GD229" s="31"/>
      <c r="GE229" s="31"/>
      <c r="GF229" s="31"/>
      <c r="GG229" s="31"/>
      <c r="GH229" s="31"/>
      <c r="GI229" s="31"/>
      <c r="GJ229" s="31"/>
      <c r="GK229" s="31"/>
      <c r="GL229" s="31"/>
      <c r="GM229" s="31"/>
      <c r="GN229" s="31"/>
      <c r="GO229" s="31"/>
      <c r="GP229" s="31"/>
      <c r="GQ229" s="31"/>
      <c r="GR229" s="31"/>
      <c r="GS229" s="31"/>
      <c r="GT229" s="31"/>
      <c r="GU229" s="31"/>
      <c r="GV229" s="31"/>
      <c r="GW229" s="31"/>
      <c r="GX229" s="31"/>
      <c r="GY229" s="31"/>
      <c r="GZ229" s="31"/>
      <c r="HA229" s="31"/>
      <c r="HB229" s="31"/>
      <c r="HC229" s="31"/>
      <c r="HD229" s="31"/>
      <c r="HE229" s="31"/>
      <c r="HF229" s="31"/>
      <c r="HG229" s="31"/>
      <c r="HH229" s="31"/>
      <c r="HI229" s="31"/>
      <c r="HJ229" s="31"/>
      <c r="HK229" s="31"/>
      <c r="HL229" s="31"/>
      <c r="HM229" s="31"/>
      <c r="HN229" s="31"/>
      <c r="HO229" s="31"/>
      <c r="HP229" s="31"/>
      <c r="HQ229" s="31"/>
      <c r="HR229" s="31"/>
      <c r="HS229" s="31"/>
      <c r="HT229" s="31"/>
      <c r="HU229" s="31"/>
      <c r="HV229" s="31"/>
      <c r="HW229" s="31"/>
      <c r="HX229" s="31"/>
      <c r="HY229" s="31"/>
      <c r="HZ229" s="31"/>
      <c r="IA229" s="31"/>
      <c r="IB229" s="31"/>
      <c r="IC229" s="31"/>
      <c r="ID229" s="31"/>
      <c r="IE229" s="31"/>
      <c r="IF229" s="31"/>
      <c r="IG229" s="31"/>
      <c r="IH229" s="31"/>
      <c r="II229" s="31"/>
      <c r="IJ229" s="31"/>
      <c r="IK229" s="31"/>
      <c r="IL229" s="31"/>
      <c r="IM229" s="31"/>
      <c r="IN229" s="31"/>
      <c r="IO229" s="31"/>
      <c r="IP229" s="31"/>
      <c r="IQ229" s="31"/>
      <c r="IR229" s="31"/>
      <c r="IS229" s="31"/>
      <c r="IT229" s="31"/>
      <c r="IU229" s="31"/>
      <c r="IV229" s="31"/>
      <c r="IW229" s="31"/>
      <c r="IX229" s="31"/>
      <c r="IY229" s="31"/>
      <c r="IZ229" s="31"/>
      <c r="JA229" s="31"/>
      <c r="JB229" s="31"/>
      <c r="JC229" s="31"/>
      <c r="JD229" s="31"/>
      <c r="JE229" s="31"/>
      <c r="JF229" s="31"/>
      <c r="JG229" s="31"/>
      <c r="JH229" s="31"/>
      <c r="JI229" s="31"/>
      <c r="JJ229" s="31"/>
      <c r="JK229" s="31"/>
      <c r="JL229" s="31"/>
      <c r="JM229" s="31"/>
      <c r="JN229" s="31"/>
      <c r="JO229" s="31"/>
      <c r="JP229" s="31"/>
      <c r="JQ229" s="31"/>
      <c r="JR229" s="31"/>
      <c r="JS229" s="31"/>
      <c r="JT229" s="31"/>
      <c r="JU229" s="31"/>
      <c r="JV229" s="31"/>
      <c r="JW229" s="31"/>
      <c r="JX229" s="31"/>
      <c r="JY229" s="31"/>
      <c r="JZ229" s="31"/>
      <c r="KA229" s="31"/>
      <c r="KB229" s="31"/>
      <c r="KC229" s="31"/>
      <c r="KD229" s="31"/>
      <c r="KE229" s="31"/>
      <c r="KF229" s="31"/>
      <c r="KG229" s="31"/>
      <c r="KH229" s="31"/>
      <c r="KI229" s="31"/>
      <c r="KJ229" s="31"/>
      <c r="KK229" s="31"/>
      <c r="KL229" s="31"/>
      <c r="KM229" s="31"/>
      <c r="KN229" s="31"/>
      <c r="KO229" s="31"/>
      <c r="KP229" s="31"/>
      <c r="KQ229" s="31"/>
      <c r="KR229" s="31"/>
      <c r="KS229" s="31"/>
      <c r="KT229" s="31"/>
      <c r="KU229" s="31"/>
      <c r="KV229" s="31"/>
      <c r="KW229" s="31"/>
      <c r="KX229" s="31"/>
      <c r="KY229" s="31"/>
      <c r="KZ229" s="31"/>
      <c r="LA229" s="31"/>
      <c r="LB229" s="31"/>
      <c r="LC229" s="31"/>
      <c r="LD229" s="31"/>
      <c r="LE229" s="31"/>
      <c r="LF229" s="31"/>
      <c r="LG229" s="31"/>
      <c r="LH229" s="31"/>
      <c r="LI229" s="31"/>
      <c r="LJ229" s="31"/>
      <c r="LK229" s="31"/>
      <c r="LL229" s="31"/>
      <c r="LM229" s="31"/>
      <c r="LN229" s="31"/>
      <c r="LO229" s="31"/>
      <c r="LP229" s="31"/>
      <c r="LQ229" s="31"/>
      <c r="LR229" s="31"/>
      <c r="LS229" s="31"/>
      <c r="LT229" s="31"/>
      <c r="LU229" s="31"/>
      <c r="LV229" s="31"/>
      <c r="LW229" s="31"/>
      <c r="LX229" s="31"/>
      <c r="LY229" s="31"/>
      <c r="LZ229" s="31"/>
      <c r="MA229" s="31"/>
      <c r="MB229" s="31"/>
      <c r="MC229" s="31"/>
      <c r="MD229" s="31"/>
      <c r="ME229" s="31"/>
      <c r="MF229" s="31"/>
      <c r="MG229" s="31"/>
      <c r="MH229" s="31"/>
      <c r="MI229" s="31"/>
      <c r="MJ229" s="31"/>
      <c r="MK229" s="31"/>
      <c r="ML229" s="31"/>
      <c r="MM229" s="31"/>
      <c r="MN229" s="31"/>
      <c r="MO229" s="31"/>
      <c r="MP229" s="31"/>
      <c r="MQ229" s="31"/>
      <c r="MR229" s="31"/>
      <c r="MS229" s="31"/>
      <c r="MT229" s="31"/>
      <c r="MU229" s="31"/>
      <c r="MV229" s="31"/>
      <c r="MW229" s="31"/>
      <c r="MX229" s="31"/>
      <c r="MY229" s="31"/>
      <c r="MZ229" s="31"/>
      <c r="NA229" s="31"/>
      <c r="NB229" s="31"/>
      <c r="NC229" s="31"/>
      <c r="ND229" s="31"/>
      <c r="NE229" s="31"/>
      <c r="NF229" s="31"/>
      <c r="NG229" s="31"/>
      <c r="NH229" s="31"/>
      <c r="NI229" s="31"/>
      <c r="NJ229" s="31"/>
      <c r="NK229" s="31"/>
      <c r="NL229" s="31"/>
      <c r="NM229" s="31"/>
      <c r="NN229" s="31"/>
      <c r="NO229" s="31"/>
      <c r="NP229" s="31"/>
      <c r="NQ229" s="31"/>
      <c r="NR229" s="31"/>
      <c r="NS229" s="31"/>
      <c r="NT229" s="31"/>
      <c r="NU229" s="31"/>
      <c r="NV229" s="31"/>
      <c r="NW229" s="31"/>
      <c r="NX229" s="31"/>
      <c r="NY229" s="31"/>
      <c r="NZ229" s="31"/>
      <c r="OA229" s="31"/>
      <c r="OB229" s="31"/>
      <c r="OC229" s="31"/>
      <c r="OD229" s="31"/>
      <c r="OE229" s="31"/>
      <c r="OF229" s="31"/>
      <c r="OG229" s="31"/>
      <c r="OH229" s="31"/>
      <c r="OI229" s="31"/>
      <c r="OJ229" s="31"/>
      <c r="OK229" s="31"/>
      <c r="OL229" s="31"/>
      <c r="OM229" s="31"/>
      <c r="ON229" s="31"/>
      <c r="OO229" s="31"/>
      <c r="OP229" s="31"/>
      <c r="OQ229" s="31"/>
      <c r="OR229" s="31"/>
      <c r="OS229" s="31"/>
      <c r="OT229" s="31"/>
      <c r="OU229" s="31"/>
      <c r="OV229" s="31"/>
      <c r="OW229" s="31"/>
      <c r="OX229" s="31"/>
      <c r="OY229" s="31"/>
      <c r="OZ229" s="31"/>
      <c r="PA229" s="31"/>
      <c r="PB229" s="31"/>
      <c r="PC229" s="31"/>
      <c r="PD229" s="31"/>
      <c r="PE229" s="31"/>
      <c r="PF229" s="31"/>
      <c r="PG229" s="31"/>
      <c r="PH229" s="31"/>
      <c r="PI229" s="31"/>
      <c r="PJ229" s="31"/>
      <c r="PK229" s="31"/>
      <c r="PL229" s="31"/>
      <c r="PM229" s="31"/>
      <c r="PN229" s="31"/>
      <c r="PO229" s="31"/>
      <c r="PP229" s="31"/>
      <c r="PQ229" s="31"/>
      <c r="PR229" s="31"/>
      <c r="PS229" s="31"/>
      <c r="PT229" s="31"/>
      <c r="PU229" s="31"/>
      <c r="PV229" s="31"/>
      <c r="PW229" s="31"/>
      <c r="PX229" s="31"/>
      <c r="PY229" s="31"/>
      <c r="PZ229" s="31"/>
      <c r="QA229" s="31"/>
      <c r="QB229" s="31"/>
      <c r="QC229" s="31"/>
      <c r="QD229" s="31"/>
      <c r="QE229" s="31"/>
      <c r="QF229" s="31"/>
      <c r="QG229" s="31"/>
      <c r="QH229" s="31"/>
      <c r="QI229" s="31"/>
      <c r="QJ229" s="31"/>
      <c r="QK229" s="31"/>
      <c r="QL229" s="31"/>
      <c r="QM229" s="31"/>
      <c r="QN229" s="31"/>
      <c r="QO229" s="31"/>
      <c r="QP229" s="31"/>
      <c r="QQ229" s="31"/>
      <c r="QR229" s="31"/>
      <c r="QS229" s="31"/>
      <c r="QT229" s="31"/>
      <c r="QU229" s="31"/>
      <c r="QV229" s="31"/>
      <c r="QW229" s="31"/>
      <c r="QX229" s="31"/>
      <c r="QY229" s="31"/>
      <c r="QZ229" s="31"/>
      <c r="RA229" s="31"/>
      <c r="RB229" s="31"/>
      <c r="RC229" s="31"/>
      <c r="RD229" s="31"/>
      <c r="RE229" s="31"/>
      <c r="RF229" s="31"/>
      <c r="RG229" s="31"/>
      <c r="RH229" s="31"/>
      <c r="RI229" s="31"/>
      <c r="RJ229" s="31"/>
      <c r="RK229" s="31"/>
      <c r="RL229" s="31"/>
      <c r="RM229" s="31"/>
      <c r="RN229" s="31"/>
      <c r="RO229" s="31"/>
      <c r="RP229" s="31"/>
      <c r="RQ229" s="31"/>
      <c r="RR229" s="31"/>
      <c r="RS229" s="31"/>
      <c r="RT229" s="31"/>
      <c r="RU229" s="31"/>
      <c r="RV229" s="31"/>
      <c r="RW229" s="31"/>
      <c r="RX229" s="31"/>
      <c r="RY229" s="31"/>
      <c r="RZ229" s="31"/>
      <c r="SA229" s="31"/>
      <c r="SB229" s="31"/>
      <c r="SC229" s="31"/>
      <c r="SD229" s="31"/>
      <c r="SE229" s="31"/>
      <c r="SF229" s="31"/>
      <c r="SG229" s="31"/>
      <c r="SH229" s="31"/>
      <c r="SI229" s="31"/>
      <c r="SJ229" s="31"/>
      <c r="SK229" s="31"/>
      <c r="SL229" s="31"/>
      <c r="SM229" s="31"/>
      <c r="SN229" s="31"/>
      <c r="SO229" s="31"/>
      <c r="SP229" s="31"/>
      <c r="SQ229" s="31"/>
      <c r="SR229" s="31"/>
      <c r="SS229" s="31"/>
      <c r="ST229" s="31"/>
      <c r="SU229" s="31"/>
      <c r="SV229" s="31"/>
      <c r="SW229" s="31"/>
      <c r="SX229" s="31"/>
      <c r="SY229" s="31"/>
      <c r="SZ229" s="31"/>
      <c r="TA229" s="31"/>
      <c r="TB229" s="31"/>
      <c r="TC229" s="31"/>
      <c r="TD229" s="31"/>
      <c r="TE229" s="31"/>
      <c r="TF229" s="31"/>
      <c r="TG229" s="31"/>
      <c r="TH229" s="31"/>
      <c r="TI229" s="31"/>
      <c r="TJ229" s="31"/>
      <c r="TK229" s="31"/>
      <c r="TL229" s="31"/>
      <c r="TM229" s="31"/>
      <c r="TN229" s="31"/>
      <c r="TO229" s="31"/>
      <c r="TP229" s="31"/>
      <c r="TQ229" s="31"/>
      <c r="TR229" s="31"/>
      <c r="TS229" s="31"/>
      <c r="TT229" s="31"/>
      <c r="TU229" s="31"/>
      <c r="TV229" s="31"/>
      <c r="TW229" s="31"/>
      <c r="TX229" s="31"/>
      <c r="TY229" s="31"/>
      <c r="TZ229" s="31"/>
      <c r="UA229" s="31"/>
      <c r="UB229" s="31"/>
      <c r="UC229" s="31"/>
      <c r="UD229" s="31"/>
      <c r="UE229" s="31"/>
      <c r="UF229" s="31"/>
      <c r="UG229" s="31"/>
      <c r="UH229" s="31"/>
      <c r="UI229" s="31"/>
      <c r="UJ229" s="31"/>
      <c r="UK229" s="31"/>
      <c r="UL229" s="31"/>
      <c r="UM229" s="31"/>
      <c r="UN229" s="31"/>
      <c r="UO229" s="31"/>
      <c r="UP229" s="31"/>
      <c r="UQ229" s="31"/>
      <c r="UR229" s="31"/>
      <c r="US229" s="31"/>
      <c r="UT229" s="31"/>
      <c r="UU229" s="31"/>
      <c r="UV229" s="31"/>
      <c r="UW229" s="31"/>
      <c r="UX229" s="31"/>
      <c r="UY229" s="31"/>
      <c r="UZ229" s="31"/>
      <c r="VA229" s="31"/>
      <c r="VB229" s="31"/>
      <c r="VC229" s="31"/>
      <c r="VD229" s="31"/>
      <c r="VE229" s="31"/>
      <c r="VF229" s="31"/>
      <c r="VG229" s="31"/>
      <c r="VH229" s="31"/>
      <c r="VI229" s="31"/>
      <c r="VJ229" s="31"/>
      <c r="VK229" s="31"/>
      <c r="VL229" s="31"/>
      <c r="VM229" s="31"/>
      <c r="VN229" s="31"/>
      <c r="VO229" s="31"/>
      <c r="VP229" s="31"/>
      <c r="VQ229" s="31"/>
      <c r="VR229" s="31"/>
      <c r="VS229" s="31"/>
      <c r="VT229" s="31"/>
      <c r="VU229" s="31"/>
      <c r="VV229" s="31"/>
      <c r="VW229" s="31"/>
      <c r="VX229" s="31"/>
      <c r="VY229" s="31"/>
      <c r="VZ229" s="31"/>
      <c r="WA229" s="31"/>
      <c r="WB229" s="31"/>
      <c r="WC229" s="31"/>
      <c r="WD229" s="31"/>
      <c r="WE229" s="31"/>
      <c r="WF229" s="31"/>
      <c r="WG229" s="31"/>
      <c r="WH229" s="31"/>
      <c r="WI229" s="31"/>
      <c r="WJ229" s="31"/>
      <c r="WK229" s="31"/>
      <c r="WL229" s="31"/>
      <c r="WM229" s="31"/>
      <c r="WN229" s="31"/>
      <c r="WO229" s="31"/>
      <c r="WP229" s="31"/>
      <c r="WQ229" s="31"/>
      <c r="WR229" s="31"/>
      <c r="WS229" s="31"/>
      <c r="WT229" s="31"/>
      <c r="WU229" s="31"/>
      <c r="WV229" s="31"/>
      <c r="WW229" s="31"/>
      <c r="WX229" s="31"/>
      <c r="WY229" s="31"/>
      <c r="WZ229" s="31"/>
      <c r="XA229" s="31"/>
      <c r="XB229" s="31"/>
      <c r="XC229" s="31"/>
      <c r="XD229" s="31"/>
      <c r="XE229" s="31"/>
      <c r="XF229" s="31"/>
      <c r="XG229" s="31"/>
      <c r="XH229" s="31"/>
      <c r="XI229" s="31"/>
      <c r="XJ229" s="31"/>
      <c r="XK229" s="31"/>
      <c r="XL229" s="31"/>
      <c r="XM229" s="31"/>
      <c r="XN229" s="31"/>
      <c r="XO229" s="31"/>
      <c r="XP229" s="31"/>
      <c r="XQ229" s="31"/>
      <c r="XR229" s="31"/>
      <c r="XS229" s="31"/>
      <c r="XT229" s="31"/>
      <c r="XU229" s="31"/>
      <c r="XV229" s="31"/>
      <c r="XW229" s="31"/>
      <c r="XX229" s="31"/>
      <c r="XY229" s="31"/>
      <c r="XZ229" s="31"/>
      <c r="YA229" s="31"/>
      <c r="YB229" s="31"/>
      <c r="YC229" s="31"/>
      <c r="YD229" s="31"/>
      <c r="YE229" s="31"/>
      <c r="YF229" s="31"/>
      <c r="YG229" s="31"/>
      <c r="YH229" s="31"/>
      <c r="YI229" s="31"/>
      <c r="YJ229" s="31"/>
      <c r="YK229" s="31"/>
      <c r="YL229" s="31"/>
      <c r="YM229" s="31"/>
      <c r="YN229" s="31"/>
      <c r="YO229" s="31"/>
      <c r="YP229" s="31"/>
      <c r="YQ229" s="31"/>
      <c r="YR229" s="31"/>
      <c r="YS229" s="31"/>
      <c r="YT229" s="31"/>
      <c r="YU229" s="31"/>
      <c r="YV229" s="31"/>
      <c r="YW229" s="31"/>
      <c r="YX229" s="31"/>
      <c r="YY229" s="31"/>
      <c r="YZ229" s="31"/>
      <c r="ZA229" s="31"/>
      <c r="ZB229" s="31"/>
      <c r="ZC229" s="31"/>
      <c r="ZD229" s="31"/>
      <c r="ZE229" s="31"/>
      <c r="ZF229" s="31"/>
      <c r="ZG229" s="31"/>
      <c r="ZH229" s="31"/>
      <c r="ZI229" s="31"/>
      <c r="ZJ229" s="31"/>
      <c r="ZK229" s="31"/>
      <c r="ZL229" s="31"/>
      <c r="ZM229" s="31"/>
      <c r="ZN229" s="31"/>
      <c r="ZO229" s="31"/>
      <c r="ZP229" s="31"/>
      <c r="ZQ229" s="31"/>
      <c r="ZR229" s="31"/>
      <c r="ZS229" s="31"/>
      <c r="ZT229" s="31"/>
      <c r="ZU229" s="31"/>
      <c r="ZV229" s="31"/>
      <c r="ZW229" s="31"/>
      <c r="ZX229" s="31"/>
      <c r="ZY229" s="31"/>
      <c r="ZZ229" s="31"/>
      <c r="AAA229" s="31"/>
      <c r="AAB229" s="31"/>
      <c r="AAC229" s="31"/>
      <c r="AAD229" s="31"/>
      <c r="AAE229" s="31"/>
      <c r="AAF229" s="31"/>
      <c r="AAG229" s="31"/>
      <c r="AAH229" s="31"/>
      <c r="AAI229" s="31"/>
      <c r="AAJ229" s="31"/>
      <c r="AAK229" s="31"/>
      <c r="AAL229" s="31"/>
      <c r="AAM229" s="31"/>
      <c r="AAN229" s="31"/>
      <c r="AAO229" s="31"/>
      <c r="AAP229" s="31"/>
      <c r="AAQ229" s="31"/>
      <c r="AAR229" s="31"/>
      <c r="AAS229" s="31"/>
      <c r="AAT229" s="31"/>
      <c r="AAU229" s="31"/>
      <c r="AAV229" s="31"/>
      <c r="AAW229" s="31"/>
      <c r="AAX229" s="31"/>
      <c r="AAY229" s="31"/>
      <c r="AAZ229" s="31"/>
      <c r="ABA229" s="31"/>
      <c r="ABB229" s="31"/>
      <c r="ABC229" s="31"/>
      <c r="ABD229" s="31"/>
      <c r="ABE229" s="31"/>
      <c r="ABF229" s="31"/>
      <c r="ABG229" s="31"/>
      <c r="ABH229" s="31"/>
      <c r="ABI229" s="31"/>
      <c r="ABJ229" s="31"/>
      <c r="ABK229" s="31"/>
      <c r="ABL229" s="31"/>
      <c r="ABM229" s="31"/>
      <c r="ABN229" s="31"/>
      <c r="ABO229" s="31"/>
      <c r="ABP229" s="31"/>
      <c r="ABQ229" s="31"/>
      <c r="ABR229" s="31"/>
      <c r="ABS229" s="31"/>
      <c r="ABT229" s="31"/>
      <c r="ABU229" s="31"/>
      <c r="ABV229" s="31"/>
      <c r="ABW229" s="31"/>
      <c r="ABX229" s="31"/>
      <c r="ABY229" s="31"/>
      <c r="ABZ229" s="31"/>
      <c r="ACA229" s="31"/>
      <c r="ACB229" s="31"/>
      <c r="ACC229" s="31"/>
      <c r="ACD229" s="31"/>
      <c r="ACE229" s="31"/>
      <c r="ACF229" s="31"/>
      <c r="ACG229" s="31"/>
      <c r="ACH229" s="31"/>
      <c r="ACI229" s="31"/>
      <c r="ACJ229" s="31"/>
      <c r="ACK229" s="31"/>
      <c r="ACL229" s="31"/>
      <c r="ACM229" s="31"/>
      <c r="ACN229" s="31"/>
      <c r="ACO229" s="31"/>
      <c r="ACP229" s="31"/>
      <c r="ACQ229" s="31"/>
      <c r="ACR229" s="31"/>
      <c r="ACS229" s="31"/>
      <c r="ACT229" s="31"/>
      <c r="ACU229" s="31"/>
      <c r="ACV229" s="31"/>
      <c r="ACW229" s="31"/>
      <c r="ACX229" s="31"/>
      <c r="ACY229" s="31"/>
      <c r="ACZ229" s="31"/>
      <c r="ADA229" s="31"/>
      <c r="ADB229" s="31"/>
      <c r="ADC229" s="31"/>
      <c r="ADD229" s="31"/>
      <c r="ADE229" s="31"/>
      <c r="ADF229" s="31"/>
      <c r="ADG229" s="31"/>
      <c r="ADH229" s="31"/>
      <c r="ADI229" s="31"/>
      <c r="ADJ229" s="31"/>
      <c r="ADK229" s="31"/>
      <c r="ADL229" s="31"/>
      <c r="ADM229" s="31"/>
      <c r="ADN229" s="31"/>
      <c r="ADO229" s="31"/>
      <c r="ADP229" s="31"/>
      <c r="ADQ229" s="31"/>
      <c r="ADR229" s="31"/>
      <c r="ADS229" s="31"/>
      <c r="ADT229" s="31"/>
      <c r="ADU229" s="31"/>
      <c r="ADV229" s="31"/>
      <c r="ADW229" s="31"/>
      <c r="ADX229" s="31"/>
      <c r="ADY229" s="31"/>
      <c r="ADZ229" s="31"/>
      <c r="AEA229" s="31"/>
      <c r="AEB229" s="31"/>
      <c r="AEC229" s="31"/>
      <c r="AED229" s="31"/>
      <c r="AEE229" s="31"/>
      <c r="AEF229" s="31"/>
      <c r="AEG229" s="31"/>
      <c r="AEH229" s="31"/>
      <c r="AEI229" s="31"/>
      <c r="AEJ229" s="31"/>
      <c r="AEK229" s="31"/>
      <c r="AEL229" s="31"/>
      <c r="AEM229" s="31"/>
      <c r="AEN229" s="31"/>
      <c r="AEO229" s="31"/>
      <c r="AEP229" s="31"/>
      <c r="AEQ229" s="31"/>
      <c r="AER229" s="31"/>
      <c r="AES229" s="31"/>
      <c r="AET229" s="31"/>
      <c r="AEU229" s="31"/>
      <c r="AEV229" s="31"/>
      <c r="AEW229" s="31"/>
      <c r="AEX229" s="31"/>
      <c r="AEY229" s="31"/>
      <c r="AEZ229" s="31"/>
      <c r="AFA229" s="31"/>
      <c r="AFB229" s="31"/>
      <c r="AFC229" s="31"/>
      <c r="AFD229" s="31"/>
      <c r="AFE229" s="31"/>
      <c r="AFF229" s="31"/>
      <c r="AFG229" s="31"/>
      <c r="AFH229" s="31"/>
      <c r="AFI229" s="31"/>
      <c r="AFJ229" s="31"/>
      <c r="AFK229" s="31"/>
      <c r="AFL229" s="31"/>
      <c r="AFM229" s="31"/>
      <c r="AFN229" s="31"/>
      <c r="AFO229" s="31"/>
      <c r="AFP229" s="31"/>
      <c r="AFQ229" s="31"/>
      <c r="AFR229" s="31"/>
      <c r="AFS229" s="31"/>
      <c r="AFT229" s="31"/>
      <c r="AFU229" s="31"/>
      <c r="AFV229" s="31"/>
      <c r="AFW229" s="31"/>
      <c r="AFX229" s="31"/>
      <c r="AFY229" s="31"/>
      <c r="AFZ229" s="31"/>
      <c r="AGA229" s="31"/>
      <c r="AGB229" s="31"/>
      <c r="AGC229" s="31"/>
      <c r="AGD229" s="31"/>
      <c r="AGE229" s="31"/>
      <c r="AGF229" s="31"/>
      <c r="AGG229" s="31"/>
      <c r="AGH229" s="31"/>
      <c r="AGI229" s="31"/>
      <c r="AGJ229" s="31"/>
      <c r="AGK229" s="31"/>
      <c r="AGL229" s="31"/>
      <c r="AGM229" s="31"/>
      <c r="AGN229" s="31"/>
      <c r="AGO229" s="31"/>
      <c r="AGP229" s="31"/>
      <c r="AGQ229" s="31"/>
      <c r="AGR229" s="31"/>
      <c r="AGS229" s="31"/>
      <c r="AGT229" s="31"/>
      <c r="AGU229" s="31"/>
      <c r="AGV229" s="31"/>
      <c r="AGW229" s="31"/>
      <c r="AGX229" s="31"/>
      <c r="AGY229" s="31"/>
      <c r="AGZ229" s="31"/>
      <c r="AHA229" s="31"/>
      <c r="AHB229" s="31"/>
      <c r="AHC229" s="31"/>
      <c r="AHD229" s="31"/>
      <c r="AHE229" s="31"/>
      <c r="AHF229" s="31"/>
      <c r="AHG229" s="31"/>
      <c r="AHH229" s="31"/>
      <c r="AHI229" s="31"/>
      <c r="AHJ229" s="31"/>
      <c r="AHK229" s="31"/>
      <c r="AHL229" s="31"/>
      <c r="AHM229" s="31"/>
      <c r="AHN229" s="31"/>
      <c r="AHO229" s="31"/>
      <c r="AHP229" s="31"/>
      <c r="AHQ229" s="31"/>
      <c r="AHR229" s="31"/>
      <c r="AHS229" s="31"/>
      <c r="AHT229" s="31"/>
      <c r="AHU229" s="31"/>
      <c r="AHV229" s="31"/>
      <c r="AHW229" s="31"/>
      <c r="AHX229" s="31"/>
      <c r="AHY229" s="31"/>
      <c r="AHZ229" s="31"/>
      <c r="AIA229" s="31"/>
      <c r="AIB229" s="31"/>
      <c r="AIC229" s="31"/>
      <c r="AID229" s="31"/>
      <c r="AIE229" s="31"/>
      <c r="AIF229" s="31"/>
      <c r="AIG229" s="31"/>
      <c r="AIH229" s="31"/>
      <c r="AII229" s="31"/>
      <c r="AIJ229" s="31"/>
      <c r="AIK229" s="31"/>
      <c r="AIL229" s="31"/>
      <c r="AIM229" s="31"/>
      <c r="AIN229" s="31"/>
      <c r="AIO229" s="31"/>
      <c r="AIP229" s="31"/>
      <c r="AIQ229" s="31"/>
      <c r="AIR229" s="31"/>
      <c r="AIS229" s="31"/>
      <c r="AIT229" s="31"/>
      <c r="AIU229" s="31"/>
      <c r="AIV229" s="31"/>
      <c r="AIW229" s="31"/>
      <c r="AIX229" s="31"/>
      <c r="AIY229" s="31"/>
      <c r="AIZ229" s="31"/>
      <c r="AJA229" s="31"/>
      <c r="AJB229" s="31"/>
      <c r="AJC229" s="31"/>
      <c r="AJD229" s="31"/>
      <c r="AJE229" s="31"/>
      <c r="AJF229" s="31"/>
      <c r="AJG229" s="31"/>
      <c r="AJH229" s="31"/>
      <c r="AJI229" s="31"/>
      <c r="AJJ229" s="31"/>
      <c r="AJK229" s="31"/>
      <c r="AJL229" s="31"/>
      <c r="AJM229" s="31"/>
      <c r="AJN229" s="31"/>
      <c r="AJO229" s="31"/>
      <c r="AJP229" s="31"/>
      <c r="AJQ229" s="31"/>
      <c r="AJR229" s="31"/>
      <c r="AJS229" s="31"/>
      <c r="AJT229" s="31"/>
      <c r="AJU229" s="31"/>
      <c r="AJV229" s="31"/>
      <c r="AJW229" s="31"/>
      <c r="AJX229" s="31"/>
      <c r="AJY229" s="31"/>
      <c r="AJZ229" s="31"/>
      <c r="AKA229" s="31"/>
      <c r="AKB229" s="31"/>
      <c r="AKC229" s="31"/>
      <c r="AKD229" s="31"/>
      <c r="AKE229" s="31"/>
      <c r="AKF229" s="31"/>
      <c r="AKG229" s="31"/>
      <c r="AKH229" s="31"/>
      <c r="AKI229" s="31"/>
      <c r="AKJ229" s="31"/>
      <c r="AKK229" s="31"/>
      <c r="AKL229" s="31"/>
      <c r="AKM229" s="31"/>
      <c r="AKN229" s="31"/>
      <c r="AKO229" s="31"/>
      <c r="AKP229" s="31"/>
      <c r="AKQ229" s="31"/>
      <c r="AKR229" s="31"/>
      <c r="AKS229" s="31"/>
      <c r="AKT229" s="31"/>
      <c r="AKU229" s="31"/>
      <c r="AKV229" s="31"/>
      <c r="AKW229" s="31"/>
      <c r="AKX229" s="31"/>
      <c r="AKY229" s="31"/>
      <c r="AKZ229" s="31"/>
      <c r="ALA229" s="31"/>
      <c r="ALB229" s="31"/>
      <c r="ALC229" s="31"/>
      <c r="ALD229" s="31"/>
      <c r="ALE229" s="31"/>
      <c r="ALF229" s="31"/>
      <c r="ALG229" s="31"/>
      <c r="ALH229" s="31"/>
      <c r="ALI229" s="31"/>
      <c r="ALJ229" s="31"/>
      <c r="ALK229" s="31"/>
      <c r="ALL229" s="31"/>
      <c r="ALM229" s="31"/>
      <c r="ALN229" s="31"/>
      <c r="ALO229" s="31"/>
      <c r="ALP229" s="31"/>
      <c r="ALQ229" s="31"/>
      <c r="ALR229" s="31"/>
      <c r="ALS229" s="31"/>
      <c r="ALT229" s="31"/>
      <c r="ALU229" s="31"/>
      <c r="ALV229" s="31"/>
      <c r="ALW229" s="31"/>
      <c r="ALX229" s="31"/>
      <c r="ALY229" s="31"/>
      <c r="ALZ229" s="31"/>
      <c r="AMA229" s="31"/>
      <c r="AMB229" s="31"/>
      <c r="AMC229" s="31"/>
      <c r="AMD229" s="31"/>
      <c r="AME229" s="31"/>
      <c r="AMF229" s="31"/>
      <c r="AMG229" s="31"/>
      <c r="AMH229" s="31"/>
      <c r="AMI229" s="31"/>
      <c r="AMJ229" s="31"/>
      <c r="AMK229" s="31"/>
      <c r="AML229" s="31"/>
      <c r="AMM229" s="31"/>
      <c r="AMN229" s="31"/>
      <c r="AMO229" s="31"/>
      <c r="AMP229" s="31"/>
      <c r="AMQ229" s="31"/>
      <c r="AMR229" s="31"/>
      <c r="AMS229" s="31"/>
      <c r="AMT229" s="31"/>
      <c r="AMU229" s="31"/>
      <c r="AMV229" s="31"/>
      <c r="AMW229" s="31"/>
      <c r="AMX229" s="31"/>
      <c r="AMY229" s="31"/>
      <c r="AMZ229" s="31"/>
      <c r="ANA229" s="31"/>
      <c r="ANB229" s="31"/>
      <c r="ANC229" s="31"/>
      <c r="AND229" s="31"/>
      <c r="ANE229" s="31"/>
      <c r="ANF229" s="31"/>
      <c r="ANG229" s="31"/>
      <c r="ANH229" s="31"/>
      <c r="ANI229" s="31"/>
      <c r="ANJ229" s="31"/>
      <c r="ANK229" s="31"/>
      <c r="ANL229" s="31"/>
      <c r="ANM229" s="31"/>
      <c r="ANN229" s="31"/>
      <c r="ANO229" s="31"/>
      <c r="ANP229" s="31"/>
      <c r="ANQ229" s="31"/>
      <c r="ANR229" s="31"/>
      <c r="ANS229" s="31"/>
      <c r="ANT229" s="31"/>
      <c r="ANU229" s="31"/>
      <c r="ANV229" s="31"/>
      <c r="ANW229" s="31"/>
      <c r="ANX229" s="31"/>
      <c r="ANY229" s="31"/>
      <c r="ANZ229" s="31"/>
      <c r="AOA229" s="31"/>
      <c r="AOB229" s="31"/>
      <c r="AOC229" s="31"/>
      <c r="AOD229" s="31"/>
      <c r="AOE229" s="31"/>
      <c r="AOF229" s="31"/>
      <c r="AOG229" s="31"/>
      <c r="AOH229" s="31"/>
      <c r="AOI229" s="31"/>
      <c r="AOJ229" s="31"/>
      <c r="AOK229" s="31"/>
      <c r="AOL229" s="31"/>
      <c r="AOM229" s="31"/>
      <c r="AON229" s="31"/>
      <c r="AOO229" s="31"/>
      <c r="AOP229" s="31"/>
      <c r="AOQ229" s="31"/>
      <c r="AOR229" s="31"/>
      <c r="AOS229" s="31"/>
      <c r="AOT229" s="31"/>
      <c r="AOU229" s="31"/>
      <c r="AOV229" s="31"/>
      <c r="AOW229" s="31"/>
      <c r="AOX229" s="31"/>
      <c r="AOY229" s="31"/>
      <c r="AOZ229" s="31"/>
      <c r="APA229" s="31"/>
      <c r="APB229" s="31"/>
      <c r="APC229" s="31"/>
      <c r="APD229" s="31"/>
      <c r="APE229" s="31"/>
      <c r="APF229" s="31"/>
      <c r="APG229" s="31"/>
      <c r="APH229" s="31"/>
      <c r="API229" s="31"/>
      <c r="APJ229" s="31"/>
      <c r="APK229" s="31"/>
      <c r="APL229" s="31"/>
      <c r="APM229" s="31"/>
      <c r="APN229" s="31"/>
      <c r="APO229" s="31"/>
      <c r="APP229" s="31"/>
      <c r="APQ229" s="31"/>
      <c r="APR229" s="31"/>
      <c r="APS229" s="31"/>
      <c r="APT229" s="31"/>
      <c r="APU229" s="31"/>
      <c r="APV229" s="31"/>
      <c r="APW229" s="31"/>
      <c r="APX229" s="31"/>
      <c r="APY229" s="31"/>
      <c r="APZ229" s="31"/>
      <c r="AQA229" s="31"/>
      <c r="AQB229" s="31"/>
      <c r="AQC229" s="31"/>
      <c r="AQD229" s="31"/>
      <c r="AQE229" s="31"/>
      <c r="AQF229" s="31"/>
      <c r="AQG229" s="31"/>
      <c r="AQH229" s="31"/>
      <c r="AQI229" s="31"/>
      <c r="AQJ229" s="31"/>
      <c r="AQK229" s="31"/>
      <c r="AQL229" s="31"/>
      <c r="AQM229" s="31"/>
      <c r="AQN229" s="31"/>
      <c r="AQO229" s="31"/>
      <c r="AQP229" s="31"/>
      <c r="AQQ229" s="31"/>
      <c r="AQR229" s="31"/>
      <c r="AQS229" s="31"/>
      <c r="AQT229" s="31"/>
      <c r="AQU229" s="31"/>
      <c r="AQV229" s="31"/>
      <c r="AQW229" s="31"/>
      <c r="AQX229" s="31"/>
      <c r="AQY229" s="31"/>
      <c r="AQZ229" s="31"/>
      <c r="ARA229" s="31"/>
      <c r="ARB229" s="31"/>
      <c r="ARC229" s="31"/>
      <c r="ARD229" s="31"/>
      <c r="ARE229" s="31"/>
      <c r="ARF229" s="31"/>
      <c r="ARG229" s="31"/>
      <c r="ARH229" s="31"/>
      <c r="ARI229" s="31"/>
      <c r="ARJ229" s="31"/>
      <c r="ARK229" s="31"/>
      <c r="ARL229" s="31"/>
      <c r="ARM229" s="31"/>
      <c r="ARN229" s="31"/>
      <c r="ARO229" s="31"/>
      <c r="ARP229" s="31"/>
      <c r="ARQ229" s="31"/>
      <c r="ARR229" s="31"/>
      <c r="ARS229" s="31"/>
      <c r="ART229" s="31"/>
      <c r="ARU229" s="31"/>
      <c r="ARV229" s="31"/>
      <c r="ARW229" s="31"/>
      <c r="ARX229" s="31"/>
      <c r="ARY229" s="31"/>
      <c r="ARZ229" s="31"/>
      <c r="ASA229" s="31"/>
      <c r="ASB229" s="31"/>
      <c r="ASC229" s="31"/>
      <c r="ASD229" s="31"/>
      <c r="ASE229" s="31"/>
      <c r="ASF229" s="31"/>
      <c r="ASG229" s="31"/>
      <c r="ASH229" s="31"/>
      <c r="ASI229" s="31"/>
      <c r="ASJ229" s="31"/>
      <c r="ASK229" s="31"/>
      <c r="ASL229" s="31"/>
      <c r="ASM229" s="31"/>
      <c r="ASN229" s="31"/>
      <c r="ASO229" s="31"/>
      <c r="ASP229" s="31"/>
      <c r="ASQ229" s="31"/>
      <c r="ASR229" s="31"/>
      <c r="ASS229" s="31"/>
      <c r="AST229" s="31"/>
      <c r="ASU229" s="31"/>
      <c r="ASV229" s="31"/>
      <c r="ASW229" s="31"/>
      <c r="ASX229" s="31"/>
      <c r="ASY229" s="31"/>
      <c r="ASZ229" s="31"/>
      <c r="ATA229" s="31"/>
      <c r="ATB229" s="31"/>
      <c r="ATC229" s="31"/>
      <c r="ATD229" s="31"/>
      <c r="ATE229" s="31"/>
    </row>
    <row r="230" spans="1:1201" s="34" customFormat="1" ht="15.75" customHeight="1" x14ac:dyDescent="0.3">
      <c r="A230" s="197"/>
      <c r="B230" s="197"/>
      <c r="C230" s="63" t="s">
        <v>282</v>
      </c>
      <c r="D230" s="63"/>
      <c r="E230" s="63"/>
      <c r="F230" s="143"/>
      <c r="G230" s="703">
        <f>G229-G186</f>
        <v>-0.24000000115483999</v>
      </c>
      <c r="H230" s="658">
        <f>H229-H186</f>
        <v>-1.9999999552965164E-2</v>
      </c>
      <c r="I230" s="653">
        <f t="shared" ref="I230:T230" si="397">ROUND(I229-I186,0)</f>
        <v>0</v>
      </c>
      <c r="J230" s="653">
        <f t="shared" si="397"/>
        <v>14000</v>
      </c>
      <c r="K230" s="653">
        <f t="shared" si="397"/>
        <v>0</v>
      </c>
      <c r="L230" s="653">
        <f t="shared" si="397"/>
        <v>165700</v>
      </c>
      <c r="M230" s="653">
        <f t="shared" si="397"/>
        <v>0</v>
      </c>
      <c r="N230" s="653">
        <f t="shared" si="397"/>
        <v>0</v>
      </c>
      <c r="O230" s="653">
        <f t="shared" si="397"/>
        <v>0</v>
      </c>
      <c r="P230" s="653">
        <f t="shared" si="397"/>
        <v>0</v>
      </c>
      <c r="Q230" s="653">
        <f t="shared" si="397"/>
        <v>0</v>
      </c>
      <c r="R230" s="653">
        <f t="shared" si="397"/>
        <v>0</v>
      </c>
      <c r="S230" s="948">
        <f t="shared" si="397"/>
        <v>669251</v>
      </c>
      <c r="T230" s="948">
        <f t="shared" si="397"/>
        <v>0</v>
      </c>
      <c r="U230" s="948">
        <f t="shared" ref="U230:AB230" si="398">ROUND(U229-U186,0)</f>
        <v>0</v>
      </c>
      <c r="V230" s="948">
        <f t="shared" si="398"/>
        <v>0</v>
      </c>
      <c r="W230" s="948">
        <f t="shared" si="398"/>
        <v>0</v>
      </c>
      <c r="X230" s="948">
        <f t="shared" si="398"/>
        <v>0</v>
      </c>
      <c r="Y230" s="948">
        <f t="shared" si="398"/>
        <v>0</v>
      </c>
      <c r="Z230" s="1098">
        <f>ROUND(Z229-Z186,0)</f>
        <v>0</v>
      </c>
      <c r="AA230" s="1098">
        <f>ROUND(AA229-AA186,0)</f>
        <v>0</v>
      </c>
      <c r="AB230" s="1109">
        <f t="shared" si="398"/>
        <v>0</v>
      </c>
      <c r="AC230" s="1109">
        <f>ROUND(AC229-AC186,0)</f>
        <v>0</v>
      </c>
      <c r="AD230" s="1109">
        <f>ROUND(AD229-AD186,0)</f>
        <v>0</v>
      </c>
      <c r="AE230" s="212">
        <f>ROUND(AE229-AE186,0)</f>
        <v>0</v>
      </c>
      <c r="AF230" s="1109">
        <f t="shared" ref="AF230:AQ230" si="399">ROUND(AF229-AF186,0)</f>
        <v>0</v>
      </c>
      <c r="AG230" s="1109">
        <f>ROUND(AG229-AG186,0)</f>
        <v>0</v>
      </c>
      <c r="AH230" s="1109">
        <f>ROUND(AH229-AH186,0)</f>
        <v>0</v>
      </c>
      <c r="AI230" s="1109">
        <f>ROUND(AI229-AI186,0)</f>
        <v>0</v>
      </c>
      <c r="AJ230" s="1381">
        <f t="shared" si="399"/>
        <v>0</v>
      </c>
      <c r="AK230" s="1381">
        <f t="shared" si="399"/>
        <v>0</v>
      </c>
      <c r="AL230" s="1381">
        <f t="shared" si="399"/>
        <v>0</v>
      </c>
      <c r="AM230" s="1381">
        <f t="shared" si="399"/>
        <v>0</v>
      </c>
      <c r="AN230" s="1381">
        <f t="shared" ref="AN230:AO230" si="400">ROUND(AN229-AN186,0)</f>
        <v>0</v>
      </c>
      <c r="AO230" s="1381">
        <f t="shared" si="400"/>
        <v>0</v>
      </c>
      <c r="AP230" s="653">
        <f t="shared" ca="1" si="399"/>
        <v>0</v>
      </c>
      <c r="AQ230" s="653">
        <f t="shared" ca="1" si="399"/>
        <v>0</v>
      </c>
      <c r="AR230" s="1647">
        <f t="shared" ref="AR230:BC230" ca="1" si="401">ROUND(AR229-AR186,0)</f>
        <v>0</v>
      </c>
      <c r="AS230" s="653">
        <f t="shared" ca="1" si="401"/>
        <v>0</v>
      </c>
      <c r="AT230" s="653">
        <f t="shared" ca="1" si="401"/>
        <v>0</v>
      </c>
      <c r="AU230" s="653">
        <f t="shared" ca="1" si="401"/>
        <v>0</v>
      </c>
      <c r="AV230" s="653">
        <f t="shared" ca="1" si="401"/>
        <v>0</v>
      </c>
      <c r="AW230" s="653">
        <f t="shared" ca="1" si="401"/>
        <v>0</v>
      </c>
      <c r="AX230" s="653">
        <f t="shared" ca="1" si="401"/>
        <v>0</v>
      </c>
      <c r="AY230" s="653">
        <f t="shared" ca="1" si="401"/>
        <v>0</v>
      </c>
      <c r="AZ230" s="653">
        <f t="shared" ca="1" si="401"/>
        <v>0</v>
      </c>
      <c r="BA230" s="653">
        <f t="shared" ca="1" si="401"/>
        <v>0</v>
      </c>
      <c r="BB230" s="653">
        <f t="shared" ca="1" si="401"/>
        <v>0</v>
      </c>
      <c r="BC230" s="653">
        <f t="shared" ca="1" si="401"/>
        <v>0</v>
      </c>
      <c r="BE230" s="1109">
        <f>ROUND(BE229-BE186,0)</f>
        <v>0</v>
      </c>
      <c r="BF230" s="1572">
        <f ca="1">AQ230</f>
        <v>0</v>
      </c>
      <c r="BG230" s="1109">
        <f t="shared" ca="1" si="381"/>
        <v>0</v>
      </c>
      <c r="BH230" s="31"/>
      <c r="BI230" s="31"/>
      <c r="BJ230" s="31"/>
      <c r="BK230" s="31"/>
      <c r="BL230" s="31"/>
      <c r="BM230" s="31"/>
      <c r="BN230" s="31"/>
      <c r="BO230" s="31"/>
      <c r="BP230" s="31"/>
      <c r="BQ230" s="31"/>
      <c r="BR230" s="31"/>
      <c r="BS230" s="31"/>
      <c r="BT230" s="31"/>
      <c r="BU230" s="31"/>
      <c r="BV230" s="31"/>
      <c r="BW230" s="31"/>
      <c r="BX230" s="31"/>
      <c r="BY230" s="31"/>
      <c r="BZ230" s="31"/>
      <c r="CA230" s="31"/>
      <c r="CB230" s="31"/>
      <c r="CC230" s="31"/>
      <c r="CD230" s="31"/>
      <c r="CE230" s="31"/>
      <c r="CF230" s="31"/>
      <c r="CG230" s="31"/>
      <c r="CH230" s="31"/>
      <c r="CI230" s="31"/>
      <c r="CJ230" s="31"/>
      <c r="CK230" s="31"/>
      <c r="CL230" s="31"/>
      <c r="CM230" s="31"/>
      <c r="CN230" s="31"/>
      <c r="CO230" s="31"/>
      <c r="CP230" s="31"/>
      <c r="CQ230" s="31"/>
      <c r="CR230" s="31"/>
      <c r="CS230" s="31"/>
      <c r="CT230" s="31"/>
      <c r="CU230" s="31"/>
      <c r="CV230" s="31"/>
      <c r="CW230" s="31"/>
      <c r="CX230" s="31"/>
      <c r="CY230" s="31"/>
      <c r="CZ230" s="31"/>
      <c r="DA230" s="31"/>
      <c r="DB230" s="31"/>
      <c r="DC230" s="31"/>
      <c r="DD230" s="31"/>
      <c r="DE230" s="31"/>
      <c r="DF230" s="31"/>
      <c r="DG230" s="31"/>
      <c r="DH230" s="31"/>
      <c r="DI230" s="31"/>
      <c r="DJ230" s="31"/>
      <c r="DK230" s="31"/>
      <c r="DL230" s="31"/>
      <c r="DM230" s="31"/>
      <c r="DN230" s="31"/>
      <c r="DO230" s="31"/>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c r="EX230" s="31"/>
      <c r="EY230" s="31"/>
      <c r="EZ230" s="31"/>
      <c r="FA230" s="31"/>
      <c r="FB230" s="31"/>
      <c r="FC230" s="31"/>
      <c r="FD230" s="31"/>
      <c r="FE230" s="31"/>
      <c r="FF230" s="31"/>
      <c r="FG230" s="31"/>
      <c r="FH230" s="31"/>
      <c r="FI230" s="31"/>
      <c r="FJ230" s="31"/>
      <c r="FK230" s="31"/>
      <c r="FL230" s="31"/>
      <c r="FM230" s="31"/>
      <c r="FN230" s="31"/>
      <c r="FO230" s="31"/>
      <c r="FP230" s="31"/>
      <c r="FQ230" s="31"/>
      <c r="FR230" s="31"/>
      <c r="FS230" s="31"/>
      <c r="FT230" s="31"/>
      <c r="FU230" s="31"/>
      <c r="FV230" s="31"/>
      <c r="FW230" s="31"/>
      <c r="FX230" s="31"/>
      <c r="FY230" s="31"/>
      <c r="FZ230" s="31"/>
      <c r="GA230" s="31"/>
      <c r="GB230" s="31"/>
      <c r="GC230" s="31"/>
      <c r="GD230" s="31"/>
      <c r="GE230" s="31"/>
      <c r="GF230" s="31"/>
      <c r="GG230" s="31"/>
      <c r="GH230" s="31"/>
      <c r="GI230" s="31"/>
      <c r="GJ230" s="31"/>
      <c r="GK230" s="31"/>
      <c r="GL230" s="31"/>
      <c r="GM230" s="31"/>
      <c r="GN230" s="31"/>
      <c r="GO230" s="31"/>
      <c r="GP230" s="31"/>
      <c r="GQ230" s="31"/>
      <c r="GR230" s="31"/>
      <c r="GS230" s="31"/>
      <c r="GT230" s="31"/>
      <c r="GU230" s="31"/>
      <c r="GV230" s="31"/>
      <c r="GW230" s="31"/>
      <c r="GX230" s="31"/>
      <c r="GY230" s="31"/>
      <c r="GZ230" s="31"/>
      <c r="HA230" s="31"/>
      <c r="HB230" s="31"/>
      <c r="HC230" s="31"/>
      <c r="HD230" s="31"/>
      <c r="HE230" s="31"/>
      <c r="HF230" s="31"/>
      <c r="HG230" s="31"/>
      <c r="HH230" s="31"/>
      <c r="HI230" s="31"/>
      <c r="HJ230" s="31"/>
      <c r="HK230" s="31"/>
      <c r="HL230" s="31"/>
      <c r="HM230" s="31"/>
      <c r="HN230" s="31"/>
      <c r="HO230" s="31"/>
      <c r="HP230" s="31"/>
      <c r="HQ230" s="31"/>
      <c r="HR230" s="31"/>
      <c r="HS230" s="31"/>
      <c r="HT230" s="31"/>
      <c r="HU230" s="31"/>
      <c r="HV230" s="31"/>
      <c r="HW230" s="31"/>
      <c r="HX230" s="31"/>
      <c r="HY230" s="31"/>
      <c r="HZ230" s="31"/>
      <c r="IA230" s="31"/>
      <c r="IB230" s="31"/>
      <c r="IC230" s="31"/>
      <c r="ID230" s="31"/>
      <c r="IE230" s="31"/>
      <c r="IF230" s="31"/>
      <c r="IG230" s="31"/>
      <c r="IH230" s="31"/>
      <c r="II230" s="31"/>
      <c r="IJ230" s="31"/>
      <c r="IK230" s="31"/>
      <c r="IL230" s="31"/>
      <c r="IM230" s="31"/>
      <c r="IN230" s="31"/>
      <c r="IO230" s="31"/>
      <c r="IP230" s="31"/>
      <c r="IQ230" s="31"/>
      <c r="IR230" s="31"/>
      <c r="IS230" s="31"/>
      <c r="IT230" s="31"/>
      <c r="IU230" s="31"/>
      <c r="IV230" s="31"/>
      <c r="IW230" s="31"/>
      <c r="IX230" s="31"/>
      <c r="IY230" s="31"/>
      <c r="IZ230" s="31"/>
      <c r="JA230" s="31"/>
      <c r="JB230" s="31"/>
      <c r="JC230" s="31"/>
      <c r="JD230" s="31"/>
      <c r="JE230" s="31"/>
      <c r="JF230" s="31"/>
      <c r="JG230" s="31"/>
      <c r="JH230" s="31"/>
      <c r="JI230" s="31"/>
      <c r="JJ230" s="31"/>
      <c r="JK230" s="31"/>
      <c r="JL230" s="31"/>
      <c r="JM230" s="31"/>
      <c r="JN230" s="31"/>
      <c r="JO230" s="31"/>
      <c r="JP230" s="31"/>
      <c r="JQ230" s="31"/>
      <c r="JR230" s="31"/>
      <c r="JS230" s="31"/>
      <c r="JT230" s="31"/>
      <c r="JU230" s="31"/>
      <c r="JV230" s="31"/>
      <c r="JW230" s="31"/>
      <c r="JX230" s="31"/>
      <c r="JY230" s="31"/>
      <c r="JZ230" s="31"/>
      <c r="KA230" s="31"/>
      <c r="KB230" s="31"/>
      <c r="KC230" s="31"/>
      <c r="KD230" s="31"/>
      <c r="KE230" s="31"/>
      <c r="KF230" s="31"/>
      <c r="KG230" s="31"/>
      <c r="KH230" s="31"/>
      <c r="KI230" s="31"/>
      <c r="KJ230" s="31"/>
      <c r="KK230" s="31"/>
      <c r="KL230" s="31"/>
      <c r="KM230" s="31"/>
      <c r="KN230" s="31"/>
      <c r="KO230" s="31"/>
      <c r="KP230" s="31"/>
      <c r="KQ230" s="31"/>
      <c r="KR230" s="31"/>
      <c r="KS230" s="31"/>
      <c r="KT230" s="31"/>
      <c r="KU230" s="31"/>
      <c r="KV230" s="31"/>
      <c r="KW230" s="31"/>
      <c r="KX230" s="31"/>
      <c r="KY230" s="31"/>
      <c r="KZ230" s="31"/>
      <c r="LA230" s="31"/>
      <c r="LB230" s="31"/>
      <c r="LC230" s="31"/>
      <c r="LD230" s="31"/>
      <c r="LE230" s="31"/>
      <c r="LF230" s="31"/>
      <c r="LG230" s="31"/>
      <c r="LH230" s="31"/>
      <c r="LI230" s="31"/>
      <c r="LJ230" s="31"/>
      <c r="LK230" s="31"/>
      <c r="LL230" s="31"/>
      <c r="LM230" s="31"/>
      <c r="LN230" s="31"/>
      <c r="LO230" s="31"/>
      <c r="LP230" s="31"/>
      <c r="LQ230" s="31"/>
      <c r="LR230" s="31"/>
      <c r="LS230" s="31"/>
      <c r="LT230" s="31"/>
      <c r="LU230" s="31"/>
      <c r="LV230" s="31"/>
      <c r="LW230" s="31"/>
      <c r="LX230" s="31"/>
      <c r="LY230" s="31"/>
      <c r="LZ230" s="31"/>
      <c r="MA230" s="31"/>
      <c r="MB230" s="31"/>
      <c r="MC230" s="31"/>
      <c r="MD230" s="31"/>
      <c r="ME230" s="31"/>
      <c r="MF230" s="31"/>
      <c r="MG230" s="31"/>
      <c r="MH230" s="31"/>
      <c r="MI230" s="31"/>
      <c r="MJ230" s="31"/>
      <c r="MK230" s="31"/>
      <c r="ML230" s="31"/>
      <c r="MM230" s="31"/>
      <c r="MN230" s="31"/>
      <c r="MO230" s="31"/>
      <c r="MP230" s="31"/>
      <c r="MQ230" s="31"/>
      <c r="MR230" s="31"/>
      <c r="MS230" s="31"/>
      <c r="MT230" s="31"/>
      <c r="MU230" s="31"/>
      <c r="MV230" s="31"/>
      <c r="MW230" s="31"/>
      <c r="MX230" s="31"/>
      <c r="MY230" s="31"/>
      <c r="MZ230" s="31"/>
      <c r="NA230" s="31"/>
      <c r="NB230" s="31"/>
      <c r="NC230" s="31"/>
      <c r="ND230" s="31"/>
      <c r="NE230" s="31"/>
      <c r="NF230" s="31"/>
      <c r="NG230" s="31"/>
      <c r="NH230" s="31"/>
      <c r="NI230" s="31"/>
      <c r="NJ230" s="31"/>
      <c r="NK230" s="31"/>
      <c r="NL230" s="31"/>
      <c r="NM230" s="31"/>
      <c r="NN230" s="31"/>
      <c r="NO230" s="31"/>
      <c r="NP230" s="31"/>
      <c r="NQ230" s="31"/>
      <c r="NR230" s="31"/>
      <c r="NS230" s="31"/>
      <c r="NT230" s="31"/>
      <c r="NU230" s="31"/>
      <c r="NV230" s="31"/>
      <c r="NW230" s="31"/>
      <c r="NX230" s="31"/>
      <c r="NY230" s="31"/>
      <c r="NZ230" s="31"/>
      <c r="OA230" s="31"/>
      <c r="OB230" s="31"/>
      <c r="OC230" s="31"/>
      <c r="OD230" s="31"/>
      <c r="OE230" s="31"/>
      <c r="OF230" s="31"/>
      <c r="OG230" s="31"/>
      <c r="OH230" s="31"/>
      <c r="OI230" s="31"/>
      <c r="OJ230" s="31"/>
      <c r="OK230" s="31"/>
      <c r="OL230" s="31"/>
      <c r="OM230" s="31"/>
      <c r="ON230" s="31"/>
      <c r="OO230" s="31"/>
      <c r="OP230" s="31"/>
      <c r="OQ230" s="31"/>
      <c r="OR230" s="31"/>
      <c r="OS230" s="31"/>
      <c r="OT230" s="31"/>
      <c r="OU230" s="31"/>
      <c r="OV230" s="31"/>
      <c r="OW230" s="31"/>
      <c r="OX230" s="31"/>
      <c r="OY230" s="31"/>
      <c r="OZ230" s="31"/>
      <c r="PA230" s="31"/>
      <c r="PB230" s="31"/>
      <c r="PC230" s="31"/>
      <c r="PD230" s="31"/>
      <c r="PE230" s="31"/>
      <c r="PF230" s="31"/>
      <c r="PG230" s="31"/>
      <c r="PH230" s="31"/>
      <c r="PI230" s="31"/>
      <c r="PJ230" s="31"/>
      <c r="PK230" s="31"/>
      <c r="PL230" s="31"/>
      <c r="PM230" s="31"/>
      <c r="PN230" s="31"/>
      <c r="PO230" s="31"/>
      <c r="PP230" s="31"/>
      <c r="PQ230" s="31"/>
      <c r="PR230" s="31"/>
      <c r="PS230" s="31"/>
      <c r="PT230" s="31"/>
      <c r="PU230" s="31"/>
      <c r="PV230" s="31"/>
      <c r="PW230" s="31"/>
      <c r="PX230" s="31"/>
      <c r="PY230" s="31"/>
      <c r="PZ230" s="31"/>
      <c r="QA230" s="31"/>
      <c r="QB230" s="31"/>
      <c r="QC230" s="31"/>
      <c r="QD230" s="31"/>
      <c r="QE230" s="31"/>
      <c r="QF230" s="31"/>
      <c r="QG230" s="31"/>
      <c r="QH230" s="31"/>
      <c r="QI230" s="31"/>
      <c r="QJ230" s="31"/>
      <c r="QK230" s="31"/>
      <c r="QL230" s="31"/>
      <c r="QM230" s="31"/>
      <c r="QN230" s="31"/>
      <c r="QO230" s="31"/>
      <c r="QP230" s="31"/>
      <c r="QQ230" s="31"/>
      <c r="QR230" s="31"/>
      <c r="QS230" s="31"/>
      <c r="QT230" s="31"/>
      <c r="QU230" s="31"/>
      <c r="QV230" s="31"/>
      <c r="QW230" s="31"/>
      <c r="QX230" s="31"/>
      <c r="QY230" s="31"/>
      <c r="QZ230" s="31"/>
      <c r="RA230" s="31"/>
      <c r="RB230" s="31"/>
      <c r="RC230" s="31"/>
      <c r="RD230" s="31"/>
      <c r="RE230" s="31"/>
      <c r="RF230" s="31"/>
      <c r="RG230" s="31"/>
      <c r="RH230" s="31"/>
      <c r="RI230" s="31"/>
      <c r="RJ230" s="31"/>
      <c r="RK230" s="31"/>
      <c r="RL230" s="31"/>
      <c r="RM230" s="31"/>
      <c r="RN230" s="31"/>
      <c r="RO230" s="31"/>
      <c r="RP230" s="31"/>
      <c r="RQ230" s="31"/>
      <c r="RR230" s="31"/>
      <c r="RS230" s="31"/>
      <c r="RT230" s="31"/>
      <c r="RU230" s="31"/>
      <c r="RV230" s="31"/>
      <c r="RW230" s="31"/>
      <c r="RX230" s="31"/>
      <c r="RY230" s="31"/>
      <c r="RZ230" s="31"/>
      <c r="SA230" s="31"/>
      <c r="SB230" s="31"/>
      <c r="SC230" s="31"/>
      <c r="SD230" s="31"/>
      <c r="SE230" s="31"/>
      <c r="SF230" s="31"/>
      <c r="SG230" s="31"/>
      <c r="SH230" s="31"/>
      <c r="SI230" s="31"/>
      <c r="SJ230" s="31"/>
      <c r="SK230" s="31"/>
      <c r="SL230" s="31"/>
      <c r="SM230" s="31"/>
      <c r="SN230" s="31"/>
      <c r="SO230" s="31"/>
      <c r="SP230" s="31"/>
      <c r="SQ230" s="31"/>
      <c r="SR230" s="31"/>
      <c r="SS230" s="31"/>
      <c r="ST230" s="31"/>
      <c r="SU230" s="31"/>
      <c r="SV230" s="31"/>
      <c r="SW230" s="31"/>
      <c r="SX230" s="31"/>
      <c r="SY230" s="31"/>
      <c r="SZ230" s="31"/>
      <c r="TA230" s="31"/>
      <c r="TB230" s="31"/>
      <c r="TC230" s="31"/>
      <c r="TD230" s="31"/>
      <c r="TE230" s="31"/>
      <c r="TF230" s="31"/>
      <c r="TG230" s="31"/>
      <c r="TH230" s="31"/>
      <c r="TI230" s="31"/>
      <c r="TJ230" s="31"/>
      <c r="TK230" s="31"/>
      <c r="TL230" s="31"/>
      <c r="TM230" s="31"/>
      <c r="TN230" s="31"/>
      <c r="TO230" s="31"/>
      <c r="TP230" s="31"/>
      <c r="TQ230" s="31"/>
      <c r="TR230" s="31"/>
      <c r="TS230" s="31"/>
      <c r="TT230" s="31"/>
      <c r="TU230" s="31"/>
      <c r="TV230" s="31"/>
      <c r="TW230" s="31"/>
      <c r="TX230" s="31"/>
      <c r="TY230" s="31"/>
      <c r="TZ230" s="31"/>
      <c r="UA230" s="31"/>
      <c r="UB230" s="31"/>
      <c r="UC230" s="31"/>
      <c r="UD230" s="31"/>
      <c r="UE230" s="31"/>
      <c r="UF230" s="31"/>
      <c r="UG230" s="31"/>
      <c r="UH230" s="31"/>
      <c r="UI230" s="31"/>
      <c r="UJ230" s="31"/>
      <c r="UK230" s="31"/>
      <c r="UL230" s="31"/>
      <c r="UM230" s="31"/>
      <c r="UN230" s="31"/>
      <c r="UO230" s="31"/>
      <c r="UP230" s="31"/>
      <c r="UQ230" s="31"/>
      <c r="UR230" s="31"/>
      <c r="US230" s="31"/>
      <c r="UT230" s="31"/>
      <c r="UU230" s="31"/>
      <c r="UV230" s="31"/>
      <c r="UW230" s="31"/>
      <c r="UX230" s="31"/>
      <c r="UY230" s="31"/>
      <c r="UZ230" s="31"/>
      <c r="VA230" s="31"/>
      <c r="VB230" s="31"/>
      <c r="VC230" s="31"/>
      <c r="VD230" s="31"/>
      <c r="VE230" s="31"/>
      <c r="VF230" s="31"/>
      <c r="VG230" s="31"/>
      <c r="VH230" s="31"/>
      <c r="VI230" s="31"/>
      <c r="VJ230" s="31"/>
      <c r="VK230" s="31"/>
      <c r="VL230" s="31"/>
      <c r="VM230" s="31"/>
      <c r="VN230" s="31"/>
      <c r="VO230" s="31"/>
      <c r="VP230" s="31"/>
      <c r="VQ230" s="31"/>
      <c r="VR230" s="31"/>
      <c r="VS230" s="31"/>
      <c r="VT230" s="31"/>
      <c r="VU230" s="31"/>
      <c r="VV230" s="31"/>
      <c r="VW230" s="31"/>
      <c r="VX230" s="31"/>
      <c r="VY230" s="31"/>
      <c r="VZ230" s="31"/>
      <c r="WA230" s="31"/>
      <c r="WB230" s="31"/>
      <c r="WC230" s="31"/>
      <c r="WD230" s="31"/>
      <c r="WE230" s="31"/>
      <c r="WF230" s="31"/>
      <c r="WG230" s="31"/>
      <c r="WH230" s="31"/>
      <c r="WI230" s="31"/>
      <c r="WJ230" s="31"/>
      <c r="WK230" s="31"/>
      <c r="WL230" s="31"/>
      <c r="WM230" s="31"/>
      <c r="WN230" s="31"/>
      <c r="WO230" s="31"/>
      <c r="WP230" s="31"/>
      <c r="WQ230" s="31"/>
      <c r="WR230" s="31"/>
      <c r="WS230" s="31"/>
      <c r="WT230" s="31"/>
      <c r="WU230" s="31"/>
      <c r="WV230" s="31"/>
      <c r="WW230" s="31"/>
      <c r="WX230" s="31"/>
      <c r="WY230" s="31"/>
      <c r="WZ230" s="31"/>
      <c r="XA230" s="31"/>
      <c r="XB230" s="31"/>
      <c r="XC230" s="31"/>
      <c r="XD230" s="31"/>
      <c r="XE230" s="31"/>
      <c r="XF230" s="31"/>
      <c r="XG230" s="31"/>
      <c r="XH230" s="31"/>
      <c r="XI230" s="31"/>
      <c r="XJ230" s="31"/>
      <c r="XK230" s="31"/>
      <c r="XL230" s="31"/>
      <c r="XM230" s="31"/>
      <c r="XN230" s="31"/>
      <c r="XO230" s="31"/>
      <c r="XP230" s="31"/>
      <c r="XQ230" s="31"/>
      <c r="XR230" s="31"/>
      <c r="XS230" s="31"/>
      <c r="XT230" s="31"/>
      <c r="XU230" s="31"/>
      <c r="XV230" s="31"/>
      <c r="XW230" s="31"/>
      <c r="XX230" s="31"/>
      <c r="XY230" s="31"/>
      <c r="XZ230" s="31"/>
      <c r="YA230" s="31"/>
      <c r="YB230" s="31"/>
      <c r="YC230" s="31"/>
      <c r="YD230" s="31"/>
      <c r="YE230" s="31"/>
      <c r="YF230" s="31"/>
      <c r="YG230" s="31"/>
      <c r="YH230" s="31"/>
      <c r="YI230" s="31"/>
      <c r="YJ230" s="31"/>
      <c r="YK230" s="31"/>
      <c r="YL230" s="31"/>
      <c r="YM230" s="31"/>
      <c r="YN230" s="31"/>
      <c r="YO230" s="31"/>
      <c r="YP230" s="31"/>
      <c r="YQ230" s="31"/>
      <c r="YR230" s="31"/>
      <c r="YS230" s="31"/>
      <c r="YT230" s="31"/>
      <c r="YU230" s="31"/>
      <c r="YV230" s="31"/>
      <c r="YW230" s="31"/>
      <c r="YX230" s="31"/>
      <c r="YY230" s="31"/>
      <c r="YZ230" s="31"/>
      <c r="ZA230" s="31"/>
      <c r="ZB230" s="31"/>
      <c r="ZC230" s="31"/>
      <c r="ZD230" s="31"/>
      <c r="ZE230" s="31"/>
      <c r="ZF230" s="31"/>
      <c r="ZG230" s="31"/>
      <c r="ZH230" s="31"/>
      <c r="ZI230" s="31"/>
      <c r="ZJ230" s="31"/>
      <c r="ZK230" s="31"/>
      <c r="ZL230" s="31"/>
      <c r="ZM230" s="31"/>
      <c r="ZN230" s="31"/>
      <c r="ZO230" s="31"/>
      <c r="ZP230" s="31"/>
      <c r="ZQ230" s="31"/>
      <c r="ZR230" s="31"/>
      <c r="ZS230" s="31"/>
      <c r="ZT230" s="31"/>
      <c r="ZU230" s="31"/>
      <c r="ZV230" s="31"/>
      <c r="ZW230" s="31"/>
      <c r="ZX230" s="31"/>
      <c r="ZY230" s="31"/>
      <c r="ZZ230" s="31"/>
      <c r="AAA230" s="31"/>
      <c r="AAB230" s="31"/>
      <c r="AAC230" s="31"/>
      <c r="AAD230" s="31"/>
      <c r="AAE230" s="31"/>
      <c r="AAF230" s="31"/>
      <c r="AAG230" s="31"/>
      <c r="AAH230" s="31"/>
      <c r="AAI230" s="31"/>
      <c r="AAJ230" s="31"/>
      <c r="AAK230" s="31"/>
      <c r="AAL230" s="31"/>
      <c r="AAM230" s="31"/>
      <c r="AAN230" s="31"/>
      <c r="AAO230" s="31"/>
      <c r="AAP230" s="31"/>
      <c r="AAQ230" s="31"/>
      <c r="AAR230" s="31"/>
      <c r="AAS230" s="31"/>
      <c r="AAT230" s="31"/>
      <c r="AAU230" s="31"/>
      <c r="AAV230" s="31"/>
      <c r="AAW230" s="31"/>
      <c r="AAX230" s="31"/>
      <c r="AAY230" s="31"/>
      <c r="AAZ230" s="31"/>
      <c r="ABA230" s="31"/>
      <c r="ABB230" s="31"/>
      <c r="ABC230" s="31"/>
      <c r="ABD230" s="31"/>
      <c r="ABE230" s="31"/>
      <c r="ABF230" s="31"/>
      <c r="ABG230" s="31"/>
      <c r="ABH230" s="31"/>
      <c r="ABI230" s="31"/>
      <c r="ABJ230" s="31"/>
      <c r="ABK230" s="31"/>
      <c r="ABL230" s="31"/>
      <c r="ABM230" s="31"/>
      <c r="ABN230" s="31"/>
      <c r="ABO230" s="31"/>
      <c r="ABP230" s="31"/>
      <c r="ABQ230" s="31"/>
      <c r="ABR230" s="31"/>
      <c r="ABS230" s="31"/>
      <c r="ABT230" s="31"/>
      <c r="ABU230" s="31"/>
      <c r="ABV230" s="31"/>
      <c r="ABW230" s="31"/>
      <c r="ABX230" s="31"/>
      <c r="ABY230" s="31"/>
      <c r="ABZ230" s="31"/>
      <c r="ACA230" s="31"/>
      <c r="ACB230" s="31"/>
      <c r="ACC230" s="31"/>
      <c r="ACD230" s="31"/>
      <c r="ACE230" s="31"/>
      <c r="ACF230" s="31"/>
      <c r="ACG230" s="31"/>
      <c r="ACH230" s="31"/>
      <c r="ACI230" s="31"/>
      <c r="ACJ230" s="31"/>
      <c r="ACK230" s="31"/>
      <c r="ACL230" s="31"/>
      <c r="ACM230" s="31"/>
      <c r="ACN230" s="31"/>
      <c r="ACO230" s="31"/>
      <c r="ACP230" s="31"/>
      <c r="ACQ230" s="31"/>
      <c r="ACR230" s="31"/>
      <c r="ACS230" s="31"/>
      <c r="ACT230" s="31"/>
      <c r="ACU230" s="31"/>
      <c r="ACV230" s="31"/>
      <c r="ACW230" s="31"/>
      <c r="ACX230" s="31"/>
      <c r="ACY230" s="31"/>
      <c r="ACZ230" s="31"/>
      <c r="ADA230" s="31"/>
      <c r="ADB230" s="31"/>
      <c r="ADC230" s="31"/>
      <c r="ADD230" s="31"/>
      <c r="ADE230" s="31"/>
      <c r="ADF230" s="31"/>
      <c r="ADG230" s="31"/>
      <c r="ADH230" s="31"/>
      <c r="ADI230" s="31"/>
      <c r="ADJ230" s="31"/>
      <c r="ADK230" s="31"/>
      <c r="ADL230" s="31"/>
      <c r="ADM230" s="31"/>
      <c r="ADN230" s="31"/>
      <c r="ADO230" s="31"/>
      <c r="ADP230" s="31"/>
      <c r="ADQ230" s="31"/>
      <c r="ADR230" s="31"/>
      <c r="ADS230" s="31"/>
      <c r="ADT230" s="31"/>
      <c r="ADU230" s="31"/>
      <c r="ADV230" s="31"/>
      <c r="ADW230" s="31"/>
      <c r="ADX230" s="31"/>
      <c r="ADY230" s="31"/>
      <c r="ADZ230" s="31"/>
      <c r="AEA230" s="31"/>
      <c r="AEB230" s="31"/>
      <c r="AEC230" s="31"/>
      <c r="AED230" s="31"/>
      <c r="AEE230" s="31"/>
      <c r="AEF230" s="31"/>
      <c r="AEG230" s="31"/>
      <c r="AEH230" s="31"/>
      <c r="AEI230" s="31"/>
      <c r="AEJ230" s="31"/>
      <c r="AEK230" s="31"/>
      <c r="AEL230" s="31"/>
      <c r="AEM230" s="31"/>
      <c r="AEN230" s="31"/>
      <c r="AEO230" s="31"/>
      <c r="AEP230" s="31"/>
      <c r="AEQ230" s="31"/>
      <c r="AER230" s="31"/>
      <c r="AES230" s="31"/>
      <c r="AET230" s="31"/>
      <c r="AEU230" s="31"/>
      <c r="AEV230" s="31"/>
      <c r="AEW230" s="31"/>
      <c r="AEX230" s="31"/>
      <c r="AEY230" s="31"/>
      <c r="AEZ230" s="31"/>
      <c r="AFA230" s="31"/>
      <c r="AFB230" s="31"/>
      <c r="AFC230" s="31"/>
      <c r="AFD230" s="31"/>
      <c r="AFE230" s="31"/>
      <c r="AFF230" s="31"/>
      <c r="AFG230" s="31"/>
      <c r="AFH230" s="31"/>
      <c r="AFI230" s="31"/>
      <c r="AFJ230" s="31"/>
      <c r="AFK230" s="31"/>
      <c r="AFL230" s="31"/>
      <c r="AFM230" s="31"/>
      <c r="AFN230" s="31"/>
      <c r="AFO230" s="31"/>
      <c r="AFP230" s="31"/>
      <c r="AFQ230" s="31"/>
      <c r="AFR230" s="31"/>
      <c r="AFS230" s="31"/>
      <c r="AFT230" s="31"/>
      <c r="AFU230" s="31"/>
      <c r="AFV230" s="31"/>
      <c r="AFW230" s="31"/>
      <c r="AFX230" s="31"/>
      <c r="AFY230" s="31"/>
      <c r="AFZ230" s="31"/>
      <c r="AGA230" s="31"/>
      <c r="AGB230" s="31"/>
      <c r="AGC230" s="31"/>
      <c r="AGD230" s="31"/>
      <c r="AGE230" s="31"/>
      <c r="AGF230" s="31"/>
      <c r="AGG230" s="31"/>
      <c r="AGH230" s="31"/>
      <c r="AGI230" s="31"/>
      <c r="AGJ230" s="31"/>
      <c r="AGK230" s="31"/>
      <c r="AGL230" s="31"/>
      <c r="AGM230" s="31"/>
      <c r="AGN230" s="31"/>
      <c r="AGO230" s="31"/>
      <c r="AGP230" s="31"/>
      <c r="AGQ230" s="31"/>
      <c r="AGR230" s="31"/>
      <c r="AGS230" s="31"/>
      <c r="AGT230" s="31"/>
      <c r="AGU230" s="31"/>
      <c r="AGV230" s="31"/>
      <c r="AGW230" s="31"/>
      <c r="AGX230" s="31"/>
      <c r="AGY230" s="31"/>
      <c r="AGZ230" s="31"/>
      <c r="AHA230" s="31"/>
      <c r="AHB230" s="31"/>
      <c r="AHC230" s="31"/>
      <c r="AHD230" s="31"/>
      <c r="AHE230" s="31"/>
      <c r="AHF230" s="31"/>
      <c r="AHG230" s="31"/>
      <c r="AHH230" s="31"/>
      <c r="AHI230" s="31"/>
      <c r="AHJ230" s="31"/>
      <c r="AHK230" s="31"/>
      <c r="AHL230" s="31"/>
      <c r="AHM230" s="31"/>
      <c r="AHN230" s="31"/>
      <c r="AHO230" s="31"/>
      <c r="AHP230" s="31"/>
      <c r="AHQ230" s="31"/>
      <c r="AHR230" s="31"/>
      <c r="AHS230" s="31"/>
      <c r="AHT230" s="31"/>
      <c r="AHU230" s="31"/>
      <c r="AHV230" s="31"/>
      <c r="AHW230" s="31"/>
      <c r="AHX230" s="31"/>
      <c r="AHY230" s="31"/>
      <c r="AHZ230" s="31"/>
      <c r="AIA230" s="31"/>
      <c r="AIB230" s="31"/>
      <c r="AIC230" s="31"/>
      <c r="AID230" s="31"/>
      <c r="AIE230" s="31"/>
      <c r="AIF230" s="31"/>
      <c r="AIG230" s="31"/>
      <c r="AIH230" s="31"/>
      <c r="AII230" s="31"/>
      <c r="AIJ230" s="31"/>
      <c r="AIK230" s="31"/>
      <c r="AIL230" s="31"/>
      <c r="AIM230" s="31"/>
      <c r="AIN230" s="31"/>
      <c r="AIO230" s="31"/>
      <c r="AIP230" s="31"/>
      <c r="AIQ230" s="31"/>
      <c r="AIR230" s="31"/>
      <c r="AIS230" s="31"/>
      <c r="AIT230" s="31"/>
      <c r="AIU230" s="31"/>
      <c r="AIV230" s="31"/>
      <c r="AIW230" s="31"/>
      <c r="AIX230" s="31"/>
      <c r="AIY230" s="31"/>
      <c r="AIZ230" s="31"/>
      <c r="AJA230" s="31"/>
      <c r="AJB230" s="31"/>
      <c r="AJC230" s="31"/>
      <c r="AJD230" s="31"/>
      <c r="AJE230" s="31"/>
      <c r="AJF230" s="31"/>
      <c r="AJG230" s="31"/>
      <c r="AJH230" s="31"/>
      <c r="AJI230" s="31"/>
      <c r="AJJ230" s="31"/>
      <c r="AJK230" s="31"/>
      <c r="AJL230" s="31"/>
      <c r="AJM230" s="31"/>
      <c r="AJN230" s="31"/>
      <c r="AJO230" s="31"/>
      <c r="AJP230" s="31"/>
      <c r="AJQ230" s="31"/>
      <c r="AJR230" s="31"/>
      <c r="AJS230" s="31"/>
      <c r="AJT230" s="31"/>
      <c r="AJU230" s="31"/>
      <c r="AJV230" s="31"/>
      <c r="AJW230" s="31"/>
      <c r="AJX230" s="31"/>
      <c r="AJY230" s="31"/>
      <c r="AJZ230" s="31"/>
      <c r="AKA230" s="31"/>
      <c r="AKB230" s="31"/>
      <c r="AKC230" s="31"/>
      <c r="AKD230" s="31"/>
      <c r="AKE230" s="31"/>
      <c r="AKF230" s="31"/>
      <c r="AKG230" s="31"/>
      <c r="AKH230" s="31"/>
      <c r="AKI230" s="31"/>
      <c r="AKJ230" s="31"/>
      <c r="AKK230" s="31"/>
      <c r="AKL230" s="31"/>
      <c r="AKM230" s="31"/>
      <c r="AKN230" s="31"/>
      <c r="AKO230" s="31"/>
      <c r="AKP230" s="31"/>
      <c r="AKQ230" s="31"/>
      <c r="AKR230" s="31"/>
      <c r="AKS230" s="31"/>
      <c r="AKT230" s="31"/>
      <c r="AKU230" s="31"/>
      <c r="AKV230" s="31"/>
      <c r="AKW230" s="31"/>
      <c r="AKX230" s="31"/>
      <c r="AKY230" s="31"/>
      <c r="AKZ230" s="31"/>
      <c r="ALA230" s="31"/>
      <c r="ALB230" s="31"/>
      <c r="ALC230" s="31"/>
      <c r="ALD230" s="31"/>
      <c r="ALE230" s="31"/>
      <c r="ALF230" s="31"/>
      <c r="ALG230" s="31"/>
      <c r="ALH230" s="31"/>
      <c r="ALI230" s="31"/>
      <c r="ALJ230" s="31"/>
      <c r="ALK230" s="31"/>
      <c r="ALL230" s="31"/>
      <c r="ALM230" s="31"/>
      <c r="ALN230" s="31"/>
      <c r="ALO230" s="31"/>
      <c r="ALP230" s="31"/>
      <c r="ALQ230" s="31"/>
      <c r="ALR230" s="31"/>
      <c r="ALS230" s="31"/>
      <c r="ALT230" s="31"/>
      <c r="ALU230" s="31"/>
      <c r="ALV230" s="31"/>
      <c r="ALW230" s="31"/>
      <c r="ALX230" s="31"/>
      <c r="ALY230" s="31"/>
      <c r="ALZ230" s="31"/>
      <c r="AMA230" s="31"/>
      <c r="AMB230" s="31"/>
      <c r="AMC230" s="31"/>
      <c r="AMD230" s="31"/>
      <c r="AME230" s="31"/>
      <c r="AMF230" s="31"/>
      <c r="AMG230" s="31"/>
      <c r="AMH230" s="31"/>
      <c r="AMI230" s="31"/>
      <c r="AMJ230" s="31"/>
      <c r="AMK230" s="31"/>
      <c r="AML230" s="31"/>
      <c r="AMM230" s="31"/>
      <c r="AMN230" s="31"/>
      <c r="AMO230" s="31"/>
      <c r="AMP230" s="31"/>
      <c r="AMQ230" s="31"/>
      <c r="AMR230" s="31"/>
      <c r="AMS230" s="31"/>
      <c r="AMT230" s="31"/>
      <c r="AMU230" s="31"/>
      <c r="AMV230" s="31"/>
      <c r="AMW230" s="31"/>
      <c r="AMX230" s="31"/>
      <c r="AMY230" s="31"/>
      <c r="AMZ230" s="31"/>
      <c r="ANA230" s="31"/>
      <c r="ANB230" s="31"/>
      <c r="ANC230" s="31"/>
      <c r="AND230" s="31"/>
      <c r="ANE230" s="31"/>
      <c r="ANF230" s="31"/>
      <c r="ANG230" s="31"/>
      <c r="ANH230" s="31"/>
      <c r="ANI230" s="31"/>
      <c r="ANJ230" s="31"/>
      <c r="ANK230" s="31"/>
      <c r="ANL230" s="31"/>
      <c r="ANM230" s="31"/>
      <c r="ANN230" s="31"/>
      <c r="ANO230" s="31"/>
      <c r="ANP230" s="31"/>
      <c r="ANQ230" s="31"/>
      <c r="ANR230" s="31"/>
      <c r="ANS230" s="31"/>
      <c r="ANT230" s="31"/>
      <c r="ANU230" s="31"/>
      <c r="ANV230" s="31"/>
      <c r="ANW230" s="31"/>
      <c r="ANX230" s="31"/>
      <c r="ANY230" s="31"/>
      <c r="ANZ230" s="31"/>
      <c r="AOA230" s="31"/>
      <c r="AOB230" s="31"/>
      <c r="AOC230" s="31"/>
      <c r="AOD230" s="31"/>
      <c r="AOE230" s="31"/>
      <c r="AOF230" s="31"/>
      <c r="AOG230" s="31"/>
      <c r="AOH230" s="31"/>
      <c r="AOI230" s="31"/>
      <c r="AOJ230" s="31"/>
      <c r="AOK230" s="31"/>
      <c r="AOL230" s="31"/>
      <c r="AOM230" s="31"/>
      <c r="AON230" s="31"/>
      <c r="AOO230" s="31"/>
      <c r="AOP230" s="31"/>
      <c r="AOQ230" s="31"/>
      <c r="AOR230" s="31"/>
      <c r="AOS230" s="31"/>
      <c r="AOT230" s="31"/>
      <c r="AOU230" s="31"/>
      <c r="AOV230" s="31"/>
      <c r="AOW230" s="31"/>
      <c r="AOX230" s="31"/>
      <c r="AOY230" s="31"/>
      <c r="AOZ230" s="31"/>
      <c r="APA230" s="31"/>
      <c r="APB230" s="31"/>
      <c r="APC230" s="31"/>
      <c r="APD230" s="31"/>
      <c r="APE230" s="31"/>
      <c r="APF230" s="31"/>
      <c r="APG230" s="31"/>
      <c r="APH230" s="31"/>
      <c r="API230" s="31"/>
      <c r="APJ230" s="31"/>
      <c r="APK230" s="31"/>
      <c r="APL230" s="31"/>
      <c r="APM230" s="31"/>
      <c r="APN230" s="31"/>
      <c r="APO230" s="31"/>
      <c r="APP230" s="31"/>
      <c r="APQ230" s="31"/>
      <c r="APR230" s="31"/>
      <c r="APS230" s="31"/>
      <c r="APT230" s="31"/>
      <c r="APU230" s="31"/>
      <c r="APV230" s="31"/>
      <c r="APW230" s="31"/>
      <c r="APX230" s="31"/>
      <c r="APY230" s="31"/>
      <c r="APZ230" s="31"/>
      <c r="AQA230" s="31"/>
      <c r="AQB230" s="31"/>
      <c r="AQC230" s="31"/>
      <c r="AQD230" s="31"/>
      <c r="AQE230" s="31"/>
      <c r="AQF230" s="31"/>
      <c r="AQG230" s="31"/>
      <c r="AQH230" s="31"/>
      <c r="AQI230" s="31"/>
      <c r="AQJ230" s="31"/>
      <c r="AQK230" s="31"/>
      <c r="AQL230" s="31"/>
      <c r="AQM230" s="31"/>
      <c r="AQN230" s="31"/>
      <c r="AQO230" s="31"/>
      <c r="AQP230" s="31"/>
      <c r="AQQ230" s="31"/>
      <c r="AQR230" s="31"/>
      <c r="AQS230" s="31"/>
      <c r="AQT230" s="31"/>
      <c r="AQU230" s="31"/>
      <c r="AQV230" s="31"/>
      <c r="AQW230" s="31"/>
      <c r="AQX230" s="31"/>
      <c r="AQY230" s="31"/>
      <c r="AQZ230" s="31"/>
      <c r="ARA230" s="31"/>
      <c r="ARB230" s="31"/>
      <c r="ARC230" s="31"/>
      <c r="ARD230" s="31"/>
      <c r="ARE230" s="31"/>
      <c r="ARF230" s="31"/>
      <c r="ARG230" s="31"/>
      <c r="ARH230" s="31"/>
      <c r="ARI230" s="31"/>
      <c r="ARJ230" s="31"/>
      <c r="ARK230" s="31"/>
      <c r="ARL230" s="31"/>
      <c r="ARM230" s="31"/>
      <c r="ARN230" s="31"/>
      <c r="ARO230" s="31"/>
      <c r="ARP230" s="31"/>
      <c r="ARQ230" s="31"/>
      <c r="ARR230" s="31"/>
      <c r="ARS230" s="31"/>
      <c r="ART230" s="31"/>
      <c r="ARU230" s="31"/>
      <c r="ARV230" s="31"/>
      <c r="ARW230" s="31"/>
      <c r="ARX230" s="31"/>
      <c r="ARY230" s="31"/>
      <c r="ARZ230" s="31"/>
      <c r="ASA230" s="31"/>
      <c r="ASB230" s="31"/>
      <c r="ASC230" s="31"/>
      <c r="ASD230" s="31"/>
      <c r="ASE230" s="31"/>
      <c r="ASF230" s="31"/>
      <c r="ASG230" s="31"/>
      <c r="ASH230" s="31"/>
      <c r="ASI230" s="31"/>
      <c r="ASJ230" s="31"/>
      <c r="ASK230" s="31"/>
      <c r="ASL230" s="31"/>
      <c r="ASM230" s="31"/>
      <c r="ASN230" s="31"/>
      <c r="ASO230" s="31"/>
      <c r="ASP230" s="31"/>
      <c r="ASQ230" s="31"/>
      <c r="ASR230" s="31"/>
      <c r="ASS230" s="31"/>
      <c r="AST230" s="31"/>
      <c r="ASU230" s="31"/>
      <c r="ASV230" s="31"/>
      <c r="ASW230" s="31"/>
      <c r="ASX230" s="31"/>
      <c r="ASY230" s="31"/>
      <c r="ASZ230" s="31"/>
      <c r="ATA230" s="31"/>
      <c r="ATB230" s="31"/>
      <c r="ATC230" s="31"/>
      <c r="ATD230" s="31"/>
      <c r="ATE230" s="31"/>
    </row>
    <row r="231" spans="1:1201" s="34" customFormat="1" ht="15.75" customHeight="1" x14ac:dyDescent="0.3">
      <c r="A231" s="76"/>
      <c r="B231" s="76"/>
      <c r="C231" s="63"/>
      <c r="D231" s="63"/>
      <c r="E231" s="63"/>
      <c r="F231" s="156"/>
      <c r="G231" s="182"/>
      <c r="H231" s="655"/>
      <c r="I231" s="653"/>
      <c r="J231" s="653"/>
      <c r="K231" s="653"/>
      <c r="L231" s="653"/>
      <c r="M231" s="653"/>
      <c r="N231" s="653"/>
      <c r="O231" s="653"/>
      <c r="P231" s="653"/>
      <c r="Q231" s="653"/>
      <c r="R231" s="653"/>
      <c r="S231" s="653"/>
      <c r="T231" s="948"/>
      <c r="U231" s="948"/>
      <c r="V231" s="948"/>
      <c r="W231" s="948"/>
      <c r="X231" s="948"/>
      <c r="Y231" s="948"/>
      <c r="Z231" s="1098"/>
      <c r="AA231" s="1098"/>
      <c r="AB231" s="1098"/>
      <c r="AC231" s="1098"/>
      <c r="AD231" s="1098"/>
      <c r="AE231" s="1147">
        <f>AE229-AE230</f>
        <v>10609989.549999999</v>
      </c>
      <c r="AF231" s="1098">
        <f>AF228-'MXD BS'!O124</f>
        <v>0</v>
      </c>
      <c r="AG231" s="1098">
        <f>AG228-'MXD BS'!P124</f>
        <v>0</v>
      </c>
      <c r="AH231" s="1098">
        <f>AH228-'MXD BS'!Q124</f>
        <v>0</v>
      </c>
      <c r="AI231" s="1098">
        <f>AI228-'MXD BS'!R124</f>
        <v>0</v>
      </c>
      <c r="AJ231" s="1098">
        <f>AJ228-'MXD BS'!S124</f>
        <v>0</v>
      </c>
      <c r="AK231" s="1098">
        <f>AK228-'MXD BS'!T124-'HEC Financials'!AZ205</f>
        <v>0</v>
      </c>
      <c r="AL231" s="1098">
        <f>ROUND(AL228-'MXD BS'!U124-'HEC Financials'!BA205,0)</f>
        <v>0</v>
      </c>
      <c r="AM231" s="1098">
        <f>AM228-'MXD BS'!V124-'HEC Financials'!BB205</f>
        <v>0</v>
      </c>
      <c r="AN231" s="1098">
        <f>AN228-'MXD BS'!W124-'HEC Financials'!BC205</f>
        <v>1.8553691916167736E-10</v>
      </c>
      <c r="AO231" s="1098">
        <f>AO228-'MXD BS'!X124-'HEC Financials'!BD205</f>
        <v>2.0372681319713593E-10</v>
      </c>
      <c r="AP231" s="653"/>
      <c r="AQ231" s="653"/>
      <c r="AR231" s="1647"/>
      <c r="AS231" s="653"/>
      <c r="AT231" s="653"/>
      <c r="AU231" s="653"/>
      <c r="AV231" s="653"/>
      <c r="AW231" s="653"/>
      <c r="AX231" s="653"/>
      <c r="AY231" s="653"/>
      <c r="AZ231" s="653"/>
      <c r="BA231" s="653"/>
      <c r="BB231" s="653"/>
      <c r="BC231" s="653"/>
      <c r="BE231" s="1208"/>
      <c r="BF231" s="948"/>
      <c r="BG231" s="1208"/>
      <c r="BH231" s="31"/>
      <c r="BI231" s="31"/>
      <c r="BJ231" s="31"/>
      <c r="BK231" s="31"/>
      <c r="BL231" s="31"/>
      <c r="BM231" s="31"/>
      <c r="BN231" s="31"/>
      <c r="BO231" s="31"/>
      <c r="BP231" s="31"/>
      <c r="BQ231" s="31"/>
      <c r="BR231" s="31"/>
      <c r="BS231" s="31"/>
      <c r="BT231" s="31"/>
      <c r="BU231" s="31"/>
      <c r="BV231" s="31"/>
      <c r="BW231" s="31"/>
      <c r="BX231" s="31"/>
      <c r="BY231" s="31"/>
      <c r="BZ231" s="31"/>
      <c r="CA231" s="31"/>
      <c r="CB231" s="31"/>
      <c r="CC231" s="31"/>
      <c r="CD231" s="31"/>
      <c r="CE231" s="31"/>
      <c r="CF231" s="31"/>
      <c r="CG231" s="31"/>
      <c r="CH231" s="31"/>
      <c r="CI231" s="31"/>
      <c r="CJ231" s="31"/>
      <c r="CK231" s="31"/>
      <c r="CL231" s="31"/>
      <c r="CM231" s="31"/>
      <c r="CN231" s="31"/>
      <c r="CO231" s="31"/>
      <c r="CP231" s="31"/>
      <c r="CQ231" s="31"/>
      <c r="CR231" s="31"/>
      <c r="CS231" s="31"/>
      <c r="CT231" s="31"/>
      <c r="CU231" s="31"/>
      <c r="CV231" s="31"/>
      <c r="CW231" s="31"/>
      <c r="CX231" s="31"/>
      <c r="CY231" s="31"/>
      <c r="CZ231" s="31"/>
      <c r="DA231" s="31"/>
      <c r="DB231" s="31"/>
      <c r="DC231" s="31"/>
      <c r="DD231" s="31"/>
      <c r="DE231" s="31"/>
      <c r="DF231" s="31"/>
      <c r="DG231" s="31"/>
      <c r="DH231" s="31"/>
      <c r="DI231" s="31"/>
      <c r="DJ231" s="31"/>
      <c r="DK231" s="31"/>
      <c r="DL231" s="31"/>
      <c r="DM231" s="31"/>
      <c r="DN231" s="31"/>
      <c r="DO231" s="31"/>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c r="EX231" s="31"/>
      <c r="EY231" s="31"/>
      <c r="EZ231" s="31"/>
      <c r="FA231" s="31"/>
      <c r="FB231" s="31"/>
      <c r="FC231" s="31"/>
      <c r="FD231" s="31"/>
      <c r="FE231" s="31"/>
      <c r="FF231" s="31"/>
      <c r="FG231" s="31"/>
      <c r="FH231" s="31"/>
      <c r="FI231" s="31"/>
      <c r="FJ231" s="31"/>
      <c r="FK231" s="31"/>
      <c r="FL231" s="31"/>
      <c r="FM231" s="31"/>
      <c r="FN231" s="31"/>
      <c r="FO231" s="31"/>
      <c r="FP231" s="31"/>
      <c r="FQ231" s="31"/>
      <c r="FR231" s="31"/>
      <c r="FS231" s="31"/>
      <c r="FT231" s="31"/>
      <c r="FU231" s="31"/>
      <c r="FV231" s="31"/>
      <c r="FW231" s="31"/>
      <c r="FX231" s="31"/>
      <c r="FY231" s="31"/>
      <c r="FZ231" s="31"/>
      <c r="GA231" s="31"/>
      <c r="GB231" s="31"/>
      <c r="GC231" s="31"/>
      <c r="GD231" s="31"/>
      <c r="GE231" s="31"/>
      <c r="GF231" s="31"/>
      <c r="GG231" s="31"/>
      <c r="GH231" s="31"/>
      <c r="GI231" s="31"/>
      <c r="GJ231" s="31"/>
      <c r="GK231" s="31"/>
      <c r="GL231" s="31"/>
      <c r="GM231" s="31"/>
      <c r="GN231" s="31"/>
      <c r="GO231" s="31"/>
      <c r="GP231" s="31"/>
      <c r="GQ231" s="31"/>
      <c r="GR231" s="31"/>
      <c r="GS231" s="31"/>
      <c r="GT231" s="31"/>
      <c r="GU231" s="31"/>
      <c r="GV231" s="31"/>
      <c r="GW231" s="31"/>
      <c r="GX231" s="31"/>
      <c r="GY231" s="31"/>
      <c r="GZ231" s="31"/>
      <c r="HA231" s="31"/>
      <c r="HB231" s="31"/>
      <c r="HC231" s="31"/>
      <c r="HD231" s="31"/>
      <c r="HE231" s="31"/>
      <c r="HF231" s="31"/>
      <c r="HG231" s="31"/>
      <c r="HH231" s="31"/>
      <c r="HI231" s="31"/>
      <c r="HJ231" s="31"/>
      <c r="HK231" s="31"/>
      <c r="HL231" s="31"/>
      <c r="HM231" s="31"/>
      <c r="HN231" s="31"/>
      <c r="HO231" s="31"/>
      <c r="HP231" s="31"/>
      <c r="HQ231" s="31"/>
      <c r="HR231" s="31"/>
      <c r="HS231" s="31"/>
      <c r="HT231" s="31"/>
      <c r="HU231" s="31"/>
      <c r="HV231" s="31"/>
      <c r="HW231" s="31"/>
      <c r="HX231" s="31"/>
      <c r="HY231" s="31"/>
      <c r="HZ231" s="31"/>
      <c r="IA231" s="31"/>
      <c r="IB231" s="31"/>
      <c r="IC231" s="31"/>
      <c r="ID231" s="31"/>
      <c r="IE231" s="31"/>
      <c r="IF231" s="31"/>
      <c r="IG231" s="31"/>
      <c r="IH231" s="31"/>
      <c r="II231" s="31"/>
      <c r="IJ231" s="31"/>
      <c r="IK231" s="31"/>
      <c r="IL231" s="31"/>
      <c r="IM231" s="31"/>
      <c r="IN231" s="31"/>
      <c r="IO231" s="31"/>
      <c r="IP231" s="31"/>
      <c r="IQ231" s="31"/>
      <c r="IR231" s="31"/>
      <c r="IS231" s="31"/>
      <c r="IT231" s="31"/>
      <c r="IU231" s="31"/>
      <c r="IV231" s="31"/>
      <c r="IW231" s="31"/>
      <c r="IX231" s="31"/>
      <c r="IY231" s="31"/>
      <c r="IZ231" s="31"/>
      <c r="JA231" s="31"/>
      <c r="JB231" s="31"/>
      <c r="JC231" s="31"/>
      <c r="JD231" s="31"/>
      <c r="JE231" s="31"/>
      <c r="JF231" s="31"/>
      <c r="JG231" s="31"/>
      <c r="JH231" s="31"/>
      <c r="JI231" s="31"/>
      <c r="JJ231" s="31"/>
      <c r="JK231" s="31"/>
      <c r="JL231" s="31"/>
      <c r="JM231" s="31"/>
      <c r="JN231" s="31"/>
      <c r="JO231" s="31"/>
      <c r="JP231" s="31"/>
      <c r="JQ231" s="31"/>
      <c r="JR231" s="31"/>
      <c r="JS231" s="31"/>
      <c r="JT231" s="31"/>
      <c r="JU231" s="31"/>
      <c r="JV231" s="31"/>
      <c r="JW231" s="31"/>
      <c r="JX231" s="31"/>
      <c r="JY231" s="31"/>
      <c r="JZ231" s="31"/>
      <c r="KA231" s="31"/>
      <c r="KB231" s="31"/>
      <c r="KC231" s="31"/>
      <c r="KD231" s="31"/>
      <c r="KE231" s="31"/>
      <c r="KF231" s="31"/>
      <c r="KG231" s="31"/>
      <c r="KH231" s="31"/>
      <c r="KI231" s="31"/>
      <c r="KJ231" s="31"/>
      <c r="KK231" s="31"/>
      <c r="KL231" s="31"/>
      <c r="KM231" s="31"/>
      <c r="KN231" s="31"/>
      <c r="KO231" s="31"/>
      <c r="KP231" s="31"/>
      <c r="KQ231" s="31"/>
      <c r="KR231" s="31"/>
      <c r="KS231" s="31"/>
      <c r="KT231" s="31"/>
      <c r="KU231" s="31"/>
      <c r="KV231" s="31"/>
      <c r="KW231" s="31"/>
      <c r="KX231" s="31"/>
      <c r="KY231" s="31"/>
      <c r="KZ231" s="31"/>
      <c r="LA231" s="31"/>
      <c r="LB231" s="31"/>
      <c r="LC231" s="31"/>
      <c r="LD231" s="31"/>
      <c r="LE231" s="31"/>
      <c r="LF231" s="31"/>
      <c r="LG231" s="31"/>
      <c r="LH231" s="31"/>
      <c r="LI231" s="31"/>
      <c r="LJ231" s="31"/>
      <c r="LK231" s="31"/>
      <c r="LL231" s="31"/>
      <c r="LM231" s="31"/>
      <c r="LN231" s="31"/>
      <c r="LO231" s="31"/>
      <c r="LP231" s="31"/>
      <c r="LQ231" s="31"/>
      <c r="LR231" s="31"/>
      <c r="LS231" s="31"/>
      <c r="LT231" s="31"/>
      <c r="LU231" s="31"/>
      <c r="LV231" s="31"/>
      <c r="LW231" s="31"/>
      <c r="LX231" s="31"/>
      <c r="LY231" s="31"/>
      <c r="LZ231" s="31"/>
      <c r="MA231" s="31"/>
      <c r="MB231" s="31"/>
      <c r="MC231" s="31"/>
      <c r="MD231" s="31"/>
      <c r="ME231" s="31"/>
      <c r="MF231" s="31"/>
      <c r="MG231" s="31"/>
      <c r="MH231" s="31"/>
      <c r="MI231" s="31"/>
      <c r="MJ231" s="31"/>
      <c r="MK231" s="31"/>
      <c r="ML231" s="31"/>
      <c r="MM231" s="31"/>
      <c r="MN231" s="31"/>
      <c r="MO231" s="31"/>
      <c r="MP231" s="31"/>
      <c r="MQ231" s="31"/>
      <c r="MR231" s="31"/>
      <c r="MS231" s="31"/>
      <c r="MT231" s="31"/>
      <c r="MU231" s="31"/>
      <c r="MV231" s="31"/>
      <c r="MW231" s="31"/>
      <c r="MX231" s="31"/>
      <c r="MY231" s="31"/>
      <c r="MZ231" s="31"/>
      <c r="NA231" s="31"/>
      <c r="NB231" s="31"/>
      <c r="NC231" s="31"/>
      <c r="ND231" s="31"/>
      <c r="NE231" s="31"/>
      <c r="NF231" s="31"/>
      <c r="NG231" s="31"/>
      <c r="NH231" s="31"/>
      <c r="NI231" s="31"/>
      <c r="NJ231" s="31"/>
      <c r="NK231" s="31"/>
      <c r="NL231" s="31"/>
      <c r="NM231" s="31"/>
      <c r="NN231" s="31"/>
      <c r="NO231" s="31"/>
      <c r="NP231" s="31"/>
      <c r="NQ231" s="31"/>
      <c r="NR231" s="31"/>
      <c r="NS231" s="31"/>
      <c r="NT231" s="31"/>
      <c r="NU231" s="31"/>
      <c r="NV231" s="31"/>
      <c r="NW231" s="31"/>
      <c r="NX231" s="31"/>
      <c r="NY231" s="31"/>
      <c r="NZ231" s="31"/>
      <c r="OA231" s="31"/>
      <c r="OB231" s="31"/>
      <c r="OC231" s="31"/>
      <c r="OD231" s="31"/>
      <c r="OE231" s="31"/>
      <c r="OF231" s="31"/>
      <c r="OG231" s="31"/>
      <c r="OH231" s="31"/>
      <c r="OI231" s="31"/>
      <c r="OJ231" s="31"/>
      <c r="OK231" s="31"/>
      <c r="OL231" s="31"/>
      <c r="OM231" s="31"/>
      <c r="ON231" s="31"/>
      <c r="OO231" s="31"/>
      <c r="OP231" s="31"/>
      <c r="OQ231" s="31"/>
      <c r="OR231" s="31"/>
      <c r="OS231" s="31"/>
      <c r="OT231" s="31"/>
      <c r="OU231" s="31"/>
      <c r="OV231" s="31"/>
      <c r="OW231" s="31"/>
      <c r="OX231" s="31"/>
      <c r="OY231" s="31"/>
      <c r="OZ231" s="31"/>
      <c r="PA231" s="31"/>
      <c r="PB231" s="31"/>
      <c r="PC231" s="31"/>
      <c r="PD231" s="31"/>
      <c r="PE231" s="31"/>
      <c r="PF231" s="31"/>
      <c r="PG231" s="31"/>
      <c r="PH231" s="31"/>
      <c r="PI231" s="31"/>
      <c r="PJ231" s="31"/>
      <c r="PK231" s="31"/>
      <c r="PL231" s="31"/>
      <c r="PM231" s="31"/>
      <c r="PN231" s="31"/>
      <c r="PO231" s="31"/>
      <c r="PP231" s="31"/>
      <c r="PQ231" s="31"/>
      <c r="PR231" s="31"/>
      <c r="PS231" s="31"/>
      <c r="PT231" s="31"/>
      <c r="PU231" s="31"/>
      <c r="PV231" s="31"/>
      <c r="PW231" s="31"/>
      <c r="PX231" s="31"/>
      <c r="PY231" s="31"/>
      <c r="PZ231" s="31"/>
      <c r="QA231" s="31"/>
      <c r="QB231" s="31"/>
      <c r="QC231" s="31"/>
      <c r="QD231" s="31"/>
      <c r="QE231" s="31"/>
      <c r="QF231" s="31"/>
      <c r="QG231" s="31"/>
      <c r="QH231" s="31"/>
      <c r="QI231" s="31"/>
      <c r="QJ231" s="31"/>
      <c r="QK231" s="31"/>
      <c r="QL231" s="31"/>
      <c r="QM231" s="31"/>
      <c r="QN231" s="31"/>
      <c r="QO231" s="31"/>
      <c r="QP231" s="31"/>
      <c r="QQ231" s="31"/>
      <c r="QR231" s="31"/>
      <c r="QS231" s="31"/>
      <c r="QT231" s="31"/>
      <c r="QU231" s="31"/>
      <c r="QV231" s="31"/>
      <c r="QW231" s="31"/>
      <c r="QX231" s="31"/>
      <c r="QY231" s="31"/>
      <c r="QZ231" s="31"/>
      <c r="RA231" s="31"/>
      <c r="RB231" s="31"/>
      <c r="RC231" s="31"/>
      <c r="RD231" s="31"/>
      <c r="RE231" s="31"/>
      <c r="RF231" s="31"/>
      <c r="RG231" s="31"/>
      <c r="RH231" s="31"/>
      <c r="RI231" s="31"/>
      <c r="RJ231" s="31"/>
      <c r="RK231" s="31"/>
      <c r="RL231" s="31"/>
      <c r="RM231" s="31"/>
      <c r="RN231" s="31"/>
      <c r="RO231" s="31"/>
      <c r="RP231" s="31"/>
      <c r="RQ231" s="31"/>
      <c r="RR231" s="31"/>
      <c r="RS231" s="31"/>
      <c r="RT231" s="31"/>
      <c r="RU231" s="31"/>
      <c r="RV231" s="31"/>
      <c r="RW231" s="31"/>
      <c r="RX231" s="31"/>
      <c r="RY231" s="31"/>
      <c r="RZ231" s="31"/>
      <c r="SA231" s="31"/>
      <c r="SB231" s="31"/>
      <c r="SC231" s="31"/>
      <c r="SD231" s="31"/>
      <c r="SE231" s="31"/>
      <c r="SF231" s="31"/>
      <c r="SG231" s="31"/>
      <c r="SH231" s="31"/>
      <c r="SI231" s="31"/>
      <c r="SJ231" s="31"/>
      <c r="SK231" s="31"/>
      <c r="SL231" s="31"/>
      <c r="SM231" s="31"/>
      <c r="SN231" s="31"/>
      <c r="SO231" s="31"/>
      <c r="SP231" s="31"/>
      <c r="SQ231" s="31"/>
      <c r="SR231" s="31"/>
      <c r="SS231" s="31"/>
      <c r="ST231" s="31"/>
      <c r="SU231" s="31"/>
      <c r="SV231" s="31"/>
      <c r="SW231" s="31"/>
      <c r="SX231" s="31"/>
      <c r="SY231" s="31"/>
      <c r="SZ231" s="31"/>
      <c r="TA231" s="31"/>
      <c r="TB231" s="31"/>
      <c r="TC231" s="31"/>
      <c r="TD231" s="31"/>
      <c r="TE231" s="31"/>
      <c r="TF231" s="31"/>
      <c r="TG231" s="31"/>
      <c r="TH231" s="31"/>
      <c r="TI231" s="31"/>
      <c r="TJ231" s="31"/>
      <c r="TK231" s="31"/>
      <c r="TL231" s="31"/>
      <c r="TM231" s="31"/>
      <c r="TN231" s="31"/>
      <c r="TO231" s="31"/>
      <c r="TP231" s="31"/>
      <c r="TQ231" s="31"/>
      <c r="TR231" s="31"/>
      <c r="TS231" s="31"/>
      <c r="TT231" s="31"/>
      <c r="TU231" s="31"/>
      <c r="TV231" s="31"/>
      <c r="TW231" s="31"/>
      <c r="TX231" s="31"/>
      <c r="TY231" s="31"/>
      <c r="TZ231" s="31"/>
      <c r="UA231" s="31"/>
      <c r="UB231" s="31"/>
      <c r="UC231" s="31"/>
      <c r="UD231" s="31"/>
      <c r="UE231" s="31"/>
      <c r="UF231" s="31"/>
      <c r="UG231" s="31"/>
      <c r="UH231" s="31"/>
      <c r="UI231" s="31"/>
      <c r="UJ231" s="31"/>
      <c r="UK231" s="31"/>
      <c r="UL231" s="31"/>
      <c r="UM231" s="31"/>
      <c r="UN231" s="31"/>
      <c r="UO231" s="31"/>
      <c r="UP231" s="31"/>
      <c r="UQ231" s="31"/>
      <c r="UR231" s="31"/>
      <c r="US231" s="31"/>
      <c r="UT231" s="31"/>
      <c r="UU231" s="31"/>
      <c r="UV231" s="31"/>
      <c r="UW231" s="31"/>
      <c r="UX231" s="31"/>
      <c r="UY231" s="31"/>
      <c r="UZ231" s="31"/>
      <c r="VA231" s="31"/>
      <c r="VB231" s="31"/>
      <c r="VC231" s="31"/>
      <c r="VD231" s="31"/>
      <c r="VE231" s="31"/>
      <c r="VF231" s="31"/>
      <c r="VG231" s="31"/>
      <c r="VH231" s="31"/>
      <c r="VI231" s="31"/>
      <c r="VJ231" s="31"/>
      <c r="VK231" s="31"/>
      <c r="VL231" s="31"/>
      <c r="VM231" s="31"/>
      <c r="VN231" s="31"/>
      <c r="VO231" s="31"/>
      <c r="VP231" s="31"/>
      <c r="VQ231" s="31"/>
      <c r="VR231" s="31"/>
      <c r="VS231" s="31"/>
      <c r="VT231" s="31"/>
      <c r="VU231" s="31"/>
      <c r="VV231" s="31"/>
      <c r="VW231" s="31"/>
      <c r="VX231" s="31"/>
      <c r="VY231" s="31"/>
      <c r="VZ231" s="31"/>
      <c r="WA231" s="31"/>
      <c r="WB231" s="31"/>
      <c r="WC231" s="31"/>
      <c r="WD231" s="31"/>
      <c r="WE231" s="31"/>
      <c r="WF231" s="31"/>
      <c r="WG231" s="31"/>
      <c r="WH231" s="31"/>
      <c r="WI231" s="31"/>
      <c r="WJ231" s="31"/>
      <c r="WK231" s="31"/>
      <c r="WL231" s="31"/>
      <c r="WM231" s="31"/>
      <c r="WN231" s="31"/>
      <c r="WO231" s="31"/>
      <c r="WP231" s="31"/>
      <c r="WQ231" s="31"/>
      <c r="WR231" s="31"/>
      <c r="WS231" s="31"/>
      <c r="WT231" s="31"/>
      <c r="WU231" s="31"/>
      <c r="WV231" s="31"/>
      <c r="WW231" s="31"/>
      <c r="WX231" s="31"/>
      <c r="WY231" s="31"/>
      <c r="WZ231" s="31"/>
      <c r="XA231" s="31"/>
      <c r="XB231" s="31"/>
      <c r="XC231" s="31"/>
      <c r="XD231" s="31"/>
      <c r="XE231" s="31"/>
      <c r="XF231" s="31"/>
      <c r="XG231" s="31"/>
      <c r="XH231" s="31"/>
      <c r="XI231" s="31"/>
      <c r="XJ231" s="31"/>
      <c r="XK231" s="31"/>
      <c r="XL231" s="31"/>
      <c r="XM231" s="31"/>
      <c r="XN231" s="31"/>
      <c r="XO231" s="31"/>
      <c r="XP231" s="31"/>
      <c r="XQ231" s="31"/>
      <c r="XR231" s="31"/>
      <c r="XS231" s="31"/>
      <c r="XT231" s="31"/>
      <c r="XU231" s="31"/>
      <c r="XV231" s="31"/>
      <c r="XW231" s="31"/>
      <c r="XX231" s="31"/>
      <c r="XY231" s="31"/>
      <c r="XZ231" s="31"/>
      <c r="YA231" s="31"/>
      <c r="YB231" s="31"/>
      <c r="YC231" s="31"/>
      <c r="YD231" s="31"/>
      <c r="YE231" s="31"/>
      <c r="YF231" s="31"/>
      <c r="YG231" s="31"/>
      <c r="YH231" s="31"/>
      <c r="YI231" s="31"/>
      <c r="YJ231" s="31"/>
      <c r="YK231" s="31"/>
      <c r="YL231" s="31"/>
      <c r="YM231" s="31"/>
      <c r="YN231" s="31"/>
      <c r="YO231" s="31"/>
      <c r="YP231" s="31"/>
      <c r="YQ231" s="31"/>
      <c r="YR231" s="31"/>
      <c r="YS231" s="31"/>
      <c r="YT231" s="31"/>
      <c r="YU231" s="31"/>
      <c r="YV231" s="31"/>
      <c r="YW231" s="31"/>
      <c r="YX231" s="31"/>
      <c r="YY231" s="31"/>
      <c r="YZ231" s="31"/>
      <c r="ZA231" s="31"/>
      <c r="ZB231" s="31"/>
      <c r="ZC231" s="31"/>
      <c r="ZD231" s="31"/>
      <c r="ZE231" s="31"/>
      <c r="ZF231" s="31"/>
      <c r="ZG231" s="31"/>
      <c r="ZH231" s="31"/>
      <c r="ZI231" s="31"/>
      <c r="ZJ231" s="31"/>
      <c r="ZK231" s="31"/>
      <c r="ZL231" s="31"/>
      <c r="ZM231" s="31"/>
      <c r="ZN231" s="31"/>
      <c r="ZO231" s="31"/>
      <c r="ZP231" s="31"/>
      <c r="ZQ231" s="31"/>
      <c r="ZR231" s="31"/>
      <c r="ZS231" s="31"/>
      <c r="ZT231" s="31"/>
      <c r="ZU231" s="31"/>
      <c r="ZV231" s="31"/>
      <c r="ZW231" s="31"/>
      <c r="ZX231" s="31"/>
      <c r="ZY231" s="31"/>
      <c r="ZZ231" s="31"/>
      <c r="AAA231" s="31"/>
      <c r="AAB231" s="31"/>
      <c r="AAC231" s="31"/>
      <c r="AAD231" s="31"/>
      <c r="AAE231" s="31"/>
      <c r="AAF231" s="31"/>
      <c r="AAG231" s="31"/>
      <c r="AAH231" s="31"/>
      <c r="AAI231" s="31"/>
      <c r="AAJ231" s="31"/>
      <c r="AAK231" s="31"/>
      <c r="AAL231" s="31"/>
      <c r="AAM231" s="31"/>
      <c r="AAN231" s="31"/>
      <c r="AAO231" s="31"/>
      <c r="AAP231" s="31"/>
      <c r="AAQ231" s="31"/>
      <c r="AAR231" s="31"/>
      <c r="AAS231" s="31"/>
      <c r="AAT231" s="31"/>
      <c r="AAU231" s="31"/>
      <c r="AAV231" s="31"/>
      <c r="AAW231" s="31"/>
      <c r="AAX231" s="31"/>
      <c r="AAY231" s="31"/>
      <c r="AAZ231" s="31"/>
      <c r="ABA231" s="31"/>
      <c r="ABB231" s="31"/>
      <c r="ABC231" s="31"/>
      <c r="ABD231" s="31"/>
      <c r="ABE231" s="31"/>
      <c r="ABF231" s="31"/>
      <c r="ABG231" s="31"/>
      <c r="ABH231" s="31"/>
      <c r="ABI231" s="31"/>
      <c r="ABJ231" s="31"/>
      <c r="ABK231" s="31"/>
      <c r="ABL231" s="31"/>
      <c r="ABM231" s="31"/>
      <c r="ABN231" s="31"/>
      <c r="ABO231" s="31"/>
      <c r="ABP231" s="31"/>
      <c r="ABQ231" s="31"/>
      <c r="ABR231" s="31"/>
      <c r="ABS231" s="31"/>
      <c r="ABT231" s="31"/>
      <c r="ABU231" s="31"/>
      <c r="ABV231" s="31"/>
      <c r="ABW231" s="31"/>
      <c r="ABX231" s="31"/>
      <c r="ABY231" s="31"/>
      <c r="ABZ231" s="31"/>
      <c r="ACA231" s="31"/>
      <c r="ACB231" s="31"/>
      <c r="ACC231" s="31"/>
      <c r="ACD231" s="31"/>
      <c r="ACE231" s="31"/>
      <c r="ACF231" s="31"/>
      <c r="ACG231" s="31"/>
      <c r="ACH231" s="31"/>
      <c r="ACI231" s="31"/>
      <c r="ACJ231" s="31"/>
      <c r="ACK231" s="31"/>
      <c r="ACL231" s="31"/>
      <c r="ACM231" s="31"/>
      <c r="ACN231" s="31"/>
      <c r="ACO231" s="31"/>
      <c r="ACP231" s="31"/>
      <c r="ACQ231" s="31"/>
      <c r="ACR231" s="31"/>
      <c r="ACS231" s="31"/>
      <c r="ACT231" s="31"/>
      <c r="ACU231" s="31"/>
      <c r="ACV231" s="31"/>
      <c r="ACW231" s="31"/>
      <c r="ACX231" s="31"/>
      <c r="ACY231" s="31"/>
      <c r="ACZ231" s="31"/>
      <c r="ADA231" s="31"/>
      <c r="ADB231" s="31"/>
      <c r="ADC231" s="31"/>
      <c r="ADD231" s="31"/>
      <c r="ADE231" s="31"/>
      <c r="ADF231" s="31"/>
      <c r="ADG231" s="31"/>
      <c r="ADH231" s="31"/>
      <c r="ADI231" s="31"/>
      <c r="ADJ231" s="31"/>
      <c r="ADK231" s="31"/>
      <c r="ADL231" s="31"/>
      <c r="ADM231" s="31"/>
      <c r="ADN231" s="31"/>
      <c r="ADO231" s="31"/>
      <c r="ADP231" s="31"/>
      <c r="ADQ231" s="31"/>
      <c r="ADR231" s="31"/>
      <c r="ADS231" s="31"/>
      <c r="ADT231" s="31"/>
      <c r="ADU231" s="31"/>
      <c r="ADV231" s="31"/>
      <c r="ADW231" s="31"/>
      <c r="ADX231" s="31"/>
      <c r="ADY231" s="31"/>
      <c r="ADZ231" s="31"/>
      <c r="AEA231" s="31"/>
      <c r="AEB231" s="31"/>
      <c r="AEC231" s="31"/>
      <c r="AED231" s="31"/>
      <c r="AEE231" s="31"/>
      <c r="AEF231" s="31"/>
      <c r="AEG231" s="31"/>
      <c r="AEH231" s="31"/>
      <c r="AEI231" s="31"/>
      <c r="AEJ231" s="31"/>
      <c r="AEK231" s="31"/>
      <c r="AEL231" s="31"/>
      <c r="AEM231" s="31"/>
      <c r="AEN231" s="31"/>
      <c r="AEO231" s="31"/>
      <c r="AEP231" s="31"/>
      <c r="AEQ231" s="31"/>
      <c r="AER231" s="31"/>
      <c r="AES231" s="31"/>
      <c r="AET231" s="31"/>
      <c r="AEU231" s="31"/>
      <c r="AEV231" s="31"/>
      <c r="AEW231" s="31"/>
      <c r="AEX231" s="31"/>
      <c r="AEY231" s="31"/>
      <c r="AEZ231" s="31"/>
      <c r="AFA231" s="31"/>
      <c r="AFB231" s="31"/>
      <c r="AFC231" s="31"/>
      <c r="AFD231" s="31"/>
      <c r="AFE231" s="31"/>
      <c r="AFF231" s="31"/>
      <c r="AFG231" s="31"/>
      <c r="AFH231" s="31"/>
      <c r="AFI231" s="31"/>
      <c r="AFJ231" s="31"/>
      <c r="AFK231" s="31"/>
      <c r="AFL231" s="31"/>
      <c r="AFM231" s="31"/>
      <c r="AFN231" s="31"/>
      <c r="AFO231" s="31"/>
      <c r="AFP231" s="31"/>
      <c r="AFQ231" s="31"/>
      <c r="AFR231" s="31"/>
      <c r="AFS231" s="31"/>
      <c r="AFT231" s="31"/>
      <c r="AFU231" s="31"/>
      <c r="AFV231" s="31"/>
      <c r="AFW231" s="31"/>
      <c r="AFX231" s="31"/>
      <c r="AFY231" s="31"/>
      <c r="AFZ231" s="31"/>
      <c r="AGA231" s="31"/>
      <c r="AGB231" s="31"/>
      <c r="AGC231" s="31"/>
      <c r="AGD231" s="31"/>
      <c r="AGE231" s="31"/>
      <c r="AGF231" s="31"/>
      <c r="AGG231" s="31"/>
      <c r="AGH231" s="31"/>
      <c r="AGI231" s="31"/>
      <c r="AGJ231" s="31"/>
      <c r="AGK231" s="31"/>
      <c r="AGL231" s="31"/>
      <c r="AGM231" s="31"/>
      <c r="AGN231" s="31"/>
      <c r="AGO231" s="31"/>
      <c r="AGP231" s="31"/>
      <c r="AGQ231" s="31"/>
      <c r="AGR231" s="31"/>
      <c r="AGS231" s="31"/>
      <c r="AGT231" s="31"/>
      <c r="AGU231" s="31"/>
      <c r="AGV231" s="31"/>
      <c r="AGW231" s="31"/>
      <c r="AGX231" s="31"/>
      <c r="AGY231" s="31"/>
      <c r="AGZ231" s="31"/>
      <c r="AHA231" s="31"/>
      <c r="AHB231" s="31"/>
      <c r="AHC231" s="31"/>
      <c r="AHD231" s="31"/>
      <c r="AHE231" s="31"/>
      <c r="AHF231" s="31"/>
      <c r="AHG231" s="31"/>
      <c r="AHH231" s="31"/>
      <c r="AHI231" s="31"/>
      <c r="AHJ231" s="31"/>
      <c r="AHK231" s="31"/>
      <c r="AHL231" s="31"/>
      <c r="AHM231" s="31"/>
      <c r="AHN231" s="31"/>
      <c r="AHO231" s="31"/>
      <c r="AHP231" s="31"/>
      <c r="AHQ231" s="31"/>
      <c r="AHR231" s="31"/>
      <c r="AHS231" s="31"/>
      <c r="AHT231" s="31"/>
      <c r="AHU231" s="31"/>
      <c r="AHV231" s="31"/>
      <c r="AHW231" s="31"/>
      <c r="AHX231" s="31"/>
      <c r="AHY231" s="31"/>
      <c r="AHZ231" s="31"/>
      <c r="AIA231" s="31"/>
      <c r="AIB231" s="31"/>
      <c r="AIC231" s="31"/>
      <c r="AID231" s="31"/>
      <c r="AIE231" s="31"/>
      <c r="AIF231" s="31"/>
      <c r="AIG231" s="31"/>
      <c r="AIH231" s="31"/>
      <c r="AII231" s="31"/>
      <c r="AIJ231" s="31"/>
      <c r="AIK231" s="31"/>
      <c r="AIL231" s="31"/>
      <c r="AIM231" s="31"/>
      <c r="AIN231" s="31"/>
      <c r="AIO231" s="31"/>
      <c r="AIP231" s="31"/>
      <c r="AIQ231" s="31"/>
      <c r="AIR231" s="31"/>
      <c r="AIS231" s="31"/>
      <c r="AIT231" s="31"/>
      <c r="AIU231" s="31"/>
      <c r="AIV231" s="31"/>
      <c r="AIW231" s="31"/>
      <c r="AIX231" s="31"/>
      <c r="AIY231" s="31"/>
      <c r="AIZ231" s="31"/>
      <c r="AJA231" s="31"/>
      <c r="AJB231" s="31"/>
      <c r="AJC231" s="31"/>
      <c r="AJD231" s="31"/>
      <c r="AJE231" s="31"/>
      <c r="AJF231" s="31"/>
      <c r="AJG231" s="31"/>
      <c r="AJH231" s="31"/>
      <c r="AJI231" s="31"/>
      <c r="AJJ231" s="31"/>
      <c r="AJK231" s="31"/>
      <c r="AJL231" s="31"/>
      <c r="AJM231" s="31"/>
      <c r="AJN231" s="31"/>
      <c r="AJO231" s="31"/>
      <c r="AJP231" s="31"/>
      <c r="AJQ231" s="31"/>
      <c r="AJR231" s="31"/>
      <c r="AJS231" s="31"/>
      <c r="AJT231" s="31"/>
      <c r="AJU231" s="31"/>
      <c r="AJV231" s="31"/>
      <c r="AJW231" s="31"/>
      <c r="AJX231" s="31"/>
      <c r="AJY231" s="31"/>
      <c r="AJZ231" s="31"/>
      <c r="AKA231" s="31"/>
      <c r="AKB231" s="31"/>
      <c r="AKC231" s="31"/>
      <c r="AKD231" s="31"/>
      <c r="AKE231" s="31"/>
      <c r="AKF231" s="31"/>
      <c r="AKG231" s="31"/>
      <c r="AKH231" s="31"/>
      <c r="AKI231" s="31"/>
      <c r="AKJ231" s="31"/>
      <c r="AKK231" s="31"/>
      <c r="AKL231" s="31"/>
      <c r="AKM231" s="31"/>
      <c r="AKN231" s="31"/>
      <c r="AKO231" s="31"/>
      <c r="AKP231" s="31"/>
      <c r="AKQ231" s="31"/>
      <c r="AKR231" s="31"/>
      <c r="AKS231" s="31"/>
      <c r="AKT231" s="31"/>
      <c r="AKU231" s="31"/>
      <c r="AKV231" s="31"/>
      <c r="AKW231" s="31"/>
      <c r="AKX231" s="31"/>
      <c r="AKY231" s="31"/>
      <c r="AKZ231" s="31"/>
      <c r="ALA231" s="31"/>
      <c r="ALB231" s="31"/>
      <c r="ALC231" s="31"/>
      <c r="ALD231" s="31"/>
      <c r="ALE231" s="31"/>
      <c r="ALF231" s="31"/>
      <c r="ALG231" s="31"/>
      <c r="ALH231" s="31"/>
      <c r="ALI231" s="31"/>
      <c r="ALJ231" s="31"/>
      <c r="ALK231" s="31"/>
      <c r="ALL231" s="31"/>
      <c r="ALM231" s="31"/>
      <c r="ALN231" s="31"/>
      <c r="ALO231" s="31"/>
      <c r="ALP231" s="31"/>
      <c r="ALQ231" s="31"/>
      <c r="ALR231" s="31"/>
      <c r="ALS231" s="31"/>
      <c r="ALT231" s="31"/>
      <c r="ALU231" s="31"/>
      <c r="ALV231" s="31"/>
      <c r="ALW231" s="31"/>
      <c r="ALX231" s="31"/>
      <c r="ALY231" s="31"/>
      <c r="ALZ231" s="31"/>
      <c r="AMA231" s="31"/>
      <c r="AMB231" s="31"/>
      <c r="AMC231" s="31"/>
      <c r="AMD231" s="31"/>
      <c r="AME231" s="31"/>
      <c r="AMF231" s="31"/>
      <c r="AMG231" s="31"/>
      <c r="AMH231" s="31"/>
      <c r="AMI231" s="31"/>
      <c r="AMJ231" s="31"/>
      <c r="AMK231" s="31"/>
      <c r="AML231" s="31"/>
      <c r="AMM231" s="31"/>
      <c r="AMN231" s="31"/>
      <c r="AMO231" s="31"/>
      <c r="AMP231" s="31"/>
      <c r="AMQ231" s="31"/>
      <c r="AMR231" s="31"/>
      <c r="AMS231" s="31"/>
      <c r="AMT231" s="31"/>
      <c r="AMU231" s="31"/>
      <c r="AMV231" s="31"/>
      <c r="AMW231" s="31"/>
      <c r="AMX231" s="31"/>
      <c r="AMY231" s="31"/>
      <c r="AMZ231" s="31"/>
      <c r="ANA231" s="31"/>
      <c r="ANB231" s="31"/>
      <c r="ANC231" s="31"/>
      <c r="AND231" s="31"/>
      <c r="ANE231" s="31"/>
      <c r="ANF231" s="31"/>
      <c r="ANG231" s="31"/>
      <c r="ANH231" s="31"/>
      <c r="ANI231" s="31"/>
      <c r="ANJ231" s="31"/>
      <c r="ANK231" s="31"/>
      <c r="ANL231" s="31"/>
      <c r="ANM231" s="31"/>
      <c r="ANN231" s="31"/>
      <c r="ANO231" s="31"/>
      <c r="ANP231" s="31"/>
      <c r="ANQ231" s="31"/>
      <c r="ANR231" s="31"/>
      <c r="ANS231" s="31"/>
      <c r="ANT231" s="31"/>
      <c r="ANU231" s="31"/>
      <c r="ANV231" s="31"/>
      <c r="ANW231" s="31"/>
      <c r="ANX231" s="31"/>
      <c r="ANY231" s="31"/>
      <c r="ANZ231" s="31"/>
      <c r="AOA231" s="31"/>
      <c r="AOB231" s="31"/>
      <c r="AOC231" s="31"/>
      <c r="AOD231" s="31"/>
      <c r="AOE231" s="31"/>
      <c r="AOF231" s="31"/>
      <c r="AOG231" s="31"/>
      <c r="AOH231" s="31"/>
      <c r="AOI231" s="31"/>
      <c r="AOJ231" s="31"/>
      <c r="AOK231" s="31"/>
      <c r="AOL231" s="31"/>
      <c r="AOM231" s="31"/>
      <c r="AON231" s="31"/>
      <c r="AOO231" s="31"/>
      <c r="AOP231" s="31"/>
      <c r="AOQ231" s="31"/>
      <c r="AOR231" s="31"/>
      <c r="AOS231" s="31"/>
      <c r="AOT231" s="31"/>
      <c r="AOU231" s="31"/>
      <c r="AOV231" s="31"/>
      <c r="AOW231" s="31"/>
      <c r="AOX231" s="31"/>
      <c r="AOY231" s="31"/>
      <c r="AOZ231" s="31"/>
      <c r="APA231" s="31"/>
      <c r="APB231" s="31"/>
      <c r="APC231" s="31"/>
      <c r="APD231" s="31"/>
      <c r="APE231" s="31"/>
      <c r="APF231" s="31"/>
      <c r="APG231" s="31"/>
      <c r="APH231" s="31"/>
      <c r="API231" s="31"/>
      <c r="APJ231" s="31"/>
      <c r="APK231" s="31"/>
      <c r="APL231" s="31"/>
      <c r="APM231" s="31"/>
      <c r="APN231" s="31"/>
      <c r="APO231" s="31"/>
      <c r="APP231" s="31"/>
      <c r="APQ231" s="31"/>
      <c r="APR231" s="31"/>
      <c r="APS231" s="31"/>
      <c r="APT231" s="31"/>
      <c r="APU231" s="31"/>
      <c r="APV231" s="31"/>
      <c r="APW231" s="31"/>
      <c r="APX231" s="31"/>
      <c r="APY231" s="31"/>
      <c r="APZ231" s="31"/>
      <c r="AQA231" s="31"/>
      <c r="AQB231" s="31"/>
      <c r="AQC231" s="31"/>
      <c r="AQD231" s="31"/>
      <c r="AQE231" s="31"/>
      <c r="AQF231" s="31"/>
      <c r="AQG231" s="31"/>
      <c r="AQH231" s="31"/>
      <c r="AQI231" s="31"/>
      <c r="AQJ231" s="31"/>
      <c r="AQK231" s="31"/>
      <c r="AQL231" s="31"/>
      <c r="AQM231" s="31"/>
      <c r="AQN231" s="31"/>
      <c r="AQO231" s="31"/>
      <c r="AQP231" s="31"/>
      <c r="AQQ231" s="31"/>
      <c r="AQR231" s="31"/>
      <c r="AQS231" s="31"/>
      <c r="AQT231" s="31"/>
      <c r="AQU231" s="31"/>
      <c r="AQV231" s="31"/>
      <c r="AQW231" s="31"/>
      <c r="AQX231" s="31"/>
      <c r="AQY231" s="31"/>
      <c r="AQZ231" s="31"/>
      <c r="ARA231" s="31"/>
      <c r="ARB231" s="31"/>
      <c r="ARC231" s="31"/>
      <c r="ARD231" s="31"/>
      <c r="ARE231" s="31"/>
      <c r="ARF231" s="31"/>
      <c r="ARG231" s="31"/>
      <c r="ARH231" s="31"/>
      <c r="ARI231" s="31"/>
      <c r="ARJ231" s="31"/>
      <c r="ARK231" s="31"/>
      <c r="ARL231" s="31"/>
      <c r="ARM231" s="31"/>
      <c r="ARN231" s="31"/>
      <c r="ARO231" s="31"/>
      <c r="ARP231" s="31"/>
      <c r="ARQ231" s="31"/>
      <c r="ARR231" s="31"/>
      <c r="ARS231" s="31"/>
      <c r="ART231" s="31"/>
      <c r="ARU231" s="31"/>
      <c r="ARV231" s="31"/>
      <c r="ARW231" s="31"/>
      <c r="ARX231" s="31"/>
      <c r="ARY231" s="31"/>
      <c r="ARZ231" s="31"/>
      <c r="ASA231" s="31"/>
      <c r="ASB231" s="31"/>
      <c r="ASC231" s="31"/>
      <c r="ASD231" s="31"/>
      <c r="ASE231" s="31"/>
      <c r="ASF231" s="31"/>
      <c r="ASG231" s="31"/>
      <c r="ASH231" s="31"/>
      <c r="ASI231" s="31"/>
      <c r="ASJ231" s="31"/>
      <c r="ASK231" s="31"/>
      <c r="ASL231" s="31"/>
      <c r="ASM231" s="31"/>
      <c r="ASN231" s="31"/>
      <c r="ASO231" s="31"/>
      <c r="ASP231" s="31"/>
      <c r="ASQ231" s="31"/>
      <c r="ASR231" s="31"/>
      <c r="ASS231" s="31"/>
      <c r="AST231" s="31"/>
      <c r="ASU231" s="31"/>
      <c r="ASV231" s="31"/>
      <c r="ASW231" s="31"/>
      <c r="ASX231" s="31"/>
      <c r="ASY231" s="31"/>
      <c r="ASZ231" s="31"/>
      <c r="ATA231" s="31"/>
      <c r="ATB231" s="31"/>
      <c r="ATC231" s="31"/>
      <c r="ATD231" s="31"/>
      <c r="ATE231" s="31"/>
    </row>
    <row r="232" spans="1:1201" s="34" customFormat="1" ht="15.75" customHeight="1" x14ac:dyDescent="0.3">
      <c r="A232" s="76"/>
      <c r="B232" s="76"/>
      <c r="C232" s="63"/>
      <c r="D232" s="63"/>
      <c r="E232" s="63"/>
      <c r="F232" s="186"/>
      <c r="G232" s="187"/>
      <c r="H232" s="656"/>
      <c r="I232" s="653"/>
      <c r="J232" s="653"/>
      <c r="K232" s="653"/>
      <c r="L232" s="653"/>
      <c r="M232" s="653"/>
      <c r="N232" s="653"/>
      <c r="O232" s="653"/>
      <c r="P232" s="653"/>
      <c r="Q232" s="653"/>
      <c r="R232" s="653"/>
      <c r="S232" s="653"/>
      <c r="T232" s="948"/>
      <c r="U232" s="948"/>
      <c r="V232" s="948"/>
      <c r="W232" s="948"/>
      <c r="X232" s="948"/>
      <c r="Y232" s="948"/>
      <c r="Z232" s="1098"/>
      <c r="AA232" s="1098"/>
      <c r="AB232" s="1098"/>
      <c r="AC232" s="1098"/>
      <c r="AD232" s="1098"/>
      <c r="AE232" s="1147"/>
      <c r="AF232" s="1098"/>
      <c r="AG232" s="1098">
        <f>AG227-AF227-AG236</f>
        <v>1.6007106751203537E-10</v>
      </c>
      <c r="AH232" s="1098">
        <f>AH227-AG227-AH236</f>
        <v>0</v>
      </c>
      <c r="AI232" s="1098"/>
      <c r="AJ232" s="1098"/>
      <c r="AK232" s="1098"/>
      <c r="AL232" s="1098"/>
      <c r="AM232" s="1098"/>
      <c r="AN232" s="1098"/>
      <c r="AO232" s="1098"/>
      <c r="AP232" s="653">
        <f t="shared" ref="AP232:BC232" ca="1" si="402">AP227-AO227-AP236</f>
        <v>0</v>
      </c>
      <c r="AQ232" s="653">
        <f t="shared" ca="1" si="402"/>
        <v>0</v>
      </c>
      <c r="AR232" s="1647">
        <f t="shared" ca="1" si="402"/>
        <v>0</v>
      </c>
      <c r="AS232" s="653">
        <f t="shared" ca="1" si="402"/>
        <v>0</v>
      </c>
      <c r="AT232" s="653">
        <f t="shared" ca="1" si="402"/>
        <v>0</v>
      </c>
      <c r="AU232" s="653">
        <f t="shared" ca="1" si="402"/>
        <v>0</v>
      </c>
      <c r="AV232" s="653">
        <f t="shared" ca="1" si="402"/>
        <v>0</v>
      </c>
      <c r="AW232" s="653">
        <f t="shared" ca="1" si="402"/>
        <v>0</v>
      </c>
      <c r="AX232" s="653">
        <f t="shared" ca="1" si="402"/>
        <v>0</v>
      </c>
      <c r="AY232" s="653">
        <f t="shared" ca="1" si="402"/>
        <v>0</v>
      </c>
      <c r="AZ232" s="653">
        <f t="shared" ca="1" si="402"/>
        <v>-4.6566128730773926E-10</v>
      </c>
      <c r="BA232" s="653">
        <f t="shared" ca="1" si="402"/>
        <v>0</v>
      </c>
      <c r="BB232" s="653">
        <f t="shared" ca="1" si="402"/>
        <v>0</v>
      </c>
      <c r="BC232" s="653">
        <f t="shared" ca="1" si="402"/>
        <v>0</v>
      </c>
      <c r="BE232" s="1208"/>
      <c r="BF232" s="948"/>
      <c r="BG232" s="1208"/>
      <c r="BH232" s="31"/>
      <c r="BI232" s="31"/>
      <c r="BJ232" s="31"/>
      <c r="BK232" s="31"/>
      <c r="BL232" s="31"/>
      <c r="BM232" s="31"/>
      <c r="BN232" s="31"/>
      <c r="BO232" s="31"/>
      <c r="BP232" s="31"/>
      <c r="BQ232" s="31"/>
      <c r="BR232" s="31"/>
      <c r="BS232" s="31"/>
      <c r="BT232" s="31"/>
      <c r="BU232" s="31"/>
      <c r="BV232" s="31"/>
      <c r="BW232" s="31"/>
      <c r="BX232" s="31"/>
      <c r="BY232" s="31"/>
      <c r="BZ232" s="31"/>
      <c r="CA232" s="31"/>
      <c r="CB232" s="31"/>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c r="DA232" s="31"/>
      <c r="DB232" s="31"/>
      <c r="DC232" s="31"/>
      <c r="DD232" s="31"/>
      <c r="DE232" s="31"/>
      <c r="DF232" s="31"/>
      <c r="DG232" s="31"/>
      <c r="DH232" s="31"/>
      <c r="DI232" s="31"/>
      <c r="DJ232" s="31"/>
      <c r="DK232" s="31"/>
      <c r="DL232" s="31"/>
      <c r="DM232" s="31"/>
      <c r="DN232" s="31"/>
      <c r="DO232" s="31"/>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c r="EX232" s="31"/>
      <c r="EY232" s="31"/>
      <c r="EZ232" s="31"/>
      <c r="FA232" s="31"/>
      <c r="FB232" s="31"/>
      <c r="FC232" s="31"/>
      <c r="FD232" s="31"/>
      <c r="FE232" s="31"/>
      <c r="FF232" s="31"/>
      <c r="FG232" s="31"/>
      <c r="FH232" s="31"/>
      <c r="FI232" s="31"/>
      <c r="FJ232" s="31"/>
      <c r="FK232" s="31"/>
      <c r="FL232" s="31"/>
      <c r="FM232" s="31"/>
      <c r="FN232" s="31"/>
      <c r="FO232" s="31"/>
      <c r="FP232" s="31"/>
      <c r="FQ232" s="31"/>
      <c r="FR232" s="31"/>
      <c r="FS232" s="31"/>
      <c r="FT232" s="31"/>
      <c r="FU232" s="31"/>
      <c r="FV232" s="31"/>
      <c r="FW232" s="31"/>
      <c r="FX232" s="31"/>
      <c r="FY232" s="31"/>
      <c r="FZ232" s="31"/>
      <c r="GA232" s="31"/>
      <c r="GB232" s="31"/>
      <c r="GC232" s="31"/>
      <c r="GD232" s="31"/>
      <c r="GE232" s="31"/>
      <c r="GF232" s="31"/>
      <c r="GG232" s="31"/>
      <c r="GH232" s="31"/>
      <c r="GI232" s="31"/>
      <c r="GJ232" s="31"/>
      <c r="GK232" s="31"/>
      <c r="GL232" s="31"/>
      <c r="GM232" s="31"/>
      <c r="GN232" s="31"/>
      <c r="GO232" s="31"/>
      <c r="GP232" s="31"/>
      <c r="GQ232" s="31"/>
      <c r="GR232" s="31"/>
      <c r="GS232" s="31"/>
      <c r="GT232" s="31"/>
      <c r="GU232" s="31"/>
      <c r="GV232" s="31"/>
      <c r="GW232" s="31"/>
      <c r="GX232" s="31"/>
      <c r="GY232" s="31"/>
      <c r="GZ232" s="31"/>
      <c r="HA232" s="31"/>
      <c r="HB232" s="31"/>
      <c r="HC232" s="31"/>
      <c r="HD232" s="31"/>
      <c r="HE232" s="31"/>
      <c r="HF232" s="31"/>
      <c r="HG232" s="31"/>
      <c r="HH232" s="31"/>
      <c r="HI232" s="31"/>
      <c r="HJ232" s="31"/>
      <c r="HK232" s="31"/>
      <c r="HL232" s="31"/>
      <c r="HM232" s="31"/>
      <c r="HN232" s="31"/>
      <c r="HO232" s="31"/>
      <c r="HP232" s="31"/>
      <c r="HQ232" s="31"/>
      <c r="HR232" s="31"/>
      <c r="HS232" s="31"/>
      <c r="HT232" s="31"/>
      <c r="HU232" s="31"/>
      <c r="HV232" s="31"/>
      <c r="HW232" s="31"/>
      <c r="HX232" s="31"/>
      <c r="HY232" s="31"/>
      <c r="HZ232" s="31"/>
      <c r="IA232" s="31"/>
      <c r="IB232" s="31"/>
      <c r="IC232" s="31"/>
      <c r="ID232" s="31"/>
      <c r="IE232" s="31"/>
      <c r="IF232" s="31"/>
      <c r="IG232" s="31"/>
      <c r="IH232" s="31"/>
      <c r="II232" s="31"/>
      <c r="IJ232" s="31"/>
      <c r="IK232" s="31"/>
      <c r="IL232" s="31"/>
      <c r="IM232" s="31"/>
      <c r="IN232" s="31"/>
      <c r="IO232" s="31"/>
      <c r="IP232" s="31"/>
      <c r="IQ232" s="31"/>
      <c r="IR232" s="31"/>
      <c r="IS232" s="31"/>
      <c r="IT232" s="31"/>
      <c r="IU232" s="31"/>
      <c r="IV232" s="31"/>
      <c r="IW232" s="31"/>
      <c r="IX232" s="31"/>
      <c r="IY232" s="31"/>
      <c r="IZ232" s="31"/>
      <c r="JA232" s="31"/>
      <c r="JB232" s="31"/>
      <c r="JC232" s="31"/>
      <c r="JD232" s="31"/>
      <c r="JE232" s="31"/>
      <c r="JF232" s="31"/>
      <c r="JG232" s="31"/>
      <c r="JH232" s="31"/>
      <c r="JI232" s="31"/>
      <c r="JJ232" s="31"/>
      <c r="JK232" s="31"/>
      <c r="JL232" s="31"/>
      <c r="JM232" s="31"/>
      <c r="JN232" s="31"/>
      <c r="JO232" s="31"/>
      <c r="JP232" s="31"/>
      <c r="JQ232" s="31"/>
      <c r="JR232" s="31"/>
      <c r="JS232" s="31"/>
      <c r="JT232" s="31"/>
      <c r="JU232" s="31"/>
      <c r="JV232" s="31"/>
      <c r="JW232" s="31"/>
      <c r="JX232" s="31"/>
      <c r="JY232" s="31"/>
      <c r="JZ232" s="31"/>
      <c r="KA232" s="31"/>
      <c r="KB232" s="31"/>
      <c r="KC232" s="31"/>
      <c r="KD232" s="31"/>
      <c r="KE232" s="31"/>
      <c r="KF232" s="31"/>
      <c r="KG232" s="31"/>
      <c r="KH232" s="31"/>
      <c r="KI232" s="31"/>
      <c r="KJ232" s="31"/>
      <c r="KK232" s="31"/>
      <c r="KL232" s="31"/>
      <c r="KM232" s="31"/>
      <c r="KN232" s="31"/>
      <c r="KO232" s="31"/>
      <c r="KP232" s="31"/>
      <c r="KQ232" s="31"/>
      <c r="KR232" s="31"/>
      <c r="KS232" s="31"/>
      <c r="KT232" s="31"/>
      <c r="KU232" s="31"/>
      <c r="KV232" s="31"/>
      <c r="KW232" s="31"/>
      <c r="KX232" s="31"/>
      <c r="KY232" s="31"/>
      <c r="KZ232" s="31"/>
      <c r="LA232" s="31"/>
      <c r="LB232" s="31"/>
      <c r="LC232" s="31"/>
      <c r="LD232" s="31"/>
      <c r="LE232" s="31"/>
      <c r="LF232" s="31"/>
      <c r="LG232" s="31"/>
      <c r="LH232" s="31"/>
      <c r="LI232" s="31"/>
      <c r="LJ232" s="31"/>
      <c r="LK232" s="31"/>
      <c r="LL232" s="31"/>
      <c r="LM232" s="31"/>
      <c r="LN232" s="31"/>
      <c r="LO232" s="31"/>
      <c r="LP232" s="31"/>
      <c r="LQ232" s="31"/>
      <c r="LR232" s="31"/>
      <c r="LS232" s="31"/>
      <c r="LT232" s="31"/>
      <c r="LU232" s="31"/>
      <c r="LV232" s="31"/>
      <c r="LW232" s="31"/>
      <c r="LX232" s="31"/>
      <c r="LY232" s="31"/>
      <c r="LZ232" s="31"/>
      <c r="MA232" s="31"/>
      <c r="MB232" s="31"/>
      <c r="MC232" s="31"/>
      <c r="MD232" s="31"/>
      <c r="ME232" s="31"/>
      <c r="MF232" s="31"/>
      <c r="MG232" s="31"/>
      <c r="MH232" s="31"/>
      <c r="MI232" s="31"/>
      <c r="MJ232" s="31"/>
      <c r="MK232" s="31"/>
      <c r="ML232" s="31"/>
      <c r="MM232" s="31"/>
      <c r="MN232" s="31"/>
      <c r="MO232" s="31"/>
      <c r="MP232" s="31"/>
      <c r="MQ232" s="31"/>
      <c r="MR232" s="31"/>
      <c r="MS232" s="31"/>
      <c r="MT232" s="31"/>
      <c r="MU232" s="31"/>
      <c r="MV232" s="31"/>
      <c r="MW232" s="31"/>
      <c r="MX232" s="31"/>
      <c r="MY232" s="31"/>
      <c r="MZ232" s="31"/>
      <c r="NA232" s="31"/>
      <c r="NB232" s="31"/>
      <c r="NC232" s="31"/>
      <c r="ND232" s="31"/>
      <c r="NE232" s="31"/>
      <c r="NF232" s="31"/>
      <c r="NG232" s="31"/>
      <c r="NH232" s="31"/>
      <c r="NI232" s="31"/>
      <c r="NJ232" s="31"/>
      <c r="NK232" s="31"/>
      <c r="NL232" s="31"/>
      <c r="NM232" s="31"/>
      <c r="NN232" s="31"/>
      <c r="NO232" s="31"/>
      <c r="NP232" s="31"/>
      <c r="NQ232" s="31"/>
      <c r="NR232" s="31"/>
      <c r="NS232" s="31"/>
      <c r="NT232" s="31"/>
      <c r="NU232" s="31"/>
      <c r="NV232" s="31"/>
      <c r="NW232" s="31"/>
      <c r="NX232" s="31"/>
      <c r="NY232" s="31"/>
      <c r="NZ232" s="31"/>
      <c r="OA232" s="31"/>
      <c r="OB232" s="31"/>
      <c r="OC232" s="31"/>
      <c r="OD232" s="31"/>
      <c r="OE232" s="31"/>
      <c r="OF232" s="31"/>
      <c r="OG232" s="31"/>
      <c r="OH232" s="31"/>
      <c r="OI232" s="31"/>
      <c r="OJ232" s="31"/>
      <c r="OK232" s="31"/>
      <c r="OL232" s="31"/>
      <c r="OM232" s="31"/>
      <c r="ON232" s="31"/>
      <c r="OO232" s="31"/>
      <c r="OP232" s="31"/>
      <c r="OQ232" s="31"/>
      <c r="OR232" s="31"/>
      <c r="OS232" s="31"/>
      <c r="OT232" s="31"/>
      <c r="OU232" s="31"/>
      <c r="OV232" s="31"/>
      <c r="OW232" s="31"/>
      <c r="OX232" s="31"/>
      <c r="OY232" s="31"/>
      <c r="OZ232" s="31"/>
      <c r="PA232" s="31"/>
      <c r="PB232" s="31"/>
      <c r="PC232" s="31"/>
      <c r="PD232" s="31"/>
      <c r="PE232" s="31"/>
      <c r="PF232" s="31"/>
      <c r="PG232" s="31"/>
      <c r="PH232" s="31"/>
      <c r="PI232" s="31"/>
      <c r="PJ232" s="31"/>
      <c r="PK232" s="31"/>
      <c r="PL232" s="31"/>
      <c r="PM232" s="31"/>
      <c r="PN232" s="31"/>
      <c r="PO232" s="31"/>
      <c r="PP232" s="31"/>
      <c r="PQ232" s="31"/>
      <c r="PR232" s="31"/>
      <c r="PS232" s="31"/>
      <c r="PT232" s="31"/>
      <c r="PU232" s="31"/>
      <c r="PV232" s="31"/>
      <c r="PW232" s="31"/>
      <c r="PX232" s="31"/>
      <c r="PY232" s="31"/>
      <c r="PZ232" s="31"/>
      <c r="QA232" s="31"/>
      <c r="QB232" s="31"/>
      <c r="QC232" s="31"/>
      <c r="QD232" s="31"/>
      <c r="QE232" s="31"/>
      <c r="QF232" s="31"/>
      <c r="QG232" s="31"/>
      <c r="QH232" s="31"/>
      <c r="QI232" s="31"/>
      <c r="QJ232" s="31"/>
      <c r="QK232" s="31"/>
      <c r="QL232" s="31"/>
      <c r="QM232" s="31"/>
      <c r="QN232" s="31"/>
      <c r="QO232" s="31"/>
      <c r="QP232" s="31"/>
      <c r="QQ232" s="31"/>
      <c r="QR232" s="31"/>
      <c r="QS232" s="31"/>
      <c r="QT232" s="31"/>
      <c r="QU232" s="31"/>
      <c r="QV232" s="31"/>
      <c r="QW232" s="31"/>
      <c r="QX232" s="31"/>
      <c r="QY232" s="31"/>
      <c r="QZ232" s="31"/>
      <c r="RA232" s="31"/>
      <c r="RB232" s="31"/>
      <c r="RC232" s="31"/>
      <c r="RD232" s="31"/>
      <c r="RE232" s="31"/>
      <c r="RF232" s="31"/>
      <c r="RG232" s="31"/>
      <c r="RH232" s="31"/>
      <c r="RI232" s="31"/>
      <c r="RJ232" s="31"/>
      <c r="RK232" s="31"/>
      <c r="RL232" s="31"/>
      <c r="RM232" s="31"/>
      <c r="RN232" s="31"/>
      <c r="RO232" s="31"/>
      <c r="RP232" s="31"/>
      <c r="RQ232" s="31"/>
      <c r="RR232" s="31"/>
      <c r="RS232" s="31"/>
      <c r="RT232" s="31"/>
      <c r="RU232" s="31"/>
      <c r="RV232" s="31"/>
      <c r="RW232" s="31"/>
      <c r="RX232" s="31"/>
      <c r="RY232" s="31"/>
      <c r="RZ232" s="31"/>
      <c r="SA232" s="31"/>
      <c r="SB232" s="31"/>
      <c r="SC232" s="31"/>
      <c r="SD232" s="31"/>
      <c r="SE232" s="31"/>
      <c r="SF232" s="31"/>
      <c r="SG232" s="31"/>
      <c r="SH232" s="31"/>
      <c r="SI232" s="31"/>
      <c r="SJ232" s="31"/>
      <c r="SK232" s="31"/>
      <c r="SL232" s="31"/>
      <c r="SM232" s="31"/>
      <c r="SN232" s="31"/>
      <c r="SO232" s="31"/>
      <c r="SP232" s="31"/>
      <c r="SQ232" s="31"/>
      <c r="SR232" s="31"/>
      <c r="SS232" s="31"/>
      <c r="ST232" s="31"/>
      <c r="SU232" s="31"/>
      <c r="SV232" s="31"/>
      <c r="SW232" s="31"/>
      <c r="SX232" s="31"/>
      <c r="SY232" s="31"/>
      <c r="SZ232" s="31"/>
      <c r="TA232" s="31"/>
      <c r="TB232" s="31"/>
      <c r="TC232" s="31"/>
      <c r="TD232" s="31"/>
      <c r="TE232" s="31"/>
      <c r="TF232" s="31"/>
      <c r="TG232" s="31"/>
      <c r="TH232" s="31"/>
      <c r="TI232" s="31"/>
      <c r="TJ232" s="31"/>
      <c r="TK232" s="31"/>
      <c r="TL232" s="31"/>
      <c r="TM232" s="31"/>
      <c r="TN232" s="31"/>
      <c r="TO232" s="31"/>
      <c r="TP232" s="31"/>
      <c r="TQ232" s="31"/>
      <c r="TR232" s="31"/>
      <c r="TS232" s="31"/>
      <c r="TT232" s="31"/>
      <c r="TU232" s="31"/>
      <c r="TV232" s="31"/>
      <c r="TW232" s="31"/>
      <c r="TX232" s="31"/>
      <c r="TY232" s="31"/>
      <c r="TZ232" s="31"/>
      <c r="UA232" s="31"/>
      <c r="UB232" s="31"/>
      <c r="UC232" s="31"/>
      <c r="UD232" s="31"/>
      <c r="UE232" s="31"/>
      <c r="UF232" s="31"/>
      <c r="UG232" s="31"/>
      <c r="UH232" s="31"/>
      <c r="UI232" s="31"/>
      <c r="UJ232" s="31"/>
      <c r="UK232" s="31"/>
      <c r="UL232" s="31"/>
      <c r="UM232" s="31"/>
      <c r="UN232" s="31"/>
      <c r="UO232" s="31"/>
      <c r="UP232" s="31"/>
      <c r="UQ232" s="31"/>
      <c r="UR232" s="31"/>
      <c r="US232" s="31"/>
      <c r="UT232" s="31"/>
      <c r="UU232" s="31"/>
      <c r="UV232" s="31"/>
      <c r="UW232" s="31"/>
      <c r="UX232" s="31"/>
      <c r="UY232" s="31"/>
      <c r="UZ232" s="31"/>
      <c r="VA232" s="31"/>
      <c r="VB232" s="31"/>
      <c r="VC232" s="31"/>
      <c r="VD232" s="31"/>
      <c r="VE232" s="31"/>
      <c r="VF232" s="31"/>
      <c r="VG232" s="31"/>
      <c r="VH232" s="31"/>
      <c r="VI232" s="31"/>
      <c r="VJ232" s="31"/>
      <c r="VK232" s="31"/>
      <c r="VL232" s="31"/>
      <c r="VM232" s="31"/>
      <c r="VN232" s="31"/>
      <c r="VO232" s="31"/>
      <c r="VP232" s="31"/>
      <c r="VQ232" s="31"/>
      <c r="VR232" s="31"/>
      <c r="VS232" s="31"/>
      <c r="VT232" s="31"/>
      <c r="VU232" s="31"/>
      <c r="VV232" s="31"/>
      <c r="VW232" s="31"/>
      <c r="VX232" s="31"/>
      <c r="VY232" s="31"/>
      <c r="VZ232" s="31"/>
      <c r="WA232" s="31"/>
      <c r="WB232" s="31"/>
      <c r="WC232" s="31"/>
      <c r="WD232" s="31"/>
      <c r="WE232" s="31"/>
      <c r="WF232" s="31"/>
      <c r="WG232" s="31"/>
      <c r="WH232" s="31"/>
      <c r="WI232" s="31"/>
      <c r="WJ232" s="31"/>
      <c r="WK232" s="31"/>
      <c r="WL232" s="31"/>
      <c r="WM232" s="31"/>
      <c r="WN232" s="31"/>
      <c r="WO232" s="31"/>
      <c r="WP232" s="31"/>
      <c r="WQ232" s="31"/>
      <c r="WR232" s="31"/>
      <c r="WS232" s="31"/>
      <c r="WT232" s="31"/>
      <c r="WU232" s="31"/>
      <c r="WV232" s="31"/>
      <c r="WW232" s="31"/>
      <c r="WX232" s="31"/>
      <c r="WY232" s="31"/>
      <c r="WZ232" s="31"/>
      <c r="XA232" s="31"/>
      <c r="XB232" s="31"/>
      <c r="XC232" s="31"/>
      <c r="XD232" s="31"/>
      <c r="XE232" s="31"/>
      <c r="XF232" s="31"/>
      <c r="XG232" s="31"/>
      <c r="XH232" s="31"/>
      <c r="XI232" s="31"/>
      <c r="XJ232" s="31"/>
      <c r="XK232" s="31"/>
      <c r="XL232" s="31"/>
      <c r="XM232" s="31"/>
      <c r="XN232" s="31"/>
      <c r="XO232" s="31"/>
      <c r="XP232" s="31"/>
      <c r="XQ232" s="31"/>
      <c r="XR232" s="31"/>
      <c r="XS232" s="31"/>
      <c r="XT232" s="31"/>
      <c r="XU232" s="31"/>
      <c r="XV232" s="31"/>
      <c r="XW232" s="31"/>
      <c r="XX232" s="31"/>
      <c r="XY232" s="31"/>
      <c r="XZ232" s="31"/>
      <c r="YA232" s="31"/>
      <c r="YB232" s="31"/>
      <c r="YC232" s="31"/>
      <c r="YD232" s="31"/>
      <c r="YE232" s="31"/>
      <c r="YF232" s="31"/>
      <c r="YG232" s="31"/>
      <c r="YH232" s="31"/>
      <c r="YI232" s="31"/>
      <c r="YJ232" s="31"/>
      <c r="YK232" s="31"/>
      <c r="YL232" s="31"/>
      <c r="YM232" s="31"/>
      <c r="YN232" s="31"/>
      <c r="YO232" s="31"/>
      <c r="YP232" s="31"/>
      <c r="YQ232" s="31"/>
      <c r="YR232" s="31"/>
      <c r="YS232" s="31"/>
      <c r="YT232" s="31"/>
      <c r="YU232" s="31"/>
      <c r="YV232" s="31"/>
      <c r="YW232" s="31"/>
      <c r="YX232" s="31"/>
      <c r="YY232" s="31"/>
      <c r="YZ232" s="31"/>
      <c r="ZA232" s="31"/>
      <c r="ZB232" s="31"/>
      <c r="ZC232" s="31"/>
      <c r="ZD232" s="31"/>
      <c r="ZE232" s="31"/>
      <c r="ZF232" s="31"/>
      <c r="ZG232" s="31"/>
      <c r="ZH232" s="31"/>
      <c r="ZI232" s="31"/>
      <c r="ZJ232" s="31"/>
      <c r="ZK232" s="31"/>
      <c r="ZL232" s="31"/>
      <c r="ZM232" s="31"/>
      <c r="ZN232" s="31"/>
      <c r="ZO232" s="31"/>
      <c r="ZP232" s="31"/>
      <c r="ZQ232" s="31"/>
      <c r="ZR232" s="31"/>
      <c r="ZS232" s="31"/>
      <c r="ZT232" s="31"/>
      <c r="ZU232" s="31"/>
      <c r="ZV232" s="31"/>
      <c r="ZW232" s="31"/>
      <c r="ZX232" s="31"/>
      <c r="ZY232" s="31"/>
      <c r="ZZ232" s="31"/>
      <c r="AAA232" s="31"/>
      <c r="AAB232" s="31"/>
      <c r="AAC232" s="31"/>
      <c r="AAD232" s="31"/>
      <c r="AAE232" s="31"/>
      <c r="AAF232" s="31"/>
      <c r="AAG232" s="31"/>
      <c r="AAH232" s="31"/>
      <c r="AAI232" s="31"/>
      <c r="AAJ232" s="31"/>
      <c r="AAK232" s="31"/>
      <c r="AAL232" s="31"/>
      <c r="AAM232" s="31"/>
      <c r="AAN232" s="31"/>
      <c r="AAO232" s="31"/>
      <c r="AAP232" s="31"/>
      <c r="AAQ232" s="31"/>
      <c r="AAR232" s="31"/>
      <c r="AAS232" s="31"/>
      <c r="AAT232" s="31"/>
      <c r="AAU232" s="31"/>
      <c r="AAV232" s="31"/>
      <c r="AAW232" s="31"/>
      <c r="AAX232" s="31"/>
      <c r="AAY232" s="31"/>
      <c r="AAZ232" s="31"/>
      <c r="ABA232" s="31"/>
      <c r="ABB232" s="31"/>
      <c r="ABC232" s="31"/>
      <c r="ABD232" s="31"/>
      <c r="ABE232" s="31"/>
      <c r="ABF232" s="31"/>
      <c r="ABG232" s="31"/>
      <c r="ABH232" s="31"/>
      <c r="ABI232" s="31"/>
      <c r="ABJ232" s="31"/>
      <c r="ABK232" s="31"/>
      <c r="ABL232" s="31"/>
      <c r="ABM232" s="31"/>
      <c r="ABN232" s="31"/>
      <c r="ABO232" s="31"/>
      <c r="ABP232" s="31"/>
      <c r="ABQ232" s="31"/>
      <c r="ABR232" s="31"/>
      <c r="ABS232" s="31"/>
      <c r="ABT232" s="31"/>
      <c r="ABU232" s="31"/>
      <c r="ABV232" s="31"/>
      <c r="ABW232" s="31"/>
      <c r="ABX232" s="31"/>
      <c r="ABY232" s="31"/>
      <c r="ABZ232" s="31"/>
      <c r="ACA232" s="31"/>
      <c r="ACB232" s="31"/>
      <c r="ACC232" s="31"/>
      <c r="ACD232" s="31"/>
      <c r="ACE232" s="31"/>
      <c r="ACF232" s="31"/>
      <c r="ACG232" s="31"/>
      <c r="ACH232" s="31"/>
      <c r="ACI232" s="31"/>
      <c r="ACJ232" s="31"/>
      <c r="ACK232" s="31"/>
      <c r="ACL232" s="31"/>
      <c r="ACM232" s="31"/>
      <c r="ACN232" s="31"/>
      <c r="ACO232" s="31"/>
      <c r="ACP232" s="31"/>
      <c r="ACQ232" s="31"/>
      <c r="ACR232" s="31"/>
      <c r="ACS232" s="31"/>
      <c r="ACT232" s="31"/>
      <c r="ACU232" s="31"/>
      <c r="ACV232" s="31"/>
      <c r="ACW232" s="31"/>
      <c r="ACX232" s="31"/>
      <c r="ACY232" s="31"/>
      <c r="ACZ232" s="31"/>
      <c r="ADA232" s="31"/>
      <c r="ADB232" s="31"/>
      <c r="ADC232" s="31"/>
      <c r="ADD232" s="31"/>
      <c r="ADE232" s="31"/>
      <c r="ADF232" s="31"/>
      <c r="ADG232" s="31"/>
      <c r="ADH232" s="31"/>
      <c r="ADI232" s="31"/>
      <c r="ADJ232" s="31"/>
      <c r="ADK232" s="31"/>
      <c r="ADL232" s="31"/>
      <c r="ADM232" s="31"/>
      <c r="ADN232" s="31"/>
      <c r="ADO232" s="31"/>
      <c r="ADP232" s="31"/>
      <c r="ADQ232" s="31"/>
      <c r="ADR232" s="31"/>
      <c r="ADS232" s="31"/>
      <c r="ADT232" s="31"/>
      <c r="ADU232" s="31"/>
      <c r="ADV232" s="31"/>
      <c r="ADW232" s="31"/>
      <c r="ADX232" s="31"/>
      <c r="ADY232" s="31"/>
      <c r="ADZ232" s="31"/>
      <c r="AEA232" s="31"/>
      <c r="AEB232" s="31"/>
      <c r="AEC232" s="31"/>
      <c r="AED232" s="31"/>
      <c r="AEE232" s="31"/>
      <c r="AEF232" s="31"/>
      <c r="AEG232" s="31"/>
      <c r="AEH232" s="31"/>
      <c r="AEI232" s="31"/>
      <c r="AEJ232" s="31"/>
      <c r="AEK232" s="31"/>
      <c r="AEL232" s="31"/>
      <c r="AEM232" s="31"/>
      <c r="AEN232" s="31"/>
      <c r="AEO232" s="31"/>
      <c r="AEP232" s="31"/>
      <c r="AEQ232" s="31"/>
      <c r="AER232" s="31"/>
      <c r="AES232" s="31"/>
      <c r="AET232" s="31"/>
      <c r="AEU232" s="31"/>
      <c r="AEV232" s="31"/>
      <c r="AEW232" s="31"/>
      <c r="AEX232" s="31"/>
      <c r="AEY232" s="31"/>
      <c r="AEZ232" s="31"/>
      <c r="AFA232" s="31"/>
      <c r="AFB232" s="31"/>
      <c r="AFC232" s="31"/>
      <c r="AFD232" s="31"/>
      <c r="AFE232" s="31"/>
      <c r="AFF232" s="31"/>
      <c r="AFG232" s="31"/>
      <c r="AFH232" s="31"/>
      <c r="AFI232" s="31"/>
      <c r="AFJ232" s="31"/>
      <c r="AFK232" s="31"/>
      <c r="AFL232" s="31"/>
      <c r="AFM232" s="31"/>
      <c r="AFN232" s="31"/>
      <c r="AFO232" s="31"/>
      <c r="AFP232" s="31"/>
      <c r="AFQ232" s="31"/>
      <c r="AFR232" s="31"/>
      <c r="AFS232" s="31"/>
      <c r="AFT232" s="31"/>
      <c r="AFU232" s="31"/>
      <c r="AFV232" s="31"/>
      <c r="AFW232" s="31"/>
      <c r="AFX232" s="31"/>
      <c r="AFY232" s="31"/>
      <c r="AFZ232" s="31"/>
      <c r="AGA232" s="31"/>
      <c r="AGB232" s="31"/>
      <c r="AGC232" s="31"/>
      <c r="AGD232" s="31"/>
      <c r="AGE232" s="31"/>
      <c r="AGF232" s="31"/>
      <c r="AGG232" s="31"/>
      <c r="AGH232" s="31"/>
      <c r="AGI232" s="31"/>
      <c r="AGJ232" s="31"/>
      <c r="AGK232" s="31"/>
      <c r="AGL232" s="31"/>
      <c r="AGM232" s="31"/>
      <c r="AGN232" s="31"/>
      <c r="AGO232" s="31"/>
      <c r="AGP232" s="31"/>
      <c r="AGQ232" s="31"/>
      <c r="AGR232" s="31"/>
      <c r="AGS232" s="31"/>
      <c r="AGT232" s="31"/>
      <c r="AGU232" s="31"/>
      <c r="AGV232" s="31"/>
      <c r="AGW232" s="31"/>
      <c r="AGX232" s="31"/>
      <c r="AGY232" s="31"/>
      <c r="AGZ232" s="31"/>
      <c r="AHA232" s="31"/>
      <c r="AHB232" s="31"/>
      <c r="AHC232" s="31"/>
      <c r="AHD232" s="31"/>
      <c r="AHE232" s="31"/>
      <c r="AHF232" s="31"/>
      <c r="AHG232" s="31"/>
      <c r="AHH232" s="31"/>
      <c r="AHI232" s="31"/>
      <c r="AHJ232" s="31"/>
      <c r="AHK232" s="31"/>
      <c r="AHL232" s="31"/>
      <c r="AHM232" s="31"/>
      <c r="AHN232" s="31"/>
      <c r="AHO232" s="31"/>
      <c r="AHP232" s="31"/>
      <c r="AHQ232" s="31"/>
      <c r="AHR232" s="31"/>
      <c r="AHS232" s="31"/>
      <c r="AHT232" s="31"/>
      <c r="AHU232" s="31"/>
      <c r="AHV232" s="31"/>
      <c r="AHW232" s="31"/>
      <c r="AHX232" s="31"/>
      <c r="AHY232" s="31"/>
      <c r="AHZ232" s="31"/>
      <c r="AIA232" s="31"/>
      <c r="AIB232" s="31"/>
      <c r="AIC232" s="31"/>
      <c r="AID232" s="31"/>
      <c r="AIE232" s="31"/>
      <c r="AIF232" s="31"/>
      <c r="AIG232" s="31"/>
      <c r="AIH232" s="31"/>
      <c r="AII232" s="31"/>
      <c r="AIJ232" s="31"/>
      <c r="AIK232" s="31"/>
      <c r="AIL232" s="31"/>
      <c r="AIM232" s="31"/>
      <c r="AIN232" s="31"/>
      <c r="AIO232" s="31"/>
      <c r="AIP232" s="31"/>
      <c r="AIQ232" s="31"/>
      <c r="AIR232" s="31"/>
      <c r="AIS232" s="31"/>
      <c r="AIT232" s="31"/>
      <c r="AIU232" s="31"/>
      <c r="AIV232" s="31"/>
      <c r="AIW232" s="31"/>
      <c r="AIX232" s="31"/>
      <c r="AIY232" s="31"/>
      <c r="AIZ232" s="31"/>
      <c r="AJA232" s="31"/>
      <c r="AJB232" s="31"/>
      <c r="AJC232" s="31"/>
      <c r="AJD232" s="31"/>
      <c r="AJE232" s="31"/>
      <c r="AJF232" s="31"/>
      <c r="AJG232" s="31"/>
      <c r="AJH232" s="31"/>
      <c r="AJI232" s="31"/>
      <c r="AJJ232" s="31"/>
      <c r="AJK232" s="31"/>
      <c r="AJL232" s="31"/>
      <c r="AJM232" s="31"/>
      <c r="AJN232" s="31"/>
      <c r="AJO232" s="31"/>
      <c r="AJP232" s="31"/>
      <c r="AJQ232" s="31"/>
      <c r="AJR232" s="31"/>
      <c r="AJS232" s="31"/>
      <c r="AJT232" s="31"/>
      <c r="AJU232" s="31"/>
      <c r="AJV232" s="31"/>
      <c r="AJW232" s="31"/>
      <c r="AJX232" s="31"/>
      <c r="AJY232" s="31"/>
      <c r="AJZ232" s="31"/>
      <c r="AKA232" s="31"/>
      <c r="AKB232" s="31"/>
      <c r="AKC232" s="31"/>
      <c r="AKD232" s="31"/>
      <c r="AKE232" s="31"/>
      <c r="AKF232" s="31"/>
      <c r="AKG232" s="31"/>
      <c r="AKH232" s="31"/>
      <c r="AKI232" s="31"/>
      <c r="AKJ232" s="31"/>
      <c r="AKK232" s="31"/>
      <c r="AKL232" s="31"/>
      <c r="AKM232" s="31"/>
      <c r="AKN232" s="31"/>
      <c r="AKO232" s="31"/>
      <c r="AKP232" s="31"/>
      <c r="AKQ232" s="31"/>
      <c r="AKR232" s="31"/>
      <c r="AKS232" s="31"/>
      <c r="AKT232" s="31"/>
      <c r="AKU232" s="31"/>
      <c r="AKV232" s="31"/>
      <c r="AKW232" s="31"/>
      <c r="AKX232" s="31"/>
      <c r="AKY232" s="31"/>
      <c r="AKZ232" s="31"/>
      <c r="ALA232" s="31"/>
      <c r="ALB232" s="31"/>
      <c r="ALC232" s="31"/>
      <c r="ALD232" s="31"/>
      <c r="ALE232" s="31"/>
      <c r="ALF232" s="31"/>
      <c r="ALG232" s="31"/>
      <c r="ALH232" s="31"/>
      <c r="ALI232" s="31"/>
      <c r="ALJ232" s="31"/>
      <c r="ALK232" s="31"/>
      <c r="ALL232" s="31"/>
      <c r="ALM232" s="31"/>
      <c r="ALN232" s="31"/>
      <c r="ALO232" s="31"/>
      <c r="ALP232" s="31"/>
      <c r="ALQ232" s="31"/>
      <c r="ALR232" s="31"/>
      <c r="ALS232" s="31"/>
      <c r="ALT232" s="31"/>
      <c r="ALU232" s="31"/>
      <c r="ALV232" s="31"/>
      <c r="ALW232" s="31"/>
      <c r="ALX232" s="31"/>
      <c r="ALY232" s="31"/>
      <c r="ALZ232" s="31"/>
      <c r="AMA232" s="31"/>
      <c r="AMB232" s="31"/>
      <c r="AMC232" s="31"/>
      <c r="AMD232" s="31"/>
      <c r="AME232" s="31"/>
      <c r="AMF232" s="31"/>
      <c r="AMG232" s="31"/>
      <c r="AMH232" s="31"/>
      <c r="AMI232" s="31"/>
      <c r="AMJ232" s="31"/>
      <c r="AMK232" s="31"/>
      <c r="AML232" s="31"/>
      <c r="AMM232" s="31"/>
      <c r="AMN232" s="31"/>
      <c r="AMO232" s="31"/>
      <c r="AMP232" s="31"/>
      <c r="AMQ232" s="31"/>
      <c r="AMR232" s="31"/>
      <c r="AMS232" s="31"/>
      <c r="AMT232" s="31"/>
      <c r="AMU232" s="31"/>
      <c r="AMV232" s="31"/>
      <c r="AMW232" s="31"/>
      <c r="AMX232" s="31"/>
      <c r="AMY232" s="31"/>
      <c r="AMZ232" s="31"/>
      <c r="ANA232" s="31"/>
      <c r="ANB232" s="31"/>
      <c r="ANC232" s="31"/>
      <c r="AND232" s="31"/>
      <c r="ANE232" s="31"/>
      <c r="ANF232" s="31"/>
      <c r="ANG232" s="31"/>
      <c r="ANH232" s="31"/>
      <c r="ANI232" s="31"/>
      <c r="ANJ232" s="31"/>
      <c r="ANK232" s="31"/>
      <c r="ANL232" s="31"/>
      <c r="ANM232" s="31"/>
      <c r="ANN232" s="31"/>
      <c r="ANO232" s="31"/>
      <c r="ANP232" s="31"/>
      <c r="ANQ232" s="31"/>
      <c r="ANR232" s="31"/>
      <c r="ANS232" s="31"/>
      <c r="ANT232" s="31"/>
      <c r="ANU232" s="31"/>
      <c r="ANV232" s="31"/>
      <c r="ANW232" s="31"/>
      <c r="ANX232" s="31"/>
      <c r="ANY232" s="31"/>
      <c r="ANZ232" s="31"/>
      <c r="AOA232" s="31"/>
      <c r="AOB232" s="31"/>
      <c r="AOC232" s="31"/>
      <c r="AOD232" s="31"/>
      <c r="AOE232" s="31"/>
      <c r="AOF232" s="31"/>
      <c r="AOG232" s="31"/>
      <c r="AOH232" s="31"/>
      <c r="AOI232" s="31"/>
      <c r="AOJ232" s="31"/>
      <c r="AOK232" s="31"/>
      <c r="AOL232" s="31"/>
      <c r="AOM232" s="31"/>
      <c r="AON232" s="31"/>
      <c r="AOO232" s="31"/>
      <c r="AOP232" s="31"/>
      <c r="AOQ232" s="31"/>
      <c r="AOR232" s="31"/>
      <c r="AOS232" s="31"/>
      <c r="AOT232" s="31"/>
      <c r="AOU232" s="31"/>
      <c r="AOV232" s="31"/>
      <c r="AOW232" s="31"/>
      <c r="AOX232" s="31"/>
      <c r="AOY232" s="31"/>
      <c r="AOZ232" s="31"/>
      <c r="APA232" s="31"/>
      <c r="APB232" s="31"/>
      <c r="APC232" s="31"/>
      <c r="APD232" s="31"/>
      <c r="APE232" s="31"/>
      <c r="APF232" s="31"/>
      <c r="APG232" s="31"/>
      <c r="APH232" s="31"/>
      <c r="API232" s="31"/>
      <c r="APJ232" s="31"/>
      <c r="APK232" s="31"/>
      <c r="APL232" s="31"/>
      <c r="APM232" s="31"/>
      <c r="APN232" s="31"/>
      <c r="APO232" s="31"/>
      <c r="APP232" s="31"/>
      <c r="APQ232" s="31"/>
      <c r="APR232" s="31"/>
      <c r="APS232" s="31"/>
      <c r="APT232" s="31"/>
      <c r="APU232" s="31"/>
      <c r="APV232" s="31"/>
      <c r="APW232" s="31"/>
      <c r="APX232" s="31"/>
      <c r="APY232" s="31"/>
      <c r="APZ232" s="31"/>
      <c r="AQA232" s="31"/>
      <c r="AQB232" s="31"/>
      <c r="AQC232" s="31"/>
      <c r="AQD232" s="31"/>
      <c r="AQE232" s="31"/>
      <c r="AQF232" s="31"/>
      <c r="AQG232" s="31"/>
      <c r="AQH232" s="31"/>
      <c r="AQI232" s="31"/>
      <c r="AQJ232" s="31"/>
      <c r="AQK232" s="31"/>
      <c r="AQL232" s="31"/>
      <c r="AQM232" s="31"/>
      <c r="AQN232" s="31"/>
      <c r="AQO232" s="31"/>
      <c r="AQP232" s="31"/>
      <c r="AQQ232" s="31"/>
      <c r="AQR232" s="31"/>
      <c r="AQS232" s="31"/>
      <c r="AQT232" s="31"/>
      <c r="AQU232" s="31"/>
      <c r="AQV232" s="31"/>
      <c r="AQW232" s="31"/>
      <c r="AQX232" s="31"/>
      <c r="AQY232" s="31"/>
      <c r="AQZ232" s="31"/>
      <c r="ARA232" s="31"/>
      <c r="ARB232" s="31"/>
      <c r="ARC232" s="31"/>
      <c r="ARD232" s="31"/>
      <c r="ARE232" s="31"/>
      <c r="ARF232" s="31"/>
      <c r="ARG232" s="31"/>
      <c r="ARH232" s="31"/>
      <c r="ARI232" s="31"/>
      <c r="ARJ232" s="31"/>
      <c r="ARK232" s="31"/>
      <c r="ARL232" s="31"/>
      <c r="ARM232" s="31"/>
      <c r="ARN232" s="31"/>
      <c r="ARO232" s="31"/>
      <c r="ARP232" s="31"/>
      <c r="ARQ232" s="31"/>
      <c r="ARR232" s="31"/>
      <c r="ARS232" s="31"/>
      <c r="ART232" s="31"/>
      <c r="ARU232" s="31"/>
      <c r="ARV232" s="31"/>
      <c r="ARW232" s="31"/>
      <c r="ARX232" s="31"/>
      <c r="ARY232" s="31"/>
      <c r="ARZ232" s="31"/>
      <c r="ASA232" s="31"/>
      <c r="ASB232" s="31"/>
      <c r="ASC232" s="31"/>
      <c r="ASD232" s="31"/>
      <c r="ASE232" s="31"/>
      <c r="ASF232" s="31"/>
      <c r="ASG232" s="31"/>
      <c r="ASH232" s="31"/>
      <c r="ASI232" s="31"/>
      <c r="ASJ232" s="31"/>
      <c r="ASK232" s="31"/>
      <c r="ASL232" s="31"/>
      <c r="ASM232" s="31"/>
      <c r="ASN232" s="31"/>
      <c r="ASO232" s="31"/>
      <c r="ASP232" s="31"/>
      <c r="ASQ232" s="31"/>
      <c r="ASR232" s="31"/>
      <c r="ASS232" s="31"/>
      <c r="AST232" s="31"/>
      <c r="ASU232" s="31"/>
      <c r="ASV232" s="31"/>
      <c r="ASW232" s="31"/>
      <c r="ASX232" s="31"/>
      <c r="ASY232" s="31"/>
      <c r="ASZ232" s="31"/>
      <c r="ATA232" s="31"/>
      <c r="ATB232" s="31"/>
      <c r="ATC232" s="31"/>
      <c r="ATD232" s="31"/>
      <c r="ATE232" s="31"/>
    </row>
    <row r="233" spans="1:1201" s="34" customFormat="1" ht="21" x14ac:dyDescent="0.4">
      <c r="A233" s="31"/>
      <c r="B233" s="31"/>
      <c r="C233" s="806" t="s">
        <v>283</v>
      </c>
      <c r="D233" s="801"/>
      <c r="E233" s="801"/>
      <c r="F233" s="801"/>
      <c r="G233" s="801"/>
      <c r="H233" s="802"/>
      <c r="I233" s="803"/>
      <c r="J233" s="803"/>
      <c r="K233" s="803"/>
      <c r="L233" s="803"/>
      <c r="M233" s="803"/>
      <c r="N233" s="803"/>
      <c r="O233" s="803"/>
      <c r="P233" s="803"/>
      <c r="Q233" s="803"/>
      <c r="R233" s="803"/>
      <c r="S233" s="803"/>
      <c r="T233" s="803"/>
      <c r="U233" s="803"/>
      <c r="V233" s="803"/>
      <c r="W233" s="803"/>
      <c r="X233" s="803"/>
      <c r="Y233" s="803"/>
      <c r="Z233" s="1094"/>
      <c r="AA233" s="1107"/>
      <c r="AB233" s="1073"/>
      <c r="AC233" s="1073"/>
      <c r="AD233" s="1073"/>
      <c r="AE233" s="802"/>
      <c r="AF233" s="1073"/>
      <c r="AG233" s="1073"/>
      <c r="AH233" s="1073"/>
      <c r="AI233" s="1073"/>
      <c r="AJ233" s="1073"/>
      <c r="AK233" s="1073"/>
      <c r="AL233" s="1073"/>
      <c r="AM233" s="1073"/>
      <c r="AN233" s="1073"/>
      <c r="AO233" s="803"/>
      <c r="AP233" s="803"/>
      <c r="AQ233" s="803"/>
      <c r="AR233" s="1611"/>
      <c r="AS233" s="803"/>
      <c r="AT233" s="803"/>
      <c r="AU233" s="803"/>
      <c r="AV233" s="803"/>
      <c r="AW233" s="803"/>
      <c r="AX233" s="803"/>
      <c r="AY233" s="803"/>
      <c r="AZ233" s="803"/>
      <c r="BA233" s="803"/>
      <c r="BB233" s="803"/>
      <c r="BC233" s="803"/>
      <c r="BE233" s="802"/>
      <c r="BF233" s="805"/>
      <c r="BG233" s="802"/>
      <c r="BH233" s="31"/>
      <c r="BI233" s="31"/>
      <c r="BJ233" s="31"/>
      <c r="BK233" s="31"/>
      <c r="BL233" s="31"/>
      <c r="BM233" s="31"/>
      <c r="BN233" s="31"/>
      <c r="BO233" s="31"/>
      <c r="BP233" s="31"/>
      <c r="BQ233" s="31"/>
      <c r="BR233" s="31"/>
      <c r="BS233" s="31"/>
      <c r="BT233" s="31"/>
      <c r="BU233" s="31"/>
      <c r="BV233" s="31"/>
      <c r="BW233" s="31"/>
      <c r="BX233" s="31"/>
      <c r="BY233" s="31"/>
      <c r="BZ233" s="31"/>
      <c r="CA233" s="31"/>
      <c r="CB233" s="31"/>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c r="DA233" s="31"/>
      <c r="DB233" s="31"/>
      <c r="DC233" s="31"/>
      <c r="DD233" s="31"/>
      <c r="DE233" s="31"/>
      <c r="DF233" s="31"/>
      <c r="DG233" s="31"/>
      <c r="DH233" s="31"/>
      <c r="DI233" s="31"/>
      <c r="DJ233" s="31"/>
      <c r="DK233" s="31"/>
      <c r="DL233" s="31"/>
      <c r="DM233" s="31"/>
      <c r="DN233" s="31"/>
      <c r="DO233" s="31"/>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c r="EX233" s="31"/>
      <c r="EY233" s="31"/>
      <c r="EZ233" s="31"/>
      <c r="FA233" s="31"/>
      <c r="FB233" s="31"/>
      <c r="FC233" s="31"/>
      <c r="FD233" s="31"/>
      <c r="FE233" s="31"/>
      <c r="FF233" s="31"/>
      <c r="FG233" s="31"/>
      <c r="FH233" s="31"/>
      <c r="FI233" s="31"/>
      <c r="FJ233" s="31"/>
      <c r="FK233" s="31"/>
      <c r="FL233" s="31"/>
      <c r="FM233" s="31"/>
      <c r="FN233" s="31"/>
      <c r="FO233" s="31"/>
      <c r="FP233" s="31"/>
      <c r="FQ233" s="31"/>
      <c r="FR233" s="31"/>
      <c r="FS233" s="31"/>
      <c r="FT233" s="31"/>
      <c r="FU233" s="31"/>
      <c r="FV233" s="31"/>
      <c r="FW233" s="31"/>
      <c r="FX233" s="31"/>
      <c r="FY233" s="31"/>
      <c r="FZ233" s="31"/>
      <c r="GA233" s="31"/>
      <c r="GB233" s="31"/>
      <c r="GC233" s="31"/>
      <c r="GD233" s="31"/>
      <c r="GE233" s="31"/>
      <c r="GF233" s="31"/>
      <c r="GG233" s="31"/>
      <c r="GH233" s="31"/>
      <c r="GI233" s="31"/>
      <c r="GJ233" s="31"/>
      <c r="GK233" s="31"/>
      <c r="GL233" s="31"/>
      <c r="GM233" s="31"/>
      <c r="GN233" s="31"/>
      <c r="GO233" s="31"/>
      <c r="GP233" s="31"/>
      <c r="GQ233" s="31"/>
      <c r="GR233" s="31"/>
      <c r="GS233" s="31"/>
      <c r="GT233" s="31"/>
      <c r="GU233" s="31"/>
      <c r="GV233" s="31"/>
      <c r="GW233" s="31"/>
      <c r="GX233" s="31"/>
      <c r="GY233" s="31"/>
      <c r="GZ233" s="31"/>
      <c r="HA233" s="31"/>
      <c r="HB233" s="31"/>
      <c r="HC233" s="31"/>
      <c r="HD233" s="31"/>
      <c r="HE233" s="31"/>
      <c r="HF233" s="31"/>
      <c r="HG233" s="31"/>
      <c r="HH233" s="31"/>
      <c r="HI233" s="31"/>
      <c r="HJ233" s="31"/>
      <c r="HK233" s="31"/>
      <c r="HL233" s="31"/>
      <c r="HM233" s="31"/>
      <c r="HN233" s="31"/>
      <c r="HO233" s="31"/>
      <c r="HP233" s="31"/>
      <c r="HQ233" s="31"/>
      <c r="HR233" s="31"/>
      <c r="HS233" s="31"/>
      <c r="HT233" s="31"/>
      <c r="HU233" s="31"/>
      <c r="HV233" s="31"/>
      <c r="HW233" s="31"/>
      <c r="HX233" s="31"/>
      <c r="HY233" s="31"/>
      <c r="HZ233" s="31"/>
      <c r="IA233" s="31"/>
      <c r="IB233" s="31"/>
      <c r="IC233" s="31"/>
      <c r="ID233" s="31"/>
      <c r="IE233" s="31"/>
      <c r="IF233" s="31"/>
      <c r="IG233" s="31"/>
      <c r="IH233" s="31"/>
      <c r="II233" s="31"/>
      <c r="IJ233" s="31"/>
      <c r="IK233" s="31"/>
      <c r="IL233" s="31"/>
      <c r="IM233" s="31"/>
      <c r="IN233" s="31"/>
      <c r="IO233" s="31"/>
      <c r="IP233" s="31"/>
      <c r="IQ233" s="31"/>
      <c r="IR233" s="31"/>
      <c r="IS233" s="31"/>
      <c r="IT233" s="31"/>
      <c r="IU233" s="31"/>
      <c r="IV233" s="31"/>
      <c r="IW233" s="31"/>
      <c r="IX233" s="31"/>
      <c r="IY233" s="31"/>
      <c r="IZ233" s="31"/>
      <c r="JA233" s="31"/>
      <c r="JB233" s="31"/>
      <c r="JC233" s="31"/>
      <c r="JD233" s="31"/>
      <c r="JE233" s="31"/>
      <c r="JF233" s="31"/>
      <c r="JG233" s="31"/>
      <c r="JH233" s="31"/>
      <c r="JI233" s="31"/>
      <c r="JJ233" s="31"/>
      <c r="JK233" s="31"/>
      <c r="JL233" s="31"/>
      <c r="JM233" s="31"/>
      <c r="JN233" s="31"/>
      <c r="JO233" s="31"/>
      <c r="JP233" s="31"/>
      <c r="JQ233" s="31"/>
      <c r="JR233" s="31"/>
      <c r="JS233" s="31"/>
      <c r="JT233" s="31"/>
      <c r="JU233" s="31"/>
      <c r="JV233" s="31"/>
      <c r="JW233" s="31"/>
      <c r="JX233" s="31"/>
      <c r="JY233" s="31"/>
      <c r="JZ233" s="31"/>
      <c r="KA233" s="31"/>
      <c r="KB233" s="31"/>
      <c r="KC233" s="31"/>
      <c r="KD233" s="31"/>
      <c r="KE233" s="31"/>
      <c r="KF233" s="31"/>
      <c r="KG233" s="31"/>
      <c r="KH233" s="31"/>
      <c r="KI233" s="31"/>
      <c r="KJ233" s="31"/>
      <c r="KK233" s="31"/>
      <c r="KL233" s="31"/>
      <c r="KM233" s="31"/>
      <c r="KN233" s="31"/>
      <c r="KO233" s="31"/>
      <c r="KP233" s="31"/>
      <c r="KQ233" s="31"/>
      <c r="KR233" s="31"/>
      <c r="KS233" s="31"/>
      <c r="KT233" s="31"/>
      <c r="KU233" s="31"/>
      <c r="KV233" s="31"/>
      <c r="KW233" s="31"/>
      <c r="KX233" s="31"/>
      <c r="KY233" s="31"/>
      <c r="KZ233" s="31"/>
      <c r="LA233" s="31"/>
      <c r="LB233" s="31"/>
      <c r="LC233" s="31"/>
      <c r="LD233" s="31"/>
      <c r="LE233" s="31"/>
      <c r="LF233" s="31"/>
      <c r="LG233" s="31"/>
      <c r="LH233" s="31"/>
      <c r="LI233" s="31"/>
      <c r="LJ233" s="31"/>
      <c r="LK233" s="31"/>
      <c r="LL233" s="31"/>
      <c r="LM233" s="31"/>
      <c r="LN233" s="31"/>
      <c r="LO233" s="31"/>
      <c r="LP233" s="31"/>
      <c r="LQ233" s="31"/>
      <c r="LR233" s="31"/>
      <c r="LS233" s="31"/>
      <c r="LT233" s="31"/>
      <c r="LU233" s="31"/>
      <c r="LV233" s="31"/>
      <c r="LW233" s="31"/>
      <c r="LX233" s="31"/>
      <c r="LY233" s="31"/>
      <c r="LZ233" s="31"/>
      <c r="MA233" s="31"/>
      <c r="MB233" s="31"/>
      <c r="MC233" s="31"/>
      <c r="MD233" s="31"/>
      <c r="ME233" s="31"/>
      <c r="MF233" s="31"/>
      <c r="MG233" s="31"/>
      <c r="MH233" s="31"/>
      <c r="MI233" s="31"/>
      <c r="MJ233" s="31"/>
      <c r="MK233" s="31"/>
      <c r="ML233" s="31"/>
      <c r="MM233" s="31"/>
      <c r="MN233" s="31"/>
      <c r="MO233" s="31"/>
      <c r="MP233" s="31"/>
      <c r="MQ233" s="31"/>
      <c r="MR233" s="31"/>
      <c r="MS233" s="31"/>
      <c r="MT233" s="31"/>
      <c r="MU233" s="31"/>
      <c r="MV233" s="31"/>
      <c r="MW233" s="31"/>
      <c r="MX233" s="31"/>
      <c r="MY233" s="31"/>
      <c r="MZ233" s="31"/>
      <c r="NA233" s="31"/>
      <c r="NB233" s="31"/>
      <c r="NC233" s="31"/>
      <c r="ND233" s="31"/>
      <c r="NE233" s="31"/>
      <c r="NF233" s="31"/>
      <c r="NG233" s="31"/>
      <c r="NH233" s="31"/>
      <c r="NI233" s="31"/>
      <c r="NJ233" s="31"/>
      <c r="NK233" s="31"/>
      <c r="NL233" s="31"/>
      <c r="NM233" s="31"/>
      <c r="NN233" s="31"/>
      <c r="NO233" s="31"/>
      <c r="NP233" s="31"/>
      <c r="NQ233" s="31"/>
      <c r="NR233" s="31"/>
      <c r="NS233" s="31"/>
      <c r="NT233" s="31"/>
      <c r="NU233" s="31"/>
      <c r="NV233" s="31"/>
      <c r="NW233" s="31"/>
      <c r="NX233" s="31"/>
      <c r="NY233" s="31"/>
      <c r="NZ233" s="31"/>
      <c r="OA233" s="31"/>
      <c r="OB233" s="31"/>
      <c r="OC233" s="31"/>
      <c r="OD233" s="31"/>
      <c r="OE233" s="31"/>
      <c r="OF233" s="31"/>
      <c r="OG233" s="31"/>
      <c r="OH233" s="31"/>
      <c r="OI233" s="31"/>
      <c r="OJ233" s="31"/>
      <c r="OK233" s="31"/>
      <c r="OL233" s="31"/>
      <c r="OM233" s="31"/>
      <c r="ON233" s="31"/>
      <c r="OO233" s="31"/>
      <c r="OP233" s="31"/>
      <c r="OQ233" s="31"/>
      <c r="OR233" s="31"/>
      <c r="OS233" s="31"/>
      <c r="OT233" s="31"/>
      <c r="OU233" s="31"/>
      <c r="OV233" s="31"/>
      <c r="OW233" s="31"/>
      <c r="OX233" s="31"/>
      <c r="OY233" s="31"/>
      <c r="OZ233" s="31"/>
      <c r="PA233" s="31"/>
      <c r="PB233" s="31"/>
      <c r="PC233" s="31"/>
      <c r="PD233" s="31"/>
      <c r="PE233" s="31"/>
      <c r="PF233" s="31"/>
      <c r="PG233" s="31"/>
      <c r="PH233" s="31"/>
      <c r="PI233" s="31"/>
      <c r="PJ233" s="31"/>
      <c r="PK233" s="31"/>
      <c r="PL233" s="31"/>
      <c r="PM233" s="31"/>
      <c r="PN233" s="31"/>
      <c r="PO233" s="31"/>
      <c r="PP233" s="31"/>
      <c r="PQ233" s="31"/>
      <c r="PR233" s="31"/>
      <c r="PS233" s="31"/>
      <c r="PT233" s="31"/>
      <c r="PU233" s="31"/>
      <c r="PV233" s="31"/>
      <c r="PW233" s="31"/>
      <c r="PX233" s="31"/>
      <c r="PY233" s="31"/>
      <c r="PZ233" s="31"/>
      <c r="QA233" s="31"/>
      <c r="QB233" s="31"/>
      <c r="QC233" s="31"/>
      <c r="QD233" s="31"/>
      <c r="QE233" s="31"/>
      <c r="QF233" s="31"/>
      <c r="QG233" s="31"/>
      <c r="QH233" s="31"/>
      <c r="QI233" s="31"/>
      <c r="QJ233" s="31"/>
      <c r="QK233" s="31"/>
      <c r="QL233" s="31"/>
      <c r="QM233" s="31"/>
      <c r="QN233" s="31"/>
      <c r="QO233" s="31"/>
      <c r="QP233" s="31"/>
      <c r="QQ233" s="31"/>
      <c r="QR233" s="31"/>
      <c r="QS233" s="31"/>
      <c r="QT233" s="31"/>
      <c r="QU233" s="31"/>
      <c r="QV233" s="31"/>
      <c r="QW233" s="31"/>
      <c r="QX233" s="31"/>
      <c r="QY233" s="31"/>
      <c r="QZ233" s="31"/>
      <c r="RA233" s="31"/>
      <c r="RB233" s="31"/>
      <c r="RC233" s="31"/>
      <c r="RD233" s="31"/>
      <c r="RE233" s="31"/>
      <c r="RF233" s="31"/>
      <c r="RG233" s="31"/>
      <c r="RH233" s="31"/>
      <c r="RI233" s="31"/>
      <c r="RJ233" s="31"/>
      <c r="RK233" s="31"/>
      <c r="RL233" s="31"/>
      <c r="RM233" s="31"/>
      <c r="RN233" s="31"/>
      <c r="RO233" s="31"/>
      <c r="RP233" s="31"/>
      <c r="RQ233" s="31"/>
      <c r="RR233" s="31"/>
      <c r="RS233" s="31"/>
      <c r="RT233" s="31"/>
      <c r="RU233" s="31"/>
      <c r="RV233" s="31"/>
      <c r="RW233" s="31"/>
      <c r="RX233" s="31"/>
      <c r="RY233" s="31"/>
      <c r="RZ233" s="31"/>
      <c r="SA233" s="31"/>
      <c r="SB233" s="31"/>
      <c r="SC233" s="31"/>
      <c r="SD233" s="31"/>
      <c r="SE233" s="31"/>
      <c r="SF233" s="31"/>
      <c r="SG233" s="31"/>
      <c r="SH233" s="31"/>
      <c r="SI233" s="31"/>
      <c r="SJ233" s="31"/>
      <c r="SK233" s="31"/>
      <c r="SL233" s="31"/>
      <c r="SM233" s="31"/>
      <c r="SN233" s="31"/>
      <c r="SO233" s="31"/>
      <c r="SP233" s="31"/>
      <c r="SQ233" s="31"/>
      <c r="SR233" s="31"/>
      <c r="SS233" s="31"/>
      <c r="ST233" s="31"/>
      <c r="SU233" s="31"/>
      <c r="SV233" s="31"/>
      <c r="SW233" s="31"/>
      <c r="SX233" s="31"/>
      <c r="SY233" s="31"/>
      <c r="SZ233" s="31"/>
      <c r="TA233" s="31"/>
      <c r="TB233" s="31"/>
      <c r="TC233" s="31"/>
      <c r="TD233" s="31"/>
      <c r="TE233" s="31"/>
      <c r="TF233" s="31"/>
      <c r="TG233" s="31"/>
      <c r="TH233" s="31"/>
      <c r="TI233" s="31"/>
      <c r="TJ233" s="31"/>
      <c r="TK233" s="31"/>
      <c r="TL233" s="31"/>
      <c r="TM233" s="31"/>
      <c r="TN233" s="31"/>
      <c r="TO233" s="31"/>
      <c r="TP233" s="31"/>
      <c r="TQ233" s="31"/>
      <c r="TR233" s="31"/>
      <c r="TS233" s="31"/>
      <c r="TT233" s="31"/>
      <c r="TU233" s="31"/>
      <c r="TV233" s="31"/>
      <c r="TW233" s="31"/>
      <c r="TX233" s="31"/>
      <c r="TY233" s="31"/>
      <c r="TZ233" s="31"/>
      <c r="UA233" s="31"/>
      <c r="UB233" s="31"/>
      <c r="UC233" s="31"/>
      <c r="UD233" s="31"/>
      <c r="UE233" s="31"/>
      <c r="UF233" s="31"/>
      <c r="UG233" s="31"/>
      <c r="UH233" s="31"/>
      <c r="UI233" s="31"/>
      <c r="UJ233" s="31"/>
      <c r="UK233" s="31"/>
      <c r="UL233" s="31"/>
      <c r="UM233" s="31"/>
      <c r="UN233" s="31"/>
      <c r="UO233" s="31"/>
      <c r="UP233" s="31"/>
      <c r="UQ233" s="31"/>
      <c r="UR233" s="31"/>
      <c r="US233" s="31"/>
      <c r="UT233" s="31"/>
      <c r="UU233" s="31"/>
      <c r="UV233" s="31"/>
      <c r="UW233" s="31"/>
      <c r="UX233" s="31"/>
      <c r="UY233" s="31"/>
      <c r="UZ233" s="31"/>
      <c r="VA233" s="31"/>
      <c r="VB233" s="31"/>
      <c r="VC233" s="31"/>
      <c r="VD233" s="31"/>
      <c r="VE233" s="31"/>
      <c r="VF233" s="31"/>
      <c r="VG233" s="31"/>
      <c r="VH233" s="31"/>
      <c r="VI233" s="31"/>
      <c r="VJ233" s="31"/>
      <c r="VK233" s="31"/>
      <c r="VL233" s="31"/>
      <c r="VM233" s="31"/>
      <c r="VN233" s="31"/>
      <c r="VO233" s="31"/>
      <c r="VP233" s="31"/>
      <c r="VQ233" s="31"/>
      <c r="VR233" s="31"/>
      <c r="VS233" s="31"/>
      <c r="VT233" s="31"/>
      <c r="VU233" s="31"/>
      <c r="VV233" s="31"/>
      <c r="VW233" s="31"/>
      <c r="VX233" s="31"/>
      <c r="VY233" s="31"/>
      <c r="VZ233" s="31"/>
      <c r="WA233" s="31"/>
      <c r="WB233" s="31"/>
      <c r="WC233" s="31"/>
      <c r="WD233" s="31"/>
      <c r="WE233" s="31"/>
      <c r="WF233" s="31"/>
      <c r="WG233" s="31"/>
      <c r="WH233" s="31"/>
      <c r="WI233" s="31"/>
      <c r="WJ233" s="31"/>
      <c r="WK233" s="31"/>
      <c r="WL233" s="31"/>
      <c r="WM233" s="31"/>
      <c r="WN233" s="31"/>
      <c r="WO233" s="31"/>
      <c r="WP233" s="31"/>
      <c r="WQ233" s="31"/>
      <c r="WR233" s="31"/>
      <c r="WS233" s="31"/>
      <c r="WT233" s="31"/>
      <c r="WU233" s="31"/>
      <c r="WV233" s="31"/>
      <c r="WW233" s="31"/>
      <c r="WX233" s="31"/>
      <c r="WY233" s="31"/>
      <c r="WZ233" s="31"/>
      <c r="XA233" s="31"/>
      <c r="XB233" s="31"/>
      <c r="XC233" s="31"/>
      <c r="XD233" s="31"/>
      <c r="XE233" s="31"/>
      <c r="XF233" s="31"/>
      <c r="XG233" s="31"/>
      <c r="XH233" s="31"/>
      <c r="XI233" s="31"/>
      <c r="XJ233" s="31"/>
      <c r="XK233" s="31"/>
      <c r="XL233" s="31"/>
      <c r="XM233" s="31"/>
      <c r="XN233" s="31"/>
      <c r="XO233" s="31"/>
      <c r="XP233" s="31"/>
      <c r="XQ233" s="31"/>
      <c r="XR233" s="31"/>
      <c r="XS233" s="31"/>
      <c r="XT233" s="31"/>
      <c r="XU233" s="31"/>
      <c r="XV233" s="31"/>
      <c r="XW233" s="31"/>
      <c r="XX233" s="31"/>
      <c r="XY233" s="31"/>
      <c r="XZ233" s="31"/>
      <c r="YA233" s="31"/>
      <c r="YB233" s="31"/>
      <c r="YC233" s="31"/>
      <c r="YD233" s="31"/>
      <c r="YE233" s="31"/>
      <c r="YF233" s="31"/>
      <c r="YG233" s="31"/>
      <c r="YH233" s="31"/>
      <c r="YI233" s="31"/>
      <c r="YJ233" s="31"/>
      <c r="YK233" s="31"/>
      <c r="YL233" s="31"/>
      <c r="YM233" s="31"/>
      <c r="YN233" s="31"/>
      <c r="YO233" s="31"/>
      <c r="YP233" s="31"/>
      <c r="YQ233" s="31"/>
      <c r="YR233" s="31"/>
      <c r="YS233" s="31"/>
      <c r="YT233" s="31"/>
      <c r="YU233" s="31"/>
      <c r="YV233" s="31"/>
      <c r="YW233" s="31"/>
      <c r="YX233" s="31"/>
      <c r="YY233" s="31"/>
      <c r="YZ233" s="31"/>
      <c r="ZA233" s="31"/>
      <c r="ZB233" s="31"/>
      <c r="ZC233" s="31"/>
      <c r="ZD233" s="31"/>
      <c r="ZE233" s="31"/>
      <c r="ZF233" s="31"/>
      <c r="ZG233" s="31"/>
      <c r="ZH233" s="31"/>
      <c r="ZI233" s="31"/>
      <c r="ZJ233" s="31"/>
      <c r="ZK233" s="31"/>
      <c r="ZL233" s="31"/>
      <c r="ZM233" s="31"/>
      <c r="ZN233" s="31"/>
      <c r="ZO233" s="31"/>
      <c r="ZP233" s="31"/>
      <c r="ZQ233" s="31"/>
      <c r="ZR233" s="31"/>
      <c r="ZS233" s="31"/>
      <c r="ZT233" s="31"/>
      <c r="ZU233" s="31"/>
      <c r="ZV233" s="31"/>
      <c r="ZW233" s="31"/>
      <c r="ZX233" s="31"/>
      <c r="ZY233" s="31"/>
      <c r="ZZ233" s="31"/>
      <c r="AAA233" s="31"/>
      <c r="AAB233" s="31"/>
      <c r="AAC233" s="31"/>
      <c r="AAD233" s="31"/>
      <c r="AAE233" s="31"/>
      <c r="AAF233" s="31"/>
      <c r="AAG233" s="31"/>
      <c r="AAH233" s="31"/>
      <c r="AAI233" s="31"/>
      <c r="AAJ233" s="31"/>
      <c r="AAK233" s="31"/>
      <c r="AAL233" s="31"/>
      <c r="AAM233" s="31"/>
      <c r="AAN233" s="31"/>
      <c r="AAO233" s="31"/>
      <c r="AAP233" s="31"/>
      <c r="AAQ233" s="31"/>
      <c r="AAR233" s="31"/>
      <c r="AAS233" s="31"/>
      <c r="AAT233" s="31"/>
      <c r="AAU233" s="31"/>
      <c r="AAV233" s="31"/>
      <c r="AAW233" s="31"/>
      <c r="AAX233" s="31"/>
      <c r="AAY233" s="31"/>
      <c r="AAZ233" s="31"/>
      <c r="ABA233" s="31"/>
      <c r="ABB233" s="31"/>
      <c r="ABC233" s="31"/>
      <c r="ABD233" s="31"/>
      <c r="ABE233" s="31"/>
      <c r="ABF233" s="31"/>
      <c r="ABG233" s="31"/>
      <c r="ABH233" s="31"/>
      <c r="ABI233" s="31"/>
      <c r="ABJ233" s="31"/>
      <c r="ABK233" s="31"/>
      <c r="ABL233" s="31"/>
      <c r="ABM233" s="31"/>
      <c r="ABN233" s="31"/>
      <c r="ABO233" s="31"/>
      <c r="ABP233" s="31"/>
      <c r="ABQ233" s="31"/>
      <c r="ABR233" s="31"/>
      <c r="ABS233" s="31"/>
      <c r="ABT233" s="31"/>
      <c r="ABU233" s="31"/>
      <c r="ABV233" s="31"/>
      <c r="ABW233" s="31"/>
      <c r="ABX233" s="31"/>
      <c r="ABY233" s="31"/>
      <c r="ABZ233" s="31"/>
      <c r="ACA233" s="31"/>
      <c r="ACB233" s="31"/>
      <c r="ACC233" s="31"/>
      <c r="ACD233" s="31"/>
      <c r="ACE233" s="31"/>
      <c r="ACF233" s="31"/>
      <c r="ACG233" s="31"/>
      <c r="ACH233" s="31"/>
      <c r="ACI233" s="31"/>
      <c r="ACJ233" s="31"/>
      <c r="ACK233" s="31"/>
      <c r="ACL233" s="31"/>
      <c r="ACM233" s="31"/>
      <c r="ACN233" s="31"/>
      <c r="ACO233" s="31"/>
      <c r="ACP233" s="31"/>
      <c r="ACQ233" s="31"/>
      <c r="ACR233" s="31"/>
      <c r="ACS233" s="31"/>
      <c r="ACT233" s="31"/>
      <c r="ACU233" s="31"/>
      <c r="ACV233" s="31"/>
      <c r="ACW233" s="31"/>
      <c r="ACX233" s="31"/>
      <c r="ACY233" s="31"/>
      <c r="ACZ233" s="31"/>
      <c r="ADA233" s="31"/>
      <c r="ADB233" s="31"/>
      <c r="ADC233" s="31"/>
      <c r="ADD233" s="31"/>
      <c r="ADE233" s="31"/>
      <c r="ADF233" s="31"/>
      <c r="ADG233" s="31"/>
      <c r="ADH233" s="31"/>
      <c r="ADI233" s="31"/>
      <c r="ADJ233" s="31"/>
      <c r="ADK233" s="31"/>
      <c r="ADL233" s="31"/>
      <c r="ADM233" s="31"/>
      <c r="ADN233" s="31"/>
      <c r="ADO233" s="31"/>
      <c r="ADP233" s="31"/>
      <c r="ADQ233" s="31"/>
      <c r="ADR233" s="31"/>
      <c r="ADS233" s="31"/>
      <c r="ADT233" s="31"/>
      <c r="ADU233" s="31"/>
      <c r="ADV233" s="31"/>
      <c r="ADW233" s="31"/>
      <c r="ADX233" s="31"/>
      <c r="ADY233" s="31"/>
      <c r="ADZ233" s="31"/>
      <c r="AEA233" s="31"/>
      <c r="AEB233" s="31"/>
      <c r="AEC233" s="31"/>
      <c r="AED233" s="31"/>
      <c r="AEE233" s="31"/>
      <c r="AEF233" s="31"/>
      <c r="AEG233" s="31"/>
      <c r="AEH233" s="31"/>
      <c r="AEI233" s="31"/>
      <c r="AEJ233" s="31"/>
      <c r="AEK233" s="31"/>
      <c r="AEL233" s="31"/>
      <c r="AEM233" s="31"/>
      <c r="AEN233" s="31"/>
      <c r="AEO233" s="31"/>
      <c r="AEP233" s="31"/>
      <c r="AEQ233" s="31"/>
      <c r="AER233" s="31"/>
      <c r="AES233" s="31"/>
      <c r="AET233" s="31"/>
      <c r="AEU233" s="31"/>
      <c r="AEV233" s="31"/>
      <c r="AEW233" s="31"/>
      <c r="AEX233" s="31"/>
      <c r="AEY233" s="31"/>
      <c r="AEZ233" s="31"/>
      <c r="AFA233" s="31"/>
      <c r="AFB233" s="31"/>
      <c r="AFC233" s="31"/>
      <c r="AFD233" s="31"/>
      <c r="AFE233" s="31"/>
      <c r="AFF233" s="31"/>
      <c r="AFG233" s="31"/>
      <c r="AFH233" s="31"/>
      <c r="AFI233" s="31"/>
      <c r="AFJ233" s="31"/>
      <c r="AFK233" s="31"/>
      <c r="AFL233" s="31"/>
      <c r="AFM233" s="31"/>
      <c r="AFN233" s="31"/>
      <c r="AFO233" s="31"/>
      <c r="AFP233" s="31"/>
      <c r="AFQ233" s="31"/>
      <c r="AFR233" s="31"/>
      <c r="AFS233" s="31"/>
      <c r="AFT233" s="31"/>
      <c r="AFU233" s="31"/>
      <c r="AFV233" s="31"/>
      <c r="AFW233" s="31"/>
      <c r="AFX233" s="31"/>
      <c r="AFY233" s="31"/>
      <c r="AFZ233" s="31"/>
      <c r="AGA233" s="31"/>
      <c r="AGB233" s="31"/>
      <c r="AGC233" s="31"/>
      <c r="AGD233" s="31"/>
      <c r="AGE233" s="31"/>
      <c r="AGF233" s="31"/>
      <c r="AGG233" s="31"/>
      <c r="AGH233" s="31"/>
      <c r="AGI233" s="31"/>
      <c r="AGJ233" s="31"/>
      <c r="AGK233" s="31"/>
      <c r="AGL233" s="31"/>
      <c r="AGM233" s="31"/>
      <c r="AGN233" s="31"/>
      <c r="AGO233" s="31"/>
      <c r="AGP233" s="31"/>
      <c r="AGQ233" s="31"/>
      <c r="AGR233" s="31"/>
      <c r="AGS233" s="31"/>
      <c r="AGT233" s="31"/>
      <c r="AGU233" s="31"/>
      <c r="AGV233" s="31"/>
      <c r="AGW233" s="31"/>
      <c r="AGX233" s="31"/>
      <c r="AGY233" s="31"/>
      <c r="AGZ233" s="31"/>
      <c r="AHA233" s="31"/>
      <c r="AHB233" s="31"/>
      <c r="AHC233" s="31"/>
      <c r="AHD233" s="31"/>
      <c r="AHE233" s="31"/>
      <c r="AHF233" s="31"/>
      <c r="AHG233" s="31"/>
      <c r="AHH233" s="31"/>
      <c r="AHI233" s="31"/>
      <c r="AHJ233" s="31"/>
      <c r="AHK233" s="31"/>
      <c r="AHL233" s="31"/>
      <c r="AHM233" s="31"/>
      <c r="AHN233" s="31"/>
      <c r="AHO233" s="31"/>
      <c r="AHP233" s="31"/>
      <c r="AHQ233" s="31"/>
      <c r="AHR233" s="31"/>
      <c r="AHS233" s="31"/>
      <c r="AHT233" s="31"/>
      <c r="AHU233" s="31"/>
      <c r="AHV233" s="31"/>
      <c r="AHW233" s="31"/>
      <c r="AHX233" s="31"/>
      <c r="AHY233" s="31"/>
      <c r="AHZ233" s="31"/>
      <c r="AIA233" s="31"/>
      <c r="AIB233" s="31"/>
      <c r="AIC233" s="31"/>
      <c r="AID233" s="31"/>
      <c r="AIE233" s="31"/>
      <c r="AIF233" s="31"/>
      <c r="AIG233" s="31"/>
      <c r="AIH233" s="31"/>
      <c r="AII233" s="31"/>
      <c r="AIJ233" s="31"/>
      <c r="AIK233" s="31"/>
      <c r="AIL233" s="31"/>
      <c r="AIM233" s="31"/>
      <c r="AIN233" s="31"/>
      <c r="AIO233" s="31"/>
      <c r="AIP233" s="31"/>
      <c r="AIQ233" s="31"/>
      <c r="AIR233" s="31"/>
      <c r="AIS233" s="31"/>
      <c r="AIT233" s="31"/>
      <c r="AIU233" s="31"/>
      <c r="AIV233" s="31"/>
      <c r="AIW233" s="31"/>
      <c r="AIX233" s="31"/>
      <c r="AIY233" s="31"/>
      <c r="AIZ233" s="31"/>
      <c r="AJA233" s="31"/>
      <c r="AJB233" s="31"/>
      <c r="AJC233" s="31"/>
      <c r="AJD233" s="31"/>
      <c r="AJE233" s="31"/>
      <c r="AJF233" s="31"/>
      <c r="AJG233" s="31"/>
      <c r="AJH233" s="31"/>
      <c r="AJI233" s="31"/>
      <c r="AJJ233" s="31"/>
      <c r="AJK233" s="31"/>
      <c r="AJL233" s="31"/>
      <c r="AJM233" s="31"/>
      <c r="AJN233" s="31"/>
      <c r="AJO233" s="31"/>
      <c r="AJP233" s="31"/>
      <c r="AJQ233" s="31"/>
      <c r="AJR233" s="31"/>
      <c r="AJS233" s="31"/>
      <c r="AJT233" s="31"/>
      <c r="AJU233" s="31"/>
      <c r="AJV233" s="31"/>
      <c r="AJW233" s="31"/>
      <c r="AJX233" s="31"/>
      <c r="AJY233" s="31"/>
      <c r="AJZ233" s="31"/>
      <c r="AKA233" s="31"/>
      <c r="AKB233" s="31"/>
      <c r="AKC233" s="31"/>
      <c r="AKD233" s="31"/>
      <c r="AKE233" s="31"/>
      <c r="AKF233" s="31"/>
      <c r="AKG233" s="31"/>
      <c r="AKH233" s="31"/>
      <c r="AKI233" s="31"/>
      <c r="AKJ233" s="31"/>
      <c r="AKK233" s="31"/>
      <c r="AKL233" s="31"/>
      <c r="AKM233" s="31"/>
      <c r="AKN233" s="31"/>
      <c r="AKO233" s="31"/>
      <c r="AKP233" s="31"/>
      <c r="AKQ233" s="31"/>
      <c r="AKR233" s="31"/>
      <c r="AKS233" s="31"/>
      <c r="AKT233" s="31"/>
      <c r="AKU233" s="31"/>
      <c r="AKV233" s="31"/>
      <c r="AKW233" s="31"/>
      <c r="AKX233" s="31"/>
      <c r="AKY233" s="31"/>
      <c r="AKZ233" s="31"/>
      <c r="ALA233" s="31"/>
      <c r="ALB233" s="31"/>
      <c r="ALC233" s="31"/>
      <c r="ALD233" s="31"/>
      <c r="ALE233" s="31"/>
      <c r="ALF233" s="31"/>
      <c r="ALG233" s="31"/>
      <c r="ALH233" s="31"/>
      <c r="ALI233" s="31"/>
      <c r="ALJ233" s="31"/>
      <c r="ALK233" s="31"/>
      <c r="ALL233" s="31"/>
      <c r="ALM233" s="31"/>
      <c r="ALN233" s="31"/>
      <c r="ALO233" s="31"/>
      <c r="ALP233" s="31"/>
      <c r="ALQ233" s="31"/>
      <c r="ALR233" s="31"/>
      <c r="ALS233" s="31"/>
      <c r="ALT233" s="31"/>
      <c r="ALU233" s="31"/>
      <c r="ALV233" s="31"/>
      <c r="ALW233" s="31"/>
      <c r="ALX233" s="31"/>
      <c r="ALY233" s="31"/>
      <c r="ALZ233" s="31"/>
      <c r="AMA233" s="31"/>
      <c r="AMB233" s="31"/>
      <c r="AMC233" s="31"/>
      <c r="AMD233" s="31"/>
      <c r="AME233" s="31"/>
      <c r="AMF233" s="31"/>
      <c r="AMG233" s="31"/>
      <c r="AMH233" s="31"/>
      <c r="AMI233" s="31"/>
      <c r="AMJ233" s="31"/>
      <c r="AMK233" s="31"/>
      <c r="AML233" s="31"/>
      <c r="AMM233" s="31"/>
      <c r="AMN233" s="31"/>
      <c r="AMO233" s="31"/>
      <c r="AMP233" s="31"/>
      <c r="AMQ233" s="31"/>
      <c r="AMR233" s="31"/>
      <c r="AMS233" s="31"/>
      <c r="AMT233" s="31"/>
      <c r="AMU233" s="31"/>
      <c r="AMV233" s="31"/>
      <c r="AMW233" s="31"/>
      <c r="AMX233" s="31"/>
      <c r="AMY233" s="31"/>
      <c r="AMZ233" s="31"/>
      <c r="ANA233" s="31"/>
      <c r="ANB233" s="31"/>
      <c r="ANC233" s="31"/>
      <c r="AND233" s="31"/>
      <c r="ANE233" s="31"/>
      <c r="ANF233" s="31"/>
      <c r="ANG233" s="31"/>
      <c r="ANH233" s="31"/>
      <c r="ANI233" s="31"/>
      <c r="ANJ233" s="31"/>
      <c r="ANK233" s="31"/>
      <c r="ANL233" s="31"/>
      <c r="ANM233" s="31"/>
      <c r="ANN233" s="31"/>
      <c r="ANO233" s="31"/>
      <c r="ANP233" s="31"/>
      <c r="ANQ233" s="31"/>
      <c r="ANR233" s="31"/>
      <c r="ANS233" s="31"/>
      <c r="ANT233" s="31"/>
      <c r="ANU233" s="31"/>
      <c r="ANV233" s="31"/>
      <c r="ANW233" s="31"/>
      <c r="ANX233" s="31"/>
      <c r="ANY233" s="31"/>
      <c r="ANZ233" s="31"/>
      <c r="AOA233" s="31"/>
      <c r="AOB233" s="31"/>
      <c r="AOC233" s="31"/>
      <c r="AOD233" s="31"/>
      <c r="AOE233" s="31"/>
      <c r="AOF233" s="31"/>
      <c r="AOG233" s="31"/>
      <c r="AOH233" s="31"/>
      <c r="AOI233" s="31"/>
      <c r="AOJ233" s="31"/>
      <c r="AOK233" s="31"/>
      <c r="AOL233" s="31"/>
      <c r="AOM233" s="31"/>
      <c r="AON233" s="31"/>
      <c r="AOO233" s="31"/>
      <c r="AOP233" s="31"/>
      <c r="AOQ233" s="31"/>
      <c r="AOR233" s="31"/>
      <c r="AOS233" s="31"/>
      <c r="AOT233" s="31"/>
      <c r="AOU233" s="31"/>
      <c r="AOV233" s="31"/>
      <c r="AOW233" s="31"/>
      <c r="AOX233" s="31"/>
      <c r="AOY233" s="31"/>
      <c r="AOZ233" s="31"/>
      <c r="APA233" s="31"/>
      <c r="APB233" s="31"/>
      <c r="APC233" s="31"/>
      <c r="APD233" s="31"/>
      <c r="APE233" s="31"/>
      <c r="APF233" s="31"/>
      <c r="APG233" s="31"/>
      <c r="APH233" s="31"/>
      <c r="API233" s="31"/>
      <c r="APJ233" s="31"/>
      <c r="APK233" s="31"/>
      <c r="APL233" s="31"/>
      <c r="APM233" s="31"/>
      <c r="APN233" s="31"/>
      <c r="APO233" s="31"/>
      <c r="APP233" s="31"/>
      <c r="APQ233" s="31"/>
      <c r="APR233" s="31"/>
      <c r="APS233" s="31"/>
      <c r="APT233" s="31"/>
      <c r="APU233" s="31"/>
      <c r="APV233" s="31"/>
      <c r="APW233" s="31"/>
      <c r="APX233" s="31"/>
      <c r="APY233" s="31"/>
      <c r="APZ233" s="31"/>
      <c r="AQA233" s="31"/>
      <c r="AQB233" s="31"/>
      <c r="AQC233" s="31"/>
      <c r="AQD233" s="31"/>
      <c r="AQE233" s="31"/>
      <c r="AQF233" s="31"/>
      <c r="AQG233" s="31"/>
      <c r="AQH233" s="31"/>
      <c r="AQI233" s="31"/>
      <c r="AQJ233" s="31"/>
      <c r="AQK233" s="31"/>
      <c r="AQL233" s="31"/>
      <c r="AQM233" s="31"/>
      <c r="AQN233" s="31"/>
      <c r="AQO233" s="31"/>
      <c r="AQP233" s="31"/>
      <c r="AQQ233" s="31"/>
      <c r="AQR233" s="31"/>
      <c r="AQS233" s="31"/>
      <c r="AQT233" s="31"/>
      <c r="AQU233" s="31"/>
      <c r="AQV233" s="31"/>
      <c r="AQW233" s="31"/>
      <c r="AQX233" s="31"/>
      <c r="AQY233" s="31"/>
      <c r="AQZ233" s="31"/>
      <c r="ARA233" s="31"/>
      <c r="ARB233" s="31"/>
      <c r="ARC233" s="31"/>
      <c r="ARD233" s="31"/>
      <c r="ARE233" s="31"/>
      <c r="ARF233" s="31"/>
      <c r="ARG233" s="31"/>
      <c r="ARH233" s="31"/>
      <c r="ARI233" s="31"/>
      <c r="ARJ233" s="31"/>
      <c r="ARK233" s="31"/>
      <c r="ARL233" s="31"/>
      <c r="ARM233" s="31"/>
      <c r="ARN233" s="31"/>
      <c r="ARO233" s="31"/>
      <c r="ARP233" s="31"/>
      <c r="ARQ233" s="31"/>
      <c r="ARR233" s="31"/>
      <c r="ARS233" s="31"/>
      <c r="ART233" s="31"/>
      <c r="ARU233" s="31"/>
      <c r="ARV233" s="31"/>
      <c r="ARW233" s="31"/>
      <c r="ARX233" s="31"/>
      <c r="ARY233" s="31"/>
      <c r="ARZ233" s="31"/>
      <c r="ASA233" s="31"/>
      <c r="ASB233" s="31"/>
      <c r="ASC233" s="31"/>
      <c r="ASD233" s="31"/>
      <c r="ASE233" s="31"/>
      <c r="ASF233" s="31"/>
      <c r="ASG233" s="31"/>
      <c r="ASH233" s="31"/>
      <c r="ASI233" s="31"/>
      <c r="ASJ233" s="31"/>
      <c r="ASK233" s="31"/>
      <c r="ASL233" s="31"/>
      <c r="ASM233" s="31"/>
      <c r="ASN233" s="31"/>
      <c r="ASO233" s="31"/>
      <c r="ASP233" s="31"/>
      <c r="ASQ233" s="31"/>
      <c r="ASR233" s="31"/>
      <c r="ASS233" s="31"/>
      <c r="AST233" s="31"/>
      <c r="ASU233" s="31"/>
      <c r="ASV233" s="31"/>
      <c r="ASW233" s="31"/>
      <c r="ASX233" s="31"/>
      <c r="ASY233" s="31"/>
      <c r="ASZ233" s="31"/>
      <c r="ATA233" s="31"/>
      <c r="ATB233" s="31"/>
      <c r="ATC233" s="31"/>
      <c r="ATD233" s="31"/>
      <c r="ATE233" s="31"/>
    </row>
    <row r="234" spans="1:1201" s="34" customFormat="1" ht="15.75" customHeight="1" x14ac:dyDescent="0.3">
      <c r="A234" s="76"/>
      <c r="B234" s="76"/>
      <c r="C234" s="63"/>
      <c r="D234" s="63"/>
      <c r="E234" s="63"/>
      <c r="F234" s="63"/>
      <c r="G234" s="143"/>
      <c r="H234" s="627"/>
      <c r="I234" s="628"/>
      <c r="J234" s="628"/>
      <c r="K234" s="628"/>
      <c r="L234" s="628"/>
      <c r="M234" s="628"/>
      <c r="N234" s="628"/>
      <c r="O234" s="628"/>
      <c r="P234" s="628"/>
      <c r="Q234" s="628"/>
      <c r="R234" s="628"/>
      <c r="S234" s="628"/>
      <c r="T234" s="918"/>
      <c r="U234" s="918"/>
      <c r="V234" s="918"/>
      <c r="W234" s="918"/>
      <c r="X234" s="918"/>
      <c r="Y234" s="918"/>
      <c r="Z234" s="1070"/>
      <c r="AA234" s="1070"/>
      <c r="AB234" s="1070"/>
      <c r="AC234" s="1070"/>
      <c r="AD234" s="1070"/>
      <c r="AE234" s="952"/>
      <c r="AF234" s="1070"/>
      <c r="AG234" s="1070"/>
      <c r="AH234" s="1070"/>
      <c r="AI234" s="1070"/>
      <c r="AJ234" s="1070"/>
      <c r="AK234" s="1070"/>
      <c r="AL234" s="1070"/>
      <c r="AM234" s="1070"/>
      <c r="AN234" s="1466"/>
      <c r="AO234" s="1466"/>
      <c r="AP234" s="628"/>
      <c r="AQ234" s="628"/>
      <c r="AR234" s="1618"/>
      <c r="AS234" s="628"/>
      <c r="AT234" s="628"/>
      <c r="AU234" s="628"/>
      <c r="AV234" s="628"/>
      <c r="AW234" s="628"/>
      <c r="AX234" s="628"/>
      <c r="AY234" s="628"/>
      <c r="AZ234" s="628"/>
      <c r="BA234" s="628"/>
      <c r="BB234" s="628"/>
      <c r="BC234" s="628"/>
      <c r="BE234" s="1182"/>
      <c r="BF234" s="918"/>
      <c r="BG234" s="1182"/>
      <c r="BH234" s="31"/>
      <c r="BI234" s="31"/>
      <c r="BJ234" s="31"/>
      <c r="BK234" s="31"/>
      <c r="BL234" s="31"/>
      <c r="BM234" s="31"/>
      <c r="BN234" s="31"/>
      <c r="BO234" s="31"/>
      <c r="BP234" s="31"/>
      <c r="BQ234" s="31"/>
      <c r="BR234" s="31"/>
      <c r="BS234" s="31"/>
      <c r="BT234" s="31"/>
      <c r="BU234" s="31"/>
      <c r="BV234" s="31"/>
      <c r="BW234" s="31"/>
      <c r="BX234" s="31"/>
      <c r="BY234" s="31"/>
      <c r="BZ234" s="31"/>
      <c r="CA234" s="31"/>
      <c r="CB234" s="31"/>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c r="DA234" s="31"/>
      <c r="DB234" s="31"/>
      <c r="DC234" s="31"/>
      <c r="DD234" s="31"/>
      <c r="DE234" s="31"/>
      <c r="DF234" s="31"/>
      <c r="DG234" s="31"/>
      <c r="DH234" s="31"/>
      <c r="DI234" s="31"/>
      <c r="DJ234" s="31"/>
      <c r="DK234" s="31"/>
      <c r="DL234" s="31"/>
      <c r="DM234" s="31"/>
      <c r="DN234" s="31"/>
      <c r="DO234" s="31"/>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c r="EX234" s="31"/>
      <c r="EY234" s="31"/>
      <c r="EZ234" s="31"/>
      <c r="FA234" s="31"/>
      <c r="FB234" s="31"/>
      <c r="FC234" s="31"/>
      <c r="FD234" s="31"/>
      <c r="FE234" s="31"/>
      <c r="FF234" s="31"/>
      <c r="FG234" s="31"/>
      <c r="FH234" s="31"/>
      <c r="FI234" s="31"/>
      <c r="FJ234" s="31"/>
      <c r="FK234" s="31"/>
      <c r="FL234" s="31"/>
      <c r="FM234" s="31"/>
      <c r="FN234" s="31"/>
      <c r="FO234" s="31"/>
      <c r="FP234" s="31"/>
      <c r="FQ234" s="31"/>
      <c r="FR234" s="31"/>
      <c r="FS234" s="31"/>
      <c r="FT234" s="31"/>
      <c r="FU234" s="31"/>
      <c r="FV234" s="31"/>
      <c r="FW234" s="31"/>
      <c r="FX234" s="31"/>
      <c r="FY234" s="31"/>
      <c r="FZ234" s="31"/>
      <c r="GA234" s="31"/>
      <c r="GB234" s="31"/>
      <c r="GC234" s="31"/>
      <c r="GD234" s="31"/>
      <c r="GE234" s="31"/>
      <c r="GF234" s="31"/>
      <c r="GG234" s="31"/>
      <c r="GH234" s="31"/>
      <c r="GI234" s="31"/>
      <c r="GJ234" s="31"/>
      <c r="GK234" s="31"/>
      <c r="GL234" s="31"/>
      <c r="GM234" s="31"/>
      <c r="GN234" s="31"/>
      <c r="GO234" s="31"/>
      <c r="GP234" s="31"/>
      <c r="GQ234" s="31"/>
      <c r="GR234" s="31"/>
      <c r="GS234" s="31"/>
      <c r="GT234" s="31"/>
      <c r="GU234" s="31"/>
      <c r="GV234" s="31"/>
      <c r="GW234" s="31"/>
      <c r="GX234" s="31"/>
      <c r="GY234" s="31"/>
      <c r="GZ234" s="31"/>
      <c r="HA234" s="31"/>
      <c r="HB234" s="31"/>
      <c r="HC234" s="31"/>
      <c r="HD234" s="31"/>
      <c r="HE234" s="31"/>
      <c r="HF234" s="31"/>
      <c r="HG234" s="31"/>
      <c r="HH234" s="31"/>
      <c r="HI234" s="31"/>
      <c r="HJ234" s="31"/>
      <c r="HK234" s="31"/>
      <c r="HL234" s="31"/>
      <c r="HM234" s="31"/>
      <c r="HN234" s="31"/>
      <c r="HO234" s="31"/>
      <c r="HP234" s="31"/>
      <c r="HQ234" s="31"/>
      <c r="HR234" s="31"/>
      <c r="HS234" s="31"/>
      <c r="HT234" s="31"/>
      <c r="HU234" s="31"/>
      <c r="HV234" s="31"/>
      <c r="HW234" s="31"/>
      <c r="HX234" s="31"/>
      <c r="HY234" s="31"/>
      <c r="HZ234" s="31"/>
      <c r="IA234" s="31"/>
      <c r="IB234" s="31"/>
      <c r="IC234" s="31"/>
      <c r="ID234" s="31"/>
      <c r="IE234" s="31"/>
      <c r="IF234" s="31"/>
      <c r="IG234" s="31"/>
      <c r="IH234" s="31"/>
      <c r="II234" s="31"/>
      <c r="IJ234" s="31"/>
      <c r="IK234" s="31"/>
      <c r="IL234" s="31"/>
      <c r="IM234" s="31"/>
      <c r="IN234" s="31"/>
      <c r="IO234" s="31"/>
      <c r="IP234" s="31"/>
      <c r="IQ234" s="31"/>
      <c r="IR234" s="31"/>
      <c r="IS234" s="31"/>
      <c r="IT234" s="31"/>
      <c r="IU234" s="31"/>
      <c r="IV234" s="31"/>
      <c r="IW234" s="31"/>
      <c r="IX234" s="31"/>
      <c r="IY234" s="31"/>
      <c r="IZ234" s="31"/>
      <c r="JA234" s="31"/>
      <c r="JB234" s="31"/>
      <c r="JC234" s="31"/>
      <c r="JD234" s="31"/>
      <c r="JE234" s="31"/>
      <c r="JF234" s="31"/>
      <c r="JG234" s="31"/>
      <c r="JH234" s="31"/>
      <c r="JI234" s="31"/>
      <c r="JJ234" s="31"/>
      <c r="JK234" s="31"/>
      <c r="JL234" s="31"/>
      <c r="JM234" s="31"/>
      <c r="JN234" s="31"/>
      <c r="JO234" s="31"/>
      <c r="JP234" s="31"/>
      <c r="JQ234" s="31"/>
      <c r="JR234" s="31"/>
      <c r="JS234" s="31"/>
      <c r="JT234" s="31"/>
      <c r="JU234" s="31"/>
      <c r="JV234" s="31"/>
      <c r="JW234" s="31"/>
      <c r="JX234" s="31"/>
      <c r="JY234" s="31"/>
      <c r="JZ234" s="31"/>
      <c r="KA234" s="31"/>
      <c r="KB234" s="31"/>
      <c r="KC234" s="31"/>
      <c r="KD234" s="31"/>
      <c r="KE234" s="31"/>
      <c r="KF234" s="31"/>
      <c r="KG234" s="31"/>
      <c r="KH234" s="31"/>
      <c r="KI234" s="31"/>
      <c r="KJ234" s="31"/>
      <c r="KK234" s="31"/>
      <c r="KL234" s="31"/>
      <c r="KM234" s="31"/>
      <c r="KN234" s="31"/>
      <c r="KO234" s="31"/>
      <c r="KP234" s="31"/>
      <c r="KQ234" s="31"/>
      <c r="KR234" s="31"/>
      <c r="KS234" s="31"/>
      <c r="KT234" s="31"/>
      <c r="KU234" s="31"/>
      <c r="KV234" s="31"/>
      <c r="KW234" s="31"/>
      <c r="KX234" s="31"/>
      <c r="KY234" s="31"/>
      <c r="KZ234" s="31"/>
      <c r="LA234" s="31"/>
      <c r="LB234" s="31"/>
      <c r="LC234" s="31"/>
      <c r="LD234" s="31"/>
      <c r="LE234" s="31"/>
      <c r="LF234" s="31"/>
      <c r="LG234" s="31"/>
      <c r="LH234" s="31"/>
      <c r="LI234" s="31"/>
      <c r="LJ234" s="31"/>
      <c r="LK234" s="31"/>
      <c r="LL234" s="31"/>
      <c r="LM234" s="31"/>
      <c r="LN234" s="31"/>
      <c r="LO234" s="31"/>
      <c r="LP234" s="31"/>
      <c r="LQ234" s="31"/>
      <c r="LR234" s="31"/>
      <c r="LS234" s="31"/>
      <c r="LT234" s="31"/>
      <c r="LU234" s="31"/>
      <c r="LV234" s="31"/>
      <c r="LW234" s="31"/>
      <c r="LX234" s="31"/>
      <c r="LY234" s="31"/>
      <c r="LZ234" s="31"/>
      <c r="MA234" s="31"/>
      <c r="MB234" s="31"/>
      <c r="MC234" s="31"/>
      <c r="MD234" s="31"/>
      <c r="ME234" s="31"/>
      <c r="MF234" s="31"/>
      <c r="MG234" s="31"/>
      <c r="MH234" s="31"/>
      <c r="MI234" s="31"/>
      <c r="MJ234" s="31"/>
      <c r="MK234" s="31"/>
      <c r="ML234" s="31"/>
      <c r="MM234" s="31"/>
      <c r="MN234" s="31"/>
      <c r="MO234" s="31"/>
      <c r="MP234" s="31"/>
      <c r="MQ234" s="31"/>
      <c r="MR234" s="31"/>
      <c r="MS234" s="31"/>
      <c r="MT234" s="31"/>
      <c r="MU234" s="31"/>
      <c r="MV234" s="31"/>
      <c r="MW234" s="31"/>
      <c r="MX234" s="31"/>
      <c r="MY234" s="31"/>
      <c r="MZ234" s="31"/>
      <c r="NA234" s="31"/>
      <c r="NB234" s="31"/>
      <c r="NC234" s="31"/>
      <c r="ND234" s="31"/>
      <c r="NE234" s="31"/>
      <c r="NF234" s="31"/>
      <c r="NG234" s="31"/>
      <c r="NH234" s="31"/>
      <c r="NI234" s="31"/>
      <c r="NJ234" s="31"/>
      <c r="NK234" s="31"/>
      <c r="NL234" s="31"/>
      <c r="NM234" s="31"/>
      <c r="NN234" s="31"/>
      <c r="NO234" s="31"/>
      <c r="NP234" s="31"/>
      <c r="NQ234" s="31"/>
      <c r="NR234" s="31"/>
      <c r="NS234" s="31"/>
      <c r="NT234" s="31"/>
      <c r="NU234" s="31"/>
      <c r="NV234" s="31"/>
      <c r="NW234" s="31"/>
      <c r="NX234" s="31"/>
      <c r="NY234" s="31"/>
      <c r="NZ234" s="31"/>
      <c r="OA234" s="31"/>
      <c r="OB234" s="31"/>
      <c r="OC234" s="31"/>
      <c r="OD234" s="31"/>
      <c r="OE234" s="31"/>
      <c r="OF234" s="31"/>
      <c r="OG234" s="31"/>
      <c r="OH234" s="31"/>
      <c r="OI234" s="31"/>
      <c r="OJ234" s="31"/>
      <c r="OK234" s="31"/>
      <c r="OL234" s="31"/>
      <c r="OM234" s="31"/>
      <c r="ON234" s="31"/>
      <c r="OO234" s="31"/>
      <c r="OP234" s="31"/>
      <c r="OQ234" s="31"/>
      <c r="OR234" s="31"/>
      <c r="OS234" s="31"/>
      <c r="OT234" s="31"/>
      <c r="OU234" s="31"/>
      <c r="OV234" s="31"/>
      <c r="OW234" s="31"/>
      <c r="OX234" s="31"/>
      <c r="OY234" s="31"/>
      <c r="OZ234" s="31"/>
      <c r="PA234" s="31"/>
      <c r="PB234" s="31"/>
      <c r="PC234" s="31"/>
      <c r="PD234" s="31"/>
      <c r="PE234" s="31"/>
      <c r="PF234" s="31"/>
      <c r="PG234" s="31"/>
      <c r="PH234" s="31"/>
      <c r="PI234" s="31"/>
      <c r="PJ234" s="31"/>
      <c r="PK234" s="31"/>
      <c r="PL234" s="31"/>
      <c r="PM234" s="31"/>
      <c r="PN234" s="31"/>
      <c r="PO234" s="31"/>
      <c r="PP234" s="31"/>
      <c r="PQ234" s="31"/>
      <c r="PR234" s="31"/>
      <c r="PS234" s="31"/>
      <c r="PT234" s="31"/>
      <c r="PU234" s="31"/>
      <c r="PV234" s="31"/>
      <c r="PW234" s="31"/>
      <c r="PX234" s="31"/>
      <c r="PY234" s="31"/>
      <c r="PZ234" s="31"/>
      <c r="QA234" s="31"/>
      <c r="QB234" s="31"/>
      <c r="QC234" s="31"/>
      <c r="QD234" s="31"/>
      <c r="QE234" s="31"/>
      <c r="QF234" s="31"/>
      <c r="QG234" s="31"/>
      <c r="QH234" s="31"/>
      <c r="QI234" s="31"/>
      <c r="QJ234" s="31"/>
      <c r="QK234" s="31"/>
      <c r="QL234" s="31"/>
      <c r="QM234" s="31"/>
      <c r="QN234" s="31"/>
      <c r="QO234" s="31"/>
      <c r="QP234" s="31"/>
      <c r="QQ234" s="31"/>
      <c r="QR234" s="31"/>
      <c r="QS234" s="31"/>
      <c r="QT234" s="31"/>
      <c r="QU234" s="31"/>
      <c r="QV234" s="31"/>
      <c r="QW234" s="31"/>
      <c r="QX234" s="31"/>
      <c r="QY234" s="31"/>
      <c r="QZ234" s="31"/>
      <c r="RA234" s="31"/>
      <c r="RB234" s="31"/>
      <c r="RC234" s="31"/>
      <c r="RD234" s="31"/>
      <c r="RE234" s="31"/>
      <c r="RF234" s="31"/>
      <c r="RG234" s="31"/>
      <c r="RH234" s="31"/>
      <c r="RI234" s="31"/>
      <c r="RJ234" s="31"/>
      <c r="RK234" s="31"/>
      <c r="RL234" s="31"/>
      <c r="RM234" s="31"/>
      <c r="RN234" s="31"/>
      <c r="RO234" s="31"/>
      <c r="RP234" s="31"/>
      <c r="RQ234" s="31"/>
      <c r="RR234" s="31"/>
      <c r="RS234" s="31"/>
      <c r="RT234" s="31"/>
      <c r="RU234" s="31"/>
      <c r="RV234" s="31"/>
      <c r="RW234" s="31"/>
      <c r="RX234" s="31"/>
      <c r="RY234" s="31"/>
      <c r="RZ234" s="31"/>
      <c r="SA234" s="31"/>
      <c r="SB234" s="31"/>
      <c r="SC234" s="31"/>
      <c r="SD234" s="31"/>
      <c r="SE234" s="31"/>
      <c r="SF234" s="31"/>
      <c r="SG234" s="31"/>
      <c r="SH234" s="31"/>
      <c r="SI234" s="31"/>
      <c r="SJ234" s="31"/>
      <c r="SK234" s="31"/>
      <c r="SL234" s="31"/>
      <c r="SM234" s="31"/>
      <c r="SN234" s="31"/>
      <c r="SO234" s="31"/>
      <c r="SP234" s="31"/>
      <c r="SQ234" s="31"/>
      <c r="SR234" s="31"/>
      <c r="SS234" s="31"/>
      <c r="ST234" s="31"/>
      <c r="SU234" s="31"/>
      <c r="SV234" s="31"/>
      <c r="SW234" s="31"/>
      <c r="SX234" s="31"/>
      <c r="SY234" s="31"/>
      <c r="SZ234" s="31"/>
      <c r="TA234" s="31"/>
      <c r="TB234" s="31"/>
      <c r="TC234" s="31"/>
      <c r="TD234" s="31"/>
      <c r="TE234" s="31"/>
      <c r="TF234" s="31"/>
      <c r="TG234" s="31"/>
      <c r="TH234" s="31"/>
      <c r="TI234" s="31"/>
      <c r="TJ234" s="31"/>
      <c r="TK234" s="31"/>
      <c r="TL234" s="31"/>
      <c r="TM234" s="31"/>
      <c r="TN234" s="31"/>
      <c r="TO234" s="31"/>
      <c r="TP234" s="31"/>
      <c r="TQ234" s="31"/>
      <c r="TR234" s="31"/>
      <c r="TS234" s="31"/>
      <c r="TT234" s="31"/>
      <c r="TU234" s="31"/>
      <c r="TV234" s="31"/>
      <c r="TW234" s="31"/>
      <c r="TX234" s="31"/>
      <c r="TY234" s="31"/>
      <c r="TZ234" s="31"/>
      <c r="UA234" s="31"/>
      <c r="UB234" s="31"/>
      <c r="UC234" s="31"/>
      <c r="UD234" s="31"/>
      <c r="UE234" s="31"/>
      <c r="UF234" s="31"/>
      <c r="UG234" s="31"/>
      <c r="UH234" s="31"/>
      <c r="UI234" s="31"/>
      <c r="UJ234" s="31"/>
      <c r="UK234" s="31"/>
      <c r="UL234" s="31"/>
      <c r="UM234" s="31"/>
      <c r="UN234" s="31"/>
      <c r="UO234" s="31"/>
      <c r="UP234" s="31"/>
      <c r="UQ234" s="31"/>
      <c r="UR234" s="31"/>
      <c r="US234" s="31"/>
      <c r="UT234" s="31"/>
      <c r="UU234" s="31"/>
      <c r="UV234" s="31"/>
      <c r="UW234" s="31"/>
      <c r="UX234" s="31"/>
      <c r="UY234" s="31"/>
      <c r="UZ234" s="31"/>
      <c r="VA234" s="31"/>
      <c r="VB234" s="31"/>
      <c r="VC234" s="31"/>
      <c r="VD234" s="31"/>
      <c r="VE234" s="31"/>
      <c r="VF234" s="31"/>
      <c r="VG234" s="31"/>
      <c r="VH234" s="31"/>
      <c r="VI234" s="31"/>
      <c r="VJ234" s="31"/>
      <c r="VK234" s="31"/>
      <c r="VL234" s="31"/>
      <c r="VM234" s="31"/>
      <c r="VN234" s="31"/>
      <c r="VO234" s="31"/>
      <c r="VP234" s="31"/>
      <c r="VQ234" s="31"/>
      <c r="VR234" s="31"/>
      <c r="VS234" s="31"/>
      <c r="VT234" s="31"/>
      <c r="VU234" s="31"/>
      <c r="VV234" s="31"/>
      <c r="VW234" s="31"/>
      <c r="VX234" s="31"/>
      <c r="VY234" s="31"/>
      <c r="VZ234" s="31"/>
      <c r="WA234" s="31"/>
      <c r="WB234" s="31"/>
      <c r="WC234" s="31"/>
      <c r="WD234" s="31"/>
      <c r="WE234" s="31"/>
      <c r="WF234" s="31"/>
      <c r="WG234" s="31"/>
      <c r="WH234" s="31"/>
      <c r="WI234" s="31"/>
      <c r="WJ234" s="31"/>
      <c r="WK234" s="31"/>
      <c r="WL234" s="31"/>
      <c r="WM234" s="31"/>
      <c r="WN234" s="31"/>
      <c r="WO234" s="31"/>
      <c r="WP234" s="31"/>
      <c r="WQ234" s="31"/>
      <c r="WR234" s="31"/>
      <c r="WS234" s="31"/>
      <c r="WT234" s="31"/>
      <c r="WU234" s="31"/>
      <c r="WV234" s="31"/>
      <c r="WW234" s="31"/>
      <c r="WX234" s="31"/>
      <c r="WY234" s="31"/>
      <c r="WZ234" s="31"/>
      <c r="XA234" s="31"/>
      <c r="XB234" s="31"/>
      <c r="XC234" s="31"/>
      <c r="XD234" s="31"/>
      <c r="XE234" s="31"/>
      <c r="XF234" s="31"/>
      <c r="XG234" s="31"/>
      <c r="XH234" s="31"/>
      <c r="XI234" s="31"/>
      <c r="XJ234" s="31"/>
      <c r="XK234" s="31"/>
      <c r="XL234" s="31"/>
      <c r="XM234" s="31"/>
      <c r="XN234" s="31"/>
      <c r="XO234" s="31"/>
      <c r="XP234" s="31"/>
      <c r="XQ234" s="31"/>
      <c r="XR234" s="31"/>
      <c r="XS234" s="31"/>
      <c r="XT234" s="31"/>
      <c r="XU234" s="31"/>
      <c r="XV234" s="31"/>
      <c r="XW234" s="31"/>
      <c r="XX234" s="31"/>
      <c r="XY234" s="31"/>
      <c r="XZ234" s="31"/>
      <c r="YA234" s="31"/>
      <c r="YB234" s="31"/>
      <c r="YC234" s="31"/>
      <c r="YD234" s="31"/>
      <c r="YE234" s="31"/>
      <c r="YF234" s="31"/>
      <c r="YG234" s="31"/>
      <c r="YH234" s="31"/>
      <c r="YI234" s="31"/>
      <c r="YJ234" s="31"/>
      <c r="YK234" s="31"/>
      <c r="YL234" s="31"/>
      <c r="YM234" s="31"/>
      <c r="YN234" s="31"/>
      <c r="YO234" s="31"/>
      <c r="YP234" s="31"/>
      <c r="YQ234" s="31"/>
      <c r="YR234" s="31"/>
      <c r="YS234" s="31"/>
      <c r="YT234" s="31"/>
      <c r="YU234" s="31"/>
      <c r="YV234" s="31"/>
      <c r="YW234" s="31"/>
      <c r="YX234" s="31"/>
      <c r="YY234" s="31"/>
      <c r="YZ234" s="31"/>
      <c r="ZA234" s="31"/>
      <c r="ZB234" s="31"/>
      <c r="ZC234" s="31"/>
      <c r="ZD234" s="31"/>
      <c r="ZE234" s="31"/>
      <c r="ZF234" s="31"/>
      <c r="ZG234" s="31"/>
      <c r="ZH234" s="31"/>
      <c r="ZI234" s="31"/>
      <c r="ZJ234" s="31"/>
      <c r="ZK234" s="31"/>
      <c r="ZL234" s="31"/>
      <c r="ZM234" s="31"/>
      <c r="ZN234" s="31"/>
      <c r="ZO234" s="31"/>
      <c r="ZP234" s="31"/>
      <c r="ZQ234" s="31"/>
      <c r="ZR234" s="31"/>
      <c r="ZS234" s="31"/>
      <c r="ZT234" s="31"/>
      <c r="ZU234" s="31"/>
      <c r="ZV234" s="31"/>
      <c r="ZW234" s="31"/>
      <c r="ZX234" s="31"/>
      <c r="ZY234" s="31"/>
      <c r="ZZ234" s="31"/>
      <c r="AAA234" s="31"/>
      <c r="AAB234" s="31"/>
      <c r="AAC234" s="31"/>
      <c r="AAD234" s="31"/>
      <c r="AAE234" s="31"/>
      <c r="AAF234" s="31"/>
      <c r="AAG234" s="31"/>
      <c r="AAH234" s="31"/>
      <c r="AAI234" s="31"/>
      <c r="AAJ234" s="31"/>
      <c r="AAK234" s="31"/>
      <c r="AAL234" s="31"/>
      <c r="AAM234" s="31"/>
      <c r="AAN234" s="31"/>
      <c r="AAO234" s="31"/>
      <c r="AAP234" s="31"/>
      <c r="AAQ234" s="31"/>
      <c r="AAR234" s="31"/>
      <c r="AAS234" s="31"/>
      <c r="AAT234" s="31"/>
      <c r="AAU234" s="31"/>
      <c r="AAV234" s="31"/>
      <c r="AAW234" s="31"/>
      <c r="AAX234" s="31"/>
      <c r="AAY234" s="31"/>
      <c r="AAZ234" s="31"/>
      <c r="ABA234" s="31"/>
      <c r="ABB234" s="31"/>
      <c r="ABC234" s="31"/>
      <c r="ABD234" s="31"/>
      <c r="ABE234" s="31"/>
      <c r="ABF234" s="31"/>
      <c r="ABG234" s="31"/>
      <c r="ABH234" s="31"/>
      <c r="ABI234" s="31"/>
      <c r="ABJ234" s="31"/>
      <c r="ABK234" s="31"/>
      <c r="ABL234" s="31"/>
      <c r="ABM234" s="31"/>
      <c r="ABN234" s="31"/>
      <c r="ABO234" s="31"/>
      <c r="ABP234" s="31"/>
      <c r="ABQ234" s="31"/>
      <c r="ABR234" s="31"/>
      <c r="ABS234" s="31"/>
      <c r="ABT234" s="31"/>
      <c r="ABU234" s="31"/>
      <c r="ABV234" s="31"/>
      <c r="ABW234" s="31"/>
      <c r="ABX234" s="31"/>
      <c r="ABY234" s="31"/>
      <c r="ABZ234" s="31"/>
      <c r="ACA234" s="31"/>
      <c r="ACB234" s="31"/>
      <c r="ACC234" s="31"/>
      <c r="ACD234" s="31"/>
      <c r="ACE234" s="31"/>
      <c r="ACF234" s="31"/>
      <c r="ACG234" s="31"/>
      <c r="ACH234" s="31"/>
      <c r="ACI234" s="31"/>
      <c r="ACJ234" s="31"/>
      <c r="ACK234" s="31"/>
      <c r="ACL234" s="31"/>
      <c r="ACM234" s="31"/>
      <c r="ACN234" s="31"/>
      <c r="ACO234" s="31"/>
      <c r="ACP234" s="31"/>
      <c r="ACQ234" s="31"/>
      <c r="ACR234" s="31"/>
      <c r="ACS234" s="31"/>
      <c r="ACT234" s="31"/>
      <c r="ACU234" s="31"/>
      <c r="ACV234" s="31"/>
      <c r="ACW234" s="31"/>
      <c r="ACX234" s="31"/>
      <c r="ACY234" s="31"/>
      <c r="ACZ234" s="31"/>
      <c r="ADA234" s="31"/>
      <c r="ADB234" s="31"/>
      <c r="ADC234" s="31"/>
      <c r="ADD234" s="31"/>
      <c r="ADE234" s="31"/>
      <c r="ADF234" s="31"/>
      <c r="ADG234" s="31"/>
      <c r="ADH234" s="31"/>
      <c r="ADI234" s="31"/>
      <c r="ADJ234" s="31"/>
      <c r="ADK234" s="31"/>
      <c r="ADL234" s="31"/>
      <c r="ADM234" s="31"/>
      <c r="ADN234" s="31"/>
      <c r="ADO234" s="31"/>
      <c r="ADP234" s="31"/>
      <c r="ADQ234" s="31"/>
      <c r="ADR234" s="31"/>
      <c r="ADS234" s="31"/>
      <c r="ADT234" s="31"/>
      <c r="ADU234" s="31"/>
      <c r="ADV234" s="31"/>
      <c r="ADW234" s="31"/>
      <c r="ADX234" s="31"/>
      <c r="ADY234" s="31"/>
      <c r="ADZ234" s="31"/>
      <c r="AEA234" s="31"/>
      <c r="AEB234" s="31"/>
      <c r="AEC234" s="31"/>
      <c r="AED234" s="31"/>
      <c r="AEE234" s="31"/>
      <c r="AEF234" s="31"/>
      <c r="AEG234" s="31"/>
      <c r="AEH234" s="31"/>
      <c r="AEI234" s="31"/>
      <c r="AEJ234" s="31"/>
      <c r="AEK234" s="31"/>
      <c r="AEL234" s="31"/>
      <c r="AEM234" s="31"/>
      <c r="AEN234" s="31"/>
      <c r="AEO234" s="31"/>
      <c r="AEP234" s="31"/>
      <c r="AEQ234" s="31"/>
      <c r="AER234" s="31"/>
      <c r="AES234" s="31"/>
      <c r="AET234" s="31"/>
      <c r="AEU234" s="31"/>
      <c r="AEV234" s="31"/>
      <c r="AEW234" s="31"/>
      <c r="AEX234" s="31"/>
      <c r="AEY234" s="31"/>
      <c r="AEZ234" s="31"/>
      <c r="AFA234" s="31"/>
      <c r="AFB234" s="31"/>
      <c r="AFC234" s="31"/>
      <c r="AFD234" s="31"/>
      <c r="AFE234" s="31"/>
      <c r="AFF234" s="31"/>
      <c r="AFG234" s="31"/>
      <c r="AFH234" s="31"/>
      <c r="AFI234" s="31"/>
      <c r="AFJ234" s="31"/>
      <c r="AFK234" s="31"/>
      <c r="AFL234" s="31"/>
      <c r="AFM234" s="31"/>
      <c r="AFN234" s="31"/>
      <c r="AFO234" s="31"/>
      <c r="AFP234" s="31"/>
      <c r="AFQ234" s="31"/>
      <c r="AFR234" s="31"/>
      <c r="AFS234" s="31"/>
      <c r="AFT234" s="31"/>
      <c r="AFU234" s="31"/>
      <c r="AFV234" s="31"/>
      <c r="AFW234" s="31"/>
      <c r="AFX234" s="31"/>
      <c r="AFY234" s="31"/>
      <c r="AFZ234" s="31"/>
      <c r="AGA234" s="31"/>
      <c r="AGB234" s="31"/>
      <c r="AGC234" s="31"/>
      <c r="AGD234" s="31"/>
      <c r="AGE234" s="31"/>
      <c r="AGF234" s="31"/>
      <c r="AGG234" s="31"/>
      <c r="AGH234" s="31"/>
      <c r="AGI234" s="31"/>
      <c r="AGJ234" s="31"/>
      <c r="AGK234" s="31"/>
      <c r="AGL234" s="31"/>
      <c r="AGM234" s="31"/>
      <c r="AGN234" s="31"/>
      <c r="AGO234" s="31"/>
      <c r="AGP234" s="31"/>
      <c r="AGQ234" s="31"/>
      <c r="AGR234" s="31"/>
      <c r="AGS234" s="31"/>
      <c r="AGT234" s="31"/>
      <c r="AGU234" s="31"/>
      <c r="AGV234" s="31"/>
      <c r="AGW234" s="31"/>
      <c r="AGX234" s="31"/>
      <c r="AGY234" s="31"/>
      <c r="AGZ234" s="31"/>
      <c r="AHA234" s="31"/>
      <c r="AHB234" s="31"/>
      <c r="AHC234" s="31"/>
      <c r="AHD234" s="31"/>
      <c r="AHE234" s="31"/>
      <c r="AHF234" s="31"/>
      <c r="AHG234" s="31"/>
      <c r="AHH234" s="31"/>
      <c r="AHI234" s="31"/>
      <c r="AHJ234" s="31"/>
      <c r="AHK234" s="31"/>
      <c r="AHL234" s="31"/>
      <c r="AHM234" s="31"/>
      <c r="AHN234" s="31"/>
      <c r="AHO234" s="31"/>
      <c r="AHP234" s="31"/>
      <c r="AHQ234" s="31"/>
      <c r="AHR234" s="31"/>
      <c r="AHS234" s="31"/>
      <c r="AHT234" s="31"/>
      <c r="AHU234" s="31"/>
      <c r="AHV234" s="31"/>
      <c r="AHW234" s="31"/>
      <c r="AHX234" s="31"/>
      <c r="AHY234" s="31"/>
      <c r="AHZ234" s="31"/>
      <c r="AIA234" s="31"/>
      <c r="AIB234" s="31"/>
      <c r="AIC234" s="31"/>
      <c r="AID234" s="31"/>
      <c r="AIE234" s="31"/>
      <c r="AIF234" s="31"/>
      <c r="AIG234" s="31"/>
      <c r="AIH234" s="31"/>
      <c r="AII234" s="31"/>
      <c r="AIJ234" s="31"/>
      <c r="AIK234" s="31"/>
      <c r="AIL234" s="31"/>
      <c r="AIM234" s="31"/>
      <c r="AIN234" s="31"/>
      <c r="AIO234" s="31"/>
      <c r="AIP234" s="31"/>
      <c r="AIQ234" s="31"/>
      <c r="AIR234" s="31"/>
      <c r="AIS234" s="31"/>
      <c r="AIT234" s="31"/>
      <c r="AIU234" s="31"/>
      <c r="AIV234" s="31"/>
      <c r="AIW234" s="31"/>
      <c r="AIX234" s="31"/>
      <c r="AIY234" s="31"/>
      <c r="AIZ234" s="31"/>
      <c r="AJA234" s="31"/>
      <c r="AJB234" s="31"/>
      <c r="AJC234" s="31"/>
      <c r="AJD234" s="31"/>
      <c r="AJE234" s="31"/>
      <c r="AJF234" s="31"/>
      <c r="AJG234" s="31"/>
      <c r="AJH234" s="31"/>
      <c r="AJI234" s="31"/>
      <c r="AJJ234" s="31"/>
      <c r="AJK234" s="31"/>
      <c r="AJL234" s="31"/>
      <c r="AJM234" s="31"/>
      <c r="AJN234" s="31"/>
      <c r="AJO234" s="31"/>
      <c r="AJP234" s="31"/>
      <c r="AJQ234" s="31"/>
      <c r="AJR234" s="31"/>
      <c r="AJS234" s="31"/>
      <c r="AJT234" s="31"/>
      <c r="AJU234" s="31"/>
      <c r="AJV234" s="31"/>
      <c r="AJW234" s="31"/>
      <c r="AJX234" s="31"/>
      <c r="AJY234" s="31"/>
      <c r="AJZ234" s="31"/>
      <c r="AKA234" s="31"/>
      <c r="AKB234" s="31"/>
      <c r="AKC234" s="31"/>
      <c r="AKD234" s="31"/>
      <c r="AKE234" s="31"/>
      <c r="AKF234" s="31"/>
      <c r="AKG234" s="31"/>
      <c r="AKH234" s="31"/>
      <c r="AKI234" s="31"/>
      <c r="AKJ234" s="31"/>
      <c r="AKK234" s="31"/>
      <c r="AKL234" s="31"/>
      <c r="AKM234" s="31"/>
      <c r="AKN234" s="31"/>
      <c r="AKO234" s="31"/>
      <c r="AKP234" s="31"/>
      <c r="AKQ234" s="31"/>
      <c r="AKR234" s="31"/>
      <c r="AKS234" s="31"/>
      <c r="AKT234" s="31"/>
      <c r="AKU234" s="31"/>
      <c r="AKV234" s="31"/>
      <c r="AKW234" s="31"/>
      <c r="AKX234" s="31"/>
      <c r="AKY234" s="31"/>
      <c r="AKZ234" s="31"/>
      <c r="ALA234" s="31"/>
      <c r="ALB234" s="31"/>
      <c r="ALC234" s="31"/>
      <c r="ALD234" s="31"/>
      <c r="ALE234" s="31"/>
      <c r="ALF234" s="31"/>
      <c r="ALG234" s="31"/>
      <c r="ALH234" s="31"/>
      <c r="ALI234" s="31"/>
      <c r="ALJ234" s="31"/>
      <c r="ALK234" s="31"/>
      <c r="ALL234" s="31"/>
      <c r="ALM234" s="31"/>
      <c r="ALN234" s="31"/>
      <c r="ALO234" s="31"/>
      <c r="ALP234" s="31"/>
      <c r="ALQ234" s="31"/>
      <c r="ALR234" s="31"/>
      <c r="ALS234" s="31"/>
      <c r="ALT234" s="31"/>
      <c r="ALU234" s="31"/>
      <c r="ALV234" s="31"/>
      <c r="ALW234" s="31"/>
      <c r="ALX234" s="31"/>
      <c r="ALY234" s="31"/>
      <c r="ALZ234" s="31"/>
      <c r="AMA234" s="31"/>
      <c r="AMB234" s="31"/>
      <c r="AMC234" s="31"/>
      <c r="AMD234" s="31"/>
      <c r="AME234" s="31"/>
      <c r="AMF234" s="31"/>
      <c r="AMG234" s="31"/>
      <c r="AMH234" s="31"/>
      <c r="AMI234" s="31"/>
      <c r="AMJ234" s="31"/>
      <c r="AMK234" s="31"/>
      <c r="AML234" s="31"/>
      <c r="AMM234" s="31"/>
      <c r="AMN234" s="31"/>
      <c r="AMO234" s="31"/>
      <c r="AMP234" s="31"/>
      <c r="AMQ234" s="31"/>
      <c r="AMR234" s="31"/>
      <c r="AMS234" s="31"/>
      <c r="AMT234" s="31"/>
      <c r="AMU234" s="31"/>
      <c r="AMV234" s="31"/>
      <c r="AMW234" s="31"/>
      <c r="AMX234" s="31"/>
      <c r="AMY234" s="31"/>
      <c r="AMZ234" s="31"/>
      <c r="ANA234" s="31"/>
      <c r="ANB234" s="31"/>
      <c r="ANC234" s="31"/>
      <c r="AND234" s="31"/>
      <c r="ANE234" s="31"/>
      <c r="ANF234" s="31"/>
      <c r="ANG234" s="31"/>
      <c r="ANH234" s="31"/>
      <c r="ANI234" s="31"/>
      <c r="ANJ234" s="31"/>
      <c r="ANK234" s="31"/>
      <c r="ANL234" s="31"/>
      <c r="ANM234" s="31"/>
      <c r="ANN234" s="31"/>
      <c r="ANO234" s="31"/>
      <c r="ANP234" s="31"/>
      <c r="ANQ234" s="31"/>
      <c r="ANR234" s="31"/>
      <c r="ANS234" s="31"/>
      <c r="ANT234" s="31"/>
      <c r="ANU234" s="31"/>
      <c r="ANV234" s="31"/>
      <c r="ANW234" s="31"/>
      <c r="ANX234" s="31"/>
      <c r="ANY234" s="31"/>
      <c r="ANZ234" s="31"/>
      <c r="AOA234" s="31"/>
      <c r="AOB234" s="31"/>
      <c r="AOC234" s="31"/>
      <c r="AOD234" s="31"/>
      <c r="AOE234" s="31"/>
      <c r="AOF234" s="31"/>
      <c r="AOG234" s="31"/>
      <c r="AOH234" s="31"/>
      <c r="AOI234" s="31"/>
      <c r="AOJ234" s="31"/>
      <c r="AOK234" s="31"/>
      <c r="AOL234" s="31"/>
      <c r="AOM234" s="31"/>
      <c r="AON234" s="31"/>
      <c r="AOO234" s="31"/>
      <c r="AOP234" s="31"/>
      <c r="AOQ234" s="31"/>
      <c r="AOR234" s="31"/>
      <c r="AOS234" s="31"/>
      <c r="AOT234" s="31"/>
      <c r="AOU234" s="31"/>
      <c r="AOV234" s="31"/>
      <c r="AOW234" s="31"/>
      <c r="AOX234" s="31"/>
      <c r="AOY234" s="31"/>
      <c r="AOZ234" s="31"/>
      <c r="APA234" s="31"/>
      <c r="APB234" s="31"/>
      <c r="APC234" s="31"/>
      <c r="APD234" s="31"/>
      <c r="APE234" s="31"/>
      <c r="APF234" s="31"/>
      <c r="APG234" s="31"/>
      <c r="APH234" s="31"/>
      <c r="API234" s="31"/>
      <c r="APJ234" s="31"/>
      <c r="APK234" s="31"/>
      <c r="APL234" s="31"/>
      <c r="APM234" s="31"/>
      <c r="APN234" s="31"/>
      <c r="APO234" s="31"/>
      <c r="APP234" s="31"/>
      <c r="APQ234" s="31"/>
      <c r="APR234" s="31"/>
      <c r="APS234" s="31"/>
      <c r="APT234" s="31"/>
      <c r="APU234" s="31"/>
      <c r="APV234" s="31"/>
      <c r="APW234" s="31"/>
      <c r="APX234" s="31"/>
      <c r="APY234" s="31"/>
      <c r="APZ234" s="31"/>
      <c r="AQA234" s="31"/>
      <c r="AQB234" s="31"/>
      <c r="AQC234" s="31"/>
      <c r="AQD234" s="31"/>
      <c r="AQE234" s="31"/>
      <c r="AQF234" s="31"/>
      <c r="AQG234" s="31"/>
      <c r="AQH234" s="31"/>
      <c r="AQI234" s="31"/>
      <c r="AQJ234" s="31"/>
      <c r="AQK234" s="31"/>
      <c r="AQL234" s="31"/>
      <c r="AQM234" s="31"/>
      <c r="AQN234" s="31"/>
      <c r="AQO234" s="31"/>
      <c r="AQP234" s="31"/>
      <c r="AQQ234" s="31"/>
      <c r="AQR234" s="31"/>
      <c r="AQS234" s="31"/>
      <c r="AQT234" s="31"/>
      <c r="AQU234" s="31"/>
      <c r="AQV234" s="31"/>
      <c r="AQW234" s="31"/>
      <c r="AQX234" s="31"/>
      <c r="AQY234" s="31"/>
      <c r="AQZ234" s="31"/>
      <c r="ARA234" s="31"/>
      <c r="ARB234" s="31"/>
      <c r="ARC234" s="31"/>
      <c r="ARD234" s="31"/>
      <c r="ARE234" s="31"/>
      <c r="ARF234" s="31"/>
      <c r="ARG234" s="31"/>
      <c r="ARH234" s="31"/>
      <c r="ARI234" s="31"/>
      <c r="ARJ234" s="31"/>
      <c r="ARK234" s="31"/>
      <c r="ARL234" s="31"/>
      <c r="ARM234" s="31"/>
      <c r="ARN234" s="31"/>
      <c r="ARO234" s="31"/>
      <c r="ARP234" s="31"/>
      <c r="ARQ234" s="31"/>
      <c r="ARR234" s="31"/>
      <c r="ARS234" s="31"/>
      <c r="ART234" s="31"/>
      <c r="ARU234" s="31"/>
      <c r="ARV234" s="31"/>
      <c r="ARW234" s="31"/>
      <c r="ARX234" s="31"/>
      <c r="ARY234" s="31"/>
      <c r="ARZ234" s="31"/>
      <c r="ASA234" s="31"/>
      <c r="ASB234" s="31"/>
      <c r="ASC234" s="31"/>
      <c r="ASD234" s="31"/>
      <c r="ASE234" s="31"/>
      <c r="ASF234" s="31"/>
      <c r="ASG234" s="31"/>
      <c r="ASH234" s="31"/>
      <c r="ASI234" s="31"/>
      <c r="ASJ234" s="31"/>
      <c r="ASK234" s="31"/>
      <c r="ASL234" s="31"/>
      <c r="ASM234" s="31"/>
      <c r="ASN234" s="31"/>
      <c r="ASO234" s="31"/>
      <c r="ASP234" s="31"/>
      <c r="ASQ234" s="31"/>
      <c r="ASR234" s="31"/>
      <c r="ASS234" s="31"/>
      <c r="AST234" s="31"/>
      <c r="ASU234" s="31"/>
      <c r="ASV234" s="31"/>
      <c r="ASW234" s="31"/>
      <c r="ASX234" s="31"/>
      <c r="ASY234" s="31"/>
      <c r="ASZ234" s="31"/>
      <c r="ATA234" s="31"/>
      <c r="ATB234" s="31"/>
      <c r="ATC234" s="31"/>
      <c r="ATD234" s="31"/>
      <c r="ATE234" s="31"/>
    </row>
    <row r="235" spans="1:1201" s="34" customFormat="1" ht="15.75" customHeight="1" x14ac:dyDescent="0.3">
      <c r="A235" s="76"/>
      <c r="B235" s="76"/>
      <c r="C235" s="188" t="s">
        <v>284</v>
      </c>
      <c r="D235" s="188"/>
      <c r="E235" s="188"/>
      <c r="F235" s="63"/>
      <c r="G235" s="143"/>
      <c r="H235" s="627"/>
      <c r="I235" s="628"/>
      <c r="J235" s="628"/>
      <c r="K235" s="628"/>
      <c r="L235" s="628"/>
      <c r="M235" s="628"/>
      <c r="N235" s="628"/>
      <c r="O235" s="628"/>
      <c r="P235" s="628"/>
      <c r="Q235" s="628"/>
      <c r="R235" s="628"/>
      <c r="S235" s="628"/>
      <c r="T235" s="918"/>
      <c r="U235" s="918"/>
      <c r="V235" s="918"/>
      <c r="W235" s="918"/>
      <c r="X235" s="918"/>
      <c r="Y235" s="918"/>
      <c r="Z235" s="1070"/>
      <c r="AA235" s="1070"/>
      <c r="AB235" s="1070"/>
      <c r="AC235" s="1070"/>
      <c r="AD235" s="1070"/>
      <c r="AE235" s="952"/>
      <c r="AF235" s="1070"/>
      <c r="AG235" s="1070"/>
      <c r="AH235" s="1070"/>
      <c r="AI235" s="1070"/>
      <c r="AJ235" s="1070"/>
      <c r="AK235" s="1070"/>
      <c r="AL235" s="1070"/>
      <c r="AM235" s="1070"/>
      <c r="AN235" s="1070"/>
      <c r="AO235" s="1070"/>
      <c r="AP235" s="628"/>
      <c r="AQ235" s="628"/>
      <c r="AR235" s="1618"/>
      <c r="AS235" s="628"/>
      <c r="AT235" s="628"/>
      <c r="AU235" s="628"/>
      <c r="AV235" s="628"/>
      <c r="AW235" s="628"/>
      <c r="AX235" s="628"/>
      <c r="AY235" s="628"/>
      <c r="AZ235" s="628"/>
      <c r="BA235" s="628"/>
      <c r="BB235" s="628"/>
      <c r="BC235" s="628"/>
      <c r="BE235" s="1182"/>
      <c r="BF235" s="918"/>
      <c r="BG235" s="1182"/>
      <c r="BH235" s="31"/>
      <c r="BI235" s="31"/>
      <c r="BJ235" s="31"/>
      <c r="BK235" s="31"/>
      <c r="BL235" s="31"/>
      <c r="BM235" s="31"/>
      <c r="BN235" s="31"/>
      <c r="BO235" s="31"/>
      <c r="BP235" s="31"/>
      <c r="BQ235" s="31"/>
      <c r="BR235" s="31"/>
      <c r="BS235" s="31"/>
      <c r="BT235" s="31"/>
      <c r="BU235" s="31"/>
      <c r="BV235" s="31"/>
      <c r="BW235" s="31"/>
      <c r="BX235" s="31"/>
      <c r="BY235" s="31"/>
      <c r="BZ235" s="31"/>
      <c r="CA235" s="31"/>
      <c r="CB235" s="31"/>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c r="DA235" s="31"/>
      <c r="DB235" s="31"/>
      <c r="DC235" s="31"/>
      <c r="DD235" s="31"/>
      <c r="DE235" s="31"/>
      <c r="DF235" s="31"/>
      <c r="DG235" s="31"/>
      <c r="DH235" s="31"/>
      <c r="DI235" s="31"/>
      <c r="DJ235" s="31"/>
      <c r="DK235" s="31"/>
      <c r="DL235" s="31"/>
      <c r="DM235" s="31"/>
      <c r="DN235" s="31"/>
      <c r="DO235" s="31"/>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c r="EX235" s="31"/>
      <c r="EY235" s="31"/>
      <c r="EZ235" s="31"/>
      <c r="FA235" s="31"/>
      <c r="FB235" s="31"/>
      <c r="FC235" s="31"/>
      <c r="FD235" s="31"/>
      <c r="FE235" s="31"/>
      <c r="FF235" s="31"/>
      <c r="FG235" s="31"/>
      <c r="FH235" s="31"/>
      <c r="FI235" s="31"/>
      <c r="FJ235" s="31"/>
      <c r="FK235" s="31"/>
      <c r="FL235" s="31"/>
      <c r="FM235" s="31"/>
      <c r="FN235" s="31"/>
      <c r="FO235" s="31"/>
      <c r="FP235" s="31"/>
      <c r="FQ235" s="31"/>
      <c r="FR235" s="31"/>
      <c r="FS235" s="31"/>
      <c r="FT235" s="31"/>
      <c r="FU235" s="31"/>
      <c r="FV235" s="31"/>
      <c r="FW235" s="31"/>
      <c r="FX235" s="31"/>
      <c r="FY235" s="31"/>
      <c r="FZ235" s="31"/>
      <c r="GA235" s="31"/>
      <c r="GB235" s="31"/>
      <c r="GC235" s="31"/>
      <c r="GD235" s="31"/>
      <c r="GE235" s="31"/>
      <c r="GF235" s="31"/>
      <c r="GG235" s="31"/>
      <c r="GH235" s="31"/>
      <c r="GI235" s="31"/>
      <c r="GJ235" s="31"/>
      <c r="GK235" s="31"/>
      <c r="GL235" s="31"/>
      <c r="GM235" s="31"/>
      <c r="GN235" s="31"/>
      <c r="GO235" s="31"/>
      <c r="GP235" s="31"/>
      <c r="GQ235" s="31"/>
      <c r="GR235" s="31"/>
      <c r="GS235" s="31"/>
      <c r="GT235" s="31"/>
      <c r="GU235" s="31"/>
      <c r="GV235" s="31"/>
      <c r="GW235" s="31"/>
      <c r="GX235" s="31"/>
      <c r="GY235" s="31"/>
      <c r="GZ235" s="31"/>
      <c r="HA235" s="31"/>
      <c r="HB235" s="31"/>
      <c r="HC235" s="31"/>
      <c r="HD235" s="31"/>
      <c r="HE235" s="31"/>
      <c r="HF235" s="31"/>
      <c r="HG235" s="31"/>
      <c r="HH235" s="31"/>
      <c r="HI235" s="31"/>
      <c r="HJ235" s="31"/>
      <c r="HK235" s="31"/>
      <c r="HL235" s="31"/>
      <c r="HM235" s="31"/>
      <c r="HN235" s="31"/>
      <c r="HO235" s="31"/>
      <c r="HP235" s="31"/>
      <c r="HQ235" s="31"/>
      <c r="HR235" s="31"/>
      <c r="HS235" s="31"/>
      <c r="HT235" s="31"/>
      <c r="HU235" s="31"/>
      <c r="HV235" s="31"/>
      <c r="HW235" s="31"/>
      <c r="HX235" s="31"/>
      <c r="HY235" s="31"/>
      <c r="HZ235" s="31"/>
      <c r="IA235" s="31"/>
      <c r="IB235" s="31"/>
      <c r="IC235" s="31"/>
      <c r="ID235" s="31"/>
      <c r="IE235" s="31"/>
      <c r="IF235" s="31"/>
      <c r="IG235" s="31"/>
      <c r="IH235" s="31"/>
      <c r="II235" s="31"/>
      <c r="IJ235" s="31"/>
      <c r="IK235" s="31"/>
      <c r="IL235" s="31"/>
      <c r="IM235" s="31"/>
      <c r="IN235" s="31"/>
      <c r="IO235" s="31"/>
      <c r="IP235" s="31"/>
      <c r="IQ235" s="31"/>
      <c r="IR235" s="31"/>
      <c r="IS235" s="31"/>
      <c r="IT235" s="31"/>
      <c r="IU235" s="31"/>
      <c r="IV235" s="31"/>
      <c r="IW235" s="31"/>
      <c r="IX235" s="31"/>
      <c r="IY235" s="31"/>
      <c r="IZ235" s="31"/>
      <c r="JA235" s="31"/>
      <c r="JB235" s="31"/>
      <c r="JC235" s="31"/>
      <c r="JD235" s="31"/>
      <c r="JE235" s="31"/>
      <c r="JF235" s="31"/>
      <c r="JG235" s="31"/>
      <c r="JH235" s="31"/>
      <c r="JI235" s="31"/>
      <c r="JJ235" s="31"/>
      <c r="JK235" s="31"/>
      <c r="JL235" s="31"/>
      <c r="JM235" s="31"/>
      <c r="JN235" s="31"/>
      <c r="JO235" s="31"/>
      <c r="JP235" s="31"/>
      <c r="JQ235" s="31"/>
      <c r="JR235" s="31"/>
      <c r="JS235" s="31"/>
      <c r="JT235" s="31"/>
      <c r="JU235" s="31"/>
      <c r="JV235" s="31"/>
      <c r="JW235" s="31"/>
      <c r="JX235" s="31"/>
      <c r="JY235" s="31"/>
      <c r="JZ235" s="31"/>
      <c r="KA235" s="31"/>
      <c r="KB235" s="31"/>
      <c r="KC235" s="31"/>
      <c r="KD235" s="31"/>
      <c r="KE235" s="31"/>
      <c r="KF235" s="31"/>
      <c r="KG235" s="31"/>
      <c r="KH235" s="31"/>
      <c r="KI235" s="31"/>
      <c r="KJ235" s="31"/>
      <c r="KK235" s="31"/>
      <c r="KL235" s="31"/>
      <c r="KM235" s="31"/>
      <c r="KN235" s="31"/>
      <c r="KO235" s="31"/>
      <c r="KP235" s="31"/>
      <c r="KQ235" s="31"/>
      <c r="KR235" s="31"/>
      <c r="KS235" s="31"/>
      <c r="KT235" s="31"/>
      <c r="KU235" s="31"/>
      <c r="KV235" s="31"/>
      <c r="KW235" s="31"/>
      <c r="KX235" s="31"/>
      <c r="KY235" s="31"/>
      <c r="KZ235" s="31"/>
      <c r="LA235" s="31"/>
      <c r="LB235" s="31"/>
      <c r="LC235" s="31"/>
      <c r="LD235" s="31"/>
      <c r="LE235" s="31"/>
      <c r="LF235" s="31"/>
      <c r="LG235" s="31"/>
      <c r="LH235" s="31"/>
      <c r="LI235" s="31"/>
      <c r="LJ235" s="31"/>
      <c r="LK235" s="31"/>
      <c r="LL235" s="31"/>
      <c r="LM235" s="31"/>
      <c r="LN235" s="31"/>
      <c r="LO235" s="31"/>
      <c r="LP235" s="31"/>
      <c r="LQ235" s="31"/>
      <c r="LR235" s="31"/>
      <c r="LS235" s="31"/>
      <c r="LT235" s="31"/>
      <c r="LU235" s="31"/>
      <c r="LV235" s="31"/>
      <c r="LW235" s="31"/>
      <c r="LX235" s="31"/>
      <c r="LY235" s="31"/>
      <c r="LZ235" s="31"/>
      <c r="MA235" s="31"/>
      <c r="MB235" s="31"/>
      <c r="MC235" s="31"/>
      <c r="MD235" s="31"/>
      <c r="ME235" s="31"/>
      <c r="MF235" s="31"/>
      <c r="MG235" s="31"/>
      <c r="MH235" s="31"/>
      <c r="MI235" s="31"/>
      <c r="MJ235" s="31"/>
      <c r="MK235" s="31"/>
      <c r="ML235" s="31"/>
      <c r="MM235" s="31"/>
      <c r="MN235" s="31"/>
      <c r="MO235" s="31"/>
      <c r="MP235" s="31"/>
      <c r="MQ235" s="31"/>
      <c r="MR235" s="31"/>
      <c r="MS235" s="31"/>
      <c r="MT235" s="31"/>
      <c r="MU235" s="31"/>
      <c r="MV235" s="31"/>
      <c r="MW235" s="31"/>
      <c r="MX235" s="31"/>
      <c r="MY235" s="31"/>
      <c r="MZ235" s="31"/>
      <c r="NA235" s="31"/>
      <c r="NB235" s="31"/>
      <c r="NC235" s="31"/>
      <c r="ND235" s="31"/>
      <c r="NE235" s="31"/>
      <c r="NF235" s="31"/>
      <c r="NG235" s="31"/>
      <c r="NH235" s="31"/>
      <c r="NI235" s="31"/>
      <c r="NJ235" s="31"/>
      <c r="NK235" s="31"/>
      <c r="NL235" s="31"/>
      <c r="NM235" s="31"/>
      <c r="NN235" s="31"/>
      <c r="NO235" s="31"/>
      <c r="NP235" s="31"/>
      <c r="NQ235" s="31"/>
      <c r="NR235" s="31"/>
      <c r="NS235" s="31"/>
      <c r="NT235" s="31"/>
      <c r="NU235" s="31"/>
      <c r="NV235" s="31"/>
      <c r="NW235" s="31"/>
      <c r="NX235" s="31"/>
      <c r="NY235" s="31"/>
      <c r="NZ235" s="31"/>
      <c r="OA235" s="31"/>
      <c r="OB235" s="31"/>
      <c r="OC235" s="31"/>
      <c r="OD235" s="31"/>
      <c r="OE235" s="31"/>
      <c r="OF235" s="31"/>
      <c r="OG235" s="31"/>
      <c r="OH235" s="31"/>
      <c r="OI235" s="31"/>
      <c r="OJ235" s="31"/>
      <c r="OK235" s="31"/>
      <c r="OL235" s="31"/>
      <c r="OM235" s="31"/>
      <c r="ON235" s="31"/>
      <c r="OO235" s="31"/>
      <c r="OP235" s="31"/>
      <c r="OQ235" s="31"/>
      <c r="OR235" s="31"/>
      <c r="OS235" s="31"/>
      <c r="OT235" s="31"/>
      <c r="OU235" s="31"/>
      <c r="OV235" s="31"/>
      <c r="OW235" s="31"/>
      <c r="OX235" s="31"/>
      <c r="OY235" s="31"/>
      <c r="OZ235" s="31"/>
      <c r="PA235" s="31"/>
      <c r="PB235" s="31"/>
      <c r="PC235" s="31"/>
      <c r="PD235" s="31"/>
      <c r="PE235" s="31"/>
      <c r="PF235" s="31"/>
      <c r="PG235" s="31"/>
      <c r="PH235" s="31"/>
      <c r="PI235" s="31"/>
      <c r="PJ235" s="31"/>
      <c r="PK235" s="31"/>
      <c r="PL235" s="31"/>
      <c r="PM235" s="31"/>
      <c r="PN235" s="31"/>
      <c r="PO235" s="31"/>
      <c r="PP235" s="31"/>
      <c r="PQ235" s="31"/>
      <c r="PR235" s="31"/>
      <c r="PS235" s="31"/>
      <c r="PT235" s="31"/>
      <c r="PU235" s="31"/>
      <c r="PV235" s="31"/>
      <c r="PW235" s="31"/>
      <c r="PX235" s="31"/>
      <c r="PY235" s="31"/>
      <c r="PZ235" s="31"/>
      <c r="QA235" s="31"/>
      <c r="QB235" s="31"/>
      <c r="QC235" s="31"/>
      <c r="QD235" s="31"/>
      <c r="QE235" s="31"/>
      <c r="QF235" s="31"/>
      <c r="QG235" s="31"/>
      <c r="QH235" s="31"/>
      <c r="QI235" s="31"/>
      <c r="QJ235" s="31"/>
      <c r="QK235" s="31"/>
      <c r="QL235" s="31"/>
      <c r="QM235" s="31"/>
      <c r="QN235" s="31"/>
      <c r="QO235" s="31"/>
      <c r="QP235" s="31"/>
      <c r="QQ235" s="31"/>
      <c r="QR235" s="31"/>
      <c r="QS235" s="31"/>
      <c r="QT235" s="31"/>
      <c r="QU235" s="31"/>
      <c r="QV235" s="31"/>
      <c r="QW235" s="31"/>
      <c r="QX235" s="31"/>
      <c r="QY235" s="31"/>
      <c r="QZ235" s="31"/>
      <c r="RA235" s="31"/>
      <c r="RB235" s="31"/>
      <c r="RC235" s="31"/>
      <c r="RD235" s="31"/>
      <c r="RE235" s="31"/>
      <c r="RF235" s="31"/>
      <c r="RG235" s="31"/>
      <c r="RH235" s="31"/>
      <c r="RI235" s="31"/>
      <c r="RJ235" s="31"/>
      <c r="RK235" s="31"/>
      <c r="RL235" s="31"/>
      <c r="RM235" s="31"/>
      <c r="RN235" s="31"/>
      <c r="RO235" s="31"/>
      <c r="RP235" s="31"/>
      <c r="RQ235" s="31"/>
      <c r="RR235" s="31"/>
      <c r="RS235" s="31"/>
      <c r="RT235" s="31"/>
      <c r="RU235" s="31"/>
      <c r="RV235" s="31"/>
      <c r="RW235" s="31"/>
      <c r="RX235" s="31"/>
      <c r="RY235" s="31"/>
      <c r="RZ235" s="31"/>
      <c r="SA235" s="31"/>
      <c r="SB235" s="31"/>
      <c r="SC235" s="31"/>
      <c r="SD235" s="31"/>
      <c r="SE235" s="31"/>
      <c r="SF235" s="31"/>
      <c r="SG235" s="31"/>
      <c r="SH235" s="31"/>
      <c r="SI235" s="31"/>
      <c r="SJ235" s="31"/>
      <c r="SK235" s="31"/>
      <c r="SL235" s="31"/>
      <c r="SM235" s="31"/>
      <c r="SN235" s="31"/>
      <c r="SO235" s="31"/>
      <c r="SP235" s="31"/>
      <c r="SQ235" s="31"/>
      <c r="SR235" s="31"/>
      <c r="SS235" s="31"/>
      <c r="ST235" s="31"/>
      <c r="SU235" s="31"/>
      <c r="SV235" s="31"/>
      <c r="SW235" s="31"/>
      <c r="SX235" s="31"/>
      <c r="SY235" s="31"/>
      <c r="SZ235" s="31"/>
      <c r="TA235" s="31"/>
      <c r="TB235" s="31"/>
      <c r="TC235" s="31"/>
      <c r="TD235" s="31"/>
      <c r="TE235" s="31"/>
      <c r="TF235" s="31"/>
      <c r="TG235" s="31"/>
      <c r="TH235" s="31"/>
      <c r="TI235" s="31"/>
      <c r="TJ235" s="31"/>
      <c r="TK235" s="31"/>
      <c r="TL235" s="31"/>
      <c r="TM235" s="31"/>
      <c r="TN235" s="31"/>
      <c r="TO235" s="31"/>
      <c r="TP235" s="31"/>
      <c r="TQ235" s="31"/>
      <c r="TR235" s="31"/>
      <c r="TS235" s="31"/>
      <c r="TT235" s="31"/>
      <c r="TU235" s="31"/>
      <c r="TV235" s="31"/>
      <c r="TW235" s="31"/>
      <c r="TX235" s="31"/>
      <c r="TY235" s="31"/>
      <c r="TZ235" s="31"/>
      <c r="UA235" s="31"/>
      <c r="UB235" s="31"/>
      <c r="UC235" s="31"/>
      <c r="UD235" s="31"/>
      <c r="UE235" s="31"/>
      <c r="UF235" s="31"/>
      <c r="UG235" s="31"/>
      <c r="UH235" s="31"/>
      <c r="UI235" s="31"/>
      <c r="UJ235" s="31"/>
      <c r="UK235" s="31"/>
      <c r="UL235" s="31"/>
      <c r="UM235" s="31"/>
      <c r="UN235" s="31"/>
      <c r="UO235" s="31"/>
      <c r="UP235" s="31"/>
      <c r="UQ235" s="31"/>
      <c r="UR235" s="31"/>
      <c r="US235" s="31"/>
      <c r="UT235" s="31"/>
      <c r="UU235" s="31"/>
      <c r="UV235" s="31"/>
      <c r="UW235" s="31"/>
      <c r="UX235" s="31"/>
      <c r="UY235" s="31"/>
      <c r="UZ235" s="31"/>
      <c r="VA235" s="31"/>
      <c r="VB235" s="31"/>
      <c r="VC235" s="31"/>
      <c r="VD235" s="31"/>
      <c r="VE235" s="31"/>
      <c r="VF235" s="31"/>
      <c r="VG235" s="31"/>
      <c r="VH235" s="31"/>
      <c r="VI235" s="31"/>
      <c r="VJ235" s="31"/>
      <c r="VK235" s="31"/>
      <c r="VL235" s="31"/>
      <c r="VM235" s="31"/>
      <c r="VN235" s="31"/>
      <c r="VO235" s="31"/>
      <c r="VP235" s="31"/>
      <c r="VQ235" s="31"/>
      <c r="VR235" s="31"/>
      <c r="VS235" s="31"/>
      <c r="VT235" s="31"/>
      <c r="VU235" s="31"/>
      <c r="VV235" s="31"/>
      <c r="VW235" s="31"/>
      <c r="VX235" s="31"/>
      <c r="VY235" s="31"/>
      <c r="VZ235" s="31"/>
      <c r="WA235" s="31"/>
      <c r="WB235" s="31"/>
      <c r="WC235" s="31"/>
      <c r="WD235" s="31"/>
      <c r="WE235" s="31"/>
      <c r="WF235" s="31"/>
      <c r="WG235" s="31"/>
      <c r="WH235" s="31"/>
      <c r="WI235" s="31"/>
      <c r="WJ235" s="31"/>
      <c r="WK235" s="31"/>
      <c r="WL235" s="31"/>
      <c r="WM235" s="31"/>
      <c r="WN235" s="31"/>
      <c r="WO235" s="31"/>
      <c r="WP235" s="31"/>
      <c r="WQ235" s="31"/>
      <c r="WR235" s="31"/>
      <c r="WS235" s="31"/>
      <c r="WT235" s="31"/>
      <c r="WU235" s="31"/>
      <c r="WV235" s="31"/>
      <c r="WW235" s="31"/>
      <c r="WX235" s="31"/>
      <c r="WY235" s="31"/>
      <c r="WZ235" s="31"/>
      <c r="XA235" s="31"/>
      <c r="XB235" s="31"/>
      <c r="XC235" s="31"/>
      <c r="XD235" s="31"/>
      <c r="XE235" s="31"/>
      <c r="XF235" s="31"/>
      <c r="XG235" s="31"/>
      <c r="XH235" s="31"/>
      <c r="XI235" s="31"/>
      <c r="XJ235" s="31"/>
      <c r="XK235" s="31"/>
      <c r="XL235" s="31"/>
      <c r="XM235" s="31"/>
      <c r="XN235" s="31"/>
      <c r="XO235" s="31"/>
      <c r="XP235" s="31"/>
      <c r="XQ235" s="31"/>
      <c r="XR235" s="31"/>
      <c r="XS235" s="31"/>
      <c r="XT235" s="31"/>
      <c r="XU235" s="31"/>
      <c r="XV235" s="31"/>
      <c r="XW235" s="31"/>
      <c r="XX235" s="31"/>
      <c r="XY235" s="31"/>
      <c r="XZ235" s="31"/>
      <c r="YA235" s="31"/>
      <c r="YB235" s="31"/>
      <c r="YC235" s="31"/>
      <c r="YD235" s="31"/>
      <c r="YE235" s="31"/>
      <c r="YF235" s="31"/>
      <c r="YG235" s="31"/>
      <c r="YH235" s="31"/>
      <c r="YI235" s="31"/>
      <c r="YJ235" s="31"/>
      <c r="YK235" s="31"/>
      <c r="YL235" s="31"/>
      <c r="YM235" s="31"/>
      <c r="YN235" s="31"/>
      <c r="YO235" s="31"/>
      <c r="YP235" s="31"/>
      <c r="YQ235" s="31"/>
      <c r="YR235" s="31"/>
      <c r="YS235" s="31"/>
      <c r="YT235" s="31"/>
      <c r="YU235" s="31"/>
      <c r="YV235" s="31"/>
      <c r="YW235" s="31"/>
      <c r="YX235" s="31"/>
      <c r="YY235" s="31"/>
      <c r="YZ235" s="31"/>
      <c r="ZA235" s="31"/>
      <c r="ZB235" s="31"/>
      <c r="ZC235" s="31"/>
      <c r="ZD235" s="31"/>
      <c r="ZE235" s="31"/>
      <c r="ZF235" s="31"/>
      <c r="ZG235" s="31"/>
      <c r="ZH235" s="31"/>
      <c r="ZI235" s="31"/>
      <c r="ZJ235" s="31"/>
      <c r="ZK235" s="31"/>
      <c r="ZL235" s="31"/>
      <c r="ZM235" s="31"/>
      <c r="ZN235" s="31"/>
      <c r="ZO235" s="31"/>
      <c r="ZP235" s="31"/>
      <c r="ZQ235" s="31"/>
      <c r="ZR235" s="31"/>
      <c r="ZS235" s="31"/>
      <c r="ZT235" s="31"/>
      <c r="ZU235" s="31"/>
      <c r="ZV235" s="31"/>
      <c r="ZW235" s="31"/>
      <c r="ZX235" s="31"/>
      <c r="ZY235" s="31"/>
      <c r="ZZ235" s="31"/>
      <c r="AAA235" s="31"/>
      <c r="AAB235" s="31"/>
      <c r="AAC235" s="31"/>
      <c r="AAD235" s="31"/>
      <c r="AAE235" s="31"/>
      <c r="AAF235" s="31"/>
      <c r="AAG235" s="31"/>
      <c r="AAH235" s="31"/>
      <c r="AAI235" s="31"/>
      <c r="AAJ235" s="31"/>
      <c r="AAK235" s="31"/>
      <c r="AAL235" s="31"/>
      <c r="AAM235" s="31"/>
      <c r="AAN235" s="31"/>
      <c r="AAO235" s="31"/>
      <c r="AAP235" s="31"/>
      <c r="AAQ235" s="31"/>
      <c r="AAR235" s="31"/>
      <c r="AAS235" s="31"/>
      <c r="AAT235" s="31"/>
      <c r="AAU235" s="31"/>
      <c r="AAV235" s="31"/>
      <c r="AAW235" s="31"/>
      <c r="AAX235" s="31"/>
      <c r="AAY235" s="31"/>
      <c r="AAZ235" s="31"/>
      <c r="ABA235" s="31"/>
      <c r="ABB235" s="31"/>
      <c r="ABC235" s="31"/>
      <c r="ABD235" s="31"/>
      <c r="ABE235" s="31"/>
      <c r="ABF235" s="31"/>
      <c r="ABG235" s="31"/>
      <c r="ABH235" s="31"/>
      <c r="ABI235" s="31"/>
      <c r="ABJ235" s="31"/>
      <c r="ABK235" s="31"/>
      <c r="ABL235" s="31"/>
      <c r="ABM235" s="31"/>
      <c r="ABN235" s="31"/>
      <c r="ABO235" s="31"/>
      <c r="ABP235" s="31"/>
      <c r="ABQ235" s="31"/>
      <c r="ABR235" s="31"/>
      <c r="ABS235" s="31"/>
      <c r="ABT235" s="31"/>
      <c r="ABU235" s="31"/>
      <c r="ABV235" s="31"/>
      <c r="ABW235" s="31"/>
      <c r="ABX235" s="31"/>
      <c r="ABY235" s="31"/>
      <c r="ABZ235" s="31"/>
      <c r="ACA235" s="31"/>
      <c r="ACB235" s="31"/>
      <c r="ACC235" s="31"/>
      <c r="ACD235" s="31"/>
      <c r="ACE235" s="31"/>
      <c r="ACF235" s="31"/>
      <c r="ACG235" s="31"/>
      <c r="ACH235" s="31"/>
      <c r="ACI235" s="31"/>
      <c r="ACJ235" s="31"/>
      <c r="ACK235" s="31"/>
      <c r="ACL235" s="31"/>
      <c r="ACM235" s="31"/>
      <c r="ACN235" s="31"/>
      <c r="ACO235" s="31"/>
      <c r="ACP235" s="31"/>
      <c r="ACQ235" s="31"/>
      <c r="ACR235" s="31"/>
      <c r="ACS235" s="31"/>
      <c r="ACT235" s="31"/>
      <c r="ACU235" s="31"/>
      <c r="ACV235" s="31"/>
      <c r="ACW235" s="31"/>
      <c r="ACX235" s="31"/>
      <c r="ACY235" s="31"/>
      <c r="ACZ235" s="31"/>
      <c r="ADA235" s="31"/>
      <c r="ADB235" s="31"/>
      <c r="ADC235" s="31"/>
      <c r="ADD235" s="31"/>
      <c r="ADE235" s="31"/>
      <c r="ADF235" s="31"/>
      <c r="ADG235" s="31"/>
      <c r="ADH235" s="31"/>
      <c r="ADI235" s="31"/>
      <c r="ADJ235" s="31"/>
      <c r="ADK235" s="31"/>
      <c r="ADL235" s="31"/>
      <c r="ADM235" s="31"/>
      <c r="ADN235" s="31"/>
      <c r="ADO235" s="31"/>
      <c r="ADP235" s="31"/>
      <c r="ADQ235" s="31"/>
      <c r="ADR235" s="31"/>
      <c r="ADS235" s="31"/>
      <c r="ADT235" s="31"/>
      <c r="ADU235" s="31"/>
      <c r="ADV235" s="31"/>
      <c r="ADW235" s="31"/>
      <c r="ADX235" s="31"/>
      <c r="ADY235" s="31"/>
      <c r="ADZ235" s="31"/>
      <c r="AEA235" s="31"/>
      <c r="AEB235" s="31"/>
      <c r="AEC235" s="31"/>
      <c r="AED235" s="31"/>
      <c r="AEE235" s="31"/>
      <c r="AEF235" s="31"/>
      <c r="AEG235" s="31"/>
      <c r="AEH235" s="31"/>
      <c r="AEI235" s="31"/>
      <c r="AEJ235" s="31"/>
      <c r="AEK235" s="31"/>
      <c r="AEL235" s="31"/>
      <c r="AEM235" s="31"/>
      <c r="AEN235" s="31"/>
      <c r="AEO235" s="31"/>
      <c r="AEP235" s="31"/>
      <c r="AEQ235" s="31"/>
      <c r="AER235" s="31"/>
      <c r="AES235" s="31"/>
      <c r="AET235" s="31"/>
      <c r="AEU235" s="31"/>
      <c r="AEV235" s="31"/>
      <c r="AEW235" s="31"/>
      <c r="AEX235" s="31"/>
      <c r="AEY235" s="31"/>
      <c r="AEZ235" s="31"/>
      <c r="AFA235" s="31"/>
      <c r="AFB235" s="31"/>
      <c r="AFC235" s="31"/>
      <c r="AFD235" s="31"/>
      <c r="AFE235" s="31"/>
      <c r="AFF235" s="31"/>
      <c r="AFG235" s="31"/>
      <c r="AFH235" s="31"/>
      <c r="AFI235" s="31"/>
      <c r="AFJ235" s="31"/>
      <c r="AFK235" s="31"/>
      <c r="AFL235" s="31"/>
      <c r="AFM235" s="31"/>
      <c r="AFN235" s="31"/>
      <c r="AFO235" s="31"/>
      <c r="AFP235" s="31"/>
      <c r="AFQ235" s="31"/>
      <c r="AFR235" s="31"/>
      <c r="AFS235" s="31"/>
      <c r="AFT235" s="31"/>
      <c r="AFU235" s="31"/>
      <c r="AFV235" s="31"/>
      <c r="AFW235" s="31"/>
      <c r="AFX235" s="31"/>
      <c r="AFY235" s="31"/>
      <c r="AFZ235" s="31"/>
      <c r="AGA235" s="31"/>
      <c r="AGB235" s="31"/>
      <c r="AGC235" s="31"/>
      <c r="AGD235" s="31"/>
      <c r="AGE235" s="31"/>
      <c r="AGF235" s="31"/>
      <c r="AGG235" s="31"/>
      <c r="AGH235" s="31"/>
      <c r="AGI235" s="31"/>
      <c r="AGJ235" s="31"/>
      <c r="AGK235" s="31"/>
      <c r="AGL235" s="31"/>
      <c r="AGM235" s="31"/>
      <c r="AGN235" s="31"/>
      <c r="AGO235" s="31"/>
      <c r="AGP235" s="31"/>
      <c r="AGQ235" s="31"/>
      <c r="AGR235" s="31"/>
      <c r="AGS235" s="31"/>
      <c r="AGT235" s="31"/>
      <c r="AGU235" s="31"/>
      <c r="AGV235" s="31"/>
      <c r="AGW235" s="31"/>
      <c r="AGX235" s="31"/>
      <c r="AGY235" s="31"/>
      <c r="AGZ235" s="31"/>
      <c r="AHA235" s="31"/>
      <c r="AHB235" s="31"/>
      <c r="AHC235" s="31"/>
      <c r="AHD235" s="31"/>
      <c r="AHE235" s="31"/>
      <c r="AHF235" s="31"/>
      <c r="AHG235" s="31"/>
      <c r="AHH235" s="31"/>
      <c r="AHI235" s="31"/>
      <c r="AHJ235" s="31"/>
      <c r="AHK235" s="31"/>
      <c r="AHL235" s="31"/>
      <c r="AHM235" s="31"/>
      <c r="AHN235" s="31"/>
      <c r="AHO235" s="31"/>
      <c r="AHP235" s="31"/>
      <c r="AHQ235" s="31"/>
      <c r="AHR235" s="31"/>
      <c r="AHS235" s="31"/>
      <c r="AHT235" s="31"/>
      <c r="AHU235" s="31"/>
      <c r="AHV235" s="31"/>
      <c r="AHW235" s="31"/>
      <c r="AHX235" s="31"/>
      <c r="AHY235" s="31"/>
      <c r="AHZ235" s="31"/>
      <c r="AIA235" s="31"/>
      <c r="AIB235" s="31"/>
      <c r="AIC235" s="31"/>
      <c r="AID235" s="31"/>
      <c r="AIE235" s="31"/>
      <c r="AIF235" s="31"/>
      <c r="AIG235" s="31"/>
      <c r="AIH235" s="31"/>
      <c r="AII235" s="31"/>
      <c r="AIJ235" s="31"/>
      <c r="AIK235" s="31"/>
      <c r="AIL235" s="31"/>
      <c r="AIM235" s="31"/>
      <c r="AIN235" s="31"/>
      <c r="AIO235" s="31"/>
      <c r="AIP235" s="31"/>
      <c r="AIQ235" s="31"/>
      <c r="AIR235" s="31"/>
      <c r="AIS235" s="31"/>
      <c r="AIT235" s="31"/>
      <c r="AIU235" s="31"/>
      <c r="AIV235" s="31"/>
      <c r="AIW235" s="31"/>
      <c r="AIX235" s="31"/>
      <c r="AIY235" s="31"/>
      <c r="AIZ235" s="31"/>
      <c r="AJA235" s="31"/>
      <c r="AJB235" s="31"/>
      <c r="AJC235" s="31"/>
      <c r="AJD235" s="31"/>
      <c r="AJE235" s="31"/>
      <c r="AJF235" s="31"/>
      <c r="AJG235" s="31"/>
      <c r="AJH235" s="31"/>
      <c r="AJI235" s="31"/>
      <c r="AJJ235" s="31"/>
      <c r="AJK235" s="31"/>
      <c r="AJL235" s="31"/>
      <c r="AJM235" s="31"/>
      <c r="AJN235" s="31"/>
      <c r="AJO235" s="31"/>
      <c r="AJP235" s="31"/>
      <c r="AJQ235" s="31"/>
      <c r="AJR235" s="31"/>
      <c r="AJS235" s="31"/>
      <c r="AJT235" s="31"/>
      <c r="AJU235" s="31"/>
      <c r="AJV235" s="31"/>
      <c r="AJW235" s="31"/>
      <c r="AJX235" s="31"/>
      <c r="AJY235" s="31"/>
      <c r="AJZ235" s="31"/>
      <c r="AKA235" s="31"/>
      <c r="AKB235" s="31"/>
      <c r="AKC235" s="31"/>
      <c r="AKD235" s="31"/>
      <c r="AKE235" s="31"/>
      <c r="AKF235" s="31"/>
      <c r="AKG235" s="31"/>
      <c r="AKH235" s="31"/>
      <c r="AKI235" s="31"/>
      <c r="AKJ235" s="31"/>
      <c r="AKK235" s="31"/>
      <c r="AKL235" s="31"/>
      <c r="AKM235" s="31"/>
      <c r="AKN235" s="31"/>
      <c r="AKO235" s="31"/>
      <c r="AKP235" s="31"/>
      <c r="AKQ235" s="31"/>
      <c r="AKR235" s="31"/>
      <c r="AKS235" s="31"/>
      <c r="AKT235" s="31"/>
      <c r="AKU235" s="31"/>
      <c r="AKV235" s="31"/>
      <c r="AKW235" s="31"/>
      <c r="AKX235" s="31"/>
      <c r="AKY235" s="31"/>
      <c r="AKZ235" s="31"/>
      <c r="ALA235" s="31"/>
      <c r="ALB235" s="31"/>
      <c r="ALC235" s="31"/>
      <c r="ALD235" s="31"/>
      <c r="ALE235" s="31"/>
      <c r="ALF235" s="31"/>
      <c r="ALG235" s="31"/>
      <c r="ALH235" s="31"/>
      <c r="ALI235" s="31"/>
      <c r="ALJ235" s="31"/>
      <c r="ALK235" s="31"/>
      <c r="ALL235" s="31"/>
      <c r="ALM235" s="31"/>
      <c r="ALN235" s="31"/>
      <c r="ALO235" s="31"/>
      <c r="ALP235" s="31"/>
      <c r="ALQ235" s="31"/>
      <c r="ALR235" s="31"/>
      <c r="ALS235" s="31"/>
      <c r="ALT235" s="31"/>
      <c r="ALU235" s="31"/>
      <c r="ALV235" s="31"/>
      <c r="ALW235" s="31"/>
      <c r="ALX235" s="31"/>
      <c r="ALY235" s="31"/>
      <c r="ALZ235" s="31"/>
      <c r="AMA235" s="31"/>
      <c r="AMB235" s="31"/>
      <c r="AMC235" s="31"/>
      <c r="AMD235" s="31"/>
      <c r="AME235" s="31"/>
      <c r="AMF235" s="31"/>
      <c r="AMG235" s="31"/>
      <c r="AMH235" s="31"/>
      <c r="AMI235" s="31"/>
      <c r="AMJ235" s="31"/>
      <c r="AMK235" s="31"/>
      <c r="AML235" s="31"/>
      <c r="AMM235" s="31"/>
      <c r="AMN235" s="31"/>
      <c r="AMO235" s="31"/>
      <c r="AMP235" s="31"/>
      <c r="AMQ235" s="31"/>
      <c r="AMR235" s="31"/>
      <c r="AMS235" s="31"/>
      <c r="AMT235" s="31"/>
      <c r="AMU235" s="31"/>
      <c r="AMV235" s="31"/>
      <c r="AMW235" s="31"/>
      <c r="AMX235" s="31"/>
      <c r="AMY235" s="31"/>
      <c r="AMZ235" s="31"/>
      <c r="ANA235" s="31"/>
      <c r="ANB235" s="31"/>
      <c r="ANC235" s="31"/>
      <c r="AND235" s="31"/>
      <c r="ANE235" s="31"/>
      <c r="ANF235" s="31"/>
      <c r="ANG235" s="31"/>
      <c r="ANH235" s="31"/>
      <c r="ANI235" s="31"/>
      <c r="ANJ235" s="31"/>
      <c r="ANK235" s="31"/>
      <c r="ANL235" s="31"/>
      <c r="ANM235" s="31"/>
      <c r="ANN235" s="31"/>
      <c r="ANO235" s="31"/>
      <c r="ANP235" s="31"/>
      <c r="ANQ235" s="31"/>
      <c r="ANR235" s="31"/>
      <c r="ANS235" s="31"/>
      <c r="ANT235" s="31"/>
      <c r="ANU235" s="31"/>
      <c r="ANV235" s="31"/>
      <c r="ANW235" s="31"/>
      <c r="ANX235" s="31"/>
      <c r="ANY235" s="31"/>
      <c r="ANZ235" s="31"/>
      <c r="AOA235" s="31"/>
      <c r="AOB235" s="31"/>
      <c r="AOC235" s="31"/>
      <c r="AOD235" s="31"/>
      <c r="AOE235" s="31"/>
      <c r="AOF235" s="31"/>
      <c r="AOG235" s="31"/>
      <c r="AOH235" s="31"/>
      <c r="AOI235" s="31"/>
      <c r="AOJ235" s="31"/>
      <c r="AOK235" s="31"/>
      <c r="AOL235" s="31"/>
      <c r="AOM235" s="31"/>
      <c r="AON235" s="31"/>
      <c r="AOO235" s="31"/>
      <c r="AOP235" s="31"/>
      <c r="AOQ235" s="31"/>
      <c r="AOR235" s="31"/>
      <c r="AOS235" s="31"/>
      <c r="AOT235" s="31"/>
      <c r="AOU235" s="31"/>
      <c r="AOV235" s="31"/>
      <c r="AOW235" s="31"/>
      <c r="AOX235" s="31"/>
      <c r="AOY235" s="31"/>
      <c r="AOZ235" s="31"/>
      <c r="APA235" s="31"/>
      <c r="APB235" s="31"/>
      <c r="APC235" s="31"/>
      <c r="APD235" s="31"/>
      <c r="APE235" s="31"/>
      <c r="APF235" s="31"/>
      <c r="APG235" s="31"/>
      <c r="APH235" s="31"/>
      <c r="API235" s="31"/>
      <c r="APJ235" s="31"/>
      <c r="APK235" s="31"/>
      <c r="APL235" s="31"/>
      <c r="APM235" s="31"/>
      <c r="APN235" s="31"/>
      <c r="APO235" s="31"/>
      <c r="APP235" s="31"/>
      <c r="APQ235" s="31"/>
      <c r="APR235" s="31"/>
      <c r="APS235" s="31"/>
      <c r="APT235" s="31"/>
      <c r="APU235" s="31"/>
      <c r="APV235" s="31"/>
      <c r="APW235" s="31"/>
      <c r="APX235" s="31"/>
      <c r="APY235" s="31"/>
      <c r="APZ235" s="31"/>
      <c r="AQA235" s="31"/>
      <c r="AQB235" s="31"/>
      <c r="AQC235" s="31"/>
      <c r="AQD235" s="31"/>
      <c r="AQE235" s="31"/>
      <c r="AQF235" s="31"/>
      <c r="AQG235" s="31"/>
      <c r="AQH235" s="31"/>
      <c r="AQI235" s="31"/>
      <c r="AQJ235" s="31"/>
      <c r="AQK235" s="31"/>
      <c r="AQL235" s="31"/>
      <c r="AQM235" s="31"/>
      <c r="AQN235" s="31"/>
      <c r="AQO235" s="31"/>
      <c r="AQP235" s="31"/>
      <c r="AQQ235" s="31"/>
      <c r="AQR235" s="31"/>
      <c r="AQS235" s="31"/>
      <c r="AQT235" s="31"/>
      <c r="AQU235" s="31"/>
      <c r="AQV235" s="31"/>
      <c r="AQW235" s="31"/>
      <c r="AQX235" s="31"/>
      <c r="AQY235" s="31"/>
      <c r="AQZ235" s="31"/>
      <c r="ARA235" s="31"/>
      <c r="ARB235" s="31"/>
      <c r="ARC235" s="31"/>
      <c r="ARD235" s="31"/>
      <c r="ARE235" s="31"/>
      <c r="ARF235" s="31"/>
      <c r="ARG235" s="31"/>
      <c r="ARH235" s="31"/>
      <c r="ARI235" s="31"/>
      <c r="ARJ235" s="31"/>
      <c r="ARK235" s="31"/>
      <c r="ARL235" s="31"/>
      <c r="ARM235" s="31"/>
      <c r="ARN235" s="31"/>
      <c r="ARO235" s="31"/>
      <c r="ARP235" s="31"/>
      <c r="ARQ235" s="31"/>
      <c r="ARR235" s="31"/>
      <c r="ARS235" s="31"/>
      <c r="ART235" s="31"/>
      <c r="ARU235" s="31"/>
      <c r="ARV235" s="31"/>
      <c r="ARW235" s="31"/>
      <c r="ARX235" s="31"/>
      <c r="ARY235" s="31"/>
      <c r="ARZ235" s="31"/>
      <c r="ASA235" s="31"/>
      <c r="ASB235" s="31"/>
      <c r="ASC235" s="31"/>
      <c r="ASD235" s="31"/>
      <c r="ASE235" s="31"/>
      <c r="ASF235" s="31"/>
      <c r="ASG235" s="31"/>
      <c r="ASH235" s="31"/>
      <c r="ASI235" s="31"/>
      <c r="ASJ235" s="31"/>
      <c r="ASK235" s="31"/>
      <c r="ASL235" s="31"/>
      <c r="ASM235" s="31"/>
      <c r="ASN235" s="31"/>
      <c r="ASO235" s="31"/>
      <c r="ASP235" s="31"/>
      <c r="ASQ235" s="31"/>
      <c r="ASR235" s="31"/>
      <c r="ASS235" s="31"/>
      <c r="AST235" s="31"/>
      <c r="ASU235" s="31"/>
      <c r="ASV235" s="31"/>
      <c r="ASW235" s="31"/>
      <c r="ASX235" s="31"/>
      <c r="ASY235" s="31"/>
      <c r="ASZ235" s="31"/>
      <c r="ATA235" s="31"/>
      <c r="ATB235" s="31"/>
      <c r="ATC235" s="31"/>
      <c r="ATD235" s="31"/>
      <c r="ATE235" s="31"/>
    </row>
    <row r="236" spans="1:1201" s="34" customFormat="1" ht="15.75" customHeight="1" x14ac:dyDescent="0.3">
      <c r="A236" s="76"/>
      <c r="B236" s="76"/>
      <c r="C236" s="57" t="s">
        <v>202</v>
      </c>
      <c r="D236" s="63"/>
      <c r="E236" s="63"/>
      <c r="F236" s="31"/>
      <c r="G236" s="167">
        <v>75151.638287752081</v>
      </c>
      <c r="H236" s="657">
        <v>-203041.63255200005</v>
      </c>
      <c r="I236" s="653">
        <v>-69696.063878999936</v>
      </c>
      <c r="J236" s="653">
        <v>257246.42000000013</v>
      </c>
      <c r="K236" s="653">
        <v>-104235.78999999992</v>
      </c>
      <c r="L236" s="653">
        <v>-22910.359999999753</v>
      </c>
      <c r="M236" s="653">
        <v>77433.929999999731</v>
      </c>
      <c r="N236" s="653">
        <v>230472.84999999998</v>
      </c>
      <c r="O236" s="653">
        <v>117484.86999999962</v>
      </c>
      <c r="P236" s="653">
        <v>189865.33000000016</v>
      </c>
      <c r="Q236" s="653">
        <f t="shared" ref="Q236:AQ236" si="403">Q115</f>
        <v>407471.03000000049</v>
      </c>
      <c r="R236" s="653">
        <f t="shared" si="403"/>
        <v>181846.49000000002</v>
      </c>
      <c r="S236" s="653">
        <f t="shared" si="403"/>
        <v>409653.5499999997</v>
      </c>
      <c r="T236" s="948">
        <f t="shared" si="403"/>
        <v>60434.359999999848</v>
      </c>
      <c r="U236" s="948">
        <f t="shared" si="403"/>
        <v>216601.78000000003</v>
      </c>
      <c r="V236" s="948">
        <f t="shared" si="403"/>
        <v>46329.520000000048</v>
      </c>
      <c r="W236" s="948">
        <f t="shared" si="403"/>
        <v>-265542.82000000012</v>
      </c>
      <c r="X236" s="948">
        <f t="shared" si="403"/>
        <v>-128392.73000000003</v>
      </c>
      <c r="Y236" s="948">
        <f t="shared" si="403"/>
        <v>279238.66000000009</v>
      </c>
      <c r="Z236" s="1098">
        <f t="shared" si="403"/>
        <v>-19852.979999999865</v>
      </c>
      <c r="AA236" s="1098">
        <f t="shared" si="403"/>
        <v>504677.98999999982</v>
      </c>
      <c r="AB236" s="1098">
        <f t="shared" si="403"/>
        <v>231725.07000000015</v>
      </c>
      <c r="AC236" s="1098">
        <f t="shared" si="403"/>
        <v>136076.82</v>
      </c>
      <c r="AD236" s="1098">
        <f t="shared" si="403"/>
        <v>145043.77000000005</v>
      </c>
      <c r="AE236" s="1098">
        <f t="shared" ref="AE236:AF236" si="404">AE115</f>
        <v>279554.12000000017</v>
      </c>
      <c r="AF236" s="1098">
        <f t="shared" si="404"/>
        <v>-272071.57000000007</v>
      </c>
      <c r="AG236" s="1098">
        <f t="shared" si="403"/>
        <v>74690.660000000047</v>
      </c>
      <c r="AH236" s="1098">
        <f t="shared" si="403"/>
        <v>347111.51</v>
      </c>
      <c r="AI236" s="1098">
        <f t="shared" si="403"/>
        <v>206065.88999999996</v>
      </c>
      <c r="AJ236" s="1098">
        <f t="shared" ref="AJ236" si="405">AJ115</f>
        <v>436213.60000000003</v>
      </c>
      <c r="AK236" s="1098">
        <f t="shared" si="403"/>
        <v>-161689.11000000004</v>
      </c>
      <c r="AL236" s="1098">
        <f t="shared" si="403"/>
        <v>119940.58000000007</v>
      </c>
      <c r="AM236" s="1098">
        <f t="shared" si="403"/>
        <v>219743.86000000004</v>
      </c>
      <c r="AN236" s="1098">
        <f t="shared" ref="AN236" si="406">AN115</f>
        <v>212597.11999999982</v>
      </c>
      <c r="AO236" s="1098">
        <f t="shared" si="403"/>
        <v>239223.59000000035</v>
      </c>
      <c r="AP236" s="653">
        <f t="shared" ca="1" si="403"/>
        <v>372535.01218431606</v>
      </c>
      <c r="AQ236" s="653">
        <f t="shared" ca="1" si="403"/>
        <v>459133.98392675939</v>
      </c>
      <c r="AR236" s="1647">
        <f t="shared" ref="AR236:BC236" ca="1" si="407">AR115</f>
        <v>142720.47178088716</v>
      </c>
      <c r="AS236" s="653">
        <f t="shared" ca="1" si="407"/>
        <v>524162.9256223386</v>
      </c>
      <c r="AT236" s="653">
        <f t="shared" ca="1" si="407"/>
        <v>305219.36171111022</v>
      </c>
      <c r="AU236" s="653">
        <f t="shared" ca="1" si="407"/>
        <v>482079.39560114488</v>
      </c>
      <c r="AV236" s="653">
        <f t="shared" ca="1" si="407"/>
        <v>300607.02693574934</v>
      </c>
      <c r="AW236" s="653">
        <f t="shared" ca="1" si="407"/>
        <v>295692.91099284397</v>
      </c>
      <c r="AX236" s="653">
        <f t="shared" ca="1" si="407"/>
        <v>292664.65456443187</v>
      </c>
      <c r="AY236" s="653">
        <f t="shared" ca="1" si="407"/>
        <v>542669.26856573403</v>
      </c>
      <c r="AZ236" s="653">
        <f t="shared" ca="1" si="407"/>
        <v>332959.06458834698</v>
      </c>
      <c r="BA236" s="653">
        <f t="shared" ca="1" si="407"/>
        <v>284472.00406709529</v>
      </c>
      <c r="BB236" s="653">
        <f t="shared" ca="1" si="407"/>
        <v>281435.38056087546</v>
      </c>
      <c r="BC236" s="653">
        <f t="shared" ca="1" si="407"/>
        <v>278342.92532069323</v>
      </c>
      <c r="BE236" s="1208">
        <f t="shared" ref="BE236:BE241" si="408">SUM(T236:AE236)</f>
        <v>1485893.56</v>
      </c>
      <c r="BF236" s="948">
        <f t="shared" ref="BF236:BF253" ca="1" si="409">SUM(AF236:AQ236)</f>
        <v>2253495.1261110757</v>
      </c>
      <c r="BG236" s="1208">
        <f t="shared" ref="BG236:BG241" si="410">SUM(U236:AF236)</f>
        <v>1153387.6300000001</v>
      </c>
      <c r="BH236" s="31"/>
      <c r="BI236" s="31"/>
      <c r="BJ236" s="31"/>
      <c r="BK236" s="31"/>
      <c r="BL236" s="31"/>
      <c r="BM236" s="31"/>
      <c r="BN236" s="31"/>
      <c r="BO236" s="31"/>
      <c r="BP236" s="31"/>
      <c r="BQ236" s="31"/>
      <c r="BR236" s="31"/>
      <c r="BS236" s="31"/>
      <c r="BT236" s="31"/>
      <c r="BU236" s="31"/>
      <c r="BV236" s="31"/>
      <c r="BW236" s="31"/>
      <c r="BX236" s="31"/>
      <c r="BY236" s="31"/>
      <c r="BZ236" s="31"/>
      <c r="CA236" s="31"/>
      <c r="CB236" s="31"/>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c r="DA236" s="31"/>
      <c r="DB236" s="31"/>
      <c r="DC236" s="31"/>
      <c r="DD236" s="31"/>
      <c r="DE236" s="31"/>
      <c r="DF236" s="31"/>
      <c r="DG236" s="31"/>
      <c r="DH236" s="31"/>
      <c r="DI236" s="31"/>
      <c r="DJ236" s="31"/>
      <c r="DK236" s="31"/>
      <c r="DL236" s="31"/>
      <c r="DM236" s="31"/>
      <c r="DN236" s="31"/>
      <c r="DO236" s="31"/>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c r="EX236" s="31"/>
      <c r="EY236" s="31"/>
      <c r="EZ236" s="31"/>
      <c r="FA236" s="31"/>
      <c r="FB236" s="31"/>
      <c r="FC236" s="31"/>
      <c r="FD236" s="31"/>
      <c r="FE236" s="31"/>
      <c r="FF236" s="31"/>
      <c r="FG236" s="31"/>
      <c r="FH236" s="31"/>
      <c r="FI236" s="31"/>
      <c r="FJ236" s="31"/>
      <c r="FK236" s="31"/>
      <c r="FL236" s="31"/>
      <c r="FM236" s="31"/>
      <c r="FN236" s="31"/>
      <c r="FO236" s="31"/>
      <c r="FP236" s="31"/>
      <c r="FQ236" s="31"/>
      <c r="FR236" s="31"/>
      <c r="FS236" s="31"/>
      <c r="FT236" s="31"/>
      <c r="FU236" s="31"/>
      <c r="FV236" s="31"/>
      <c r="FW236" s="31"/>
      <c r="FX236" s="31"/>
      <c r="FY236" s="31"/>
      <c r="FZ236" s="31"/>
      <c r="GA236" s="31"/>
      <c r="GB236" s="31"/>
      <c r="GC236" s="31"/>
      <c r="GD236" s="31"/>
      <c r="GE236" s="31"/>
      <c r="GF236" s="31"/>
      <c r="GG236" s="31"/>
      <c r="GH236" s="31"/>
      <c r="GI236" s="31"/>
      <c r="GJ236" s="31"/>
      <c r="GK236" s="31"/>
      <c r="GL236" s="31"/>
      <c r="GM236" s="31"/>
      <c r="GN236" s="31"/>
      <c r="GO236" s="31"/>
      <c r="GP236" s="31"/>
      <c r="GQ236" s="31"/>
      <c r="GR236" s="31"/>
      <c r="GS236" s="31"/>
      <c r="GT236" s="31"/>
      <c r="GU236" s="31"/>
      <c r="GV236" s="31"/>
      <c r="GW236" s="31"/>
      <c r="GX236" s="31"/>
      <c r="GY236" s="31"/>
      <c r="GZ236" s="31"/>
      <c r="HA236" s="31"/>
      <c r="HB236" s="31"/>
      <c r="HC236" s="31"/>
      <c r="HD236" s="31"/>
      <c r="HE236" s="31"/>
      <c r="HF236" s="31"/>
      <c r="HG236" s="31"/>
      <c r="HH236" s="31"/>
      <c r="HI236" s="31"/>
      <c r="HJ236" s="31"/>
      <c r="HK236" s="31"/>
      <c r="HL236" s="31"/>
      <c r="HM236" s="31"/>
      <c r="HN236" s="31"/>
      <c r="HO236" s="31"/>
      <c r="HP236" s="31"/>
      <c r="HQ236" s="31"/>
      <c r="HR236" s="31"/>
      <c r="HS236" s="31"/>
      <c r="HT236" s="31"/>
      <c r="HU236" s="31"/>
      <c r="HV236" s="31"/>
      <c r="HW236" s="31"/>
      <c r="HX236" s="31"/>
      <c r="HY236" s="31"/>
      <c r="HZ236" s="31"/>
      <c r="IA236" s="31"/>
      <c r="IB236" s="31"/>
      <c r="IC236" s="31"/>
      <c r="ID236" s="31"/>
      <c r="IE236" s="31"/>
      <c r="IF236" s="31"/>
      <c r="IG236" s="31"/>
      <c r="IH236" s="31"/>
      <c r="II236" s="31"/>
      <c r="IJ236" s="31"/>
      <c r="IK236" s="31"/>
      <c r="IL236" s="31"/>
      <c r="IM236" s="31"/>
      <c r="IN236" s="31"/>
      <c r="IO236" s="31"/>
      <c r="IP236" s="31"/>
      <c r="IQ236" s="31"/>
      <c r="IR236" s="31"/>
      <c r="IS236" s="31"/>
      <c r="IT236" s="31"/>
      <c r="IU236" s="31"/>
      <c r="IV236" s="31"/>
      <c r="IW236" s="31"/>
      <c r="IX236" s="31"/>
      <c r="IY236" s="31"/>
      <c r="IZ236" s="31"/>
      <c r="JA236" s="31"/>
      <c r="JB236" s="31"/>
      <c r="JC236" s="31"/>
      <c r="JD236" s="31"/>
      <c r="JE236" s="31"/>
      <c r="JF236" s="31"/>
      <c r="JG236" s="31"/>
      <c r="JH236" s="31"/>
      <c r="JI236" s="31"/>
      <c r="JJ236" s="31"/>
      <c r="JK236" s="31"/>
      <c r="JL236" s="31"/>
      <c r="JM236" s="31"/>
      <c r="JN236" s="31"/>
      <c r="JO236" s="31"/>
      <c r="JP236" s="31"/>
      <c r="JQ236" s="31"/>
      <c r="JR236" s="31"/>
      <c r="JS236" s="31"/>
      <c r="JT236" s="31"/>
      <c r="JU236" s="31"/>
      <c r="JV236" s="31"/>
      <c r="JW236" s="31"/>
      <c r="JX236" s="31"/>
      <c r="JY236" s="31"/>
      <c r="JZ236" s="31"/>
      <c r="KA236" s="31"/>
      <c r="KB236" s="31"/>
      <c r="KC236" s="31"/>
      <c r="KD236" s="31"/>
      <c r="KE236" s="31"/>
      <c r="KF236" s="31"/>
      <c r="KG236" s="31"/>
      <c r="KH236" s="31"/>
      <c r="KI236" s="31"/>
      <c r="KJ236" s="31"/>
      <c r="KK236" s="31"/>
      <c r="KL236" s="31"/>
      <c r="KM236" s="31"/>
      <c r="KN236" s="31"/>
      <c r="KO236" s="31"/>
      <c r="KP236" s="31"/>
      <c r="KQ236" s="31"/>
      <c r="KR236" s="31"/>
      <c r="KS236" s="31"/>
      <c r="KT236" s="31"/>
      <c r="KU236" s="31"/>
      <c r="KV236" s="31"/>
      <c r="KW236" s="31"/>
      <c r="KX236" s="31"/>
      <c r="KY236" s="31"/>
      <c r="KZ236" s="31"/>
      <c r="LA236" s="31"/>
      <c r="LB236" s="31"/>
      <c r="LC236" s="31"/>
      <c r="LD236" s="31"/>
      <c r="LE236" s="31"/>
      <c r="LF236" s="31"/>
      <c r="LG236" s="31"/>
      <c r="LH236" s="31"/>
      <c r="LI236" s="31"/>
      <c r="LJ236" s="31"/>
      <c r="LK236" s="31"/>
      <c r="LL236" s="31"/>
      <c r="LM236" s="31"/>
      <c r="LN236" s="31"/>
      <c r="LO236" s="31"/>
      <c r="LP236" s="31"/>
      <c r="LQ236" s="31"/>
      <c r="LR236" s="31"/>
      <c r="LS236" s="31"/>
      <c r="LT236" s="31"/>
      <c r="LU236" s="31"/>
      <c r="LV236" s="31"/>
      <c r="LW236" s="31"/>
      <c r="LX236" s="31"/>
      <c r="LY236" s="31"/>
      <c r="LZ236" s="31"/>
      <c r="MA236" s="31"/>
      <c r="MB236" s="31"/>
      <c r="MC236" s="31"/>
      <c r="MD236" s="31"/>
      <c r="ME236" s="31"/>
      <c r="MF236" s="31"/>
      <c r="MG236" s="31"/>
      <c r="MH236" s="31"/>
      <c r="MI236" s="31"/>
      <c r="MJ236" s="31"/>
      <c r="MK236" s="31"/>
      <c r="ML236" s="31"/>
      <c r="MM236" s="31"/>
      <c r="MN236" s="31"/>
      <c r="MO236" s="31"/>
      <c r="MP236" s="31"/>
      <c r="MQ236" s="31"/>
      <c r="MR236" s="31"/>
      <c r="MS236" s="31"/>
      <c r="MT236" s="31"/>
      <c r="MU236" s="31"/>
      <c r="MV236" s="31"/>
      <c r="MW236" s="31"/>
      <c r="MX236" s="31"/>
      <c r="MY236" s="31"/>
      <c r="MZ236" s="31"/>
      <c r="NA236" s="31"/>
      <c r="NB236" s="31"/>
      <c r="NC236" s="31"/>
      <c r="ND236" s="31"/>
      <c r="NE236" s="31"/>
      <c r="NF236" s="31"/>
      <c r="NG236" s="31"/>
      <c r="NH236" s="31"/>
      <c r="NI236" s="31"/>
      <c r="NJ236" s="31"/>
      <c r="NK236" s="31"/>
      <c r="NL236" s="31"/>
      <c r="NM236" s="31"/>
      <c r="NN236" s="31"/>
      <c r="NO236" s="31"/>
      <c r="NP236" s="31"/>
      <c r="NQ236" s="31"/>
      <c r="NR236" s="31"/>
      <c r="NS236" s="31"/>
      <c r="NT236" s="31"/>
      <c r="NU236" s="31"/>
      <c r="NV236" s="31"/>
      <c r="NW236" s="31"/>
      <c r="NX236" s="31"/>
      <c r="NY236" s="31"/>
      <c r="NZ236" s="31"/>
      <c r="OA236" s="31"/>
      <c r="OB236" s="31"/>
      <c r="OC236" s="31"/>
      <c r="OD236" s="31"/>
      <c r="OE236" s="31"/>
      <c r="OF236" s="31"/>
      <c r="OG236" s="31"/>
      <c r="OH236" s="31"/>
      <c r="OI236" s="31"/>
      <c r="OJ236" s="31"/>
      <c r="OK236" s="31"/>
      <c r="OL236" s="31"/>
      <c r="OM236" s="31"/>
      <c r="ON236" s="31"/>
      <c r="OO236" s="31"/>
      <c r="OP236" s="31"/>
      <c r="OQ236" s="31"/>
      <c r="OR236" s="31"/>
      <c r="OS236" s="31"/>
      <c r="OT236" s="31"/>
      <c r="OU236" s="31"/>
      <c r="OV236" s="31"/>
      <c r="OW236" s="31"/>
      <c r="OX236" s="31"/>
      <c r="OY236" s="31"/>
      <c r="OZ236" s="31"/>
      <c r="PA236" s="31"/>
      <c r="PB236" s="31"/>
      <c r="PC236" s="31"/>
      <c r="PD236" s="31"/>
      <c r="PE236" s="31"/>
      <c r="PF236" s="31"/>
      <c r="PG236" s="31"/>
      <c r="PH236" s="31"/>
      <c r="PI236" s="31"/>
      <c r="PJ236" s="31"/>
      <c r="PK236" s="31"/>
      <c r="PL236" s="31"/>
      <c r="PM236" s="31"/>
      <c r="PN236" s="31"/>
      <c r="PO236" s="31"/>
      <c r="PP236" s="31"/>
      <c r="PQ236" s="31"/>
      <c r="PR236" s="31"/>
      <c r="PS236" s="31"/>
      <c r="PT236" s="31"/>
      <c r="PU236" s="31"/>
      <c r="PV236" s="31"/>
      <c r="PW236" s="31"/>
      <c r="PX236" s="31"/>
      <c r="PY236" s="31"/>
      <c r="PZ236" s="31"/>
      <c r="QA236" s="31"/>
      <c r="QB236" s="31"/>
      <c r="QC236" s="31"/>
      <c r="QD236" s="31"/>
      <c r="QE236" s="31"/>
      <c r="QF236" s="31"/>
      <c r="QG236" s="31"/>
      <c r="QH236" s="31"/>
      <c r="QI236" s="31"/>
      <c r="QJ236" s="31"/>
      <c r="QK236" s="31"/>
      <c r="QL236" s="31"/>
      <c r="QM236" s="31"/>
      <c r="QN236" s="31"/>
      <c r="QO236" s="31"/>
      <c r="QP236" s="31"/>
      <c r="QQ236" s="31"/>
      <c r="QR236" s="31"/>
      <c r="QS236" s="31"/>
      <c r="QT236" s="31"/>
      <c r="QU236" s="31"/>
      <c r="QV236" s="31"/>
      <c r="QW236" s="31"/>
      <c r="QX236" s="31"/>
      <c r="QY236" s="31"/>
      <c r="QZ236" s="31"/>
      <c r="RA236" s="31"/>
      <c r="RB236" s="31"/>
      <c r="RC236" s="31"/>
      <c r="RD236" s="31"/>
      <c r="RE236" s="31"/>
      <c r="RF236" s="31"/>
      <c r="RG236" s="31"/>
      <c r="RH236" s="31"/>
      <c r="RI236" s="31"/>
      <c r="RJ236" s="31"/>
      <c r="RK236" s="31"/>
      <c r="RL236" s="31"/>
      <c r="RM236" s="31"/>
      <c r="RN236" s="31"/>
      <c r="RO236" s="31"/>
      <c r="RP236" s="31"/>
      <c r="RQ236" s="31"/>
      <c r="RR236" s="31"/>
      <c r="RS236" s="31"/>
      <c r="RT236" s="31"/>
      <c r="RU236" s="31"/>
      <c r="RV236" s="31"/>
      <c r="RW236" s="31"/>
      <c r="RX236" s="31"/>
      <c r="RY236" s="31"/>
      <c r="RZ236" s="31"/>
      <c r="SA236" s="31"/>
      <c r="SB236" s="31"/>
      <c r="SC236" s="31"/>
      <c r="SD236" s="31"/>
      <c r="SE236" s="31"/>
      <c r="SF236" s="31"/>
      <c r="SG236" s="31"/>
      <c r="SH236" s="31"/>
      <c r="SI236" s="31"/>
      <c r="SJ236" s="31"/>
      <c r="SK236" s="31"/>
      <c r="SL236" s="31"/>
      <c r="SM236" s="31"/>
      <c r="SN236" s="31"/>
      <c r="SO236" s="31"/>
      <c r="SP236" s="31"/>
      <c r="SQ236" s="31"/>
      <c r="SR236" s="31"/>
      <c r="SS236" s="31"/>
      <c r="ST236" s="31"/>
      <c r="SU236" s="31"/>
      <c r="SV236" s="31"/>
      <c r="SW236" s="31"/>
      <c r="SX236" s="31"/>
      <c r="SY236" s="31"/>
      <c r="SZ236" s="31"/>
      <c r="TA236" s="31"/>
      <c r="TB236" s="31"/>
      <c r="TC236" s="31"/>
      <c r="TD236" s="31"/>
      <c r="TE236" s="31"/>
      <c r="TF236" s="31"/>
      <c r="TG236" s="31"/>
      <c r="TH236" s="31"/>
      <c r="TI236" s="31"/>
      <c r="TJ236" s="31"/>
      <c r="TK236" s="31"/>
      <c r="TL236" s="31"/>
      <c r="TM236" s="31"/>
      <c r="TN236" s="31"/>
      <c r="TO236" s="31"/>
      <c r="TP236" s="31"/>
      <c r="TQ236" s="31"/>
      <c r="TR236" s="31"/>
      <c r="TS236" s="31"/>
      <c r="TT236" s="31"/>
      <c r="TU236" s="31"/>
      <c r="TV236" s="31"/>
      <c r="TW236" s="31"/>
      <c r="TX236" s="31"/>
      <c r="TY236" s="31"/>
      <c r="TZ236" s="31"/>
      <c r="UA236" s="31"/>
      <c r="UB236" s="31"/>
      <c r="UC236" s="31"/>
      <c r="UD236" s="31"/>
      <c r="UE236" s="31"/>
      <c r="UF236" s="31"/>
      <c r="UG236" s="31"/>
      <c r="UH236" s="31"/>
      <c r="UI236" s="31"/>
      <c r="UJ236" s="31"/>
      <c r="UK236" s="31"/>
      <c r="UL236" s="31"/>
      <c r="UM236" s="31"/>
      <c r="UN236" s="31"/>
      <c r="UO236" s="31"/>
      <c r="UP236" s="31"/>
      <c r="UQ236" s="31"/>
      <c r="UR236" s="31"/>
      <c r="US236" s="31"/>
      <c r="UT236" s="31"/>
      <c r="UU236" s="31"/>
      <c r="UV236" s="31"/>
      <c r="UW236" s="31"/>
      <c r="UX236" s="31"/>
      <c r="UY236" s="31"/>
      <c r="UZ236" s="31"/>
      <c r="VA236" s="31"/>
      <c r="VB236" s="31"/>
      <c r="VC236" s="31"/>
      <c r="VD236" s="31"/>
      <c r="VE236" s="31"/>
      <c r="VF236" s="31"/>
      <c r="VG236" s="31"/>
      <c r="VH236" s="31"/>
      <c r="VI236" s="31"/>
      <c r="VJ236" s="31"/>
      <c r="VK236" s="31"/>
      <c r="VL236" s="31"/>
      <c r="VM236" s="31"/>
      <c r="VN236" s="31"/>
      <c r="VO236" s="31"/>
      <c r="VP236" s="31"/>
      <c r="VQ236" s="31"/>
      <c r="VR236" s="31"/>
      <c r="VS236" s="31"/>
      <c r="VT236" s="31"/>
      <c r="VU236" s="31"/>
      <c r="VV236" s="31"/>
      <c r="VW236" s="31"/>
      <c r="VX236" s="31"/>
      <c r="VY236" s="31"/>
      <c r="VZ236" s="31"/>
      <c r="WA236" s="31"/>
      <c r="WB236" s="31"/>
      <c r="WC236" s="31"/>
      <c r="WD236" s="31"/>
      <c r="WE236" s="31"/>
      <c r="WF236" s="31"/>
      <c r="WG236" s="31"/>
      <c r="WH236" s="31"/>
      <c r="WI236" s="31"/>
      <c r="WJ236" s="31"/>
      <c r="WK236" s="31"/>
      <c r="WL236" s="31"/>
      <c r="WM236" s="31"/>
      <c r="WN236" s="31"/>
      <c r="WO236" s="31"/>
      <c r="WP236" s="31"/>
      <c r="WQ236" s="31"/>
      <c r="WR236" s="31"/>
      <c r="WS236" s="31"/>
      <c r="WT236" s="31"/>
      <c r="WU236" s="31"/>
      <c r="WV236" s="31"/>
      <c r="WW236" s="31"/>
      <c r="WX236" s="31"/>
      <c r="WY236" s="31"/>
      <c r="WZ236" s="31"/>
      <c r="XA236" s="31"/>
      <c r="XB236" s="31"/>
      <c r="XC236" s="31"/>
      <c r="XD236" s="31"/>
      <c r="XE236" s="31"/>
      <c r="XF236" s="31"/>
      <c r="XG236" s="31"/>
      <c r="XH236" s="31"/>
      <c r="XI236" s="31"/>
      <c r="XJ236" s="31"/>
      <c r="XK236" s="31"/>
      <c r="XL236" s="31"/>
      <c r="XM236" s="31"/>
      <c r="XN236" s="31"/>
      <c r="XO236" s="31"/>
      <c r="XP236" s="31"/>
      <c r="XQ236" s="31"/>
      <c r="XR236" s="31"/>
      <c r="XS236" s="31"/>
      <c r="XT236" s="31"/>
      <c r="XU236" s="31"/>
      <c r="XV236" s="31"/>
      <c r="XW236" s="31"/>
      <c r="XX236" s="31"/>
      <c r="XY236" s="31"/>
      <c r="XZ236" s="31"/>
      <c r="YA236" s="31"/>
      <c r="YB236" s="31"/>
      <c r="YC236" s="31"/>
      <c r="YD236" s="31"/>
      <c r="YE236" s="31"/>
      <c r="YF236" s="31"/>
      <c r="YG236" s="31"/>
      <c r="YH236" s="31"/>
      <c r="YI236" s="31"/>
      <c r="YJ236" s="31"/>
      <c r="YK236" s="31"/>
      <c r="YL236" s="31"/>
      <c r="YM236" s="31"/>
      <c r="YN236" s="31"/>
      <c r="YO236" s="31"/>
      <c r="YP236" s="31"/>
      <c r="YQ236" s="31"/>
      <c r="YR236" s="31"/>
      <c r="YS236" s="31"/>
      <c r="YT236" s="31"/>
      <c r="YU236" s="31"/>
      <c r="YV236" s="31"/>
      <c r="YW236" s="31"/>
      <c r="YX236" s="31"/>
      <c r="YY236" s="31"/>
      <c r="YZ236" s="31"/>
      <c r="ZA236" s="31"/>
      <c r="ZB236" s="31"/>
      <c r="ZC236" s="31"/>
      <c r="ZD236" s="31"/>
      <c r="ZE236" s="31"/>
      <c r="ZF236" s="31"/>
      <c r="ZG236" s="31"/>
      <c r="ZH236" s="31"/>
      <c r="ZI236" s="31"/>
      <c r="ZJ236" s="31"/>
      <c r="ZK236" s="31"/>
      <c r="ZL236" s="31"/>
      <c r="ZM236" s="31"/>
      <c r="ZN236" s="31"/>
      <c r="ZO236" s="31"/>
      <c r="ZP236" s="31"/>
      <c r="ZQ236" s="31"/>
      <c r="ZR236" s="31"/>
      <c r="ZS236" s="31"/>
      <c r="ZT236" s="31"/>
      <c r="ZU236" s="31"/>
      <c r="ZV236" s="31"/>
      <c r="ZW236" s="31"/>
      <c r="ZX236" s="31"/>
      <c r="ZY236" s="31"/>
      <c r="ZZ236" s="31"/>
      <c r="AAA236" s="31"/>
      <c r="AAB236" s="31"/>
      <c r="AAC236" s="31"/>
      <c r="AAD236" s="31"/>
      <c r="AAE236" s="31"/>
      <c r="AAF236" s="31"/>
      <c r="AAG236" s="31"/>
      <c r="AAH236" s="31"/>
      <c r="AAI236" s="31"/>
      <c r="AAJ236" s="31"/>
      <c r="AAK236" s="31"/>
      <c r="AAL236" s="31"/>
      <c r="AAM236" s="31"/>
      <c r="AAN236" s="31"/>
      <c r="AAO236" s="31"/>
      <c r="AAP236" s="31"/>
      <c r="AAQ236" s="31"/>
      <c r="AAR236" s="31"/>
      <c r="AAS236" s="31"/>
      <c r="AAT236" s="31"/>
      <c r="AAU236" s="31"/>
      <c r="AAV236" s="31"/>
      <c r="AAW236" s="31"/>
      <c r="AAX236" s="31"/>
      <c r="AAY236" s="31"/>
      <c r="AAZ236" s="31"/>
      <c r="ABA236" s="31"/>
      <c r="ABB236" s="31"/>
      <c r="ABC236" s="31"/>
      <c r="ABD236" s="31"/>
      <c r="ABE236" s="31"/>
      <c r="ABF236" s="31"/>
      <c r="ABG236" s="31"/>
      <c r="ABH236" s="31"/>
      <c r="ABI236" s="31"/>
      <c r="ABJ236" s="31"/>
      <c r="ABK236" s="31"/>
      <c r="ABL236" s="31"/>
      <c r="ABM236" s="31"/>
      <c r="ABN236" s="31"/>
      <c r="ABO236" s="31"/>
      <c r="ABP236" s="31"/>
      <c r="ABQ236" s="31"/>
      <c r="ABR236" s="31"/>
      <c r="ABS236" s="31"/>
      <c r="ABT236" s="31"/>
      <c r="ABU236" s="31"/>
      <c r="ABV236" s="31"/>
      <c r="ABW236" s="31"/>
      <c r="ABX236" s="31"/>
      <c r="ABY236" s="31"/>
      <c r="ABZ236" s="31"/>
      <c r="ACA236" s="31"/>
      <c r="ACB236" s="31"/>
      <c r="ACC236" s="31"/>
      <c r="ACD236" s="31"/>
      <c r="ACE236" s="31"/>
      <c r="ACF236" s="31"/>
      <c r="ACG236" s="31"/>
      <c r="ACH236" s="31"/>
      <c r="ACI236" s="31"/>
      <c r="ACJ236" s="31"/>
      <c r="ACK236" s="31"/>
      <c r="ACL236" s="31"/>
      <c r="ACM236" s="31"/>
      <c r="ACN236" s="31"/>
      <c r="ACO236" s="31"/>
      <c r="ACP236" s="31"/>
      <c r="ACQ236" s="31"/>
      <c r="ACR236" s="31"/>
      <c r="ACS236" s="31"/>
      <c r="ACT236" s="31"/>
      <c r="ACU236" s="31"/>
      <c r="ACV236" s="31"/>
      <c r="ACW236" s="31"/>
      <c r="ACX236" s="31"/>
      <c r="ACY236" s="31"/>
      <c r="ACZ236" s="31"/>
      <c r="ADA236" s="31"/>
      <c r="ADB236" s="31"/>
      <c r="ADC236" s="31"/>
      <c r="ADD236" s="31"/>
      <c r="ADE236" s="31"/>
      <c r="ADF236" s="31"/>
      <c r="ADG236" s="31"/>
      <c r="ADH236" s="31"/>
      <c r="ADI236" s="31"/>
      <c r="ADJ236" s="31"/>
      <c r="ADK236" s="31"/>
      <c r="ADL236" s="31"/>
      <c r="ADM236" s="31"/>
      <c r="ADN236" s="31"/>
      <c r="ADO236" s="31"/>
      <c r="ADP236" s="31"/>
      <c r="ADQ236" s="31"/>
      <c r="ADR236" s="31"/>
      <c r="ADS236" s="31"/>
      <c r="ADT236" s="31"/>
      <c r="ADU236" s="31"/>
      <c r="ADV236" s="31"/>
      <c r="ADW236" s="31"/>
      <c r="ADX236" s="31"/>
      <c r="ADY236" s="31"/>
      <c r="ADZ236" s="31"/>
      <c r="AEA236" s="31"/>
      <c r="AEB236" s="31"/>
      <c r="AEC236" s="31"/>
      <c r="AED236" s="31"/>
      <c r="AEE236" s="31"/>
      <c r="AEF236" s="31"/>
      <c r="AEG236" s="31"/>
      <c r="AEH236" s="31"/>
      <c r="AEI236" s="31"/>
      <c r="AEJ236" s="31"/>
      <c r="AEK236" s="31"/>
      <c r="AEL236" s="31"/>
      <c r="AEM236" s="31"/>
      <c r="AEN236" s="31"/>
      <c r="AEO236" s="31"/>
      <c r="AEP236" s="31"/>
      <c r="AEQ236" s="31"/>
      <c r="AER236" s="31"/>
      <c r="AES236" s="31"/>
      <c r="AET236" s="31"/>
      <c r="AEU236" s="31"/>
      <c r="AEV236" s="31"/>
      <c r="AEW236" s="31"/>
      <c r="AEX236" s="31"/>
      <c r="AEY236" s="31"/>
      <c r="AEZ236" s="31"/>
      <c r="AFA236" s="31"/>
      <c r="AFB236" s="31"/>
      <c r="AFC236" s="31"/>
      <c r="AFD236" s="31"/>
      <c r="AFE236" s="31"/>
      <c r="AFF236" s="31"/>
      <c r="AFG236" s="31"/>
      <c r="AFH236" s="31"/>
      <c r="AFI236" s="31"/>
      <c r="AFJ236" s="31"/>
      <c r="AFK236" s="31"/>
      <c r="AFL236" s="31"/>
      <c r="AFM236" s="31"/>
      <c r="AFN236" s="31"/>
      <c r="AFO236" s="31"/>
      <c r="AFP236" s="31"/>
      <c r="AFQ236" s="31"/>
      <c r="AFR236" s="31"/>
      <c r="AFS236" s="31"/>
      <c r="AFT236" s="31"/>
      <c r="AFU236" s="31"/>
      <c r="AFV236" s="31"/>
      <c r="AFW236" s="31"/>
      <c r="AFX236" s="31"/>
      <c r="AFY236" s="31"/>
      <c r="AFZ236" s="31"/>
      <c r="AGA236" s="31"/>
      <c r="AGB236" s="31"/>
      <c r="AGC236" s="31"/>
      <c r="AGD236" s="31"/>
      <c r="AGE236" s="31"/>
      <c r="AGF236" s="31"/>
      <c r="AGG236" s="31"/>
      <c r="AGH236" s="31"/>
      <c r="AGI236" s="31"/>
      <c r="AGJ236" s="31"/>
      <c r="AGK236" s="31"/>
      <c r="AGL236" s="31"/>
      <c r="AGM236" s="31"/>
      <c r="AGN236" s="31"/>
      <c r="AGO236" s="31"/>
      <c r="AGP236" s="31"/>
      <c r="AGQ236" s="31"/>
      <c r="AGR236" s="31"/>
      <c r="AGS236" s="31"/>
      <c r="AGT236" s="31"/>
      <c r="AGU236" s="31"/>
      <c r="AGV236" s="31"/>
      <c r="AGW236" s="31"/>
      <c r="AGX236" s="31"/>
      <c r="AGY236" s="31"/>
      <c r="AGZ236" s="31"/>
      <c r="AHA236" s="31"/>
      <c r="AHB236" s="31"/>
      <c r="AHC236" s="31"/>
      <c r="AHD236" s="31"/>
      <c r="AHE236" s="31"/>
      <c r="AHF236" s="31"/>
      <c r="AHG236" s="31"/>
      <c r="AHH236" s="31"/>
      <c r="AHI236" s="31"/>
      <c r="AHJ236" s="31"/>
      <c r="AHK236" s="31"/>
      <c r="AHL236" s="31"/>
      <c r="AHM236" s="31"/>
      <c r="AHN236" s="31"/>
      <c r="AHO236" s="31"/>
      <c r="AHP236" s="31"/>
      <c r="AHQ236" s="31"/>
      <c r="AHR236" s="31"/>
      <c r="AHS236" s="31"/>
      <c r="AHT236" s="31"/>
      <c r="AHU236" s="31"/>
      <c r="AHV236" s="31"/>
      <c r="AHW236" s="31"/>
      <c r="AHX236" s="31"/>
      <c r="AHY236" s="31"/>
      <c r="AHZ236" s="31"/>
      <c r="AIA236" s="31"/>
      <c r="AIB236" s="31"/>
      <c r="AIC236" s="31"/>
      <c r="AID236" s="31"/>
      <c r="AIE236" s="31"/>
      <c r="AIF236" s="31"/>
      <c r="AIG236" s="31"/>
      <c r="AIH236" s="31"/>
      <c r="AII236" s="31"/>
      <c r="AIJ236" s="31"/>
      <c r="AIK236" s="31"/>
      <c r="AIL236" s="31"/>
      <c r="AIM236" s="31"/>
      <c r="AIN236" s="31"/>
      <c r="AIO236" s="31"/>
      <c r="AIP236" s="31"/>
      <c r="AIQ236" s="31"/>
      <c r="AIR236" s="31"/>
      <c r="AIS236" s="31"/>
      <c r="AIT236" s="31"/>
      <c r="AIU236" s="31"/>
      <c r="AIV236" s="31"/>
      <c r="AIW236" s="31"/>
      <c r="AIX236" s="31"/>
      <c r="AIY236" s="31"/>
      <c r="AIZ236" s="31"/>
      <c r="AJA236" s="31"/>
      <c r="AJB236" s="31"/>
      <c r="AJC236" s="31"/>
      <c r="AJD236" s="31"/>
      <c r="AJE236" s="31"/>
      <c r="AJF236" s="31"/>
      <c r="AJG236" s="31"/>
      <c r="AJH236" s="31"/>
      <c r="AJI236" s="31"/>
      <c r="AJJ236" s="31"/>
      <c r="AJK236" s="31"/>
      <c r="AJL236" s="31"/>
      <c r="AJM236" s="31"/>
      <c r="AJN236" s="31"/>
      <c r="AJO236" s="31"/>
      <c r="AJP236" s="31"/>
      <c r="AJQ236" s="31"/>
      <c r="AJR236" s="31"/>
      <c r="AJS236" s="31"/>
      <c r="AJT236" s="31"/>
      <c r="AJU236" s="31"/>
      <c r="AJV236" s="31"/>
      <c r="AJW236" s="31"/>
      <c r="AJX236" s="31"/>
      <c r="AJY236" s="31"/>
      <c r="AJZ236" s="31"/>
      <c r="AKA236" s="31"/>
      <c r="AKB236" s="31"/>
      <c r="AKC236" s="31"/>
      <c r="AKD236" s="31"/>
      <c r="AKE236" s="31"/>
      <c r="AKF236" s="31"/>
      <c r="AKG236" s="31"/>
      <c r="AKH236" s="31"/>
      <c r="AKI236" s="31"/>
      <c r="AKJ236" s="31"/>
      <c r="AKK236" s="31"/>
      <c r="AKL236" s="31"/>
      <c r="AKM236" s="31"/>
      <c r="AKN236" s="31"/>
      <c r="AKO236" s="31"/>
      <c r="AKP236" s="31"/>
      <c r="AKQ236" s="31"/>
      <c r="AKR236" s="31"/>
      <c r="AKS236" s="31"/>
      <c r="AKT236" s="31"/>
      <c r="AKU236" s="31"/>
      <c r="AKV236" s="31"/>
      <c r="AKW236" s="31"/>
      <c r="AKX236" s="31"/>
      <c r="AKY236" s="31"/>
      <c r="AKZ236" s="31"/>
      <c r="ALA236" s="31"/>
      <c r="ALB236" s="31"/>
      <c r="ALC236" s="31"/>
      <c r="ALD236" s="31"/>
      <c r="ALE236" s="31"/>
      <c r="ALF236" s="31"/>
      <c r="ALG236" s="31"/>
      <c r="ALH236" s="31"/>
      <c r="ALI236" s="31"/>
      <c r="ALJ236" s="31"/>
      <c r="ALK236" s="31"/>
      <c r="ALL236" s="31"/>
      <c r="ALM236" s="31"/>
      <c r="ALN236" s="31"/>
      <c r="ALO236" s="31"/>
      <c r="ALP236" s="31"/>
      <c r="ALQ236" s="31"/>
      <c r="ALR236" s="31"/>
      <c r="ALS236" s="31"/>
      <c r="ALT236" s="31"/>
      <c r="ALU236" s="31"/>
      <c r="ALV236" s="31"/>
      <c r="ALW236" s="31"/>
      <c r="ALX236" s="31"/>
      <c r="ALY236" s="31"/>
      <c r="ALZ236" s="31"/>
      <c r="AMA236" s="31"/>
      <c r="AMB236" s="31"/>
      <c r="AMC236" s="31"/>
      <c r="AMD236" s="31"/>
      <c r="AME236" s="31"/>
      <c r="AMF236" s="31"/>
      <c r="AMG236" s="31"/>
      <c r="AMH236" s="31"/>
      <c r="AMI236" s="31"/>
      <c r="AMJ236" s="31"/>
      <c r="AMK236" s="31"/>
      <c r="AML236" s="31"/>
      <c r="AMM236" s="31"/>
      <c r="AMN236" s="31"/>
      <c r="AMO236" s="31"/>
      <c r="AMP236" s="31"/>
      <c r="AMQ236" s="31"/>
      <c r="AMR236" s="31"/>
      <c r="AMS236" s="31"/>
      <c r="AMT236" s="31"/>
      <c r="AMU236" s="31"/>
      <c r="AMV236" s="31"/>
      <c r="AMW236" s="31"/>
      <c r="AMX236" s="31"/>
      <c r="AMY236" s="31"/>
      <c r="AMZ236" s="31"/>
      <c r="ANA236" s="31"/>
      <c r="ANB236" s="31"/>
      <c r="ANC236" s="31"/>
      <c r="AND236" s="31"/>
      <c r="ANE236" s="31"/>
      <c r="ANF236" s="31"/>
      <c r="ANG236" s="31"/>
      <c r="ANH236" s="31"/>
      <c r="ANI236" s="31"/>
      <c r="ANJ236" s="31"/>
      <c r="ANK236" s="31"/>
      <c r="ANL236" s="31"/>
      <c r="ANM236" s="31"/>
      <c r="ANN236" s="31"/>
      <c r="ANO236" s="31"/>
      <c r="ANP236" s="31"/>
      <c r="ANQ236" s="31"/>
      <c r="ANR236" s="31"/>
      <c r="ANS236" s="31"/>
      <c r="ANT236" s="31"/>
      <c r="ANU236" s="31"/>
      <c r="ANV236" s="31"/>
      <c r="ANW236" s="31"/>
      <c r="ANX236" s="31"/>
      <c r="ANY236" s="31"/>
      <c r="ANZ236" s="31"/>
      <c r="AOA236" s="31"/>
      <c r="AOB236" s="31"/>
      <c r="AOC236" s="31"/>
      <c r="AOD236" s="31"/>
      <c r="AOE236" s="31"/>
      <c r="AOF236" s="31"/>
      <c r="AOG236" s="31"/>
      <c r="AOH236" s="31"/>
      <c r="AOI236" s="31"/>
      <c r="AOJ236" s="31"/>
      <c r="AOK236" s="31"/>
      <c r="AOL236" s="31"/>
      <c r="AOM236" s="31"/>
      <c r="AON236" s="31"/>
      <c r="AOO236" s="31"/>
      <c r="AOP236" s="31"/>
      <c r="AOQ236" s="31"/>
      <c r="AOR236" s="31"/>
      <c r="AOS236" s="31"/>
      <c r="AOT236" s="31"/>
      <c r="AOU236" s="31"/>
      <c r="AOV236" s="31"/>
      <c r="AOW236" s="31"/>
      <c r="AOX236" s="31"/>
      <c r="AOY236" s="31"/>
      <c r="AOZ236" s="31"/>
      <c r="APA236" s="31"/>
      <c r="APB236" s="31"/>
      <c r="APC236" s="31"/>
      <c r="APD236" s="31"/>
      <c r="APE236" s="31"/>
      <c r="APF236" s="31"/>
      <c r="APG236" s="31"/>
      <c r="APH236" s="31"/>
      <c r="API236" s="31"/>
      <c r="APJ236" s="31"/>
      <c r="APK236" s="31"/>
      <c r="APL236" s="31"/>
      <c r="APM236" s="31"/>
      <c r="APN236" s="31"/>
      <c r="APO236" s="31"/>
      <c r="APP236" s="31"/>
      <c r="APQ236" s="31"/>
      <c r="APR236" s="31"/>
      <c r="APS236" s="31"/>
      <c r="APT236" s="31"/>
      <c r="APU236" s="31"/>
      <c r="APV236" s="31"/>
      <c r="APW236" s="31"/>
      <c r="APX236" s="31"/>
      <c r="APY236" s="31"/>
      <c r="APZ236" s="31"/>
      <c r="AQA236" s="31"/>
      <c r="AQB236" s="31"/>
      <c r="AQC236" s="31"/>
      <c r="AQD236" s="31"/>
      <c r="AQE236" s="31"/>
      <c r="AQF236" s="31"/>
      <c r="AQG236" s="31"/>
      <c r="AQH236" s="31"/>
      <c r="AQI236" s="31"/>
      <c r="AQJ236" s="31"/>
      <c r="AQK236" s="31"/>
      <c r="AQL236" s="31"/>
      <c r="AQM236" s="31"/>
      <c r="AQN236" s="31"/>
      <c r="AQO236" s="31"/>
      <c r="AQP236" s="31"/>
      <c r="AQQ236" s="31"/>
      <c r="AQR236" s="31"/>
      <c r="AQS236" s="31"/>
      <c r="AQT236" s="31"/>
      <c r="AQU236" s="31"/>
      <c r="AQV236" s="31"/>
      <c r="AQW236" s="31"/>
      <c r="AQX236" s="31"/>
      <c r="AQY236" s="31"/>
      <c r="AQZ236" s="31"/>
      <c r="ARA236" s="31"/>
      <c r="ARB236" s="31"/>
      <c r="ARC236" s="31"/>
      <c r="ARD236" s="31"/>
      <c r="ARE236" s="31"/>
      <c r="ARF236" s="31"/>
      <c r="ARG236" s="31"/>
      <c r="ARH236" s="31"/>
      <c r="ARI236" s="31"/>
      <c r="ARJ236" s="31"/>
      <c r="ARK236" s="31"/>
      <c r="ARL236" s="31"/>
      <c r="ARM236" s="31"/>
      <c r="ARN236" s="31"/>
      <c r="ARO236" s="31"/>
      <c r="ARP236" s="31"/>
      <c r="ARQ236" s="31"/>
      <c r="ARR236" s="31"/>
      <c r="ARS236" s="31"/>
      <c r="ART236" s="31"/>
      <c r="ARU236" s="31"/>
      <c r="ARV236" s="31"/>
      <c r="ARW236" s="31"/>
      <c r="ARX236" s="31"/>
      <c r="ARY236" s="31"/>
      <c r="ARZ236" s="31"/>
      <c r="ASA236" s="31"/>
      <c r="ASB236" s="31"/>
      <c r="ASC236" s="31"/>
      <c r="ASD236" s="31"/>
      <c r="ASE236" s="31"/>
      <c r="ASF236" s="31"/>
      <c r="ASG236" s="31"/>
      <c r="ASH236" s="31"/>
      <c r="ASI236" s="31"/>
      <c r="ASJ236" s="31"/>
      <c r="ASK236" s="31"/>
      <c r="ASL236" s="31"/>
      <c r="ASM236" s="31"/>
      <c r="ASN236" s="31"/>
      <c r="ASO236" s="31"/>
      <c r="ASP236" s="31"/>
      <c r="ASQ236" s="31"/>
      <c r="ASR236" s="31"/>
      <c r="ASS236" s="31"/>
      <c r="AST236" s="31"/>
      <c r="ASU236" s="31"/>
      <c r="ASV236" s="31"/>
      <c r="ASW236" s="31"/>
      <c r="ASX236" s="31"/>
      <c r="ASY236" s="31"/>
      <c r="ASZ236" s="31"/>
      <c r="ATA236" s="31"/>
      <c r="ATB236" s="31"/>
      <c r="ATC236" s="31"/>
      <c r="ATD236" s="31"/>
      <c r="ATE236" s="31"/>
    </row>
    <row r="237" spans="1:1201" ht="15.75" customHeight="1" x14ac:dyDescent="0.3">
      <c r="A237" s="76"/>
      <c r="B237" s="76"/>
      <c r="C237" s="117" t="s">
        <v>285</v>
      </c>
      <c r="D237" s="63"/>
      <c r="E237" s="63"/>
      <c r="G237" s="167">
        <v>132364.7814558195</v>
      </c>
      <c r="H237" s="658">
        <v>2856.1800000006333</v>
      </c>
      <c r="I237" s="653">
        <v>-360747.54000000004</v>
      </c>
      <c r="J237" s="653">
        <v>-495572.69000000041</v>
      </c>
      <c r="K237" s="653">
        <v>-450727.58000000007</v>
      </c>
      <c r="L237" s="653">
        <v>-163736.37000000197</v>
      </c>
      <c r="M237" s="653">
        <v>813360.73000000417</v>
      </c>
      <c r="N237" s="653">
        <v>-219451.31000000378</v>
      </c>
      <c r="O237" s="653">
        <v>-976374.029999997</v>
      </c>
      <c r="P237" s="653">
        <v>128388.01999999676</v>
      </c>
      <c r="Q237" s="653">
        <f>SUM(P160:P169)-SUM(Q160:Q169)</f>
        <v>28656.020000000484</v>
      </c>
      <c r="R237" s="653">
        <f>SUM(Q160:Q169)-SUM(R160:R169)</f>
        <v>-1743181.8699999955</v>
      </c>
      <c r="S237" s="653">
        <f>SUM(R160:R169)-SUM(S160:S169)</f>
        <v>1152052.0199999968</v>
      </c>
      <c r="T237" s="948">
        <f>SUM(S160:S174)-SUM(T160:T174)</f>
        <v>-134669.49999999907</v>
      </c>
      <c r="U237" s="948">
        <f t="shared" ref="U237:AJ237" si="411">SUM(T160:T174)-SUM(U160:U174)</f>
        <v>-1724544.2600000007</v>
      </c>
      <c r="V237" s="948">
        <f t="shared" si="411"/>
        <v>-776320.86000000034</v>
      </c>
      <c r="W237" s="948">
        <f t="shared" si="411"/>
        <v>895915.26999999955</v>
      </c>
      <c r="X237" s="948">
        <f t="shared" si="411"/>
        <v>-272196.28999999911</v>
      </c>
      <c r="Y237" s="948">
        <f t="shared" si="411"/>
        <v>176997.23999999929</v>
      </c>
      <c r="Z237" s="1098">
        <f t="shared" si="411"/>
        <v>2731895.1</v>
      </c>
      <c r="AA237" s="1098">
        <f t="shared" si="411"/>
        <v>-846001.31</v>
      </c>
      <c r="AB237" s="1098">
        <f t="shared" si="411"/>
        <v>257947.49999999907</v>
      </c>
      <c r="AC237" s="1098">
        <f t="shared" si="411"/>
        <v>-520972.49999999814</v>
      </c>
      <c r="AD237" s="1098">
        <f t="shared" si="411"/>
        <v>-159550.8900000006</v>
      </c>
      <c r="AE237" s="1098">
        <f>SUM(AD160:AD174)-SUM(AE160:AE174)</f>
        <v>-778293.31999999937</v>
      </c>
      <c r="AF237" s="1098">
        <f t="shared" si="411"/>
        <v>664885.12000000011</v>
      </c>
      <c r="AG237" s="1098">
        <f t="shared" si="411"/>
        <v>-370599.99000000115</v>
      </c>
      <c r="AH237" s="1098">
        <f t="shared" si="411"/>
        <v>-901952.86999999918</v>
      </c>
      <c r="AI237" s="1098">
        <f t="shared" si="411"/>
        <v>-216924.67000000086</v>
      </c>
      <c r="AJ237" s="1098">
        <f t="shared" si="411"/>
        <v>503357.60000000056</v>
      </c>
      <c r="AK237" s="1098">
        <f t="shared" ref="AK237:BC237" si="412">SUM(AJ160:AJ174)-SUM(AK160:AK174)</f>
        <v>-2459006.3199999984</v>
      </c>
      <c r="AL237" s="1098">
        <f>SUM(AK160:AK174)-SUM(AL160:AL174)</f>
        <v>548385.62999999709</v>
      </c>
      <c r="AM237" s="1098">
        <f>SUM(AL160:AL174)-SUM(AM160:AM174)</f>
        <v>-695689.46999999881</v>
      </c>
      <c r="AN237" s="1098">
        <f>SUM(AM160:AM174)-SUM(AN160:AN174)</f>
        <v>-479436.01999999955</v>
      </c>
      <c r="AO237" s="1098">
        <f>SUM(AN160:AN174)-SUM(AO160:AO174)</f>
        <v>-138997.59000000171</v>
      </c>
      <c r="AP237" s="653">
        <f t="shared" si="412"/>
        <v>-969364.11744276807</v>
      </c>
      <c r="AQ237" s="653">
        <f t="shared" si="412"/>
        <v>-707830.70661952719</v>
      </c>
      <c r="AR237" s="1647">
        <f t="shared" si="412"/>
        <v>993026.65242988616</v>
      </c>
      <c r="AS237" s="653">
        <f t="shared" si="412"/>
        <v>-458472.6743012853</v>
      </c>
      <c r="AT237" s="653">
        <f t="shared" si="412"/>
        <v>177078.80549379624</v>
      </c>
      <c r="AU237" s="653">
        <f t="shared" si="412"/>
        <v>23360.560965649784</v>
      </c>
      <c r="AV237" s="653">
        <f t="shared" si="412"/>
        <v>-84822.434761704877</v>
      </c>
      <c r="AW237" s="653">
        <f t="shared" si="412"/>
        <v>44118.895277591422</v>
      </c>
      <c r="AX237" s="653">
        <f t="shared" si="412"/>
        <v>-3325.4588861130178</v>
      </c>
      <c r="AY237" s="653">
        <f t="shared" si="412"/>
        <v>-17673.809330573305</v>
      </c>
      <c r="AZ237" s="653">
        <f t="shared" si="412"/>
        <v>8121.7517183795571</v>
      </c>
      <c r="BA237" s="653">
        <f t="shared" si="412"/>
        <v>-3899.6035161614418</v>
      </c>
      <c r="BB237" s="653">
        <f t="shared" si="412"/>
        <v>-3213.6543275807053</v>
      </c>
      <c r="BC237" s="653">
        <f t="shared" si="412"/>
        <v>1201.134764123708</v>
      </c>
      <c r="BE237" s="1208">
        <f t="shared" si="408"/>
        <v>-1149793.8199999994</v>
      </c>
      <c r="BF237" s="948">
        <f t="shared" si="409"/>
        <v>-5223173.4040622972</v>
      </c>
      <c r="BG237" s="1208">
        <f t="shared" si="410"/>
        <v>-350239.20000000019</v>
      </c>
    </row>
    <row r="238" spans="1:1201" ht="15.75" customHeight="1" x14ac:dyDescent="0.3">
      <c r="A238" s="76"/>
      <c r="B238" s="76"/>
      <c r="C238" s="117" t="s">
        <v>286</v>
      </c>
      <c r="D238" s="63"/>
      <c r="E238" s="63"/>
      <c r="G238" s="167">
        <v>-80987.41663387022</v>
      </c>
      <c r="H238" s="658">
        <v>503739.4700000002</v>
      </c>
      <c r="I238" s="653">
        <v>366196.25000000047</v>
      </c>
      <c r="J238" s="653">
        <v>257600.41000000015</v>
      </c>
      <c r="K238" s="653">
        <v>341982.39000000199</v>
      </c>
      <c r="L238" s="653">
        <v>80767.979999996256</v>
      </c>
      <c r="M238" s="653">
        <v>-229577.32999999775</v>
      </c>
      <c r="N238" s="653">
        <v>-151317.96000000089</v>
      </c>
      <c r="O238" s="653">
        <v>1064591.5199999991</v>
      </c>
      <c r="P238" s="653">
        <v>-160944.8599999994</v>
      </c>
      <c r="Q238" s="653">
        <f>SUM(Q192:Q198)-SUM(P192:P198)</f>
        <v>-49499.960000000894</v>
      </c>
      <c r="R238" s="653">
        <f>SUM(R192:R198)-SUM(Q192:Q198)</f>
        <v>1570824.3900000015</v>
      </c>
      <c r="S238" s="653">
        <f>SUM(S192:S198)-SUM(R192:R198)</f>
        <v>578712.98999999929</v>
      </c>
      <c r="T238" s="948">
        <f>SUM(T190:T201)-SUM(S190:S201)</f>
        <v>-526996.04000000097</v>
      </c>
      <c r="U238" s="948">
        <f t="shared" ref="U238:BC238" si="413">SUM(U190:U201)-SUM(T190:T201)</f>
        <v>935619.54</v>
      </c>
      <c r="V238" s="948">
        <f t="shared" si="413"/>
        <v>176647.98000000045</v>
      </c>
      <c r="W238" s="948">
        <f t="shared" si="413"/>
        <v>-16394.020000000484</v>
      </c>
      <c r="X238" s="948">
        <f t="shared" si="413"/>
        <v>460100.15000000037</v>
      </c>
      <c r="Y238" s="948">
        <f t="shared" si="413"/>
        <v>-1025478.0499999998</v>
      </c>
      <c r="Z238" s="1098">
        <f t="shared" si="413"/>
        <v>-2674612.3899999997</v>
      </c>
      <c r="AA238" s="1098">
        <f t="shared" si="413"/>
        <v>687755.04999999981</v>
      </c>
      <c r="AB238" s="1098">
        <f t="shared" si="413"/>
        <v>-398171.68000000063</v>
      </c>
      <c r="AC238" s="1098">
        <f t="shared" si="413"/>
        <v>588572.3200000003</v>
      </c>
      <c r="AD238" s="1098">
        <f t="shared" si="413"/>
        <v>208480.09000000078</v>
      </c>
      <c r="AE238" s="1098">
        <f>SUM(AE190:AE201)-SUM(AD190:AD201)</f>
        <v>568978.96999999881</v>
      </c>
      <c r="AF238" s="1098">
        <f t="shared" ref="AF238" si="414">SUM(AF190:AF201)-SUM(AE190:AE201)</f>
        <v>-424850.52999999933</v>
      </c>
      <c r="AG238" s="1098">
        <f t="shared" si="413"/>
        <v>705347.51999999955</v>
      </c>
      <c r="AH238" s="1098">
        <f t="shared" si="413"/>
        <v>1022378.1200000001</v>
      </c>
      <c r="AI238" s="1098">
        <f t="shared" si="413"/>
        <v>-93147.419999998994</v>
      </c>
      <c r="AJ238" s="1098">
        <f t="shared" si="413"/>
        <v>-614949.67000000179</v>
      </c>
      <c r="AK238" s="1098">
        <f t="shared" si="413"/>
        <v>517979.96000000089</v>
      </c>
      <c r="AL238" s="1098">
        <f>SUM(AL190:AL201)-SUM(AK190:AK201)</f>
        <v>-189746.41000000015</v>
      </c>
      <c r="AM238" s="1098">
        <f>SUM(AM190:AM201)-SUM(AL190:AL201)</f>
        <v>26363.470000000671</v>
      </c>
      <c r="AN238" s="1098">
        <f>SUM(AN190:AN201)-SUM(AM190:AM201)</f>
        <v>-20881.060000000522</v>
      </c>
      <c r="AO238" s="1098">
        <f>SUM(AO190:AO201)-SUM(AN190:AN201)</f>
        <v>297724.41000000015</v>
      </c>
      <c r="AP238" s="653">
        <f>SUM(AP190:AP201)-SUM(AO190:AO201)</f>
        <v>1255783.8342475258</v>
      </c>
      <c r="AQ238" s="653">
        <f t="shared" si="413"/>
        <v>1129514.3886138778</v>
      </c>
      <c r="AR238" s="1647">
        <f t="shared" si="413"/>
        <v>-429265.5649214536</v>
      </c>
      <c r="AS238" s="653">
        <f t="shared" si="413"/>
        <v>40453.71701239422</v>
      </c>
      <c r="AT238" s="653">
        <f t="shared" si="413"/>
        <v>-17532.428657768294</v>
      </c>
      <c r="AU238" s="653">
        <f t="shared" si="413"/>
        <v>-24527.906122701243</v>
      </c>
      <c r="AV238" s="653">
        <f t="shared" si="413"/>
        <v>9101.1911289058626</v>
      </c>
      <c r="AW238" s="653">
        <f t="shared" si="413"/>
        <v>-1997.6922449264675</v>
      </c>
      <c r="AX238" s="653">
        <f t="shared" si="413"/>
        <v>7934.0187613628805</v>
      </c>
      <c r="AY238" s="653">
        <f t="shared" si="413"/>
        <v>2522.4737190175802</v>
      </c>
      <c r="AZ238" s="653">
        <f t="shared" si="413"/>
        <v>-4333.7037549074739</v>
      </c>
      <c r="BA238" s="653">
        <f t="shared" si="413"/>
        <v>-2029.7708466909826</v>
      </c>
      <c r="BB238" s="653">
        <f t="shared" si="413"/>
        <v>1846.7318513467908</v>
      </c>
      <c r="BC238" s="653">
        <f t="shared" si="413"/>
        <v>534.76312390528619</v>
      </c>
      <c r="BE238" s="1208">
        <f t="shared" si="408"/>
        <v>-1015498.080000001</v>
      </c>
      <c r="BF238" s="948">
        <f t="shared" si="409"/>
        <v>3611516.6128614042</v>
      </c>
      <c r="BG238" s="1208">
        <f t="shared" si="410"/>
        <v>-913352.56999999937</v>
      </c>
    </row>
    <row r="239" spans="1:1201" ht="15.75" customHeight="1" x14ac:dyDescent="0.3">
      <c r="A239" s="76"/>
      <c r="B239" s="76"/>
      <c r="C239" s="117" t="s">
        <v>287</v>
      </c>
      <c r="D239" s="63"/>
      <c r="E239" s="63"/>
      <c r="G239" s="167"/>
      <c r="H239" s="658"/>
      <c r="I239" s="653">
        <v>0</v>
      </c>
      <c r="J239" s="653">
        <v>0</v>
      </c>
      <c r="K239" s="653">
        <v>0</v>
      </c>
      <c r="L239" s="653">
        <v>0</v>
      </c>
      <c r="M239" s="653">
        <v>0</v>
      </c>
      <c r="N239" s="653">
        <v>0</v>
      </c>
      <c r="O239" s="653">
        <v>0</v>
      </c>
      <c r="P239" s="653">
        <v>0</v>
      </c>
      <c r="Q239" s="653">
        <v>0</v>
      </c>
      <c r="R239" s="653">
        <v>0</v>
      </c>
      <c r="S239" s="653">
        <v>0</v>
      </c>
      <c r="T239" s="948">
        <v>0</v>
      </c>
      <c r="U239" s="948">
        <v>0</v>
      </c>
      <c r="V239" s="948">
        <v>0</v>
      </c>
      <c r="W239" s="948">
        <v>0</v>
      </c>
      <c r="X239" s="948">
        <v>0</v>
      </c>
      <c r="Y239" s="948">
        <v>0</v>
      </c>
      <c r="Z239" s="1098">
        <v>0</v>
      </c>
      <c r="AA239" s="1098">
        <v>0</v>
      </c>
      <c r="AB239" s="1098">
        <v>0</v>
      </c>
      <c r="AC239" s="1098">
        <v>0</v>
      </c>
      <c r="AD239" s="1098">
        <v>0</v>
      </c>
      <c r="AE239" s="1098">
        <v>0</v>
      </c>
      <c r="AF239" s="1098">
        <v>0</v>
      </c>
      <c r="AG239" s="1098">
        <v>0</v>
      </c>
      <c r="AH239" s="1098">
        <v>0</v>
      </c>
      <c r="AI239" s="1098">
        <v>0</v>
      </c>
      <c r="AJ239" s="1098">
        <v>0</v>
      </c>
      <c r="AK239" s="1098">
        <v>0</v>
      </c>
      <c r="AL239" s="1098">
        <v>0</v>
      </c>
      <c r="AM239" s="1098">
        <v>0</v>
      </c>
      <c r="AN239" s="1098">
        <v>0</v>
      </c>
      <c r="AO239" s="1098">
        <v>0</v>
      </c>
      <c r="AP239" s="653">
        <v>0</v>
      </c>
      <c r="AQ239" s="653">
        <v>0</v>
      </c>
      <c r="AR239" s="1647">
        <v>0</v>
      </c>
      <c r="AS239" s="653">
        <v>0</v>
      </c>
      <c r="AT239" s="653">
        <v>0</v>
      </c>
      <c r="AU239" s="653">
        <v>0</v>
      </c>
      <c r="AV239" s="653">
        <v>0</v>
      </c>
      <c r="AW239" s="653">
        <v>0</v>
      </c>
      <c r="AX239" s="653">
        <v>0</v>
      </c>
      <c r="AY239" s="653">
        <v>0</v>
      </c>
      <c r="AZ239" s="653">
        <v>0</v>
      </c>
      <c r="BA239" s="653">
        <v>0</v>
      </c>
      <c r="BB239" s="653">
        <v>0</v>
      </c>
      <c r="BC239" s="653">
        <v>0</v>
      </c>
      <c r="BE239" s="1208">
        <f t="shared" si="408"/>
        <v>0</v>
      </c>
      <c r="BF239" s="948">
        <f t="shared" si="409"/>
        <v>0</v>
      </c>
      <c r="BG239" s="1208">
        <f t="shared" si="410"/>
        <v>0</v>
      </c>
    </row>
    <row r="240" spans="1:1201" ht="15.75" customHeight="1" x14ac:dyDescent="0.3">
      <c r="A240" s="76"/>
      <c r="B240" s="76"/>
      <c r="C240" s="117" t="s">
        <v>223</v>
      </c>
      <c r="D240" s="63"/>
      <c r="E240" s="63"/>
      <c r="F240" s="32"/>
      <c r="G240" s="189">
        <v>11383.68</v>
      </c>
      <c r="H240" s="658">
        <v>13966.26</v>
      </c>
      <c r="I240" s="653">
        <v>13966.26</v>
      </c>
      <c r="J240" s="653">
        <v>13966.260000000002</v>
      </c>
      <c r="K240" s="653">
        <v>19638.84</v>
      </c>
      <c r="L240" s="653">
        <v>15384.399999999998</v>
      </c>
      <c r="M240" s="653">
        <v>15384.399999999998</v>
      </c>
      <c r="N240" s="653">
        <v>15384.400000000003</v>
      </c>
      <c r="O240" s="653">
        <v>15384.4</v>
      </c>
      <c r="P240" s="653">
        <v>15384.400000000009</v>
      </c>
      <c r="Q240" s="653">
        <f t="shared" ref="Q240:AQ240" si="415">Q138</f>
        <v>56321.679999999993</v>
      </c>
      <c r="R240" s="653">
        <f t="shared" si="415"/>
        <v>15384.400000000003</v>
      </c>
      <c r="S240" s="653">
        <f t="shared" si="415"/>
        <v>62429.26999999999</v>
      </c>
      <c r="T240" s="948">
        <f t="shared" si="415"/>
        <v>15384.400000000001</v>
      </c>
      <c r="U240" s="948">
        <f t="shared" si="415"/>
        <v>15384.400000000001</v>
      </c>
      <c r="V240" s="948">
        <f t="shared" si="415"/>
        <v>15384.400000000001</v>
      </c>
      <c r="W240" s="948">
        <f t="shared" si="415"/>
        <v>15384.400000000001</v>
      </c>
      <c r="X240" s="948">
        <f t="shared" si="415"/>
        <v>15384.400000000001</v>
      </c>
      <c r="Y240" s="948">
        <f t="shared" si="415"/>
        <v>15384.400000000001</v>
      </c>
      <c r="Z240" s="1098">
        <f t="shared" si="415"/>
        <v>15384.400000000001</v>
      </c>
      <c r="AA240" s="1098">
        <f t="shared" si="415"/>
        <v>15384.400000000001</v>
      </c>
      <c r="AB240" s="1098">
        <f t="shared" si="415"/>
        <v>15384.400000000001</v>
      </c>
      <c r="AC240" s="1098">
        <f t="shared" si="415"/>
        <v>18738.310000000001</v>
      </c>
      <c r="AD240" s="1098">
        <f t="shared" si="415"/>
        <v>18738.310000000001</v>
      </c>
      <c r="AE240" s="1098">
        <f t="shared" ref="AE240:AF240" si="416">AE138</f>
        <v>28467.49</v>
      </c>
      <c r="AF240" s="1098">
        <f t="shared" si="416"/>
        <v>18738.310000000001</v>
      </c>
      <c r="AG240" s="1098">
        <f t="shared" si="415"/>
        <v>21500.000000000004</v>
      </c>
      <c r="AH240" s="1098">
        <f t="shared" si="415"/>
        <v>21500.000000000004</v>
      </c>
      <c r="AI240" s="1098">
        <f t="shared" si="415"/>
        <v>21500.000000000004</v>
      </c>
      <c r="AJ240" s="1098">
        <f t="shared" ref="AJ240" si="417">AJ138</f>
        <v>21500.000000000004</v>
      </c>
      <c r="AK240" s="1098">
        <f t="shared" si="415"/>
        <v>21500.000000000004</v>
      </c>
      <c r="AL240" s="1098">
        <f>AL138</f>
        <v>21500.000000000004</v>
      </c>
      <c r="AM240" s="1098">
        <f t="shared" si="415"/>
        <v>21500.000000000004</v>
      </c>
      <c r="AN240" s="1098">
        <f t="shared" ref="AN240" si="418">AN138</f>
        <v>21500.000000000004</v>
      </c>
      <c r="AO240" s="1098">
        <f t="shared" si="415"/>
        <v>23329.460000000003</v>
      </c>
      <c r="AP240" s="653">
        <f t="shared" si="415"/>
        <v>21500.000000000004</v>
      </c>
      <c r="AQ240" s="653">
        <f t="shared" si="415"/>
        <v>21500.000000000004</v>
      </c>
      <c r="AR240" s="1647">
        <f t="shared" ref="AR240:BC240" si="419">AR138</f>
        <v>21500.000000000004</v>
      </c>
      <c r="AS240" s="653">
        <f t="shared" si="419"/>
        <v>21500.000000000004</v>
      </c>
      <c r="AT240" s="653">
        <f t="shared" si="419"/>
        <v>21500.000000000004</v>
      </c>
      <c r="AU240" s="653">
        <f t="shared" si="419"/>
        <v>21500.000000000004</v>
      </c>
      <c r="AV240" s="653">
        <f t="shared" si="419"/>
        <v>21500.000000000004</v>
      </c>
      <c r="AW240" s="653">
        <f t="shared" si="419"/>
        <v>21500.000000000004</v>
      </c>
      <c r="AX240" s="653">
        <f t="shared" si="419"/>
        <v>21500.000000000004</v>
      </c>
      <c r="AY240" s="653">
        <f t="shared" si="419"/>
        <v>21500.000000000004</v>
      </c>
      <c r="AZ240" s="653">
        <f t="shared" si="419"/>
        <v>21500.000000000004</v>
      </c>
      <c r="BA240" s="653">
        <f t="shared" si="419"/>
        <v>21500.000000000004</v>
      </c>
      <c r="BB240" s="653">
        <f t="shared" si="419"/>
        <v>21500.000000000004</v>
      </c>
      <c r="BC240" s="653">
        <f t="shared" si="419"/>
        <v>21500.000000000004</v>
      </c>
      <c r="BE240" s="1208">
        <f t="shared" si="408"/>
        <v>204403.70999999996</v>
      </c>
      <c r="BF240" s="948">
        <f t="shared" si="409"/>
        <v>257067.77000000002</v>
      </c>
      <c r="BG240" s="1208">
        <f t="shared" si="410"/>
        <v>207757.61999999997</v>
      </c>
    </row>
    <row r="241" spans="1:59" ht="15.75" customHeight="1" x14ac:dyDescent="0.3">
      <c r="A241" s="76"/>
      <c r="B241" s="76"/>
      <c r="C241" s="190" t="s">
        <v>224</v>
      </c>
      <c r="D241" s="65"/>
      <c r="E241" s="65"/>
      <c r="F241" s="42"/>
      <c r="G241" s="191">
        <v>2262.1799999999998</v>
      </c>
      <c r="H241" s="659">
        <v>3513.3</v>
      </c>
      <c r="I241" s="685">
        <v>3513.3</v>
      </c>
      <c r="J241" s="685">
        <v>3513.3</v>
      </c>
      <c r="K241" s="685">
        <v>5724.3899999999994</v>
      </c>
      <c r="L241" s="685">
        <v>4066.0899999999992</v>
      </c>
      <c r="M241" s="685">
        <v>4066.0900000000011</v>
      </c>
      <c r="N241" s="685">
        <v>4066.0899999999997</v>
      </c>
      <c r="O241" s="685">
        <v>4066.0900000000006</v>
      </c>
      <c r="P241" s="685">
        <v>4066.0900000000011</v>
      </c>
      <c r="Q241" s="685">
        <f t="shared" ref="Q241:AQ241" si="420">Q140</f>
        <v>4066.0900000000011</v>
      </c>
      <c r="R241" s="685">
        <f t="shared" si="420"/>
        <v>4066.0899999999992</v>
      </c>
      <c r="S241" s="685">
        <f t="shared" si="420"/>
        <v>4066.0900000000011</v>
      </c>
      <c r="T241" s="949">
        <f>T140</f>
        <v>3487.79</v>
      </c>
      <c r="U241" s="949">
        <f t="shared" si="420"/>
        <v>3487.79</v>
      </c>
      <c r="V241" s="949">
        <f t="shared" si="420"/>
        <v>3487.79</v>
      </c>
      <c r="W241" s="949">
        <f t="shared" si="420"/>
        <v>3487.79</v>
      </c>
      <c r="X241" s="949">
        <f t="shared" si="420"/>
        <v>3487.79</v>
      </c>
      <c r="Y241" s="949">
        <f t="shared" si="420"/>
        <v>1658.33</v>
      </c>
      <c r="Z241" s="1099">
        <f t="shared" si="420"/>
        <v>2815.33</v>
      </c>
      <c r="AA241" s="1099">
        <f t="shared" si="420"/>
        <v>2236.6299999999997</v>
      </c>
      <c r="AB241" s="1099">
        <f t="shared" si="420"/>
        <v>1658.33</v>
      </c>
      <c r="AC241" s="1099">
        <f t="shared" si="420"/>
        <v>1658.33</v>
      </c>
      <c r="AD241" s="1099">
        <f t="shared" si="420"/>
        <v>2815.33</v>
      </c>
      <c r="AE241" s="1099">
        <f t="shared" ref="AE241:AF241" si="421">AE140</f>
        <v>2236.63</v>
      </c>
      <c r="AF241" s="1099">
        <f t="shared" si="421"/>
        <v>3487.79</v>
      </c>
      <c r="AG241" s="1150">
        <f t="shared" si="420"/>
        <v>3487.79</v>
      </c>
      <c r="AH241" s="1150">
        <f t="shared" si="420"/>
        <v>3487.79</v>
      </c>
      <c r="AI241" s="1150">
        <f t="shared" si="420"/>
        <v>3487.79</v>
      </c>
      <c r="AJ241" s="1150">
        <f t="shared" ref="AJ241" si="422">AJ140</f>
        <v>3487.79</v>
      </c>
      <c r="AK241" s="1150">
        <f t="shared" si="420"/>
        <v>3487.79</v>
      </c>
      <c r="AL241" s="1150">
        <f>AL140</f>
        <v>3487.79</v>
      </c>
      <c r="AM241" s="1150">
        <f t="shared" si="420"/>
        <v>3487.79</v>
      </c>
      <c r="AN241" s="1150">
        <f t="shared" ref="AN241" si="423">AN140</f>
        <v>3487.79</v>
      </c>
      <c r="AO241" s="1150">
        <f t="shared" si="420"/>
        <v>1658.33</v>
      </c>
      <c r="AP241" s="685">
        <f t="shared" si="420"/>
        <v>1658.33</v>
      </c>
      <c r="AQ241" s="685">
        <f t="shared" si="420"/>
        <v>1658.33</v>
      </c>
      <c r="AR241" s="1648">
        <f t="shared" ref="AR241:BC241" si="424">AR140</f>
        <v>1658.33</v>
      </c>
      <c r="AS241" s="685">
        <f t="shared" si="424"/>
        <v>1658.33</v>
      </c>
      <c r="AT241" s="685">
        <f t="shared" si="424"/>
        <v>1658.33</v>
      </c>
      <c r="AU241" s="685">
        <f t="shared" si="424"/>
        <v>1658.33</v>
      </c>
      <c r="AV241" s="685">
        <f t="shared" si="424"/>
        <v>1658.33</v>
      </c>
      <c r="AW241" s="685">
        <f t="shared" si="424"/>
        <v>1658.33</v>
      </c>
      <c r="AX241" s="685">
        <f t="shared" si="424"/>
        <v>1658.33</v>
      </c>
      <c r="AY241" s="685">
        <f t="shared" si="424"/>
        <v>1658.33</v>
      </c>
      <c r="AZ241" s="685">
        <f t="shared" si="424"/>
        <v>1658.33</v>
      </c>
      <c r="BA241" s="685">
        <f t="shared" si="424"/>
        <v>1658.33</v>
      </c>
      <c r="BB241" s="685">
        <f t="shared" si="424"/>
        <v>1658.33</v>
      </c>
      <c r="BC241" s="685">
        <f t="shared" si="424"/>
        <v>1658.33</v>
      </c>
      <c r="BE241" s="1211">
        <f t="shared" si="408"/>
        <v>32517.860000000004</v>
      </c>
      <c r="BF241" s="1150">
        <f t="shared" si="409"/>
        <v>36365.100000000006</v>
      </c>
      <c r="BG241" s="1211">
        <f t="shared" si="410"/>
        <v>32517.860000000004</v>
      </c>
    </row>
    <row r="242" spans="1:59" ht="15.75" customHeight="1" x14ac:dyDescent="0.3">
      <c r="A242" s="197"/>
      <c r="B242" s="197"/>
      <c r="C242" s="84" t="s">
        <v>288</v>
      </c>
      <c r="D242" s="84"/>
      <c r="E242" s="84"/>
      <c r="F242" s="84"/>
      <c r="G242" s="165">
        <f t="shared" ref="G242:R242" si="425">SUM(G236:G241)</f>
        <v>140174.86310970134</v>
      </c>
      <c r="H242" s="704">
        <f t="shared" si="425"/>
        <v>321033.57744800078</v>
      </c>
      <c r="I242" s="652">
        <f t="shared" si="425"/>
        <v>-46767.793878999473</v>
      </c>
      <c r="J242" s="652">
        <f t="shared" si="425"/>
        <v>36753.699999999873</v>
      </c>
      <c r="K242" s="652">
        <f t="shared" si="425"/>
        <v>-187617.74999999802</v>
      </c>
      <c r="L242" s="652">
        <f t="shared" si="425"/>
        <v>-86428.260000005481</v>
      </c>
      <c r="M242" s="652">
        <f t="shared" si="425"/>
        <v>680667.82000000612</v>
      </c>
      <c r="N242" s="652">
        <f t="shared" si="425"/>
        <v>-120845.93000000469</v>
      </c>
      <c r="O242" s="652">
        <f t="shared" si="425"/>
        <v>225152.85000000172</v>
      </c>
      <c r="P242" s="652">
        <f t="shared" si="425"/>
        <v>176758.97999999757</v>
      </c>
      <c r="Q242" s="652">
        <f t="shared" si="425"/>
        <v>447014.8600000001</v>
      </c>
      <c r="R242" s="652">
        <f t="shared" si="425"/>
        <v>28939.500000006065</v>
      </c>
      <c r="S242" s="652">
        <f t="shared" ref="S242:AB242" si="426">SUM(S236:S241)</f>
        <v>2206913.9199999957</v>
      </c>
      <c r="T242" s="950">
        <f>SUM(T236:T241)</f>
        <v>-582358.99000000011</v>
      </c>
      <c r="U242" s="950">
        <f t="shared" si="426"/>
        <v>-553450.75000000058</v>
      </c>
      <c r="V242" s="950">
        <f t="shared" si="426"/>
        <v>-534471.16999999981</v>
      </c>
      <c r="W242" s="950">
        <f>SUM(W236:W241)</f>
        <v>632850.61999999906</v>
      </c>
      <c r="X242" s="950">
        <f>SUM(X236:X241)</f>
        <v>78383.320000001215</v>
      </c>
      <c r="Y242" s="950">
        <f>SUM(Y236:Y241)</f>
        <v>-552199.42000000039</v>
      </c>
      <c r="Z242" s="1100">
        <f t="shared" si="426"/>
        <v>55629.46000000045</v>
      </c>
      <c r="AA242" s="1100">
        <f>SUM(AA236:AA241)</f>
        <v>364052.7599999996</v>
      </c>
      <c r="AB242" s="1100">
        <f t="shared" si="426"/>
        <v>108543.61999999861</v>
      </c>
      <c r="AC242" s="1100">
        <f t="shared" ref="AC242:AI242" si="427">SUM(AC236:AC241)</f>
        <v>224073.28000000215</v>
      </c>
      <c r="AD242" s="1100">
        <f t="shared" si="427"/>
        <v>215526.61000000022</v>
      </c>
      <c r="AE242" s="1100">
        <f t="shared" ref="AE242:AF242" si="428">SUM(AE236:AE241)</f>
        <v>100943.88999999962</v>
      </c>
      <c r="AF242" s="1100">
        <f t="shared" si="428"/>
        <v>-9810.8799999992807</v>
      </c>
      <c r="AG242" s="1100">
        <f t="shared" si="427"/>
        <v>434425.97999999841</v>
      </c>
      <c r="AH242" s="1100">
        <f t="shared" si="427"/>
        <v>492524.55000000092</v>
      </c>
      <c r="AI242" s="1100">
        <f t="shared" si="427"/>
        <v>-79018.409999999902</v>
      </c>
      <c r="AJ242" s="1100">
        <f t="shared" ref="AJ242" si="429">SUM(AJ236:AJ241)</f>
        <v>349609.31999999884</v>
      </c>
      <c r="AK242" s="1100">
        <f t="shared" ref="AK242:AQ242" si="430">SUM(AK236:AK241)</f>
        <v>-2077727.6799999974</v>
      </c>
      <c r="AL242" s="1100">
        <f t="shared" si="430"/>
        <v>503567.589999997</v>
      </c>
      <c r="AM242" s="1100">
        <f t="shared" si="430"/>
        <v>-424594.34999999811</v>
      </c>
      <c r="AN242" s="1100">
        <f t="shared" ref="AN242" si="431">SUM(AN236:AN241)</f>
        <v>-262732.17000000027</v>
      </c>
      <c r="AO242" s="1100">
        <f t="shared" si="430"/>
        <v>422938.19999999879</v>
      </c>
      <c r="AP242" s="652">
        <f t="shared" ca="1" si="430"/>
        <v>682113.05898907373</v>
      </c>
      <c r="AQ242" s="652">
        <f t="shared" ca="1" si="430"/>
        <v>903975.99592110992</v>
      </c>
      <c r="AR242" s="1649">
        <f t="shared" ref="AR242:BC242" ca="1" si="432">SUM(AR236:AR241)</f>
        <v>729639.88928931963</v>
      </c>
      <c r="AS242" s="652">
        <f t="shared" ca="1" si="432"/>
        <v>129302.29833344753</v>
      </c>
      <c r="AT242" s="652">
        <f t="shared" ca="1" si="432"/>
        <v>487924.06854713819</v>
      </c>
      <c r="AU242" s="652">
        <f t="shared" ca="1" si="432"/>
        <v>504070.38044409343</v>
      </c>
      <c r="AV242" s="652">
        <f t="shared" ca="1" si="432"/>
        <v>248044.11330295031</v>
      </c>
      <c r="AW242" s="652">
        <f t="shared" ca="1" si="432"/>
        <v>360972.44402550894</v>
      </c>
      <c r="AX242" s="652">
        <f t="shared" ca="1" si="432"/>
        <v>320431.54443968175</v>
      </c>
      <c r="AY242" s="652">
        <f t="shared" ca="1" si="432"/>
        <v>550676.26295417827</v>
      </c>
      <c r="AZ242" s="652">
        <f t="shared" ca="1" si="432"/>
        <v>359905.44255181908</v>
      </c>
      <c r="BA242" s="652">
        <f t="shared" ca="1" si="432"/>
        <v>301700.95970424288</v>
      </c>
      <c r="BB242" s="652">
        <f t="shared" ca="1" si="432"/>
        <v>303226.78808464156</v>
      </c>
      <c r="BC242" s="652">
        <f t="shared" ca="1" si="432"/>
        <v>303237.15320872224</v>
      </c>
      <c r="BE242" s="1208">
        <f>SUM(BE236:BE241)</f>
        <v>-442476.77000000037</v>
      </c>
      <c r="BF242" s="950">
        <f t="shared" ca="1" si="409"/>
        <v>935271.20491018263</v>
      </c>
      <c r="BG242" s="1208">
        <f>SUM(BG236:BG241)</f>
        <v>130071.34000000053</v>
      </c>
    </row>
    <row r="243" spans="1:59" ht="15.75" customHeight="1" x14ac:dyDescent="0.3">
      <c r="A243" s="76"/>
      <c r="B243" s="76"/>
      <c r="C243" s="63"/>
      <c r="D243" s="63"/>
      <c r="E243" s="63"/>
      <c r="F243" s="63"/>
      <c r="G243" s="167"/>
      <c r="H243" s="627"/>
      <c r="I243" s="628"/>
      <c r="J243" s="628"/>
      <c r="K243" s="628"/>
      <c r="L243" s="628"/>
      <c r="M243" s="628"/>
      <c r="N243" s="628"/>
      <c r="O243" s="628"/>
      <c r="P243" s="628"/>
      <c r="Q243" s="628"/>
      <c r="R243" s="628"/>
      <c r="S243" s="628"/>
      <c r="T243" s="918"/>
      <c r="U243" s="918"/>
      <c r="V243" s="918"/>
      <c r="W243" s="918"/>
      <c r="X243" s="918"/>
      <c r="Y243" s="918"/>
      <c r="Z243" s="1070"/>
      <c r="AA243" s="1070"/>
      <c r="AB243" s="1070"/>
      <c r="AC243" s="1070"/>
      <c r="AD243" s="1070"/>
      <c r="AE243" s="1466"/>
      <c r="AF243" s="1070"/>
      <c r="AG243" s="1070"/>
      <c r="AH243" s="1070"/>
      <c r="AI243" s="1070"/>
      <c r="AJ243" s="1070"/>
      <c r="AK243" s="1070"/>
      <c r="AL243" s="1070"/>
      <c r="AM243" s="1070"/>
      <c r="AN243" s="1070"/>
      <c r="AO243" s="1070"/>
      <c r="AP243" s="628"/>
      <c r="AQ243" s="628"/>
      <c r="AR243" s="1618"/>
      <c r="AS243" s="628"/>
      <c r="AT243" s="628"/>
      <c r="AU243" s="628"/>
      <c r="AV243" s="628"/>
      <c r="AW243" s="628"/>
      <c r="AX243" s="628"/>
      <c r="AY243" s="628"/>
      <c r="AZ243" s="628"/>
      <c r="BA243" s="628"/>
      <c r="BB243" s="628"/>
      <c r="BC243" s="628"/>
      <c r="BE243" s="1182"/>
      <c r="BF243" s="918">
        <f t="shared" si="409"/>
        <v>0</v>
      </c>
      <c r="BG243" s="1182"/>
    </row>
    <row r="244" spans="1:59" ht="15.75" customHeight="1" x14ac:dyDescent="0.3">
      <c r="A244" s="76"/>
      <c r="B244" s="76"/>
      <c r="C244" s="188" t="s">
        <v>289</v>
      </c>
      <c r="D244" s="188"/>
      <c r="E244" s="188"/>
      <c r="F244" s="63"/>
      <c r="G244" s="167"/>
      <c r="H244" s="627"/>
      <c r="I244" s="628"/>
      <c r="J244" s="628"/>
      <c r="K244" s="628"/>
      <c r="L244" s="628"/>
      <c r="M244" s="628"/>
      <c r="N244" s="628"/>
      <c r="O244" s="628"/>
      <c r="P244" s="628"/>
      <c r="Q244" s="628"/>
      <c r="R244" s="628"/>
      <c r="S244" s="628"/>
      <c r="T244" s="918"/>
      <c r="U244" s="918"/>
      <c r="V244" s="918"/>
      <c r="W244" s="918"/>
      <c r="X244" s="918"/>
      <c r="Y244" s="918"/>
      <c r="Z244" s="1070"/>
      <c r="AA244" s="1070"/>
      <c r="AB244" s="1070"/>
      <c r="AC244" s="1070"/>
      <c r="AD244" s="1070"/>
      <c r="AE244" s="1070"/>
      <c r="AF244" s="1070"/>
      <c r="AG244" s="1070"/>
      <c r="AH244" s="1070"/>
      <c r="AI244" s="1070"/>
      <c r="AJ244" s="1070"/>
      <c r="AK244" s="1070"/>
      <c r="AL244" s="1070"/>
      <c r="AM244" s="1070"/>
      <c r="AN244" s="1070"/>
      <c r="AO244" s="1070"/>
      <c r="AP244" s="628"/>
      <c r="AQ244" s="628"/>
      <c r="AR244" s="1618"/>
      <c r="AS244" s="628"/>
      <c r="AT244" s="628"/>
      <c r="AU244" s="628"/>
      <c r="AV244" s="628"/>
      <c r="AW244" s="628"/>
      <c r="AX244" s="628"/>
      <c r="AY244" s="628"/>
      <c r="AZ244" s="628"/>
      <c r="BA244" s="628"/>
      <c r="BB244" s="628"/>
      <c r="BC244" s="628"/>
      <c r="BE244" s="1182"/>
      <c r="BF244" s="918">
        <f t="shared" si="409"/>
        <v>0</v>
      </c>
      <c r="BG244" s="1182"/>
    </row>
    <row r="245" spans="1:59" ht="15.75" customHeight="1" x14ac:dyDescent="0.3">
      <c r="A245" s="76"/>
      <c r="B245" s="76"/>
      <c r="C245" s="57" t="s">
        <v>290</v>
      </c>
      <c r="D245" s="63"/>
      <c r="E245" s="63"/>
      <c r="F245" s="63"/>
      <c r="G245" s="167"/>
      <c r="H245" s="658">
        <f>H142</f>
        <v>0</v>
      </c>
      <c r="I245" s="653">
        <f>-I142</f>
        <v>0</v>
      </c>
      <c r="J245" s="653">
        <f>-J142</f>
        <v>0</v>
      </c>
      <c r="K245" s="653"/>
      <c r="L245" s="653">
        <f>-L142</f>
        <v>-6386.7799999999988</v>
      </c>
      <c r="M245" s="653">
        <v>-15898.95</v>
      </c>
      <c r="N245" s="653">
        <v>0</v>
      </c>
      <c r="O245" s="653">
        <v>0</v>
      </c>
      <c r="P245" s="653">
        <v>0</v>
      </c>
      <c r="Q245" s="653">
        <f>P178-Q178</f>
        <v>0</v>
      </c>
      <c r="R245" s="653">
        <f>Q178-R178</f>
        <v>-9956</v>
      </c>
      <c r="S245" s="653">
        <f>R178-S178</f>
        <v>97809.649999999907</v>
      </c>
      <c r="T245" s="948">
        <f>S178-T178-T241</f>
        <v>3.7289282772690058E-11</v>
      </c>
      <c r="U245" s="948">
        <f>T178-U178-U241</f>
        <v>-4.283720045350492E-10</v>
      </c>
      <c r="V245" s="948">
        <f>U178-V178-V241</f>
        <v>5.0295057008042932E-10</v>
      </c>
      <c r="W245" s="948">
        <f>V178-W178-W241</f>
        <v>-16688.84000000028</v>
      </c>
      <c r="X245" s="948">
        <f t="shared" ref="X245:AJ245" si="433">W178-X178-X241</f>
        <v>-85842.550000000236</v>
      </c>
      <c r="Y245" s="948">
        <f t="shared" si="433"/>
        <v>-95790.910000000076</v>
      </c>
      <c r="Z245" s="1098">
        <f t="shared" si="433"/>
        <v>-17284.949999999648</v>
      </c>
      <c r="AA245" s="1098">
        <f t="shared" si="433"/>
        <v>-41438.19999999983</v>
      </c>
      <c r="AB245" s="1098">
        <f t="shared" si="433"/>
        <v>-148774.03000000017</v>
      </c>
      <c r="AC245" s="1098">
        <f t="shared" si="433"/>
        <v>356.1900000000187</v>
      </c>
      <c r="AD245" s="1098">
        <f>AC178-AD178-AD241</f>
        <v>-131933.01000000015</v>
      </c>
      <c r="AE245" s="1098">
        <f>AD178-AE178-AE241</f>
        <v>-1118183.5399999996</v>
      </c>
      <c r="AF245" s="1098">
        <f t="shared" si="433"/>
        <v>-52556.760000000206</v>
      </c>
      <c r="AG245" s="1098">
        <f>AF178-AG178-AG241</f>
        <v>-73680.940000000366</v>
      </c>
      <c r="AH245" s="1098">
        <f t="shared" si="433"/>
        <v>-143102.38999999964</v>
      </c>
      <c r="AI245" s="1098">
        <f t="shared" si="433"/>
        <v>55336.410000000185</v>
      </c>
      <c r="AJ245" s="1098">
        <f t="shared" si="433"/>
        <v>-119039.8000000007</v>
      </c>
      <c r="AK245" s="1098">
        <f t="shared" ref="AK245:BC245" si="434">AJ178-AK178</f>
        <v>-46896.759999999776</v>
      </c>
      <c r="AL245" s="1098">
        <f>AK178-AL178</f>
        <v>-50248.269999999553</v>
      </c>
      <c r="AM245" s="1098">
        <f t="shared" si="434"/>
        <v>442536.78999999957</v>
      </c>
      <c r="AN245" s="1098">
        <f t="shared" si="434"/>
        <v>-74062.209999999497</v>
      </c>
      <c r="AO245" s="1098">
        <f t="shared" si="434"/>
        <v>-51022.820000000298</v>
      </c>
      <c r="AP245" s="653">
        <f t="shared" si="434"/>
        <v>-20000</v>
      </c>
      <c r="AQ245" s="653">
        <f t="shared" si="434"/>
        <v>-20000</v>
      </c>
      <c r="AR245" s="1647">
        <f t="shared" si="434"/>
        <v>-20000</v>
      </c>
      <c r="AS245" s="653">
        <f t="shared" si="434"/>
        <v>-20000</v>
      </c>
      <c r="AT245" s="653">
        <f t="shared" si="434"/>
        <v>-20000</v>
      </c>
      <c r="AU245" s="653">
        <f t="shared" si="434"/>
        <v>-20000</v>
      </c>
      <c r="AV245" s="653">
        <f t="shared" si="434"/>
        <v>-20000</v>
      </c>
      <c r="AW245" s="653">
        <f t="shared" si="434"/>
        <v>-20000</v>
      </c>
      <c r="AX245" s="653">
        <f t="shared" si="434"/>
        <v>-20000</v>
      </c>
      <c r="AY245" s="653">
        <f t="shared" si="434"/>
        <v>-20000</v>
      </c>
      <c r="AZ245" s="653">
        <f t="shared" si="434"/>
        <v>-20000</v>
      </c>
      <c r="BA245" s="653">
        <f t="shared" si="434"/>
        <v>-20000</v>
      </c>
      <c r="BB245" s="653">
        <f t="shared" si="434"/>
        <v>-20000</v>
      </c>
      <c r="BC245" s="653">
        <f t="shared" si="434"/>
        <v>-20000</v>
      </c>
      <c r="BE245" s="1208">
        <f>SUM(T245:AE245)</f>
        <v>-1655579.8399999999</v>
      </c>
      <c r="BF245" s="948">
        <f t="shared" si="409"/>
        <v>-152736.75000000029</v>
      </c>
      <c r="BG245" s="1208">
        <f>SUM(U245:AF245)</f>
        <v>-1708136.6</v>
      </c>
    </row>
    <row r="246" spans="1:59" ht="15.75" customHeight="1" x14ac:dyDescent="0.3">
      <c r="A246" s="76"/>
      <c r="B246" s="76"/>
      <c r="C246" s="64" t="s">
        <v>291</v>
      </c>
      <c r="D246" s="65"/>
      <c r="E246" s="65"/>
      <c r="F246" s="65"/>
      <c r="G246" s="170">
        <v>0</v>
      </c>
      <c r="H246" s="659"/>
      <c r="I246" s="685">
        <v>0</v>
      </c>
      <c r="J246" s="685">
        <v>0</v>
      </c>
      <c r="K246" s="685">
        <v>0</v>
      </c>
      <c r="L246" s="685">
        <v>0</v>
      </c>
      <c r="M246" s="685">
        <v>0</v>
      </c>
      <c r="N246" s="685">
        <v>0</v>
      </c>
      <c r="O246" s="685">
        <v>0</v>
      </c>
      <c r="P246" s="685">
        <v>-87</v>
      </c>
      <c r="Q246" s="685">
        <v>0</v>
      </c>
      <c r="R246" s="685">
        <v>0</v>
      </c>
      <c r="S246" s="685">
        <v>0</v>
      </c>
      <c r="T246" s="949">
        <v>0</v>
      </c>
      <c r="U246" s="949">
        <v>0</v>
      </c>
      <c r="V246" s="949">
        <v>0</v>
      </c>
      <c r="W246" s="949">
        <v>0</v>
      </c>
      <c r="X246" s="949">
        <v>0</v>
      </c>
      <c r="Y246" s="949">
        <v>0</v>
      </c>
      <c r="Z246" s="1099">
        <v>0</v>
      </c>
      <c r="AA246" s="1099">
        <v>0</v>
      </c>
      <c r="AB246" s="1099">
        <v>0</v>
      </c>
      <c r="AC246" s="1099">
        <v>0</v>
      </c>
      <c r="AD246" s="1099">
        <v>0</v>
      </c>
      <c r="AE246" s="1467">
        <v>760276</v>
      </c>
      <c r="AF246" s="1099">
        <v>0</v>
      </c>
      <c r="AG246" s="1150">
        <v>0</v>
      </c>
      <c r="AH246" s="1150">
        <v>0</v>
      </c>
      <c r="AI246" s="1150">
        <v>0</v>
      </c>
      <c r="AJ246" s="1150">
        <v>0</v>
      </c>
      <c r="AK246" s="1150">
        <f>1253775+3200</f>
        <v>1256975</v>
      </c>
      <c r="AL246" s="1470">
        <v>12215</v>
      </c>
      <c r="AM246" s="1470">
        <f>AL179-AM179-AM240+17718</f>
        <v>-401690.73999999953</v>
      </c>
      <c r="AN246" s="1470">
        <v>-4191</v>
      </c>
      <c r="AO246" s="1470">
        <v>7242</v>
      </c>
      <c r="AP246" s="685"/>
      <c r="AQ246" s="685"/>
      <c r="AR246" s="1648"/>
      <c r="AS246" s="685"/>
      <c r="AT246" s="685"/>
      <c r="AU246" s="685"/>
      <c r="AV246" s="685"/>
      <c r="AW246" s="685"/>
      <c r="AX246" s="685"/>
      <c r="AY246" s="685"/>
      <c r="AZ246" s="685"/>
      <c r="BA246" s="685"/>
      <c r="BB246" s="685"/>
      <c r="BC246" s="685"/>
      <c r="BE246" s="1211">
        <f>SUM(T246:AE246)</f>
        <v>760276</v>
      </c>
      <c r="BF246" s="1150">
        <f t="shared" si="409"/>
        <v>870550.26000000047</v>
      </c>
      <c r="BG246" s="1211">
        <f>SUM(U246:AF246)</f>
        <v>760276</v>
      </c>
    </row>
    <row r="247" spans="1:59" ht="15.75" customHeight="1" x14ac:dyDescent="0.3">
      <c r="A247" s="197"/>
      <c r="B247" s="197"/>
      <c r="C247" s="84" t="s">
        <v>292</v>
      </c>
      <c r="D247" s="84"/>
      <c r="E247" s="84"/>
      <c r="F247" s="84"/>
      <c r="G247" s="165">
        <f t="shared" ref="G247:R247" si="435">SUM(G245:G246)</f>
        <v>0</v>
      </c>
      <c r="H247" s="704">
        <f t="shared" si="435"/>
        <v>0</v>
      </c>
      <c r="I247" s="652">
        <f t="shared" si="435"/>
        <v>0</v>
      </c>
      <c r="J247" s="652">
        <f t="shared" si="435"/>
        <v>0</v>
      </c>
      <c r="K247" s="652">
        <f t="shared" si="435"/>
        <v>0</v>
      </c>
      <c r="L247" s="652">
        <f t="shared" si="435"/>
        <v>-6386.7799999999988</v>
      </c>
      <c r="M247" s="652">
        <f t="shared" si="435"/>
        <v>-15898.95</v>
      </c>
      <c r="N247" s="652">
        <f t="shared" si="435"/>
        <v>0</v>
      </c>
      <c r="O247" s="652">
        <f t="shared" si="435"/>
        <v>0</v>
      </c>
      <c r="P247" s="652">
        <f t="shared" si="435"/>
        <v>-87</v>
      </c>
      <c r="Q247" s="652">
        <f t="shared" si="435"/>
        <v>0</v>
      </c>
      <c r="R247" s="652">
        <f t="shared" si="435"/>
        <v>-9956</v>
      </c>
      <c r="S247" s="652">
        <f t="shared" ref="S247:AB247" si="436">SUM(S245:S246)</f>
        <v>97809.649999999907</v>
      </c>
      <c r="T247" s="950">
        <f t="shared" si="436"/>
        <v>3.7289282772690058E-11</v>
      </c>
      <c r="U247" s="950">
        <f t="shared" si="436"/>
        <v>-4.283720045350492E-10</v>
      </c>
      <c r="V247" s="950">
        <f t="shared" si="436"/>
        <v>5.0295057008042932E-10</v>
      </c>
      <c r="W247" s="950">
        <f>SUM(W245:W246)</f>
        <v>-16688.84000000028</v>
      </c>
      <c r="X247" s="950">
        <f>SUM(X245:X246)</f>
        <v>-85842.550000000236</v>
      </c>
      <c r="Y247" s="950">
        <f>SUM(Y245:Y246)</f>
        <v>-95790.910000000076</v>
      </c>
      <c r="Z247" s="1100">
        <f t="shared" si="436"/>
        <v>-17284.949999999648</v>
      </c>
      <c r="AA247" s="1100">
        <f>SUM(AA245:AA246)</f>
        <v>-41438.19999999983</v>
      </c>
      <c r="AB247" s="1100">
        <f t="shared" si="436"/>
        <v>-148774.03000000017</v>
      </c>
      <c r="AC247" s="1100">
        <f t="shared" ref="AC247:AI247" si="437">SUM(AC245:AC246)</f>
        <v>356.1900000000187</v>
      </c>
      <c r="AD247" s="1100">
        <f t="shared" si="437"/>
        <v>-131933.01000000015</v>
      </c>
      <c r="AE247" s="1100">
        <f t="shared" ref="AE247:AF247" si="438">SUM(AE245:AE246)</f>
        <v>-357907.53999999957</v>
      </c>
      <c r="AF247" s="1100">
        <f t="shared" si="438"/>
        <v>-52556.760000000206</v>
      </c>
      <c r="AG247" s="1100">
        <f t="shared" si="437"/>
        <v>-73680.940000000366</v>
      </c>
      <c r="AH247" s="1100">
        <f t="shared" si="437"/>
        <v>-143102.38999999964</v>
      </c>
      <c r="AI247" s="1100">
        <f t="shared" si="437"/>
        <v>55336.410000000185</v>
      </c>
      <c r="AJ247" s="1100">
        <f t="shared" ref="AJ247" si="439">SUM(AJ245:AJ246)</f>
        <v>-119039.8000000007</v>
      </c>
      <c r="AK247" s="1100">
        <f t="shared" ref="AK247:AQ247" si="440">SUM(AK245:AK246)</f>
        <v>1210078.2400000002</v>
      </c>
      <c r="AL247" s="1100">
        <f t="shared" si="440"/>
        <v>-38033.269999999553</v>
      </c>
      <c r="AM247" s="1100">
        <f t="shared" si="440"/>
        <v>40846.050000000047</v>
      </c>
      <c r="AN247" s="1100">
        <f t="shared" ref="AN247" si="441">SUM(AN245:AN246)</f>
        <v>-78253.209999999497</v>
      </c>
      <c r="AO247" s="1100">
        <f t="shared" si="440"/>
        <v>-43780.820000000298</v>
      </c>
      <c r="AP247" s="652">
        <f t="shared" si="440"/>
        <v>-20000</v>
      </c>
      <c r="AQ247" s="652">
        <f t="shared" si="440"/>
        <v>-20000</v>
      </c>
      <c r="AR247" s="1649">
        <f t="shared" ref="AR247:BC247" si="442">SUM(AR245:AR246)</f>
        <v>-20000</v>
      </c>
      <c r="AS247" s="652">
        <f t="shared" si="442"/>
        <v>-20000</v>
      </c>
      <c r="AT247" s="652">
        <f t="shared" si="442"/>
        <v>-20000</v>
      </c>
      <c r="AU247" s="652">
        <f t="shared" si="442"/>
        <v>-20000</v>
      </c>
      <c r="AV247" s="652">
        <f t="shared" si="442"/>
        <v>-20000</v>
      </c>
      <c r="AW247" s="652">
        <f t="shared" si="442"/>
        <v>-20000</v>
      </c>
      <c r="AX247" s="652">
        <f t="shared" si="442"/>
        <v>-20000</v>
      </c>
      <c r="AY247" s="652">
        <f t="shared" si="442"/>
        <v>-20000</v>
      </c>
      <c r="AZ247" s="652">
        <f t="shared" si="442"/>
        <v>-20000</v>
      </c>
      <c r="BA247" s="652">
        <f t="shared" si="442"/>
        <v>-20000</v>
      </c>
      <c r="BB247" s="652">
        <f t="shared" si="442"/>
        <v>-20000</v>
      </c>
      <c r="BC247" s="652">
        <f t="shared" si="442"/>
        <v>-20000</v>
      </c>
      <c r="BE247" s="1208">
        <f>SUM(T247:AE247)</f>
        <v>-895303.83999999985</v>
      </c>
      <c r="BF247" s="950">
        <f t="shared" si="409"/>
        <v>717813.51000000024</v>
      </c>
      <c r="BG247" s="1208">
        <f>SUM(U247:AF247)</f>
        <v>-947860.60000000021</v>
      </c>
    </row>
    <row r="248" spans="1:59" ht="15.75" customHeight="1" x14ac:dyDescent="0.3">
      <c r="A248" s="76"/>
      <c r="B248" s="76"/>
      <c r="C248" s="63"/>
      <c r="D248" s="63"/>
      <c r="E248" s="63"/>
      <c r="F248" s="63"/>
      <c r="G248" s="167"/>
      <c r="H248" s="627"/>
      <c r="I248" s="628"/>
      <c r="J248" s="628"/>
      <c r="K248" s="628"/>
      <c r="L248" s="628"/>
      <c r="M248" s="628"/>
      <c r="N248" s="628"/>
      <c r="O248" s="628"/>
      <c r="P248" s="628"/>
      <c r="Q248" s="628"/>
      <c r="R248" s="628"/>
      <c r="S248" s="628"/>
      <c r="T248" s="918"/>
      <c r="U248" s="918"/>
      <c r="V248" s="918"/>
      <c r="W248" s="918"/>
      <c r="X248" s="918"/>
      <c r="Y248" s="918"/>
      <c r="Z248" s="1070"/>
      <c r="AA248" s="1070"/>
      <c r="AB248" s="1070"/>
      <c r="AC248" s="1070"/>
      <c r="AD248" s="1070"/>
      <c r="AE248" s="1070"/>
      <c r="AF248" s="1070"/>
      <c r="AG248" s="1070"/>
      <c r="AH248" s="1070"/>
      <c r="AI248" s="1070"/>
      <c r="AJ248" s="1070"/>
      <c r="AK248" s="1070"/>
      <c r="AL248" s="1070"/>
      <c r="AM248" s="1070"/>
      <c r="AN248" s="1070"/>
      <c r="AO248" s="1070"/>
      <c r="AP248" s="628"/>
      <c r="AQ248" s="628"/>
      <c r="AR248" s="1618"/>
      <c r="AS248" s="628"/>
      <c r="AT248" s="628"/>
      <c r="AU248" s="628"/>
      <c r="AV248" s="628"/>
      <c r="AW248" s="628"/>
      <c r="AX248" s="628"/>
      <c r="AY248" s="628"/>
      <c r="AZ248" s="628"/>
      <c r="BA248" s="628"/>
      <c r="BB248" s="628"/>
      <c r="BC248" s="628"/>
      <c r="BE248" s="1182"/>
      <c r="BF248" s="918">
        <f t="shared" si="409"/>
        <v>0</v>
      </c>
      <c r="BG248" s="1182"/>
    </row>
    <row r="249" spans="1:59" ht="15.75" customHeight="1" x14ac:dyDescent="0.3">
      <c r="A249" s="76"/>
      <c r="B249" s="76"/>
      <c r="C249" s="188" t="s">
        <v>293</v>
      </c>
      <c r="D249" s="188"/>
      <c r="E249" s="188"/>
      <c r="F249" s="63"/>
      <c r="G249" s="167"/>
      <c r="H249" s="660"/>
      <c r="I249" s="628"/>
      <c r="J249" s="628"/>
      <c r="K249" s="628"/>
      <c r="L249" s="628"/>
      <c r="M249" s="628"/>
      <c r="N249" s="628"/>
      <c r="O249" s="628"/>
      <c r="P249" s="628"/>
      <c r="Q249" s="628"/>
      <c r="R249" s="628"/>
      <c r="S249" s="628"/>
      <c r="T249" s="918"/>
      <c r="U249" s="918"/>
      <c r="V249" s="918"/>
      <c r="W249" s="918"/>
      <c r="X249" s="918"/>
      <c r="Y249" s="918"/>
      <c r="Z249" s="1070"/>
      <c r="AA249" s="1070"/>
      <c r="AB249" s="1070"/>
      <c r="AC249" s="1070"/>
      <c r="AD249" s="1070"/>
      <c r="AE249" s="1070"/>
      <c r="AF249" s="1070"/>
      <c r="AG249" s="1070"/>
      <c r="AH249" s="1070"/>
      <c r="AI249" s="1070"/>
      <c r="AJ249" s="1070"/>
      <c r="AK249" s="1382"/>
      <c r="AL249" s="1382"/>
      <c r="AM249" s="1382"/>
      <c r="AN249" s="1382"/>
      <c r="AO249" s="1382"/>
      <c r="AP249" s="628"/>
      <c r="AQ249" s="628"/>
      <c r="AR249" s="1618"/>
      <c r="AS249" s="628"/>
      <c r="AT249" s="628"/>
      <c r="AU249" s="628"/>
      <c r="AV249" s="628"/>
      <c r="AW249" s="628"/>
      <c r="AX249" s="628"/>
      <c r="AY249" s="628"/>
      <c r="AZ249" s="628"/>
      <c r="BA249" s="628"/>
      <c r="BB249" s="628"/>
      <c r="BC249" s="628"/>
      <c r="BE249" s="1182"/>
      <c r="BF249" s="918">
        <f t="shared" si="409"/>
        <v>0</v>
      </c>
      <c r="BG249" s="1182"/>
    </row>
    <row r="250" spans="1:59" ht="15.75" customHeight="1" x14ac:dyDescent="0.3">
      <c r="A250" s="76"/>
      <c r="B250" s="76"/>
      <c r="C250" s="57" t="s">
        <v>294</v>
      </c>
      <c r="D250" s="63"/>
      <c r="E250" s="63"/>
      <c r="G250" s="167">
        <v>0</v>
      </c>
      <c r="H250" s="658">
        <v>0</v>
      </c>
      <c r="I250" s="653">
        <v>0</v>
      </c>
      <c r="J250" s="653">
        <v>0</v>
      </c>
      <c r="K250" s="653">
        <v>0</v>
      </c>
      <c r="L250" s="653">
        <v>0</v>
      </c>
      <c r="M250" s="653">
        <v>0</v>
      </c>
      <c r="N250" s="653">
        <v>0</v>
      </c>
      <c r="O250" s="653">
        <v>0</v>
      </c>
      <c r="P250" s="653">
        <v>0</v>
      </c>
      <c r="Q250" s="653">
        <v>0</v>
      </c>
      <c r="R250" s="653">
        <v>0</v>
      </c>
      <c r="S250" s="653">
        <v>0</v>
      </c>
      <c r="T250" s="948">
        <v>0</v>
      </c>
      <c r="U250" s="948">
        <v>0</v>
      </c>
      <c r="V250" s="948">
        <v>0</v>
      </c>
      <c r="W250" s="948">
        <v>0</v>
      </c>
      <c r="X250" s="948">
        <v>0</v>
      </c>
      <c r="Y250" s="948">
        <v>0</v>
      </c>
      <c r="Z250" s="1098">
        <v>0</v>
      </c>
      <c r="AA250" s="1098">
        <v>0</v>
      </c>
      <c r="AB250" s="1098">
        <v>0</v>
      </c>
      <c r="AC250" s="1098">
        <v>0</v>
      </c>
      <c r="AD250" s="1098">
        <v>0</v>
      </c>
      <c r="AE250" s="1098">
        <v>0</v>
      </c>
      <c r="AF250" s="1098">
        <v>0</v>
      </c>
      <c r="AG250" s="1098">
        <v>0</v>
      </c>
      <c r="AH250" s="1098">
        <v>0</v>
      </c>
      <c r="AI250" s="1098">
        <v>0</v>
      </c>
      <c r="AJ250" s="1098">
        <v>0</v>
      </c>
      <c r="AK250" s="1098">
        <f>-SUM('Sources and Uses'!F3,'Sources and Uses'!F5)*1000</f>
        <v>-1750000</v>
      </c>
      <c r="AL250" s="1098">
        <v>0</v>
      </c>
      <c r="AM250" s="1098">
        <v>0</v>
      </c>
      <c r="AN250" s="1098">
        <v>0</v>
      </c>
      <c r="AO250" s="1098">
        <v>0</v>
      </c>
      <c r="AP250" s="653">
        <v>0</v>
      </c>
      <c r="AQ250" s="1516">
        <v>0</v>
      </c>
      <c r="AR250" s="1518">
        <f>-'Sources and Uses'!P3*1000</f>
        <v>-1035000</v>
      </c>
      <c r="AS250" s="1516">
        <v>0</v>
      </c>
      <c r="AT250" s="1516">
        <v>0</v>
      </c>
      <c r="AU250" s="1516">
        <v>0</v>
      </c>
      <c r="AV250" s="1516">
        <v>0</v>
      </c>
      <c r="AW250" s="1516">
        <v>0</v>
      </c>
      <c r="AX250" s="1516">
        <v>0</v>
      </c>
      <c r="AY250" s="1516">
        <v>0</v>
      </c>
      <c r="AZ250" s="1516">
        <v>0</v>
      </c>
      <c r="BA250" s="1516">
        <v>0</v>
      </c>
      <c r="BB250" s="1516">
        <v>0</v>
      </c>
      <c r="BC250" s="1516">
        <v>0</v>
      </c>
      <c r="BE250" s="1208">
        <f>SUM(T250:AE250)</f>
        <v>0</v>
      </c>
      <c r="BF250" s="948">
        <f t="shared" si="409"/>
        <v>-1750000</v>
      </c>
      <c r="BG250" s="1208">
        <f>SUM(U250:AF250)</f>
        <v>0</v>
      </c>
    </row>
    <row r="251" spans="1:59" ht="15.75" customHeight="1" x14ac:dyDescent="0.3">
      <c r="A251" s="76"/>
      <c r="B251" s="76"/>
      <c r="C251" s="57" t="s">
        <v>295</v>
      </c>
      <c r="D251" s="63"/>
      <c r="E251" s="63"/>
      <c r="G251" s="167">
        <v>0</v>
      </c>
      <c r="H251" s="658">
        <v>-24376.020000000019</v>
      </c>
      <c r="I251" s="653">
        <v>0</v>
      </c>
      <c r="J251" s="653">
        <v>0</v>
      </c>
      <c r="K251" s="653">
        <v>-22873.5</v>
      </c>
      <c r="L251" s="653">
        <v>0</v>
      </c>
      <c r="M251" s="653">
        <v>0</v>
      </c>
      <c r="N251" s="653">
        <v>-23021.599999999977</v>
      </c>
      <c r="O251" s="653">
        <v>0</v>
      </c>
      <c r="P251" s="653">
        <v>0</v>
      </c>
      <c r="Q251" s="653">
        <f>Q205-P205</f>
        <v>-23170.699999999953</v>
      </c>
      <c r="R251" s="653">
        <f>-'Bart Anderson Loan'!V33</f>
        <v>0</v>
      </c>
      <c r="S251" s="653">
        <f>-'Bart Anderson Loan'!W33</f>
        <v>0</v>
      </c>
      <c r="T251" s="948">
        <f>T205-S205</f>
        <v>-22936.729999999981</v>
      </c>
      <c r="U251" s="948">
        <f t="shared" ref="U251:AJ251" si="443">U205-T205</f>
        <v>0</v>
      </c>
      <c r="V251" s="948">
        <f t="shared" si="443"/>
        <v>0</v>
      </c>
      <c r="W251" s="948">
        <f t="shared" si="443"/>
        <v>-23243.130000000005</v>
      </c>
      <c r="X251" s="948">
        <f t="shared" si="443"/>
        <v>0</v>
      </c>
      <c r="Y251" s="948">
        <f t="shared" si="443"/>
        <v>-23408.910000000033</v>
      </c>
      <c r="Z251" s="1098">
        <f t="shared" si="443"/>
        <v>0</v>
      </c>
      <c r="AA251" s="1098">
        <f t="shared" si="443"/>
        <v>0</v>
      </c>
      <c r="AB251" s="1098">
        <f t="shared" si="443"/>
        <v>0</v>
      </c>
      <c r="AC251" s="1098">
        <f t="shared" si="443"/>
        <v>-23575.869999999937</v>
      </c>
      <c r="AD251" s="1098">
        <f t="shared" si="443"/>
        <v>0</v>
      </c>
      <c r="AE251" s="1098">
        <f t="shared" si="443"/>
        <v>0</v>
      </c>
      <c r="AF251" s="1098">
        <f t="shared" si="443"/>
        <v>-508619.59</v>
      </c>
      <c r="AG251" s="1098">
        <f t="shared" si="443"/>
        <v>0</v>
      </c>
      <c r="AH251" s="1098">
        <f t="shared" si="443"/>
        <v>0</v>
      </c>
      <c r="AI251" s="1098">
        <f t="shared" si="443"/>
        <v>0</v>
      </c>
      <c r="AJ251" s="1098">
        <f t="shared" si="443"/>
        <v>0</v>
      </c>
      <c r="AK251" s="1098">
        <f t="shared" ref="AK251:BC251" si="444">AK205-AJ205</f>
        <v>0</v>
      </c>
      <c r="AL251" s="1098">
        <f t="shared" si="444"/>
        <v>0</v>
      </c>
      <c r="AM251" s="1098">
        <f t="shared" si="444"/>
        <v>0</v>
      </c>
      <c r="AN251" s="1098">
        <f t="shared" si="444"/>
        <v>0</v>
      </c>
      <c r="AO251" s="1098">
        <f t="shared" si="444"/>
        <v>0</v>
      </c>
      <c r="AP251" s="653">
        <f t="shared" si="444"/>
        <v>0</v>
      </c>
      <c r="AQ251" s="653">
        <f t="shared" si="444"/>
        <v>0</v>
      </c>
      <c r="AR251" s="1647">
        <f t="shared" si="444"/>
        <v>0</v>
      </c>
      <c r="AS251" s="653">
        <f t="shared" si="444"/>
        <v>0</v>
      </c>
      <c r="AT251" s="653">
        <f t="shared" si="444"/>
        <v>0</v>
      </c>
      <c r="AU251" s="653">
        <f t="shared" si="444"/>
        <v>0</v>
      </c>
      <c r="AV251" s="653">
        <f t="shared" si="444"/>
        <v>0</v>
      </c>
      <c r="AW251" s="653">
        <f t="shared" si="444"/>
        <v>0</v>
      </c>
      <c r="AX251" s="653">
        <f t="shared" si="444"/>
        <v>0</v>
      </c>
      <c r="AY251" s="653">
        <f t="shared" si="444"/>
        <v>0</v>
      </c>
      <c r="AZ251" s="653">
        <f t="shared" si="444"/>
        <v>0</v>
      </c>
      <c r="BA251" s="653">
        <f t="shared" si="444"/>
        <v>0</v>
      </c>
      <c r="BB251" s="653">
        <f t="shared" si="444"/>
        <v>0</v>
      </c>
      <c r="BC251" s="653">
        <f t="shared" si="444"/>
        <v>0</v>
      </c>
      <c r="BE251" s="1208">
        <f>SUM(T251:AE251)</f>
        <v>-93164.639999999956</v>
      </c>
      <c r="BF251" s="948">
        <f t="shared" si="409"/>
        <v>-508619.59</v>
      </c>
      <c r="BG251" s="1208">
        <f>SUM(U251:AF251)</f>
        <v>-578847.5</v>
      </c>
    </row>
    <row r="252" spans="1:59" s="1312" customFormat="1" ht="15.75" customHeight="1" x14ac:dyDescent="0.3">
      <c r="A252" s="1324"/>
      <c r="B252" s="1324"/>
      <c r="C252" s="1325" t="s">
        <v>1325</v>
      </c>
      <c r="D252" s="1364"/>
      <c r="E252" s="1364"/>
      <c r="G252" s="1365"/>
      <c r="H252" s="1366"/>
      <c r="I252" s="1365"/>
      <c r="J252" s="1365"/>
      <c r="K252" s="1365"/>
      <c r="L252" s="1365"/>
      <c r="M252" s="1365"/>
      <c r="N252" s="1365"/>
      <c r="O252" s="1365"/>
      <c r="P252" s="1365"/>
      <c r="Q252" s="1365"/>
      <c r="R252" s="1365"/>
      <c r="S252" s="1365"/>
      <c r="T252" s="1367"/>
      <c r="U252" s="1367"/>
      <c r="V252" s="1367"/>
      <c r="W252" s="1367"/>
      <c r="X252" s="1367"/>
      <c r="Y252" s="1367"/>
      <c r="Z252" s="1368"/>
      <c r="AA252" s="1368"/>
      <c r="AB252" s="1368"/>
      <c r="AC252" s="1368"/>
      <c r="AD252" s="1368"/>
      <c r="AE252" s="1368"/>
      <c r="AF252" s="1368"/>
      <c r="AG252" s="1368"/>
      <c r="AH252" s="1368"/>
      <c r="AI252" s="1368"/>
      <c r="AJ252" s="1368"/>
      <c r="AK252" s="1368">
        <f>'Sources and Uses'!C3*1000</f>
        <v>1975000</v>
      </c>
      <c r="AL252" s="1368">
        <f t="shared" ref="AL252:AN253" si="445">AL207-AK207</f>
        <v>-12473.439999999944</v>
      </c>
      <c r="AM252" s="1368">
        <f t="shared" si="445"/>
        <v>-13124.960000000196</v>
      </c>
      <c r="AN252" s="1368">
        <f t="shared" si="445"/>
        <v>-11821.919999999925</v>
      </c>
      <c r="AO252" s="1368">
        <f>-('HEC Financials'!BC193-'HEC Financials'!BD193)</f>
        <v>-12473.439999999944</v>
      </c>
      <c r="AP252" s="1365">
        <f ca="1">-'HEC 1L Debt'!Q30*1000</f>
        <v>-11915.042278559089</v>
      </c>
      <c r="AQ252" s="1365">
        <f ca="1">-'HEC 1L Debt'!R30*1000</f>
        <v>-12295.042278559089</v>
      </c>
      <c r="AR252" s="1367">
        <f ca="1">-'HEC 1L Debt'!S30*1000</f>
        <v>-12045.042278559089</v>
      </c>
      <c r="AS252" s="1365">
        <f ca="1">-'HEC 1L Debt'!T30*1000</f>
        <v>-12105.042278559089</v>
      </c>
      <c r="AT252" s="1365">
        <f ca="1">-'HEC 1L Debt'!U30*1000</f>
        <v>-12795.042278559089</v>
      </c>
      <c r="AU252" s="1365">
        <f ca="1">-'HEC 1L Debt'!V30*1000</f>
        <v>-12235.042278559089</v>
      </c>
      <c r="AV252" s="1365">
        <f ca="1">-'HEC 1L Debt'!W30*1000</f>
        <v>-12605.042278559089</v>
      </c>
      <c r="AW252" s="1365">
        <f ca="1">-'HEC 1L Debt'!X30*1000</f>
        <v>-12365.042278559089</v>
      </c>
      <c r="AX252" s="1365">
        <f ca="1">-'HEC 1L Debt'!Y30*1000</f>
        <v>-12735.042278559089</v>
      </c>
      <c r="AY252" s="1365">
        <f ca="1">-'HEC 1L Debt'!Z30*1000</f>
        <v>-12495.042278559089</v>
      </c>
      <c r="AZ252" s="1365">
        <f ca="1">-'HEC 1L Debt'!AA30*1000</f>
        <v>-12565.042278559089</v>
      </c>
      <c r="BA252" s="1365">
        <f ca="1">-'HEC 1L Debt'!AB30*1000</f>
        <v>-12925.042278559089</v>
      </c>
      <c r="BB252" s="1365">
        <f ca="1">-'HEC 1L Debt'!AC30*1000</f>
        <v>-12695.042278559089</v>
      </c>
      <c r="BC252" s="1365">
        <f ca="1">-'HEC 1L Debt'!AD30*1000</f>
        <v>-13055.042278559089</v>
      </c>
      <c r="BE252" s="1369">
        <f>SUM(T252:AE252)</f>
        <v>0</v>
      </c>
      <c r="BF252" s="1367">
        <f t="shared" ca="1" si="409"/>
        <v>1900896.1554428816</v>
      </c>
      <c r="BG252" s="1369">
        <f>SUM(U252:AF252)</f>
        <v>0</v>
      </c>
    </row>
    <row r="253" spans="1:59" s="1312" customFormat="1" ht="15.75" customHeight="1" x14ac:dyDescent="0.3">
      <c r="A253" s="1324"/>
      <c r="B253" s="1324"/>
      <c r="C253" s="1325" t="s">
        <v>1326</v>
      </c>
      <c r="D253" s="1364"/>
      <c r="E253" s="1364"/>
      <c r="G253" s="1365"/>
      <c r="H253" s="1366"/>
      <c r="I253" s="1365"/>
      <c r="J253" s="1365"/>
      <c r="K253" s="1365"/>
      <c r="L253" s="1365"/>
      <c r="M253" s="1365"/>
      <c r="N253" s="1365"/>
      <c r="O253" s="1365"/>
      <c r="P253" s="1365"/>
      <c r="Q253" s="1365"/>
      <c r="R253" s="1365"/>
      <c r="S253" s="1365"/>
      <c r="T253" s="1367"/>
      <c r="U253" s="1367"/>
      <c r="V253" s="1367"/>
      <c r="W253" s="1367"/>
      <c r="X253" s="1367"/>
      <c r="Y253" s="1367"/>
      <c r="Z253" s="1368"/>
      <c r="AA253" s="1368"/>
      <c r="AB253" s="1368"/>
      <c r="AC253" s="1368"/>
      <c r="AD253" s="1368"/>
      <c r="AE253" s="1368"/>
      <c r="AF253" s="1368"/>
      <c r="AG253" s="1368"/>
      <c r="AH253" s="1368"/>
      <c r="AI253" s="1368"/>
      <c r="AJ253" s="1368"/>
      <c r="AK253" s="1368" t="s">
        <v>1318</v>
      </c>
      <c r="AL253" s="1368">
        <f t="shared" si="445"/>
        <v>0</v>
      </c>
      <c r="AM253" s="1368">
        <f t="shared" si="445"/>
        <v>0</v>
      </c>
      <c r="AN253" s="1368">
        <f t="shared" si="445"/>
        <v>0</v>
      </c>
      <c r="AO253" s="1368">
        <f>'HEC Financials'!BD194-'HEC Financials'!BC194</f>
        <v>-14961.270000000019</v>
      </c>
      <c r="AP253" s="1365">
        <f ca="1">-'HEC Seller Debt'!Q30*1000</f>
        <v>-7268.3092186208532</v>
      </c>
      <c r="AQ253" s="1365">
        <f ca="1">-'HEC Seller Debt'!R30*1000</f>
        <v>-7378.3092186208523</v>
      </c>
      <c r="AR253" s="1367">
        <f ca="1">-'HEC Seller Debt'!S30*1000</f>
        <v>-7338.3092186208532</v>
      </c>
      <c r="AS253" s="1365">
        <f ca="1">-'HEC Seller Debt'!T30*1000</f>
        <v>-7378.3092186208523</v>
      </c>
      <c r="AT253" s="1365">
        <f ca="1">-'HEC Seller Debt'!U30*1000</f>
        <v>-7558.3092186208523</v>
      </c>
      <c r="AU253" s="1365">
        <f ca="1">-'HEC Seller Debt'!V30*1000</f>
        <v>-7458.3092186208532</v>
      </c>
      <c r="AV253" s="1365">
        <f ca="1">-'HEC Seller Debt'!W30*1000</f>
        <v>-7558.3092186208523</v>
      </c>
      <c r="AW253" s="1365">
        <f ca="1">-'HEC Seller Debt'!X30*1000</f>
        <v>-7528.3092186208532</v>
      </c>
      <c r="AX253" s="1365">
        <f ca="1">-'HEC Seller Debt'!Y30*1000</f>
        <v>-7638.3092186208523</v>
      </c>
      <c r="AY253" s="1365">
        <f ca="1">-'HEC Seller Debt'!Z30*1000</f>
        <v>-7608.3092186208532</v>
      </c>
      <c r="AZ253" s="1365">
        <f ca="1">-'HEC Seller Debt'!AA30*1000</f>
        <v>-7648.3092186208532</v>
      </c>
      <c r="BA253" s="1365">
        <f ca="1">-'HEC Seller Debt'!AB30*1000</f>
        <v>-7748.3092186208532</v>
      </c>
      <c r="BB253" s="1365">
        <f ca="1">-'HEC Seller Debt'!AC30*1000</f>
        <v>-7728.3092186208532</v>
      </c>
      <c r="BC253" s="1365">
        <f ca="1">-'HEC Seller Debt'!AD30*1000</f>
        <v>-7828.3092186208532</v>
      </c>
      <c r="BE253" s="1369">
        <f>SUM(T253:AE253)</f>
        <v>0</v>
      </c>
      <c r="BF253" s="1367">
        <f t="shared" ca="1" si="409"/>
        <v>-29607.888437241723</v>
      </c>
      <c r="BG253" s="1369">
        <f>SUM(U253:AF253)</f>
        <v>0</v>
      </c>
    </row>
    <row r="254" spans="1:59" s="1508" customFormat="1" ht="15.75" customHeight="1" x14ac:dyDescent="0.3">
      <c r="A254" s="1499"/>
      <c r="B254" s="1499"/>
      <c r="C254" s="1500" t="s">
        <v>1327</v>
      </c>
      <c r="D254" s="1501"/>
      <c r="E254" s="1501"/>
      <c r="G254" s="1516"/>
      <c r="H254" s="1517"/>
      <c r="I254" s="1516"/>
      <c r="J254" s="1516"/>
      <c r="K254" s="1516"/>
      <c r="L254" s="1516"/>
      <c r="M254" s="1516"/>
      <c r="N254" s="1516"/>
      <c r="O254" s="1516"/>
      <c r="P254" s="1516"/>
      <c r="Q254" s="1516"/>
      <c r="R254" s="1516"/>
      <c r="S254" s="1516"/>
      <c r="T254" s="1518"/>
      <c r="U254" s="1518"/>
      <c r="V254" s="1518"/>
      <c r="W254" s="1518"/>
      <c r="X254" s="1518"/>
      <c r="Y254" s="1518"/>
      <c r="Z254" s="1519"/>
      <c r="AA254" s="1519"/>
      <c r="AB254" s="1519"/>
      <c r="AC254" s="1519"/>
      <c r="AD254" s="1519"/>
      <c r="AE254" s="1519"/>
      <c r="AF254" s="1519"/>
      <c r="AG254" s="1519"/>
      <c r="AH254" s="1519"/>
      <c r="AI254" s="1519"/>
      <c r="AJ254" s="1519"/>
      <c r="AK254" s="1519"/>
      <c r="AL254" s="1519"/>
      <c r="AM254" s="1519"/>
      <c r="AN254" s="1519"/>
      <c r="AO254" s="1519"/>
      <c r="AP254" s="1516"/>
      <c r="AQ254" s="1516"/>
      <c r="AR254" s="1518">
        <f>'Sources and Uses'!J3*1000-'Brnch 1L Debt'!L30</f>
        <v>1282397.1813522365</v>
      </c>
      <c r="AS254" s="1516">
        <f ca="1">-'Brnch 1L Debt'!M30</f>
        <v>-18215.458647763564</v>
      </c>
      <c r="AT254" s="1516">
        <f ca="1">-'Brnch 1L Debt'!N30</f>
        <v>-17486.008647763563</v>
      </c>
      <c r="AU254" s="1516">
        <f ca="1">-'Brnch 1L Debt'!O30</f>
        <v>-17883.518647763565</v>
      </c>
      <c r="AV254" s="1516">
        <f ca="1">-'Brnch 1L Debt'!P30</f>
        <v>-17729.668647763567</v>
      </c>
      <c r="AW254" s="1516">
        <f ca="1">-'Brnch 1L Debt'!Q30</f>
        <v>-18120.938647763563</v>
      </c>
      <c r="AX254" s="1516">
        <f ca="1">-'Brnch 1L Debt'!R30</f>
        <v>-17976.638647763564</v>
      </c>
      <c r="AY254" s="1516">
        <f ca="1">-'Brnch 1L Debt'!S30</f>
        <v>-18100.478647763564</v>
      </c>
      <c r="AZ254" s="1516">
        <f ca="1">-'Brnch 1L Debt'!T30</f>
        <v>-18482.258647763563</v>
      </c>
      <c r="BA254" s="1516">
        <f ca="1">-'Brnch 1L Debt'!U30</f>
        <v>-18352.488647763566</v>
      </c>
      <c r="BB254" s="1516">
        <f ca="1">-'Brnch 1L Debt'!V30</f>
        <v>-18727.818647763565</v>
      </c>
      <c r="BC254" s="1516">
        <f ca="1">-'Brnch 1L Debt'!W30</f>
        <v>-18607.938647763563</v>
      </c>
      <c r="BE254" s="1520"/>
      <c r="BF254" s="1518"/>
      <c r="BG254" s="1520"/>
    </row>
    <row r="255" spans="1:59" s="1508" customFormat="1" ht="15.75" customHeight="1" x14ac:dyDescent="0.3">
      <c r="A255" s="1499"/>
      <c r="B255" s="1499"/>
      <c r="C255" s="1500" t="s">
        <v>1354</v>
      </c>
      <c r="D255" s="1501"/>
      <c r="E255" s="1501"/>
      <c r="G255" s="1516"/>
      <c r="H255" s="1517"/>
      <c r="I255" s="1516"/>
      <c r="J255" s="1516"/>
      <c r="K255" s="1516"/>
      <c r="L255" s="1516"/>
      <c r="M255" s="1516"/>
      <c r="N255" s="1516"/>
      <c r="O255" s="1516"/>
      <c r="P255" s="1516"/>
      <c r="Q255" s="1516"/>
      <c r="R255" s="1516"/>
      <c r="S255" s="1516"/>
      <c r="T255" s="1518"/>
      <c r="U255" s="1518"/>
      <c r="V255" s="1518"/>
      <c r="W255" s="1518"/>
      <c r="X255" s="1518"/>
      <c r="Y255" s="1518"/>
      <c r="Z255" s="1519"/>
      <c r="AA255" s="1519"/>
      <c r="AB255" s="1519"/>
      <c r="AC255" s="1519"/>
      <c r="AD255" s="1519"/>
      <c r="AE255" s="1519"/>
      <c r="AF255" s="1519"/>
      <c r="AG255" s="1519"/>
      <c r="AH255" s="1519"/>
      <c r="AI255" s="1519"/>
      <c r="AJ255" s="1519"/>
      <c r="AK255" s="1519"/>
      <c r="AL255" s="1519"/>
      <c r="AM255" s="1519"/>
      <c r="AN255" s="1519"/>
      <c r="AO255" s="1519"/>
      <c r="AP255" s="1516"/>
      <c r="AQ255" s="1516">
        <v>0</v>
      </c>
      <c r="AR255" s="1518">
        <f>-'Brnch Seller Debt'!L30</f>
        <v>-13932.941431996225</v>
      </c>
      <c r="AS255" s="1516">
        <f ca="1">-'Brnch Seller Debt'!M30</f>
        <v>-14391.311431996226</v>
      </c>
      <c r="AT255" s="1516">
        <f ca="1">-'Brnch Seller Debt'!N30</f>
        <v>-13909.551431996224</v>
      </c>
      <c r="AU255" s="1516">
        <f ca="1">-'Brnch Seller Debt'!O30</f>
        <v>-14175.921431996227</v>
      </c>
      <c r="AV255" s="1516">
        <f ca="1">-'Brnch Seller Debt'!P30</f>
        <v>-14076.521431996225</v>
      </c>
      <c r="AW255" s="1516">
        <f ca="1">-'Brnch Seller Debt'!Q30</f>
        <v>-14338.471431996226</v>
      </c>
      <c r="AX255" s="1516">
        <f ca="1">-'Brnch Seller Debt'!R30</f>
        <v>-14245.451431996225</v>
      </c>
      <c r="AY255" s="1516">
        <f ca="1">-'Brnch Seller Debt'!S30</f>
        <v>-14330.151431996226</v>
      </c>
      <c r="AZ255" s="1516">
        <f ca="1">-'Brnch Seller Debt'!T30</f>
        <v>-14585.381431996226</v>
      </c>
      <c r="BA255" s="1516">
        <f ca="1">-'Brnch Seller Debt'!U30</f>
        <v>-14502.061431996226</v>
      </c>
      <c r="BB255" s="1516">
        <f ca="1">-'Brnch Seller Debt'!V30</f>
        <v>-14752.731431996224</v>
      </c>
      <c r="BC255" s="1516">
        <f ca="1">-'Brnch Seller Debt'!W30</f>
        <v>-14675.981431996224</v>
      </c>
      <c r="BE255" s="1520"/>
      <c r="BF255" s="1518"/>
      <c r="BG255" s="1520"/>
    </row>
    <row r="256" spans="1:59" s="1508" customFormat="1" ht="15.75" customHeight="1" x14ac:dyDescent="0.3">
      <c r="A256" s="1499"/>
      <c r="B256" s="1499"/>
      <c r="C256" s="1500" t="s">
        <v>1355</v>
      </c>
      <c r="D256" s="1501"/>
      <c r="E256" s="1501"/>
      <c r="G256" s="1516"/>
      <c r="H256" s="1517"/>
      <c r="I256" s="1516"/>
      <c r="J256" s="1516"/>
      <c r="K256" s="1516"/>
      <c r="L256" s="1516"/>
      <c r="M256" s="1516"/>
      <c r="N256" s="1516"/>
      <c r="O256" s="1516"/>
      <c r="P256" s="1516"/>
      <c r="Q256" s="1516"/>
      <c r="R256" s="1516"/>
      <c r="S256" s="1516"/>
      <c r="T256" s="1518"/>
      <c r="U256" s="1518"/>
      <c r="V256" s="1518"/>
      <c r="W256" s="1518"/>
      <c r="X256" s="1518"/>
      <c r="Y256" s="1518"/>
      <c r="Z256" s="1519"/>
      <c r="AA256" s="1519"/>
      <c r="AB256" s="1519"/>
      <c r="AC256" s="1519"/>
      <c r="AD256" s="1519"/>
      <c r="AE256" s="1519"/>
      <c r="AF256" s="1519"/>
      <c r="AG256" s="1519"/>
      <c r="AH256" s="1519"/>
      <c r="AI256" s="1519"/>
      <c r="AJ256" s="1519"/>
      <c r="AK256" s="1519"/>
      <c r="AL256" s="1519"/>
      <c r="AM256" s="1519"/>
      <c r="AN256" s="1519"/>
      <c r="AO256" s="1519"/>
      <c r="AP256" s="1516"/>
      <c r="AQ256" s="1516">
        <f>'Sources and Uses'!J7*1000</f>
        <v>0</v>
      </c>
      <c r="AR256" s="1518">
        <f>'Sources and Uses'!K7*1000</f>
        <v>0</v>
      </c>
      <c r="AS256" s="1516">
        <f>'Sources and Uses'!L7*1000</f>
        <v>0</v>
      </c>
      <c r="AT256" s="1516">
        <f>'Sources and Uses'!M7*1000</f>
        <v>0</v>
      </c>
      <c r="AU256" s="1516">
        <f>'Sources and Uses'!N7*1000</f>
        <v>0</v>
      </c>
      <c r="AV256" s="1516">
        <f>'Sources and Uses'!O7*1000</f>
        <v>0</v>
      </c>
      <c r="AW256" s="1516">
        <f>'Sources and Uses'!P7*1000</f>
        <v>0</v>
      </c>
      <c r="AX256" s="1516">
        <f>'Sources and Uses'!Q7*1000</f>
        <v>0</v>
      </c>
      <c r="AY256" s="1516">
        <f>'Sources and Uses'!R7*1000</f>
        <v>0</v>
      </c>
      <c r="AZ256" s="1516">
        <f>'Sources and Uses'!S7*1000</f>
        <v>0</v>
      </c>
      <c r="BA256" s="1516">
        <f>'Sources and Uses'!T7*1000</f>
        <v>0</v>
      </c>
      <c r="BB256" s="1516">
        <f>'Sources and Uses'!U7*1000</f>
        <v>0</v>
      </c>
      <c r="BC256" s="1516">
        <f>'Sources and Uses'!V7*1000</f>
        <v>0</v>
      </c>
      <c r="BE256" s="1520"/>
      <c r="BF256" s="1518"/>
      <c r="BG256" s="1520"/>
    </row>
    <row r="257" spans="1:59" ht="15.75" customHeight="1" x14ac:dyDescent="0.3">
      <c r="A257" s="76"/>
      <c r="B257" s="76"/>
      <c r="C257" s="57" t="s">
        <v>296</v>
      </c>
      <c r="D257" s="63"/>
      <c r="E257" s="63"/>
      <c r="G257" s="189">
        <v>0</v>
      </c>
      <c r="H257" s="658">
        <v>0</v>
      </c>
      <c r="I257" s="653">
        <v>0</v>
      </c>
      <c r="J257" s="653">
        <v>-1000000</v>
      </c>
      <c r="K257" s="653">
        <v>0</v>
      </c>
      <c r="L257" s="653">
        <v>0</v>
      </c>
      <c r="M257" s="653">
        <v>0</v>
      </c>
      <c r="N257" s="653">
        <v>0</v>
      </c>
      <c r="O257" s="653">
        <v>0</v>
      </c>
      <c r="P257" s="653">
        <v>0</v>
      </c>
      <c r="Q257" s="653">
        <v>0</v>
      </c>
      <c r="R257" s="653">
        <v>0</v>
      </c>
      <c r="S257" s="653">
        <v>0</v>
      </c>
      <c r="T257" s="948">
        <v>0</v>
      </c>
      <c r="U257" s="948">
        <v>0</v>
      </c>
      <c r="V257" s="948">
        <v>0</v>
      </c>
      <c r="W257" s="948">
        <v>0</v>
      </c>
      <c r="X257" s="948">
        <v>0</v>
      </c>
      <c r="Y257" s="948">
        <v>0</v>
      </c>
      <c r="Z257" s="1098">
        <v>0</v>
      </c>
      <c r="AA257" s="1098">
        <v>0</v>
      </c>
      <c r="AB257" s="1098">
        <v>0</v>
      </c>
      <c r="AC257" s="1098">
        <v>0</v>
      </c>
      <c r="AD257" s="1098">
        <v>0</v>
      </c>
      <c r="AE257" s="1098">
        <v>0</v>
      </c>
      <c r="AF257" s="1098">
        <v>0</v>
      </c>
      <c r="AG257" s="1098">
        <v>0</v>
      </c>
      <c r="AH257" s="1098">
        <v>0</v>
      </c>
      <c r="AI257" s="1098">
        <v>0</v>
      </c>
      <c r="AJ257" s="1098">
        <v>0</v>
      </c>
      <c r="AK257" s="1098">
        <v>0</v>
      </c>
      <c r="AL257" s="1098">
        <v>0</v>
      </c>
      <c r="AM257" s="1098">
        <v>0</v>
      </c>
      <c r="AN257" s="1098">
        <v>0</v>
      </c>
      <c r="AO257" s="1098">
        <v>0</v>
      </c>
      <c r="AP257" s="653">
        <v>0</v>
      </c>
      <c r="AQ257" s="653">
        <v>0</v>
      </c>
      <c r="AR257" s="1647">
        <v>0</v>
      </c>
      <c r="AS257" s="653">
        <v>0</v>
      </c>
      <c r="AT257" s="653">
        <v>0</v>
      </c>
      <c r="AU257" s="653">
        <v>0</v>
      </c>
      <c r="AV257" s="653">
        <v>0</v>
      </c>
      <c r="AW257" s="653">
        <v>0</v>
      </c>
      <c r="AX257" s="653">
        <v>0</v>
      </c>
      <c r="AY257" s="653">
        <v>0</v>
      </c>
      <c r="AZ257" s="653">
        <v>0</v>
      </c>
      <c r="BA257" s="653">
        <v>0</v>
      </c>
      <c r="BB257" s="653">
        <v>0</v>
      </c>
      <c r="BC257" s="653">
        <v>0</v>
      </c>
      <c r="BE257" s="1208">
        <f t="shared" ref="BE257:BE262" si="446">SUM(T257:AE257)</f>
        <v>0</v>
      </c>
      <c r="BF257" s="948">
        <f t="shared" ref="BF257:BF263" si="447">SUM(AF257:AQ257)</f>
        <v>0</v>
      </c>
      <c r="BG257" s="1208">
        <f t="shared" ref="BG257:BG262" si="448">SUM(U257:AF257)</f>
        <v>0</v>
      </c>
    </row>
    <row r="258" spans="1:59" ht="15.75" customHeight="1" x14ac:dyDescent="0.3">
      <c r="A258" s="76"/>
      <c r="B258" s="76"/>
      <c r="C258" s="57" t="s">
        <v>297</v>
      </c>
      <c r="D258" s="63"/>
      <c r="E258" s="63"/>
      <c r="G258" s="189">
        <v>0</v>
      </c>
      <c r="H258" s="658">
        <v>0</v>
      </c>
      <c r="I258" s="653">
        <v>0</v>
      </c>
      <c r="J258" s="653">
        <v>0</v>
      </c>
      <c r="K258" s="653">
        <v>0</v>
      </c>
      <c r="L258" s="653">
        <v>0</v>
      </c>
      <c r="M258" s="653">
        <v>0</v>
      </c>
      <c r="N258" s="653">
        <v>0</v>
      </c>
      <c r="O258" s="653">
        <v>0</v>
      </c>
      <c r="P258" s="653">
        <v>0</v>
      </c>
      <c r="Q258" s="653">
        <v>0</v>
      </c>
      <c r="R258" s="653">
        <v>0</v>
      </c>
      <c r="S258" s="653">
        <v>33550</v>
      </c>
      <c r="T258" s="948">
        <v>0</v>
      </c>
      <c r="U258" s="948">
        <v>0</v>
      </c>
      <c r="V258" s="948">
        <v>0</v>
      </c>
      <c r="W258" s="948">
        <v>0</v>
      </c>
      <c r="X258" s="948">
        <v>0</v>
      </c>
      <c r="Y258" s="948">
        <v>0</v>
      </c>
      <c r="Z258" s="1098">
        <v>0</v>
      </c>
      <c r="AA258" s="1098">
        <v>0</v>
      </c>
      <c r="AB258" s="1098">
        <v>0</v>
      </c>
      <c r="AC258" s="1098">
        <v>0</v>
      </c>
      <c r="AD258" s="1098">
        <v>0</v>
      </c>
      <c r="AE258" s="1098">
        <v>0</v>
      </c>
      <c r="AF258" s="1098">
        <v>0</v>
      </c>
      <c r="AG258" s="1098">
        <v>0</v>
      </c>
      <c r="AH258" s="1098">
        <v>0</v>
      </c>
      <c r="AI258" s="1098">
        <v>0</v>
      </c>
      <c r="AJ258" s="1098">
        <v>0</v>
      </c>
      <c r="AK258" s="1098">
        <v>0</v>
      </c>
      <c r="AL258" s="1098">
        <v>0</v>
      </c>
      <c r="AM258" s="1098">
        <v>0</v>
      </c>
      <c r="AN258" s="1098">
        <v>0</v>
      </c>
      <c r="AO258" s="1098">
        <v>0</v>
      </c>
      <c r="AP258" s="653">
        <v>0</v>
      </c>
      <c r="AQ258" s="653">
        <v>0</v>
      </c>
      <c r="AR258" s="1647">
        <v>0</v>
      </c>
      <c r="AS258" s="653">
        <v>0</v>
      </c>
      <c r="AT258" s="653">
        <v>0</v>
      </c>
      <c r="AU258" s="653">
        <v>0</v>
      </c>
      <c r="AV258" s="653">
        <v>0</v>
      </c>
      <c r="AW258" s="653">
        <v>0</v>
      </c>
      <c r="AX258" s="653">
        <v>0</v>
      </c>
      <c r="AY258" s="653">
        <v>0</v>
      </c>
      <c r="AZ258" s="653">
        <v>0</v>
      </c>
      <c r="BA258" s="653">
        <v>0</v>
      </c>
      <c r="BB258" s="653">
        <v>0</v>
      </c>
      <c r="BC258" s="653">
        <v>0</v>
      </c>
      <c r="BE258" s="1208">
        <f t="shared" si="446"/>
        <v>0</v>
      </c>
      <c r="BF258" s="948">
        <f t="shared" si="447"/>
        <v>0</v>
      </c>
      <c r="BG258" s="1208">
        <f t="shared" si="448"/>
        <v>0</v>
      </c>
    </row>
    <row r="259" spans="1:59" ht="15.75" customHeight="1" x14ac:dyDescent="0.3">
      <c r="A259" s="76"/>
      <c r="B259" s="76"/>
      <c r="C259" s="57" t="s">
        <v>298</v>
      </c>
      <c r="D259" s="63"/>
      <c r="E259" s="63"/>
      <c r="G259" s="161">
        <v>-1281.8593384031799</v>
      </c>
      <c r="H259" s="658">
        <v>-1285.3000000000029</v>
      </c>
      <c r="I259" s="653">
        <v>-1288.7478799292562</v>
      </c>
      <c r="J259" s="653">
        <v>-1292.2060200737333</v>
      </c>
      <c r="K259" s="653">
        <v>-1295.673439560931</v>
      </c>
      <c r="L259" s="653">
        <v>-1299.1501632904196</v>
      </c>
      <c r="M259" s="653">
        <v>-1302.6399999999994</v>
      </c>
      <c r="N259" s="653">
        <v>-1306.1299999999974</v>
      </c>
      <c r="O259" s="653">
        <v>-1309.636409931609</v>
      </c>
      <c r="P259" s="653">
        <v>-1313.1506009649256</v>
      </c>
      <c r="Q259" s="653">
        <f>Q212-P212</f>
        <v>-1316.6700000000055</v>
      </c>
      <c r="R259" s="653">
        <f>R212-Q212</f>
        <v>-1320.2099999999991</v>
      </c>
      <c r="S259" s="653">
        <f>-'PNC 2020 Equipment Loan'!AD17</f>
        <v>-1323.7498538210148</v>
      </c>
      <c r="T259" s="948">
        <f>T212-S212</f>
        <v>-1327.3000000000029</v>
      </c>
      <c r="U259" s="948">
        <f t="shared" ref="U259:Y259" si="449">U212-T212</f>
        <v>-1330.8600000000006</v>
      </c>
      <c r="V259" s="948">
        <f t="shared" si="449"/>
        <v>-1334.429999999993</v>
      </c>
      <c r="W259" s="948">
        <f t="shared" si="449"/>
        <v>-1338.0200000000041</v>
      </c>
      <c r="X259" s="948">
        <f t="shared" si="449"/>
        <v>60710.89</v>
      </c>
      <c r="Y259" s="948">
        <f t="shared" si="449"/>
        <v>-1345.2099999999919</v>
      </c>
      <c r="Z259" s="1098">
        <f t="shared" ref="Z259:AJ259" si="450">Z212-Y212</f>
        <v>-1348.820000000007</v>
      </c>
      <c r="AA259" s="1098">
        <f t="shared" si="450"/>
        <v>-1352.429999999993</v>
      </c>
      <c r="AB259" s="1098">
        <f t="shared" si="450"/>
        <v>-10558.559999999998</v>
      </c>
      <c r="AC259" s="1098">
        <f t="shared" si="450"/>
        <v>-1359.7000000000116</v>
      </c>
      <c r="AD259" s="1098">
        <f t="shared" si="450"/>
        <v>29311.649999999994</v>
      </c>
      <c r="AE259" s="1098">
        <f>AE212-AD212</f>
        <v>1595.0899999999965</v>
      </c>
      <c r="AF259" s="1098">
        <f t="shared" si="450"/>
        <v>-3348.5099999999802</v>
      </c>
      <c r="AG259" s="1098">
        <f t="shared" si="450"/>
        <v>-3352.1900000000023</v>
      </c>
      <c r="AH259" s="1098">
        <f t="shared" si="450"/>
        <v>-3305.1300000000047</v>
      </c>
      <c r="AI259" s="1098">
        <f t="shared" si="450"/>
        <v>-3305.1300000000047</v>
      </c>
      <c r="AJ259" s="1098">
        <f t="shared" si="450"/>
        <v>-3363.2699999999895</v>
      </c>
      <c r="AK259" s="1098">
        <f t="shared" ref="AK259:BC259" si="451">AK212-AJ212</f>
        <v>-127171.38</v>
      </c>
      <c r="AL259" s="1098">
        <f t="shared" si="451"/>
        <v>0</v>
      </c>
      <c r="AM259" s="1098">
        <f t="shared" si="451"/>
        <v>0</v>
      </c>
      <c r="AN259" s="1098">
        <f t="shared" si="451"/>
        <v>0</v>
      </c>
      <c r="AO259" s="1098">
        <f t="shared" si="451"/>
        <v>0</v>
      </c>
      <c r="AP259" s="653">
        <f t="shared" si="451"/>
        <v>0</v>
      </c>
      <c r="AQ259" s="653">
        <f t="shared" si="451"/>
        <v>0</v>
      </c>
      <c r="AR259" s="1647">
        <f t="shared" si="451"/>
        <v>0</v>
      </c>
      <c r="AS259" s="653">
        <f t="shared" si="451"/>
        <v>0</v>
      </c>
      <c r="AT259" s="653">
        <f t="shared" si="451"/>
        <v>0</v>
      </c>
      <c r="AU259" s="653">
        <f t="shared" si="451"/>
        <v>0</v>
      </c>
      <c r="AV259" s="653">
        <f t="shared" si="451"/>
        <v>0</v>
      </c>
      <c r="AW259" s="653">
        <f t="shared" si="451"/>
        <v>0</v>
      </c>
      <c r="AX259" s="653">
        <f t="shared" si="451"/>
        <v>0</v>
      </c>
      <c r="AY259" s="653">
        <f t="shared" si="451"/>
        <v>0</v>
      </c>
      <c r="AZ259" s="653">
        <f t="shared" si="451"/>
        <v>0</v>
      </c>
      <c r="BA259" s="653">
        <f t="shared" si="451"/>
        <v>0</v>
      </c>
      <c r="BB259" s="653">
        <f t="shared" si="451"/>
        <v>0</v>
      </c>
      <c r="BC259" s="653">
        <f t="shared" si="451"/>
        <v>0</v>
      </c>
      <c r="BE259" s="1208">
        <f t="shared" si="446"/>
        <v>70322.299999999988</v>
      </c>
      <c r="BF259" s="948">
        <f t="shared" si="447"/>
        <v>-143845.60999999999</v>
      </c>
      <c r="BG259" s="1208">
        <f t="shared" si="448"/>
        <v>68301.090000000011</v>
      </c>
    </row>
    <row r="260" spans="1:59" ht="15.75" customHeight="1" x14ac:dyDescent="0.3">
      <c r="A260" s="76"/>
      <c r="B260" s="76"/>
      <c r="C260" s="57" t="s">
        <v>299</v>
      </c>
      <c r="D260" s="63"/>
      <c r="E260" s="63"/>
      <c r="G260" s="161">
        <v>-2375</v>
      </c>
      <c r="H260" s="658">
        <v>0</v>
      </c>
      <c r="I260" s="653">
        <v>-2375</v>
      </c>
      <c r="J260" s="653">
        <v>0</v>
      </c>
      <c r="K260" s="653">
        <v>0</v>
      </c>
      <c r="L260" s="653">
        <v>-2375</v>
      </c>
      <c r="M260" s="653">
        <v>0</v>
      </c>
      <c r="N260" s="653">
        <v>0</v>
      </c>
      <c r="O260" s="653">
        <v>0</v>
      </c>
      <c r="P260" s="653">
        <v>0</v>
      </c>
      <c r="Q260" s="653">
        <f>Q214-P214</f>
        <v>0</v>
      </c>
      <c r="R260" s="653">
        <f>R214-Q214</f>
        <v>0</v>
      </c>
      <c r="S260" s="653">
        <f>S214-R214</f>
        <v>0</v>
      </c>
      <c r="T260" s="948">
        <f>T214-S214</f>
        <v>0</v>
      </c>
      <c r="U260" s="948">
        <f t="shared" ref="U260:AJ260" si="452">U214-T214</f>
        <v>0</v>
      </c>
      <c r="V260" s="948">
        <f t="shared" si="452"/>
        <v>0</v>
      </c>
      <c r="W260" s="948">
        <f t="shared" si="452"/>
        <v>-60856.33</v>
      </c>
      <c r="X260" s="948">
        <f t="shared" si="452"/>
        <v>-6929.8099999999995</v>
      </c>
      <c r="Y260" s="948">
        <f t="shared" si="452"/>
        <v>-6203.16</v>
      </c>
      <c r="Z260" s="1098">
        <f t="shared" si="452"/>
        <v>-3976.21</v>
      </c>
      <c r="AA260" s="1098">
        <f t="shared" si="452"/>
        <v>1714.5000000000002</v>
      </c>
      <c r="AB260" s="1098">
        <f t="shared" si="452"/>
        <v>-2725.6600000000003</v>
      </c>
      <c r="AC260" s="1098">
        <f t="shared" si="452"/>
        <v>554.67999999999995</v>
      </c>
      <c r="AD260" s="1098">
        <f t="shared" si="452"/>
        <v>326.31000000000017</v>
      </c>
      <c r="AE260" s="1098">
        <f>AE214-AD214</f>
        <v>1015.3399999999997</v>
      </c>
      <c r="AF260" s="1098">
        <f t="shared" si="452"/>
        <v>-9724.34</v>
      </c>
      <c r="AG260" s="1098">
        <f t="shared" si="452"/>
        <v>1500.1400000000003</v>
      </c>
      <c r="AH260" s="1098">
        <f t="shared" si="452"/>
        <v>10002.540000000001</v>
      </c>
      <c r="AI260" s="1098">
        <f t="shared" si="452"/>
        <v>-708.46000000000049</v>
      </c>
      <c r="AJ260" s="1098">
        <f t="shared" si="452"/>
        <v>5091.51</v>
      </c>
      <c r="AK260" s="1098">
        <f t="shared" ref="AK260:BC260" si="453">AK214-AJ214</f>
        <v>1163.3999999999996</v>
      </c>
      <c r="AL260" s="1098">
        <f t="shared" si="453"/>
        <v>-38.260000000000218</v>
      </c>
      <c r="AM260" s="1098">
        <f t="shared" si="453"/>
        <v>76.25</v>
      </c>
      <c r="AN260" s="1098">
        <f t="shared" si="453"/>
        <v>0</v>
      </c>
      <c r="AO260" s="1098">
        <f t="shared" si="453"/>
        <v>82000</v>
      </c>
      <c r="AP260" s="653">
        <f t="shared" si="453"/>
        <v>0</v>
      </c>
      <c r="AQ260" s="653">
        <f t="shared" si="453"/>
        <v>0</v>
      </c>
      <c r="AR260" s="1647">
        <f t="shared" si="453"/>
        <v>0</v>
      </c>
      <c r="AS260" s="653">
        <f t="shared" si="453"/>
        <v>0</v>
      </c>
      <c r="AT260" s="653">
        <f t="shared" si="453"/>
        <v>0</v>
      </c>
      <c r="AU260" s="653">
        <f t="shared" si="453"/>
        <v>0</v>
      </c>
      <c r="AV260" s="653">
        <f t="shared" si="453"/>
        <v>0</v>
      </c>
      <c r="AW260" s="653">
        <f t="shared" si="453"/>
        <v>0</v>
      </c>
      <c r="AX260" s="653">
        <f t="shared" si="453"/>
        <v>0</v>
      </c>
      <c r="AY260" s="653">
        <f t="shared" si="453"/>
        <v>0</v>
      </c>
      <c r="AZ260" s="653">
        <f t="shared" si="453"/>
        <v>0</v>
      </c>
      <c r="BA260" s="653">
        <f t="shared" si="453"/>
        <v>0</v>
      </c>
      <c r="BB260" s="653">
        <f t="shared" si="453"/>
        <v>0</v>
      </c>
      <c r="BC260" s="653">
        <f t="shared" si="453"/>
        <v>0</v>
      </c>
      <c r="BE260" s="1208">
        <f t="shared" si="446"/>
        <v>-77080.340000000026</v>
      </c>
      <c r="BF260" s="948">
        <f t="shared" si="447"/>
        <v>89362.78</v>
      </c>
      <c r="BG260" s="1208">
        <f t="shared" si="448"/>
        <v>-86804.680000000022</v>
      </c>
    </row>
    <row r="261" spans="1:59" ht="15.75" customHeight="1" x14ac:dyDescent="0.3">
      <c r="A261" s="76"/>
      <c r="B261" s="76"/>
      <c r="C261" s="64" t="s">
        <v>300</v>
      </c>
      <c r="D261" s="65" t="s">
        <v>301</v>
      </c>
      <c r="E261" s="192"/>
      <c r="F261" s="193">
        <v>0.25</v>
      </c>
      <c r="G261" s="170">
        <v>-15687.692071938038</v>
      </c>
      <c r="H261" s="654">
        <v>-167000</v>
      </c>
      <c r="I261" s="685">
        <v>0</v>
      </c>
      <c r="J261" s="685">
        <v>0</v>
      </c>
      <c r="K261" s="685">
        <v>0</v>
      </c>
      <c r="L261" s="685"/>
      <c r="M261" s="685">
        <v>0</v>
      </c>
      <c r="N261" s="685"/>
      <c r="O261" s="685"/>
      <c r="P261" s="685"/>
      <c r="Q261" s="685">
        <f>Q226-P226</f>
        <v>-188800</v>
      </c>
      <c r="R261" s="685">
        <v>0</v>
      </c>
      <c r="S261" s="685">
        <v>0</v>
      </c>
      <c r="T261" s="949">
        <f t="shared" ref="T261:Y261" si="454">T226-S226</f>
        <v>0</v>
      </c>
      <c r="U261" s="949">
        <f t="shared" si="454"/>
        <v>0</v>
      </c>
      <c r="V261" s="949">
        <f t="shared" si="454"/>
        <v>0</v>
      </c>
      <c r="W261" s="949">
        <f t="shared" si="454"/>
        <v>-818075</v>
      </c>
      <c r="X261" s="949">
        <f t="shared" si="454"/>
        <v>0</v>
      </c>
      <c r="Y261" s="949">
        <f t="shared" si="454"/>
        <v>0</v>
      </c>
      <c r="Z261" s="1099">
        <f t="shared" ref="Z261:AF261" si="455">Z226-Y226</f>
        <v>0</v>
      </c>
      <c r="AA261" s="1099">
        <f t="shared" si="455"/>
        <v>0</v>
      </c>
      <c r="AB261" s="1099">
        <f t="shared" si="455"/>
        <v>0</v>
      </c>
      <c r="AC261" s="1099">
        <f t="shared" si="455"/>
        <v>-74264.330000000075</v>
      </c>
      <c r="AD261" s="1099">
        <f t="shared" si="455"/>
        <v>0</v>
      </c>
      <c r="AE261" s="1099">
        <f t="shared" si="455"/>
        <v>359158.33000000007</v>
      </c>
      <c r="AF261" s="1099">
        <f t="shared" si="455"/>
        <v>0</v>
      </c>
      <c r="AG261" s="1150">
        <v>0</v>
      </c>
      <c r="AH261" s="1150">
        <v>0</v>
      </c>
      <c r="AI261" s="1150">
        <f t="shared" ref="AI261:AN261" si="456">AI226-AH226</f>
        <v>-500000</v>
      </c>
      <c r="AJ261" s="1150">
        <f t="shared" si="456"/>
        <v>0</v>
      </c>
      <c r="AK261" s="1150">
        <f t="shared" si="456"/>
        <v>0</v>
      </c>
      <c r="AL261" s="1150">
        <f t="shared" si="456"/>
        <v>0</v>
      </c>
      <c r="AM261" s="1150">
        <f t="shared" si="456"/>
        <v>0</v>
      </c>
      <c r="AN261" s="1150">
        <f t="shared" si="456"/>
        <v>0</v>
      </c>
      <c r="AO261" s="1150">
        <v>0</v>
      </c>
      <c r="AP261" s="685">
        <v>0</v>
      </c>
      <c r="AQ261" s="685">
        <f t="shared" ref="AQ261" ca="1" si="457">-40%*SUM(AO115:AQ115)</f>
        <v>-428357.03444443032</v>
      </c>
      <c r="AR261" s="1648"/>
      <c r="AS261" s="685"/>
      <c r="AT261" s="685">
        <f ca="1">-32%*SUM(AR115:AT115)</f>
        <v>-311072.88291658752</v>
      </c>
      <c r="AU261" s="685"/>
      <c r="AV261" s="685"/>
      <c r="AW261" s="685">
        <f ca="1">-32%*SUM(AU115:AW115)</f>
        <v>-345081.38672951626</v>
      </c>
      <c r="AX261" s="685"/>
      <c r="AY261" s="685"/>
      <c r="AZ261" s="685">
        <f ca="1">-32%*SUM(AX115:AZ115)</f>
        <v>-373853.7560699241</v>
      </c>
      <c r="BA261" s="685"/>
      <c r="BB261" s="685"/>
      <c r="BC261" s="685">
        <f ca="1">-32%*SUM(BA115:BC115)</f>
        <v>-270160.09918357246</v>
      </c>
      <c r="BE261" s="1211">
        <f t="shared" si="446"/>
        <v>-533181</v>
      </c>
      <c r="BF261" s="1150">
        <f t="shared" ca="1" si="447"/>
        <v>-928357.03444443038</v>
      </c>
      <c r="BG261" s="1211">
        <f t="shared" si="448"/>
        <v>-533181</v>
      </c>
    </row>
    <row r="262" spans="1:59" ht="15.75" customHeight="1" x14ac:dyDescent="0.3">
      <c r="A262" s="197"/>
      <c r="B262" s="197"/>
      <c r="C262" s="84" t="s">
        <v>302</v>
      </c>
      <c r="D262" s="84"/>
      <c r="E262" s="84"/>
      <c r="F262" s="84"/>
      <c r="G262" s="165">
        <f t="shared" ref="G262:R262" si="458">SUM(G250:G261)</f>
        <v>-19344.551410341217</v>
      </c>
      <c r="H262" s="704">
        <f t="shared" si="458"/>
        <v>-192661.32</v>
      </c>
      <c r="I262" s="652">
        <f t="shared" si="458"/>
        <v>-3663.7478799292562</v>
      </c>
      <c r="J262" s="652">
        <f t="shared" si="458"/>
        <v>-1001292.2060200737</v>
      </c>
      <c r="K262" s="652">
        <f t="shared" si="458"/>
        <v>-24169.173439560931</v>
      </c>
      <c r="L262" s="652">
        <f t="shared" si="458"/>
        <v>-3674.1501632904196</v>
      </c>
      <c r="M262" s="652">
        <f t="shared" si="458"/>
        <v>-1302.6399999999994</v>
      </c>
      <c r="N262" s="652">
        <f t="shared" si="458"/>
        <v>-24327.729999999974</v>
      </c>
      <c r="O262" s="652">
        <f t="shared" si="458"/>
        <v>-1309.636409931609</v>
      </c>
      <c r="P262" s="652">
        <f t="shared" si="458"/>
        <v>-1313.1506009649256</v>
      </c>
      <c r="Q262" s="652">
        <f t="shared" si="458"/>
        <v>-213287.36999999997</v>
      </c>
      <c r="R262" s="652">
        <f t="shared" si="458"/>
        <v>-1320.2099999999991</v>
      </c>
      <c r="S262" s="652">
        <f t="shared" ref="S262:AB262" si="459">SUM(S250:S261)</f>
        <v>32226.250146178987</v>
      </c>
      <c r="T262" s="950">
        <f t="shared" si="459"/>
        <v>-24264.029999999984</v>
      </c>
      <c r="U262" s="950">
        <f t="shared" si="459"/>
        <v>-1330.8600000000006</v>
      </c>
      <c r="V262" s="950">
        <f t="shared" si="459"/>
        <v>-1334.429999999993</v>
      </c>
      <c r="W262" s="950">
        <f>SUM(W250:W261)</f>
        <v>-903512.48</v>
      </c>
      <c r="X262" s="950">
        <f>SUM(X250:X261)</f>
        <v>53781.08</v>
      </c>
      <c r="Y262" s="950">
        <f>SUM(Y250:Y261)</f>
        <v>-30957.280000000024</v>
      </c>
      <c r="Z262" s="1100">
        <f t="shared" si="459"/>
        <v>-5325.030000000007</v>
      </c>
      <c r="AA262" s="1100">
        <f>SUM(AA250:AA261)</f>
        <v>362.07000000000721</v>
      </c>
      <c r="AB262" s="1100">
        <f t="shared" si="459"/>
        <v>-13284.219999999998</v>
      </c>
      <c r="AC262" s="1100">
        <f t="shared" ref="AC262:AI262" si="460">SUM(AC250:AC261)</f>
        <v>-98645.22000000003</v>
      </c>
      <c r="AD262" s="1100">
        <f t="shared" si="460"/>
        <v>29637.959999999995</v>
      </c>
      <c r="AE262" s="1100">
        <f t="shared" ref="AE262:AF262" si="461">SUM(AE250:AE261)</f>
        <v>361768.76000000007</v>
      </c>
      <c r="AF262" s="1100">
        <f t="shared" si="461"/>
        <v>-521692.44</v>
      </c>
      <c r="AG262" s="1100">
        <f t="shared" si="460"/>
        <v>-1852.050000000002</v>
      </c>
      <c r="AH262" s="1100">
        <f t="shared" si="460"/>
        <v>6697.4099999999962</v>
      </c>
      <c r="AI262" s="1100">
        <f t="shared" si="460"/>
        <v>-504013.59</v>
      </c>
      <c r="AJ262" s="1100">
        <f t="shared" ref="AJ262" si="462">SUM(AJ250:AJ261)</f>
        <v>1728.2400000000107</v>
      </c>
      <c r="AK262" s="1100">
        <f t="shared" ref="AK262:AQ262" si="463">SUM(AK250:AK261)</f>
        <v>98992.01999999999</v>
      </c>
      <c r="AL262" s="1100">
        <f t="shared" si="463"/>
        <v>-12511.699999999944</v>
      </c>
      <c r="AM262" s="1100">
        <f t="shared" si="463"/>
        <v>-13048.710000000196</v>
      </c>
      <c r="AN262" s="1100">
        <f t="shared" ref="AN262" si="464">SUM(AN250:AN261)</f>
        <v>-11821.919999999925</v>
      </c>
      <c r="AO262" s="1100">
        <f t="shared" si="463"/>
        <v>54565.290000000037</v>
      </c>
      <c r="AP262" s="652">
        <f t="shared" ca="1" si="463"/>
        <v>-19183.351497179941</v>
      </c>
      <c r="AQ262" s="652">
        <f t="shared" ca="1" si="463"/>
        <v>-448030.38594161026</v>
      </c>
      <c r="AR262" s="1649">
        <f t="shared" ref="AR262:BC262" ca="1" si="465">SUM(AR250:AR261)</f>
        <v>214080.88842306047</v>
      </c>
      <c r="AS262" s="652">
        <f t="shared" ca="1" si="465"/>
        <v>-52090.121576939731</v>
      </c>
      <c r="AT262" s="652">
        <f t="shared" ca="1" si="465"/>
        <v>-362821.79449352727</v>
      </c>
      <c r="AU262" s="652">
        <f t="shared" ca="1" si="465"/>
        <v>-51752.79157693973</v>
      </c>
      <c r="AV262" s="652">
        <f t="shared" ca="1" si="465"/>
        <v>-51969.541576939737</v>
      </c>
      <c r="AW262" s="652">
        <f t="shared" ca="1" si="465"/>
        <v>-397434.14830645599</v>
      </c>
      <c r="AX262" s="652">
        <f t="shared" ca="1" si="465"/>
        <v>-52595.441576939731</v>
      </c>
      <c r="AY262" s="652">
        <f t="shared" ca="1" si="465"/>
        <v>-52533.981576939739</v>
      </c>
      <c r="AZ262" s="652">
        <f t="shared" ca="1" si="465"/>
        <v>-427134.74764686381</v>
      </c>
      <c r="BA262" s="652">
        <f t="shared" ca="1" si="465"/>
        <v>-53527.90157693973</v>
      </c>
      <c r="BB262" s="652">
        <f t="shared" ca="1" si="465"/>
        <v>-53903.90157693973</v>
      </c>
      <c r="BC262" s="652">
        <f t="shared" ca="1" si="465"/>
        <v>-324327.37076051219</v>
      </c>
      <c r="BE262" s="1208">
        <f t="shared" si="446"/>
        <v>-633103.67999999993</v>
      </c>
      <c r="BF262" s="950">
        <f t="shared" ca="1" si="447"/>
        <v>-1370171.1874387902</v>
      </c>
      <c r="BG262" s="1208">
        <f t="shared" si="448"/>
        <v>-1130532.0900000001</v>
      </c>
    </row>
    <row r="263" spans="1:59" ht="15.75" customHeight="1" x14ac:dyDescent="0.3">
      <c r="A263" s="76"/>
      <c r="B263" s="76"/>
      <c r="C263" s="65"/>
      <c r="D263" s="65"/>
      <c r="E263" s="65"/>
      <c r="F263" s="65"/>
      <c r="G263" s="170"/>
      <c r="H263" s="661"/>
      <c r="I263" s="686"/>
      <c r="J263" s="686"/>
      <c r="K263" s="686"/>
      <c r="L263" s="686"/>
      <c r="M263" s="686"/>
      <c r="N263" s="686"/>
      <c r="O263" s="686"/>
      <c r="P263" s="686"/>
      <c r="Q263" s="686"/>
      <c r="R263" s="686"/>
      <c r="S263" s="686"/>
      <c r="T263" s="951"/>
      <c r="U263" s="951"/>
      <c r="V263" s="951"/>
      <c r="W263" s="951"/>
      <c r="X263" s="951"/>
      <c r="Y263" s="951"/>
      <c r="Z263" s="1101"/>
      <c r="AA263" s="1101"/>
      <c r="AB263" s="1101"/>
      <c r="AC263" s="1101"/>
      <c r="AD263" s="1101"/>
      <c r="AE263" s="1101"/>
      <c r="AF263" s="1101"/>
      <c r="AG263" s="1151"/>
      <c r="AH263" s="1151"/>
      <c r="AI263" s="1151"/>
      <c r="AJ263" s="1151"/>
      <c r="AK263" s="1151"/>
      <c r="AL263" s="1151"/>
      <c r="AM263" s="1151"/>
      <c r="AN263" s="1151"/>
      <c r="AO263" s="1151"/>
      <c r="AP263" s="686"/>
      <c r="AQ263" s="686"/>
      <c r="AR263" s="1650"/>
      <c r="AS263" s="686"/>
      <c r="AT263" s="686"/>
      <c r="AU263" s="686"/>
      <c r="AV263" s="686"/>
      <c r="AW263" s="686"/>
      <c r="AX263" s="686"/>
      <c r="AY263" s="686"/>
      <c r="AZ263" s="686"/>
      <c r="BA263" s="686"/>
      <c r="BB263" s="686"/>
      <c r="BC263" s="686"/>
      <c r="BE263" s="1197"/>
      <c r="BF263" s="1151">
        <f t="shared" si="447"/>
        <v>0</v>
      </c>
      <c r="BG263" s="1197"/>
    </row>
    <row r="264" spans="1:59" ht="15.75" customHeight="1" x14ac:dyDescent="0.3">
      <c r="A264" s="76"/>
      <c r="B264" s="76"/>
      <c r="C264" s="57" t="s">
        <v>303</v>
      </c>
      <c r="D264" s="63"/>
      <c r="E264" s="63"/>
      <c r="F264" s="184"/>
      <c r="G264" s="62">
        <f>G265-(G262+G247+G242)</f>
        <v>2070994.4083006401</v>
      </c>
      <c r="H264" s="622">
        <f t="shared" ref="H264:T264" si="466">G265</f>
        <v>2191824.7200000002</v>
      </c>
      <c r="I264" s="629">
        <f t="shared" si="466"/>
        <v>2320196.977448001</v>
      </c>
      <c r="J264" s="629">
        <f t="shared" si="466"/>
        <v>2269765.4356890721</v>
      </c>
      <c r="K264" s="629">
        <f t="shared" si="466"/>
        <v>1305226.9296689981</v>
      </c>
      <c r="L264" s="629">
        <f t="shared" si="466"/>
        <v>1093440.0062294393</v>
      </c>
      <c r="M264" s="629">
        <f t="shared" si="466"/>
        <v>996950.81606614334</v>
      </c>
      <c r="N264" s="629">
        <f t="shared" si="466"/>
        <v>1660417.0460661496</v>
      </c>
      <c r="O264" s="629">
        <f t="shared" si="466"/>
        <v>1515243.386066145</v>
      </c>
      <c r="P264" s="629">
        <f t="shared" si="466"/>
        <v>1739086.5996562152</v>
      </c>
      <c r="Q264" s="629">
        <f t="shared" si="466"/>
        <v>1914445.4290552479</v>
      </c>
      <c r="R264" s="629">
        <f t="shared" si="466"/>
        <v>2148172.9190552477</v>
      </c>
      <c r="S264" s="629">
        <f t="shared" si="466"/>
        <v>2165836.2090552538</v>
      </c>
      <c r="T264" s="924">
        <f t="shared" si="466"/>
        <v>3792926.9</v>
      </c>
      <c r="U264" s="924">
        <f t="shared" ref="U264:AJ264" si="467">T265</f>
        <v>3186303.88</v>
      </c>
      <c r="V264" s="924">
        <f t="shared" si="467"/>
        <v>2631522.2699999991</v>
      </c>
      <c r="W264" s="924">
        <f t="shared" si="467"/>
        <v>2095716.6699999997</v>
      </c>
      <c r="X264" s="924">
        <f t="shared" si="467"/>
        <v>1808365.9699999983</v>
      </c>
      <c r="Y264" s="924">
        <f t="shared" si="467"/>
        <v>1854687.8199999994</v>
      </c>
      <c r="Z264" s="1076">
        <f t="shared" si="467"/>
        <v>1175740.2099999988</v>
      </c>
      <c r="AA264" s="1076">
        <f t="shared" si="467"/>
        <v>1208759.6899999995</v>
      </c>
      <c r="AB264" s="1076">
        <f t="shared" si="467"/>
        <v>1531736.3199999994</v>
      </c>
      <c r="AC264" s="1076">
        <f t="shared" si="467"/>
        <v>1478221.6899999978</v>
      </c>
      <c r="AD264" s="1076">
        <f t="shared" si="467"/>
        <v>1604005.94</v>
      </c>
      <c r="AE264" s="1076">
        <f t="shared" si="467"/>
        <v>1717237.5</v>
      </c>
      <c r="AF264" s="1076">
        <f t="shared" si="467"/>
        <v>1822042.61</v>
      </c>
      <c r="AG264" s="1076">
        <f t="shared" si="467"/>
        <v>1237982.5300000007</v>
      </c>
      <c r="AH264" s="1076">
        <f t="shared" si="467"/>
        <v>1596875.5199999986</v>
      </c>
      <c r="AI264" s="1076">
        <f t="shared" si="467"/>
        <v>1952995.0899999999</v>
      </c>
      <c r="AJ264" s="1076">
        <f t="shared" si="467"/>
        <v>1425299.5</v>
      </c>
      <c r="AK264" s="1076">
        <f t="shared" ref="AK264:BC264" si="468">AJ265</f>
        <v>1657597.2599999981</v>
      </c>
      <c r="AL264" s="1076">
        <f t="shared" si="468"/>
        <v>888939.84000000102</v>
      </c>
      <c r="AM264" s="1076">
        <f t="shared" si="468"/>
        <v>1341962.4599999986</v>
      </c>
      <c r="AN264" s="1076">
        <f t="shared" si="468"/>
        <v>945165.4500000003</v>
      </c>
      <c r="AO264" s="1076">
        <f t="shared" si="468"/>
        <v>592358.15000000061</v>
      </c>
      <c r="AP264" s="629">
        <f t="shared" si="468"/>
        <v>1026080.8199999991</v>
      </c>
      <c r="AQ264" s="629">
        <f t="shared" ca="1" si="468"/>
        <v>1669010.5274918932</v>
      </c>
      <c r="AR264" s="618">
        <f t="shared" ca="1" si="468"/>
        <v>2104956.1374713928</v>
      </c>
      <c r="AS264" s="629">
        <f t="shared" ca="1" si="468"/>
        <v>3028676.9151837728</v>
      </c>
      <c r="AT264" s="629">
        <f t="shared" ca="1" si="468"/>
        <v>3085889.0919402805</v>
      </c>
      <c r="AU264" s="629">
        <f t="shared" ca="1" si="468"/>
        <v>3190991.3659938914</v>
      </c>
      <c r="AV264" s="629">
        <f t="shared" ca="1" si="468"/>
        <v>3623308.9548610453</v>
      </c>
      <c r="AW264" s="629">
        <f t="shared" ca="1" si="468"/>
        <v>3799383.526587056</v>
      </c>
      <c r="AX264" s="629">
        <f t="shared" ca="1" si="468"/>
        <v>3742921.8223061091</v>
      </c>
      <c r="AY264" s="629">
        <f t="shared" ca="1" si="468"/>
        <v>3990757.9251688514</v>
      </c>
      <c r="AZ264" s="629">
        <f t="shared" ca="1" si="468"/>
        <v>4468900.2065460896</v>
      </c>
      <c r="BA264" s="629">
        <f t="shared" ca="1" si="468"/>
        <v>4381670.9014510447</v>
      </c>
      <c r="BB264" s="629">
        <f t="shared" ca="1" si="468"/>
        <v>4609843.9595783474</v>
      </c>
      <c r="BC264" s="629">
        <f t="shared" ca="1" si="468"/>
        <v>4839166.8460860495</v>
      </c>
      <c r="BE264" s="1195">
        <f>T264</f>
        <v>3792926.9</v>
      </c>
      <c r="BF264" s="924">
        <f>AE265</f>
        <v>1822042.61</v>
      </c>
      <c r="BG264" s="1195">
        <f>U264</f>
        <v>3186303.88</v>
      </c>
    </row>
    <row r="265" spans="1:59" ht="15.75" customHeight="1" x14ac:dyDescent="0.3">
      <c r="A265" s="76"/>
      <c r="B265" s="76"/>
      <c r="C265" s="64" t="s">
        <v>304</v>
      </c>
      <c r="D265" s="65"/>
      <c r="E265" s="65"/>
      <c r="F265" s="65"/>
      <c r="G265" s="66">
        <f>G158</f>
        <v>2191824.7200000002</v>
      </c>
      <c r="H265" s="662">
        <f t="shared" ref="H265:R265" si="469">H264+H242+H247+H262</f>
        <v>2320196.977448001</v>
      </c>
      <c r="I265" s="648">
        <f t="shared" si="469"/>
        <v>2269765.4356890721</v>
      </c>
      <c r="J265" s="648">
        <f t="shared" si="469"/>
        <v>1305226.9296689981</v>
      </c>
      <c r="K265" s="648">
        <f t="shared" si="469"/>
        <v>1093440.0062294393</v>
      </c>
      <c r="L265" s="648">
        <f t="shared" si="469"/>
        <v>996950.81606614334</v>
      </c>
      <c r="M265" s="648">
        <f t="shared" si="469"/>
        <v>1660417.0460661496</v>
      </c>
      <c r="N265" s="648">
        <f t="shared" si="469"/>
        <v>1515243.386066145</v>
      </c>
      <c r="O265" s="648">
        <f t="shared" si="469"/>
        <v>1739086.5996562152</v>
      </c>
      <c r="P265" s="648">
        <f t="shared" si="469"/>
        <v>1914445.4290552479</v>
      </c>
      <c r="Q265" s="648">
        <f t="shared" si="469"/>
        <v>2148172.9190552477</v>
      </c>
      <c r="R265" s="648">
        <f t="shared" si="469"/>
        <v>2165836.2090552538</v>
      </c>
      <c r="S265" s="648">
        <f>S158</f>
        <v>3792926.9</v>
      </c>
      <c r="T265" s="925">
        <f t="shared" ref="T265:Y265" si="470">T264+T242+T247+T262</f>
        <v>3186303.88</v>
      </c>
      <c r="U265" s="925">
        <f t="shared" si="470"/>
        <v>2631522.2699999991</v>
      </c>
      <c r="V265" s="925">
        <f t="shared" si="470"/>
        <v>2095716.6699999997</v>
      </c>
      <c r="W265" s="925">
        <f t="shared" si="470"/>
        <v>1808365.9699999983</v>
      </c>
      <c r="X265" s="925">
        <f t="shared" si="470"/>
        <v>1854687.8199999994</v>
      </c>
      <c r="Y265" s="925">
        <f t="shared" si="470"/>
        <v>1175740.2099999988</v>
      </c>
      <c r="Z265" s="1078">
        <f t="shared" ref="Z265:AI265" si="471">Z264+Z242+Z247+Z262</f>
        <v>1208759.6899999995</v>
      </c>
      <c r="AA265" s="1078">
        <f t="shared" si="471"/>
        <v>1531736.3199999994</v>
      </c>
      <c r="AB265" s="1078">
        <f t="shared" si="471"/>
        <v>1478221.6899999978</v>
      </c>
      <c r="AC265" s="1078">
        <f t="shared" si="471"/>
        <v>1604005.94</v>
      </c>
      <c r="AD265" s="1078">
        <f t="shared" si="471"/>
        <v>1717237.5</v>
      </c>
      <c r="AE265" s="1078">
        <f t="shared" ref="AE265:AF265" si="472">AE264+AE242+AE247+AE262</f>
        <v>1822042.61</v>
      </c>
      <c r="AF265" s="1078">
        <f t="shared" si="472"/>
        <v>1237982.5300000007</v>
      </c>
      <c r="AG265" s="1134">
        <f t="shared" si="471"/>
        <v>1596875.5199999986</v>
      </c>
      <c r="AH265" s="1134">
        <f t="shared" si="471"/>
        <v>1952995.0899999999</v>
      </c>
      <c r="AI265" s="1134">
        <f t="shared" si="471"/>
        <v>1425299.5</v>
      </c>
      <c r="AJ265" s="1134">
        <f t="shared" ref="AJ265" si="473">AJ264+AJ242+AJ247+AJ262</f>
        <v>1657597.2599999981</v>
      </c>
      <c r="AK265" s="1134">
        <f t="shared" ref="AK265:AQ265" si="474">AK264+AK242+AK247+AK262</f>
        <v>888939.84000000102</v>
      </c>
      <c r="AL265" s="1134">
        <f t="shared" si="474"/>
        <v>1341962.4599999986</v>
      </c>
      <c r="AM265" s="1134">
        <f>AM264+AM242+AM247+AM262</f>
        <v>945165.4500000003</v>
      </c>
      <c r="AN265" s="1134">
        <f>AN264+AN242+AN247+AN262</f>
        <v>592358.15000000061</v>
      </c>
      <c r="AO265" s="1134">
        <f t="shared" si="474"/>
        <v>1026080.8199999991</v>
      </c>
      <c r="AP265" s="648">
        <f t="shared" ca="1" si="474"/>
        <v>1669010.5274918932</v>
      </c>
      <c r="AQ265" s="648">
        <f t="shared" ca="1" si="474"/>
        <v>2104956.1374713928</v>
      </c>
      <c r="AR265" s="1416">
        <f t="shared" ref="AR265:BC265" ca="1" si="475">AR264+AR242+AR247+AR262</f>
        <v>3028676.9151837728</v>
      </c>
      <c r="AS265" s="648">
        <f t="shared" ca="1" si="475"/>
        <v>3085889.0919402805</v>
      </c>
      <c r="AT265" s="648">
        <f t="shared" ca="1" si="475"/>
        <v>3190991.3659938914</v>
      </c>
      <c r="AU265" s="648">
        <f t="shared" ca="1" si="475"/>
        <v>3623308.9548610453</v>
      </c>
      <c r="AV265" s="648">
        <f t="shared" ca="1" si="475"/>
        <v>3799383.526587056</v>
      </c>
      <c r="AW265" s="648">
        <f t="shared" ca="1" si="475"/>
        <v>3742921.8223061091</v>
      </c>
      <c r="AX265" s="648">
        <f t="shared" ca="1" si="475"/>
        <v>3990757.9251688514</v>
      </c>
      <c r="AY265" s="648">
        <f t="shared" ca="1" si="475"/>
        <v>4468900.2065460896</v>
      </c>
      <c r="AZ265" s="648">
        <f t="shared" ca="1" si="475"/>
        <v>4381670.9014510447</v>
      </c>
      <c r="BA265" s="648">
        <f t="shared" ca="1" si="475"/>
        <v>4609843.9595783474</v>
      </c>
      <c r="BB265" s="648">
        <f t="shared" ca="1" si="475"/>
        <v>4839166.8460860495</v>
      </c>
      <c r="BC265" s="648">
        <f t="shared" ca="1" si="475"/>
        <v>4798076.6285342593</v>
      </c>
      <c r="BE265" s="1207">
        <f>BE264+BE242+BE247+BE262</f>
        <v>1822042.6099999996</v>
      </c>
      <c r="BF265" s="1134">
        <f ca="1">AQ265</f>
        <v>2104956.1374713928</v>
      </c>
      <c r="BG265" s="1207">
        <f>BG264+BG242+BG247+BG262</f>
        <v>1237982.53</v>
      </c>
    </row>
    <row r="266" spans="1:59" ht="15.75" customHeight="1" x14ac:dyDescent="0.3">
      <c r="A266" s="76"/>
      <c r="B266" s="76"/>
      <c r="C266" s="57" t="s">
        <v>305</v>
      </c>
      <c r="D266" s="63"/>
      <c r="E266" s="63"/>
      <c r="F266" s="63"/>
      <c r="G266" s="61">
        <f t="shared" ref="G266:R266" si="476">G265-G264</f>
        <v>120830.31169936014</v>
      </c>
      <c r="H266" s="622">
        <f t="shared" si="476"/>
        <v>128372.25744800083</v>
      </c>
      <c r="I266" s="649">
        <f t="shared" si="476"/>
        <v>-50431.541758928914</v>
      </c>
      <c r="J266" s="649">
        <f t="shared" si="476"/>
        <v>-964538.50602007401</v>
      </c>
      <c r="K266" s="649">
        <f t="shared" si="476"/>
        <v>-211786.92343955883</v>
      </c>
      <c r="L266" s="649">
        <f t="shared" si="476"/>
        <v>-96489.190163295949</v>
      </c>
      <c r="M266" s="649">
        <f t="shared" si="476"/>
        <v>663466.23000000627</v>
      </c>
      <c r="N266" s="649">
        <f t="shared" si="476"/>
        <v>-145173.66000000457</v>
      </c>
      <c r="O266" s="649">
        <f t="shared" si="476"/>
        <v>223843.21359007014</v>
      </c>
      <c r="P266" s="649">
        <f t="shared" si="476"/>
        <v>175358.82939903275</v>
      </c>
      <c r="Q266" s="649">
        <f t="shared" si="476"/>
        <v>233727.48999999976</v>
      </c>
      <c r="R266" s="649">
        <f t="shared" si="476"/>
        <v>17663.290000006091</v>
      </c>
      <c r="S266" s="649">
        <f t="shared" ref="S266:AB266" si="477">S265-S264</f>
        <v>1627090.6909447461</v>
      </c>
      <c r="T266" s="924">
        <f>T265-T264</f>
        <v>-606623.02</v>
      </c>
      <c r="U266" s="924">
        <f t="shared" si="477"/>
        <v>-554781.6100000008</v>
      </c>
      <c r="V266" s="924">
        <f t="shared" si="477"/>
        <v>-535805.59999999939</v>
      </c>
      <c r="W266" s="924">
        <f>W265-W264</f>
        <v>-287350.70000000135</v>
      </c>
      <c r="X266" s="924">
        <f>X265-X264</f>
        <v>46321.850000001024</v>
      </c>
      <c r="Y266" s="924">
        <f>Y265-Y264</f>
        <v>-678947.61000000057</v>
      </c>
      <c r="Z266" s="1076">
        <f t="shared" si="477"/>
        <v>33019.48000000068</v>
      </c>
      <c r="AA266" s="1076">
        <f>AA265-AA264</f>
        <v>322976.62999999989</v>
      </c>
      <c r="AB266" s="1076">
        <f t="shared" si="477"/>
        <v>-53514.630000001518</v>
      </c>
      <c r="AC266" s="1076">
        <f t="shared" ref="AC266:AI266" si="478">AC265-AC264</f>
        <v>125784.2500000021</v>
      </c>
      <c r="AD266" s="1076">
        <f t="shared" si="478"/>
        <v>113231.56000000006</v>
      </c>
      <c r="AE266" s="1076">
        <f t="shared" ref="AE266:AF266" si="479">AE265-AE264</f>
        <v>104805.1100000001</v>
      </c>
      <c r="AF266" s="1076">
        <f t="shared" si="479"/>
        <v>-584060.07999999938</v>
      </c>
      <c r="AG266" s="1076">
        <f t="shared" si="478"/>
        <v>358892.9899999979</v>
      </c>
      <c r="AH266" s="1076">
        <f t="shared" si="478"/>
        <v>356119.57000000123</v>
      </c>
      <c r="AI266" s="1076">
        <f t="shared" si="478"/>
        <v>-527695.58999999985</v>
      </c>
      <c r="AJ266" s="1076">
        <f t="shared" ref="AJ266" si="480">AJ265-AJ264</f>
        <v>232297.75999999815</v>
      </c>
      <c r="AK266" s="1076">
        <f t="shared" ref="AK266:AQ266" si="481">AK265-AK264</f>
        <v>-768657.41999999713</v>
      </c>
      <c r="AL266" s="1076">
        <f t="shared" si="481"/>
        <v>453022.61999999755</v>
      </c>
      <c r="AM266" s="1076">
        <f t="shared" si="481"/>
        <v>-396797.00999999826</v>
      </c>
      <c r="AN266" s="1076">
        <f t="shared" ref="AN266" si="482">AN265-AN264</f>
        <v>-352807.2999999997</v>
      </c>
      <c r="AO266" s="1076">
        <f t="shared" si="481"/>
        <v>433722.66999999853</v>
      </c>
      <c r="AP266" s="649">
        <f t="shared" ca="1" si="481"/>
        <v>642929.70749189402</v>
      </c>
      <c r="AQ266" s="649">
        <f t="shared" ca="1" si="481"/>
        <v>435945.6099794996</v>
      </c>
      <c r="AR266" s="618">
        <f t="shared" ref="AR266:BC266" ca="1" si="483">AR265-AR264</f>
        <v>923720.77771238005</v>
      </c>
      <c r="AS266" s="649">
        <f t="shared" ca="1" si="483"/>
        <v>57212.176756507717</v>
      </c>
      <c r="AT266" s="649">
        <f t="shared" ca="1" si="483"/>
        <v>105102.27405361086</v>
      </c>
      <c r="AU266" s="649">
        <f t="shared" ca="1" si="483"/>
        <v>432317.58886715397</v>
      </c>
      <c r="AV266" s="649">
        <f t="shared" ca="1" si="483"/>
        <v>176074.57172601065</v>
      </c>
      <c r="AW266" s="649">
        <f t="shared" ca="1" si="483"/>
        <v>-56461.704280946869</v>
      </c>
      <c r="AX266" s="649">
        <f t="shared" ca="1" si="483"/>
        <v>247836.10286274226</v>
      </c>
      <c r="AY266" s="649">
        <f t="shared" ca="1" si="483"/>
        <v>478142.28137723822</v>
      </c>
      <c r="AZ266" s="649">
        <f t="shared" ca="1" si="483"/>
        <v>-87229.305095044896</v>
      </c>
      <c r="BA266" s="649">
        <f t="shared" ca="1" si="483"/>
        <v>228173.05812730268</v>
      </c>
      <c r="BB266" s="649">
        <f t="shared" ca="1" si="483"/>
        <v>229322.88650770206</v>
      </c>
      <c r="BC266" s="649">
        <f t="shared" ca="1" si="483"/>
        <v>-41090.217551790178</v>
      </c>
      <c r="BE266" s="1212">
        <f>BE265-BE264</f>
        <v>-1970884.2900000003</v>
      </c>
      <c r="BF266" s="924">
        <f ca="1">SUM(AF266:AQ266)</f>
        <v>282913.52747139265</v>
      </c>
      <c r="BG266" s="1212">
        <f>BG265-BG264</f>
        <v>-1948321.3499999999</v>
      </c>
    </row>
    <row r="267" spans="1:59" ht="15.75" customHeight="1" x14ac:dyDescent="0.3">
      <c r="A267" s="197"/>
      <c r="B267" s="197"/>
      <c r="C267" s="197" t="s">
        <v>865</v>
      </c>
      <c r="D267" s="197"/>
      <c r="E267" s="197"/>
      <c r="F267" s="705" t="s">
        <v>306</v>
      </c>
      <c r="G267" s="706">
        <f>G265-G158</f>
        <v>0</v>
      </c>
      <c r="H267" s="707">
        <f>H265-H158</f>
        <v>8.7448000907897949E-2</v>
      </c>
      <c r="I267" s="708">
        <f>I265-I158</f>
        <v>-3.4310928080230951E-2</v>
      </c>
      <c r="J267" s="708">
        <f t="shared" ref="J267:BE267" si="484">J158-J265</f>
        <v>8.033100189641118E-2</v>
      </c>
      <c r="K267" s="708">
        <f t="shared" si="484"/>
        <v>0.13377056131139398</v>
      </c>
      <c r="L267" s="708">
        <f t="shared" si="484"/>
        <v>0.13393385568633676</v>
      </c>
      <c r="M267" s="708">
        <f t="shared" si="484"/>
        <v>0.13393385172821581</v>
      </c>
      <c r="N267" s="708">
        <f t="shared" si="484"/>
        <v>0.13393385452218354</v>
      </c>
      <c r="O267" s="708">
        <f t="shared" si="484"/>
        <v>0.13034378341399133</v>
      </c>
      <c r="P267" s="708">
        <f t="shared" si="484"/>
        <v>-0.23905524518340826</v>
      </c>
      <c r="Q267" s="708">
        <f t="shared" si="484"/>
        <v>-228454.55905524828</v>
      </c>
      <c r="R267" s="708">
        <f t="shared" si="484"/>
        <v>-368756.08905525529</v>
      </c>
      <c r="S267" s="708">
        <f t="shared" si="484"/>
        <v>0</v>
      </c>
      <c r="T267" s="995">
        <f>ROUND(T158-T265,0)</f>
        <v>0</v>
      </c>
      <c r="U267" s="920">
        <f t="shared" ref="U267:AE267" si="485">ROUND(U158-U265,0)</f>
        <v>0</v>
      </c>
      <c r="V267" s="920">
        <f t="shared" si="485"/>
        <v>0</v>
      </c>
      <c r="W267" s="920">
        <f t="shared" si="485"/>
        <v>0</v>
      </c>
      <c r="X267" s="920">
        <f t="shared" si="485"/>
        <v>0</v>
      </c>
      <c r="Y267" s="920">
        <f t="shared" si="485"/>
        <v>0</v>
      </c>
      <c r="Z267" s="1072">
        <f t="shared" si="485"/>
        <v>0</v>
      </c>
      <c r="AA267" s="1072">
        <f t="shared" si="485"/>
        <v>0</v>
      </c>
      <c r="AB267" s="1071">
        <f t="shared" si="485"/>
        <v>0</v>
      </c>
      <c r="AC267" s="1072">
        <f t="shared" si="485"/>
        <v>0</v>
      </c>
      <c r="AD267" s="1072">
        <f t="shared" si="485"/>
        <v>0</v>
      </c>
      <c r="AE267" s="1149">
        <f t="shared" si="485"/>
        <v>0</v>
      </c>
      <c r="AF267" s="1072">
        <f>ROUND(AF158-AF265,0)</f>
        <v>0</v>
      </c>
      <c r="AG267" s="1072">
        <f t="shared" ref="AG267:AK267" si="486">ROUND(AG158-AG265,0)</f>
        <v>0</v>
      </c>
      <c r="AH267" s="1072">
        <f t="shared" si="486"/>
        <v>0</v>
      </c>
      <c r="AI267" s="1072">
        <f t="shared" si="486"/>
        <v>0</v>
      </c>
      <c r="AJ267" s="1072">
        <f t="shared" ref="AJ267" si="487">ROUND(AJ158-AJ265,0)</f>
        <v>0</v>
      </c>
      <c r="AK267" s="1072">
        <f t="shared" si="486"/>
        <v>0</v>
      </c>
      <c r="AL267" s="1072">
        <f t="shared" ref="AL267:AQ267" si="488">ROUND(AL158+AL159-AL265,0)</f>
        <v>0</v>
      </c>
      <c r="AM267" s="1072">
        <f t="shared" si="488"/>
        <v>0</v>
      </c>
      <c r="AN267" s="1072">
        <f t="shared" si="488"/>
        <v>0</v>
      </c>
      <c r="AO267" s="1584">
        <f t="shared" si="488"/>
        <v>0</v>
      </c>
      <c r="AP267" s="708">
        <f t="shared" ca="1" si="488"/>
        <v>0</v>
      </c>
      <c r="AQ267" s="708">
        <f t="shared" ca="1" si="488"/>
        <v>0</v>
      </c>
      <c r="AR267" s="1651">
        <f t="shared" ref="AR267:BC267" ca="1" si="489">ROUND(AR158+AR159-AR265,0)</f>
        <v>0</v>
      </c>
      <c r="AS267" s="708">
        <f t="shared" ca="1" si="489"/>
        <v>0</v>
      </c>
      <c r="AT267" s="708">
        <f t="shared" ca="1" si="489"/>
        <v>0</v>
      </c>
      <c r="AU267" s="708">
        <f t="shared" ca="1" si="489"/>
        <v>0</v>
      </c>
      <c r="AV267" s="708">
        <f t="shared" ca="1" si="489"/>
        <v>0</v>
      </c>
      <c r="AW267" s="708">
        <f t="shared" ca="1" si="489"/>
        <v>0</v>
      </c>
      <c r="AX267" s="708">
        <f t="shared" ca="1" si="489"/>
        <v>0</v>
      </c>
      <c r="AY267" s="708">
        <f t="shared" ca="1" si="489"/>
        <v>0</v>
      </c>
      <c r="AZ267" s="708">
        <f t="shared" ca="1" si="489"/>
        <v>0</v>
      </c>
      <c r="BA267" s="708">
        <f t="shared" ca="1" si="489"/>
        <v>0</v>
      </c>
      <c r="BB267" s="708">
        <f t="shared" ca="1" si="489"/>
        <v>0</v>
      </c>
      <c r="BC267" s="708">
        <f t="shared" ca="1" si="489"/>
        <v>0</v>
      </c>
      <c r="BE267" s="920">
        <f t="shared" si="484"/>
        <v>0.37000000034458935</v>
      </c>
      <c r="BF267" s="1072">
        <f ca="1">ROUND(BF158+BF159-BF265,0)</f>
        <v>0</v>
      </c>
      <c r="BG267" s="920">
        <f t="shared" ref="BG267" ca="1" si="490">BG158-BG265</f>
        <v>3127364.6685342593</v>
      </c>
    </row>
    <row r="268" spans="1:59" ht="15.75" customHeight="1" x14ac:dyDescent="0.3">
      <c r="A268" s="76"/>
      <c r="B268" s="76"/>
      <c r="C268" s="76"/>
      <c r="D268" s="197"/>
      <c r="E268" s="76"/>
      <c r="F268" s="198"/>
      <c r="G268" s="198"/>
      <c r="H268" s="214"/>
      <c r="I268" s="198"/>
      <c r="J268" s="198"/>
      <c r="K268" s="198"/>
      <c r="L268" s="198"/>
      <c r="M268" s="198"/>
      <c r="N268" s="198"/>
      <c r="O268" s="198"/>
      <c r="P268" s="198"/>
      <c r="Q268" s="198"/>
      <c r="R268" s="198"/>
      <c r="S268" s="198"/>
      <c r="U268" s="994"/>
      <c r="V268" s="953"/>
      <c r="W268" s="953"/>
      <c r="X268" s="953"/>
      <c r="Y268" s="953"/>
      <c r="Z268" s="953"/>
      <c r="AE268" s="69"/>
      <c r="AO268" s="198"/>
      <c r="AP268" s="198"/>
      <c r="AQ268" s="198"/>
      <c r="AS268" s="34"/>
    </row>
    <row r="269" spans="1:59" ht="15.75" customHeight="1" x14ac:dyDescent="0.3">
      <c r="A269" s="76"/>
      <c r="B269" s="76"/>
      <c r="C269" s="76"/>
      <c r="D269" s="197"/>
      <c r="E269" s="76"/>
      <c r="F269" s="198"/>
      <c r="G269" s="198"/>
      <c r="H269" s="214"/>
      <c r="I269" s="198"/>
      <c r="J269" s="198"/>
      <c r="K269" s="198"/>
      <c r="L269" s="198"/>
      <c r="M269" s="198"/>
      <c r="N269" s="198"/>
      <c r="O269" s="198"/>
      <c r="P269" s="198"/>
      <c r="Q269" s="198"/>
      <c r="R269" s="198"/>
      <c r="S269" s="198"/>
      <c r="T269" s="983"/>
      <c r="U269" s="994"/>
      <c r="V269" s="994"/>
      <c r="W269" s="994"/>
      <c r="AJ269" s="31" t="s">
        <v>1227</v>
      </c>
      <c r="AK269" s="31">
        <v>0.05</v>
      </c>
      <c r="AO269" s="198"/>
      <c r="AP269" s="198"/>
      <c r="AQ269" s="198"/>
      <c r="AS269" s="34"/>
    </row>
    <row r="270" spans="1:59" ht="15.75" customHeight="1" x14ac:dyDescent="0.3">
      <c r="T270" s="983"/>
      <c r="AJ270" s="31" t="s">
        <v>1228</v>
      </c>
      <c r="AK270" s="31">
        <v>0.1</v>
      </c>
      <c r="AS270" s="34"/>
    </row>
    <row r="271" spans="1:59" ht="18" x14ac:dyDescent="0.35">
      <c r="C271" s="1394" t="s">
        <v>1229</v>
      </c>
      <c r="D271" s="1395"/>
      <c r="E271" s="1395"/>
      <c r="F271" s="1395"/>
      <c r="G271" s="1395"/>
      <c r="H271" s="1396"/>
      <c r="I271" s="1395"/>
      <c r="J271" s="1395"/>
      <c r="K271" s="1395"/>
      <c r="L271" s="1395"/>
      <c r="M271" s="1395"/>
      <c r="N271" s="1395"/>
      <c r="O271" s="1395"/>
      <c r="P271" s="1395"/>
      <c r="Q271" s="1395"/>
      <c r="R271" s="1395"/>
      <c r="S271" s="1395"/>
      <c r="T271" s="1397"/>
      <c r="U271" s="1395"/>
      <c r="V271" s="1395"/>
      <c r="W271" s="1395"/>
      <c r="X271" s="1395"/>
      <c r="Y271" s="1395"/>
      <c r="Z271" s="1395"/>
      <c r="AA271" s="1395"/>
      <c r="AB271" s="1395"/>
      <c r="AC271" s="1395"/>
      <c r="AD271" s="1395"/>
      <c r="AE271" s="1395"/>
      <c r="AF271" s="1395"/>
      <c r="AG271" s="1395"/>
      <c r="AH271" s="1395"/>
      <c r="AI271" s="1395"/>
      <c r="AJ271" s="1395"/>
      <c r="AK271" s="1395"/>
      <c r="AL271" s="1395"/>
      <c r="AM271" s="1395"/>
      <c r="AN271" s="1395"/>
      <c r="AO271" s="1395"/>
      <c r="AP271" s="1395"/>
      <c r="AQ271" s="1538"/>
      <c r="AR271" s="1573"/>
      <c r="AU271" s="1772"/>
      <c r="AY271" s="1777"/>
      <c r="AZ271" s="1777"/>
    </row>
    <row r="272" spans="1:59" ht="15.75" customHeight="1" x14ac:dyDescent="0.3">
      <c r="C272" s="31" t="s">
        <v>220</v>
      </c>
      <c r="T272" s="983"/>
      <c r="AF272" s="41">
        <f t="shared" ref="AF272:AJ272" si="491">AF134</f>
        <v>-244135.47000000006</v>
      </c>
      <c r="AG272" s="41">
        <f t="shared" si="491"/>
        <v>100443.73000000004</v>
      </c>
      <c r="AH272" s="41">
        <f t="shared" si="491"/>
        <v>377738.49</v>
      </c>
      <c r="AI272" s="41">
        <f t="shared" si="491"/>
        <v>258580.80999999997</v>
      </c>
      <c r="AJ272" s="41">
        <f t="shared" si="491"/>
        <v>461895.02</v>
      </c>
      <c r="AK272" s="41">
        <f>AK134</f>
        <v>-120280.97000000004</v>
      </c>
      <c r="AL272" s="41">
        <f t="shared" ref="AL272:AQ272" si="492">AL134</f>
        <v>158335.81000000008</v>
      </c>
      <c r="AM272" s="41">
        <f t="shared" si="492"/>
        <v>257360.04000000007</v>
      </c>
      <c r="AN272" s="41">
        <f t="shared" ref="AN272:AO272" si="493">AN134</f>
        <v>283959.75999999983</v>
      </c>
      <c r="AO272" s="41">
        <f t="shared" si="493"/>
        <v>313999.60000000038</v>
      </c>
      <c r="AP272" s="41">
        <f t="shared" ca="1" si="492"/>
        <v>408023.34218431608</v>
      </c>
      <c r="AQ272" s="41">
        <f t="shared" ca="1" si="492"/>
        <v>494132.31392675941</v>
      </c>
      <c r="AR272" s="41">
        <f ca="1">AR136</f>
        <v>328508.80178088718</v>
      </c>
      <c r="AS272" s="41">
        <f t="shared" ref="AS272:BC272" ca="1" si="494">AS136</f>
        <v>559351.25562233862</v>
      </c>
      <c r="AT272" s="41">
        <f t="shared" ca="1" si="494"/>
        <v>339537.69171111024</v>
      </c>
      <c r="AU272" s="41">
        <f t="shared" ca="1" si="494"/>
        <v>517057.72560114489</v>
      </c>
      <c r="AV272" s="41">
        <f t="shared" ca="1" si="494"/>
        <v>335115.35693574935</v>
      </c>
      <c r="AW272" s="41">
        <f t="shared" ca="1" si="494"/>
        <v>330471.24099284399</v>
      </c>
      <c r="AX272" s="41">
        <f t="shared" ca="1" si="494"/>
        <v>326962.98456443188</v>
      </c>
      <c r="AY272" s="41">
        <f t="shared" ca="1" si="494"/>
        <v>577237.59856573399</v>
      </c>
      <c r="AZ272" s="41">
        <f t="shared" ca="1" si="494"/>
        <v>367417.394588347</v>
      </c>
      <c r="BA272" s="41">
        <f t="shared" ca="1" si="494"/>
        <v>318470.3340670953</v>
      </c>
      <c r="BB272" s="41">
        <f t="shared" ca="1" si="494"/>
        <v>315683.71056087548</v>
      </c>
      <c r="BC272" s="41">
        <f t="shared" ca="1" si="494"/>
        <v>312131.25532069325</v>
      </c>
    </row>
    <row r="273" spans="3:55" ht="15.75" customHeight="1" x14ac:dyDescent="0.3">
      <c r="C273" s="1384" t="s">
        <v>1215</v>
      </c>
      <c r="D273" s="1384"/>
      <c r="E273" s="1384"/>
      <c r="F273" s="1384"/>
      <c r="G273" s="1384"/>
      <c r="H273" s="1385"/>
      <c r="I273" s="1386"/>
      <c r="J273" s="1386"/>
      <c r="K273" s="1386"/>
      <c r="L273" s="1386"/>
      <c r="M273" s="1386"/>
      <c r="N273" s="1386"/>
      <c r="O273" s="1386"/>
      <c r="P273" s="1386"/>
      <c r="Q273" s="1386"/>
      <c r="R273" s="1386"/>
      <c r="S273" s="1386"/>
      <c r="T273" s="1387"/>
      <c r="U273" s="1388"/>
      <c r="V273" s="1388"/>
      <c r="W273" s="1388"/>
      <c r="X273" s="1388"/>
      <c r="Y273" s="1388"/>
      <c r="Z273" s="1388"/>
      <c r="AA273" s="1384"/>
      <c r="AB273" s="1384"/>
      <c r="AC273" s="1384"/>
      <c r="AD273" s="1384"/>
      <c r="AE273" s="1384"/>
      <c r="AF273" s="1384"/>
      <c r="AG273" s="1384"/>
      <c r="AH273" s="1384"/>
      <c r="AI273" s="1384"/>
      <c r="AJ273" s="1389"/>
      <c r="AK273" s="1391">
        <f t="shared" ref="AK273:AQ273" si="495">AK261</f>
        <v>0</v>
      </c>
      <c r="AL273" s="1391">
        <f t="shared" si="495"/>
        <v>0</v>
      </c>
      <c r="AM273" s="1391">
        <f t="shared" si="495"/>
        <v>0</v>
      </c>
      <c r="AN273" s="1391">
        <f t="shared" ref="AN273:AO273" si="496">AN261</f>
        <v>0</v>
      </c>
      <c r="AO273" s="1391">
        <f t="shared" si="496"/>
        <v>0</v>
      </c>
      <c r="AP273" s="1475">
        <f t="shared" si="495"/>
        <v>0</v>
      </c>
      <c r="AQ273" s="1475">
        <f t="shared" ca="1" si="495"/>
        <v>-428357.03444443032</v>
      </c>
      <c r="AR273" s="1475">
        <f t="shared" ref="AR273:BC273" si="497">AR261</f>
        <v>0</v>
      </c>
      <c r="AS273" s="1475">
        <f t="shared" si="497"/>
        <v>0</v>
      </c>
      <c r="AT273" s="1475">
        <f t="shared" ca="1" si="497"/>
        <v>-311072.88291658752</v>
      </c>
      <c r="AU273" s="1475">
        <f t="shared" si="497"/>
        <v>0</v>
      </c>
      <c r="AV273" s="1475">
        <f t="shared" si="497"/>
        <v>0</v>
      </c>
      <c r="AW273" s="1475">
        <f t="shared" ca="1" si="497"/>
        <v>-345081.38672951626</v>
      </c>
      <c r="AX273" s="1475">
        <f t="shared" si="497"/>
        <v>0</v>
      </c>
      <c r="AY273" s="1475">
        <f t="shared" si="497"/>
        <v>0</v>
      </c>
      <c r="AZ273" s="1475">
        <f t="shared" ca="1" si="497"/>
        <v>-373853.7560699241</v>
      </c>
      <c r="BA273" s="1475">
        <f t="shared" si="497"/>
        <v>0</v>
      </c>
      <c r="BB273" s="1475">
        <f t="shared" si="497"/>
        <v>0</v>
      </c>
      <c r="BC273" s="1475">
        <f t="shared" ca="1" si="497"/>
        <v>-270160.09918357246</v>
      </c>
    </row>
    <row r="274" spans="3:55" ht="15.75" customHeight="1" collapsed="1" x14ac:dyDescent="0.3">
      <c r="C274" s="31" t="s">
        <v>1216</v>
      </c>
      <c r="AJ274" s="69"/>
      <c r="AK274" s="41">
        <f t="shared" ref="AK274:AQ274" si="498">AK272+AK273</f>
        <v>-120280.97000000004</v>
      </c>
      <c r="AL274" s="41">
        <f t="shared" si="498"/>
        <v>158335.81000000008</v>
      </c>
      <c r="AM274" s="41">
        <f t="shared" si="498"/>
        <v>257360.04000000007</v>
      </c>
      <c r="AN274" s="41">
        <f t="shared" si="498"/>
        <v>283959.75999999983</v>
      </c>
      <c r="AO274" s="41">
        <f t="shared" ref="AO274" si="499">AO272+AO273</f>
        <v>313999.60000000038</v>
      </c>
      <c r="AP274" s="41">
        <f t="shared" ca="1" si="498"/>
        <v>408023.34218431608</v>
      </c>
      <c r="AQ274" s="41">
        <f t="shared" ca="1" si="498"/>
        <v>65775.27948232909</v>
      </c>
      <c r="AR274" s="41">
        <f t="shared" ref="AR274:BC274" ca="1" si="500">AR272+AR273</f>
        <v>328508.80178088718</v>
      </c>
      <c r="AS274" s="41">
        <f t="shared" ca="1" si="500"/>
        <v>559351.25562233862</v>
      </c>
      <c r="AT274" s="41">
        <f t="shared" ca="1" si="500"/>
        <v>28464.808794522716</v>
      </c>
      <c r="AU274" s="41">
        <f t="shared" ca="1" si="500"/>
        <v>517057.72560114489</v>
      </c>
      <c r="AV274" s="41">
        <f t="shared" ca="1" si="500"/>
        <v>335115.35693574935</v>
      </c>
      <c r="AW274" s="41">
        <f t="shared" ca="1" si="500"/>
        <v>-14610.145736672275</v>
      </c>
      <c r="AX274" s="41">
        <f t="shared" ca="1" si="500"/>
        <v>326962.98456443188</v>
      </c>
      <c r="AY274" s="41">
        <f t="shared" ca="1" si="500"/>
        <v>577237.59856573399</v>
      </c>
      <c r="AZ274" s="41">
        <f t="shared" ca="1" si="500"/>
        <v>-6436.3614815770998</v>
      </c>
      <c r="BA274" s="41">
        <f t="shared" ca="1" si="500"/>
        <v>318470.3340670953</v>
      </c>
      <c r="BB274" s="41">
        <f t="shared" ca="1" si="500"/>
        <v>315683.71056087548</v>
      </c>
      <c r="BC274" s="41">
        <f t="shared" ca="1" si="500"/>
        <v>41971.156137120794</v>
      </c>
    </row>
    <row r="275" spans="3:55" ht="15.75" customHeight="1" x14ac:dyDescent="0.3">
      <c r="AK275" s="41"/>
      <c r="AL275" s="41"/>
      <c r="AM275" s="41"/>
      <c r="AN275" s="41"/>
      <c r="AO275" s="41"/>
      <c r="AP275" s="41"/>
      <c r="AQ275" s="41"/>
      <c r="AR275" s="41"/>
      <c r="AS275" s="41"/>
      <c r="AT275" s="41"/>
      <c r="AU275" s="41"/>
      <c r="AV275" s="41"/>
      <c r="AW275" s="41"/>
      <c r="AX275" s="41"/>
      <c r="AY275" s="41"/>
      <c r="AZ275" s="41"/>
      <c r="BA275" s="41"/>
      <c r="BB275" s="41"/>
      <c r="BC275" s="41"/>
    </row>
    <row r="276" spans="3:55" ht="15.75" customHeight="1" x14ac:dyDescent="0.3">
      <c r="C276" s="31" t="s">
        <v>1217</v>
      </c>
      <c r="AK276" s="41">
        <f t="shared" ref="AK276:AQ276" si="501">ABS(SUM(AK252:AK253))</f>
        <v>1975000</v>
      </c>
      <c r="AL276" s="41">
        <f t="shared" si="501"/>
        <v>12473.439999999944</v>
      </c>
      <c r="AM276" s="41">
        <f t="shared" si="501"/>
        <v>13124.960000000196</v>
      </c>
      <c r="AN276" s="41">
        <f t="shared" si="501"/>
        <v>11821.919999999925</v>
      </c>
      <c r="AO276" s="41">
        <f t="shared" ref="AO276" si="502">ABS(SUM(AO252:AO253))</f>
        <v>27434.709999999963</v>
      </c>
      <c r="AP276" s="41">
        <f t="shared" ca="1" si="501"/>
        <v>19183.351497179941</v>
      </c>
      <c r="AQ276" s="41">
        <f t="shared" ca="1" si="501"/>
        <v>19673.351497179941</v>
      </c>
      <c r="AR276" s="41">
        <f ca="1">ABS(SUM(AR252:AR253,AR255))+'Brnch 1L Debt'!L30</f>
        <v>51419.111576939729</v>
      </c>
      <c r="AS276" s="41">
        <f t="shared" ref="AS276:AV276" ca="1" si="503">ABS(SUM(AS252:AS255))</f>
        <v>52090.121576939731</v>
      </c>
      <c r="AT276" s="41">
        <f t="shared" ca="1" si="503"/>
        <v>51748.911576939732</v>
      </c>
      <c r="AU276" s="41">
        <f t="shared" ca="1" si="503"/>
        <v>51752.79157693973</v>
      </c>
      <c r="AV276" s="41">
        <f t="shared" ca="1" si="503"/>
        <v>51969.541576939737</v>
      </c>
      <c r="AW276" s="41">
        <f ca="1">ABS(SUM(AW252:AW255))</f>
        <v>52352.761576939723</v>
      </c>
      <c r="AX276" s="41">
        <f t="shared" ref="AX276:BC276" ca="1" si="504">ABS(SUM(AX252:AX255))</f>
        <v>52595.441576939731</v>
      </c>
      <c r="AY276" s="41">
        <f t="shared" ca="1" si="504"/>
        <v>52533.981576939739</v>
      </c>
      <c r="AZ276" s="41">
        <f t="shared" ca="1" si="504"/>
        <v>53280.991576939734</v>
      </c>
      <c r="BA276" s="41">
        <f t="shared" ca="1" si="504"/>
        <v>53527.90157693973</v>
      </c>
      <c r="BB276" s="41">
        <f t="shared" ca="1" si="504"/>
        <v>53903.90157693973</v>
      </c>
      <c r="BC276" s="41">
        <f t="shared" ca="1" si="504"/>
        <v>54167.271576939725</v>
      </c>
    </row>
    <row r="277" spans="3:55" ht="15.75" customHeight="1" x14ac:dyDescent="0.3">
      <c r="C277" s="1384" t="s">
        <v>1218</v>
      </c>
      <c r="D277" s="1384"/>
      <c r="E277" s="1384"/>
      <c r="F277" s="1384"/>
      <c r="G277" s="1384"/>
      <c r="H277" s="1390"/>
      <c r="I277" s="1384"/>
      <c r="J277" s="1384"/>
      <c r="K277" s="1384"/>
      <c r="L277" s="1384"/>
      <c r="M277" s="1384"/>
      <c r="N277" s="1384"/>
      <c r="O277" s="1384"/>
      <c r="P277" s="1384"/>
      <c r="Q277" s="1384"/>
      <c r="R277" s="1384"/>
      <c r="S277" s="1384"/>
      <c r="T277" s="1388"/>
      <c r="U277" s="1388"/>
      <c r="V277" s="1388"/>
      <c r="W277" s="1388"/>
      <c r="X277" s="1388"/>
      <c r="Y277" s="1388"/>
      <c r="Z277" s="1388"/>
      <c r="AA277" s="1384"/>
      <c r="AB277" s="1384"/>
      <c r="AC277" s="1384"/>
      <c r="AD277" s="1384"/>
      <c r="AE277" s="1384"/>
      <c r="AF277" s="1384"/>
      <c r="AG277" s="1384"/>
      <c r="AH277" s="1384"/>
      <c r="AI277" s="1384"/>
      <c r="AJ277" s="1384"/>
      <c r="AK277" s="1391">
        <f t="shared" ref="AK277:AQ277" si="505">SUM(AK109:AK110)</f>
        <v>13099.53</v>
      </c>
      <c r="AL277" s="1391">
        <f t="shared" si="505"/>
        <v>13407.44</v>
      </c>
      <c r="AM277" s="1391">
        <f t="shared" si="505"/>
        <v>12628.39</v>
      </c>
      <c r="AN277" s="1391">
        <f t="shared" si="505"/>
        <v>10954.85</v>
      </c>
      <c r="AO277" s="1391">
        <f t="shared" ref="AO277" si="506">SUM(AO109:AO110)</f>
        <v>11934.22</v>
      </c>
      <c r="AP277" s="1391">
        <f t="shared" ca="1" si="505"/>
        <v>12330</v>
      </c>
      <c r="AQ277" s="1391">
        <f t="shared" ca="1" si="505"/>
        <v>11840</v>
      </c>
      <c r="AR277" s="1391">
        <f ca="1">SUM(AR109:AR112)</f>
        <v>25975.42</v>
      </c>
      <c r="AS277" s="1391">
        <f t="shared" ref="AS277:BC277" ca="1" si="507">SUM(AS109:AS112)</f>
        <v>25304.41</v>
      </c>
      <c r="AT277" s="1391">
        <f t="shared" ca="1" si="507"/>
        <v>25645.62</v>
      </c>
      <c r="AU277" s="1391">
        <f t="shared" ca="1" si="507"/>
        <v>25641.739999999998</v>
      </c>
      <c r="AV277" s="1391">
        <f t="shared" ca="1" si="507"/>
        <v>25424.99</v>
      </c>
      <c r="AW277" s="1391">
        <f t="shared" ca="1" si="507"/>
        <v>25041.77</v>
      </c>
      <c r="AX277" s="1391">
        <f t="shared" ca="1" si="507"/>
        <v>24799.09</v>
      </c>
      <c r="AY277" s="1391">
        <f t="shared" ca="1" si="507"/>
        <v>24860.55</v>
      </c>
      <c r="AZ277" s="1391">
        <f t="shared" ca="1" si="507"/>
        <v>24113.54</v>
      </c>
      <c r="BA277" s="1391">
        <f t="shared" ca="1" si="507"/>
        <v>23866.63</v>
      </c>
      <c r="BB277" s="1391">
        <f t="shared" ca="1" si="507"/>
        <v>23490.63</v>
      </c>
      <c r="BC277" s="1391">
        <f t="shared" ca="1" si="507"/>
        <v>23227.260000000002</v>
      </c>
    </row>
    <row r="278" spans="3:55" ht="15.75" customHeight="1" x14ac:dyDescent="0.3">
      <c r="C278" s="31" t="s">
        <v>1219</v>
      </c>
      <c r="AK278" s="41">
        <f>SUM(AK276:AK277)</f>
        <v>1988099.53</v>
      </c>
      <c r="AL278" s="41">
        <f t="shared" ref="AL278:AQ278" si="508">SUM(AL276:AL277)</f>
        <v>25880.879999999946</v>
      </c>
      <c r="AM278" s="41">
        <f t="shared" si="508"/>
        <v>25753.350000000195</v>
      </c>
      <c r="AN278" s="41">
        <f t="shared" ref="AN278:AO278" si="509">SUM(AN276:AN277)</f>
        <v>22776.769999999924</v>
      </c>
      <c r="AO278" s="41">
        <f t="shared" si="509"/>
        <v>39368.929999999964</v>
      </c>
      <c r="AP278" s="41">
        <f t="shared" ca="1" si="508"/>
        <v>31513.351497179941</v>
      </c>
      <c r="AQ278" s="41">
        <f t="shared" ca="1" si="508"/>
        <v>31513.351497179941</v>
      </c>
      <c r="AR278" s="41">
        <f t="shared" ref="AR278:BC278" ca="1" si="510">SUM(AR276:AR277)</f>
        <v>77394.531576939728</v>
      </c>
      <c r="AS278" s="41">
        <f t="shared" ca="1" si="510"/>
        <v>77394.531576939728</v>
      </c>
      <c r="AT278" s="41">
        <f t="shared" ca="1" si="510"/>
        <v>77394.531576939728</v>
      </c>
      <c r="AU278" s="41">
        <f t="shared" ca="1" si="510"/>
        <v>77394.531576939728</v>
      </c>
      <c r="AV278" s="41">
        <f t="shared" ca="1" si="510"/>
        <v>77394.531576939742</v>
      </c>
      <c r="AW278" s="41">
        <f t="shared" ca="1" si="510"/>
        <v>77394.531576939728</v>
      </c>
      <c r="AX278" s="41">
        <f t="shared" ca="1" si="510"/>
        <v>77394.531576939728</v>
      </c>
      <c r="AY278" s="41">
        <f t="shared" ca="1" si="510"/>
        <v>77394.531576939742</v>
      </c>
      <c r="AZ278" s="41">
        <f t="shared" ca="1" si="510"/>
        <v>77394.531576939742</v>
      </c>
      <c r="BA278" s="41">
        <f t="shared" ca="1" si="510"/>
        <v>77394.531576939728</v>
      </c>
      <c r="BB278" s="41">
        <f t="shared" ca="1" si="510"/>
        <v>77394.531576939728</v>
      </c>
      <c r="BC278" s="41">
        <f t="shared" ca="1" si="510"/>
        <v>77394.531576939728</v>
      </c>
    </row>
    <row r="279" spans="3:55" ht="15.75" customHeight="1" x14ac:dyDescent="0.3">
      <c r="AR279" s="31"/>
    </row>
    <row r="280" spans="3:55" ht="15.75" customHeight="1" x14ac:dyDescent="0.3">
      <c r="C280" s="31" t="s">
        <v>1230</v>
      </c>
      <c r="AP280" s="38">
        <f ca="1">SUM($AL$274:AP274)/SUM($AL$278:AP278)</f>
        <v>9.7848884513762613</v>
      </c>
      <c r="AQ280" s="38">
        <f ca="1">SUM(AL274:AQ274)/SUM(AL278:AQ278)</f>
        <v>8.4128847796909003</v>
      </c>
      <c r="AR280" s="38">
        <f t="shared" ref="AR280:AV280" ca="1" si="511">SUM(AM274:AR274)/SUM(AM278:AR278)</f>
        <v>7.2600944176288911</v>
      </c>
      <c r="AS280" s="38">
        <f t="shared" ca="1" si="511"/>
        <v>6.999599144948955</v>
      </c>
      <c r="AT280" s="38">
        <f t="shared" ca="1" si="511"/>
        <v>5.0933320022609063</v>
      </c>
      <c r="AU280" s="38">
        <f t="shared" ca="1" si="511"/>
        <v>5.11850911067806</v>
      </c>
      <c r="AV280" s="38">
        <f t="shared" ca="1" si="511"/>
        <v>4.3831172060596968</v>
      </c>
      <c r="AW280" s="38">
        <f ca="1">SUM(AL274:AW274)/SUM(AL278:AW278)</f>
        <v>5.0553243459764898</v>
      </c>
      <c r="AX280" s="38">
        <f t="shared" ref="AX280:BC280" ca="1" si="512">SUM(AM274:AX274)/SUM(AM278:AX278)</f>
        <v>4.9228099786122304</v>
      </c>
      <c r="AY280" s="38">
        <f t="shared" ca="1" si="512"/>
        <v>5.0110207899206456</v>
      </c>
      <c r="AZ280" s="38">
        <f t="shared" ca="1" si="512"/>
        <v>4.3049823771960902</v>
      </c>
      <c r="BA280" s="38">
        <f t="shared" ca="1" si="512"/>
        <v>4.1147384896655392</v>
      </c>
      <c r="BB280" s="38">
        <f t="shared" ca="1" si="512"/>
        <v>3.7963065129595979</v>
      </c>
      <c r="BC280" s="38">
        <f t="shared" ca="1" si="512"/>
        <v>3.5831313031285563</v>
      </c>
    </row>
    <row r="281" spans="3:55" ht="15.75" customHeight="1" x14ac:dyDescent="0.3">
      <c r="C281" s="31" t="s">
        <v>1519</v>
      </c>
      <c r="AJ281" s="408">
        <f>AJ272/2</f>
        <v>230947.51</v>
      </c>
      <c r="AK281" s="408"/>
      <c r="AL281" s="408"/>
      <c r="AM281" s="408"/>
      <c r="AN281" s="408"/>
      <c r="AO281" s="408"/>
      <c r="AQ281" s="408">
        <f ca="1">SUM(AQ207:AQ211)/SUM(AF136:AQ136)</f>
        <v>0.76098067595636532</v>
      </c>
      <c r="AR281" s="408">
        <f ca="1">SUM(AR207:AR211)/SUM(AG136:AR136)</f>
        <v>1.286069674394247</v>
      </c>
      <c r="AS281" s="408">
        <f t="shared" ref="AS281:BC281" ca="1" si="513">SUM(AS207:AS211)/SUM(AH136:AS136)</f>
        <v>1.1306018919952967</v>
      </c>
      <c r="AT281" s="408">
        <f t="shared" ca="1" si="513"/>
        <v>1.1285107847886751</v>
      </c>
      <c r="AU281" s="408">
        <f t="shared" ca="1" si="513"/>
        <v>1.0495852966919978</v>
      </c>
      <c r="AV281" s="408">
        <f t="shared" ca="1" si="513"/>
        <v>1.0687808670646102</v>
      </c>
      <c r="AW281" s="408">
        <f t="shared" ca="1" si="513"/>
        <v>1.0316997944059358</v>
      </c>
      <c r="AX281" s="408">
        <f t="shared" ca="1" si="513"/>
        <v>0.98128950062470977</v>
      </c>
      <c r="AY281" s="408">
        <f t="shared" ca="1" si="513"/>
        <v>0.90517831482254085</v>
      </c>
      <c r="AZ281" s="408">
        <f t="shared" ca="1" si="513"/>
        <v>0.8788757646952583</v>
      </c>
      <c r="BA281" s="408">
        <f t="shared" ca="1" si="513"/>
        <v>0.86715528961001243</v>
      </c>
      <c r="BB281" s="408">
        <f t="shared" ca="1" si="513"/>
        <v>0.87259586965004177</v>
      </c>
      <c r="BC281" s="408">
        <f t="shared" ca="1" si="513"/>
        <v>0.89520765360890187</v>
      </c>
    </row>
    <row r="282" spans="3:55" ht="15.75" customHeight="1" x14ac:dyDescent="0.35">
      <c r="C282" s="1394" t="s">
        <v>1231</v>
      </c>
      <c r="D282" s="1395"/>
      <c r="E282" s="1395"/>
      <c r="F282" s="1395"/>
      <c r="G282" s="1395"/>
      <c r="H282" s="1396"/>
      <c r="I282" s="1395"/>
      <c r="J282" s="1395"/>
      <c r="K282" s="1395"/>
      <c r="L282" s="1395"/>
      <c r="M282" s="1395"/>
      <c r="N282" s="1395"/>
      <c r="O282" s="1395"/>
      <c r="P282" s="1395"/>
      <c r="Q282" s="1395"/>
      <c r="R282" s="1395"/>
      <c r="S282" s="1395"/>
      <c r="T282" s="1397"/>
      <c r="U282" s="1395"/>
      <c r="V282" s="1395"/>
      <c r="W282" s="1395"/>
      <c r="X282" s="1395"/>
      <c r="Y282" s="1395"/>
      <c r="Z282" s="1395"/>
      <c r="AA282" s="1395"/>
      <c r="AB282" s="1395"/>
      <c r="AC282" s="1395"/>
      <c r="AD282" s="1395"/>
      <c r="AE282" s="1395"/>
      <c r="AF282" s="1395"/>
      <c r="AG282" s="1395"/>
      <c r="AH282" s="1395"/>
      <c r="AI282" s="1395"/>
      <c r="AJ282" s="1395"/>
      <c r="AK282" s="1395"/>
      <c r="AL282" s="1395"/>
      <c r="AM282" s="1395"/>
      <c r="AN282" s="1395"/>
      <c r="AO282" s="1395"/>
      <c r="AP282" s="1395"/>
      <c r="AQ282" s="1395"/>
      <c r="AR282" s="1395"/>
      <c r="AS282" s="1395"/>
      <c r="AT282" s="1395"/>
      <c r="AU282" s="1395"/>
      <c r="AV282" s="1395"/>
      <c r="AW282" s="1395"/>
      <c r="AX282" s="1395"/>
      <c r="AY282" s="1395"/>
      <c r="AZ282" s="1395"/>
      <c r="BA282" s="1395"/>
      <c r="BB282" s="1395"/>
      <c r="BC282" s="1395"/>
    </row>
    <row r="283" spans="3:55" ht="15.75" customHeight="1" x14ac:dyDescent="0.3">
      <c r="C283" s="31" t="s">
        <v>1226</v>
      </c>
      <c r="AJ283" s="41">
        <v>2000000</v>
      </c>
      <c r="AK283" s="41">
        <v>2000000</v>
      </c>
      <c r="AL283" s="41">
        <v>2000000</v>
      </c>
      <c r="AM283" s="41">
        <v>2000000</v>
      </c>
      <c r="AN283" s="41">
        <v>2000000</v>
      </c>
      <c r="AO283" s="41">
        <v>2000001</v>
      </c>
      <c r="AP283" s="41">
        <v>2000000</v>
      </c>
      <c r="AQ283" s="41">
        <v>2000000</v>
      </c>
      <c r="AR283" s="41">
        <v>2000000</v>
      </c>
      <c r="AS283" s="41">
        <v>2000000</v>
      </c>
      <c r="AT283" s="41">
        <v>2000000</v>
      </c>
      <c r="AU283" s="41">
        <v>2000000</v>
      </c>
      <c r="AV283" s="41">
        <v>2000000</v>
      </c>
      <c r="AW283" s="41">
        <v>2000000</v>
      </c>
      <c r="AX283" s="41">
        <v>2000000</v>
      </c>
      <c r="AY283" s="41">
        <v>2000000</v>
      </c>
      <c r="AZ283" s="41">
        <v>2000000</v>
      </c>
      <c r="BA283" s="41">
        <v>2000000</v>
      </c>
      <c r="BB283" s="41">
        <v>2000000</v>
      </c>
      <c r="BC283" s="41">
        <v>2000000</v>
      </c>
    </row>
    <row r="284" spans="3:55" ht="15.75" customHeight="1" x14ac:dyDescent="0.3">
      <c r="C284" s="31" t="s">
        <v>1220</v>
      </c>
      <c r="AJ284" s="41">
        <f>AJ162+AJ161+AJ160</f>
        <v>534481.3600000001</v>
      </c>
      <c r="AK284" s="41">
        <f>AK162+AK161+AK160</f>
        <v>1377290.19</v>
      </c>
      <c r="AL284" s="41">
        <f>AL162+AL161+AL160</f>
        <v>829636.0199999999</v>
      </c>
      <c r="AM284" s="41">
        <f>AM162+AM161+AM160</f>
        <v>1022118.78</v>
      </c>
      <c r="AN284" s="41">
        <f>AN162+AN160</f>
        <v>1544476.7999999998</v>
      </c>
      <c r="AO284" s="41">
        <f>AO162+AO160</f>
        <v>1898152.7200000002</v>
      </c>
      <c r="AP284" s="41">
        <f>AP162+AP161+AP160</f>
        <v>1077023.5934696817</v>
      </c>
      <c r="AQ284" s="41">
        <f>AQ162+AQ161+AQ160</f>
        <v>1209689.5117414566</v>
      </c>
      <c r="AR284" s="41">
        <f t="shared" ref="AR284:BC284" si="514">AR162+AR161+AR160</f>
        <v>1118286.6853933334</v>
      </c>
      <c r="AS284" s="41">
        <f t="shared" si="514"/>
        <v>1129023.1723582759</v>
      </c>
      <c r="AT284" s="41">
        <f t="shared" si="514"/>
        <v>1123388.4830090888</v>
      </c>
      <c r="AU284" s="41">
        <f t="shared" si="514"/>
        <v>1129338.4326623224</v>
      </c>
      <c r="AV284" s="41">
        <f t="shared" si="514"/>
        <v>1130325.9130701912</v>
      </c>
      <c r="AW284" s="41">
        <f t="shared" si="514"/>
        <v>1125724.1192080909</v>
      </c>
      <c r="AX284" s="41">
        <f t="shared" si="514"/>
        <v>1125200.5139925333</v>
      </c>
      <c r="AY284" s="41">
        <f t="shared" si="514"/>
        <v>1127577.5115344592</v>
      </c>
      <c r="AZ284" s="41">
        <f t="shared" si="514"/>
        <v>1126869.7604331323</v>
      </c>
      <c r="BA284" s="41">
        <f t="shared" si="514"/>
        <v>1127385.3079813174</v>
      </c>
      <c r="BB284" s="41">
        <f t="shared" si="514"/>
        <v>1127267.3839701144</v>
      </c>
      <c r="BC284" s="41">
        <f t="shared" si="514"/>
        <v>1126646.8006852502</v>
      </c>
    </row>
    <row r="285" spans="3:55" ht="15.75" customHeight="1" x14ac:dyDescent="0.3">
      <c r="C285" s="31" t="s">
        <v>1221</v>
      </c>
      <c r="F285" s="56">
        <v>0.85</v>
      </c>
      <c r="AJ285" s="41">
        <f>$F$285*AJ284</f>
        <v>454309.15600000008</v>
      </c>
      <c r="AK285" s="41">
        <f t="shared" ref="AK285:AP285" si="515">$F$285*AK284</f>
        <v>1170696.6614999999</v>
      </c>
      <c r="AL285" s="41">
        <f t="shared" si="515"/>
        <v>705190.61699999985</v>
      </c>
      <c r="AM285" s="41">
        <f t="shared" si="515"/>
        <v>868800.96299999999</v>
      </c>
      <c r="AN285" s="41">
        <f t="shared" ref="AN285:AO285" si="516">$F$285*AN284</f>
        <v>1312805.2799999998</v>
      </c>
      <c r="AO285" s="41">
        <f t="shared" si="516"/>
        <v>1613429.8120000002</v>
      </c>
      <c r="AP285" s="41">
        <f t="shared" si="515"/>
        <v>915470.05444922938</v>
      </c>
      <c r="AQ285" s="41">
        <f>$F$285*AQ284</f>
        <v>1028236.0849802381</v>
      </c>
      <c r="AR285" s="41">
        <f t="shared" ref="AR285:BC285" si="517">$F$285*AR284</f>
        <v>950543.68258433335</v>
      </c>
      <c r="AS285" s="41">
        <f t="shared" si="517"/>
        <v>959669.69650453446</v>
      </c>
      <c r="AT285" s="41">
        <f t="shared" si="517"/>
        <v>954880.2105577254</v>
      </c>
      <c r="AU285" s="41">
        <f t="shared" si="517"/>
        <v>959937.66776297404</v>
      </c>
      <c r="AV285" s="41">
        <f t="shared" si="517"/>
        <v>960777.02610966249</v>
      </c>
      <c r="AW285" s="41">
        <f t="shared" si="517"/>
        <v>956865.50132687727</v>
      </c>
      <c r="AX285" s="41">
        <f t="shared" si="517"/>
        <v>956420.43689365324</v>
      </c>
      <c r="AY285" s="41">
        <f t="shared" si="517"/>
        <v>958440.88480429025</v>
      </c>
      <c r="AZ285" s="41">
        <f t="shared" si="517"/>
        <v>957839.29636816238</v>
      </c>
      <c r="BA285" s="41">
        <f t="shared" si="517"/>
        <v>958277.51178411976</v>
      </c>
      <c r="BB285" s="41">
        <f t="shared" si="517"/>
        <v>958177.27637459722</v>
      </c>
      <c r="BC285" s="41">
        <f t="shared" si="517"/>
        <v>957649.78058246267</v>
      </c>
    </row>
    <row r="286" spans="3:55" ht="15.75" customHeight="1" x14ac:dyDescent="0.3">
      <c r="C286" s="31" t="s">
        <v>1222</v>
      </c>
      <c r="F286" s="56">
        <v>0.8</v>
      </c>
      <c r="AJ286" s="41">
        <f>$F$286*AJ285</f>
        <v>363447.32480000006</v>
      </c>
      <c r="AK286" s="41">
        <f t="shared" ref="AK286:AP286" si="518">$F$286*AK285</f>
        <v>936557.32920000004</v>
      </c>
      <c r="AL286" s="41">
        <f t="shared" si="518"/>
        <v>564152.49359999993</v>
      </c>
      <c r="AM286" s="41">
        <f t="shared" si="518"/>
        <v>695040.77040000004</v>
      </c>
      <c r="AN286" s="41">
        <f t="shared" ref="AN286:AO286" si="519">$F$286*AN285</f>
        <v>1050244.2239999999</v>
      </c>
      <c r="AO286" s="41">
        <f t="shared" si="519"/>
        <v>1290743.8496000003</v>
      </c>
      <c r="AP286" s="41">
        <f t="shared" si="518"/>
        <v>732376.0435593836</v>
      </c>
      <c r="AQ286" s="41">
        <f>$F$286*AQ285</f>
        <v>822588.86798419058</v>
      </c>
      <c r="AR286" s="41">
        <f t="shared" ref="AR286:BC286" si="520">$F$286*AR285</f>
        <v>760434.94606746675</v>
      </c>
      <c r="AS286" s="41">
        <f t="shared" si="520"/>
        <v>767735.75720362761</v>
      </c>
      <c r="AT286" s="41">
        <f t="shared" si="520"/>
        <v>763904.16844618041</v>
      </c>
      <c r="AU286" s="41">
        <f t="shared" si="520"/>
        <v>767950.13421037933</v>
      </c>
      <c r="AV286" s="41">
        <f t="shared" si="520"/>
        <v>768621.62088773004</v>
      </c>
      <c r="AW286" s="41">
        <f t="shared" si="520"/>
        <v>765492.40106150182</v>
      </c>
      <c r="AX286" s="41">
        <f t="shared" si="520"/>
        <v>765136.34951492259</v>
      </c>
      <c r="AY286" s="41">
        <f t="shared" si="520"/>
        <v>766752.7078434322</v>
      </c>
      <c r="AZ286" s="41">
        <f t="shared" si="520"/>
        <v>766271.43709452997</v>
      </c>
      <c r="BA286" s="41">
        <f t="shared" si="520"/>
        <v>766622.00942729588</v>
      </c>
      <c r="BB286" s="41">
        <f t="shared" si="520"/>
        <v>766541.82109967782</v>
      </c>
      <c r="BC286" s="41">
        <f t="shared" si="520"/>
        <v>766119.82446597016</v>
      </c>
    </row>
    <row r="287" spans="3:55" ht="15.75" customHeight="1" x14ac:dyDescent="0.3">
      <c r="AJ287" s="41"/>
      <c r="AK287" s="41"/>
      <c r="AL287" s="41"/>
      <c r="AM287" s="41"/>
      <c r="AN287" s="41"/>
      <c r="AO287" s="41"/>
      <c r="AP287" s="41"/>
      <c r="AQ287" s="41"/>
      <c r="AR287" s="41"/>
      <c r="AS287" s="41"/>
      <c r="AT287" s="41"/>
      <c r="AU287" s="41"/>
      <c r="AV287" s="41"/>
      <c r="AW287" s="41"/>
      <c r="AX287" s="41"/>
      <c r="AY287" s="41"/>
      <c r="AZ287" s="41"/>
      <c r="BA287" s="41"/>
      <c r="BB287" s="41"/>
      <c r="BC287" s="41"/>
    </row>
    <row r="288" spans="3:55" ht="15.75" customHeight="1" x14ac:dyDescent="0.3">
      <c r="C288" s="31" t="s">
        <v>1130</v>
      </c>
      <c r="AJ288" s="1525">
        <f t="shared" ref="AJ288:AM288" si="521">1723940.85+328000</f>
        <v>2051940.85</v>
      </c>
      <c r="AK288" s="1525">
        <f t="shared" si="521"/>
        <v>2051940.85</v>
      </c>
      <c r="AL288" s="1525">
        <f t="shared" si="521"/>
        <v>2051940.85</v>
      </c>
      <c r="AM288" s="1525">
        <f t="shared" si="521"/>
        <v>2051940.85</v>
      </c>
      <c r="AN288" s="1525">
        <f>1723940.85+328000</f>
        <v>2051940.85</v>
      </c>
      <c r="AO288" s="1525">
        <f>1723940.85+328000</f>
        <v>2051940.85</v>
      </c>
      <c r="AP288" s="1525">
        <f t="shared" ref="AP288:BC288" si="522">1723940.85+328000</f>
        <v>2051940.85</v>
      </c>
      <c r="AQ288" s="1525">
        <f t="shared" si="522"/>
        <v>2051940.85</v>
      </c>
      <c r="AR288" s="1525">
        <f t="shared" si="522"/>
        <v>2051940.85</v>
      </c>
      <c r="AS288" s="1525">
        <f t="shared" si="522"/>
        <v>2051940.85</v>
      </c>
      <c r="AT288" s="1525">
        <f t="shared" si="522"/>
        <v>2051940.85</v>
      </c>
      <c r="AU288" s="1525">
        <f t="shared" si="522"/>
        <v>2051940.85</v>
      </c>
      <c r="AV288" s="1525">
        <f t="shared" si="522"/>
        <v>2051940.85</v>
      </c>
      <c r="AW288" s="1525">
        <f t="shared" si="522"/>
        <v>2051940.85</v>
      </c>
      <c r="AX288" s="1525">
        <f t="shared" si="522"/>
        <v>2051940.85</v>
      </c>
      <c r="AY288" s="1525">
        <f t="shared" si="522"/>
        <v>2051940.85</v>
      </c>
      <c r="AZ288" s="1525">
        <f t="shared" si="522"/>
        <v>2051940.85</v>
      </c>
      <c r="BA288" s="1525">
        <f t="shared" si="522"/>
        <v>2051940.85</v>
      </c>
      <c r="BB288" s="1525">
        <f t="shared" si="522"/>
        <v>2051940.85</v>
      </c>
      <c r="BC288" s="1525">
        <f t="shared" si="522"/>
        <v>2051940.85</v>
      </c>
    </row>
    <row r="289" spans="3:55" ht="15.75" customHeight="1" x14ac:dyDescent="0.3">
      <c r="C289" s="31" t="s">
        <v>1223</v>
      </c>
      <c r="F289" s="56">
        <v>0.5</v>
      </c>
      <c r="AJ289" s="41">
        <f>$F$289*AJ288</f>
        <v>1025970.425</v>
      </c>
      <c r="AK289" s="41">
        <f t="shared" ref="AK289:AQ289" si="523">$F$289*AK288</f>
        <v>1025970.425</v>
      </c>
      <c r="AL289" s="41">
        <f t="shared" si="523"/>
        <v>1025970.425</v>
      </c>
      <c r="AM289" s="41">
        <f t="shared" si="523"/>
        <v>1025970.425</v>
      </c>
      <c r="AN289" s="41">
        <f t="shared" ref="AN289:AO289" si="524">$F$289*AN288</f>
        <v>1025970.425</v>
      </c>
      <c r="AO289" s="41">
        <f t="shared" si="524"/>
        <v>1025970.425</v>
      </c>
      <c r="AP289" s="41">
        <f t="shared" si="523"/>
        <v>1025970.425</v>
      </c>
      <c r="AQ289" s="41">
        <f t="shared" si="523"/>
        <v>1025970.425</v>
      </c>
      <c r="AR289" s="41">
        <f t="shared" ref="AR289:BC289" si="525">$F$289*AR288</f>
        <v>1025970.425</v>
      </c>
      <c r="AS289" s="41">
        <f t="shared" si="525"/>
        <v>1025970.425</v>
      </c>
      <c r="AT289" s="41">
        <f t="shared" si="525"/>
        <v>1025970.425</v>
      </c>
      <c r="AU289" s="41">
        <f t="shared" si="525"/>
        <v>1025970.425</v>
      </c>
      <c r="AV289" s="41">
        <f t="shared" si="525"/>
        <v>1025970.425</v>
      </c>
      <c r="AW289" s="41">
        <f t="shared" si="525"/>
        <v>1025970.425</v>
      </c>
      <c r="AX289" s="41">
        <f t="shared" si="525"/>
        <v>1025970.425</v>
      </c>
      <c r="AY289" s="41">
        <f t="shared" si="525"/>
        <v>1025970.425</v>
      </c>
      <c r="AZ289" s="41">
        <f t="shared" si="525"/>
        <v>1025970.425</v>
      </c>
      <c r="BA289" s="41">
        <f t="shared" si="525"/>
        <v>1025970.425</v>
      </c>
      <c r="BB289" s="41">
        <f t="shared" si="525"/>
        <v>1025970.425</v>
      </c>
      <c r="BC289" s="41">
        <f t="shared" si="525"/>
        <v>1025970.425</v>
      </c>
    </row>
    <row r="290" spans="3:55" ht="15.75" customHeight="1" x14ac:dyDescent="0.3">
      <c r="AJ290" s="41"/>
      <c r="AK290" s="41"/>
      <c r="AL290" s="41"/>
      <c r="AM290" s="41"/>
      <c r="AN290" s="41"/>
      <c r="AO290" s="41"/>
      <c r="AP290" s="41"/>
      <c r="AQ290" s="41"/>
      <c r="AR290" s="41"/>
      <c r="AS290" s="41"/>
      <c r="AT290" s="41"/>
      <c r="AU290" s="41"/>
      <c r="AV290" s="41"/>
      <c r="AW290" s="41"/>
      <c r="AX290" s="41"/>
      <c r="AY290" s="41"/>
      <c r="AZ290" s="41"/>
      <c r="BA290" s="41"/>
      <c r="BB290" s="41"/>
      <c r="BC290" s="41"/>
    </row>
    <row r="291" spans="3:55" ht="15.75" customHeight="1" x14ac:dyDescent="0.3">
      <c r="C291" s="31" t="s">
        <v>1224</v>
      </c>
      <c r="AJ291" s="41">
        <f t="shared" ref="AJ291:AQ291" si="526">AJ171+AJ165</f>
        <v>3634199.67</v>
      </c>
      <c r="AK291" s="41">
        <f t="shared" si="526"/>
        <v>5549970.0499999998</v>
      </c>
      <c r="AL291" s="41">
        <f t="shared" si="526"/>
        <v>5428701.1900000004</v>
      </c>
      <c r="AM291" s="41">
        <f t="shared" si="526"/>
        <v>5801688.9399999995</v>
      </c>
      <c r="AN291" s="41">
        <f t="shared" si="526"/>
        <v>5815652.4800000004</v>
      </c>
      <c r="AO291" s="41">
        <f t="shared" ref="AO291" si="527">AO171+AO165</f>
        <v>5334738.18</v>
      </c>
      <c r="AP291" s="41">
        <f t="shared" si="526"/>
        <v>7593619.9048113516</v>
      </c>
      <c r="AQ291" s="41">
        <f t="shared" si="526"/>
        <v>7842552.7060557734</v>
      </c>
      <c r="AR291" s="41">
        <f t="shared" ref="AR291:BC291" si="528">AR171+AR165</f>
        <v>7101799.7898077499</v>
      </c>
      <c r="AS291" s="41">
        <f t="shared" si="528"/>
        <v>7531685.6061564405</v>
      </c>
      <c r="AT291" s="41">
        <f t="shared" si="528"/>
        <v>7362727.0275838468</v>
      </c>
      <c r="AU291" s="41">
        <f t="shared" si="528"/>
        <v>7337709.6155795045</v>
      </c>
      <c r="AV291" s="41">
        <f t="shared" si="528"/>
        <v>7417853.9916663095</v>
      </c>
      <c r="AW291" s="41">
        <f t="shared" si="528"/>
        <v>7379366.242890656</v>
      </c>
      <c r="AX291" s="41">
        <f t="shared" si="528"/>
        <v>7383759.2646547798</v>
      </c>
      <c r="AY291" s="41">
        <f t="shared" si="528"/>
        <v>7398350.3204551786</v>
      </c>
      <c r="AZ291" s="41">
        <f t="shared" si="528"/>
        <v>7391225.5046094749</v>
      </c>
      <c r="BA291" s="41">
        <f t="shared" si="528"/>
        <v>7394652.0227259677</v>
      </c>
      <c r="BB291" s="41">
        <f t="shared" si="528"/>
        <v>7397858.898041958</v>
      </c>
      <c r="BC291" s="41">
        <f t="shared" si="528"/>
        <v>7397347.3278617216</v>
      </c>
    </row>
    <row r="292" spans="3:55" ht="15.75" customHeight="1" x14ac:dyDescent="0.3">
      <c r="C292" s="1384" t="s">
        <v>1225</v>
      </c>
      <c r="D292" s="1384"/>
      <c r="E292" s="1384"/>
      <c r="F292" s="1393">
        <v>0.5</v>
      </c>
      <c r="G292" s="1384"/>
      <c r="H292" s="1390"/>
      <c r="I292" s="1384"/>
      <c r="J292" s="1384"/>
      <c r="K292" s="1384"/>
      <c r="L292" s="1384"/>
      <c r="M292" s="1384"/>
      <c r="N292" s="1384"/>
      <c r="O292" s="1384"/>
      <c r="P292" s="1384"/>
      <c r="Q292" s="1384"/>
      <c r="R292" s="1384"/>
      <c r="S292" s="1384"/>
      <c r="T292" s="1388"/>
      <c r="U292" s="1388"/>
      <c r="V292" s="1388"/>
      <c r="W292" s="1388"/>
      <c r="X292" s="1388"/>
      <c r="Y292" s="1388"/>
      <c r="Z292" s="1388"/>
      <c r="AA292" s="1384"/>
      <c r="AB292" s="1384"/>
      <c r="AC292" s="1384"/>
      <c r="AD292" s="1384"/>
      <c r="AE292" s="1384"/>
      <c r="AF292" s="1384"/>
      <c r="AG292" s="1384"/>
      <c r="AH292" s="1384"/>
      <c r="AI292" s="1384"/>
      <c r="AJ292" s="1391">
        <f>MIN($F$292*AJ291,0.75*AJ283)</f>
        <v>1500000</v>
      </c>
      <c r="AK292" s="1391">
        <f t="shared" ref="AK292:AQ292" si="529">MIN($F$292*AK291,0.75*AK283)</f>
        <v>1500000</v>
      </c>
      <c r="AL292" s="1391">
        <f t="shared" si="529"/>
        <v>1500000</v>
      </c>
      <c r="AM292" s="1391">
        <f t="shared" si="529"/>
        <v>1500000</v>
      </c>
      <c r="AN292" s="1391">
        <f t="shared" ref="AN292:AO292" si="530">MIN($F$292*AN291,0.75*AN283)</f>
        <v>1500000</v>
      </c>
      <c r="AO292" s="1391">
        <f t="shared" si="530"/>
        <v>1500000.75</v>
      </c>
      <c r="AP292" s="1391">
        <f t="shared" si="529"/>
        <v>1500000</v>
      </c>
      <c r="AQ292" s="1391">
        <f t="shared" si="529"/>
        <v>1500000</v>
      </c>
      <c r="AR292" s="1391">
        <f t="shared" ref="AR292:BC292" si="531">MIN($F$292*AR291,0.75*AR283)</f>
        <v>1500000</v>
      </c>
      <c r="AS292" s="1391">
        <f t="shared" si="531"/>
        <v>1500000</v>
      </c>
      <c r="AT292" s="1391">
        <f t="shared" si="531"/>
        <v>1500000</v>
      </c>
      <c r="AU292" s="1391">
        <f t="shared" si="531"/>
        <v>1500000</v>
      </c>
      <c r="AV292" s="1391">
        <f t="shared" si="531"/>
        <v>1500000</v>
      </c>
      <c r="AW292" s="1391">
        <f t="shared" si="531"/>
        <v>1500000</v>
      </c>
      <c r="AX292" s="1391">
        <f t="shared" si="531"/>
        <v>1500000</v>
      </c>
      <c r="AY292" s="1391">
        <f t="shared" si="531"/>
        <v>1500000</v>
      </c>
      <c r="AZ292" s="1391">
        <f t="shared" si="531"/>
        <v>1500000</v>
      </c>
      <c r="BA292" s="1391">
        <f t="shared" si="531"/>
        <v>1500000</v>
      </c>
      <c r="BB292" s="1391">
        <f t="shared" si="531"/>
        <v>1500000</v>
      </c>
      <c r="BC292" s="1391">
        <f t="shared" si="531"/>
        <v>1500000</v>
      </c>
    </row>
    <row r="293" spans="3:55" ht="15.75" customHeight="1" x14ac:dyDescent="0.3">
      <c r="AJ293" s="41"/>
      <c r="AK293" s="41"/>
      <c r="AL293" s="41"/>
      <c r="AM293" s="41"/>
      <c r="AN293" s="41"/>
      <c r="AO293" s="41"/>
      <c r="AP293" s="41"/>
      <c r="AQ293" s="41"/>
      <c r="AR293" s="41"/>
      <c r="AS293" s="41"/>
      <c r="AT293" s="41"/>
      <c r="AU293" s="41"/>
      <c r="AV293" s="41"/>
      <c r="AW293" s="41"/>
      <c r="AX293" s="41"/>
      <c r="AY293" s="41"/>
      <c r="AZ293" s="41"/>
      <c r="BA293" s="41"/>
      <c r="BB293" s="41"/>
      <c r="BC293" s="41"/>
    </row>
    <row r="294" spans="3:55" ht="15.75" customHeight="1" x14ac:dyDescent="0.3">
      <c r="C294" s="31" t="s">
        <v>1334</v>
      </c>
      <c r="AJ294" s="41">
        <f>AJ292+AJ289+AJ286</f>
        <v>2889417.7497999999</v>
      </c>
      <c r="AK294" s="41">
        <f t="shared" ref="AK294:AQ294" si="532">AK292+AK289+AK286</f>
        <v>3462527.7541999999</v>
      </c>
      <c r="AL294" s="41">
        <f t="shared" si="532"/>
        <v>3090122.9185999995</v>
      </c>
      <c r="AM294" s="41">
        <f t="shared" si="532"/>
        <v>3221011.1953999996</v>
      </c>
      <c r="AN294" s="41">
        <f t="shared" ref="AN294:AO294" si="533">AN292+AN289+AN286</f>
        <v>3576214.6489999997</v>
      </c>
      <c r="AO294" s="41">
        <f t="shared" si="533"/>
        <v>3816715.0246000001</v>
      </c>
      <c r="AP294" s="41">
        <f t="shared" si="532"/>
        <v>3258346.4685593834</v>
      </c>
      <c r="AQ294" s="41">
        <f t="shared" si="532"/>
        <v>3348559.2929841904</v>
      </c>
      <c r="AR294" s="41">
        <f t="shared" ref="AR294:BC294" si="534">AR292+AR289+AR286</f>
        <v>3286405.3710674667</v>
      </c>
      <c r="AS294" s="41">
        <f t="shared" si="534"/>
        <v>3293706.1822036272</v>
      </c>
      <c r="AT294" s="41">
        <f t="shared" si="534"/>
        <v>3289874.5934461802</v>
      </c>
      <c r="AU294" s="41">
        <f t="shared" si="534"/>
        <v>3293920.5592103791</v>
      </c>
      <c r="AV294" s="41">
        <f t="shared" si="534"/>
        <v>3294592.0458877301</v>
      </c>
      <c r="AW294" s="41">
        <f t="shared" si="534"/>
        <v>3291462.8260615016</v>
      </c>
      <c r="AX294" s="41">
        <f t="shared" si="534"/>
        <v>3291106.7745149224</v>
      </c>
      <c r="AY294" s="41">
        <f t="shared" si="534"/>
        <v>3292723.132843432</v>
      </c>
      <c r="AZ294" s="41">
        <f t="shared" si="534"/>
        <v>3292241.8620945299</v>
      </c>
      <c r="BA294" s="41">
        <f t="shared" si="534"/>
        <v>3292592.4344272958</v>
      </c>
      <c r="BB294" s="41">
        <f t="shared" si="534"/>
        <v>3292512.2460996779</v>
      </c>
      <c r="BC294" s="41">
        <f t="shared" si="534"/>
        <v>3292090.2494659699</v>
      </c>
    </row>
    <row r="295" spans="3:55" ht="15.75" customHeight="1" x14ac:dyDescent="0.3">
      <c r="C295" s="1384" t="s">
        <v>1335</v>
      </c>
      <c r="D295" s="1384"/>
      <c r="E295" s="1384"/>
      <c r="F295" s="1384"/>
      <c r="G295" s="1384"/>
      <c r="H295" s="1390"/>
      <c r="I295" s="1384"/>
      <c r="J295" s="1384"/>
      <c r="K295" s="1384"/>
      <c r="L295" s="1384"/>
      <c r="M295" s="1384"/>
      <c r="N295" s="1384"/>
      <c r="O295" s="1384"/>
      <c r="P295" s="1384"/>
      <c r="Q295" s="1384"/>
      <c r="R295" s="1384"/>
      <c r="S295" s="1384"/>
      <c r="T295" s="1388"/>
      <c r="U295" s="1388"/>
      <c r="V295" s="1388"/>
      <c r="W295" s="1388"/>
      <c r="X295" s="1388"/>
      <c r="Y295" s="1388"/>
      <c r="Z295" s="1388"/>
      <c r="AA295" s="1384"/>
      <c r="AB295" s="1384"/>
      <c r="AC295" s="1384"/>
      <c r="AD295" s="1384"/>
      <c r="AE295" s="1384"/>
      <c r="AF295" s="1384"/>
      <c r="AG295" s="1384"/>
      <c r="AH295" s="1384"/>
      <c r="AI295" s="1384"/>
      <c r="AJ295" s="1522">
        <f t="shared" ref="AJ295:AP295" si="535">AJ207+AJ209+AJ212</f>
        <v>127171.38</v>
      </c>
      <c r="AK295" s="1522">
        <f t="shared" si="535"/>
        <v>1962526.56</v>
      </c>
      <c r="AL295" s="1522">
        <f t="shared" si="535"/>
        <v>1950053.12</v>
      </c>
      <c r="AM295" s="1522">
        <f t="shared" si="535"/>
        <v>1936928.16</v>
      </c>
      <c r="AN295" s="1522">
        <f t="shared" si="535"/>
        <v>1925106.24</v>
      </c>
      <c r="AO295" s="1522">
        <f t="shared" ref="AO295" si="536">AO207+AO209+AO212</f>
        <v>1912632.8</v>
      </c>
      <c r="AP295" s="1522">
        <f t="shared" ca="1" si="535"/>
        <v>1900717.7577214409</v>
      </c>
      <c r="AQ295" s="1522">
        <f ca="1">AQ207+AQ212+AQ209</f>
        <v>1888422.7154428817</v>
      </c>
      <c r="AR295" s="1522">
        <f t="shared" ref="AR295:BC295" ca="1" si="537">AR207+AR212+AR209</f>
        <v>3158774.8545165593</v>
      </c>
      <c r="AS295" s="1522">
        <f t="shared" ca="1" si="537"/>
        <v>3128454.353590236</v>
      </c>
      <c r="AT295" s="1522">
        <f t="shared" ca="1" si="537"/>
        <v>3098173.3026639135</v>
      </c>
      <c r="AU295" s="1522">
        <f t="shared" ca="1" si="537"/>
        <v>3068054.7417375906</v>
      </c>
      <c r="AV295" s="1522">
        <f t="shared" ca="1" si="537"/>
        <v>3037720.0308112679</v>
      </c>
      <c r="AW295" s="1522">
        <f t="shared" ca="1" si="537"/>
        <v>3007234.0498849452</v>
      </c>
      <c r="AX295" s="1522">
        <f t="shared" ca="1" si="537"/>
        <v>2976522.3689586222</v>
      </c>
      <c r="AY295" s="1522">
        <f t="shared" ca="1" si="537"/>
        <v>2945926.8480322994</v>
      </c>
      <c r="AZ295" s="1522">
        <f t="shared" ca="1" si="537"/>
        <v>2914879.5471059768</v>
      </c>
      <c r="BA295" s="1522">
        <f t="shared" ca="1" si="537"/>
        <v>2883602.0161796538</v>
      </c>
      <c r="BB295" s="1522">
        <f t="shared" ca="1" si="537"/>
        <v>2852179.1552533312</v>
      </c>
      <c r="BC295" s="1522">
        <f t="shared" ca="1" si="537"/>
        <v>2820516.1743270084</v>
      </c>
    </row>
    <row r="296" spans="3:55" ht="15.75" customHeight="1" x14ac:dyDescent="0.3">
      <c r="C296" s="31" t="s">
        <v>1336</v>
      </c>
      <c r="AJ296" s="69">
        <f>MIN(AJ294-AJ295,AJ283)</f>
        <v>2000000</v>
      </c>
      <c r="AK296" s="69">
        <f t="shared" ref="AK296:AQ296" si="538">MIN(AK294-AK295,AK283)</f>
        <v>1500001.1941999998</v>
      </c>
      <c r="AL296" s="69">
        <f t="shared" si="538"/>
        <v>1140069.7985999994</v>
      </c>
      <c r="AM296" s="69">
        <f t="shared" si="538"/>
        <v>1284083.0353999997</v>
      </c>
      <c r="AN296" s="69">
        <f t="shared" si="538"/>
        <v>1651108.4089999998</v>
      </c>
      <c r="AO296" s="69">
        <f t="shared" ref="AO296" si="539">MIN(AO294-AO295,AO283)</f>
        <v>1904082.2246000001</v>
      </c>
      <c r="AP296" s="69">
        <f t="shared" ca="1" si="538"/>
        <v>1357628.7108379425</v>
      </c>
      <c r="AQ296" s="69">
        <f t="shared" ca="1" si="538"/>
        <v>1460136.5775413087</v>
      </c>
      <c r="AR296" s="69">
        <f t="shared" ref="AR296:BC296" ca="1" si="540">MIN(AR294-AR295,AR283)</f>
        <v>127630.5165509074</v>
      </c>
      <c r="AS296" s="69">
        <f t="shared" ca="1" si="540"/>
        <v>165251.82861339115</v>
      </c>
      <c r="AT296" s="69">
        <f t="shared" ca="1" si="540"/>
        <v>191701.29078226676</v>
      </c>
      <c r="AU296" s="69">
        <f t="shared" ca="1" si="540"/>
        <v>225865.81747278851</v>
      </c>
      <c r="AV296" s="69">
        <f t="shared" ca="1" si="540"/>
        <v>256872.01507646218</v>
      </c>
      <c r="AW296" s="69">
        <f t="shared" ca="1" si="540"/>
        <v>284228.77617655648</v>
      </c>
      <c r="AX296" s="69">
        <f t="shared" ca="1" si="540"/>
        <v>314584.40555630019</v>
      </c>
      <c r="AY296" s="69">
        <f t="shared" ca="1" si="540"/>
        <v>346796.28481113259</v>
      </c>
      <c r="AZ296" s="69">
        <f t="shared" ca="1" si="540"/>
        <v>377362.31498855306</v>
      </c>
      <c r="BA296" s="69">
        <f t="shared" ca="1" si="540"/>
        <v>408990.418247642</v>
      </c>
      <c r="BB296" s="69">
        <f t="shared" ca="1" si="540"/>
        <v>440333.09084634669</v>
      </c>
      <c r="BC296" s="69">
        <f t="shared" ca="1" si="540"/>
        <v>471574.07513896143</v>
      </c>
    </row>
    <row r="297" spans="3:55" ht="15.75" customHeight="1" x14ac:dyDescent="0.3">
      <c r="AQ297" s="69">
        <f ca="1">AQ296+AQ265</f>
        <v>3565092.7150127012</v>
      </c>
      <c r="AR297" s="69">
        <f t="shared" ref="AR297:BC297" ca="1" si="541">AR296+AR265</f>
        <v>3156307.4317346802</v>
      </c>
      <c r="AS297" s="69">
        <f t="shared" ca="1" si="541"/>
        <v>3251140.9205536717</v>
      </c>
      <c r="AT297" s="69">
        <f t="shared" ca="1" si="541"/>
        <v>3382692.6567761581</v>
      </c>
      <c r="AU297" s="69">
        <f t="shared" ca="1" si="541"/>
        <v>3849174.7723338339</v>
      </c>
      <c r="AV297" s="69">
        <f t="shared" ca="1" si="541"/>
        <v>4056255.5416635182</v>
      </c>
      <c r="AW297" s="69">
        <f t="shared" ca="1" si="541"/>
        <v>4027150.5984826656</v>
      </c>
      <c r="AX297" s="69">
        <f t="shared" ca="1" si="541"/>
        <v>4305342.330725152</v>
      </c>
      <c r="AY297" s="69">
        <f t="shared" ca="1" si="541"/>
        <v>4815696.4913572222</v>
      </c>
      <c r="AZ297" s="69">
        <f t="shared" ca="1" si="541"/>
        <v>4759033.2164395973</v>
      </c>
      <c r="BA297" s="69">
        <f t="shared" ca="1" si="541"/>
        <v>5018834.3778259894</v>
      </c>
      <c r="BB297" s="69">
        <f t="shared" ca="1" si="541"/>
        <v>5279499.9369323961</v>
      </c>
      <c r="BC297" s="69">
        <f t="shared" ca="1" si="541"/>
        <v>5269650.7036732212</v>
      </c>
    </row>
    <row r="298" spans="3:55" x14ac:dyDescent="0.3">
      <c r="AQ298" s="1539"/>
      <c r="AR298" s="1652"/>
      <c r="AS298" s="1539"/>
      <c r="AT298" s="1539"/>
      <c r="AU298" s="1539"/>
      <c r="AX298" s="33"/>
      <c r="AY298" s="33"/>
      <c r="AZ298" s="33"/>
    </row>
    <row r="299" spans="3:55" ht="15.75" customHeight="1" x14ac:dyDescent="0.3">
      <c r="AP299" s="32"/>
      <c r="AQ299" s="1527"/>
      <c r="AR299" s="829"/>
      <c r="AS299" s="1527"/>
      <c r="AT299" s="33"/>
      <c r="AU299" s="1527"/>
      <c r="AW299" s="32"/>
      <c r="AX299" s="1529"/>
      <c r="AY299" s="1529"/>
      <c r="AZ299" s="1529"/>
    </row>
    <row r="300" spans="3:55" ht="15.75" customHeight="1" x14ac:dyDescent="0.3">
      <c r="AP300" s="32"/>
      <c r="AQ300" s="1527"/>
      <c r="AR300" s="829"/>
      <c r="AS300" s="1527"/>
      <c r="AT300" s="33"/>
      <c r="AU300" s="1527"/>
      <c r="AW300" s="32"/>
      <c r="AX300" s="1529"/>
      <c r="AY300" s="1529"/>
      <c r="AZ300" s="1529"/>
    </row>
    <row r="301" spans="3:55" ht="15.75" customHeight="1" x14ac:dyDescent="0.3">
      <c r="AP301" s="32"/>
      <c r="AQ301" s="1527"/>
      <c r="AR301" s="829"/>
      <c r="AS301" s="1527"/>
      <c r="AT301" s="33"/>
      <c r="AU301" s="1527"/>
      <c r="AW301" s="32"/>
      <c r="AX301" s="1527"/>
      <c r="AY301" s="1527"/>
      <c r="AZ301" s="1527"/>
    </row>
    <row r="302" spans="3:55" ht="15.75" customHeight="1" x14ac:dyDescent="0.3">
      <c r="AP302" s="32"/>
      <c r="AQ302" s="1528"/>
      <c r="AR302" s="1653"/>
      <c r="AS302" s="1528"/>
      <c r="AT302" s="1528"/>
      <c r="AU302" s="1528"/>
      <c r="AW302" s="32"/>
      <c r="AX302" s="1527"/>
      <c r="AY302" s="1527"/>
      <c r="AZ302" s="1527"/>
    </row>
    <row r="303" spans="3:55" ht="15.75" customHeight="1" x14ac:dyDescent="0.3">
      <c r="AP303" s="32"/>
      <c r="AU303" s="1529"/>
      <c r="AW303" s="32"/>
      <c r="AX303" s="1527"/>
      <c r="AY303" s="1527"/>
      <c r="AZ303" s="1527"/>
    </row>
    <row r="304" spans="3:55" ht="15.75" customHeight="1" x14ac:dyDescent="0.3">
      <c r="AW304" s="32"/>
      <c r="AX304" s="1528"/>
      <c r="AY304" s="1528"/>
      <c r="AZ304" s="1528"/>
    </row>
    <row r="305" spans="47:52" ht="15.75" customHeight="1" x14ac:dyDescent="0.3">
      <c r="AW305" s="32"/>
      <c r="AX305" s="1529"/>
      <c r="AY305" s="1529"/>
      <c r="AZ305" s="1529"/>
    </row>
    <row r="306" spans="47:52" ht="15.75" customHeight="1" x14ac:dyDescent="0.3"/>
    <row r="307" spans="47:52" ht="15.75" customHeight="1" x14ac:dyDescent="0.3"/>
    <row r="308" spans="47:52" ht="15.75" customHeight="1" x14ac:dyDescent="0.3"/>
    <row r="309" spans="47:52" ht="15.75" customHeight="1" x14ac:dyDescent="0.3">
      <c r="AU309" s="32"/>
      <c r="AV309" s="593"/>
    </row>
    <row r="310" spans="47:52" ht="15.75" customHeight="1" x14ac:dyDescent="0.3">
      <c r="AU310" s="32"/>
      <c r="AV310" s="593"/>
    </row>
    <row r="311" spans="47:52" ht="15.75" customHeight="1" x14ac:dyDescent="0.3">
      <c r="AU311" s="32"/>
      <c r="AV311" s="593"/>
    </row>
    <row r="312" spans="47:52" ht="15.75" customHeight="1" x14ac:dyDescent="0.3">
      <c r="AU312" s="32"/>
      <c r="AV312" s="593"/>
    </row>
    <row r="313" spans="47:52" ht="15.75" customHeight="1" x14ac:dyDescent="0.3">
      <c r="AU313" s="32"/>
      <c r="AV313" s="593"/>
    </row>
    <row r="314" spans="47:52" ht="15.75" customHeight="1" x14ac:dyDescent="0.3">
      <c r="AU314" s="32"/>
      <c r="AV314" s="593"/>
    </row>
    <row r="315" spans="47:52" ht="15.75" customHeight="1" x14ac:dyDescent="0.3">
      <c r="AU315" s="32"/>
      <c r="AV315" s="593"/>
    </row>
    <row r="316" spans="47:52" ht="15.75" customHeight="1" x14ac:dyDescent="0.3">
      <c r="AU316" s="32"/>
      <c r="AV316" s="593"/>
    </row>
    <row r="317" spans="47:52" ht="15.75" customHeight="1" x14ac:dyDescent="0.3">
      <c r="AU317" s="32"/>
      <c r="AV317" s="593"/>
    </row>
    <row r="318" spans="47:52" ht="15.75" customHeight="1" x14ac:dyDescent="0.3">
      <c r="AU318" s="32"/>
      <c r="AV318" s="593"/>
    </row>
    <row r="319" spans="47:52" ht="15.75" customHeight="1" x14ac:dyDescent="0.3">
      <c r="AU319" s="32"/>
      <c r="AV319" s="593"/>
    </row>
    <row r="320" spans="47:52" ht="15.75" customHeight="1" x14ac:dyDescent="0.3">
      <c r="AU320" s="32"/>
      <c r="AV320" s="593"/>
    </row>
    <row r="321" spans="47:48" ht="15.75" customHeight="1" x14ac:dyDescent="0.3">
      <c r="AU321" s="32"/>
      <c r="AV321" s="593"/>
    </row>
    <row r="322" spans="47:48" ht="15.75" customHeight="1" x14ac:dyDescent="0.3">
      <c r="AU322" s="32"/>
      <c r="AV322" s="593"/>
    </row>
    <row r="323" spans="47:48" ht="15.75" customHeight="1" x14ac:dyDescent="0.3">
      <c r="AU323" s="32"/>
      <c r="AV323" s="593"/>
    </row>
    <row r="324" spans="47:48" ht="15.75" customHeight="1" x14ac:dyDescent="0.3">
      <c r="AU324" s="32"/>
      <c r="AV324" s="593"/>
    </row>
    <row r="325" spans="47:48" ht="15.75" customHeight="1" x14ac:dyDescent="0.3"/>
    <row r="326" spans="47:48" ht="15.75" customHeight="1" x14ac:dyDescent="0.3"/>
    <row r="327" spans="47:48" ht="15.75" customHeight="1" x14ac:dyDescent="0.3"/>
    <row r="328" spans="47:48" ht="15.75" customHeight="1" x14ac:dyDescent="0.3"/>
    <row r="329" spans="47:48" ht="15.75" customHeight="1" x14ac:dyDescent="0.3"/>
    <row r="330" spans="47:48" ht="15.75" customHeight="1" x14ac:dyDescent="0.3"/>
    <row r="331" spans="47:48" ht="15.75" customHeight="1" x14ac:dyDescent="0.3"/>
    <row r="332" spans="47:48" ht="15.75" customHeight="1" x14ac:dyDescent="0.3"/>
    <row r="333" spans="47:48" ht="15.75" customHeight="1" x14ac:dyDescent="0.3"/>
    <row r="334" spans="47:48" ht="15.75" customHeight="1" x14ac:dyDescent="0.3"/>
    <row r="335" spans="47:48" ht="15.75" customHeight="1" x14ac:dyDescent="0.3"/>
    <row r="336" spans="47:48"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row r="1005" ht="15.75" customHeight="1" x14ac:dyDescent="0.3"/>
    <row r="1006" ht="15.75" customHeight="1" x14ac:dyDescent="0.3"/>
    <row r="1007" ht="15.75" customHeight="1" x14ac:dyDescent="0.3"/>
    <row r="1008" ht="15.75" customHeight="1" x14ac:dyDescent="0.3"/>
    <row r="1009" ht="15.75" customHeight="1" x14ac:dyDescent="0.3"/>
    <row r="1010" ht="15.75" customHeight="1" x14ac:dyDescent="0.3"/>
    <row r="1011" ht="15.75" customHeight="1" x14ac:dyDescent="0.3"/>
    <row r="1012" ht="15.75" customHeight="1" x14ac:dyDescent="0.3"/>
    <row r="1013" ht="15.75" customHeight="1" x14ac:dyDescent="0.3"/>
    <row r="1014" ht="15.75" customHeight="1" x14ac:dyDescent="0.3"/>
    <row r="1015" ht="15.75" customHeight="1" x14ac:dyDescent="0.3"/>
    <row r="1016" ht="15.75" customHeight="1" x14ac:dyDescent="0.3"/>
    <row r="1017" ht="15.75" customHeight="1" x14ac:dyDescent="0.3"/>
    <row r="1018" ht="15.75" customHeight="1" x14ac:dyDescent="0.3"/>
    <row r="1019" ht="15.75" customHeight="1" x14ac:dyDescent="0.3"/>
    <row r="1020" ht="15.75" customHeight="1" x14ac:dyDescent="0.3"/>
    <row r="1021" ht="15.75" customHeight="1" x14ac:dyDescent="0.3"/>
    <row r="1022" ht="15.75" customHeight="1" x14ac:dyDescent="0.3"/>
    <row r="1023" ht="15.75" customHeight="1" x14ac:dyDescent="0.3"/>
    <row r="1024" ht="15.75" customHeight="1" x14ac:dyDescent="0.3"/>
    <row r="1025" ht="15.75" customHeight="1" x14ac:dyDescent="0.3"/>
    <row r="1026" ht="15.75" customHeight="1" x14ac:dyDescent="0.3"/>
    <row r="1027" ht="15.75" customHeight="1" x14ac:dyDescent="0.3"/>
    <row r="1028" ht="15.75" customHeight="1" x14ac:dyDescent="0.3"/>
    <row r="1029" ht="15.75" customHeight="1" x14ac:dyDescent="0.3"/>
    <row r="1030" ht="15.75" customHeight="1" x14ac:dyDescent="0.3"/>
    <row r="1031" ht="15.75" customHeight="1" x14ac:dyDescent="0.3"/>
    <row r="1032" ht="15.75" customHeight="1" x14ac:dyDescent="0.3"/>
    <row r="1033" ht="15.75" customHeight="1" x14ac:dyDescent="0.3"/>
    <row r="1034" ht="15.75" customHeight="1" x14ac:dyDescent="0.3"/>
    <row r="1035" ht="15.75" customHeight="1" x14ac:dyDescent="0.3"/>
    <row r="1036" ht="15.75" customHeight="1" x14ac:dyDescent="0.3"/>
    <row r="1037" ht="15.75" customHeight="1" x14ac:dyDescent="0.3"/>
    <row r="1038" ht="15.75" customHeight="1" x14ac:dyDescent="0.3"/>
    <row r="1039" ht="15.75" customHeight="1" x14ac:dyDescent="0.3"/>
    <row r="1040" ht="15.75" customHeight="1" x14ac:dyDescent="0.3"/>
    <row r="1041" ht="15.75" customHeight="1" x14ac:dyDescent="0.3"/>
    <row r="1042" ht="15.75" customHeight="1" x14ac:dyDescent="0.3"/>
    <row r="1043" ht="15.75" customHeight="1" x14ac:dyDescent="0.3"/>
    <row r="1044" ht="15.75" customHeight="1" x14ac:dyDescent="0.3"/>
    <row r="1045" ht="15.75" customHeight="1" x14ac:dyDescent="0.3"/>
    <row r="1046" ht="15.75" customHeight="1" x14ac:dyDescent="0.3"/>
    <row r="1047" ht="15.75" customHeight="1" x14ac:dyDescent="0.3"/>
    <row r="1048" ht="15.75" customHeight="1" x14ac:dyDescent="0.3"/>
    <row r="1049" ht="15.75" customHeight="1" x14ac:dyDescent="0.3"/>
    <row r="1050" ht="15.75" customHeight="1" x14ac:dyDescent="0.3"/>
    <row r="1051" ht="15.75" customHeight="1" x14ac:dyDescent="0.3"/>
    <row r="1052" ht="15.75" customHeight="1" x14ac:dyDescent="0.3"/>
    <row r="1053" ht="15.75" customHeight="1" x14ac:dyDescent="0.3"/>
    <row r="1054" ht="15.75" customHeight="1" x14ac:dyDescent="0.3"/>
    <row r="1055" ht="15.75" customHeight="1" x14ac:dyDescent="0.3"/>
    <row r="1056" ht="15.75" customHeight="1" x14ac:dyDescent="0.3"/>
    <row r="1057" ht="15.75" customHeight="1" x14ac:dyDescent="0.3"/>
    <row r="1058" ht="15.75" customHeight="1" x14ac:dyDescent="0.3"/>
    <row r="1059" ht="15.75" customHeight="1" x14ac:dyDescent="0.3"/>
    <row r="1060" ht="15.75" customHeight="1" x14ac:dyDescent="0.3"/>
    <row r="1061" ht="15.75" customHeight="1" x14ac:dyDescent="0.3"/>
    <row r="1062" ht="15.75" customHeight="1" x14ac:dyDescent="0.3"/>
    <row r="1063" ht="15.75" customHeight="1" x14ac:dyDescent="0.3"/>
    <row r="1064" ht="15.75" customHeight="1" x14ac:dyDescent="0.3"/>
    <row r="1065" ht="15.75" customHeight="1" x14ac:dyDescent="0.3"/>
    <row r="1066" ht="15.75" customHeight="1" x14ac:dyDescent="0.3"/>
    <row r="1067" ht="15.75" customHeight="1" x14ac:dyDescent="0.3"/>
    <row r="1068" ht="15.75" customHeight="1" x14ac:dyDescent="0.3"/>
    <row r="1069" ht="15.75" customHeight="1" x14ac:dyDescent="0.3"/>
    <row r="1070" ht="15.75" customHeight="1" x14ac:dyDescent="0.3"/>
    <row r="1071" ht="15.75" customHeight="1" x14ac:dyDescent="0.3"/>
    <row r="1072" ht="15.75" customHeight="1" x14ac:dyDescent="0.3"/>
    <row r="1073" ht="15.75" customHeight="1" x14ac:dyDescent="0.3"/>
    <row r="1074" ht="15.75" customHeight="1" x14ac:dyDescent="0.3"/>
    <row r="1075" ht="15.75" customHeight="1" x14ac:dyDescent="0.3"/>
    <row r="1076" ht="15.75" customHeight="1" x14ac:dyDescent="0.3"/>
    <row r="1077" ht="15.75" customHeight="1" x14ac:dyDescent="0.3"/>
    <row r="1078" ht="15.75" customHeight="1" x14ac:dyDescent="0.3"/>
    <row r="1079" ht="15.75" customHeight="1" x14ac:dyDescent="0.3"/>
    <row r="1080" ht="15.75" customHeight="1" x14ac:dyDescent="0.3"/>
    <row r="1081" ht="15.75" customHeight="1" x14ac:dyDescent="0.3"/>
    <row r="1082" ht="15.75" customHeight="1" x14ac:dyDescent="0.3"/>
    <row r="1083" ht="15.75" customHeight="1" x14ac:dyDescent="0.3"/>
    <row r="1084" ht="15.75" customHeight="1" x14ac:dyDescent="0.3"/>
    <row r="1085" ht="15.75" customHeight="1" x14ac:dyDescent="0.3"/>
    <row r="1086" ht="15.75" customHeight="1" x14ac:dyDescent="0.3"/>
    <row r="1087" ht="15.75" customHeight="1" x14ac:dyDescent="0.3"/>
    <row r="1088" ht="15.75" customHeight="1" x14ac:dyDescent="0.3"/>
    <row r="1089" ht="15.75" customHeight="1" x14ac:dyDescent="0.3"/>
    <row r="1090" ht="15.75" customHeight="1" x14ac:dyDescent="0.3"/>
  </sheetData>
  <mergeCells count="1">
    <mergeCell ref="AY271:AZ271"/>
  </mergeCells>
  <phoneticPr fontId="68" type="noConversion"/>
  <conditionalFormatting sqref="G101:H102 AF109:AO112 AF126:AO126 AB101:AO102 BE101:BF102">
    <cfRule type="cellIs" dxfId="288" priority="567" operator="lessThan">
      <formula>0</formula>
    </cfRule>
  </conditionalFormatting>
  <conditionalFormatting sqref="G131:H131">
    <cfRule type="cellIs" dxfId="287" priority="565" operator="lessThan">
      <formula>0</formula>
    </cfRule>
  </conditionalFormatting>
  <conditionalFormatting sqref="M265">
    <cfRule type="cellIs" dxfId="286" priority="403" operator="lessThan">
      <formula>0</formula>
    </cfRule>
  </conditionalFormatting>
  <conditionalFormatting sqref="M101:M102">
    <cfRule type="cellIs" dxfId="285" priority="402" operator="lessThan">
      <formula>0</formula>
    </cfRule>
  </conditionalFormatting>
  <conditionalFormatting sqref="M132 M122:M126 M128:M129">
    <cfRule type="cellIs" dxfId="284" priority="401" operator="lessThan">
      <formula>0</formula>
    </cfRule>
  </conditionalFormatting>
  <conditionalFormatting sqref="M148">
    <cfRule type="cellIs" dxfId="283" priority="400" operator="lessThan">
      <formula>0</formula>
    </cfRule>
  </conditionalFormatting>
  <conditionalFormatting sqref="M266">
    <cfRule type="cellIs" dxfId="282" priority="398" operator="lessThan">
      <formula>0</formula>
    </cfRule>
  </conditionalFormatting>
  <conditionalFormatting sqref="M264">
    <cfRule type="cellIs" dxfId="281" priority="399" operator="lessThan">
      <formula>0</formula>
    </cfRule>
  </conditionalFormatting>
  <conditionalFormatting sqref="M131">
    <cfRule type="cellIs" dxfId="280" priority="391" operator="lessThan">
      <formula>0</formula>
    </cfRule>
  </conditionalFormatting>
  <conditionalFormatting sqref="M128">
    <cfRule type="cellIs" dxfId="279" priority="360" operator="lessThan">
      <formula>0</formula>
    </cfRule>
  </conditionalFormatting>
  <conditionalFormatting sqref="M130">
    <cfRule type="cellIs" dxfId="278" priority="355" operator="lessThan">
      <formula>0</formula>
    </cfRule>
  </conditionalFormatting>
  <conditionalFormatting sqref="I101:I102">
    <cfRule type="cellIs" dxfId="277" priority="301" operator="lessThan">
      <formula>0</formula>
    </cfRule>
  </conditionalFormatting>
  <conditionalFormatting sqref="I122:I124 I132 I148 I264:I266">
    <cfRule type="cellIs" dxfId="276" priority="300" operator="lessThan">
      <formula>0</formula>
    </cfRule>
  </conditionalFormatting>
  <conditionalFormatting sqref="I125:I129 I131">
    <cfRule type="cellIs" dxfId="275" priority="299" operator="lessThan">
      <formula>0</formula>
    </cfRule>
  </conditionalFormatting>
  <conditionalFormatting sqref="I265">
    <cfRule type="cellIs" dxfId="274" priority="298" operator="lessThan">
      <formula>0</formula>
    </cfRule>
  </conditionalFormatting>
  <conditionalFormatting sqref="I101:I102">
    <cfRule type="cellIs" dxfId="273" priority="297" operator="lessThan">
      <formula>0</formula>
    </cfRule>
  </conditionalFormatting>
  <conditionalFormatting sqref="I132 I122:I129">
    <cfRule type="cellIs" dxfId="272" priority="295" operator="lessThan">
      <formula>0</formula>
    </cfRule>
  </conditionalFormatting>
  <conditionalFormatting sqref="I148">
    <cfRule type="cellIs" dxfId="271" priority="294" operator="lessThan">
      <formula>0</formula>
    </cfRule>
  </conditionalFormatting>
  <conditionalFormatting sqref="I266">
    <cfRule type="cellIs" dxfId="270" priority="292" operator="lessThan">
      <formula>0</formula>
    </cfRule>
  </conditionalFormatting>
  <conditionalFormatting sqref="I264">
    <cfRule type="cellIs" dxfId="269" priority="293" operator="lessThan">
      <formula>0</formula>
    </cfRule>
  </conditionalFormatting>
  <conditionalFormatting sqref="I131">
    <cfRule type="cellIs" dxfId="268" priority="291" operator="lessThan">
      <formula>0</formula>
    </cfRule>
  </conditionalFormatting>
  <conditionalFormatting sqref="I127">
    <cfRule type="cellIs" dxfId="267" priority="290" operator="lessThan">
      <formula>0</formula>
    </cfRule>
  </conditionalFormatting>
  <conditionalFormatting sqref="I128">
    <cfRule type="cellIs" dxfId="266" priority="289" operator="lessThan">
      <formula>0</formula>
    </cfRule>
  </conditionalFormatting>
  <conditionalFormatting sqref="I130">
    <cfRule type="cellIs" dxfId="265" priority="288" operator="lessThan">
      <formula>0</formula>
    </cfRule>
  </conditionalFormatting>
  <conditionalFormatting sqref="I130">
    <cfRule type="cellIs" dxfId="264" priority="287" operator="lessThan">
      <formula>0</formula>
    </cfRule>
  </conditionalFormatting>
  <conditionalFormatting sqref="I230 M230 AB230:AO230 BE230:BG230 H267:BC267 BE267:BG267">
    <cfRule type="cellIs" dxfId="263" priority="286" operator="equal">
      <formula>0</formula>
    </cfRule>
  </conditionalFormatting>
  <conditionalFormatting sqref="J101:J102">
    <cfRule type="cellIs" dxfId="262" priority="283" operator="lessThan">
      <formula>0</formula>
    </cfRule>
  </conditionalFormatting>
  <conditionalFormatting sqref="J122:J124 J132 J148 J264:J266">
    <cfRule type="cellIs" dxfId="261" priority="282" operator="lessThan">
      <formula>0</formula>
    </cfRule>
  </conditionalFormatting>
  <conditionalFormatting sqref="J125:J129 J131">
    <cfRule type="cellIs" dxfId="260" priority="281" operator="lessThan">
      <formula>0</formula>
    </cfRule>
  </conditionalFormatting>
  <conditionalFormatting sqref="J265">
    <cfRule type="cellIs" dxfId="259" priority="280" operator="lessThan">
      <formula>0</formula>
    </cfRule>
  </conditionalFormatting>
  <conditionalFormatting sqref="J101:J102">
    <cfRule type="cellIs" dxfId="258" priority="279" operator="lessThan">
      <formula>0</formula>
    </cfRule>
  </conditionalFormatting>
  <conditionalFormatting sqref="J132 J122:J129">
    <cfRule type="cellIs" dxfId="257" priority="277" operator="lessThan">
      <formula>0</formula>
    </cfRule>
  </conditionalFormatting>
  <conditionalFormatting sqref="J148">
    <cfRule type="cellIs" dxfId="256" priority="276" operator="lessThan">
      <formula>0</formula>
    </cfRule>
  </conditionalFormatting>
  <conditionalFormatting sqref="J266">
    <cfRule type="cellIs" dxfId="255" priority="274" operator="lessThan">
      <formula>0</formula>
    </cfRule>
  </conditionalFormatting>
  <conditionalFormatting sqref="J264">
    <cfRule type="cellIs" dxfId="254" priority="275" operator="lessThan">
      <formula>0</formula>
    </cfRule>
  </conditionalFormatting>
  <conditionalFormatting sqref="J131">
    <cfRule type="cellIs" dxfId="253" priority="273" operator="lessThan">
      <formula>0</formula>
    </cfRule>
  </conditionalFormatting>
  <conditionalFormatting sqref="J127">
    <cfRule type="cellIs" dxfId="252" priority="272" operator="lessThan">
      <formula>0</formula>
    </cfRule>
  </conditionalFormatting>
  <conditionalFormatting sqref="J128">
    <cfRule type="cellIs" dxfId="251" priority="271" operator="lessThan">
      <formula>0</formula>
    </cfRule>
  </conditionalFormatting>
  <conditionalFormatting sqref="J130">
    <cfRule type="cellIs" dxfId="250" priority="270" operator="lessThan">
      <formula>0</formula>
    </cfRule>
  </conditionalFormatting>
  <conditionalFormatting sqref="J130">
    <cfRule type="cellIs" dxfId="249" priority="269" operator="lessThan">
      <formula>0</formula>
    </cfRule>
  </conditionalFormatting>
  <conditionalFormatting sqref="J230">
    <cfRule type="cellIs" dxfId="248" priority="268" operator="equal">
      <formula>0</formula>
    </cfRule>
  </conditionalFormatting>
  <conditionalFormatting sqref="K101:K102">
    <cfRule type="cellIs" dxfId="247" priority="265" operator="lessThan">
      <formula>0</formula>
    </cfRule>
  </conditionalFormatting>
  <conditionalFormatting sqref="K122:K124 K132 K148 K264:K266">
    <cfRule type="cellIs" dxfId="246" priority="264" operator="lessThan">
      <formula>0</formula>
    </cfRule>
  </conditionalFormatting>
  <conditionalFormatting sqref="K125:K129 K131">
    <cfRule type="cellIs" dxfId="245" priority="263" operator="lessThan">
      <formula>0</formula>
    </cfRule>
  </conditionalFormatting>
  <conditionalFormatting sqref="K265">
    <cfRule type="cellIs" dxfId="244" priority="262" operator="lessThan">
      <formula>0</formula>
    </cfRule>
  </conditionalFormatting>
  <conditionalFormatting sqref="K101:K102">
    <cfRule type="cellIs" dxfId="243" priority="261" operator="lessThan">
      <formula>0</formula>
    </cfRule>
  </conditionalFormatting>
  <conditionalFormatting sqref="K132 K122:K129">
    <cfRule type="cellIs" dxfId="242" priority="259" operator="lessThan">
      <formula>0</formula>
    </cfRule>
  </conditionalFormatting>
  <conditionalFormatting sqref="K148">
    <cfRule type="cellIs" dxfId="241" priority="258" operator="lessThan">
      <formula>0</formula>
    </cfRule>
  </conditionalFormatting>
  <conditionalFormatting sqref="K266">
    <cfRule type="cellIs" dxfId="240" priority="256" operator="lessThan">
      <formula>0</formula>
    </cfRule>
  </conditionalFormatting>
  <conditionalFormatting sqref="K264">
    <cfRule type="cellIs" dxfId="239" priority="257" operator="lessThan">
      <formula>0</formula>
    </cfRule>
  </conditionalFormatting>
  <conditionalFormatting sqref="K131">
    <cfRule type="cellIs" dxfId="238" priority="255" operator="lessThan">
      <formula>0</formula>
    </cfRule>
  </conditionalFormatting>
  <conditionalFormatting sqref="K127">
    <cfRule type="cellIs" dxfId="237" priority="254" operator="lessThan">
      <formula>0</formula>
    </cfRule>
  </conditionalFormatting>
  <conditionalFormatting sqref="K128">
    <cfRule type="cellIs" dxfId="236" priority="253" operator="lessThan">
      <formula>0</formula>
    </cfRule>
  </conditionalFormatting>
  <conditionalFormatting sqref="K130">
    <cfRule type="cellIs" dxfId="235" priority="252" operator="lessThan">
      <formula>0</formula>
    </cfRule>
  </conditionalFormatting>
  <conditionalFormatting sqref="K130">
    <cfRule type="cellIs" dxfId="234" priority="251" operator="lessThan">
      <formula>0</formula>
    </cfRule>
  </conditionalFormatting>
  <conditionalFormatting sqref="K230">
    <cfRule type="cellIs" dxfId="233" priority="250" operator="equal">
      <formula>0</formula>
    </cfRule>
  </conditionalFormatting>
  <conditionalFormatting sqref="L101:L102">
    <cfRule type="cellIs" dxfId="232" priority="249" operator="lessThan">
      <formula>0</formula>
    </cfRule>
  </conditionalFormatting>
  <conditionalFormatting sqref="L122:L124 L132 L148 L264:L266">
    <cfRule type="cellIs" dxfId="231" priority="248" operator="lessThan">
      <formula>0</formula>
    </cfRule>
  </conditionalFormatting>
  <conditionalFormatting sqref="L125:L129 L131">
    <cfRule type="cellIs" dxfId="230" priority="247" operator="lessThan">
      <formula>0</formula>
    </cfRule>
  </conditionalFormatting>
  <conditionalFormatting sqref="L265">
    <cfRule type="cellIs" dxfId="229" priority="246" operator="lessThan">
      <formula>0</formula>
    </cfRule>
  </conditionalFormatting>
  <conditionalFormatting sqref="L101:L102">
    <cfRule type="cellIs" dxfId="228" priority="245" operator="lessThan">
      <formula>0</formula>
    </cfRule>
  </conditionalFormatting>
  <conditionalFormatting sqref="L132 L122:L129">
    <cfRule type="cellIs" dxfId="227" priority="243" operator="lessThan">
      <formula>0</formula>
    </cfRule>
  </conditionalFormatting>
  <conditionalFormatting sqref="L148">
    <cfRule type="cellIs" dxfId="226" priority="242" operator="lessThan">
      <formula>0</formula>
    </cfRule>
  </conditionalFormatting>
  <conditionalFormatting sqref="L266">
    <cfRule type="cellIs" dxfId="225" priority="240" operator="lessThan">
      <formula>0</formula>
    </cfRule>
  </conditionalFormatting>
  <conditionalFormatting sqref="L264">
    <cfRule type="cellIs" dxfId="224" priority="241" operator="lessThan">
      <formula>0</formula>
    </cfRule>
  </conditionalFormatting>
  <conditionalFormatting sqref="L131">
    <cfRule type="cellIs" dxfId="223" priority="239" operator="lessThan">
      <formula>0</formula>
    </cfRule>
  </conditionalFormatting>
  <conditionalFormatting sqref="L127">
    <cfRule type="cellIs" dxfId="222" priority="238" operator="lessThan">
      <formula>0</formula>
    </cfRule>
  </conditionalFormatting>
  <conditionalFormatting sqref="L128">
    <cfRule type="cellIs" dxfId="221" priority="237" operator="lessThan">
      <formula>0</formula>
    </cfRule>
  </conditionalFormatting>
  <conditionalFormatting sqref="L130">
    <cfRule type="cellIs" dxfId="220" priority="236" operator="lessThan">
      <formula>0</formula>
    </cfRule>
  </conditionalFormatting>
  <conditionalFormatting sqref="L130">
    <cfRule type="cellIs" dxfId="219" priority="235" operator="lessThan">
      <formula>0</formula>
    </cfRule>
  </conditionalFormatting>
  <conditionalFormatting sqref="L230">
    <cfRule type="cellIs" dxfId="218" priority="234" operator="equal">
      <formula>0</formula>
    </cfRule>
  </conditionalFormatting>
  <conditionalFormatting sqref="M127">
    <cfRule type="cellIs" dxfId="217" priority="217" operator="lessThan">
      <formula>0</formula>
    </cfRule>
  </conditionalFormatting>
  <conditionalFormatting sqref="N265">
    <cfRule type="cellIs" dxfId="216" priority="216" operator="lessThan">
      <formula>0</formula>
    </cfRule>
  </conditionalFormatting>
  <conditionalFormatting sqref="N101:N102">
    <cfRule type="cellIs" dxfId="215" priority="215" operator="lessThan">
      <formula>0</formula>
    </cfRule>
  </conditionalFormatting>
  <conditionalFormatting sqref="N132 N122:N126 N128:N129">
    <cfRule type="cellIs" dxfId="214" priority="214" operator="lessThan">
      <formula>0</formula>
    </cfRule>
  </conditionalFormatting>
  <conditionalFormatting sqref="N148">
    <cfRule type="cellIs" dxfId="213" priority="213" operator="lessThan">
      <formula>0</formula>
    </cfRule>
  </conditionalFormatting>
  <conditionalFormatting sqref="N266">
    <cfRule type="cellIs" dxfId="212" priority="211" operator="lessThan">
      <formula>0</formula>
    </cfRule>
  </conditionalFormatting>
  <conditionalFormatting sqref="N264">
    <cfRule type="cellIs" dxfId="211" priority="212" operator="lessThan">
      <formula>0</formula>
    </cfRule>
  </conditionalFormatting>
  <conditionalFormatting sqref="N131">
    <cfRule type="cellIs" dxfId="210" priority="210" operator="lessThan">
      <formula>0</formula>
    </cfRule>
  </conditionalFormatting>
  <conditionalFormatting sqref="N128">
    <cfRule type="cellIs" dxfId="209" priority="209" operator="lessThan">
      <formula>0</formula>
    </cfRule>
  </conditionalFormatting>
  <conditionalFormatting sqref="N130">
    <cfRule type="cellIs" dxfId="208" priority="208" operator="lessThan">
      <formula>0</formula>
    </cfRule>
  </conditionalFormatting>
  <conditionalFormatting sqref="N230">
    <cfRule type="cellIs" dxfId="207" priority="206" operator="equal">
      <formula>0</formula>
    </cfRule>
  </conditionalFormatting>
  <conditionalFormatting sqref="N127">
    <cfRule type="cellIs" dxfId="206" priority="205" operator="lessThan">
      <formula>0</formula>
    </cfRule>
  </conditionalFormatting>
  <conditionalFormatting sqref="O265">
    <cfRule type="cellIs" dxfId="205" priority="204" operator="lessThan">
      <formula>0</formula>
    </cfRule>
  </conditionalFormatting>
  <conditionalFormatting sqref="O101:O102">
    <cfRule type="cellIs" dxfId="204" priority="203" operator="lessThan">
      <formula>0</formula>
    </cfRule>
  </conditionalFormatting>
  <conditionalFormatting sqref="O132 O122:O126 O128:O129">
    <cfRule type="cellIs" dxfId="203" priority="202" operator="lessThan">
      <formula>0</formula>
    </cfRule>
  </conditionalFormatting>
  <conditionalFormatting sqref="O148">
    <cfRule type="cellIs" dxfId="202" priority="201" operator="lessThan">
      <formula>0</formula>
    </cfRule>
  </conditionalFormatting>
  <conditionalFormatting sqref="O266">
    <cfRule type="cellIs" dxfId="201" priority="199" operator="lessThan">
      <formula>0</formula>
    </cfRule>
  </conditionalFormatting>
  <conditionalFormatting sqref="O264">
    <cfRule type="cellIs" dxfId="200" priority="200" operator="lessThan">
      <formula>0</formula>
    </cfRule>
  </conditionalFormatting>
  <conditionalFormatting sqref="O131">
    <cfRule type="cellIs" dxfId="199" priority="198" operator="lessThan">
      <formula>0</formula>
    </cfRule>
  </conditionalFormatting>
  <conditionalFormatting sqref="O128">
    <cfRule type="cellIs" dxfId="198" priority="197" operator="lessThan">
      <formula>0</formula>
    </cfRule>
  </conditionalFormatting>
  <conditionalFormatting sqref="O130">
    <cfRule type="cellIs" dxfId="197" priority="196" operator="lessThan">
      <formula>0</formula>
    </cfRule>
  </conditionalFormatting>
  <conditionalFormatting sqref="O230">
    <cfRule type="cellIs" dxfId="196" priority="194" operator="equal">
      <formula>0</formula>
    </cfRule>
  </conditionalFormatting>
  <conditionalFormatting sqref="O127">
    <cfRule type="cellIs" dxfId="195" priority="193" operator="lessThan">
      <formula>0</formula>
    </cfRule>
  </conditionalFormatting>
  <conditionalFormatting sqref="AA101:AA102">
    <cfRule type="cellIs" dxfId="194" priority="182" operator="lessThan">
      <formula>0</formula>
    </cfRule>
  </conditionalFormatting>
  <conditionalFormatting sqref="AA122:AA132 AA115">
    <cfRule type="cellIs" dxfId="193" priority="181" operator="lessThan">
      <formula>0</formula>
    </cfRule>
  </conditionalFormatting>
  <conditionalFormatting sqref="AA127">
    <cfRule type="cellIs" dxfId="192" priority="180" operator="lessThan">
      <formula>0</formula>
    </cfRule>
  </conditionalFormatting>
  <conditionalFormatting sqref="AA115">
    <cfRule type="cellIs" dxfId="191" priority="179" operator="lessThan">
      <formula>0</formula>
    </cfRule>
  </conditionalFormatting>
  <conditionalFormatting sqref="P265">
    <cfRule type="cellIs" dxfId="190" priority="164" operator="lessThan">
      <formula>0</formula>
    </cfRule>
  </conditionalFormatting>
  <conditionalFormatting sqref="P101:P102">
    <cfRule type="cellIs" dxfId="189" priority="163" operator="lessThan">
      <formula>0</formula>
    </cfRule>
  </conditionalFormatting>
  <conditionalFormatting sqref="P132 P122:P126 P128:P129">
    <cfRule type="cellIs" dxfId="188" priority="162" operator="lessThan">
      <formula>0</formula>
    </cfRule>
  </conditionalFormatting>
  <conditionalFormatting sqref="P148">
    <cfRule type="cellIs" dxfId="187" priority="161" operator="lessThan">
      <formula>0</formula>
    </cfRule>
  </conditionalFormatting>
  <conditionalFormatting sqref="P266">
    <cfRule type="cellIs" dxfId="186" priority="159" operator="lessThan">
      <formula>0</formula>
    </cfRule>
  </conditionalFormatting>
  <conditionalFormatting sqref="P264">
    <cfRule type="cellIs" dxfId="185" priority="160" operator="lessThan">
      <formula>0</formula>
    </cfRule>
  </conditionalFormatting>
  <conditionalFormatting sqref="P131">
    <cfRule type="cellIs" dxfId="184" priority="158" operator="lessThan">
      <formula>0</formula>
    </cfRule>
  </conditionalFormatting>
  <conditionalFormatting sqref="P128">
    <cfRule type="cellIs" dxfId="183" priority="157" operator="lessThan">
      <formula>0</formula>
    </cfRule>
  </conditionalFormatting>
  <conditionalFormatting sqref="P130">
    <cfRule type="cellIs" dxfId="182" priority="156" operator="lessThan">
      <formula>0</formula>
    </cfRule>
  </conditionalFormatting>
  <conditionalFormatting sqref="P230">
    <cfRule type="cellIs" dxfId="181" priority="154" operator="equal">
      <formula>0</formula>
    </cfRule>
  </conditionalFormatting>
  <conditionalFormatting sqref="P127">
    <cfRule type="cellIs" dxfId="180" priority="153" operator="lessThan">
      <formula>0</formula>
    </cfRule>
  </conditionalFormatting>
  <conditionalFormatting sqref="Q265">
    <cfRule type="cellIs" dxfId="179" priority="152" operator="lessThan">
      <formula>0</formula>
    </cfRule>
  </conditionalFormatting>
  <conditionalFormatting sqref="Q101:Q102">
    <cfRule type="cellIs" dxfId="178" priority="151" operator="lessThan">
      <formula>0</formula>
    </cfRule>
  </conditionalFormatting>
  <conditionalFormatting sqref="Q132 Q122:Q126 Q128:Q129">
    <cfRule type="cellIs" dxfId="177" priority="150" operator="lessThan">
      <formula>0</formula>
    </cfRule>
  </conditionalFormatting>
  <conditionalFormatting sqref="Q148">
    <cfRule type="cellIs" dxfId="176" priority="149" operator="lessThan">
      <formula>0</formula>
    </cfRule>
  </conditionalFormatting>
  <conditionalFormatting sqref="Q266">
    <cfRule type="cellIs" dxfId="175" priority="147" operator="lessThan">
      <formula>0</formula>
    </cfRule>
  </conditionalFormatting>
  <conditionalFormatting sqref="Q264">
    <cfRule type="cellIs" dxfId="174" priority="148" operator="lessThan">
      <formula>0</formula>
    </cfRule>
  </conditionalFormatting>
  <conditionalFormatting sqref="Q131">
    <cfRule type="cellIs" dxfId="173" priority="146" operator="lessThan">
      <formula>0</formula>
    </cfRule>
  </conditionalFormatting>
  <conditionalFormatting sqref="Q128">
    <cfRule type="cellIs" dxfId="172" priority="145" operator="lessThan">
      <formula>0</formula>
    </cfRule>
  </conditionalFormatting>
  <conditionalFormatting sqref="Q130">
    <cfRule type="cellIs" dxfId="171" priority="144" operator="lessThan">
      <formula>0</formula>
    </cfRule>
  </conditionalFormatting>
  <conditionalFormatting sqref="Q230">
    <cfRule type="cellIs" dxfId="170" priority="142" operator="equal">
      <formula>0</formula>
    </cfRule>
  </conditionalFormatting>
  <conditionalFormatting sqref="Q127">
    <cfRule type="cellIs" dxfId="169" priority="141" operator="lessThan">
      <formula>0</formula>
    </cfRule>
  </conditionalFormatting>
  <conditionalFormatting sqref="R127">
    <cfRule type="cellIs" dxfId="168" priority="129" operator="lessThan">
      <formula>0</formula>
    </cfRule>
  </conditionalFormatting>
  <conditionalFormatting sqref="R265">
    <cfRule type="cellIs" dxfId="167" priority="140" operator="lessThan">
      <formula>0</formula>
    </cfRule>
  </conditionalFormatting>
  <conditionalFormatting sqref="R101:R102">
    <cfRule type="cellIs" dxfId="166" priority="139" operator="lessThan">
      <formula>0</formula>
    </cfRule>
  </conditionalFormatting>
  <conditionalFormatting sqref="R132 R122:R126 R129">
    <cfRule type="cellIs" dxfId="165" priority="138" operator="lessThan">
      <formula>0</formula>
    </cfRule>
  </conditionalFormatting>
  <conditionalFormatting sqref="R148">
    <cfRule type="cellIs" dxfId="164" priority="137" operator="lessThan">
      <formula>0</formula>
    </cfRule>
  </conditionalFormatting>
  <conditionalFormatting sqref="R266">
    <cfRule type="cellIs" dxfId="163" priority="135" operator="lessThan">
      <formula>0</formula>
    </cfRule>
  </conditionalFormatting>
  <conditionalFormatting sqref="R264">
    <cfRule type="cellIs" dxfId="162" priority="136" operator="lessThan">
      <formula>0</formula>
    </cfRule>
  </conditionalFormatting>
  <conditionalFormatting sqref="R131">
    <cfRule type="cellIs" dxfId="161" priority="134" operator="lessThan">
      <formula>0</formula>
    </cfRule>
  </conditionalFormatting>
  <conditionalFormatting sqref="R130">
    <cfRule type="cellIs" dxfId="160" priority="132" operator="lessThan">
      <formula>0</formula>
    </cfRule>
  </conditionalFormatting>
  <conditionalFormatting sqref="R230">
    <cfRule type="cellIs" dxfId="159" priority="130" operator="equal">
      <formula>0</formula>
    </cfRule>
  </conditionalFormatting>
  <conditionalFormatting sqref="R128">
    <cfRule type="cellIs" dxfId="158" priority="128" operator="lessThan">
      <formula>0</formula>
    </cfRule>
  </conditionalFormatting>
  <conditionalFormatting sqref="R128">
    <cfRule type="cellIs" dxfId="157" priority="127" operator="lessThan">
      <formula>0</formula>
    </cfRule>
  </conditionalFormatting>
  <conditionalFormatting sqref="S127">
    <cfRule type="cellIs" dxfId="156" priority="114" operator="lessThan">
      <formula>0</formula>
    </cfRule>
  </conditionalFormatting>
  <conditionalFormatting sqref="S265">
    <cfRule type="cellIs" dxfId="155" priority="124" operator="lessThan">
      <formula>0</formula>
    </cfRule>
  </conditionalFormatting>
  <conditionalFormatting sqref="S101:S102">
    <cfRule type="cellIs" dxfId="154" priority="123" operator="lessThan">
      <formula>0</formula>
    </cfRule>
  </conditionalFormatting>
  <conditionalFormatting sqref="S132 S122:S126 S129">
    <cfRule type="cellIs" dxfId="153" priority="122" operator="lessThan">
      <formula>0</formula>
    </cfRule>
  </conditionalFormatting>
  <conditionalFormatting sqref="S148">
    <cfRule type="cellIs" dxfId="152" priority="121" operator="lessThan">
      <formula>0</formula>
    </cfRule>
  </conditionalFormatting>
  <conditionalFormatting sqref="S266">
    <cfRule type="cellIs" dxfId="151" priority="119" operator="lessThan">
      <formula>0</formula>
    </cfRule>
  </conditionalFormatting>
  <conditionalFormatting sqref="S264">
    <cfRule type="cellIs" dxfId="150" priority="120" operator="lessThan">
      <formula>0</formula>
    </cfRule>
  </conditionalFormatting>
  <conditionalFormatting sqref="S131">
    <cfRule type="cellIs" dxfId="149" priority="118" operator="lessThan">
      <formula>0</formula>
    </cfRule>
  </conditionalFormatting>
  <conditionalFormatting sqref="S130">
    <cfRule type="cellIs" dxfId="148" priority="117" operator="lessThan">
      <formula>0</formula>
    </cfRule>
  </conditionalFormatting>
  <conditionalFormatting sqref="S128">
    <cfRule type="cellIs" dxfId="147" priority="113" operator="lessThan">
      <formula>0</formula>
    </cfRule>
  </conditionalFormatting>
  <conditionalFormatting sqref="S128">
    <cfRule type="cellIs" dxfId="146" priority="112" operator="lessThan">
      <formula>0</formula>
    </cfRule>
  </conditionalFormatting>
  <conditionalFormatting sqref="T101:Z102">
    <cfRule type="cellIs" dxfId="145" priority="105" operator="lessThan">
      <formula>0</formula>
    </cfRule>
  </conditionalFormatting>
  <conditionalFormatting sqref="T127:Z127">
    <cfRule type="cellIs" dxfId="144" priority="103" operator="lessThan">
      <formula>0</formula>
    </cfRule>
  </conditionalFormatting>
  <conditionalFormatting sqref="T115:Z115">
    <cfRule type="cellIs" dxfId="143" priority="102" operator="lessThan">
      <formula>0</formula>
    </cfRule>
  </conditionalFormatting>
  <conditionalFormatting sqref="U264:U266">
    <cfRule type="cellIs" dxfId="142" priority="101" operator="lessThan">
      <formula>0</formula>
    </cfRule>
  </conditionalFormatting>
  <conditionalFormatting sqref="S230:AA230">
    <cfRule type="cellIs" dxfId="141" priority="100" operator="equal">
      <formula>0</formula>
    </cfRule>
  </conditionalFormatting>
  <conditionalFormatting sqref="V264:V266">
    <cfRule type="cellIs" dxfId="140" priority="98" operator="lessThan">
      <formula>0</formula>
    </cfRule>
  </conditionalFormatting>
  <conditionalFormatting sqref="T264:T266">
    <cfRule type="cellIs" dxfId="139" priority="96" operator="lessThan">
      <formula>0</formula>
    </cfRule>
  </conditionalFormatting>
  <conditionalFormatting sqref="H115">
    <cfRule type="cellIs" dxfId="138" priority="93" operator="lessThan">
      <formula>0</formula>
    </cfRule>
  </conditionalFormatting>
  <conditionalFormatting sqref="H115">
    <cfRule type="cellIs" dxfId="137" priority="92" operator="lessThan">
      <formula>0</formula>
    </cfRule>
  </conditionalFormatting>
  <conditionalFormatting sqref="I115">
    <cfRule type="cellIs" dxfId="136" priority="91" operator="lessThan">
      <formula>0</formula>
    </cfRule>
  </conditionalFormatting>
  <conditionalFormatting sqref="I115">
    <cfRule type="cellIs" dxfId="135" priority="90" operator="lessThan">
      <formula>0</formula>
    </cfRule>
  </conditionalFormatting>
  <conditionalFormatting sqref="J115">
    <cfRule type="cellIs" dxfId="134" priority="89" operator="lessThan">
      <formula>0</formula>
    </cfRule>
  </conditionalFormatting>
  <conditionalFormatting sqref="J115">
    <cfRule type="cellIs" dxfId="133" priority="88" operator="lessThan">
      <formula>0</formula>
    </cfRule>
  </conditionalFormatting>
  <conditionalFormatting sqref="L115">
    <cfRule type="cellIs" dxfId="132" priority="87" operator="lessThan">
      <formula>0</formula>
    </cfRule>
  </conditionalFormatting>
  <conditionalFormatting sqref="L115">
    <cfRule type="cellIs" dxfId="131" priority="86" operator="lessThan">
      <formula>0</formula>
    </cfRule>
  </conditionalFormatting>
  <conditionalFormatting sqref="K115">
    <cfRule type="cellIs" dxfId="130" priority="85" operator="lessThan">
      <formula>0</formula>
    </cfRule>
  </conditionalFormatting>
  <conditionalFormatting sqref="K115">
    <cfRule type="cellIs" dxfId="129" priority="84" operator="lessThan">
      <formula>0</formula>
    </cfRule>
  </conditionalFormatting>
  <conditionalFormatting sqref="M115">
    <cfRule type="cellIs" dxfId="128" priority="83" operator="lessThan">
      <formula>0</formula>
    </cfRule>
  </conditionalFormatting>
  <conditionalFormatting sqref="M115">
    <cfRule type="cellIs" dxfId="127" priority="82" operator="lessThan">
      <formula>0</formula>
    </cfRule>
  </conditionalFormatting>
  <conditionalFormatting sqref="N115">
    <cfRule type="cellIs" dxfId="126" priority="81" operator="lessThan">
      <formula>0</formula>
    </cfRule>
  </conditionalFormatting>
  <conditionalFormatting sqref="N115">
    <cfRule type="cellIs" dxfId="125" priority="80" operator="lessThan">
      <formula>0</formula>
    </cfRule>
  </conditionalFormatting>
  <conditionalFormatting sqref="O115">
    <cfRule type="cellIs" dxfId="124" priority="79" operator="lessThan">
      <formula>0</formula>
    </cfRule>
  </conditionalFormatting>
  <conditionalFormatting sqref="O115">
    <cfRule type="cellIs" dxfId="123" priority="78" operator="lessThan">
      <formula>0</formula>
    </cfRule>
  </conditionalFormatting>
  <conditionalFormatting sqref="P115">
    <cfRule type="cellIs" dxfId="122" priority="77" operator="lessThan">
      <formula>0</formula>
    </cfRule>
  </conditionalFormatting>
  <conditionalFormatting sqref="P115">
    <cfRule type="cellIs" dxfId="121" priority="76" operator="lessThan">
      <formula>0</formula>
    </cfRule>
  </conditionalFormatting>
  <conditionalFormatting sqref="Q115">
    <cfRule type="cellIs" dxfId="120" priority="75" operator="lessThan">
      <formula>0</formula>
    </cfRule>
  </conditionalFormatting>
  <conditionalFormatting sqref="Q115">
    <cfRule type="cellIs" dxfId="119" priority="74" operator="lessThan">
      <formula>0</formula>
    </cfRule>
  </conditionalFormatting>
  <conditionalFormatting sqref="R115">
    <cfRule type="cellIs" dxfId="118" priority="73" operator="lessThan">
      <formula>0</formula>
    </cfRule>
  </conditionalFormatting>
  <conditionalFormatting sqref="R115">
    <cfRule type="cellIs" dxfId="117" priority="72" operator="lessThan">
      <formula>0</formula>
    </cfRule>
  </conditionalFormatting>
  <conditionalFormatting sqref="S115">
    <cfRule type="cellIs" dxfId="116" priority="71" operator="lessThan">
      <formula>0</formula>
    </cfRule>
  </conditionalFormatting>
  <conditionalFormatting sqref="S115">
    <cfRule type="cellIs" dxfId="115" priority="70" operator="lessThan">
      <formula>0</formula>
    </cfRule>
  </conditionalFormatting>
  <conditionalFormatting sqref="Z264:Z266">
    <cfRule type="cellIs" dxfId="114" priority="69" operator="lessThan">
      <formula>0</formula>
    </cfRule>
  </conditionalFormatting>
  <conditionalFormatting sqref="W264:W266">
    <cfRule type="cellIs" dxfId="113" priority="68" operator="lessThan">
      <formula>0</formula>
    </cfRule>
  </conditionalFormatting>
  <conditionalFormatting sqref="X264:X266">
    <cfRule type="cellIs" dxfId="112" priority="67" operator="lessThan">
      <formula>0</formula>
    </cfRule>
  </conditionalFormatting>
  <conditionalFormatting sqref="Y264:Y266">
    <cfRule type="cellIs" dxfId="111" priority="66" operator="lessThan">
      <formula>0</formula>
    </cfRule>
  </conditionalFormatting>
  <conditionalFormatting sqref="AA264:AA266 AB264:AB265">
    <cfRule type="cellIs" dxfId="110" priority="64" operator="lessThan">
      <formula>0</formula>
    </cfRule>
  </conditionalFormatting>
  <conditionalFormatting sqref="AC264:AC265">
    <cfRule type="cellIs" dxfId="109" priority="63" operator="lessThan">
      <formula>0</formula>
    </cfRule>
  </conditionalFormatting>
  <conditionalFormatting sqref="AD264:AD265">
    <cfRule type="cellIs" dxfId="108" priority="62" operator="lessThan">
      <formula>0</formula>
    </cfRule>
  </conditionalFormatting>
  <conditionalFormatting sqref="BF52 AF52:AO52">
    <cfRule type="cellIs" dxfId="107" priority="56" operator="equal">
      <formula>0</formula>
    </cfRule>
  </conditionalFormatting>
  <conditionalFormatting sqref="BF80 AF80:AO80">
    <cfRule type="cellIs" dxfId="106" priority="55" operator="equal">
      <formula>0</formula>
    </cfRule>
  </conditionalFormatting>
  <conditionalFormatting sqref="BF102 AF102:AO102">
    <cfRule type="cellIs" dxfId="105" priority="54" operator="equal">
      <formula>0</formula>
    </cfRule>
  </conditionalFormatting>
  <conditionalFormatting sqref="AK117:AO117">
    <cfRule type="cellIs" dxfId="104" priority="51" operator="equal">
      <formula>0</formula>
    </cfRule>
  </conditionalFormatting>
  <conditionalFormatting sqref="AE187:AO187">
    <cfRule type="cellIs" dxfId="103" priority="50" operator="equal">
      <formula>0</formula>
    </cfRule>
  </conditionalFormatting>
  <conditionalFormatting sqref="AE176:AO176">
    <cfRule type="cellIs" dxfId="102" priority="49" operator="equal">
      <formula>0</formula>
    </cfRule>
  </conditionalFormatting>
  <conditionalFormatting sqref="AK203:AO203">
    <cfRule type="cellIs" dxfId="101" priority="48" operator="equal">
      <formula>0</formula>
    </cfRule>
  </conditionalFormatting>
  <conditionalFormatting sqref="AK219:AO219">
    <cfRule type="cellIs" dxfId="100" priority="47" operator="equal">
      <formula>0</formula>
    </cfRule>
  </conditionalFormatting>
  <conditionalFormatting sqref="AE219">
    <cfRule type="cellIs" dxfId="99" priority="46" operator="equal">
      <formula>0</formula>
    </cfRule>
  </conditionalFormatting>
  <conditionalFormatting sqref="AE264:AE265">
    <cfRule type="cellIs" dxfId="98" priority="45" operator="lessThan">
      <formula>0</formula>
    </cfRule>
  </conditionalFormatting>
  <conditionalFormatting sqref="AF264:AF265">
    <cfRule type="cellIs" dxfId="97" priority="44" operator="lessThan">
      <formula>0</formula>
    </cfRule>
  </conditionalFormatting>
  <conditionalFormatting sqref="AF117:AJ117">
    <cfRule type="cellIs" dxfId="96" priority="43" operator="equal">
      <formula>0</formula>
    </cfRule>
  </conditionalFormatting>
  <conditionalFormatting sqref="AP127:BC127">
    <cfRule type="cellIs" dxfId="95" priority="19" operator="lessThan">
      <formula>0</formula>
    </cfRule>
  </conditionalFormatting>
  <conditionalFormatting sqref="AP265:BC265">
    <cfRule type="cellIs" dxfId="94" priority="28" operator="lessThan">
      <formula>0</formula>
    </cfRule>
  </conditionalFormatting>
  <conditionalFormatting sqref="AP101:AQ102">
    <cfRule type="cellIs" dxfId="93" priority="27" operator="lessThan">
      <formula>0</formula>
    </cfRule>
  </conditionalFormatting>
  <conditionalFormatting sqref="AP132:BC132 AP122:BC126 AP129:BC129">
    <cfRule type="cellIs" dxfId="92" priority="26" operator="lessThan">
      <formula>0</formula>
    </cfRule>
  </conditionalFormatting>
  <conditionalFormatting sqref="AP266:BC266">
    <cfRule type="cellIs" dxfId="91" priority="23" operator="lessThan">
      <formula>0</formula>
    </cfRule>
  </conditionalFormatting>
  <conditionalFormatting sqref="AP264:BC264">
    <cfRule type="cellIs" dxfId="90" priority="24" operator="lessThan">
      <formula>0</formula>
    </cfRule>
  </conditionalFormatting>
  <conditionalFormatting sqref="AP131:BC131">
    <cfRule type="cellIs" dxfId="89" priority="22" operator="lessThan">
      <formula>0</formula>
    </cfRule>
  </conditionalFormatting>
  <conditionalFormatting sqref="AP130:BC130">
    <cfRule type="cellIs" dxfId="88" priority="21" operator="lessThan">
      <formula>0</formula>
    </cfRule>
  </conditionalFormatting>
  <conditionalFormatting sqref="AP230:BC230">
    <cfRule type="cellIs" dxfId="87" priority="20" operator="equal">
      <formula>0</formula>
    </cfRule>
  </conditionalFormatting>
  <conditionalFormatting sqref="AP128:BC128">
    <cfRule type="cellIs" dxfId="86" priority="18" operator="lessThan">
      <formula>0</formula>
    </cfRule>
  </conditionalFormatting>
  <conditionalFormatting sqref="AP128:BC128">
    <cfRule type="cellIs" dxfId="85" priority="17" operator="lessThan">
      <formula>0</formula>
    </cfRule>
  </conditionalFormatting>
  <conditionalFormatting sqref="AP115:BC115">
    <cfRule type="cellIs" dxfId="84" priority="16" operator="lessThan">
      <formula>0</formula>
    </cfRule>
  </conditionalFormatting>
  <conditionalFormatting sqref="AP115:BC115">
    <cfRule type="cellIs" dxfId="83" priority="15" operator="lessThan">
      <formula>0</formula>
    </cfRule>
  </conditionalFormatting>
  <conditionalFormatting sqref="AR101:AR102">
    <cfRule type="cellIs" dxfId="82" priority="14" operator="lessThan">
      <formula>0</formula>
    </cfRule>
  </conditionalFormatting>
  <conditionalFormatting sqref="AS101:AS102">
    <cfRule type="cellIs" dxfId="81" priority="13" operator="lessThan">
      <formula>0</formula>
    </cfRule>
  </conditionalFormatting>
  <conditionalFormatting sqref="AT101:AT102">
    <cfRule type="cellIs" dxfId="80" priority="12" operator="lessThan">
      <formula>0</formula>
    </cfRule>
  </conditionalFormatting>
  <conditionalFormatting sqref="AU101:AU102">
    <cfRule type="cellIs" dxfId="79" priority="11" operator="lessThan">
      <formula>0</formula>
    </cfRule>
  </conditionalFormatting>
  <conditionalFormatting sqref="AV101:AV102">
    <cfRule type="cellIs" dxfId="78" priority="10" operator="lessThan">
      <formula>0</formula>
    </cfRule>
  </conditionalFormatting>
  <conditionalFormatting sqref="AW101:AW102">
    <cfRule type="cellIs" dxfId="77" priority="9" operator="lessThan">
      <formula>0</formula>
    </cfRule>
  </conditionalFormatting>
  <conditionalFormatting sqref="AX101:AX102">
    <cfRule type="cellIs" dxfId="76" priority="8" operator="lessThan">
      <formula>0</formula>
    </cfRule>
  </conditionalFormatting>
  <conditionalFormatting sqref="AY101:AY102">
    <cfRule type="cellIs" dxfId="75" priority="7" operator="lessThan">
      <formula>0</formula>
    </cfRule>
  </conditionalFormatting>
  <conditionalFormatting sqref="AZ101:AZ102">
    <cfRule type="cellIs" dxfId="74" priority="6" operator="lessThan">
      <formula>0</formula>
    </cfRule>
  </conditionalFormatting>
  <conditionalFormatting sqref="BA101:BA102">
    <cfRule type="cellIs" dxfId="73" priority="5" operator="lessThan">
      <formula>0</formula>
    </cfRule>
  </conditionalFormatting>
  <conditionalFormatting sqref="BB101:BB102">
    <cfRule type="cellIs" dxfId="72" priority="4" operator="lessThan">
      <formula>0</formula>
    </cfRule>
  </conditionalFormatting>
  <conditionalFormatting sqref="BC101:BC102">
    <cfRule type="cellIs" dxfId="71" priority="3" operator="lessThan">
      <formula>0</formula>
    </cfRule>
  </conditionalFormatting>
  <conditionalFormatting sqref="BG101:BG102">
    <cfRule type="cellIs" dxfId="70" priority="2" operator="lessThan">
      <formula>0</formula>
    </cfRule>
  </conditionalFormatting>
  <conditionalFormatting sqref="AR29:BC29">
    <cfRule type="colorScale" priority="1">
      <colorScale>
        <cfvo type="num" val="$F$29/4"/>
        <cfvo type="num" val="$F$29/2"/>
        <cfvo type="num" val="$F$29"/>
        <color rgb="FFF8696B"/>
        <color rgb="FFFFEB84"/>
        <color rgb="FF63BE7B"/>
      </colorScale>
    </cfRule>
  </conditionalFormatting>
  <pageMargins left="0.75" right="0.75" top="1" bottom="1" header="0.5" footer="0.5"/>
  <pageSetup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B423E-A93C-4AE9-98CC-CE83F0D7CEA0}">
  <sheetPr codeName="Sheet15">
    <tabColor theme="9" tint="0.79998168889431442"/>
  </sheetPr>
  <dimension ref="A1:S31"/>
  <sheetViews>
    <sheetView showGridLines="0" zoomScale="110" zoomScaleNormal="110" workbookViewId="0">
      <selection activeCell="P4" sqref="P4"/>
    </sheetView>
  </sheetViews>
  <sheetFormatPr defaultRowHeight="14.4" x14ac:dyDescent="0.3"/>
  <cols>
    <col min="1" max="1" width="12" customWidth="1"/>
    <col min="2" max="2" width="23.6640625" customWidth="1"/>
    <col min="4" max="4" width="15.33203125" customWidth="1"/>
    <col min="5" max="5" width="39.44140625" customWidth="1"/>
    <col min="6" max="6" width="10.6640625" bestFit="1" customWidth="1"/>
    <col min="9" max="9" width="24.5546875" customWidth="1"/>
    <col min="10" max="12" width="7.88671875" customWidth="1"/>
    <col min="13" max="13" width="7.33203125" customWidth="1"/>
    <col min="14" max="14" width="2.109375" customWidth="1"/>
    <col min="15" max="15" width="14.33203125" customWidth="1"/>
    <col min="16" max="18" width="7.33203125" customWidth="1"/>
  </cols>
  <sheetData>
    <row r="1" spans="1:19" x14ac:dyDescent="0.3">
      <c r="A1" s="1779" t="s">
        <v>1319</v>
      </c>
      <c r="B1" s="1779"/>
      <c r="C1" s="1779"/>
      <c r="D1" s="1779"/>
      <c r="E1" s="1779"/>
      <c r="F1" s="1779"/>
      <c r="I1" s="1778" t="s">
        <v>1177</v>
      </c>
      <c r="J1" s="1778"/>
      <c r="K1" s="1778"/>
      <c r="L1" s="1778"/>
      <c r="M1" s="1778"/>
      <c r="N1" s="1778"/>
      <c r="O1" s="1778"/>
      <c r="P1" s="1778"/>
      <c r="Q1" s="1778"/>
      <c r="R1" s="1778"/>
      <c r="S1" s="1778"/>
    </row>
    <row r="2" spans="1:19" ht="15.6" x14ac:dyDescent="0.3">
      <c r="A2" s="1340"/>
      <c r="B2" s="1341" t="s">
        <v>1178</v>
      </c>
      <c r="C2" s="1342" t="s">
        <v>1179</v>
      </c>
      <c r="D2" s="1342"/>
      <c r="E2" s="1341" t="s">
        <v>1180</v>
      </c>
      <c r="F2" s="1342" t="s">
        <v>1179</v>
      </c>
      <c r="I2" s="1476" t="s">
        <v>1178</v>
      </c>
      <c r="J2" s="1477">
        <v>2023</v>
      </c>
      <c r="K2" s="1477">
        <v>2024</v>
      </c>
      <c r="L2" s="1477">
        <v>2025</v>
      </c>
      <c r="M2" s="1478" t="s">
        <v>142</v>
      </c>
      <c r="O2" s="1476" t="s">
        <v>1180</v>
      </c>
      <c r="P2" s="1477">
        <f>J2</f>
        <v>2023</v>
      </c>
      <c r="Q2" s="1477">
        <f>K2</f>
        <v>2024</v>
      </c>
      <c r="R2" s="1477">
        <f>L2</f>
        <v>2025</v>
      </c>
      <c r="S2" s="1478" t="s">
        <v>142</v>
      </c>
    </row>
    <row r="3" spans="1:19" ht="15.6" customHeight="1" x14ac:dyDescent="0.3">
      <c r="A3" s="1780" t="s">
        <v>1181</v>
      </c>
      <c r="B3" s="1343" t="s">
        <v>1182</v>
      </c>
      <c r="C3" s="1344">
        <v>1975</v>
      </c>
      <c r="D3" s="184"/>
      <c r="E3" s="1345" t="s">
        <v>1183</v>
      </c>
      <c r="F3" s="184">
        <f>4900-F9-SUM(F4:F5)</f>
        <v>1350</v>
      </c>
      <c r="I3" s="1479" t="s">
        <v>1320</v>
      </c>
      <c r="J3" s="1480">
        <f>P11-SUM(J4:J8)</f>
        <v>1300.5</v>
      </c>
      <c r="K3" s="1481">
        <v>0</v>
      </c>
      <c r="L3" s="1481">
        <v>0</v>
      </c>
      <c r="M3" s="1482">
        <f>SUM(J3:L3)</f>
        <v>1300.5</v>
      </c>
      <c r="N3" s="376"/>
      <c r="O3" s="1479" t="s">
        <v>1321</v>
      </c>
      <c r="P3" s="1481">
        <f>1150-P5</f>
        <v>1035</v>
      </c>
      <c r="Q3" s="1483">
        <f>K8</f>
        <v>339.59859399999999</v>
      </c>
      <c r="R3" s="1483">
        <v>343.67377712800044</v>
      </c>
      <c r="S3" s="1482">
        <f t="shared" ref="S3:S10" si="0">SUM(P3:R3)</f>
        <v>1718.2723711280005</v>
      </c>
    </row>
    <row r="4" spans="1:19" ht="15.6" x14ac:dyDescent="0.3">
      <c r="A4" s="1781"/>
      <c r="B4" s="1345" t="s">
        <v>1184</v>
      </c>
      <c r="C4" s="1346">
        <v>500</v>
      </c>
      <c r="D4" s="1346"/>
      <c r="E4" s="1345" t="s">
        <v>1185</v>
      </c>
      <c r="F4" s="184">
        <f>C4</f>
        <v>500</v>
      </c>
      <c r="I4" s="1479" t="s">
        <v>1184</v>
      </c>
      <c r="J4" s="1480">
        <v>1000</v>
      </c>
      <c r="K4" s="1481">
        <v>0</v>
      </c>
      <c r="L4" s="1481">
        <v>0</v>
      </c>
      <c r="M4" s="1482">
        <f>SUM(J4:L4)</f>
        <v>1000</v>
      </c>
      <c r="N4" s="376"/>
      <c r="O4" s="1479" t="s">
        <v>1184</v>
      </c>
      <c r="P4" s="1481">
        <v>1000</v>
      </c>
      <c r="Q4" s="1481">
        <v>0</v>
      </c>
      <c r="R4" s="1481">
        <v>0</v>
      </c>
      <c r="S4" s="1482">
        <f t="shared" si="0"/>
        <v>1000</v>
      </c>
    </row>
    <row r="5" spans="1:19" ht="15.6" x14ac:dyDescent="0.3">
      <c r="A5" s="1781"/>
      <c r="B5" s="1345" t="s">
        <v>1186</v>
      </c>
      <c r="C5" s="212">
        <v>0</v>
      </c>
      <c r="D5" s="212"/>
      <c r="E5" s="1347" t="s">
        <v>1187</v>
      </c>
      <c r="F5" s="1348">
        <v>400</v>
      </c>
      <c r="I5" s="1479" t="s">
        <v>1517</v>
      </c>
      <c r="J5" s="1480">
        <v>0</v>
      </c>
      <c r="K5" s="1481">
        <f>P5</f>
        <v>115</v>
      </c>
      <c r="L5" s="1481">
        <v>0</v>
      </c>
      <c r="M5" s="1482">
        <f>SUM(J5:L5)</f>
        <v>115</v>
      </c>
      <c r="N5" s="376"/>
      <c r="O5" s="1479" t="s">
        <v>1517</v>
      </c>
      <c r="P5" s="1481">
        <v>115</v>
      </c>
      <c r="Q5" s="1481">
        <v>0</v>
      </c>
      <c r="R5" s="1481">
        <v>0</v>
      </c>
      <c r="S5" s="1482">
        <f t="shared" si="0"/>
        <v>115</v>
      </c>
    </row>
    <row r="6" spans="1:19" ht="15.6" x14ac:dyDescent="0.3">
      <c r="A6" s="1781"/>
      <c r="B6" s="1345" t="s">
        <v>1187</v>
      </c>
      <c r="C6" s="212">
        <v>0</v>
      </c>
      <c r="D6" s="212"/>
      <c r="E6" s="1345" t="s">
        <v>1188</v>
      </c>
      <c r="F6" s="1348">
        <v>0</v>
      </c>
      <c r="I6" s="1479" t="s">
        <v>1188</v>
      </c>
      <c r="J6" s="1537">
        <v>0</v>
      </c>
      <c r="K6" s="1481">
        <v>0</v>
      </c>
      <c r="L6" s="1481">
        <v>0</v>
      </c>
      <c r="M6" s="1482">
        <f>SUM(J6:L6)</f>
        <v>0</v>
      </c>
      <c r="N6" s="376"/>
      <c r="O6" s="1479" t="s">
        <v>1322</v>
      </c>
      <c r="P6" s="1480">
        <v>43</v>
      </c>
      <c r="Q6" s="1481">
        <v>0</v>
      </c>
      <c r="R6" s="1481">
        <v>0</v>
      </c>
      <c r="S6" s="1482">
        <f>SUM(P6:R6)</f>
        <v>43</v>
      </c>
    </row>
    <row r="7" spans="1:19" ht="15.6" x14ac:dyDescent="0.3">
      <c r="A7" s="1781"/>
      <c r="B7" s="1347" t="s">
        <v>1189</v>
      </c>
      <c r="C7" s="1349">
        <v>256</v>
      </c>
      <c r="D7" s="1350"/>
      <c r="E7" s="1347" t="s">
        <v>1190</v>
      </c>
      <c r="F7" s="1348">
        <v>349.99999999999989</v>
      </c>
      <c r="G7" s="376"/>
      <c r="H7" s="1351"/>
      <c r="I7" s="1479" t="s">
        <v>1353</v>
      </c>
      <c r="J7" s="1537">
        <v>0</v>
      </c>
      <c r="K7" s="1481">
        <v>0</v>
      </c>
      <c r="L7" s="1481">
        <v>0</v>
      </c>
      <c r="M7" s="1482"/>
      <c r="N7" s="376"/>
      <c r="O7" s="1479"/>
      <c r="P7" s="1480"/>
      <c r="Q7" s="1481"/>
      <c r="R7" s="1481"/>
      <c r="S7" s="1482"/>
    </row>
    <row r="8" spans="1:19" ht="15.6" x14ac:dyDescent="0.3">
      <c r="A8" s="1352"/>
      <c r="B8" s="1352"/>
      <c r="C8" s="1352"/>
      <c r="D8" s="1350"/>
      <c r="E8" s="1353" t="s">
        <v>1191</v>
      </c>
      <c r="F8" s="1354">
        <f>'All Statements'!AI212/1000</f>
        <v>130.53465</v>
      </c>
      <c r="I8" s="1484" t="s">
        <v>412</v>
      </c>
      <c r="J8" s="1485">
        <v>0</v>
      </c>
      <c r="K8" s="1485">
        <f>339.598594</f>
        <v>339.59859399999999</v>
      </c>
      <c r="L8" s="1485">
        <v>343.67377712800044</v>
      </c>
      <c r="M8" s="1498">
        <f>SUM(J8:L8)</f>
        <v>683.27237112800049</v>
      </c>
      <c r="O8" s="1484" t="s">
        <v>1323</v>
      </c>
      <c r="P8" s="1485">
        <v>107.5</v>
      </c>
      <c r="Q8" s="1485">
        <v>0</v>
      </c>
      <c r="R8" s="1485">
        <v>0</v>
      </c>
      <c r="S8" s="1498">
        <f>SUM(P8:R8)</f>
        <v>107.5</v>
      </c>
    </row>
    <row r="9" spans="1:19" ht="15.6" x14ac:dyDescent="0.3">
      <c r="A9" s="1781" t="s">
        <v>1192</v>
      </c>
      <c r="B9" s="1345" t="s">
        <v>1193</v>
      </c>
      <c r="C9" s="212">
        <v>2120</v>
      </c>
      <c r="D9" s="1350"/>
      <c r="E9" s="1345" t="s">
        <v>1194</v>
      </c>
      <c r="F9" s="1346">
        <f>SUM(C9:C10)</f>
        <v>2650</v>
      </c>
      <c r="I9" s="1479" t="s">
        <v>1193</v>
      </c>
      <c r="J9" s="1351"/>
      <c r="M9" s="1486">
        <f t="shared" ref="M9:M10" si="1">SUM(J9:L9)</f>
        <v>0</v>
      </c>
      <c r="O9" s="1479" t="s">
        <v>1324</v>
      </c>
      <c r="P9" s="376"/>
      <c r="Q9" s="1480">
        <v>0</v>
      </c>
      <c r="R9" s="1480">
        <v>0</v>
      </c>
      <c r="S9" s="395">
        <f>SUM(P9:R9)</f>
        <v>0</v>
      </c>
    </row>
    <row r="10" spans="1:19" ht="15.6" x14ac:dyDescent="0.3">
      <c r="A10" s="1782"/>
      <c r="B10" s="1355" t="s">
        <v>1195</v>
      </c>
      <c r="C10" s="1356">
        <v>530</v>
      </c>
      <c r="D10" s="1350"/>
      <c r="E10" s="1345" t="s">
        <v>1196</v>
      </c>
      <c r="F10" s="1346">
        <v>0</v>
      </c>
      <c r="I10" s="1487" t="s">
        <v>1195</v>
      </c>
      <c r="J10" s="1488"/>
      <c r="K10" s="1487"/>
      <c r="L10" s="1487"/>
      <c r="M10" s="1489">
        <f t="shared" si="1"/>
        <v>0</v>
      </c>
      <c r="N10" s="1490"/>
      <c r="O10" s="1491" t="s">
        <v>1196</v>
      </c>
      <c r="P10" s="1492"/>
      <c r="Q10" s="1492">
        <v>0</v>
      </c>
      <c r="R10" s="1492">
        <v>0</v>
      </c>
      <c r="S10" s="1493">
        <f t="shared" si="0"/>
        <v>0</v>
      </c>
    </row>
    <row r="11" spans="1:19" ht="15.6" x14ac:dyDescent="0.3">
      <c r="A11" s="1357"/>
      <c r="B11" s="1358" t="s">
        <v>1197</v>
      </c>
      <c r="C11" s="1359">
        <v>0</v>
      </c>
      <c r="D11" s="1350"/>
      <c r="E11" s="1340"/>
      <c r="F11" s="1340"/>
      <c r="I11" s="1479" t="s">
        <v>142</v>
      </c>
      <c r="J11" s="1510">
        <f>SUM(J3:J10)</f>
        <v>2300.5</v>
      </c>
      <c r="K11" s="1494">
        <f>SUM(K3:K9)</f>
        <v>454.59859399999999</v>
      </c>
      <c r="L11" s="1494">
        <f>SUM(L3:L9)</f>
        <v>343.67377712800044</v>
      </c>
      <c r="M11" s="1495">
        <f>SUM(M3:M10)</f>
        <v>3098.7723711280005</v>
      </c>
      <c r="O11" s="1496" t="s">
        <v>142</v>
      </c>
      <c r="P11" s="1497">
        <f>SUM(P3:P10)</f>
        <v>2300.5</v>
      </c>
      <c r="Q11" s="1497">
        <f>SUM(Q3:Q10)</f>
        <v>339.59859399999999</v>
      </c>
      <c r="R11" s="1497">
        <f>SUM(R3:R10)</f>
        <v>343.67377712800044</v>
      </c>
      <c r="S11" s="1495">
        <f>SUM(S3:S10)</f>
        <v>2983.7723711280005</v>
      </c>
    </row>
    <row r="12" spans="1:19" ht="15.6" x14ac:dyDescent="0.3">
      <c r="A12" s="1350"/>
      <c r="B12" s="1360" t="s">
        <v>142</v>
      </c>
      <c r="C12" s="1361">
        <f>SUM(C3:C11)</f>
        <v>5381</v>
      </c>
      <c r="D12" s="1350"/>
      <c r="E12" s="1362" t="s">
        <v>142</v>
      </c>
      <c r="F12" s="1361">
        <f>SUM(F3:F11)</f>
        <v>5380.5346499999996</v>
      </c>
      <c r="J12" s="376"/>
      <c r="P12" s="376"/>
    </row>
    <row r="13" spans="1:19" x14ac:dyDescent="0.3">
      <c r="I13" s="1479" t="s">
        <v>1339</v>
      </c>
      <c r="J13" s="1526">
        <f ca="1">SUM('All Statements'!AQ207:AQ208)/'All Statements'!AU272</f>
        <v>4.561995131710332</v>
      </c>
    </row>
    <row r="14" spans="1:19" x14ac:dyDescent="0.3">
      <c r="G14" s="376">
        <f>C3-F8</f>
        <v>1844.4653499999999</v>
      </c>
      <c r="I14" s="1479" t="s">
        <v>1340</v>
      </c>
      <c r="J14" s="1526">
        <f ca="1">SUM('All Statements'!AQ207:AQ211)/'All Statements'!AU272</f>
        <v>4.561995131710332</v>
      </c>
      <c r="P14" s="376"/>
    </row>
    <row r="15" spans="1:19" x14ac:dyDescent="0.3">
      <c r="A15" t="s">
        <v>1213</v>
      </c>
      <c r="C15" s="1308">
        <f>'All Statements'!F31</f>
        <v>0.1</v>
      </c>
      <c r="I15" s="1479" t="s">
        <v>1341</v>
      </c>
      <c r="J15" s="1526">
        <f ca="1">'All Statements'!AU280</f>
        <v>5.11850911067806</v>
      </c>
    </row>
    <row r="16" spans="1:19" x14ac:dyDescent="0.3">
      <c r="A16" t="s">
        <v>1214</v>
      </c>
      <c r="C16" s="1308">
        <f>C15</f>
        <v>0.1</v>
      </c>
      <c r="I16" s="1479" t="s">
        <v>417</v>
      </c>
      <c r="J16" s="1480">
        <f ca="1">'All Statements'!AQ265/1000</f>
        <v>2104.9561374713926</v>
      </c>
    </row>
    <row r="17" spans="3:13" x14ac:dyDescent="0.3">
      <c r="C17" s="857"/>
      <c r="I17" s="1479" t="s">
        <v>1342</v>
      </c>
      <c r="J17" s="1480">
        <f ca="1">'All Statements'!AR296/1000</f>
        <v>127.6305165509074</v>
      </c>
      <c r="K17" s="1480"/>
    </row>
    <row r="18" spans="3:13" x14ac:dyDescent="0.3">
      <c r="C18" s="857"/>
      <c r="I18" s="1479" t="s">
        <v>1345</v>
      </c>
      <c r="J18" s="1480">
        <f ca="1">SUM(J16:J17)</f>
        <v>2232.5866540223001</v>
      </c>
    </row>
    <row r="19" spans="3:13" x14ac:dyDescent="0.3">
      <c r="I19" s="1479" t="s">
        <v>1357</v>
      </c>
      <c r="J19" s="1480">
        <f ca="1">'All Statements'!AR277/1000</f>
        <v>25.97542</v>
      </c>
    </row>
    <row r="21" spans="3:13" x14ac:dyDescent="0.3">
      <c r="J21" s="1479" t="s">
        <v>1356</v>
      </c>
      <c r="K21" s="1479" t="s">
        <v>1343</v>
      </c>
      <c r="L21" s="1479" t="s">
        <v>1344</v>
      </c>
      <c r="M21" s="1479" t="s">
        <v>1344</v>
      </c>
    </row>
    <row r="22" spans="3:13" x14ac:dyDescent="0.3">
      <c r="I22" s="1479" t="s">
        <v>1188</v>
      </c>
      <c r="J22" s="1537">
        <v>0</v>
      </c>
      <c r="K22" s="1537">
        <v>0</v>
      </c>
      <c r="L22" s="1537">
        <v>0</v>
      </c>
      <c r="M22" s="1537">
        <v>1300.5</v>
      </c>
    </row>
    <row r="23" spans="3:13" x14ac:dyDescent="0.3">
      <c r="I23" s="1479" t="s">
        <v>1353</v>
      </c>
      <c r="J23" s="1537">
        <v>0</v>
      </c>
      <c r="K23" s="1537">
        <v>0</v>
      </c>
      <c r="L23" s="1537">
        <v>1300.5</v>
      </c>
      <c r="M23" s="1537">
        <v>0</v>
      </c>
    </row>
    <row r="24" spans="3:13" x14ac:dyDescent="0.3">
      <c r="I24" s="1484" t="s">
        <v>412</v>
      </c>
      <c r="J24" s="1537">
        <v>0</v>
      </c>
      <c r="K24" s="1537">
        <v>1300.5</v>
      </c>
      <c r="L24" s="1537">
        <v>0</v>
      </c>
      <c r="M24" s="1537">
        <v>0</v>
      </c>
    </row>
    <row r="25" spans="3:13" x14ac:dyDescent="0.3">
      <c r="I25" s="1479" t="s">
        <v>1339</v>
      </c>
      <c r="J25" s="1526">
        <v>0.56191990076121856</v>
      </c>
      <c r="K25" s="1526">
        <v>0.56191990076121856</v>
      </c>
      <c r="L25" s="1526">
        <v>0.56191990076121856</v>
      </c>
      <c r="M25" s="1526">
        <v>0.56191990076121856</v>
      </c>
    </row>
    <row r="26" spans="3:13" x14ac:dyDescent="0.3">
      <c r="I26" s="1479" t="s">
        <v>1340</v>
      </c>
      <c r="J26" s="1526">
        <v>1.1081068201182185</v>
      </c>
      <c r="K26" s="1526">
        <v>0.79934086114244007</v>
      </c>
      <c r="L26" s="1526">
        <v>1.1081068201182185</v>
      </c>
      <c r="M26" s="1526">
        <v>0.79934086114244007</v>
      </c>
    </row>
    <row r="27" spans="3:13" x14ac:dyDescent="0.3">
      <c r="I27" s="1479" t="s">
        <v>1341</v>
      </c>
      <c r="J27" s="1526">
        <v>2.7426037653634885</v>
      </c>
      <c r="K27" s="1526">
        <v>4.1132340375680432</v>
      </c>
      <c r="L27" s="1526">
        <v>2.6376580569450567</v>
      </c>
      <c r="M27" s="1526">
        <v>4.1132340375680432</v>
      </c>
    </row>
    <row r="28" spans="3:13" x14ac:dyDescent="0.3">
      <c r="I28" s="1479" t="s">
        <v>417</v>
      </c>
      <c r="J28" s="1480">
        <v>911.712840121716</v>
      </c>
      <c r="K28" s="1480">
        <v>-388.78715987828394</v>
      </c>
      <c r="L28" s="1480">
        <v>911.712840121716</v>
      </c>
      <c r="M28" s="1480">
        <v>911.71284012171611</v>
      </c>
    </row>
    <row r="29" spans="3:13" x14ac:dyDescent="0.3">
      <c r="I29" s="1479" t="s">
        <v>1342</v>
      </c>
      <c r="J29" s="1480">
        <v>-168.04331477014162</v>
      </c>
      <c r="K29" s="1480">
        <v>1132.4566852298583</v>
      </c>
      <c r="L29" s="1480">
        <v>1132.4566852298583</v>
      </c>
      <c r="M29" s="1480">
        <v>1132.4566852298583</v>
      </c>
    </row>
    <row r="30" spans="3:13" x14ac:dyDescent="0.3">
      <c r="I30" s="1479" t="s">
        <v>1345</v>
      </c>
      <c r="J30" s="1480">
        <v>743.66952535157441</v>
      </c>
      <c r="K30" s="1480">
        <v>743.66952535157429</v>
      </c>
      <c r="L30" s="1480">
        <v>2044.1695253515743</v>
      </c>
      <c r="M30" s="1480">
        <v>2044.1695253515745</v>
      </c>
    </row>
    <row r="31" spans="3:13" x14ac:dyDescent="0.3">
      <c r="I31" s="1479" t="s">
        <v>1357</v>
      </c>
      <c r="J31" s="1480">
        <v>278.12</v>
      </c>
      <c r="K31" s="1480">
        <v>196.57999999999998</v>
      </c>
      <c r="L31" s="1480">
        <v>328.63</v>
      </c>
      <c r="M31" s="1480">
        <v>196.57999999999998</v>
      </c>
    </row>
  </sheetData>
  <mergeCells count="4">
    <mergeCell ref="I1:S1"/>
    <mergeCell ref="A1:F1"/>
    <mergeCell ref="A3:A7"/>
    <mergeCell ref="A9:A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A9ABF-7F62-47A1-87F9-7CE18833D104}">
  <sheetPr codeName="Sheet11">
    <tabColor theme="9" tint="0.79998168889431442"/>
  </sheetPr>
  <dimension ref="B1:CT253"/>
  <sheetViews>
    <sheetView showGridLines="0" tabSelected="1" zoomScale="60" zoomScaleNormal="60" zoomScaleSheetLayoutView="80" workbookViewId="0">
      <pane xSplit="2" ySplit="3" topLeftCell="AR4" activePane="bottomRight" state="frozen"/>
      <selection activeCell="W1" sqref="W1:W1048576"/>
      <selection pane="topRight" activeCell="W1" sqref="W1:W1048576"/>
      <selection pane="bottomLeft" activeCell="W1" sqref="W1:W1048576"/>
      <selection pane="bottomRight" activeCell="B1" sqref="B1:O1048576"/>
    </sheetView>
  </sheetViews>
  <sheetFormatPr defaultColWidth="8.88671875" defaultRowHeight="14.4" outlineLevelCol="2" x14ac:dyDescent="0.3"/>
  <cols>
    <col min="1" max="1" width="6.88671875" customWidth="1"/>
    <col min="2" max="2" width="25.44140625" customWidth="1"/>
    <col min="3" max="7" width="13.44140625" hidden="1" customWidth="1" outlineLevel="1"/>
    <col min="8" max="13" width="12.88671875" hidden="1" customWidth="1" outlineLevel="1"/>
    <col min="14" max="14" width="13.88671875" hidden="1" customWidth="1" outlineLevel="1"/>
    <col min="15" max="15" width="24.5546875" hidden="1" customWidth="1" outlineLevel="2" collapsed="1"/>
    <col min="16" max="21" width="11.6640625" hidden="1" customWidth="1" outlineLevel="2"/>
    <col min="22" max="22" width="11.88671875" hidden="1" customWidth="1" outlineLevel="2"/>
    <col min="23" max="23" width="13.88671875" hidden="1" customWidth="1" outlineLevel="2"/>
    <col min="24" max="24" width="14.5546875" hidden="1" customWidth="1" outlineLevel="2" collapsed="1"/>
    <col min="25" max="25" width="13.88671875" hidden="1" customWidth="1" outlineLevel="2"/>
    <col min="26" max="26" width="15.44140625" hidden="1" customWidth="1" outlineLevel="2"/>
    <col min="27" max="27" width="13.88671875" style="349" hidden="1" customWidth="1" outlineLevel="1"/>
    <col min="28" max="28" width="13.88671875" hidden="1" customWidth="1" outlineLevel="1"/>
    <col min="29" max="29" width="15" hidden="1" customWidth="1" outlineLevel="1"/>
    <col min="30" max="31" width="13.88671875" hidden="1" customWidth="1" outlineLevel="1"/>
    <col min="32" max="32" width="16.5546875" hidden="1" customWidth="1" outlineLevel="1"/>
    <col min="33" max="33" width="15" hidden="1" customWidth="1" outlineLevel="1"/>
    <col min="34" max="35" width="14.5546875" hidden="1" customWidth="1" outlineLevel="1"/>
    <col min="36" max="36" width="17.109375" hidden="1" customWidth="1" outlineLevel="1"/>
    <col min="37" max="37" width="16.88671875" hidden="1" customWidth="1" outlineLevel="1"/>
    <col min="38" max="38" width="14.109375" hidden="1" customWidth="1" outlineLevel="1"/>
    <col min="39" max="39" width="14.109375" customWidth="1" collapsed="1"/>
    <col min="40" max="49" width="14.109375" customWidth="1"/>
    <col min="50" max="50" width="15" customWidth="1"/>
    <col min="51" max="51" width="25.44140625" hidden="1" customWidth="1"/>
    <col min="52" max="52" width="14.88671875" bestFit="1" customWidth="1"/>
    <col min="53" max="53" width="14.33203125" customWidth="1"/>
    <col min="54" max="54" width="13.88671875" hidden="1" customWidth="1" collapsed="1"/>
    <col min="55" max="55" width="4.44140625" customWidth="1"/>
    <col min="56" max="63" width="8.88671875" hidden="1" customWidth="1"/>
    <col min="64" max="70" width="8.109375" hidden="1" customWidth="1"/>
    <col min="71" max="71" width="8.88671875" hidden="1" customWidth="1"/>
    <col min="72" max="72" width="13.109375" bestFit="1" customWidth="1" collapsed="1"/>
    <col min="73" max="78" width="8.88671875" customWidth="1"/>
    <col min="79" max="79" width="6" customWidth="1"/>
    <col min="80" max="80" width="8.88671875" customWidth="1"/>
    <col min="81" max="85" width="8.109375" customWidth="1"/>
    <col min="86" max="86" width="9.44140625" customWidth="1"/>
    <col min="87" max="87" width="8.109375" customWidth="1"/>
    <col min="88" max="88" width="2.6640625" customWidth="1"/>
    <col min="89" max="89" width="2" customWidth="1"/>
    <col min="90" max="90" width="30.6640625" customWidth="1"/>
    <col min="91" max="91" width="14.44140625" bestFit="1" customWidth="1"/>
    <col min="92" max="92" width="12.6640625" hidden="1" customWidth="1"/>
    <col min="93" max="93" width="13.44140625" bestFit="1" customWidth="1"/>
    <col min="94" max="94" width="14.88671875" customWidth="1"/>
  </cols>
  <sheetData>
    <row r="1" spans="2:94" x14ac:dyDescent="0.3">
      <c r="C1">
        <v>2020</v>
      </c>
      <c r="P1" s="371" t="s">
        <v>479</v>
      </c>
      <c r="Q1" s="727" t="e">
        <f>'All Statements'!#REF!</f>
        <v>#REF!</v>
      </c>
      <c r="S1" s="371" t="s">
        <v>480</v>
      </c>
      <c r="T1" s="727" t="e">
        <f>'All Statements'!#REF!</f>
        <v>#REF!</v>
      </c>
      <c r="V1" s="371" t="s">
        <v>481</v>
      </c>
      <c r="W1" s="912">
        <f>SUM(U4:W4)/(52/12*3)</f>
        <v>247331.22538461536</v>
      </c>
      <c r="X1" s="376"/>
      <c r="Y1" s="371" t="s">
        <v>482</v>
      </c>
      <c r="Z1" s="913">
        <f>SUM(X4:Z4)/(52/12*3)</f>
        <v>353691.60769230773</v>
      </c>
      <c r="AB1" s="371"/>
      <c r="AC1" s="1250"/>
      <c r="AE1" s="371"/>
      <c r="AF1" s="1250"/>
      <c r="AH1" s="371"/>
      <c r="AI1" s="1250"/>
      <c r="AK1" s="371"/>
      <c r="AL1" s="1250"/>
      <c r="AM1" s="1250"/>
      <c r="AN1" s="1250"/>
      <c r="AO1" s="1250"/>
      <c r="AP1" s="1250"/>
      <c r="AQ1" s="1250"/>
      <c r="AR1" s="1250"/>
      <c r="AS1" s="1250"/>
      <c r="AT1" s="1250"/>
      <c r="AU1" s="1250"/>
      <c r="AV1" s="1250"/>
      <c r="AW1" s="1250"/>
      <c r="AX1" s="371"/>
      <c r="AY1" s="713"/>
      <c r="BB1" s="309"/>
    </row>
    <row r="2" spans="2:94" ht="16.5" customHeight="1" x14ac:dyDescent="0.3">
      <c r="C2" t="s">
        <v>14</v>
      </c>
      <c r="D2" t="s">
        <v>15</v>
      </c>
      <c r="E2" t="s">
        <v>16</v>
      </c>
      <c r="F2" t="s">
        <v>17</v>
      </c>
      <c r="G2" t="s">
        <v>18</v>
      </c>
      <c r="H2" t="s">
        <v>19</v>
      </c>
      <c r="I2" t="s">
        <v>20</v>
      </c>
      <c r="J2" t="s">
        <v>21</v>
      </c>
      <c r="K2" t="s">
        <v>22</v>
      </c>
      <c r="L2" t="s">
        <v>23</v>
      </c>
      <c r="M2" t="s">
        <v>24</v>
      </c>
      <c r="N2" t="s">
        <v>25</v>
      </c>
      <c r="O2" s="865">
        <v>44197</v>
      </c>
      <c r="P2" s="865">
        <v>44228</v>
      </c>
      <c r="Q2" s="865">
        <v>44256</v>
      </c>
      <c r="R2" s="865">
        <v>44287</v>
      </c>
      <c r="S2" s="865">
        <v>44317</v>
      </c>
      <c r="T2" s="865">
        <v>44348</v>
      </c>
      <c r="U2" s="865">
        <v>44378</v>
      </c>
      <c r="V2" s="865">
        <v>44409</v>
      </c>
      <c r="W2" s="865">
        <v>44440</v>
      </c>
      <c r="X2" s="865">
        <v>44470</v>
      </c>
      <c r="Y2" s="865">
        <v>44501</v>
      </c>
      <c r="Z2" s="865">
        <v>44531</v>
      </c>
      <c r="AA2" s="865">
        <v>44562</v>
      </c>
      <c r="AB2" s="956">
        <v>44593</v>
      </c>
      <c r="AC2" s="956">
        <v>44621</v>
      </c>
      <c r="AD2" s="956">
        <v>44652</v>
      </c>
      <c r="AE2" s="956">
        <v>44682</v>
      </c>
      <c r="AF2" s="956">
        <v>44713</v>
      </c>
      <c r="AG2" s="956">
        <v>44743</v>
      </c>
      <c r="AH2" s="956">
        <v>44774</v>
      </c>
      <c r="AI2" s="956">
        <v>44805</v>
      </c>
      <c r="AJ2" s="956">
        <v>44835</v>
      </c>
      <c r="AK2" s="956">
        <v>44866</v>
      </c>
      <c r="AL2" s="956">
        <v>44896</v>
      </c>
      <c r="AM2" s="956">
        <v>44949</v>
      </c>
      <c r="AN2" s="956">
        <v>44980</v>
      </c>
      <c r="AO2" s="956">
        <v>45008</v>
      </c>
      <c r="AP2" s="956">
        <v>45017</v>
      </c>
      <c r="AQ2" s="956">
        <f>DATE(YEAR(AP2),MONTH(AP2)+1,DAY(AP2))</f>
        <v>45047</v>
      </c>
      <c r="AR2" s="956">
        <f t="shared" ref="AR2:AV2" si="0">DATE(YEAR(AQ2),MONTH(AQ2)+1,DAY(AQ2))</f>
        <v>45078</v>
      </c>
      <c r="AS2" s="956">
        <f t="shared" si="0"/>
        <v>45108</v>
      </c>
      <c r="AT2" s="956">
        <f t="shared" si="0"/>
        <v>45139</v>
      </c>
      <c r="AU2" s="956">
        <f t="shared" si="0"/>
        <v>45170</v>
      </c>
      <c r="AV2" s="956">
        <f t="shared" si="0"/>
        <v>45200</v>
      </c>
      <c r="AW2" s="3" t="s">
        <v>895</v>
      </c>
      <c r="AX2" s="3" t="s">
        <v>500</v>
      </c>
      <c r="AY2" s="3" t="s">
        <v>486</v>
      </c>
      <c r="AZ2" s="876" t="s">
        <v>1361</v>
      </c>
      <c r="BA2" s="876" t="s">
        <v>1362</v>
      </c>
      <c r="BB2" s="841" t="s">
        <v>546</v>
      </c>
      <c r="BD2" t="s">
        <v>547</v>
      </c>
      <c r="BU2" t="s">
        <v>898</v>
      </c>
      <c r="CL2" s="1592" t="s">
        <v>1365</v>
      </c>
      <c r="CM2" s="1590" t="s">
        <v>1363</v>
      </c>
      <c r="CN2" s="1591" t="s">
        <v>549</v>
      </c>
      <c r="CO2" s="1588" t="s">
        <v>897</v>
      </c>
      <c r="CP2" s="1589" t="s">
        <v>1362</v>
      </c>
    </row>
    <row r="3" spans="2:94" x14ac:dyDescent="0.3">
      <c r="B3" s="369" t="s">
        <v>410</v>
      </c>
      <c r="C3" s="597"/>
      <c r="D3" s="370"/>
      <c r="E3" s="370"/>
      <c r="F3" s="370"/>
      <c r="G3" s="370"/>
      <c r="H3" s="370"/>
      <c r="I3" s="370"/>
      <c r="J3" s="370"/>
      <c r="K3" s="370"/>
      <c r="L3" s="370"/>
      <c r="M3" s="370"/>
      <c r="N3" s="370"/>
      <c r="O3" s="370"/>
      <c r="P3" s="370"/>
      <c r="Q3" s="370"/>
      <c r="R3" s="370"/>
      <c r="S3" s="370"/>
      <c r="T3" s="731"/>
      <c r="U3" s="370"/>
      <c r="V3" s="370"/>
      <c r="W3" s="370"/>
      <c r="X3" s="370"/>
      <c r="Y3" s="370"/>
      <c r="Z3" s="370"/>
      <c r="AA3" s="719"/>
      <c r="AB3" s="370"/>
      <c r="AC3" s="370"/>
      <c r="AD3" s="370"/>
      <c r="AE3" s="370"/>
      <c r="AF3" s="370"/>
      <c r="AG3" s="370"/>
      <c r="AH3" s="370"/>
      <c r="AI3" s="370"/>
      <c r="AJ3" s="370"/>
      <c r="AK3" s="370"/>
      <c r="AL3" s="370"/>
      <c r="AM3" s="370"/>
      <c r="AN3" s="370"/>
      <c r="AO3" s="370"/>
      <c r="AP3" s="370"/>
      <c r="AQ3" s="370"/>
      <c r="AR3" s="370"/>
      <c r="AS3" s="370"/>
      <c r="AT3" s="370"/>
      <c r="AU3" s="370"/>
      <c r="AV3" s="370"/>
      <c r="AW3" s="370"/>
      <c r="AX3" s="370"/>
      <c r="AY3" s="813"/>
      <c r="AZ3" s="834"/>
      <c r="BA3" s="842"/>
      <c r="BB3" s="813"/>
      <c r="CL3" s="369" t="s">
        <v>410</v>
      </c>
      <c r="CM3" s="719"/>
      <c r="CN3" s="370"/>
      <c r="CO3" s="834"/>
      <c r="CP3" s="842"/>
    </row>
    <row r="4" spans="2:94" x14ac:dyDescent="0.3">
      <c r="B4" s="371" t="s">
        <v>0</v>
      </c>
      <c r="C4" s="372">
        <v>678267.31</v>
      </c>
      <c r="D4" s="372">
        <v>878962.51</v>
      </c>
      <c r="E4" s="372">
        <v>837400</v>
      </c>
      <c r="F4" s="372">
        <v>489450.31999999995</v>
      </c>
      <c r="G4" s="372">
        <v>1116220.6300000001</v>
      </c>
      <c r="H4" s="372">
        <v>833693.1399999999</v>
      </c>
      <c r="I4" s="372">
        <v>750080.16999999993</v>
      </c>
      <c r="J4" s="372">
        <v>868266.38</v>
      </c>
      <c r="K4" s="372">
        <v>802093.56</v>
      </c>
      <c r="L4" s="372">
        <v>1003963.64</v>
      </c>
      <c r="M4" s="372">
        <v>703878.98</v>
      </c>
      <c r="N4" s="372">
        <v>1223320.6500000001</v>
      </c>
      <c r="O4" s="373">
        <f>'All Statements'!H51</f>
        <v>355725.44232099992</v>
      </c>
      <c r="P4" s="373">
        <f>'All Statements'!I51</f>
        <v>670502.47687500005</v>
      </c>
      <c r="Q4" s="373">
        <f>'All Statements'!J51</f>
        <v>1125555.71</v>
      </c>
      <c r="R4" s="373">
        <f>'All Statements'!K51</f>
        <v>721796.43</v>
      </c>
      <c r="S4" s="373">
        <f>'All Statements'!L51</f>
        <v>900656.63000000012</v>
      </c>
      <c r="T4" s="373">
        <f>'All Statements'!M51</f>
        <v>942802.7899999998</v>
      </c>
      <c r="U4" s="373">
        <f>'All Statements'!N51</f>
        <v>924282.3</v>
      </c>
      <c r="V4" s="373">
        <f>'All Statements'!O51</f>
        <v>1203857.3199999998</v>
      </c>
      <c r="W4" s="373">
        <f>'All Statements'!P51</f>
        <v>1087166.3099999998</v>
      </c>
      <c r="X4" s="373">
        <f>'All Statements'!Q51</f>
        <v>1584248.8900000004</v>
      </c>
      <c r="Y4" s="373">
        <f>'All Statements'!R51</f>
        <v>1017465.0799999998</v>
      </c>
      <c r="Z4" s="373">
        <f>'All Statements'!S51</f>
        <v>1996276.9300000002</v>
      </c>
      <c r="AA4" s="720">
        <f>'All Statements'!T51</f>
        <v>1044236.69</v>
      </c>
      <c r="AB4" s="373">
        <f>'All Statements'!U51</f>
        <v>1651804.44</v>
      </c>
      <c r="AC4" s="373">
        <f>'All Statements'!V51</f>
        <v>1575102.9900000002</v>
      </c>
      <c r="AD4" s="373">
        <f>'All Statements'!W51</f>
        <v>990747.65999999992</v>
      </c>
      <c r="AE4" s="373">
        <f>'All Statements'!X51</f>
        <v>1380529.39</v>
      </c>
      <c r="AF4" s="373">
        <f>'All Statements'!Y51</f>
        <v>1517068.73</v>
      </c>
      <c r="AG4" s="373">
        <f>'All Statements'!Z51</f>
        <v>1174856.8600000001</v>
      </c>
      <c r="AH4" s="373">
        <f>'All Statements'!AA51</f>
        <v>1602418</v>
      </c>
      <c r="AI4" s="373">
        <f>'All Statements'!AB51</f>
        <v>1264652.6700000002</v>
      </c>
      <c r="AJ4" s="373">
        <f>'All Statements'!AC51</f>
        <v>1056928.96</v>
      </c>
      <c r="AK4" s="373">
        <f>'All Statements'!AD51</f>
        <v>892346.29</v>
      </c>
      <c r="AL4" s="373">
        <f>'All Statements'!AE51</f>
        <v>1403572.6500000001</v>
      </c>
      <c r="AM4" s="373">
        <f>'All Statements'!AF51</f>
        <v>715167.97</v>
      </c>
      <c r="AN4" s="373">
        <f>'All Statements'!AG51</f>
        <v>989735.55</v>
      </c>
      <c r="AO4" s="373">
        <f>'All Statements'!AH51</f>
        <v>1815627.69</v>
      </c>
      <c r="AP4" s="373">
        <f>'All Statements'!AI51</f>
        <v>1337742.4099999999</v>
      </c>
      <c r="AQ4" s="373">
        <f>'All Statements'!AJ51</f>
        <v>1312588.05</v>
      </c>
      <c r="AR4" s="373">
        <f>'All Statements'!AK51</f>
        <v>1880545.01</v>
      </c>
      <c r="AS4" s="373">
        <f>'All Statements'!AL51</f>
        <v>1552244.85</v>
      </c>
      <c r="AT4" s="373">
        <f>'All Statements'!AM51</f>
        <v>1504348.87</v>
      </c>
      <c r="AU4" s="373">
        <f>'All Statements'!AN51</f>
        <v>1852338.93</v>
      </c>
      <c r="AV4" s="373">
        <f>'All Statements'!AO51</f>
        <v>2355231.2400000002</v>
      </c>
      <c r="AW4" s="373">
        <f>'All Statements'!BF51</f>
        <v>20328502.066924997</v>
      </c>
      <c r="AX4" s="814">
        <f>SUM(AA4:AL4)</f>
        <v>15554265.33</v>
      </c>
      <c r="AY4" s="814">
        <f>SUM(O4:Z4)</f>
        <v>12530336.309195999</v>
      </c>
      <c r="AZ4" s="835">
        <f>SUM(AM4:AV4)</f>
        <v>15315570.569999998</v>
      </c>
      <c r="BA4" s="843">
        <f>SUM(AK4:AV4)</f>
        <v>17611489.509999998</v>
      </c>
      <c r="BB4" s="814">
        <f>SUM(X4:AI4)</f>
        <v>16799408.330000002</v>
      </c>
      <c r="BC4" s="376"/>
      <c r="BT4" s="376"/>
      <c r="CL4" s="371" t="s">
        <v>0</v>
      </c>
      <c r="CM4" s="720">
        <f t="shared" ref="CM4:CM12" si="1">AV4</f>
        <v>2355231.2400000002</v>
      </c>
      <c r="CN4" s="373">
        <v>1130510.3599999999</v>
      </c>
      <c r="CO4" s="835">
        <f>AZ4</f>
        <v>15315570.569999998</v>
      </c>
      <c r="CP4" s="843">
        <f>BA4</f>
        <v>17611489.509999998</v>
      </c>
    </row>
    <row r="5" spans="2:94" x14ac:dyDescent="0.3">
      <c r="B5" s="371" t="s">
        <v>460</v>
      </c>
      <c r="C5" s="372">
        <v>239480.31000000006</v>
      </c>
      <c r="D5" s="372">
        <v>220449.31000000006</v>
      </c>
      <c r="E5" s="372">
        <v>221081</v>
      </c>
      <c r="F5" s="372">
        <v>101080.72999999998</v>
      </c>
      <c r="G5" s="372">
        <v>447024.9600000002</v>
      </c>
      <c r="H5" s="372">
        <v>227582.74999999988</v>
      </c>
      <c r="I5" s="372">
        <v>239129.23000000004</v>
      </c>
      <c r="J5" s="372">
        <v>227805.79</v>
      </c>
      <c r="K5" s="372">
        <v>210051.4800000001</v>
      </c>
      <c r="L5" s="372">
        <v>238554.99000000011</v>
      </c>
      <c r="M5" s="372">
        <v>184737.26999999996</v>
      </c>
      <c r="N5" s="372">
        <v>402338.33000000019</v>
      </c>
      <c r="O5" s="373">
        <f>'All Statements'!H78</f>
        <v>-15568.267352000112</v>
      </c>
      <c r="P5" s="373">
        <f>'All Statements'!I78</f>
        <v>115481.30942099995</v>
      </c>
      <c r="Q5" s="373">
        <f>'All Statements'!J78</f>
        <v>452743.05000000005</v>
      </c>
      <c r="R5" s="373">
        <f>'All Statements'!K78</f>
        <v>163216.85000000009</v>
      </c>
      <c r="S5" s="373">
        <f>'All Statements'!L78</f>
        <v>184927.65000000014</v>
      </c>
      <c r="T5" s="373">
        <f>'All Statements'!M78</f>
        <v>281954.31999999983</v>
      </c>
      <c r="U5" s="373">
        <f>'All Statements'!N78</f>
        <v>462214.56000000006</v>
      </c>
      <c r="V5" s="373">
        <f>'All Statements'!O78</f>
        <v>334619.00999999989</v>
      </c>
      <c r="W5" s="373">
        <f>'All Statements'!P78</f>
        <v>451032.44999999995</v>
      </c>
      <c r="X5" s="373">
        <f>'All Statements'!Q78</f>
        <v>465556.80000000051</v>
      </c>
      <c r="Y5" s="373">
        <f>'All Statements'!R78</f>
        <v>299180.46999999997</v>
      </c>
      <c r="Z5" s="373">
        <f>'All Statements'!S78</f>
        <v>470931.15999999968</v>
      </c>
      <c r="AA5" s="720">
        <f>'All Statements'!T78</f>
        <v>289198.08999999985</v>
      </c>
      <c r="AB5" s="373">
        <f>'All Statements'!U78</f>
        <v>500138.54000000004</v>
      </c>
      <c r="AC5" s="373">
        <f>'All Statements'!V78</f>
        <v>322389.32000000007</v>
      </c>
      <c r="AD5" s="373">
        <f>'All Statements'!W78</f>
        <v>31545.889999999898</v>
      </c>
      <c r="AE5" s="373">
        <f>'All Statements'!X78</f>
        <v>201667.20999999996</v>
      </c>
      <c r="AF5" s="373">
        <f>'All Statements'!Y78</f>
        <v>598824.64000000013</v>
      </c>
      <c r="AG5" s="373">
        <f>'All Statements'!Z78</f>
        <v>231283.77000000014</v>
      </c>
      <c r="AH5" s="373">
        <f>'All Statements'!AA78</f>
        <v>831510.04999999981</v>
      </c>
      <c r="AI5" s="373">
        <f>'All Statements'!AB78</f>
        <v>485760.80000000016</v>
      </c>
      <c r="AJ5" s="373">
        <f>'All Statements'!AC78</f>
        <v>417414.37</v>
      </c>
      <c r="AK5" s="373">
        <f>'All Statements'!AD78</f>
        <v>331900.28000000003</v>
      </c>
      <c r="AL5" s="373">
        <f>'All Statements'!AE78</f>
        <v>574348.08000000019</v>
      </c>
      <c r="AM5" s="373">
        <f>'All Statements'!AF78</f>
        <v>-33320.580000000075</v>
      </c>
      <c r="AN5" s="373">
        <f>'All Statements'!AG78</f>
        <v>259339.30000000005</v>
      </c>
      <c r="AO5" s="373">
        <f>'All Statements'!AH78</f>
        <v>633513.55000000005</v>
      </c>
      <c r="AP5" s="373">
        <f>'All Statements'!AI78</f>
        <v>460181.45999999996</v>
      </c>
      <c r="AQ5" s="373">
        <f>'All Statements'!AJ78</f>
        <v>934015.54</v>
      </c>
      <c r="AR5" s="373">
        <f>'All Statements'!AK78</f>
        <v>759947.7</v>
      </c>
      <c r="AS5" s="373">
        <f>'All Statements'!AL78</f>
        <v>692134.7300000001</v>
      </c>
      <c r="AT5" s="373">
        <f>'All Statements'!AM78</f>
        <v>762443.55</v>
      </c>
      <c r="AU5" s="373">
        <f>'All Statements'!AN78</f>
        <v>781537.2899999998</v>
      </c>
      <c r="AV5" s="373">
        <f>'All Statements'!AO78</f>
        <v>992294.79000000027</v>
      </c>
      <c r="AW5" s="373">
        <f>'All Statements'!BF78</f>
        <v>8343733.9254166316</v>
      </c>
      <c r="AX5" s="814">
        <f>SUM(AA5:AL5)</f>
        <v>4815981.04</v>
      </c>
      <c r="AY5" s="814">
        <f>SUM(O5:Z5)</f>
        <v>3666289.362069</v>
      </c>
      <c r="AZ5" s="835">
        <f>SUM(AM5:AV5)</f>
        <v>6242087.3300000001</v>
      </c>
      <c r="BA5" s="843">
        <f>SUM(AK5:AV5)</f>
        <v>7148335.6900000004</v>
      </c>
      <c r="BB5" s="814">
        <f>SUM(X5:AI5)</f>
        <v>4727986.7399999993</v>
      </c>
      <c r="BC5" s="857"/>
      <c r="BT5" s="857"/>
      <c r="CL5" s="371" t="s">
        <v>460</v>
      </c>
      <c r="CM5" s="720">
        <f t="shared" si="1"/>
        <v>992294.79000000027</v>
      </c>
      <c r="CN5" s="373">
        <v>173977.88999999966</v>
      </c>
      <c r="CO5" s="835">
        <f t="shared" ref="CO5:CO12" si="2">AZ5</f>
        <v>6242087.3300000001</v>
      </c>
      <c r="CP5" s="843">
        <f t="shared" ref="CP5:CP12" si="3">BA5</f>
        <v>7148335.6900000004</v>
      </c>
    </row>
    <row r="6" spans="2:94" x14ac:dyDescent="0.3">
      <c r="B6" s="371" t="s">
        <v>411</v>
      </c>
      <c r="C6" s="374">
        <f>C5/C4</f>
        <v>0.35307659158746724</v>
      </c>
      <c r="D6" s="374">
        <f t="shared" ref="D6:M6" si="4">D5/D4</f>
        <v>0.25080627158944474</v>
      </c>
      <c r="E6" s="374">
        <f t="shared" si="4"/>
        <v>0.26400883687604493</v>
      </c>
      <c r="F6" s="374">
        <f t="shared" si="4"/>
        <v>0.20651887611392306</v>
      </c>
      <c r="G6" s="374">
        <f t="shared" si="4"/>
        <v>0.40048082608901447</v>
      </c>
      <c r="H6" s="374">
        <f t="shared" si="4"/>
        <v>0.272981435351621</v>
      </c>
      <c r="I6" s="374">
        <f t="shared" si="4"/>
        <v>0.31880489521540084</v>
      </c>
      <c r="J6" s="374">
        <f t="shared" si="4"/>
        <v>0.26236854869354725</v>
      </c>
      <c r="K6" s="374">
        <f t="shared" si="4"/>
        <v>0.26187902568373705</v>
      </c>
      <c r="L6" s="374">
        <f t="shared" si="4"/>
        <v>0.23761317690748254</v>
      </c>
      <c r="M6" s="374">
        <f t="shared" si="4"/>
        <v>0.26245601196955753</v>
      </c>
      <c r="N6" s="374">
        <f>N5/N4</f>
        <v>0.32889032814086816</v>
      </c>
      <c r="O6" s="375">
        <f>'All Statements'!H79</f>
        <v>-4.3764840800876989E-2</v>
      </c>
      <c r="P6" s="375">
        <f>'All Statements'!I79</f>
        <v>0.17223099601245592</v>
      </c>
      <c r="Q6" s="375">
        <f>'All Statements'!J79</f>
        <v>0.40223957461865667</v>
      </c>
      <c r="R6" s="375">
        <f>'All Statements'!K79</f>
        <v>0.22612587596200784</v>
      </c>
      <c r="S6" s="375">
        <f>'All Statements'!L79</f>
        <v>0.20532536356280431</v>
      </c>
      <c r="T6" s="375">
        <f>'All Statements'!M79</f>
        <v>0.29905970049155234</v>
      </c>
      <c r="U6" s="375">
        <f>'All Statements'!N79</f>
        <v>0.50007942378643411</v>
      </c>
      <c r="V6" s="375">
        <f>'All Statements'!O79</f>
        <v>0.27795570491692484</v>
      </c>
      <c r="W6" s="375">
        <f>'All Statements'!P79</f>
        <v>0.41486978197475605</v>
      </c>
      <c r="X6" s="375">
        <f>'All Statements'!Q79</f>
        <v>0.29386594678314742</v>
      </c>
      <c r="Y6" s="375">
        <f>'All Statements'!R79</f>
        <v>0.29404495140019943</v>
      </c>
      <c r="Z6" s="375">
        <f>'All Statements'!S79</f>
        <v>0.2359047249020704</v>
      </c>
      <c r="AA6" s="721">
        <f>'All Statements'!T79</f>
        <v>0.27694687686179642</v>
      </c>
      <c r="AB6" s="957">
        <f>'All Statements'!U79</f>
        <v>0.30278314302145842</v>
      </c>
      <c r="AC6" s="375">
        <f>'All Statements'!V79</f>
        <v>0.20467824773794635</v>
      </c>
      <c r="AD6" s="375">
        <f>'All Statements'!W79</f>
        <v>3.1840489030274269E-2</v>
      </c>
      <c r="AE6" s="375">
        <f>'All Statements'!X79</f>
        <v>0.14607962094888829</v>
      </c>
      <c r="AF6" s="375">
        <f>'All Statements'!Y79</f>
        <v>0.39472479272577199</v>
      </c>
      <c r="AG6" s="375">
        <f>'All Statements'!Z79</f>
        <v>0.19686123295054014</v>
      </c>
      <c r="AH6" s="375">
        <f>'All Statements'!AA79</f>
        <v>0.51890957914851166</v>
      </c>
      <c r="AI6" s="375">
        <f>'All Statements'!AB79</f>
        <v>0.38410609610305102</v>
      </c>
      <c r="AJ6" s="375">
        <f>'All Statements'!AC79</f>
        <v>0.39493133956704146</v>
      </c>
      <c r="AK6" s="375">
        <f>'All Statements'!AD79</f>
        <v>0.37194112164684406</v>
      </c>
      <c r="AL6" s="375">
        <f>'All Statements'!AE79</f>
        <v>0.40920438282977384</v>
      </c>
      <c r="AM6" s="375">
        <f>'All Statements'!AF79</f>
        <v>-4.6591264427012967E-2</v>
      </c>
      <c r="AN6" s="375">
        <f>'All Statements'!AG79</f>
        <v>0.26202888236155608</v>
      </c>
      <c r="AO6" s="375">
        <f>'All Statements'!AH79</f>
        <v>0.34892260868746722</v>
      </c>
      <c r="AP6" s="375">
        <f>'All Statements'!AI79</f>
        <v>0.34399855798845458</v>
      </c>
      <c r="AQ6" s="375">
        <f>'All Statements'!AJ79</f>
        <v>0.711583150555119</v>
      </c>
      <c r="AR6" s="375">
        <f>'All Statements'!AK79</f>
        <v>0.40411034883977592</v>
      </c>
      <c r="AS6" s="375">
        <f>'All Statements'!AL79</f>
        <v>0.44589275332432254</v>
      </c>
      <c r="AT6" s="375">
        <f>'All Statements'!AM79</f>
        <v>0.50682628558095033</v>
      </c>
      <c r="AU6" s="375">
        <f>'All Statements'!AN79</f>
        <v>0.42191916249365868</v>
      </c>
      <c r="AV6" s="375">
        <f>'All Statements'!AO79</f>
        <v>0.42131522932754584</v>
      </c>
      <c r="AW6" s="375">
        <f t="shared" ref="AW6:BB6" si="5">AW5/AW4</f>
        <v>0.41044509319710792</v>
      </c>
      <c r="AX6" s="815">
        <f t="shared" si="5"/>
        <v>0.30962446234675362</v>
      </c>
      <c r="AY6" s="815">
        <f t="shared" si="5"/>
        <v>0.29259305349835779</v>
      </c>
      <c r="AZ6" s="836">
        <f t="shared" si="5"/>
        <v>0.40756479175688987</v>
      </c>
      <c r="BA6" s="844">
        <f t="shared" si="5"/>
        <v>0.40589046633114689</v>
      </c>
      <c r="BB6" s="815">
        <f t="shared" si="5"/>
        <v>0.28143769394287937</v>
      </c>
      <c r="BC6" s="857"/>
      <c r="BT6" s="857"/>
      <c r="CL6" s="371" t="s">
        <v>411</v>
      </c>
      <c r="CM6" s="721">
        <f t="shared" si="1"/>
        <v>0.42131522932754584</v>
      </c>
      <c r="CN6" s="375">
        <f>CN5/CN4</f>
        <v>0.15389322924913282</v>
      </c>
      <c r="CO6" s="958">
        <f t="shared" si="2"/>
        <v>0.40756479175688987</v>
      </c>
      <c r="CP6" s="844">
        <f t="shared" si="3"/>
        <v>0.40589046633114689</v>
      </c>
    </row>
    <row r="7" spans="2:94" x14ac:dyDescent="0.3">
      <c r="B7" s="371" t="s">
        <v>402</v>
      </c>
      <c r="C7" s="372">
        <v>27263.310000000056</v>
      </c>
      <c r="D7" s="372">
        <v>37061.310000000056</v>
      </c>
      <c r="E7" s="372">
        <v>5263</v>
      </c>
      <c r="F7" s="372">
        <v>-94309.270000000019</v>
      </c>
      <c r="G7" s="372">
        <v>261412.3400000002</v>
      </c>
      <c r="H7" s="372">
        <v>7311.7499999998836</v>
      </c>
      <c r="I7" s="372">
        <v>31331.550000000047</v>
      </c>
      <c r="J7" s="372">
        <v>-119923.03000000009</v>
      </c>
      <c r="K7" s="372">
        <v>24107.44000000009</v>
      </c>
      <c r="L7" s="372">
        <v>42995.840000000084</v>
      </c>
      <c r="M7" s="372">
        <v>-56212.920000000013</v>
      </c>
      <c r="N7" s="372">
        <v>179154.88000000021</v>
      </c>
      <c r="O7" s="373">
        <f>'All Statements'!H101</f>
        <v>-96610.817352000115</v>
      </c>
      <c r="P7" s="373">
        <f>'All Statements'!I101</f>
        <v>27982.416120999987</v>
      </c>
      <c r="Q7" s="373">
        <f>'All Statements'!J101</f>
        <v>390167.60000000003</v>
      </c>
      <c r="R7" s="373">
        <f>'All Statements'!K101</f>
        <v>58938.720000000074</v>
      </c>
      <c r="S7" s="373">
        <f>'All Statements'!L101</f>
        <v>141781.10000000015</v>
      </c>
      <c r="T7" s="373">
        <f>'All Statements'!M101</f>
        <v>225188.29999999984</v>
      </c>
      <c r="U7" s="373">
        <f>'All Statements'!N101</f>
        <v>402869.36860000005</v>
      </c>
      <c r="V7" s="373">
        <f>'All Statements'!O101</f>
        <v>277763.62999999989</v>
      </c>
      <c r="W7" s="373">
        <f>'All Statements'!P101</f>
        <v>369656.12999999995</v>
      </c>
      <c r="X7" s="373">
        <f>'All Statements'!Q101</f>
        <v>406453.98000000051</v>
      </c>
      <c r="Y7" s="373">
        <f>'All Statements'!R101</f>
        <v>180827.18000000002</v>
      </c>
      <c r="Z7" s="373">
        <f>'All Statements'!S101</f>
        <v>408634.1199999997</v>
      </c>
      <c r="AA7" s="720">
        <f>'All Statements'!T101</f>
        <v>60367.709999999846</v>
      </c>
      <c r="AB7" s="373">
        <f>'All Statements'!U101</f>
        <v>215521.72000000003</v>
      </c>
      <c r="AC7" s="373">
        <f>'All Statements'!V101</f>
        <v>45449.740000000049</v>
      </c>
      <c r="AD7" s="373">
        <f>'All Statements'!W101</f>
        <v>-267558.75000000012</v>
      </c>
      <c r="AE7" s="373">
        <f>'All Statements'!X101</f>
        <v>-129657.28000000003</v>
      </c>
      <c r="AF7" s="373">
        <f>'All Statements'!Y101</f>
        <v>272402.87000000011</v>
      </c>
      <c r="AG7" s="373">
        <f>'All Statements'!Z101</f>
        <v>-21296.009999999864</v>
      </c>
      <c r="AH7" s="373">
        <f>'All Statements'!AA101</f>
        <v>503291.73999999982</v>
      </c>
      <c r="AI7" s="373">
        <f>'All Statements'!AB101</f>
        <v>229174.49000000017</v>
      </c>
      <c r="AJ7" s="373">
        <f>'All Statements'!AC101</f>
        <v>131710.88</v>
      </c>
      <c r="AK7" s="373">
        <f>'All Statements'!AD101</f>
        <v>141785.92000000004</v>
      </c>
      <c r="AL7" s="373">
        <f>'All Statements'!AE101</f>
        <v>272679.06000000017</v>
      </c>
      <c r="AM7" s="373">
        <f>'All Statements'!AF101</f>
        <v>-274522.69000000006</v>
      </c>
      <c r="AN7" s="373">
        <f>'All Statements'!AG101</f>
        <v>70480.610000000044</v>
      </c>
      <c r="AO7" s="373">
        <f>'All Statements'!AH101</f>
        <v>347362.27</v>
      </c>
      <c r="AP7" s="373">
        <f>'All Statements'!AI101</f>
        <v>203045.00999999995</v>
      </c>
      <c r="AQ7" s="373">
        <f>'All Statements'!AJ101</f>
        <v>433407.77</v>
      </c>
      <c r="AR7" s="373">
        <f>'All Statements'!AK101</f>
        <v>198869.93</v>
      </c>
      <c r="AS7" s="373">
        <f>'All Statements'!AL101</f>
        <v>128786.09000000008</v>
      </c>
      <c r="AT7" s="373">
        <f>'All Statements'!AM101</f>
        <v>221706.43000000005</v>
      </c>
      <c r="AU7" s="373">
        <f>'All Statements'!AN101</f>
        <v>222346.17999999982</v>
      </c>
      <c r="AV7" s="373">
        <f>'All Statements'!AO101</f>
        <v>240211.76000000036</v>
      </c>
      <c r="AW7" s="373">
        <f>'All Statements'!BF101</f>
        <v>2633132.459861075</v>
      </c>
      <c r="AX7" s="814">
        <f>SUM(AA7:AL7)</f>
        <v>1453872.0900000003</v>
      </c>
      <c r="AY7" s="814">
        <f>SUM(O7:Z7)</f>
        <v>2793651.7273690002</v>
      </c>
      <c r="AZ7" s="835">
        <f>SUM(AM7:AV7)</f>
        <v>1791693.3599999999</v>
      </c>
      <c r="BA7" s="843">
        <f>SUM(AK7:AV7)</f>
        <v>2206158.3400000003</v>
      </c>
      <c r="BB7" s="814">
        <f>SUM(X7:AI7)</f>
        <v>1903611.5100000005</v>
      </c>
      <c r="CL7" s="371" t="s">
        <v>402</v>
      </c>
      <c r="CM7" s="720">
        <f t="shared" si="1"/>
        <v>240211.76000000036</v>
      </c>
      <c r="CN7" s="373">
        <v>-123110.82000000036</v>
      </c>
      <c r="CO7" s="835">
        <f t="shared" si="2"/>
        <v>1791693.3599999999</v>
      </c>
      <c r="CP7" s="843">
        <f t="shared" si="3"/>
        <v>2206158.3400000003</v>
      </c>
    </row>
    <row r="8" spans="2:94" x14ac:dyDescent="0.3">
      <c r="B8" s="371" t="s">
        <v>202</v>
      </c>
      <c r="C8" s="372">
        <v>28354</v>
      </c>
      <c r="D8" s="372">
        <v>37041.480000000003</v>
      </c>
      <c r="E8" s="372">
        <v>-13556</v>
      </c>
      <c r="F8" s="372">
        <v>-94309.270000000019</v>
      </c>
      <c r="G8" s="372">
        <v>261412.3400000002</v>
      </c>
      <c r="H8" s="372">
        <v>2741.7499999998836</v>
      </c>
      <c r="I8" s="372">
        <v>31331.550000000047</v>
      </c>
      <c r="J8" s="372">
        <v>-119923.03000000009</v>
      </c>
      <c r="K8" s="372">
        <v>19657.44000000009</v>
      </c>
      <c r="L8" s="372">
        <v>43812.050000000083</v>
      </c>
      <c r="M8" s="372">
        <v>-56212.920000000013</v>
      </c>
      <c r="N8" s="372">
        <v>681464.88000000024</v>
      </c>
      <c r="O8" s="373">
        <f>'All Statements'!H115</f>
        <v>-96534.217352000109</v>
      </c>
      <c r="P8" s="373">
        <f>'All Statements'!I115</f>
        <v>28040.406120999989</v>
      </c>
      <c r="Q8" s="373">
        <f>'All Statements'!J115</f>
        <v>406189.18000000005</v>
      </c>
      <c r="R8" s="373">
        <f>'All Statements'!K115</f>
        <v>59950.050000000076</v>
      </c>
      <c r="S8" s="373">
        <f>'All Statements'!L115</f>
        <v>142789.62000000014</v>
      </c>
      <c r="T8" s="373">
        <f>'All Statements'!M115</f>
        <v>226201.53999999983</v>
      </c>
      <c r="U8" s="373">
        <f>'All Statements'!N115</f>
        <v>403883.42860000004</v>
      </c>
      <c r="V8" s="373">
        <f>'All Statements'!O115</f>
        <v>278778.50999999989</v>
      </c>
      <c r="W8" s="373">
        <f>'All Statements'!P115</f>
        <v>370672.93999999994</v>
      </c>
      <c r="X8" s="373">
        <f>'All Statements'!Q115</f>
        <v>407471.03000000049</v>
      </c>
      <c r="Y8" s="373">
        <f>'All Statements'!R115</f>
        <v>181846.49000000002</v>
      </c>
      <c r="Z8" s="373">
        <f>'All Statements'!S115</f>
        <v>409653.5499999997</v>
      </c>
      <c r="AA8" s="720">
        <f>'All Statements'!T115</f>
        <v>60434.359999999848</v>
      </c>
      <c r="AB8" s="373">
        <f>'All Statements'!U115</f>
        <v>216601.78000000003</v>
      </c>
      <c r="AC8" s="373">
        <f>'All Statements'!V115</f>
        <v>46329.520000000048</v>
      </c>
      <c r="AD8" s="373">
        <f>'All Statements'!W115</f>
        <v>-265542.82000000012</v>
      </c>
      <c r="AE8" s="373">
        <f>'All Statements'!X115</f>
        <v>-128392.73000000003</v>
      </c>
      <c r="AF8" s="373">
        <f>'All Statements'!Y115</f>
        <v>279238.66000000009</v>
      </c>
      <c r="AG8" s="373">
        <f>'All Statements'!Z115</f>
        <v>-19852.979999999865</v>
      </c>
      <c r="AH8" s="373">
        <f>'All Statements'!AA115</f>
        <v>504677.98999999982</v>
      </c>
      <c r="AI8" s="373">
        <f>'All Statements'!AB115</f>
        <v>231725.07000000015</v>
      </c>
      <c r="AJ8" s="373">
        <f>'All Statements'!AC115</f>
        <v>136076.82</v>
      </c>
      <c r="AK8" s="373">
        <f>'All Statements'!AD115</f>
        <v>145043.77000000005</v>
      </c>
      <c r="AL8" s="373">
        <f>'All Statements'!AE115</f>
        <v>279554.12000000017</v>
      </c>
      <c r="AM8" s="373">
        <f>'All Statements'!AF115</f>
        <v>-272071.57000000007</v>
      </c>
      <c r="AN8" s="373">
        <f>'All Statements'!AG115</f>
        <v>74690.660000000047</v>
      </c>
      <c r="AO8" s="373">
        <f>'All Statements'!AH115</f>
        <v>347111.51</v>
      </c>
      <c r="AP8" s="373">
        <f>'All Statements'!AI115</f>
        <v>206065.88999999996</v>
      </c>
      <c r="AQ8" s="373">
        <f>'All Statements'!AJ115</f>
        <v>436213.60000000003</v>
      </c>
      <c r="AR8" s="373">
        <f>'All Statements'!AK115</f>
        <v>-161689.11000000004</v>
      </c>
      <c r="AS8" s="373">
        <f>'All Statements'!AL115</f>
        <v>119940.58000000007</v>
      </c>
      <c r="AT8" s="373">
        <f>'All Statements'!AM115</f>
        <v>219743.86000000004</v>
      </c>
      <c r="AU8" s="373">
        <f>'All Statements'!AN115</f>
        <v>212597.11999999982</v>
      </c>
      <c r="AV8" s="373">
        <f>'All Statements'!AO115</f>
        <v>239223.59000000035</v>
      </c>
      <c r="AW8" s="373">
        <f ca="1">'All Statements'!BF115</f>
        <v>2253495.1261110757</v>
      </c>
      <c r="AX8" s="814">
        <f>SUM(AA8:AL8)</f>
        <v>1485893.56</v>
      </c>
      <c r="AY8" s="814">
        <f>SUM(O8:Z8)</f>
        <v>2818942.527369</v>
      </c>
      <c r="AZ8" s="835">
        <f>SUM(AM8:AV8)</f>
        <v>1421826.1300000004</v>
      </c>
      <c r="BA8" s="843">
        <f>SUM(AK8:AV8)</f>
        <v>1846424.0200000005</v>
      </c>
      <c r="BB8" s="814">
        <f>SUM(X8:AI8)</f>
        <v>1924189.9200000002</v>
      </c>
      <c r="BC8" s="311"/>
      <c r="BT8" s="311"/>
      <c r="CL8" s="371" t="s">
        <v>202</v>
      </c>
      <c r="CM8" s="720">
        <f t="shared" si="1"/>
        <v>239223.59000000035</v>
      </c>
      <c r="CN8" s="373">
        <v>-123110.82000000036</v>
      </c>
      <c r="CO8" s="835">
        <f t="shared" si="2"/>
        <v>1421826.1300000004</v>
      </c>
      <c r="CP8" s="843">
        <f t="shared" si="3"/>
        <v>1846424.0200000005</v>
      </c>
    </row>
    <row r="9" spans="2:94" x14ac:dyDescent="0.3">
      <c r="B9" s="371" t="s">
        <v>413</v>
      </c>
      <c r="C9" s="374">
        <f>C8/C4</f>
        <v>4.1803577412569091E-2</v>
      </c>
      <c r="D9" s="374">
        <f t="shared" ref="D9:N9" si="6">D8/D4</f>
        <v>4.2142275214900805E-2</v>
      </c>
      <c r="E9" s="374">
        <f t="shared" si="6"/>
        <v>-1.6188201576307619E-2</v>
      </c>
      <c r="F9" s="374">
        <f t="shared" si="6"/>
        <v>-0.19268405014016546</v>
      </c>
      <c r="G9" s="374">
        <f t="shared" si="6"/>
        <v>0.2341941485170366</v>
      </c>
      <c r="H9" s="374">
        <f t="shared" si="6"/>
        <v>3.2886800531906546E-3</v>
      </c>
      <c r="I9" s="374">
        <f t="shared" si="6"/>
        <v>4.1770934965525149E-2</v>
      </c>
      <c r="J9" s="374">
        <f t="shared" si="6"/>
        <v>-0.13811778592648041</v>
      </c>
      <c r="K9" s="374">
        <f t="shared" si="6"/>
        <v>2.4507664666949935E-2</v>
      </c>
      <c r="L9" s="374">
        <f t="shared" si="6"/>
        <v>4.3639080395381731E-2</v>
      </c>
      <c r="M9" s="374">
        <f t="shared" si="6"/>
        <v>-7.9861626213074313E-2</v>
      </c>
      <c r="N9" s="374">
        <f t="shared" si="6"/>
        <v>0.55706153574698514</v>
      </c>
      <c r="O9" s="375">
        <f>'All Statements'!H116</f>
        <v>-0.27137282259639289</v>
      </c>
      <c r="P9" s="375">
        <f>'All Statements'!I116</f>
        <v>4.1819988871163387E-2</v>
      </c>
      <c r="Q9" s="375">
        <f>'All Statements'!J116</f>
        <v>0.36087878759906078</v>
      </c>
      <c r="R9" s="375">
        <f>'All Statements'!K116</f>
        <v>8.3056728335439492E-2</v>
      </c>
      <c r="S9" s="375">
        <f>'All Statements'!L116</f>
        <v>0.1585394647014369</v>
      </c>
      <c r="T9" s="375">
        <f>'All Statements'!M116</f>
        <v>0.23992455516598532</v>
      </c>
      <c r="U9" s="375">
        <f>'All Statements'!N116</f>
        <v>0.4369697749269893</v>
      </c>
      <c r="V9" s="375">
        <f>'All Statements'!O116</f>
        <v>0.23157105528086994</v>
      </c>
      <c r="W9" s="375">
        <f>'All Statements'!P116</f>
        <v>0.34095329904032806</v>
      </c>
      <c r="X9" s="375">
        <f>'All Statements'!Q116</f>
        <v>0.25720139844945727</v>
      </c>
      <c r="Y9" s="375">
        <f>'All Statements'!R116</f>
        <v>0.17872504282898835</v>
      </c>
      <c r="Z9" s="375">
        <f>'All Statements'!S116</f>
        <v>0.20520877832315562</v>
      </c>
      <c r="AA9" s="721">
        <f>'All Statements'!T116</f>
        <v>5.787419708457079E-2</v>
      </c>
      <c r="AB9" s="375">
        <f>'All Statements'!U116</f>
        <v>0.13113040185313948</v>
      </c>
      <c r="AC9" s="375">
        <f>'All Statements'!V116</f>
        <v>2.9413644881722968E-2</v>
      </c>
      <c r="AD9" s="375">
        <f>'All Statements'!W116</f>
        <v>-0.26802265674793535</v>
      </c>
      <c r="AE9" s="375">
        <f>'All Statements'!X116</f>
        <v>-9.3002532890661627E-2</v>
      </c>
      <c r="AF9" s="375">
        <f>'All Statements'!Y116</f>
        <v>0.18406460727721946</v>
      </c>
      <c r="AG9" s="375">
        <f>'All Statements'!Z116</f>
        <v>-1.6898211753217207E-2</v>
      </c>
      <c r="AH9" s="375">
        <f>'All Statements'!AA116</f>
        <v>0.31494777891910836</v>
      </c>
      <c r="AI9" s="375">
        <f>'All Statements'!AB116</f>
        <v>0.18323218342630007</v>
      </c>
      <c r="AJ9" s="375">
        <f>'All Statements'!AC116</f>
        <v>0.12874736633198131</v>
      </c>
      <c r="AK9" s="375">
        <f>'All Statements'!AD116</f>
        <v>0.16254202166291298</v>
      </c>
      <c r="AL9" s="375">
        <f>'All Statements'!AE116</f>
        <v>0.19917324550318086</v>
      </c>
      <c r="AM9" s="375">
        <f>'All Statements'!AF116</f>
        <v>-0.38043030646352921</v>
      </c>
      <c r="AN9" s="375">
        <f>'All Statements'!AG116</f>
        <v>7.5465269485369135E-2</v>
      </c>
      <c r="AO9" s="375">
        <f>'All Statements'!AH116</f>
        <v>0.19117989437581226</v>
      </c>
      <c r="AP9" s="375">
        <f>'All Statements'!AI116</f>
        <v>0.15404003675117092</v>
      </c>
      <c r="AQ9" s="375">
        <f>'All Statements'!AJ116</f>
        <v>0.33233092439017714</v>
      </c>
      <c r="AR9" s="375">
        <f>'All Statements'!AK116</f>
        <v>-8.5979920257266293E-2</v>
      </c>
      <c r="AS9" s="375">
        <f>'All Statements'!AL116</f>
        <v>7.7269111248782732E-2</v>
      </c>
      <c r="AT9" s="375">
        <f>'All Statements'!AM116</f>
        <v>0.14607240672836749</v>
      </c>
      <c r="AU9" s="375">
        <f>'All Statements'!AN116</f>
        <v>0.11477225714842576</v>
      </c>
      <c r="AV9" s="375">
        <f>'All Statements'!AO116</f>
        <v>0.1015711688674783</v>
      </c>
      <c r="AW9" s="375">
        <f t="shared" ref="AW9:BB9" ca="1" si="7">AW8/AW4</f>
        <v>0.11085396841794709</v>
      </c>
      <c r="AX9" s="815">
        <f t="shared" si="7"/>
        <v>9.5529652379923752E-2</v>
      </c>
      <c r="AY9" s="815">
        <f t="shared" si="7"/>
        <v>0.22496942283186616</v>
      </c>
      <c r="AZ9" s="836">
        <f t="shared" si="7"/>
        <v>9.2835335353751727E-2</v>
      </c>
      <c r="BA9" s="844">
        <f t="shared" si="7"/>
        <v>0.1048420134453466</v>
      </c>
      <c r="BB9" s="815">
        <f t="shared" si="7"/>
        <v>0.11453914817725011</v>
      </c>
      <c r="BC9" s="376"/>
      <c r="BT9" s="376"/>
      <c r="CL9" s="371" t="s">
        <v>413</v>
      </c>
      <c r="CM9" s="721">
        <f t="shared" si="1"/>
        <v>0.1015711688674783</v>
      </c>
      <c r="CN9" s="375">
        <f>CN8/CN4</f>
        <v>-0.10889844476967055</v>
      </c>
      <c r="CO9" s="836">
        <f t="shared" si="2"/>
        <v>9.2835335353751727E-2</v>
      </c>
      <c r="CP9" s="844">
        <f t="shared" si="3"/>
        <v>0.1048420134453466</v>
      </c>
    </row>
    <row r="10" spans="2:94" x14ac:dyDescent="0.3">
      <c r="B10" s="371" t="s">
        <v>220</v>
      </c>
      <c r="C10" s="372">
        <v>57110</v>
      </c>
      <c r="D10" s="372">
        <v>55572.480000000003</v>
      </c>
      <c r="E10" s="372">
        <v>22014</v>
      </c>
      <c r="F10" s="372">
        <v>-64726.760000000009</v>
      </c>
      <c r="G10" s="372">
        <v>282008.01000000018</v>
      </c>
      <c r="H10" s="372">
        <v>43790.749999999884</v>
      </c>
      <c r="I10" s="372">
        <v>65835.720000000045</v>
      </c>
      <c r="J10" s="372">
        <v>-94953.19000000009</v>
      </c>
      <c r="K10" s="372">
        <v>62555.460000000094</v>
      </c>
      <c r="L10" s="372">
        <v>73593.710000000079</v>
      </c>
      <c r="M10" s="372">
        <v>1917.8699999999876</v>
      </c>
      <c r="N10" s="372">
        <v>710020.61000000034</v>
      </c>
      <c r="O10" s="373">
        <f>'All Statements'!H134</f>
        <v>-44512.7473520001</v>
      </c>
      <c r="P10" s="373">
        <f>'All Statements'!I134</f>
        <v>89961.469421000002</v>
      </c>
      <c r="Q10" s="373">
        <f>'All Statements'!J134</f>
        <v>484433.91</v>
      </c>
      <c r="R10" s="373">
        <f>'All Statements'!K134</f>
        <v>192712.9800000001</v>
      </c>
      <c r="S10" s="373">
        <f>'All Statements'!L134</f>
        <v>232434.26000000015</v>
      </c>
      <c r="T10" s="373">
        <f>'All Statements'!M134</f>
        <v>297059.57662250835</v>
      </c>
      <c r="U10" s="373">
        <f>'All Statements'!N134</f>
        <v>472999.13058332837</v>
      </c>
      <c r="V10" s="373">
        <f>'All Statements'!O134</f>
        <v>346041.62719680538</v>
      </c>
      <c r="W10" s="373">
        <f>'All Statements'!P134</f>
        <v>465134.16300577216</v>
      </c>
      <c r="X10" s="373">
        <f>'All Statements'!Q134</f>
        <v>472366.92000000051</v>
      </c>
      <c r="Y10" s="373">
        <f>'All Statements'!R134</f>
        <v>201597.15000000002</v>
      </c>
      <c r="Z10" s="373">
        <f>'All Statements'!S134</f>
        <v>476259.7237529158</v>
      </c>
      <c r="AA10" s="720">
        <f>'All Statements'!T134</f>
        <v>84168.371690808184</v>
      </c>
      <c r="AB10" s="373">
        <f>'All Statements'!U134</f>
        <v>236074.44009733395</v>
      </c>
      <c r="AC10" s="373">
        <f>'All Statements'!V134</f>
        <v>67095.058946917081</v>
      </c>
      <c r="AD10" s="373">
        <f>'All Statements'!W134</f>
        <v>-233187.80178608693</v>
      </c>
      <c r="AE10" s="373">
        <f>'All Statements'!X134</f>
        <v>-103915.89212739091</v>
      </c>
      <c r="AF10" s="373">
        <f>'All Statements'!Y134</f>
        <v>298120.15789722267</v>
      </c>
      <c r="AG10" s="373">
        <f>'All Statements'!Z134</f>
        <v>2877.3882619021315</v>
      </c>
      <c r="AH10" s="373">
        <f>'All Statements'!AA134</f>
        <v>525366.71894072648</v>
      </c>
      <c r="AI10" s="373">
        <f>'All Statements'!AB134</f>
        <v>254080.88990770635</v>
      </c>
      <c r="AJ10" s="373">
        <f>'All Statements'!AC134</f>
        <v>138049.1411367805</v>
      </c>
      <c r="AK10" s="373">
        <f>'All Statements'!AD134</f>
        <v>167095.09260181949</v>
      </c>
      <c r="AL10" s="373">
        <f>'All Statements'!AE134</f>
        <v>277662.91427662305</v>
      </c>
      <c r="AM10" s="373">
        <f>'All Statements'!AF134</f>
        <v>-244135.47000000006</v>
      </c>
      <c r="AN10" s="373">
        <f>'All Statements'!AG134</f>
        <v>100443.73000000004</v>
      </c>
      <c r="AO10" s="373">
        <f>'All Statements'!AH134</f>
        <v>377738.49</v>
      </c>
      <c r="AP10" s="373">
        <f>'All Statements'!AI134</f>
        <v>258580.80999999997</v>
      </c>
      <c r="AQ10" s="373">
        <f>'All Statements'!AJ134</f>
        <v>461895.02</v>
      </c>
      <c r="AR10" s="373">
        <f>'All Statements'!AK134</f>
        <v>-120280.97000000004</v>
      </c>
      <c r="AS10" s="373">
        <f>'All Statements'!AL134</f>
        <v>158335.81000000008</v>
      </c>
      <c r="AT10" s="373">
        <f>'All Statements'!AM134</f>
        <v>257360.04000000007</v>
      </c>
      <c r="AU10" s="373">
        <f>'All Statements'!AN134</f>
        <v>283959.75999999983</v>
      </c>
      <c r="AV10" s="373">
        <f>'All Statements'!AO134</f>
        <v>313999.60000000038</v>
      </c>
      <c r="AW10" s="373">
        <f ca="1">'All Statements'!BF134</f>
        <v>2750052.4761110758</v>
      </c>
      <c r="AX10" s="814">
        <f>SUM(AA10:AL10)</f>
        <v>1713486.479844362</v>
      </c>
      <c r="AY10" s="814">
        <f>SUM(O10:Z10)</f>
        <v>3686488.1632303307</v>
      </c>
      <c r="AZ10" s="835">
        <f>SUM(AM10:AV10)</f>
        <v>1847896.82</v>
      </c>
      <c r="BA10" s="843">
        <f>SUM(AK10:AV10)</f>
        <v>2292654.8268784429</v>
      </c>
      <c r="BB10" s="814">
        <f>SUM(X10:AI10)</f>
        <v>2280903.1255820552</v>
      </c>
      <c r="CL10" s="371" t="s">
        <v>220</v>
      </c>
      <c r="CM10" s="720">
        <f t="shared" si="1"/>
        <v>313999.60000000038</v>
      </c>
      <c r="CN10" s="373">
        <f>CM10+141341.03</f>
        <v>455340.63000000035</v>
      </c>
      <c r="CO10" s="835">
        <f t="shared" si="2"/>
        <v>1847896.82</v>
      </c>
      <c r="CP10" s="843">
        <f t="shared" si="3"/>
        <v>2292654.8268784429</v>
      </c>
    </row>
    <row r="11" spans="2:94" x14ac:dyDescent="0.3">
      <c r="B11" s="371" t="s">
        <v>414</v>
      </c>
      <c r="C11" s="374">
        <f>C10/C4</f>
        <v>8.4199841504966524E-2</v>
      </c>
      <c r="D11" s="374">
        <f t="shared" ref="D11:N11" si="8">D10/D4</f>
        <v>6.322508567515582E-2</v>
      </c>
      <c r="E11" s="374">
        <f t="shared" si="8"/>
        <v>2.628851206114163E-2</v>
      </c>
      <c r="F11" s="374">
        <f t="shared" si="8"/>
        <v>-0.13224377910305588</v>
      </c>
      <c r="G11" s="374">
        <f t="shared" si="8"/>
        <v>0.25264540219078385</v>
      </c>
      <c r="H11" s="374">
        <f t="shared" si="8"/>
        <v>5.252622085867216E-2</v>
      </c>
      <c r="I11" s="374">
        <f t="shared" si="8"/>
        <v>8.7771577803476733E-2</v>
      </c>
      <c r="J11" s="374">
        <f t="shared" si="8"/>
        <v>-0.10935951476089641</v>
      </c>
      <c r="K11" s="374">
        <f t="shared" si="8"/>
        <v>7.799022847160135E-2</v>
      </c>
      <c r="L11" s="374">
        <f t="shared" si="8"/>
        <v>7.3303162652384582E-2</v>
      </c>
      <c r="M11" s="374">
        <f t="shared" si="8"/>
        <v>2.7247155469822208E-3</v>
      </c>
      <c r="N11" s="374">
        <f t="shared" si="8"/>
        <v>0.58040433634468624</v>
      </c>
      <c r="O11" s="375">
        <f>'All Statements'!H135</f>
        <v>-0.12513231289156043</v>
      </c>
      <c r="P11" s="375">
        <f>'All Statements'!I135</f>
        <v>0.13417022684283278</v>
      </c>
      <c r="Q11" s="375">
        <f>'All Statements'!J135</f>
        <v>0.43039532001485736</v>
      </c>
      <c r="R11" s="375">
        <f>'All Statements'!K135</f>
        <v>0.26699076358690232</v>
      </c>
      <c r="S11" s="375">
        <f>'All Statements'!L135</f>
        <v>0.25807200242338763</v>
      </c>
      <c r="T11" s="375">
        <f>'All Statements'!M135</f>
        <v>0.31508135081198518</v>
      </c>
      <c r="U11" s="375">
        <f>'All Statements'!N135</f>
        <v>0.51174747215577787</v>
      </c>
      <c r="V11" s="375">
        <f>'All Statements'!O135</f>
        <v>0.28744405291883379</v>
      </c>
      <c r="W11" s="375">
        <f>'All Statements'!P135</f>
        <v>0.42784085445562808</v>
      </c>
      <c r="X11" s="375">
        <f>'All Statements'!Q135</f>
        <v>0.29816458952986891</v>
      </c>
      <c r="Y11" s="375">
        <f>'All Statements'!R135</f>
        <v>0.19813667708379737</v>
      </c>
      <c r="Z11" s="375">
        <f>'All Statements'!S135</f>
        <v>0.23857397568227959</v>
      </c>
      <c r="AA11" s="721">
        <f>'All Statements'!T135</f>
        <v>8.0602771858943392E-2</v>
      </c>
      <c r="AB11" s="375">
        <f>'All Statements'!U135</f>
        <v>0.14291912188911052</v>
      </c>
      <c r="AC11" s="375">
        <f>'All Statements'!V135</f>
        <v>4.2597251972023159E-2</v>
      </c>
      <c r="AD11" s="375">
        <f>'All Statements'!W135</f>
        <v>-0.23536548326148654</v>
      </c>
      <c r="AE11" s="375">
        <f>'All Statements'!X135</f>
        <v>-7.5272495377581863E-2</v>
      </c>
      <c r="AF11" s="375">
        <f>'All Statements'!Y135</f>
        <v>0.19651064714597516</v>
      </c>
      <c r="AG11" s="375">
        <f>'All Statements'!Z135</f>
        <v>2.4491394312513366E-3</v>
      </c>
      <c r="AH11" s="375">
        <f>'All Statements'!AA135</f>
        <v>0.3278587228430575</v>
      </c>
      <c r="AI11" s="375">
        <f>'All Statements'!AB135</f>
        <v>0.20090962201321752</v>
      </c>
      <c r="AJ11" s="375">
        <f>'All Statements'!AC135</f>
        <v>0.13061345309033873</v>
      </c>
      <c r="AK11" s="375">
        <f>'All Statements'!AD135</f>
        <v>0.18725364185894636</v>
      </c>
      <c r="AL11" s="375">
        <f>'All Statements'!AE135</f>
        <v>0.19782582275069482</v>
      </c>
      <c r="AM11" s="375">
        <f>'All Statements'!AF135</f>
        <v>-0.34136801456586496</v>
      </c>
      <c r="AN11" s="375">
        <f>'All Statements'!AG135</f>
        <v>0.10148542204026119</v>
      </c>
      <c r="AO11" s="375">
        <f>'All Statements'!AH135</f>
        <v>0.20804842979674978</v>
      </c>
      <c r="AP11" s="375">
        <f>'All Statements'!AI135</f>
        <v>0.19329641347021359</v>
      </c>
      <c r="AQ11" s="375">
        <f>'All Statements'!AJ135</f>
        <v>0.35189640801620892</v>
      </c>
      <c r="AR11" s="375">
        <f>'All Statements'!AK135</f>
        <v>-6.3960697223620314E-2</v>
      </c>
      <c r="AS11" s="375">
        <f>'All Statements'!AL135</f>
        <v>0.10200440349343087</v>
      </c>
      <c r="AT11" s="375">
        <f>'All Statements'!AM135</f>
        <v>0.17107736452116992</v>
      </c>
      <c r="AU11" s="375">
        <f>'All Statements'!AN135</f>
        <v>0.15329794963603116</v>
      </c>
      <c r="AV11" s="375">
        <f>'All Statements'!AO135</f>
        <v>0.13332007263966164</v>
      </c>
      <c r="AW11" s="375">
        <f t="shared" ref="AW11:BB11" ca="1" si="9">AW10/AW4</f>
        <v>0.1352806255501473</v>
      </c>
      <c r="AX11" s="815">
        <f t="shared" si="9"/>
        <v>0.11016183943702611</v>
      </c>
      <c r="AY11" s="815">
        <f t="shared" si="9"/>
        <v>0.29420504544038628</v>
      </c>
      <c r="AZ11" s="836">
        <f t="shared" si="9"/>
        <v>0.12065478145617661</v>
      </c>
      <c r="BA11" s="844">
        <f t="shared" si="9"/>
        <v>0.13017949592376318</v>
      </c>
      <c r="BB11" s="815">
        <f t="shared" si="9"/>
        <v>0.13577282489817633</v>
      </c>
      <c r="CL11" s="371" t="s">
        <v>414</v>
      </c>
      <c r="CM11" s="721">
        <f t="shared" si="1"/>
        <v>0.13332007263966164</v>
      </c>
      <c r="CN11" s="375">
        <f>CN10/CN4</f>
        <v>0.40277439828149864</v>
      </c>
      <c r="CO11" s="836">
        <f t="shared" si="2"/>
        <v>0.12065478145617661</v>
      </c>
      <c r="CP11" s="844">
        <f t="shared" si="3"/>
        <v>0.13017949592376318</v>
      </c>
    </row>
    <row r="12" spans="2:94" x14ac:dyDescent="0.3">
      <c r="B12" s="371" t="s">
        <v>415</v>
      </c>
      <c r="C12" s="372">
        <v>-79196.370000000345</v>
      </c>
      <c r="D12" s="372">
        <v>-333066.22999999928</v>
      </c>
      <c r="E12" s="372">
        <v>128979.20999999926</v>
      </c>
      <c r="F12" s="372">
        <v>19377.41999999978</v>
      </c>
      <c r="G12" s="372">
        <v>-247502.13000000064</v>
      </c>
      <c r="H12" s="372">
        <v>-13252.649999999092</v>
      </c>
      <c r="I12" s="372">
        <v>150842.95000000045</v>
      </c>
      <c r="J12" s="372">
        <v>4495.6399999993155</v>
      </c>
      <c r="K12" s="372">
        <v>-360811.62999999913</v>
      </c>
      <c r="L12" s="372">
        <v>251347.54999999906</v>
      </c>
      <c r="M12" s="372">
        <v>292193.0799999999</v>
      </c>
      <c r="N12" s="372">
        <v>401677.57000000041</v>
      </c>
      <c r="O12" s="373">
        <f>'All Statements'!H148</f>
        <v>441073.94264800072</v>
      </c>
      <c r="P12" s="373">
        <f>'All Statements'!I148</f>
        <v>95264.369421000418</v>
      </c>
      <c r="Q12" s="373">
        <f>'All Statements'!J148</f>
        <v>238267.60999999958</v>
      </c>
      <c r="R12" s="373">
        <f>'All Statements'!K148</f>
        <v>66813.930000001739</v>
      </c>
      <c r="S12" s="373">
        <f>'All Statements'!L148</f>
        <v>122077.23999999417</v>
      </c>
      <c r="T12" s="373">
        <f>'All Statements'!M148</f>
        <v>863278.83000000624</v>
      </c>
      <c r="U12" s="373">
        <f>'All Statements'!N148</f>
        <v>97839.578599996108</v>
      </c>
      <c r="V12" s="373">
        <f>'All Statements'!O148</f>
        <v>434134.19000000152</v>
      </c>
      <c r="W12" s="373">
        <f>'All Statements'!P148</f>
        <v>432455.90999999782</v>
      </c>
      <c r="X12" s="373">
        <f>'All Statements'!Q148</f>
        <v>447014.85999999964</v>
      </c>
      <c r="Y12" s="373">
        <f>'All Statements'!R148</f>
        <v>28939.500000006316</v>
      </c>
      <c r="Z12" s="373">
        <f>'All Statements'!S148</f>
        <v>2499485.6799999969</v>
      </c>
      <c r="AA12" s="720">
        <f>'All Statements'!T148</f>
        <v>-582358.9900000015</v>
      </c>
      <c r="AB12" s="373">
        <f>'All Statements'!U148</f>
        <v>-553450.75000000058</v>
      </c>
      <c r="AC12" s="373">
        <f>'All Statements'!V148</f>
        <v>-534471.16999999888</v>
      </c>
      <c r="AD12" s="373">
        <f>'All Statements'!W148</f>
        <v>616161.77999999793</v>
      </c>
      <c r="AE12" s="373">
        <f>'All Statements'!X148</f>
        <v>-7459.2299999966635</v>
      </c>
      <c r="AF12" s="373">
        <f>'All Statements'!Y148</f>
        <v>-647990.33000000217</v>
      </c>
      <c r="AG12" s="373">
        <f>'All Statements'!Z148</f>
        <v>38344.510000000919</v>
      </c>
      <c r="AH12" s="373">
        <f>'All Statements'!AA148</f>
        <v>322614.5599999986</v>
      </c>
      <c r="AI12" s="373">
        <f>'All Statements'!AB148</f>
        <v>-40230.409999999974</v>
      </c>
      <c r="AJ12" s="373">
        <f>'All Statements'!AC148</f>
        <v>224429.47000000125</v>
      </c>
      <c r="AK12" s="373">
        <f>'All Statements'!AD148</f>
        <v>83593.60000000053</v>
      </c>
      <c r="AL12" s="373">
        <f>'All Statements'!AE148</f>
        <v>-1017239.6499999994</v>
      </c>
      <c r="AM12" s="373">
        <f>'All Statements'!AF148</f>
        <v>-62367.640000000421</v>
      </c>
      <c r="AN12" s="373">
        <f>'All Statements'!AG148</f>
        <v>360745.03999999969</v>
      </c>
      <c r="AO12" s="373">
        <f>'All Statements'!AH148</f>
        <v>349422.16000000108</v>
      </c>
      <c r="AP12" s="373">
        <f>'All Statements'!AI148</f>
        <v>-23681.999999998778</v>
      </c>
      <c r="AQ12" s="373">
        <f>'All Statements'!AJ148</f>
        <v>230569.51999999624</v>
      </c>
      <c r="AR12" s="373">
        <f>'All Statements'!AK148</f>
        <v>-183598.07999999961</v>
      </c>
      <c r="AS12" s="373">
        <f>'All Statements'!AL148</f>
        <v>453319.31999999937</v>
      </c>
      <c r="AT12" s="373">
        <f>'All Statements'!AM148</f>
        <v>17942.440000002855</v>
      </c>
      <c r="AU12" s="373">
        <f>'All Statements'!AN148</f>
        <v>-336794.38000000163</v>
      </c>
      <c r="AV12" s="373">
        <f>'All Statements'!AO148</f>
        <v>371915.38000000129</v>
      </c>
      <c r="AW12" s="373">
        <f ca="1">'All Statements'!BF148</f>
        <v>2290831.3849101816</v>
      </c>
      <c r="AX12" s="814">
        <f>SUM(AA12:AL12)</f>
        <v>-2098056.61</v>
      </c>
      <c r="AY12" s="814">
        <f>SUM(O12:Z12)</f>
        <v>5766645.6406690013</v>
      </c>
      <c r="AZ12" s="835">
        <f>SUM(AM12:AV12)</f>
        <v>1177471.7599999998</v>
      </c>
      <c r="BA12" s="843">
        <f>SUM(AK12:AV12)</f>
        <v>243825.71000000124</v>
      </c>
      <c r="BB12" s="814">
        <f>SUM(X12:AI12)</f>
        <v>1586600.0100000005</v>
      </c>
      <c r="CL12" s="371" t="s">
        <v>415</v>
      </c>
      <c r="CM12" s="720">
        <f t="shared" si="1"/>
        <v>371915.38000000129</v>
      </c>
      <c r="CN12" s="373">
        <f>CM12+141341.03</f>
        <v>513256.41000000131</v>
      </c>
      <c r="CO12" s="835">
        <f t="shared" si="2"/>
        <v>1177471.7599999998</v>
      </c>
      <c r="CP12" s="843">
        <f t="shared" si="3"/>
        <v>243825.71000000124</v>
      </c>
    </row>
    <row r="13" spans="2:94" x14ac:dyDescent="0.3">
      <c r="B13" s="369" t="s">
        <v>416</v>
      </c>
      <c r="C13" s="370"/>
      <c r="D13" s="370"/>
      <c r="E13" s="370"/>
      <c r="F13" s="370"/>
      <c r="G13" s="370"/>
      <c r="H13" s="370"/>
      <c r="I13" s="370"/>
      <c r="J13" s="370"/>
      <c r="K13" s="370"/>
      <c r="L13" s="370"/>
      <c r="M13" s="370"/>
      <c r="N13" s="370"/>
      <c r="O13" s="370"/>
      <c r="P13" s="370"/>
      <c r="Q13" s="370"/>
      <c r="R13" s="370"/>
      <c r="S13" s="370"/>
      <c r="T13" s="370"/>
      <c r="U13" s="370"/>
      <c r="V13" s="370"/>
      <c r="W13" s="370"/>
      <c r="X13" s="370"/>
      <c r="Y13" s="370"/>
      <c r="Z13" s="370"/>
      <c r="AA13" s="719"/>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813"/>
      <c r="AY13" s="813"/>
      <c r="AZ13" s="834"/>
      <c r="BA13" s="854"/>
      <c r="BB13" s="855"/>
      <c r="CL13" s="369" t="s">
        <v>416</v>
      </c>
      <c r="CM13" s="719"/>
      <c r="CN13" s="370"/>
      <c r="CO13" s="834"/>
      <c r="CP13" s="854"/>
    </row>
    <row r="14" spans="2:94" x14ac:dyDescent="0.3">
      <c r="B14" s="371" t="s">
        <v>417</v>
      </c>
      <c r="C14" s="372">
        <v>1603390</v>
      </c>
      <c r="D14" s="372">
        <v>1269168.5</v>
      </c>
      <c r="E14" s="372">
        <v>2388288</v>
      </c>
      <c r="F14" s="372">
        <v>2910323.16</v>
      </c>
      <c r="G14" s="372">
        <v>2726191.02</v>
      </c>
      <c r="H14" s="372">
        <v>2718969</v>
      </c>
      <c r="I14" s="372">
        <v>2369722.77</v>
      </c>
      <c r="J14" s="372">
        <v>2369852.7200000002</v>
      </c>
      <c r="K14" s="372">
        <v>2019152.06</v>
      </c>
      <c r="L14" s="372">
        <v>2056943.2500000002</v>
      </c>
      <c r="M14" s="372">
        <v>2352330.7799999998</v>
      </c>
      <c r="N14" s="372">
        <v>2191824.7200000002</v>
      </c>
      <c r="O14" s="373">
        <f>'All Statements'!H158</f>
        <v>2320196.89</v>
      </c>
      <c r="P14" s="373">
        <f>'All Statements'!I158</f>
        <v>2269765.4700000002</v>
      </c>
      <c r="Q14" s="373">
        <f>'All Statements'!J158</f>
        <v>1305227.01</v>
      </c>
      <c r="R14" s="373">
        <f>'All Statements'!K158</f>
        <v>1093440.1400000006</v>
      </c>
      <c r="S14" s="373">
        <f>'All Statements'!L158</f>
        <v>996950.94999999902</v>
      </c>
      <c r="T14" s="373">
        <f>'All Statements'!M158</f>
        <v>1660417.1800000013</v>
      </c>
      <c r="U14" s="373">
        <f>'All Statements'!N158</f>
        <v>1515243.5199999996</v>
      </c>
      <c r="V14" s="373">
        <f>'All Statements'!O158</f>
        <v>1739086.7299999986</v>
      </c>
      <c r="W14" s="373">
        <f>'All Statements'!P158</f>
        <v>1914445.1900000027</v>
      </c>
      <c r="X14" s="373">
        <f>'All Statements'!Q158</f>
        <v>1919718.3599999994</v>
      </c>
      <c r="Y14" s="373">
        <f>'All Statements'!R158</f>
        <v>1797080.1199999985</v>
      </c>
      <c r="Z14" s="373">
        <f>'All Statements'!S158</f>
        <v>3792926.9</v>
      </c>
      <c r="AA14" s="720">
        <f>'All Statements'!T158</f>
        <v>3186303.88</v>
      </c>
      <c r="AB14" s="373">
        <f>'All Statements'!U158</f>
        <v>2631522.27</v>
      </c>
      <c r="AC14" s="373">
        <f>'All Statements'!V158</f>
        <v>2095716.67</v>
      </c>
      <c r="AD14" s="373">
        <f>'All Statements'!W158</f>
        <v>1808365.97</v>
      </c>
      <c r="AE14" s="373">
        <f>'All Statements'!X158</f>
        <v>1854687.82</v>
      </c>
      <c r="AF14" s="373">
        <f>'All Statements'!Y158</f>
        <v>1175740.21</v>
      </c>
      <c r="AG14" s="373">
        <f>'All Statements'!Z158</f>
        <v>1208759.69</v>
      </c>
      <c r="AH14" s="373">
        <f>'All Statements'!AA158</f>
        <v>1531736.32</v>
      </c>
      <c r="AI14" s="373">
        <f>'All Statements'!AB158</f>
        <v>1478221.69</v>
      </c>
      <c r="AJ14" s="373">
        <f>'All Statements'!AC158</f>
        <v>1604005.94</v>
      </c>
      <c r="AK14" s="373">
        <f>'All Statements'!AD158</f>
        <v>1717237.5</v>
      </c>
      <c r="AL14" s="373">
        <f>'All Statements'!AE158</f>
        <v>1822042.98</v>
      </c>
      <c r="AM14" s="373">
        <f>'All Statements'!AF158</f>
        <v>1237982.8999999999</v>
      </c>
      <c r="AN14" s="373">
        <f>'All Statements'!AG158</f>
        <v>1596875.89</v>
      </c>
      <c r="AO14" s="373">
        <f>'All Statements'!AH158</f>
        <v>1952995.46</v>
      </c>
      <c r="AP14" s="373">
        <f>'All Statements'!AI158</f>
        <v>1425299.87</v>
      </c>
      <c r="AQ14" s="373">
        <f>'All Statements'!AJ158</f>
        <v>1657597.63</v>
      </c>
      <c r="AR14" s="373">
        <f>'All Statements'!AK158+'All Statements'!AK159</f>
        <v>903655.92</v>
      </c>
      <c r="AS14" s="373">
        <f>'All Statements'!AL158+'All Statements'!AL159</f>
        <v>1341962.75</v>
      </c>
      <c r="AT14" s="373">
        <f>'All Statements'!AM158+'All Statements'!AM159</f>
        <v>945164.97</v>
      </c>
      <c r="AU14" s="373">
        <f>'All Statements'!AN158+'All Statements'!AN159</f>
        <v>592357.80000000005</v>
      </c>
      <c r="AV14" s="373">
        <f>'All Statements'!AO158+'All Statements'!AO159</f>
        <v>1026080.4299999999</v>
      </c>
      <c r="AW14" s="373">
        <f ca="1">'All Statements'!BF158+'All Statements'!BF159</f>
        <v>2104956.1374713928</v>
      </c>
      <c r="AX14" s="814">
        <f>AL14</f>
        <v>1822042.98</v>
      </c>
      <c r="AY14" s="814">
        <f>Z14</f>
        <v>3792926.9</v>
      </c>
      <c r="AZ14" s="835">
        <f t="shared" ref="AZ14:AZ19" si="10">AV14</f>
        <v>1026080.4299999999</v>
      </c>
      <c r="BA14" s="843">
        <f>AZ14</f>
        <v>1026080.4299999999</v>
      </c>
      <c r="BB14" s="814">
        <f t="shared" ref="BB14:BB19" si="11">AI14</f>
        <v>1478221.69</v>
      </c>
      <c r="CL14" s="371" t="s">
        <v>417</v>
      </c>
      <c r="CM14" s="720">
        <f t="shared" ref="CM14:CM40" si="12">AV14</f>
        <v>1026080.4299999999</v>
      </c>
      <c r="CO14" s="835">
        <f t="shared" ref="CO14:CO19" si="13">AZ14</f>
        <v>1026080.4299999999</v>
      </c>
      <c r="CP14" s="843">
        <f t="shared" ref="CP14:CP19" si="14">BA14</f>
        <v>1026080.4299999999</v>
      </c>
    </row>
    <row r="15" spans="2:94" x14ac:dyDescent="0.3">
      <c r="B15" s="371" t="s">
        <v>418</v>
      </c>
      <c r="C15" s="372">
        <v>0</v>
      </c>
      <c r="D15" s="372">
        <v>0</v>
      </c>
      <c r="E15" s="372">
        <v>1000000</v>
      </c>
      <c r="F15" s="372">
        <v>1000000</v>
      </c>
      <c r="G15" s="372">
        <v>1000000</v>
      </c>
      <c r="H15" s="372">
        <v>1000000</v>
      </c>
      <c r="I15" s="372">
        <v>1000000</v>
      </c>
      <c r="J15" s="372">
        <v>1000000</v>
      </c>
      <c r="K15" s="372">
        <v>1000000</v>
      </c>
      <c r="L15" s="372">
        <v>1000000</v>
      </c>
      <c r="M15" s="372">
        <v>1000000</v>
      </c>
      <c r="N15" s="372">
        <v>0</v>
      </c>
      <c r="O15" s="373">
        <f>'All Statements'!H190</f>
        <v>1000000</v>
      </c>
      <c r="P15" s="373">
        <f>'All Statements'!I190</f>
        <v>1000000</v>
      </c>
      <c r="Q15" s="373">
        <f>'All Statements'!J190</f>
        <v>0</v>
      </c>
      <c r="R15" s="373">
        <f>'All Statements'!K190</f>
        <v>0</v>
      </c>
      <c r="S15" s="373">
        <f>'All Statements'!L190</f>
        <v>0</v>
      </c>
      <c r="T15" s="373">
        <f>'All Statements'!M190</f>
        <v>0</v>
      </c>
      <c r="U15" s="373">
        <f>'All Statements'!N190</f>
        <v>0</v>
      </c>
      <c r="V15" s="373">
        <f>'All Statements'!O190</f>
        <v>0</v>
      </c>
      <c r="W15" s="373">
        <f>'All Statements'!P190</f>
        <v>0</v>
      </c>
      <c r="X15" s="373">
        <f>'All Statements'!Q190</f>
        <v>0</v>
      </c>
      <c r="Y15" s="373">
        <f>'All Statements'!R190</f>
        <v>0</v>
      </c>
      <c r="Z15" s="373">
        <f>'All Statements'!S190</f>
        <v>0</v>
      </c>
      <c r="AA15" s="720">
        <f>'All Statements'!T190</f>
        <v>0</v>
      </c>
      <c r="AB15" s="373">
        <f>'All Statements'!U190</f>
        <v>0</v>
      </c>
      <c r="AC15" s="373">
        <f>'All Statements'!V190</f>
        <v>0</v>
      </c>
      <c r="AD15" s="373">
        <f>'All Statements'!W190</f>
        <v>0</v>
      </c>
      <c r="AE15" s="373">
        <f>'All Statements'!X190</f>
        <v>0</v>
      </c>
      <c r="AF15" s="373">
        <f>'All Statements'!Y190</f>
        <v>0</v>
      </c>
      <c r="AG15" s="373">
        <f>'All Statements'!Z190</f>
        <v>0</v>
      </c>
      <c r="AH15" s="373">
        <f>'All Statements'!AA190</f>
        <v>0</v>
      </c>
      <c r="AI15" s="373">
        <f>'All Statements'!AB190</f>
        <v>0</v>
      </c>
      <c r="AJ15" s="373">
        <f>'All Statements'!AC190</f>
        <v>0</v>
      </c>
      <c r="AK15" s="373">
        <f>'All Statements'!AD190</f>
        <v>0</v>
      </c>
      <c r="AL15" s="373">
        <f>'All Statements'!AE190</f>
        <v>0</v>
      </c>
      <c r="AM15" s="373">
        <f>'All Statements'!AF190</f>
        <v>0</v>
      </c>
      <c r="AN15" s="373">
        <f>'All Statements'!AG190</f>
        <v>0</v>
      </c>
      <c r="AO15" s="373">
        <f>'All Statements'!AH190</f>
        <v>0</v>
      </c>
      <c r="AP15" s="373">
        <f>'All Statements'!AI190</f>
        <v>0</v>
      </c>
      <c r="AQ15" s="373">
        <f>'All Statements'!AJ190</f>
        <v>0</v>
      </c>
      <c r="AR15" s="373">
        <f>'All Statements'!AK190</f>
        <v>0</v>
      </c>
      <c r="AS15" s="373">
        <f>'All Statements'!AL190</f>
        <v>0</v>
      </c>
      <c r="AT15" s="373">
        <f>'All Statements'!AM190</f>
        <v>0</v>
      </c>
      <c r="AU15" s="373">
        <f>'All Statements'!AN190</f>
        <v>0</v>
      </c>
      <c r="AV15" s="373">
        <f>'All Statements'!AO190</f>
        <v>0</v>
      </c>
      <c r="AW15" s="373">
        <f>'All Statements'!BF190</f>
        <v>0</v>
      </c>
      <c r="AX15" s="814">
        <f>AL15</f>
        <v>0</v>
      </c>
      <c r="AY15" s="814">
        <f>Z15</f>
        <v>0</v>
      </c>
      <c r="AZ15" s="835">
        <f t="shared" si="10"/>
        <v>0</v>
      </c>
      <c r="BA15" s="843">
        <f>AZ15</f>
        <v>0</v>
      </c>
      <c r="BB15" s="814">
        <f t="shared" si="11"/>
        <v>0</v>
      </c>
      <c r="CL15" s="371" t="s">
        <v>418</v>
      </c>
      <c r="CM15" s="720">
        <f t="shared" si="12"/>
        <v>0</v>
      </c>
      <c r="CO15" s="835">
        <f t="shared" si="13"/>
        <v>0</v>
      </c>
      <c r="CP15" s="843">
        <f t="shared" si="14"/>
        <v>0</v>
      </c>
    </row>
    <row r="16" spans="2:94" x14ac:dyDescent="0.3">
      <c r="B16" s="377" t="s">
        <v>419</v>
      </c>
      <c r="C16" s="378">
        <v>868288.33000000007</v>
      </c>
      <c r="D16" s="378">
        <v>868288.33000000007</v>
      </c>
      <c r="E16" s="378">
        <v>865122.4</v>
      </c>
      <c r="F16" s="378">
        <v>1368948</v>
      </c>
      <c r="G16" s="378">
        <v>1433476</v>
      </c>
      <c r="H16" s="378">
        <v>1429839</v>
      </c>
      <c r="I16" s="378">
        <v>1403527.02</v>
      </c>
      <c r="J16" s="378">
        <v>1399161.33</v>
      </c>
      <c r="K16" s="378">
        <v>1395514.7400000002</v>
      </c>
      <c r="L16" s="378">
        <v>1348830.4300000002</v>
      </c>
      <c r="M16" s="378">
        <v>1345177.0011124453</v>
      </c>
      <c r="N16" s="378">
        <v>835320.1399999999</v>
      </c>
      <c r="O16" s="379">
        <f>'All Statements'!H216</f>
        <v>809658.82000000007</v>
      </c>
      <c r="P16" s="379">
        <f>'All Statements'!I216</f>
        <v>805995.07000000007</v>
      </c>
      <c r="Q16" s="379">
        <f>'All Statements'!J216</f>
        <v>804702.85999999987</v>
      </c>
      <c r="R16" s="379">
        <f>'All Statements'!K216</f>
        <v>780533.74</v>
      </c>
      <c r="S16" s="379">
        <f>'All Statements'!L216</f>
        <v>776859.59000000008</v>
      </c>
      <c r="T16" s="379">
        <f>'All Statements'!M216</f>
        <v>775556.95</v>
      </c>
      <c r="U16" s="379">
        <f>'All Statements'!N216</f>
        <v>751229.22</v>
      </c>
      <c r="V16" s="379">
        <f>'All Statements'!O216</f>
        <v>749919.58359006839</v>
      </c>
      <c r="W16" s="379">
        <f>'All Statements'!P216</f>
        <v>748606.43000000017</v>
      </c>
      <c r="X16" s="379">
        <f>'All Statements'!Q216</f>
        <v>724119.06</v>
      </c>
      <c r="Y16" s="379">
        <f>'All Statements'!R216</f>
        <v>722798.85000000009</v>
      </c>
      <c r="Z16" s="379">
        <f>'All Statements'!S216</f>
        <v>755025.10000000009</v>
      </c>
      <c r="AA16" s="725">
        <f>'All Statements'!T216</f>
        <v>730761.07000000007</v>
      </c>
      <c r="AB16" s="379">
        <f>'All Statements'!U216</f>
        <v>729430.21</v>
      </c>
      <c r="AC16" s="379">
        <f>'All Statements'!V216</f>
        <v>728095.78</v>
      </c>
      <c r="AD16" s="379">
        <f>'All Statements'!W216</f>
        <v>642658.29999999993</v>
      </c>
      <c r="AE16" s="379">
        <f>'All Statements'!X216</f>
        <v>696439.38</v>
      </c>
      <c r="AF16" s="379">
        <f>'All Statements'!Y216</f>
        <v>665482.1</v>
      </c>
      <c r="AG16" s="379">
        <f>'All Statements'!Z216</f>
        <v>660157.07000000007</v>
      </c>
      <c r="AH16" s="379">
        <f>'All Statements'!AA216</f>
        <v>660519.14</v>
      </c>
      <c r="AI16" s="800">
        <f>'All Statements'!AB216</f>
        <v>647234.92000000004</v>
      </c>
      <c r="AJ16" s="800">
        <f>'All Statements'!AC216</f>
        <v>622854.02999999991</v>
      </c>
      <c r="AK16" s="800">
        <f>'All Statements'!AD216</f>
        <v>652491.99</v>
      </c>
      <c r="AL16" s="800">
        <f>'All Statements'!AE216</f>
        <v>1806502.43</v>
      </c>
      <c r="AM16" s="800">
        <f>'All Statements'!AF216</f>
        <v>1284809.99</v>
      </c>
      <c r="AN16" s="800">
        <f>'All Statements'!AG216</f>
        <v>1282957.94</v>
      </c>
      <c r="AO16" s="800">
        <f>'All Statements'!AH216</f>
        <v>1289655.3500000001</v>
      </c>
      <c r="AP16" s="800">
        <f>'All Statements'!AI216</f>
        <v>1285641.76</v>
      </c>
      <c r="AQ16" s="800">
        <f>'All Statements'!AJ216</f>
        <v>1287370</v>
      </c>
      <c r="AR16" s="800">
        <f>'All Statements'!AK216</f>
        <v>3623888.58</v>
      </c>
      <c r="AS16" s="800">
        <f>'All Statements'!AL216</f>
        <v>3611376.88</v>
      </c>
      <c r="AT16" s="800">
        <f>'All Statements'!AM216</f>
        <v>3598328.17</v>
      </c>
      <c r="AU16" s="800">
        <f>'All Statements'!AN216</f>
        <v>3586506.25</v>
      </c>
      <c r="AV16" s="800">
        <f>'All Statements'!AO216</f>
        <v>3641071.54</v>
      </c>
      <c r="AW16" s="800">
        <f ca="1">'All Statements'!BF216</f>
        <v>3602214.8370056394</v>
      </c>
      <c r="AX16" s="814">
        <f>AL16</f>
        <v>1806502.43</v>
      </c>
      <c r="AY16" s="814">
        <f>Z16</f>
        <v>755025.10000000009</v>
      </c>
      <c r="AZ16" s="835">
        <f t="shared" si="10"/>
        <v>3641071.54</v>
      </c>
      <c r="BA16" s="845">
        <f>AZ16</f>
        <v>3641071.54</v>
      </c>
      <c r="BB16" s="814">
        <f t="shared" si="11"/>
        <v>647234.92000000004</v>
      </c>
      <c r="CL16" s="377" t="s">
        <v>419</v>
      </c>
      <c r="CM16" s="1123">
        <f t="shared" si="12"/>
        <v>3641071.54</v>
      </c>
      <c r="CO16" s="835">
        <f t="shared" si="13"/>
        <v>3641071.54</v>
      </c>
      <c r="CP16" s="845">
        <f t="shared" si="14"/>
        <v>3641071.54</v>
      </c>
    </row>
    <row r="17" spans="2:94" x14ac:dyDescent="0.3">
      <c r="B17" s="380" t="s">
        <v>420</v>
      </c>
      <c r="C17" s="381">
        <f>C16+C15</f>
        <v>868288.33000000007</v>
      </c>
      <c r="D17" s="381">
        <f t="shared" ref="D17:O17" si="15">D16+D15</f>
        <v>868288.33000000007</v>
      </c>
      <c r="E17" s="381">
        <f t="shared" si="15"/>
        <v>1865122.4</v>
      </c>
      <c r="F17" s="381">
        <f t="shared" si="15"/>
        <v>2368948</v>
      </c>
      <c r="G17" s="381">
        <f t="shared" si="15"/>
        <v>2433476</v>
      </c>
      <c r="H17" s="381">
        <f t="shared" si="15"/>
        <v>2429839</v>
      </c>
      <c r="I17" s="381">
        <f t="shared" si="15"/>
        <v>2403527.02</v>
      </c>
      <c r="J17" s="381">
        <f t="shared" si="15"/>
        <v>2399161.33</v>
      </c>
      <c r="K17" s="381">
        <f t="shared" si="15"/>
        <v>2395514.7400000002</v>
      </c>
      <c r="L17" s="381">
        <f t="shared" si="15"/>
        <v>2348830.4300000002</v>
      </c>
      <c r="M17" s="381">
        <f t="shared" si="15"/>
        <v>2345177.0011124453</v>
      </c>
      <c r="N17" s="381">
        <f t="shared" si="15"/>
        <v>835320.1399999999</v>
      </c>
      <c r="O17" s="382">
        <f t="shared" si="15"/>
        <v>1809658.82</v>
      </c>
      <c r="P17" s="382">
        <f t="shared" ref="P17:Z17" si="16">P16+P15</f>
        <v>1805995.07</v>
      </c>
      <c r="Q17" s="382">
        <f t="shared" si="16"/>
        <v>804702.85999999987</v>
      </c>
      <c r="R17" s="382">
        <f t="shared" si="16"/>
        <v>780533.74</v>
      </c>
      <c r="S17" s="382">
        <f t="shared" si="16"/>
        <v>776859.59000000008</v>
      </c>
      <c r="T17" s="382">
        <f t="shared" si="16"/>
        <v>775556.95</v>
      </c>
      <c r="U17" s="382">
        <f t="shared" si="16"/>
        <v>751229.22</v>
      </c>
      <c r="V17" s="382">
        <f t="shared" si="16"/>
        <v>749919.58359006839</v>
      </c>
      <c r="W17" s="382">
        <f t="shared" si="16"/>
        <v>748606.43000000017</v>
      </c>
      <c r="X17" s="382">
        <f t="shared" si="16"/>
        <v>724119.06</v>
      </c>
      <c r="Y17" s="382">
        <f t="shared" si="16"/>
        <v>722798.85000000009</v>
      </c>
      <c r="Z17" s="382">
        <f t="shared" si="16"/>
        <v>755025.10000000009</v>
      </c>
      <c r="AA17" s="722">
        <f t="shared" ref="AA17:AI17" si="17">AA16+AA15</f>
        <v>730761.07000000007</v>
      </c>
      <c r="AB17" s="382">
        <f t="shared" si="17"/>
        <v>729430.21</v>
      </c>
      <c r="AC17" s="382">
        <f t="shared" si="17"/>
        <v>728095.78</v>
      </c>
      <c r="AD17" s="382">
        <f t="shared" si="17"/>
        <v>642658.29999999993</v>
      </c>
      <c r="AE17" s="382">
        <f t="shared" si="17"/>
        <v>696439.38</v>
      </c>
      <c r="AF17" s="382">
        <f t="shared" si="17"/>
        <v>665482.1</v>
      </c>
      <c r="AG17" s="382">
        <f t="shared" si="17"/>
        <v>660157.07000000007</v>
      </c>
      <c r="AH17" s="382">
        <f t="shared" si="17"/>
        <v>660519.14</v>
      </c>
      <c r="AI17" s="382">
        <f t="shared" si="17"/>
        <v>647234.92000000004</v>
      </c>
      <c r="AJ17" s="382">
        <f t="shared" ref="AJ17:AP17" si="18">AJ16+AJ15</f>
        <v>622854.02999999991</v>
      </c>
      <c r="AK17" s="382">
        <f t="shared" si="18"/>
        <v>652491.99</v>
      </c>
      <c r="AL17" s="382">
        <f t="shared" si="18"/>
        <v>1806502.43</v>
      </c>
      <c r="AM17" s="382">
        <f t="shared" si="18"/>
        <v>1284809.99</v>
      </c>
      <c r="AN17" s="382">
        <f t="shared" si="18"/>
        <v>1282957.94</v>
      </c>
      <c r="AO17" s="382">
        <f t="shared" si="18"/>
        <v>1289655.3500000001</v>
      </c>
      <c r="AP17" s="382">
        <f t="shared" si="18"/>
        <v>1285641.76</v>
      </c>
      <c r="AQ17" s="382">
        <f t="shared" ref="AQ17:AU17" si="19">AQ16+AQ15</f>
        <v>1287370</v>
      </c>
      <c r="AR17" s="382">
        <f t="shared" si="19"/>
        <v>3623888.58</v>
      </c>
      <c r="AS17" s="382">
        <f t="shared" si="19"/>
        <v>3611376.88</v>
      </c>
      <c r="AT17" s="382">
        <f t="shared" si="19"/>
        <v>3598328.17</v>
      </c>
      <c r="AU17" s="382">
        <f t="shared" si="19"/>
        <v>3586506.25</v>
      </c>
      <c r="AV17" s="382">
        <f t="shared" ref="AV17" si="20">AV16+AV15</f>
        <v>3641071.54</v>
      </c>
      <c r="AW17" s="382">
        <f ca="1">AW15+AW16</f>
        <v>3602214.8370056394</v>
      </c>
      <c r="AX17" s="816">
        <f>AL17</f>
        <v>1806502.43</v>
      </c>
      <c r="AY17" s="816">
        <f>Z17</f>
        <v>755025.10000000009</v>
      </c>
      <c r="AZ17" s="837">
        <f t="shared" si="10"/>
        <v>3641071.54</v>
      </c>
      <c r="BA17" s="846">
        <f>BA16+BA15</f>
        <v>3641071.54</v>
      </c>
      <c r="BB17" s="816">
        <f t="shared" si="11"/>
        <v>647234.92000000004</v>
      </c>
      <c r="CL17" s="380" t="s">
        <v>420</v>
      </c>
      <c r="CM17" s="722">
        <f t="shared" si="12"/>
        <v>3641071.54</v>
      </c>
      <c r="CO17" s="837">
        <f t="shared" si="13"/>
        <v>3641071.54</v>
      </c>
      <c r="CP17" s="846">
        <f t="shared" si="14"/>
        <v>3641071.54</v>
      </c>
    </row>
    <row r="18" spans="2:94" x14ac:dyDescent="0.3">
      <c r="B18" s="371" t="s">
        <v>421</v>
      </c>
      <c r="C18" s="372">
        <f>C17-C14</f>
        <v>-735101.66999999993</v>
      </c>
      <c r="D18" s="372">
        <f t="shared" ref="D18:O18" si="21">D17-D14</f>
        <v>-400880.16999999993</v>
      </c>
      <c r="E18" s="372">
        <f t="shared" si="21"/>
        <v>-523165.60000000009</v>
      </c>
      <c r="F18" s="372">
        <f t="shared" si="21"/>
        <v>-541375.16000000015</v>
      </c>
      <c r="G18" s="372">
        <f t="shared" si="21"/>
        <v>-292715.02</v>
      </c>
      <c r="H18" s="372">
        <f t="shared" si="21"/>
        <v>-289130</v>
      </c>
      <c r="I18" s="372">
        <f t="shared" si="21"/>
        <v>33804.25</v>
      </c>
      <c r="J18" s="372">
        <f t="shared" si="21"/>
        <v>29308.60999999987</v>
      </c>
      <c r="K18" s="372">
        <f t="shared" si="21"/>
        <v>376362.68000000017</v>
      </c>
      <c r="L18" s="372">
        <f>L17-L14</f>
        <v>291887.17999999993</v>
      </c>
      <c r="M18" s="372">
        <f t="shared" si="21"/>
        <v>-7153.7788875545375</v>
      </c>
      <c r="N18" s="372">
        <f t="shared" si="21"/>
        <v>-1356504.5800000003</v>
      </c>
      <c r="O18" s="373">
        <f t="shared" si="21"/>
        <v>-510538.07000000007</v>
      </c>
      <c r="P18" s="373">
        <f t="shared" ref="P18:Z18" si="22">P17-P14</f>
        <v>-463770.40000000014</v>
      </c>
      <c r="Q18" s="373">
        <f t="shared" si="22"/>
        <v>-500524.15000000014</v>
      </c>
      <c r="R18" s="373">
        <f t="shared" si="22"/>
        <v>-312906.40000000061</v>
      </c>
      <c r="S18" s="373">
        <f t="shared" si="22"/>
        <v>-220091.35999999894</v>
      </c>
      <c r="T18" s="373">
        <f t="shared" si="22"/>
        <v>-884860.23000000138</v>
      </c>
      <c r="U18" s="373">
        <f t="shared" si="22"/>
        <v>-764014.29999999958</v>
      </c>
      <c r="V18" s="373">
        <f t="shared" si="22"/>
        <v>-989167.1464099302</v>
      </c>
      <c r="W18" s="373">
        <f t="shared" si="22"/>
        <v>-1165838.7600000026</v>
      </c>
      <c r="X18" s="373">
        <f t="shared" si="22"/>
        <v>-1195599.2999999993</v>
      </c>
      <c r="Y18" s="373">
        <f t="shared" si="22"/>
        <v>-1074281.2699999984</v>
      </c>
      <c r="Z18" s="373">
        <f t="shared" si="22"/>
        <v>-3037901.8</v>
      </c>
      <c r="AA18" s="720">
        <f t="shared" ref="AA18:AI18" si="23">AA17-AA14</f>
        <v>-2455542.8099999996</v>
      </c>
      <c r="AB18" s="373">
        <f t="shared" si="23"/>
        <v>-1902092.06</v>
      </c>
      <c r="AC18" s="373">
        <f t="shared" si="23"/>
        <v>-1367620.89</v>
      </c>
      <c r="AD18" s="373">
        <f t="shared" si="23"/>
        <v>-1165707.67</v>
      </c>
      <c r="AE18" s="373">
        <f t="shared" si="23"/>
        <v>-1158248.44</v>
      </c>
      <c r="AF18" s="373">
        <f t="shared" si="23"/>
        <v>-510258.11</v>
      </c>
      <c r="AG18" s="373">
        <f t="shared" si="23"/>
        <v>-548602.61999999988</v>
      </c>
      <c r="AH18" s="373">
        <f t="shared" si="23"/>
        <v>-871217.18</v>
      </c>
      <c r="AI18" s="373">
        <f t="shared" si="23"/>
        <v>-830986.7699999999</v>
      </c>
      <c r="AJ18" s="373">
        <f t="shared" ref="AJ18:AX18" si="24">AJ17-AJ14</f>
        <v>-981151.91</v>
      </c>
      <c r="AK18" s="373">
        <f t="shared" si="24"/>
        <v>-1064745.51</v>
      </c>
      <c r="AL18" s="373">
        <f t="shared" si="24"/>
        <v>-15540.550000000047</v>
      </c>
      <c r="AM18" s="373">
        <f t="shared" ref="AM18:AW18" si="25">AM17-AM14</f>
        <v>46827.090000000084</v>
      </c>
      <c r="AN18" s="373">
        <f t="shared" si="25"/>
        <v>-313917.94999999995</v>
      </c>
      <c r="AO18" s="373">
        <f t="shared" si="25"/>
        <v>-663340.10999999987</v>
      </c>
      <c r="AP18" s="373">
        <f t="shared" si="25"/>
        <v>-139658.1100000001</v>
      </c>
      <c r="AQ18" s="373">
        <f t="shared" si="25"/>
        <v>-370227.62999999989</v>
      </c>
      <c r="AR18" s="373">
        <f t="shared" si="25"/>
        <v>2720232.66</v>
      </c>
      <c r="AS18" s="373">
        <f t="shared" si="25"/>
        <v>2269414.13</v>
      </c>
      <c r="AT18" s="373">
        <f t="shared" si="25"/>
        <v>2653163.2000000002</v>
      </c>
      <c r="AU18" s="373">
        <f t="shared" si="25"/>
        <v>2994148.45</v>
      </c>
      <c r="AV18" s="373">
        <f t="shared" ref="AV18" si="26">AV17-AV14</f>
        <v>2614991.1100000003</v>
      </c>
      <c r="AW18" s="373">
        <f t="shared" ca="1" si="25"/>
        <v>1497258.6995342467</v>
      </c>
      <c r="AX18" s="814">
        <f t="shared" si="24"/>
        <v>-15540.550000000047</v>
      </c>
      <c r="AY18" s="814">
        <f>AY17-AY14</f>
        <v>-3037901.8</v>
      </c>
      <c r="AZ18" s="814">
        <f t="shared" si="10"/>
        <v>2614991.1100000003</v>
      </c>
      <c r="BA18" s="843">
        <f>BA17-BA14</f>
        <v>2614991.1100000003</v>
      </c>
      <c r="BB18" s="814">
        <f t="shared" si="11"/>
        <v>-830986.7699999999</v>
      </c>
      <c r="CL18" s="371" t="s">
        <v>421</v>
      </c>
      <c r="CM18" s="720">
        <f t="shared" si="12"/>
        <v>2614991.1100000003</v>
      </c>
      <c r="CO18" s="835">
        <f t="shared" si="13"/>
        <v>2614991.1100000003</v>
      </c>
      <c r="CP18" s="843">
        <f t="shared" si="14"/>
        <v>2614991.1100000003</v>
      </c>
    </row>
    <row r="19" spans="2:94" x14ac:dyDescent="0.3">
      <c r="B19" s="371" t="s">
        <v>484</v>
      </c>
      <c r="C19" s="372">
        <v>2107403.85</v>
      </c>
      <c r="D19" s="372">
        <v>2144445.4500000002</v>
      </c>
      <c r="E19" s="372">
        <v>2130909.6</v>
      </c>
      <c r="F19" s="372">
        <v>2036589.55</v>
      </c>
      <c r="G19" s="372">
        <v>2298001</v>
      </c>
      <c r="H19" s="372">
        <v>2311567</v>
      </c>
      <c r="I19" s="372">
        <v>1869120.8599999999</v>
      </c>
      <c r="J19" s="372">
        <v>1749197.7</v>
      </c>
      <c r="K19" s="372">
        <v>1768855.1400000001</v>
      </c>
      <c r="L19" s="372">
        <v>1645666.87</v>
      </c>
      <c r="M19" s="372">
        <v>1589453.9500000002</v>
      </c>
      <c r="N19" s="372">
        <v>2270918.83</v>
      </c>
      <c r="O19" s="373">
        <f>'All Statements'!H228</f>
        <v>1890842.07</v>
      </c>
      <c r="P19" s="373">
        <f>'All Statements'!I228</f>
        <v>1821145.81</v>
      </c>
      <c r="Q19" s="373">
        <f>'All Statements'!J228</f>
        <v>2078392.55</v>
      </c>
      <c r="R19" s="373">
        <f>'All Statements'!K228</f>
        <v>1974156.76</v>
      </c>
      <c r="S19" s="373">
        <f>'All Statements'!L228</f>
        <v>2116946.3800000004</v>
      </c>
      <c r="T19" s="373">
        <f>'All Statements'!M228</f>
        <v>2028680.33</v>
      </c>
      <c r="U19" s="373">
        <f>'All Statements'!N228</f>
        <v>2259153.1800000002</v>
      </c>
      <c r="V19" s="373">
        <f>'All Statements'!O228</f>
        <v>2376637.81</v>
      </c>
      <c r="W19" s="373">
        <f>'All Statements'!P228</f>
        <v>2566416.0100000002</v>
      </c>
      <c r="X19" s="373">
        <f>'All Statements'!Q228</f>
        <v>2597570</v>
      </c>
      <c r="Y19" s="373">
        <f>'All Statements'!R228</f>
        <v>2639114.96</v>
      </c>
      <c r="Z19" s="373">
        <f>'All Statements'!S228</f>
        <v>3243585.31</v>
      </c>
      <c r="AA19" s="720">
        <f>'All Statements'!T228</f>
        <v>2634768.92</v>
      </c>
      <c r="AB19" s="373">
        <f>'All Statements'!U228</f>
        <v>2851370.7</v>
      </c>
      <c r="AC19" s="373">
        <f>'All Statements'!V228</f>
        <v>2897700.2199999997</v>
      </c>
      <c r="AD19" s="373">
        <f>'All Statements'!W228</f>
        <v>1814082.4</v>
      </c>
      <c r="AE19" s="373">
        <f>'All Statements'!X228</f>
        <v>1685689.67</v>
      </c>
      <c r="AF19" s="373">
        <f>'All Statements'!Y228</f>
        <v>1964928.33</v>
      </c>
      <c r="AG19" s="373">
        <f>'All Statements'!Z228</f>
        <v>1945075.35</v>
      </c>
      <c r="AH19" s="373">
        <f>'All Statements'!AA228</f>
        <v>2449753.34</v>
      </c>
      <c r="AI19" s="373">
        <f>'All Statements'!AB228</f>
        <v>2681478.41</v>
      </c>
      <c r="AJ19" s="373">
        <f>'All Statements'!AC228</f>
        <v>2743290.8999999994</v>
      </c>
      <c r="AK19" s="373">
        <f>'All Statements'!AD228</f>
        <v>2888334.67</v>
      </c>
      <c r="AL19" s="373">
        <f>'All Statements'!AE228</f>
        <v>3109833.67</v>
      </c>
      <c r="AM19" s="373">
        <f>'All Statements'!AF228</f>
        <v>2837762.0999999996</v>
      </c>
      <c r="AN19" s="373">
        <f>'All Statements'!AG228</f>
        <v>2912452.76</v>
      </c>
      <c r="AO19" s="373">
        <f>'All Statements'!AH228</f>
        <v>3259564.27</v>
      </c>
      <c r="AP19" s="373">
        <f>'All Statements'!AI228</f>
        <v>2965630.16</v>
      </c>
      <c r="AQ19" s="373">
        <f>'All Statements'!AJ228</f>
        <v>3401843.76</v>
      </c>
      <c r="AR19" s="373">
        <f>'All Statements'!AK228</f>
        <v>3356656.86</v>
      </c>
      <c r="AS19" s="373">
        <f>'All Statements'!AL228</f>
        <v>3477584.4400000004</v>
      </c>
      <c r="AT19" s="373">
        <f>'All Statements'!AM228</f>
        <v>3718533.32</v>
      </c>
      <c r="AU19" s="373">
        <f>'All Statements'!AN228</f>
        <v>3930427.3600000003</v>
      </c>
      <c r="AV19" s="373">
        <f>'All Statements'!AO228</f>
        <v>4178551.24</v>
      </c>
      <c r="AW19" s="373">
        <f ca="1">'All Statements'!BF228</f>
        <v>4581863.2016666457</v>
      </c>
      <c r="AX19" s="814">
        <f>AL19</f>
        <v>3109833.67</v>
      </c>
      <c r="AY19" s="814">
        <f>Z19</f>
        <v>3243585.31</v>
      </c>
      <c r="AZ19" s="835">
        <f t="shared" si="10"/>
        <v>4178551.24</v>
      </c>
      <c r="BA19" s="843">
        <f>AZ19</f>
        <v>4178551.24</v>
      </c>
      <c r="BB19" s="814">
        <f t="shared" si="11"/>
        <v>2681478.41</v>
      </c>
      <c r="CL19" s="371" t="s">
        <v>484</v>
      </c>
      <c r="CM19" s="720">
        <f t="shared" si="12"/>
        <v>4178551.24</v>
      </c>
      <c r="CO19" s="835">
        <f t="shared" si="13"/>
        <v>4178551.24</v>
      </c>
      <c r="CP19" s="843">
        <f t="shared" si="14"/>
        <v>4178551.24</v>
      </c>
    </row>
    <row r="20" spans="2:94" ht="4.3499999999999996" customHeight="1" x14ac:dyDescent="0.3">
      <c r="B20" s="371"/>
      <c r="C20" s="372"/>
      <c r="D20" s="372"/>
      <c r="E20" s="372"/>
      <c r="F20" s="372"/>
      <c r="G20" s="372"/>
      <c r="H20" s="372"/>
      <c r="I20" s="372"/>
      <c r="J20" s="372"/>
      <c r="K20" s="372"/>
      <c r="L20" s="372"/>
      <c r="M20" s="372"/>
      <c r="N20" s="372"/>
      <c r="O20" s="373"/>
      <c r="P20" s="373"/>
      <c r="Q20" s="373"/>
      <c r="R20" s="373"/>
      <c r="S20" s="373"/>
      <c r="T20" s="373"/>
      <c r="U20" s="373"/>
      <c r="V20" s="373"/>
      <c r="W20" s="373"/>
      <c r="X20" s="373"/>
      <c r="Y20" s="373"/>
      <c r="Z20" s="373"/>
      <c r="AA20" s="720"/>
      <c r="AB20" s="373"/>
      <c r="AC20" s="373"/>
      <c r="AD20" s="373"/>
      <c r="AE20" s="373"/>
      <c r="AF20" s="373"/>
      <c r="AG20" s="373"/>
      <c r="AH20" s="373"/>
      <c r="AI20" s="373"/>
      <c r="AJ20" s="373"/>
      <c r="AK20" s="373"/>
      <c r="AL20" s="373"/>
      <c r="AM20" s="373"/>
      <c r="AN20" s="373"/>
      <c r="AO20" s="373"/>
      <c r="AP20" s="373"/>
      <c r="AQ20" s="373"/>
      <c r="AR20" s="373"/>
      <c r="AS20" s="373"/>
      <c r="AT20" s="373"/>
      <c r="AU20" s="373"/>
      <c r="AV20" s="373"/>
      <c r="AW20" s="373"/>
      <c r="AX20" s="814"/>
      <c r="AY20" s="814"/>
      <c r="AZ20" s="835"/>
      <c r="BA20" s="843"/>
      <c r="BB20" s="814"/>
      <c r="CL20" s="371"/>
      <c r="CM20" s="720">
        <f t="shared" si="12"/>
        <v>0</v>
      </c>
      <c r="CO20" s="835"/>
      <c r="CP20" s="843"/>
    </row>
    <row r="21" spans="2:94" x14ac:dyDescent="0.3">
      <c r="B21" s="383" t="s">
        <v>422</v>
      </c>
      <c r="C21" s="384">
        <v>1.8883815542789699</v>
      </c>
      <c r="D21" s="384">
        <v>1.8921990874473202</v>
      </c>
      <c r="E21" s="384">
        <v>1.3726644769798568</v>
      </c>
      <c r="F21" s="384">
        <v>1.46043018278741</v>
      </c>
      <c r="G21" s="384">
        <v>1.6959170271577382</v>
      </c>
      <c r="H21" s="384">
        <v>1.6709865459014799</v>
      </c>
      <c r="I21" s="384">
        <v>1.4727934689318141</v>
      </c>
      <c r="J21" s="384">
        <v>1.5509608521202753</v>
      </c>
      <c r="K21" s="384">
        <v>1.5871277792058629</v>
      </c>
      <c r="L21" s="384">
        <v>1.4796888822829255</v>
      </c>
      <c r="M21" s="384">
        <v>1.4543835278929</v>
      </c>
      <c r="N21" s="384">
        <v>2.1927485695302638</v>
      </c>
      <c r="O21" s="316">
        <f>'All Statements'!H3</f>
        <v>1.3554762134270115</v>
      </c>
      <c r="P21" s="316">
        <f>'All Statements'!I3</f>
        <v>1.3102955769479954</v>
      </c>
      <c r="Q21" s="316">
        <f>'All Statements'!J3</f>
        <v>1.4595419311784283</v>
      </c>
      <c r="R21" s="316">
        <f>'All Statements'!K3</f>
        <v>1.3895511769721776</v>
      </c>
      <c r="S21" s="316">
        <f>'All Statements'!L3</f>
        <v>1.377708148508952</v>
      </c>
      <c r="T21" s="316">
        <f>'All Statements'!M3</f>
        <v>1.4243336137792604</v>
      </c>
      <c r="U21" s="316">
        <f>'All Statements'!N3</f>
        <v>1.5091348049216013</v>
      </c>
      <c r="V21" s="316">
        <f>'All Statements'!O3</f>
        <v>1.418463238533654</v>
      </c>
      <c r="W21" s="316">
        <f>'All Statements'!P3</f>
        <v>1.4821655855573301</v>
      </c>
      <c r="X21" s="316">
        <f>'All Statements'!Q3</f>
        <v>1.4938670972441146</v>
      </c>
      <c r="Y21" s="316">
        <f>'All Statements'!R3</f>
        <v>1.369593674709993</v>
      </c>
      <c r="Z21" s="316">
        <f>'All Statements'!S3</f>
        <v>1.3177505487046286</v>
      </c>
      <c r="AA21" s="723">
        <f>'All Statements'!T3</f>
        <v>1.3537405527145681</v>
      </c>
      <c r="AB21" s="316">
        <f>'All Statements'!U3</f>
        <v>1.3401375008055012</v>
      </c>
      <c r="AC21" s="316">
        <f>'All Statements'!V3</f>
        <v>1.3406560719872482</v>
      </c>
      <c r="AD21" s="316">
        <f>'All Statements'!W3</f>
        <v>1.0973256131558347</v>
      </c>
      <c r="AE21" s="316">
        <f>'All Statements'!X3</f>
        <v>1.0748554507148613</v>
      </c>
      <c r="AF21" s="316">
        <f>'All Statements'!Y3</f>
        <v>1.112324431495378</v>
      </c>
      <c r="AG21" s="316">
        <f>'All Statements'!Z3</f>
        <v>1.1727504570575438</v>
      </c>
      <c r="AH21" s="316">
        <f>'All Statements'!AA3</f>
        <v>1.2416765952245081</v>
      </c>
      <c r="AI21" s="316">
        <f>'All Statements'!AB3</f>
        <v>1.279319639393951</v>
      </c>
      <c r="AJ21" s="316">
        <f>'All Statements'!AC3</f>
        <v>1.2652999319987743</v>
      </c>
      <c r="AK21" s="316">
        <f>'All Statements'!AD3</f>
        <v>1.2668962637698762</v>
      </c>
      <c r="AL21" s="316">
        <f>'All Statements'!AE3</f>
        <v>1.2930578770521202</v>
      </c>
      <c r="AM21" s="316">
        <f>'All Statements'!AF3</f>
        <v>1.2851026908404461</v>
      </c>
      <c r="AN21" s="316">
        <f>'All Statements'!AG3</f>
        <v>1.2554832465852668</v>
      </c>
      <c r="AO21" s="316">
        <f>'All Statements'!AH3</f>
        <v>1.2518377013528548</v>
      </c>
      <c r="AP21" s="316">
        <f>'All Statements'!AI3</f>
        <v>1.2237115608540772</v>
      </c>
      <c r="AQ21" s="316">
        <f>'All Statements'!AJ3</f>
        <v>1.3002745611538009</v>
      </c>
      <c r="AR21" s="316">
        <f>'All Statements'!AK3</f>
        <v>1.4518299667347616</v>
      </c>
      <c r="AS21" s="316">
        <f>'All Statements'!AL3</f>
        <v>1.4768275635026786</v>
      </c>
      <c r="AT21" s="316">
        <f>'All Statements'!AM3</f>
        <v>1.5159599247782238</v>
      </c>
      <c r="AU21" s="316">
        <f>'All Statements'!AN3</f>
        <v>1.5398620957612841</v>
      </c>
      <c r="AV21" s="316">
        <f>'All Statements'!AO3</f>
        <v>1.5563747839584265</v>
      </c>
      <c r="AW21" s="316">
        <f ca="1">'All Statements'!BF3</f>
        <v>1.4535988574264012</v>
      </c>
      <c r="AX21" s="817">
        <f>AL21</f>
        <v>1.2930578770521202</v>
      </c>
      <c r="AY21" s="817">
        <f>Z21</f>
        <v>1.3177505487046286</v>
      </c>
      <c r="AZ21" s="838">
        <f>AV21</f>
        <v>1.5563747839584265</v>
      </c>
      <c r="BA21" s="847">
        <f>AZ21</f>
        <v>1.5563747839584265</v>
      </c>
      <c r="BB21" s="817">
        <f>AI21</f>
        <v>1.279319639393951</v>
      </c>
      <c r="CL21" s="383" t="s">
        <v>873</v>
      </c>
      <c r="CM21" s="723">
        <f t="shared" si="12"/>
        <v>1.5563747839584265</v>
      </c>
      <c r="CO21" s="838">
        <f t="shared" ref="CO21:CP23" si="27">AZ21</f>
        <v>1.5563747839584265</v>
      </c>
      <c r="CP21" s="847">
        <f t="shared" si="27"/>
        <v>1.5563747839584265</v>
      </c>
    </row>
    <row r="22" spans="2:94" x14ac:dyDescent="0.3">
      <c r="B22" s="383" t="s">
        <v>423</v>
      </c>
      <c r="C22" s="384">
        <v>1.3292498872487113</v>
      </c>
      <c r="D22" s="384">
        <v>1.2102699744588981</v>
      </c>
      <c r="E22" s="384">
        <v>2.1390829531201137</v>
      </c>
      <c r="F22" s="384">
        <v>2.5269647484933819</v>
      </c>
      <c r="G22" s="384">
        <v>1.8915844684140695</v>
      </c>
      <c r="H22" s="384">
        <v>1.9624146736823982</v>
      </c>
      <c r="I22" s="384">
        <v>2.595578864814553</v>
      </c>
      <c r="J22" s="384">
        <v>2.5599271826163505</v>
      </c>
      <c r="K22" s="384">
        <v>2.4726193350123626</v>
      </c>
      <c r="L22" s="384">
        <v>2.8482650319137797</v>
      </c>
      <c r="M22" s="384">
        <v>3.0091566296163821</v>
      </c>
      <c r="N22" s="384">
        <v>1.3638861191705385</v>
      </c>
      <c r="O22" s="316">
        <f>'All Statements'!H4</f>
        <v>2.4124012482967445</v>
      </c>
      <c r="P22" s="316">
        <f>'All Statements'!I4</f>
        <v>2.70379353644396</v>
      </c>
      <c r="Q22" s="316">
        <f>'All Statements'!J4</f>
        <v>2.01131902151978</v>
      </c>
      <c r="R22" s="316">
        <f>'All Statements'!K4</f>
        <v>2.2785038306684431</v>
      </c>
      <c r="S22" s="316">
        <f>'All Statements'!L4</f>
        <v>2.1612345089250669</v>
      </c>
      <c r="T22" s="316">
        <f>'All Statements'!M4</f>
        <v>2.1414599115278059</v>
      </c>
      <c r="U22" s="316">
        <f>'All Statements'!N4</f>
        <v>1.845245354279164</v>
      </c>
      <c r="V22" s="316">
        <f>'All Statements'!O4</f>
        <v>2.2014182268648108</v>
      </c>
      <c r="W22" s="316">
        <f>'All Statements'!P4</f>
        <v>1.9754068554146835</v>
      </c>
      <c r="X22" s="316">
        <f>'All Statements'!Q4</f>
        <v>1.9232315009797616</v>
      </c>
      <c r="Y22" s="316">
        <f>'All Statements'!R4</f>
        <v>2.4876645123484886</v>
      </c>
      <c r="Z22" s="316">
        <f>'All Statements'!S4</f>
        <v>2.3012117507709395</v>
      </c>
      <c r="AA22" s="723">
        <f>'All Statements'!T4</f>
        <v>2.6237278372025123</v>
      </c>
      <c r="AB22" s="316">
        <f>'All Statements'!U4</f>
        <v>2.7520817408974563</v>
      </c>
      <c r="AC22" s="316">
        <f>'All Statements'!V4</f>
        <v>2.7685813510412065</v>
      </c>
      <c r="AD22" s="316">
        <f>'All Statements'!W4</f>
        <v>4.3662224439198569</v>
      </c>
      <c r="AE22" s="316">
        <f>'All Statements'!X4</f>
        <v>5.0036306623389342</v>
      </c>
      <c r="AF22" s="316">
        <f>'All Statements'!Y4</f>
        <v>3.7549121142754349</v>
      </c>
      <c r="AG22" s="316">
        <f>'All Statements'!Z4</f>
        <v>2.4154312428050666</v>
      </c>
      <c r="AH22" s="316">
        <f>'All Statements'!AA4</f>
        <v>2.1987164185272627</v>
      </c>
      <c r="AI22" s="316">
        <f>'All Statements'!AB4</f>
        <v>1.8552664721995651</v>
      </c>
      <c r="AJ22" s="316">
        <f>'All Statements'!AC4</f>
        <v>2.0191254307007691</v>
      </c>
      <c r="AK22" s="316">
        <f>'All Statements'!AD4</f>
        <v>2.0001721164812252</v>
      </c>
      <c r="AL22" s="316">
        <f>'All Statements'!AE4</f>
        <v>2.4117546711107538</v>
      </c>
      <c r="AM22" s="316">
        <f>'All Statements'!AF4</f>
        <v>2.3094299941492631</v>
      </c>
      <c r="AN22" s="316">
        <f>'All Statements'!AG4</f>
        <v>2.4917514473264792</v>
      </c>
      <c r="AO22" s="316">
        <f>'All Statements'!AH4</f>
        <v>2.5421139832288073</v>
      </c>
      <c r="AP22" s="316">
        <f>'All Statements'!AI4</f>
        <v>2.7613095558753016</v>
      </c>
      <c r="AQ22" s="316">
        <f>'All Statements'!AJ4</f>
        <v>2.2269692568126644</v>
      </c>
      <c r="AR22" s="316">
        <f>'All Statements'!AK4</f>
        <v>3.1073477108410779</v>
      </c>
      <c r="AS22" s="316">
        <f>'All Statements'!AL4</f>
        <v>2.9411340188766193</v>
      </c>
      <c r="AT22" s="316">
        <f>'All Statements'!AM4</f>
        <v>2.7541387366134993</v>
      </c>
      <c r="AU22" s="316">
        <f>'All Statements'!AN4</f>
        <v>2.5973393590461873</v>
      </c>
      <c r="AV22" s="316">
        <f>'All Statements'!AO4</f>
        <v>2.527417464432002</v>
      </c>
      <c r="AW22" s="316">
        <f ca="1">'All Statements'!BF4</f>
        <v>2.8170602944173457</v>
      </c>
      <c r="AX22" s="817">
        <f>AL22</f>
        <v>2.4117546711107538</v>
      </c>
      <c r="AY22" s="817">
        <f>Z22</f>
        <v>2.3012117507709395</v>
      </c>
      <c r="AZ22" s="838">
        <f>AV22</f>
        <v>2.527417464432002</v>
      </c>
      <c r="BA22" s="847">
        <f>AZ22</f>
        <v>2.527417464432002</v>
      </c>
      <c r="BB22" s="817">
        <f>AI22</f>
        <v>1.8552664721995651</v>
      </c>
      <c r="CL22" s="383" t="s">
        <v>423</v>
      </c>
      <c r="CM22" s="723">
        <f t="shared" si="12"/>
        <v>2.527417464432002</v>
      </c>
      <c r="CO22" s="838">
        <f t="shared" si="27"/>
        <v>2.527417464432002</v>
      </c>
      <c r="CP22" s="847">
        <f t="shared" si="27"/>
        <v>2.527417464432002</v>
      </c>
    </row>
    <row r="23" spans="2:94" x14ac:dyDescent="0.3">
      <c r="B23" s="371" t="s">
        <v>461</v>
      </c>
      <c r="C23" s="385">
        <v>1.0892268836572274</v>
      </c>
      <c r="D23" s="385">
        <v>1.487254796002297</v>
      </c>
      <c r="E23" s="385">
        <v>1.8852827083473667</v>
      </c>
      <c r="F23" s="385">
        <v>2.3723938394906998</v>
      </c>
      <c r="G23" s="385">
        <v>2.859504970634033</v>
      </c>
      <c r="H23" s="385">
        <v>3.3466161017773661</v>
      </c>
      <c r="I23" s="385">
        <v>3.3007402825364149</v>
      </c>
      <c r="J23" s="385">
        <v>3.2548644632954633</v>
      </c>
      <c r="K23" s="385">
        <v>3.2089886440545121</v>
      </c>
      <c r="L23" s="385">
        <v>2.3685438289714074</v>
      </c>
      <c r="M23" s="385">
        <v>1.5280990138883026</v>
      </c>
      <c r="N23" s="385">
        <v>0.68765419880519774</v>
      </c>
      <c r="O23" s="386">
        <f t="shared" ref="O23:AI23" si="28">O17/SUM(D10:O10)</f>
        <v>1.6257595452884939</v>
      </c>
      <c r="P23" s="386">
        <f t="shared" si="28"/>
        <v>1.5738451894573291</v>
      </c>
      <c r="Q23" s="386">
        <f t="shared" si="28"/>
        <v>0.49983878375402713</v>
      </c>
      <c r="R23" s="386">
        <f t="shared" si="28"/>
        <v>0.41798680345259048</v>
      </c>
      <c r="S23" s="386">
        <f t="shared" si="28"/>
        <v>0.4273646830624197</v>
      </c>
      <c r="T23" s="386">
        <f t="shared" si="28"/>
        <v>0.37447350103096511</v>
      </c>
      <c r="U23" s="386">
        <f t="shared" si="28"/>
        <v>0.30313220726889056</v>
      </c>
      <c r="V23" s="386">
        <f t="shared" si="28"/>
        <v>0.25689058523931824</v>
      </c>
      <c r="W23" s="386">
        <f t="shared" si="28"/>
        <v>0.22536191383068052</v>
      </c>
      <c r="X23" s="386">
        <f>X17/SUM(M10:X10)</f>
        <v>0.1946258516479073</v>
      </c>
      <c r="Y23" s="386">
        <f t="shared" si="28"/>
        <v>0.18437574778478732</v>
      </c>
      <c r="Z23" s="386">
        <f t="shared" si="28"/>
        <v>0.20480876828271166</v>
      </c>
      <c r="AA23" s="724">
        <f t="shared" si="28"/>
        <v>0.19154092936201272</v>
      </c>
      <c r="AB23" s="386">
        <f t="shared" si="28"/>
        <v>0.18413992324250164</v>
      </c>
      <c r="AC23" s="386">
        <f t="shared" si="28"/>
        <v>0.20544791421059114</v>
      </c>
      <c r="AD23" s="386">
        <f t="shared" si="28"/>
        <v>0.20610953033646007</v>
      </c>
      <c r="AE23" s="386">
        <f t="shared" si="28"/>
        <v>0.25036533981235132</v>
      </c>
      <c r="AF23" s="386">
        <f t="shared" si="28"/>
        <v>0.23914522353233433</v>
      </c>
      <c r="AG23" s="386">
        <f>AG17/SUM(V10:AG10)</f>
        <v>0.2854571189190479</v>
      </c>
      <c r="AH23" s="386">
        <f t="shared" si="28"/>
        <v>0.26506047230595514</v>
      </c>
      <c r="AI23" s="386">
        <f t="shared" si="28"/>
        <v>0.28376256437231834</v>
      </c>
      <c r="AJ23" s="386">
        <f t="shared" ref="AJ23:AV23" si="29">AJ17/SUM(Y10:AJ10)</f>
        <v>0.31997262850554326</v>
      </c>
      <c r="AK23" s="386">
        <f t="shared" si="29"/>
        <v>0.34124663587841109</v>
      </c>
      <c r="AL23" s="386">
        <f t="shared" si="29"/>
        <v>1.0542846128345795</v>
      </c>
      <c r="AM23" s="386">
        <f t="shared" si="29"/>
        <v>0.92753832932287494</v>
      </c>
      <c r="AN23" s="386">
        <f t="shared" si="29"/>
        <v>1.0267343927000665</v>
      </c>
      <c r="AO23" s="386">
        <f t="shared" si="29"/>
        <v>0.82659863232528075</v>
      </c>
      <c r="AP23" s="386">
        <f t="shared" si="29"/>
        <v>0.62654207297752917</v>
      </c>
      <c r="AQ23" s="386">
        <f t="shared" si="29"/>
        <v>0.49178025518888624</v>
      </c>
      <c r="AR23" s="386">
        <f t="shared" si="29"/>
        <v>1.6476911082323611</v>
      </c>
      <c r="AS23" s="386">
        <f t="shared" si="29"/>
        <v>1.5336026556295428</v>
      </c>
      <c r="AT23" s="386">
        <f t="shared" si="29"/>
        <v>1.7243071706673641</v>
      </c>
      <c r="AU23" s="386">
        <f t="shared" si="29"/>
        <v>1.6943822218135123</v>
      </c>
      <c r="AV23" s="386">
        <f t="shared" si="29"/>
        <v>1.5881464131944754</v>
      </c>
      <c r="AW23" s="1253">
        <f ca="1">AW17/SUM(AB10:AM10)</f>
        <v>2.6005342095590982</v>
      </c>
      <c r="AX23" s="818">
        <f>AL23</f>
        <v>1.0542846128345795</v>
      </c>
      <c r="AY23" s="818">
        <f>Z23</f>
        <v>0.20480876828271166</v>
      </c>
      <c r="AZ23" s="1216">
        <f>AV23</f>
        <v>1.5881464131944754</v>
      </c>
      <c r="BA23" s="1217">
        <f>BA17/BA10</f>
        <v>1.5881464131944754</v>
      </c>
      <c r="BB23" s="818">
        <f>AI23</f>
        <v>0.28376256437231834</v>
      </c>
      <c r="CL23" s="371" t="s">
        <v>461</v>
      </c>
      <c r="CM23" s="724">
        <f t="shared" si="12"/>
        <v>1.5881464131944754</v>
      </c>
      <c r="CO23" s="838">
        <f t="shared" si="27"/>
        <v>1.5881464131944754</v>
      </c>
      <c r="CP23" s="847">
        <f t="shared" si="27"/>
        <v>1.5881464131944754</v>
      </c>
    </row>
    <row r="24" spans="2:94" ht="4.3499999999999996" customHeight="1" x14ac:dyDescent="0.3">
      <c r="B24" s="371"/>
      <c r="C24" s="372"/>
      <c r="D24" s="372"/>
      <c r="E24" s="372"/>
      <c r="F24" s="372"/>
      <c r="G24" s="372"/>
      <c r="H24" s="372"/>
      <c r="I24" s="372"/>
      <c r="J24" s="372"/>
      <c r="K24" s="372"/>
      <c r="L24" s="372"/>
      <c r="M24" s="372"/>
      <c r="N24" s="372"/>
      <c r="O24" s="373"/>
      <c r="P24" s="373"/>
      <c r="Q24" s="373"/>
      <c r="R24" s="373"/>
      <c r="S24" s="373"/>
      <c r="T24" s="373"/>
      <c r="U24" s="373"/>
      <c r="V24" s="373"/>
      <c r="W24" s="373"/>
      <c r="X24" s="373"/>
      <c r="Y24" s="373"/>
      <c r="Z24" s="373"/>
      <c r="AA24" s="720"/>
      <c r="AB24" s="373"/>
      <c r="AC24" s="373"/>
      <c r="AD24" s="373"/>
      <c r="AE24" s="373"/>
      <c r="AF24" s="373"/>
      <c r="AG24" s="373"/>
      <c r="AH24" s="373"/>
      <c r="AI24" s="373"/>
      <c r="AJ24" s="373"/>
      <c r="AK24" s="373"/>
      <c r="AL24" s="373"/>
      <c r="AM24" s="373"/>
      <c r="AN24" s="373"/>
      <c r="AO24" s="373"/>
      <c r="AP24" s="373"/>
      <c r="AQ24" s="373"/>
      <c r="AR24" s="373"/>
      <c r="AS24" s="373"/>
      <c r="AT24" s="373"/>
      <c r="AU24" s="373"/>
      <c r="AV24" s="373"/>
      <c r="AW24" s="373"/>
      <c r="AX24" s="814"/>
      <c r="AY24" s="814"/>
      <c r="AZ24" s="835"/>
      <c r="BA24" s="843"/>
      <c r="BB24" s="814"/>
      <c r="BC24" s="376"/>
      <c r="BT24" s="376"/>
      <c r="CL24" s="371"/>
      <c r="CM24" s="720">
        <f t="shared" si="12"/>
        <v>0</v>
      </c>
      <c r="CO24" s="835"/>
      <c r="CP24" s="843"/>
    </row>
    <row r="25" spans="2:94" x14ac:dyDescent="0.3">
      <c r="B25" s="371" t="s">
        <v>424</v>
      </c>
      <c r="C25" s="372">
        <v>1717222</v>
      </c>
      <c r="D25" s="372">
        <v>1540889.9299999995</v>
      </c>
      <c r="E25" s="372">
        <v>1376276</v>
      </c>
      <c r="F25" s="372">
        <v>1739248.3100000005</v>
      </c>
      <c r="G25" s="372">
        <v>2027475.620000001</v>
      </c>
      <c r="H25" s="372">
        <v>2084362</v>
      </c>
      <c r="I25" s="372">
        <v>1630155.7499999995</v>
      </c>
      <c r="J25" s="372">
        <v>1696219.71</v>
      </c>
      <c r="K25" s="372">
        <v>1748578.4799999991</v>
      </c>
      <c r="L25" s="372">
        <v>1601424.5300000003</v>
      </c>
      <c r="M25" s="372">
        <v>1562051.92</v>
      </c>
      <c r="N25" s="372">
        <v>1697943.0300000003</v>
      </c>
      <c r="O25" s="373">
        <f>'All Statements'!H152</f>
        <v>1333679.5499999993</v>
      </c>
      <c r="P25" s="373">
        <f>'All Statements'!I152</f>
        <v>1277799.419999999</v>
      </c>
      <c r="Q25" s="373">
        <f>'All Statements'!J152</f>
        <v>1551233.2399999993</v>
      </c>
      <c r="R25" s="373">
        <f>'All Statements'!K152</f>
        <v>1448191.5599999982</v>
      </c>
      <c r="S25" s="373">
        <f>'All Statements'!L152</f>
        <v>1434670.7600000026</v>
      </c>
      <c r="T25" s="373">
        <f>'All Statements'!M152</f>
        <v>1514353.5899999985</v>
      </c>
      <c r="U25" s="373">
        <f>'All Statements'!N152</f>
        <v>1739949.2000000007</v>
      </c>
      <c r="V25" s="373">
        <f>'All Statements'!O152</f>
        <v>1875574.9199999981</v>
      </c>
      <c r="W25" s="373">
        <f>'All Statements'!P152</f>
        <v>2083490.2200000044</v>
      </c>
      <c r="X25" s="373">
        <f>'All Statements'!Q152</f>
        <v>2109607.3300000019</v>
      </c>
      <c r="Y25" s="373">
        <f>'All Statements'!R152</f>
        <v>2159326.5699999947</v>
      </c>
      <c r="Z25" s="373">
        <f>'All Statements'!S152</f>
        <v>2131836.5799999991</v>
      </c>
      <c r="AA25" s="720">
        <f>'All Statements'!T152</f>
        <v>2186879.1000000006</v>
      </c>
      <c r="AB25" s="373">
        <f>'All Statements'!U152</f>
        <v>2421022.2100000009</v>
      </c>
      <c r="AC25" s="373">
        <f>'All Statements'!V152</f>
        <v>2484889.4900000002</v>
      </c>
      <c r="AD25" s="373">
        <f>'All Statements'!W152</f>
        <v>1318017.5400000019</v>
      </c>
      <c r="AE25" s="373">
        <f>'All Statements'!X152</f>
        <v>1176435.5299999984</v>
      </c>
      <c r="AF25" s="373">
        <f>'All Statements'!Y152</f>
        <v>1345968.7300000004</v>
      </c>
      <c r="AG25" s="373">
        <f>'All Statements'!Z152</f>
        <v>1321705.5</v>
      </c>
      <c r="AH25" s="373">
        <f>'All Statements'!AA152</f>
        <v>1802928.3900000015</v>
      </c>
      <c r="AI25" s="373">
        <f>'All Statements'!AB152</f>
        <v>1889637.9400000013</v>
      </c>
      <c r="AJ25" s="373">
        <f>'All Statements'!AC152</f>
        <v>1947822.37</v>
      </c>
      <c r="AK25" s="373">
        <f>'All Statements'!AD152</f>
        <v>2012124.7299999995</v>
      </c>
      <c r="AL25" s="373">
        <f>'All Statements'!AE152</f>
        <v>2326244.5599999996</v>
      </c>
      <c r="AM25" s="373">
        <f>'All Statements'!AF152</f>
        <v>1502149.8899999997</v>
      </c>
      <c r="AN25" s="373">
        <f>'All Statements'!AG152</f>
        <v>1526295.3499999996</v>
      </c>
      <c r="AO25" s="373">
        <f>'All Statements'!AH152</f>
        <v>1761989.669999999</v>
      </c>
      <c r="AP25" s="373">
        <f>'All Statements'!AI152</f>
        <v>1544366.1699999981</v>
      </c>
      <c r="AQ25" s="373">
        <f>'All Statements'!AJ152</f>
        <v>1888256.0000000009</v>
      </c>
      <c r="AR25" s="373">
        <f>'All Statements'!AK152</f>
        <v>3075340.6500000004</v>
      </c>
      <c r="AS25" s="373">
        <f>'All Statements'!AL152</f>
        <v>3155008.2600000016</v>
      </c>
      <c r="AT25" s="373">
        <f>'All Statements'!AM152</f>
        <v>3427536.4799999986</v>
      </c>
      <c r="AU25" s="373">
        <f>'All Statements'!AN152</f>
        <v>3575046.3900000006</v>
      </c>
      <c r="AV25" s="373">
        <f>'All Statements'!AO152</f>
        <v>3850042.1999999993</v>
      </c>
      <c r="AW25" s="373">
        <f ca="1">'All Statements'!BF175-'All Statements'!BF202</f>
        <v>4220814.5086722858</v>
      </c>
      <c r="AX25" s="814">
        <f>AL25</f>
        <v>2326244.5599999996</v>
      </c>
      <c r="AY25" s="814">
        <f>Z25</f>
        <v>2131836.5799999991</v>
      </c>
      <c r="AZ25" s="835">
        <f t="shared" ref="AZ25:AZ40" si="30">AV25</f>
        <v>3850042.1999999993</v>
      </c>
      <c r="BA25" s="843">
        <f>AZ25</f>
        <v>3850042.1999999993</v>
      </c>
      <c r="BB25" s="814">
        <f>AI25</f>
        <v>1889637.9400000013</v>
      </c>
      <c r="CL25" s="371" t="s">
        <v>424</v>
      </c>
      <c r="CM25" s="720">
        <f t="shared" si="12"/>
        <v>3850042.1999999993</v>
      </c>
      <c r="CO25" s="835">
        <f t="shared" ref="CO25:CP27" si="31">AZ25</f>
        <v>3850042.1999999993</v>
      </c>
      <c r="CP25" s="843">
        <f t="shared" si="31"/>
        <v>3850042.1999999993</v>
      </c>
    </row>
    <row r="26" spans="2:94" x14ac:dyDescent="0.3">
      <c r="B26" s="371" t="s">
        <v>425</v>
      </c>
      <c r="C26" s="372">
        <v>113832</v>
      </c>
      <c r="D26" s="372">
        <v>271721.42999999947</v>
      </c>
      <c r="E26" s="372">
        <v>-12012</v>
      </c>
      <c r="F26" s="372">
        <v>-171074.84999999963</v>
      </c>
      <c r="G26" s="372">
        <v>301284.60000000102</v>
      </c>
      <c r="H26" s="372">
        <v>365393</v>
      </c>
      <c r="I26" s="372">
        <v>260432.97999999952</v>
      </c>
      <c r="J26" s="372">
        <v>326366.98999999976</v>
      </c>
      <c r="K26" s="372">
        <v>729426.41999999899</v>
      </c>
      <c r="L26" s="372">
        <v>544481.28000000003</v>
      </c>
      <c r="M26" s="372">
        <v>209721.14000000013</v>
      </c>
      <c r="N26" s="372">
        <v>506118.31000000006</v>
      </c>
      <c r="O26" s="373">
        <f>'All Statements'!H150</f>
        <v>13482.659999999218</v>
      </c>
      <c r="P26" s="373">
        <f>'All Statements'!I150</f>
        <v>8033.9499999987893</v>
      </c>
      <c r="Q26" s="373">
        <f>'All Statements'!J150</f>
        <v>246006.22999999928</v>
      </c>
      <c r="R26" s="373">
        <f>'All Statements'!K150</f>
        <v>354751.4199999976</v>
      </c>
      <c r="S26" s="373">
        <f>'All Statements'!L150</f>
        <v>437719.81000000355</v>
      </c>
      <c r="T26" s="373">
        <f>'All Statements'!M150</f>
        <v>-146063.59000000288</v>
      </c>
      <c r="U26" s="373">
        <f>'All Statements'!N150</f>
        <v>224705.6800000011</v>
      </c>
      <c r="V26" s="373">
        <f>'All Statements'!O150</f>
        <v>136488.18999999948</v>
      </c>
      <c r="W26" s="373">
        <f>'All Statements'!P150</f>
        <v>169045.03000000166</v>
      </c>
      <c r="X26" s="373">
        <f>'All Statements'!Q150</f>
        <v>189888.97000000253</v>
      </c>
      <c r="Y26" s="373">
        <f>'All Statements'!R150</f>
        <v>362246.44999999623</v>
      </c>
      <c r="Z26" s="373">
        <f>'All Statements'!S150</f>
        <v>-1661090.3200000008</v>
      </c>
      <c r="AA26" s="720">
        <f>'All Statements'!T150</f>
        <v>-999424.77999999933</v>
      </c>
      <c r="AB26" s="373">
        <f>'All Statements'!U150</f>
        <v>-210500.05999999912</v>
      </c>
      <c r="AC26" s="373">
        <f>'All Statements'!V150</f>
        <v>389172.8200000003</v>
      </c>
      <c r="AD26" s="373">
        <f>'All Statements'!W150</f>
        <v>-490348.42999999807</v>
      </c>
      <c r="AE26" s="373">
        <f>'All Statements'!X150</f>
        <v>-678252.29000000167</v>
      </c>
      <c r="AF26" s="373">
        <f>'All Statements'!Y150</f>
        <v>170228.52000000048</v>
      </c>
      <c r="AG26" s="373">
        <f>'All Statements'!Z150</f>
        <v>112945.81000000006</v>
      </c>
      <c r="AH26" s="373">
        <f>'All Statements'!AA150</f>
        <v>271192.07000000146</v>
      </c>
      <c r="AI26" s="373">
        <f>'All Statements'!AB150</f>
        <v>411416.2500000014</v>
      </c>
      <c r="AJ26" s="373">
        <f>'All Statements'!AC150</f>
        <v>343816.43000000017</v>
      </c>
      <c r="AK26" s="373">
        <f>'All Statements'!AD150</f>
        <v>294887.22999999952</v>
      </c>
      <c r="AL26" s="373">
        <f>'All Statements'!AE150</f>
        <v>504201.57999999961</v>
      </c>
      <c r="AM26" s="373">
        <f>'All Statements'!AF150</f>
        <v>264166.98999999976</v>
      </c>
      <c r="AN26" s="373">
        <f>'All Statements'!AG150</f>
        <v>-70580.54000000027</v>
      </c>
      <c r="AO26" s="373">
        <f>'All Statements'!AH150</f>
        <v>-191005.79000000097</v>
      </c>
      <c r="AP26" s="373">
        <f>'All Statements'!AI150</f>
        <v>119066.29999999795</v>
      </c>
      <c r="AQ26" s="373">
        <f>'All Statements'!AJ150</f>
        <v>230658.37000000104</v>
      </c>
      <c r="AR26" s="373">
        <f>'All Statements'!AK150</f>
        <v>2171684.7300000004</v>
      </c>
      <c r="AS26" s="373">
        <f>'All Statements'!AL150</f>
        <v>1813045.5100000016</v>
      </c>
      <c r="AT26" s="373">
        <f>'All Statements'!AM150</f>
        <v>2482371.5099999984</v>
      </c>
      <c r="AU26" s="373">
        <f>'All Statements'!AN150</f>
        <v>2982688.5900000003</v>
      </c>
      <c r="AV26" s="373">
        <f>'All Statements'!AO150</f>
        <v>2823961.7699999991</v>
      </c>
      <c r="AW26" s="373">
        <f ca="1">AW25-'All Statements'!BF158</f>
        <v>2548587.8012008928</v>
      </c>
      <c r="AX26" s="814">
        <f>AL26</f>
        <v>504201.57999999961</v>
      </c>
      <c r="AY26" s="814">
        <f>Z26</f>
        <v>-1661090.3200000008</v>
      </c>
      <c r="AZ26" s="835">
        <f t="shared" si="30"/>
        <v>2823961.7699999991</v>
      </c>
      <c r="BA26" s="843">
        <f>AZ26</f>
        <v>2823961.7699999991</v>
      </c>
      <c r="BB26" s="814">
        <f>AI26</f>
        <v>411416.2500000014</v>
      </c>
      <c r="BC26" s="376"/>
      <c r="BT26" s="376"/>
      <c r="CL26" s="371" t="s">
        <v>425</v>
      </c>
      <c r="CM26" s="720">
        <f t="shared" si="12"/>
        <v>2823961.7699999991</v>
      </c>
      <c r="CO26" s="835">
        <f t="shared" si="31"/>
        <v>2823961.7699999991</v>
      </c>
      <c r="CP26" s="843">
        <f t="shared" si="31"/>
        <v>2823961.7699999991</v>
      </c>
    </row>
    <row r="27" spans="2:94" x14ac:dyDescent="0.3">
      <c r="B27" s="371" t="s">
        <v>426</v>
      </c>
      <c r="C27" s="372">
        <v>-63475.289999999804</v>
      </c>
      <c r="D27" s="372">
        <v>157889.42999999947</v>
      </c>
      <c r="E27" s="372">
        <v>-283733.42999999947</v>
      </c>
      <c r="F27" s="372">
        <v>-159062.84999999963</v>
      </c>
      <c r="G27" s="372">
        <v>472359.45000000065</v>
      </c>
      <c r="H27" s="372">
        <v>64108.399999998976</v>
      </c>
      <c r="I27" s="372">
        <v>-104960.02000000048</v>
      </c>
      <c r="J27" s="372">
        <v>65934.010000000242</v>
      </c>
      <c r="K27" s="372">
        <v>403059.42999999924</v>
      </c>
      <c r="L27" s="372">
        <v>-184945.13999999897</v>
      </c>
      <c r="M27" s="372">
        <v>-334760.1399999999</v>
      </c>
      <c r="N27" s="372">
        <v>296397.16999999993</v>
      </c>
      <c r="O27" s="373">
        <f>'All Statements'!H144</f>
        <v>-492635.65000000084</v>
      </c>
      <c r="P27" s="373">
        <f>'All Statements'!I144</f>
        <v>-5448.7100000004284</v>
      </c>
      <c r="Q27" s="373">
        <f>'All Statements'!J144</f>
        <v>237972.28000000049</v>
      </c>
      <c r="R27" s="373">
        <f>'All Statements'!K144</f>
        <v>108745.18999999831</v>
      </c>
      <c r="S27" s="373">
        <f>'All Statements'!L144</f>
        <v>82968.390000005951</v>
      </c>
      <c r="T27" s="373">
        <f>'All Statements'!M144</f>
        <v>-583783.40000000643</v>
      </c>
      <c r="U27" s="373">
        <f>'All Statements'!N144</f>
        <v>370769.27000000398</v>
      </c>
      <c r="V27" s="373">
        <f>'All Statements'!O144</f>
        <v>-88217.490000001621</v>
      </c>
      <c r="W27" s="373">
        <f>'All Statements'!P144</f>
        <v>32556.840000002179</v>
      </c>
      <c r="X27" s="373">
        <f>'All Statements'!Q144</f>
        <v>20843.940000000875</v>
      </c>
      <c r="Y27" s="373">
        <f>'All Statements'!R144</f>
        <v>172357.47999999369</v>
      </c>
      <c r="Z27" s="373">
        <f>'All Statements'!S144</f>
        <v>-2023336.769999997</v>
      </c>
      <c r="AA27" s="720">
        <f>'All Statements'!T144</f>
        <v>661665.54000000143</v>
      </c>
      <c r="AB27" s="373">
        <f>'All Statements'!U144</f>
        <v>788924.7200000002</v>
      </c>
      <c r="AC27" s="373">
        <f>'All Statements'!V144</f>
        <v>599672.87999999942</v>
      </c>
      <c r="AD27" s="373">
        <f>'All Statements'!W144</f>
        <v>-879521.24999999837</v>
      </c>
      <c r="AE27" s="373">
        <f>'All Statements'!X144</f>
        <v>-187903.86000000359</v>
      </c>
      <c r="AF27" s="373">
        <f>'All Statements'!Y144</f>
        <v>848480.81000000215</v>
      </c>
      <c r="AG27" s="373">
        <f>'All Statements'!Z144</f>
        <v>-57282.710000000428</v>
      </c>
      <c r="AH27" s="373">
        <f>'All Statements'!AA144</f>
        <v>158246.26000000141</v>
      </c>
      <c r="AI27" s="373">
        <f>'All Statements'!AB144</f>
        <v>140224.17999999993</v>
      </c>
      <c r="AJ27" s="373">
        <f>'All Statements'!AC144</f>
        <v>-67599.820000001229</v>
      </c>
      <c r="AK27" s="373">
        <f>'All Statements'!AD144</f>
        <v>-48929.200000000652</v>
      </c>
      <c r="AL27" s="373">
        <f>'All Statements'!AE144</f>
        <v>209314.35000000009</v>
      </c>
      <c r="AM27" s="373">
        <f>'All Statements'!AF144</f>
        <v>-240034.58999999985</v>
      </c>
      <c r="AN27" s="373">
        <f>'All Statements'!AG144</f>
        <v>-334747.53000000003</v>
      </c>
      <c r="AO27" s="373">
        <f>'All Statements'!AH144</f>
        <v>-120425.2500000007</v>
      </c>
      <c r="AP27" s="373">
        <f>'All Statements'!AI144</f>
        <v>310072.08999999892</v>
      </c>
      <c r="AQ27" s="373">
        <f>'All Statements'!AJ144</f>
        <v>111592.07000000309</v>
      </c>
      <c r="AR27" s="373">
        <f>'All Statements'!AK144</f>
        <v>1941026.3599999994</v>
      </c>
      <c r="AS27" s="373">
        <f>'All Statements'!AL144</f>
        <v>-358639.21999999881</v>
      </c>
      <c r="AT27" s="373">
        <f>'All Statements'!AM144</f>
        <v>669325.99999999674</v>
      </c>
      <c r="AU27" s="373">
        <f>'All Statements'!AN144</f>
        <v>500317.08000000194</v>
      </c>
      <c r="AV27" s="373">
        <f>'All Statements'!AO144</f>
        <v>-158726.82000000123</v>
      </c>
      <c r="AW27" s="373">
        <f ca="1">'All Statements'!BF144</f>
        <v>2044386.2212008932</v>
      </c>
      <c r="AX27" s="814">
        <f>SUM(AA27:AL27)</f>
        <v>2165291.9000000004</v>
      </c>
      <c r="AY27" s="814">
        <f>SUM(O27:Z27)</f>
        <v>-2167208.6300000008</v>
      </c>
      <c r="AZ27" s="835">
        <f t="shared" si="30"/>
        <v>-158726.82000000123</v>
      </c>
      <c r="BA27" s="843">
        <f>SUM(AK27:AV27)</f>
        <v>2480145.3399999989</v>
      </c>
      <c r="BB27" s="814">
        <f>SUM(X27:AI27)</f>
        <v>242371.21999999974</v>
      </c>
      <c r="CL27" s="371" t="s">
        <v>426</v>
      </c>
      <c r="CM27" s="720">
        <f t="shared" si="12"/>
        <v>-158726.82000000123</v>
      </c>
      <c r="CO27" s="835">
        <f t="shared" si="31"/>
        <v>-158726.82000000123</v>
      </c>
      <c r="CP27" s="843">
        <f t="shared" si="31"/>
        <v>2480145.3399999989</v>
      </c>
    </row>
    <row r="28" spans="2:94" ht="4.3499999999999996" customHeight="1" x14ac:dyDescent="0.3">
      <c r="C28" s="387"/>
      <c r="D28" s="387"/>
      <c r="E28" s="387"/>
      <c r="F28" s="387"/>
      <c r="G28" s="387"/>
      <c r="H28" s="387"/>
      <c r="I28" s="388"/>
      <c r="J28" s="388"/>
      <c r="K28" s="388"/>
      <c r="L28" s="388"/>
      <c r="M28" s="388"/>
      <c r="N28" s="388"/>
      <c r="AX28" s="819"/>
      <c r="AY28" s="819"/>
      <c r="AZ28" s="819">
        <f t="shared" si="30"/>
        <v>0</v>
      </c>
      <c r="BA28" s="348"/>
      <c r="BB28" s="819"/>
      <c r="BC28" s="376"/>
      <c r="BT28" s="376"/>
      <c r="CM28" s="349">
        <f t="shared" si="12"/>
        <v>0</v>
      </c>
      <c r="CO28" s="819"/>
      <c r="CP28" s="348"/>
    </row>
    <row r="29" spans="2:94" x14ac:dyDescent="0.3">
      <c r="B29" s="371" t="s">
        <v>427</v>
      </c>
      <c r="C29" s="372">
        <v>1366911</v>
      </c>
      <c r="D29" s="372">
        <v>1196422.6100000001</v>
      </c>
      <c r="E29" s="372">
        <v>1157593</v>
      </c>
      <c r="F29" s="372">
        <v>1330632.1499999999</v>
      </c>
      <c r="G29" s="372">
        <v>1135797.33</v>
      </c>
      <c r="H29" s="372">
        <v>1212452</v>
      </c>
      <c r="I29" s="372">
        <v>1393831.71</v>
      </c>
      <c r="J29" s="372">
        <v>1419660.22</v>
      </c>
      <c r="K29" s="372">
        <v>1437202.8</v>
      </c>
      <c r="L29" s="372">
        <v>1231993.56</v>
      </c>
      <c r="M29" s="372">
        <v>1376778.8399999999</v>
      </c>
      <c r="N29" s="372">
        <v>1251235.01</v>
      </c>
      <c r="O29" s="373">
        <f>SUM('All Statements'!H165:H169)</f>
        <v>1442361.5899999999</v>
      </c>
      <c r="P29" s="373">
        <f>SUM('All Statements'!I165:I169)</f>
        <v>1598316.8599999996</v>
      </c>
      <c r="Q29" s="373">
        <f>SUM('All Statements'!J165:J169)</f>
        <v>1899008.6199999996</v>
      </c>
      <c r="R29" s="373">
        <f>SUM('All Statements'!K165:K169)</f>
        <v>2149678.81</v>
      </c>
      <c r="S29" s="373">
        <f>SUM('All Statements'!L165:L169)</f>
        <v>2122926.8300000019</v>
      </c>
      <c r="T29" s="373">
        <f>SUM('All Statements'!M165:M169)</f>
        <v>1391502.5099999981</v>
      </c>
      <c r="U29" s="373">
        <f>SUM('All Statements'!N165:N169)</f>
        <v>1616051.0600000026</v>
      </c>
      <c r="V29" s="373">
        <f>SUM('All Statements'!O165:O169)</f>
        <v>1954775.9599999958</v>
      </c>
      <c r="W29" s="373">
        <f>SUM('All Statements'!P165:P169)</f>
        <v>2190601.430000003</v>
      </c>
      <c r="X29" s="373">
        <f>SUM('All Statements'!Q165:Q169)</f>
        <v>1901622.46</v>
      </c>
      <c r="Y29" s="373">
        <f>SUM('All Statements'!R165:R169)</f>
        <v>2182274.4399999967</v>
      </c>
      <c r="Z29" s="373">
        <f>SUM('All Statements'!S165:S169)</f>
        <v>1572442.77</v>
      </c>
      <c r="AA29" s="720">
        <f>SUM('All Statements'!T165:T169)</f>
        <v>2004649.28</v>
      </c>
      <c r="AB29" s="373">
        <f>SUM('All Statements'!U165:U169)</f>
        <v>2257520.3000000003</v>
      </c>
      <c r="AC29" s="373">
        <f>SUM('All Statements'!V165:V169)</f>
        <v>2468448.04</v>
      </c>
      <c r="AD29" s="373">
        <f>SUM('All Statements'!W165:W169)</f>
        <v>2457845.1399999997</v>
      </c>
      <c r="AE29" s="373">
        <f>SUM('All Statements'!X165:X169)</f>
        <v>2621676.17</v>
      </c>
      <c r="AF29" s="373">
        <f>SUM('All Statements'!Y165:Y169)</f>
        <v>3675174.46</v>
      </c>
      <c r="AG29" s="373">
        <f>SUM('All Statements'!Z165:Z169)</f>
        <v>2865655.87</v>
      </c>
      <c r="AH29" s="373">
        <f>SUM('All Statements'!AA165:AA169)</f>
        <v>2969995.4000000004</v>
      </c>
      <c r="AI29" s="373">
        <f>SUM('All Statements'!AB165:AB169)</f>
        <v>2694982.74</v>
      </c>
      <c r="AJ29" s="373">
        <f>SUM('All Statements'!AC165:AC169)</f>
        <v>2947049.4699999997</v>
      </c>
      <c r="AK29" s="373">
        <f>SUM('All Statements'!AD165:AD169)</f>
        <v>3192555.4</v>
      </c>
      <c r="AL29" s="373">
        <f>SUM('All Statements'!AE165:AE169)</f>
        <v>3304388.1799999997</v>
      </c>
      <c r="AM29" s="373">
        <f>SUM('All Statements'!AF165:AF169)</f>
        <v>3129265.98</v>
      </c>
      <c r="AN29" s="373">
        <f>SUM('All Statements'!AG165:AG169)</f>
        <v>3518236.86</v>
      </c>
      <c r="AO29" s="373">
        <f>SUM('All Statements'!AH165:AH169)</f>
        <v>3967064.77</v>
      </c>
      <c r="AP29" s="373">
        <f>SUM('All Statements'!AI165:AI169)</f>
        <v>4249631.92</v>
      </c>
      <c r="AQ29" s="373">
        <f>SUM('All Statements'!AJ165:AJ169)</f>
        <v>3965147.32</v>
      </c>
      <c r="AR29" s="373">
        <f>SUM('All Statements'!AK165:AK169)</f>
        <v>3751086.3499999996</v>
      </c>
      <c r="AS29" s="373">
        <f>SUM('All Statements'!AL165:AL169)</f>
        <v>3759104.29</v>
      </c>
      <c r="AT29" s="373">
        <f>SUM('All Statements'!AM165:AM169)</f>
        <v>4081913.1100000003</v>
      </c>
      <c r="AU29" s="373">
        <f>SUM('All Statements'!AN165:AN169)</f>
        <v>4190864.09</v>
      </c>
      <c r="AV29" s="373">
        <f>SUM('All Statements'!AO165:AO169)</f>
        <v>3960616.95</v>
      </c>
      <c r="AW29" s="373">
        <f>'All Statements'!BF165</f>
        <v>5241690.8489842275</v>
      </c>
      <c r="AX29" s="814">
        <f>AL29</f>
        <v>3304388.1799999997</v>
      </c>
      <c r="AY29" s="814">
        <f>Z29</f>
        <v>1572442.77</v>
      </c>
      <c r="AZ29" s="835">
        <f t="shared" si="30"/>
        <v>3960616.95</v>
      </c>
      <c r="BA29" s="843">
        <f>AZ29</f>
        <v>3960616.95</v>
      </c>
      <c r="BB29" s="814">
        <f>AI29</f>
        <v>2694982.74</v>
      </c>
      <c r="BC29" s="376"/>
      <c r="BT29" s="376"/>
      <c r="CL29" s="371" t="s">
        <v>427</v>
      </c>
      <c r="CM29" s="720">
        <f t="shared" si="12"/>
        <v>3960616.95</v>
      </c>
      <c r="CO29" s="835">
        <f>AZ29</f>
        <v>3960616.95</v>
      </c>
      <c r="CP29" s="843">
        <f t="shared" ref="CP29:CP40" si="32">BA29</f>
        <v>3960616.95</v>
      </c>
    </row>
    <row r="30" spans="2:94" x14ac:dyDescent="0.3">
      <c r="B30" s="389" t="s">
        <v>428</v>
      </c>
      <c r="C30" s="372">
        <v>629479</v>
      </c>
      <c r="D30" s="372">
        <v>755232.09</v>
      </c>
      <c r="E30" s="372">
        <v>1286989</v>
      </c>
      <c r="F30" s="372">
        <v>1212171</v>
      </c>
      <c r="G30" s="372">
        <v>998114.3</v>
      </c>
      <c r="H30" s="372">
        <v>1195091</v>
      </c>
      <c r="I30" s="372">
        <v>1235814.3700000001</v>
      </c>
      <c r="J30" s="372">
        <v>840806.39999999991</v>
      </c>
      <c r="K30" s="372">
        <v>1174896.6499999999</v>
      </c>
      <c r="L30" s="372">
        <v>1199675.3700000001</v>
      </c>
      <c r="M30" s="372">
        <v>1156254.51</v>
      </c>
      <c r="N30" s="372">
        <v>1033360.49</v>
      </c>
      <c r="O30" s="373">
        <f>'All Statements'!H160</f>
        <v>843543.50999999989</v>
      </c>
      <c r="P30" s="373">
        <f>'All Statements'!I160</f>
        <v>1069439.44</v>
      </c>
      <c r="Q30" s="373">
        <f>'All Statements'!J160</f>
        <v>1485511.73</v>
      </c>
      <c r="R30" s="373">
        <f>'All Statements'!K160</f>
        <v>1690415.57</v>
      </c>
      <c r="S30" s="373">
        <f>'All Statements'!L160</f>
        <v>1850137.55</v>
      </c>
      <c r="T30" s="373">
        <f>'All Statements'!M160</f>
        <v>1497417.9</v>
      </c>
      <c r="U30" s="373">
        <f>'All Statements'!N160</f>
        <v>1338996.3399999989</v>
      </c>
      <c r="V30" s="373">
        <f>'All Statements'!O160</f>
        <v>1762633.900000002</v>
      </c>
      <c r="W30" s="373">
        <f>'All Statements'!P160</f>
        <v>1149682.439999999</v>
      </c>
      <c r="X30" s="373">
        <f>'All Statements'!Q160</f>
        <v>1107945.19</v>
      </c>
      <c r="Y30" s="373">
        <f>'All Statements'!R160</f>
        <v>2191907.9300000002</v>
      </c>
      <c r="Z30" s="373">
        <f>'All Statements'!S160</f>
        <v>1146210.0900000001</v>
      </c>
      <c r="AA30" s="720">
        <f>'All Statements'!T160</f>
        <v>643544</v>
      </c>
      <c r="AB30" s="373">
        <f>'All Statements'!U160</f>
        <v>1216725.8500000001</v>
      </c>
      <c r="AC30" s="373">
        <f>'All Statements'!V160</f>
        <v>1476056.61</v>
      </c>
      <c r="AD30" s="373">
        <f>'All Statements'!W160</f>
        <v>1106906.3400000001</v>
      </c>
      <c r="AE30" s="373">
        <f>'All Statements'!X160</f>
        <v>1138520.06</v>
      </c>
      <c r="AF30" s="373">
        <f>'All Statements'!Y160</f>
        <v>1206688.22</v>
      </c>
      <c r="AG30" s="373">
        <f>'All Statements'!Z160</f>
        <v>1162319.57</v>
      </c>
      <c r="AH30" s="373">
        <f>'All Statements'!AA160</f>
        <v>1594406.5</v>
      </c>
      <c r="AI30" s="373">
        <f>'All Statements'!AB160</f>
        <v>1687920.15</v>
      </c>
      <c r="AJ30" s="373">
        <f>'All Statements'!AC160</f>
        <v>1551292.52</v>
      </c>
      <c r="AK30" s="373">
        <f>'All Statements'!AD160</f>
        <v>1346543.52</v>
      </c>
      <c r="AL30" s="373">
        <f>'All Statements'!AE160</f>
        <v>1469833.16</v>
      </c>
      <c r="AM30" s="373">
        <f>'All Statements'!AF160</f>
        <v>1141367.58</v>
      </c>
      <c r="AN30" s="373">
        <f>'All Statements'!AG160</f>
        <v>919816.87</v>
      </c>
      <c r="AO30" s="373">
        <f>'All Statements'!AH160</f>
        <v>1026767.05</v>
      </c>
      <c r="AP30" s="373">
        <f>'All Statements'!AI160</f>
        <v>903183.35999999999</v>
      </c>
      <c r="AQ30" s="373">
        <f>'All Statements'!AJ160</f>
        <v>960893.17</v>
      </c>
      <c r="AR30" s="373">
        <f>'All Statements'!AK160</f>
        <v>1185083.73</v>
      </c>
      <c r="AS30" s="373">
        <f>'All Statements'!AL160</f>
        <v>683915.19</v>
      </c>
      <c r="AT30" s="373">
        <f>'All Statements'!AM160</f>
        <v>891234.62</v>
      </c>
      <c r="AU30" s="373">
        <f>'All Statements'!AN160</f>
        <v>953765.73</v>
      </c>
      <c r="AV30" s="373">
        <f>'All Statements'!AO160</f>
        <v>1199303.8400000001</v>
      </c>
      <c r="AW30" s="373">
        <f>'All Statements'!BF160</f>
        <v>894531.89368074678</v>
      </c>
      <c r="AX30" s="814">
        <f>AL30</f>
        <v>1469833.16</v>
      </c>
      <c r="AY30" s="814">
        <f>Z30</f>
        <v>1146210.0900000001</v>
      </c>
      <c r="AZ30" s="835">
        <f t="shared" si="30"/>
        <v>1199303.8400000001</v>
      </c>
      <c r="BA30" s="843">
        <f>AZ30</f>
        <v>1199303.8400000001</v>
      </c>
      <c r="BB30" s="814">
        <f>AI30</f>
        <v>1687920.15</v>
      </c>
      <c r="CL30" s="389" t="s">
        <v>428</v>
      </c>
      <c r="CM30" s="720">
        <f t="shared" si="12"/>
        <v>1199303.8400000001</v>
      </c>
      <c r="CO30" s="835">
        <f>AZ30</f>
        <v>1199303.8400000001</v>
      </c>
      <c r="CP30" s="843">
        <f t="shared" si="32"/>
        <v>1199303.8400000001</v>
      </c>
    </row>
    <row r="31" spans="2:94" x14ac:dyDescent="0.3">
      <c r="B31" s="371" t="s">
        <v>494</v>
      </c>
      <c r="C31" s="372">
        <v>-163106.28000000003</v>
      </c>
      <c r="D31" s="372">
        <v>125753.08999999997</v>
      </c>
      <c r="E31" s="372">
        <v>531756.91</v>
      </c>
      <c r="F31" s="372">
        <v>-74818</v>
      </c>
      <c r="G31" s="372">
        <v>-214056.69999999995</v>
      </c>
      <c r="H31" s="372">
        <v>196976.69999999995</v>
      </c>
      <c r="I31" s="372">
        <v>40723.370000000112</v>
      </c>
      <c r="J31" s="372">
        <v>-395007.9700000002</v>
      </c>
      <c r="K31" s="372">
        <v>334090.25</v>
      </c>
      <c r="L31" s="372">
        <v>24778.720000000205</v>
      </c>
      <c r="M31" s="372">
        <v>-43420.860000000102</v>
      </c>
      <c r="N31" s="372">
        <v>-122894.02000000002</v>
      </c>
      <c r="O31" s="373">
        <f t="shared" ref="O31:X31" si="33">O30-N30</f>
        <v>-189816.9800000001</v>
      </c>
      <c r="P31" s="373">
        <f t="shared" si="33"/>
        <v>225895.93000000005</v>
      </c>
      <c r="Q31" s="373">
        <f t="shared" si="33"/>
        <v>416072.29000000004</v>
      </c>
      <c r="R31" s="373">
        <f t="shared" si="33"/>
        <v>204903.84000000008</v>
      </c>
      <c r="S31" s="373">
        <f t="shared" si="33"/>
        <v>159721.97999999998</v>
      </c>
      <c r="T31" s="373">
        <f t="shared" si="33"/>
        <v>-352719.65000000014</v>
      </c>
      <c r="U31" s="373">
        <f t="shared" si="33"/>
        <v>-158421.56000000099</v>
      </c>
      <c r="V31" s="373">
        <f t="shared" si="33"/>
        <v>423637.56000000308</v>
      </c>
      <c r="W31" s="373">
        <f>W30-V30</f>
        <v>-612951.46000000299</v>
      </c>
      <c r="X31" s="373">
        <f t="shared" si="33"/>
        <v>-41737.249999999069</v>
      </c>
      <c r="Y31" s="373">
        <f>Y30-X30</f>
        <v>1083962.7400000002</v>
      </c>
      <c r="Z31" s="373">
        <f t="shared" ref="Z31:AI31" si="34">Z30-Y30</f>
        <v>-1045697.8400000001</v>
      </c>
      <c r="AA31" s="720">
        <f t="shared" si="34"/>
        <v>-502666.09000000008</v>
      </c>
      <c r="AB31" s="373">
        <f t="shared" si="34"/>
        <v>573181.85000000009</v>
      </c>
      <c r="AC31" s="373">
        <f t="shared" si="34"/>
        <v>259330.76</v>
      </c>
      <c r="AD31" s="373">
        <f t="shared" si="34"/>
        <v>-369150.27</v>
      </c>
      <c r="AE31" s="373">
        <f t="shared" si="34"/>
        <v>31613.719999999972</v>
      </c>
      <c r="AF31" s="373">
        <f t="shared" si="34"/>
        <v>68168.159999999916</v>
      </c>
      <c r="AG31" s="373">
        <f t="shared" si="34"/>
        <v>-44368.649999999907</v>
      </c>
      <c r="AH31" s="373">
        <f t="shared" si="34"/>
        <v>432086.92999999993</v>
      </c>
      <c r="AI31" s="373">
        <f t="shared" si="34"/>
        <v>93513.649999999907</v>
      </c>
      <c r="AJ31" s="373">
        <f t="shared" ref="AJ31:AV31" si="35">AJ30-AI30</f>
        <v>-136627.62999999989</v>
      </c>
      <c r="AK31" s="373">
        <f t="shared" si="35"/>
        <v>-204749</v>
      </c>
      <c r="AL31" s="373">
        <f t="shared" si="35"/>
        <v>123289.6399999999</v>
      </c>
      <c r="AM31" s="373">
        <f t="shared" si="35"/>
        <v>-328465.57999999984</v>
      </c>
      <c r="AN31" s="373">
        <f t="shared" si="35"/>
        <v>-221550.71000000008</v>
      </c>
      <c r="AO31" s="373">
        <f t="shared" si="35"/>
        <v>106950.18000000005</v>
      </c>
      <c r="AP31" s="373">
        <f t="shared" si="35"/>
        <v>-123583.69000000006</v>
      </c>
      <c r="AQ31" s="373">
        <f t="shared" si="35"/>
        <v>57709.810000000056</v>
      </c>
      <c r="AR31" s="373">
        <f t="shared" si="35"/>
        <v>224190.55999999994</v>
      </c>
      <c r="AS31" s="373">
        <f t="shared" si="35"/>
        <v>-501168.54000000004</v>
      </c>
      <c r="AT31" s="373">
        <f t="shared" si="35"/>
        <v>207319.43000000005</v>
      </c>
      <c r="AU31" s="373">
        <f t="shared" si="35"/>
        <v>62531.109999999986</v>
      </c>
      <c r="AV31" s="373">
        <f t="shared" si="35"/>
        <v>245538.1100000001</v>
      </c>
      <c r="AW31" s="373">
        <f>AW30-AL30</f>
        <v>-575301.26631925313</v>
      </c>
      <c r="AX31" s="814">
        <f>SUM(AA31:AL31)</f>
        <v>323623.06999999983</v>
      </c>
      <c r="AY31" s="814">
        <f>Z31</f>
        <v>-1045697.8400000001</v>
      </c>
      <c r="AZ31" s="835">
        <f t="shared" si="30"/>
        <v>245538.1100000001</v>
      </c>
      <c r="BA31" s="843">
        <f>SUM(AK31:AV31)</f>
        <v>-351988.67999999993</v>
      </c>
      <c r="BB31" s="814">
        <f>SUM(X31:AI31)</f>
        <v>538237.71000000089</v>
      </c>
      <c r="BC31" s="376"/>
      <c r="BT31" s="376"/>
      <c r="CL31" s="371" t="s">
        <v>494</v>
      </c>
      <c r="CM31" s="720">
        <f t="shared" si="12"/>
        <v>245538.1100000001</v>
      </c>
      <c r="CO31" s="835">
        <f>AZ31</f>
        <v>245538.1100000001</v>
      </c>
      <c r="CP31" s="843">
        <f t="shared" si="32"/>
        <v>-351988.67999999993</v>
      </c>
    </row>
    <row r="32" spans="2:94" x14ac:dyDescent="0.3">
      <c r="B32" s="371" t="s">
        <v>462</v>
      </c>
      <c r="C32" s="372">
        <f>'2020 Financials'!H133+'2020 Financials'!H134</f>
        <v>631977</v>
      </c>
      <c r="D32" s="372">
        <f>'2020 Financials'!I133+'2020 Financials'!I134</f>
        <v>425697.79000000004</v>
      </c>
      <c r="E32" s="372">
        <f>'2020 Financials'!J133+'2020 Financials'!J134</f>
        <v>693273</v>
      </c>
      <c r="F32" s="372">
        <f>'2020 Financials'!K133+'2020 Financials'!K134</f>
        <v>816809</v>
      </c>
      <c r="G32" s="372">
        <f>'2020 Financials'!L133+'2020 Financials'!L134</f>
        <v>393265</v>
      </c>
      <c r="H32" s="372">
        <f>'2020 Financials'!M133+'2020 Financials'!M134</f>
        <v>476075</v>
      </c>
      <c r="I32" s="372">
        <f>'2020 Financials'!N133+'2020 Financials'!N134</f>
        <v>768489.86999999988</v>
      </c>
      <c r="J32" s="372">
        <f>'2020 Financials'!O133+'2020 Financials'!O134</f>
        <v>578035.51</v>
      </c>
      <c r="K32" s="372">
        <f>'2020 Financials'!P133+'2020 Financials'!P134</f>
        <v>514083.30000000005</v>
      </c>
      <c r="L32" s="372">
        <f>'2020 Financials'!Q133+'2020 Financials'!Q134</f>
        <v>554678.57000000007</v>
      </c>
      <c r="M32" s="372">
        <f>'2020 Financials'!R133+'2020 Financials'!R134</f>
        <v>677863.12000000011</v>
      </c>
      <c r="N32" s="372">
        <f>'2020 Financials'!S133+'2020 Financials'!S134</f>
        <v>452384.77</v>
      </c>
      <c r="O32" s="373">
        <f>'All Statements'!H193+'All Statements'!H194</f>
        <v>856686.17</v>
      </c>
      <c r="P32" s="373">
        <f>'All Statements'!I193+'All Statements'!I194</f>
        <v>1166826.8199999998</v>
      </c>
      <c r="Q32" s="373">
        <f>'All Statements'!J193+'All Statements'!J194</f>
        <v>1578510.1600000004</v>
      </c>
      <c r="R32" s="373">
        <f>'All Statements'!K193+'All Statements'!K194</f>
        <v>1597929.6700000018</v>
      </c>
      <c r="S32" s="373">
        <f>'All Statements'!L193+'All Statements'!L194</f>
        <v>1578409.879999998</v>
      </c>
      <c r="T32" s="373">
        <f>'All Statements'!M193+'All Statements'!M194</f>
        <v>945889.32000000088</v>
      </c>
      <c r="U32" s="373">
        <f>'All Statements'!N193+'All Statements'!N194</f>
        <v>662058.27000000083</v>
      </c>
      <c r="V32" s="373">
        <f>'All Statements'!O193+'All Statements'!O194</f>
        <v>1270494.5899999994</v>
      </c>
      <c r="W32" s="373">
        <f>'All Statements'!P193+'All Statements'!P194</f>
        <v>935805.39000000048</v>
      </c>
      <c r="X32" s="373">
        <f>'All Statements'!Q193+'All Statements'!Q194</f>
        <v>679642.91999999993</v>
      </c>
      <c r="Y32" s="373">
        <f>'All Statements'!R193+'All Statements'!R194</f>
        <v>897058.62000000256</v>
      </c>
      <c r="Z32" s="373">
        <f>'All Statements'!S193+'All Statements'!S194</f>
        <v>635830.65</v>
      </c>
      <c r="AA32" s="720">
        <f>'All Statements'!T193+'All Statements'!T194</f>
        <v>843378.34</v>
      </c>
      <c r="AB32" s="373">
        <f>'All Statements'!U193+'All Statements'!U194</f>
        <v>1108713.1499999999</v>
      </c>
      <c r="AC32" s="373">
        <f>'All Statements'!V193+'All Statements'!V194</f>
        <v>862590.52</v>
      </c>
      <c r="AD32" s="373">
        <f>'All Statements'!W193+'All Statements'!W194</f>
        <v>1039294.66</v>
      </c>
      <c r="AE32" s="373">
        <f>'All Statements'!X193+'All Statements'!X194</f>
        <v>811503.57</v>
      </c>
      <c r="AF32" s="373">
        <f>'All Statements'!Y193+'All Statements'!Y194</f>
        <v>514518.33999999997</v>
      </c>
      <c r="AG32" s="373">
        <f>'All Statements'!Z193+'All Statements'!Z194</f>
        <v>306734.85000000003</v>
      </c>
      <c r="AH32" s="373">
        <f>'All Statements'!AA193+'All Statements'!AA194</f>
        <v>310105.22000000003</v>
      </c>
      <c r="AI32" s="373">
        <f>'All Statements'!AB193+'All Statements'!AB194</f>
        <v>212766.82</v>
      </c>
      <c r="AJ32" s="373">
        <f>'All Statements'!AC193+'All Statements'!AC194</f>
        <v>522910.68000000005</v>
      </c>
      <c r="AK32" s="373">
        <f>'All Statements'!AD193+'All Statements'!AD194</f>
        <v>490807</v>
      </c>
      <c r="AL32" s="373">
        <f>'All Statements'!AE193+'All Statements'!AE194</f>
        <v>554204.29</v>
      </c>
      <c r="AM32" s="373">
        <f>'All Statements'!AF193+'All Statements'!AF194</f>
        <v>553055.87</v>
      </c>
      <c r="AN32" s="373">
        <f>'All Statements'!AG193+'All Statements'!AG194</f>
        <v>700202.04999999993</v>
      </c>
      <c r="AO32" s="373">
        <f>'All Statements'!AH193+'All Statements'!AH194</f>
        <v>801808.37</v>
      </c>
      <c r="AP32" s="373">
        <f>'All Statements'!AI193+'All Statements'!AI194</f>
        <v>687987.48</v>
      </c>
      <c r="AQ32" s="373">
        <f>'All Statements'!AJ193+'All Statements'!AJ194</f>
        <v>521024.86</v>
      </c>
      <c r="AR32" s="373">
        <f>'All Statements'!AK193+'All Statements'!AK194</f>
        <v>551902.06000000006</v>
      </c>
      <c r="AS32" s="373">
        <f>'All Statements'!AL193+'All Statements'!AL194</f>
        <v>509834.66</v>
      </c>
      <c r="AT32" s="373">
        <f>'All Statements'!AM193+'All Statements'!AM194</f>
        <v>569595.9</v>
      </c>
      <c r="AU32" s="373">
        <f>'All Statements'!AN193+'All Statements'!AN194</f>
        <v>805473.33</v>
      </c>
      <c r="AV32" s="373">
        <f>'All Statements'!AO193+'All Statements'!AO194</f>
        <v>720556.4</v>
      </c>
      <c r="AW32" s="373">
        <f>'All Statements'!BF193</f>
        <v>532477.4738801521</v>
      </c>
      <c r="AX32" s="814">
        <f>AL32</f>
        <v>554204.29</v>
      </c>
      <c r="AY32" s="814">
        <f>Z32</f>
        <v>635830.65</v>
      </c>
      <c r="AZ32" s="835">
        <f t="shared" si="30"/>
        <v>720556.4</v>
      </c>
      <c r="BA32" s="848">
        <f>AZ32</f>
        <v>720556.4</v>
      </c>
      <c r="BB32" s="814">
        <f>AI32</f>
        <v>212766.82</v>
      </c>
      <c r="BS32" s="859"/>
      <c r="CJ32" s="859"/>
      <c r="CK32" s="859"/>
      <c r="CL32" s="371" t="s">
        <v>462</v>
      </c>
      <c r="CM32" s="720">
        <f t="shared" si="12"/>
        <v>720556.4</v>
      </c>
      <c r="CO32" s="835">
        <f>AZ32</f>
        <v>720556.4</v>
      </c>
      <c r="CP32" s="848">
        <f t="shared" si="32"/>
        <v>720556.4</v>
      </c>
    </row>
    <row r="33" spans="2:94" x14ac:dyDescent="0.3">
      <c r="B33" s="389" t="s">
        <v>261</v>
      </c>
      <c r="C33" s="372">
        <v>1295997</v>
      </c>
      <c r="D33" s="372">
        <v>1220339.03</v>
      </c>
      <c r="E33" s="372">
        <v>1962633</v>
      </c>
      <c r="F33" s="372">
        <v>1891561</v>
      </c>
      <c r="G33" s="372">
        <v>1454800</v>
      </c>
      <c r="H33" s="372">
        <v>1471467</v>
      </c>
      <c r="I33" s="372">
        <v>1656182.88</v>
      </c>
      <c r="J33" s="372">
        <v>1436912.0299999998</v>
      </c>
      <c r="K33" s="372">
        <v>1417752.51</v>
      </c>
      <c r="L33" s="372">
        <v>1718801.74</v>
      </c>
      <c r="M33" s="372">
        <v>1418340.11</v>
      </c>
      <c r="N33" s="372">
        <v>1536000.64</v>
      </c>
      <c r="O33" s="373">
        <f>'All Statements'!H196</f>
        <v>1655241.28</v>
      </c>
      <c r="P33" s="373">
        <f>'All Statements'!I196</f>
        <v>1722477.3499999999</v>
      </c>
      <c r="Q33" s="373">
        <f>'All Statements'!J196</f>
        <v>1525852.45</v>
      </c>
      <c r="R33" s="373">
        <f>'All Statements'!K196</f>
        <v>1823491.29</v>
      </c>
      <c r="S33" s="373">
        <f>'All Statements'!L196</f>
        <v>1895455.26</v>
      </c>
      <c r="T33" s="373">
        <f>'All Statements'!M196</f>
        <v>2275101.2199999997</v>
      </c>
      <c r="U33" s="373">
        <f>'All Statements'!N196</f>
        <v>2493877.5499999989</v>
      </c>
      <c r="V33" s="373">
        <f>'All Statements'!O196</f>
        <v>3180718.5</v>
      </c>
      <c r="W33" s="373">
        <f>'All Statements'!P196</f>
        <v>3310107.37</v>
      </c>
      <c r="X33" s="373">
        <f>'All Statements'!Q196</f>
        <v>3473294.73</v>
      </c>
      <c r="Y33" s="373">
        <f>'All Statements'!R196</f>
        <v>4871679.5699999984</v>
      </c>
      <c r="Z33" s="373">
        <f>'All Statements'!S196</f>
        <v>5729015.1900000004</v>
      </c>
      <c r="AA33" s="720">
        <f>'All Statements'!T196</f>
        <v>5073260.58</v>
      </c>
      <c r="AB33" s="373">
        <f>'All Statements'!U196</f>
        <v>5702010.3600000003</v>
      </c>
      <c r="AC33" s="373">
        <f>'All Statements'!V196</f>
        <v>6165049.0599999996</v>
      </c>
      <c r="AD33" s="373">
        <f>'All Statements'!W196</f>
        <v>6037160.0099999998</v>
      </c>
      <c r="AE33" s="373">
        <f>'All Statements'!X196</f>
        <v>6237002.5599999996</v>
      </c>
      <c r="AF33" s="373">
        <f>'All Statements'!Y196</f>
        <v>5623054.3499999996</v>
      </c>
      <c r="AG33" s="373">
        <f>'All Statements'!Z196</f>
        <v>3308669.27</v>
      </c>
      <c r="AH33" s="373">
        <f>'All Statements'!AA196</f>
        <v>3854654.68</v>
      </c>
      <c r="AI33" s="373">
        <f>'All Statements'!AB196</f>
        <v>3701914.82</v>
      </c>
      <c r="AJ33" s="373">
        <f>'All Statements'!AC196</f>
        <v>3984215.51</v>
      </c>
      <c r="AK33" s="373">
        <f>'All Statements'!AD196</f>
        <v>4171708.76</v>
      </c>
      <c r="AL33" s="373">
        <f>'All Statements'!AE196</f>
        <v>4610977.5999999996</v>
      </c>
      <c r="AM33" s="373">
        <f>'All Statements'!AF196</f>
        <v>4224947.2300000004</v>
      </c>
      <c r="AN33" s="373">
        <f>'All Statements'!AG196</f>
        <v>4666660.16</v>
      </c>
      <c r="AO33" s="373">
        <f>'All Statements'!AH196</f>
        <v>5750039.0800000001</v>
      </c>
      <c r="AP33" s="373">
        <f>'All Statements'!AI196</f>
        <v>5711456.4400000004</v>
      </c>
      <c r="AQ33" s="373">
        <f>'All Statements'!AJ196</f>
        <v>5100104.97</v>
      </c>
      <c r="AR33" s="373">
        <f>'All Statements'!AK196</f>
        <v>4535481.74</v>
      </c>
      <c r="AS33" s="373">
        <f>'All Statements'!AL196</f>
        <v>4423043.87</v>
      </c>
      <c r="AT33" s="373">
        <f>'All Statements'!AM196</f>
        <v>4213440.54</v>
      </c>
      <c r="AU33" s="373">
        <f>'All Statements'!AN196</f>
        <v>4062408.22</v>
      </c>
      <c r="AV33" s="373">
        <f>'All Statements'!AO196</f>
        <v>4314356.1100000003</v>
      </c>
      <c r="AW33" s="373">
        <f>'All Statements'!BF196</f>
        <v>6751081.7148892237</v>
      </c>
      <c r="AX33" s="814">
        <f>AL33</f>
        <v>4610977.5999999996</v>
      </c>
      <c r="AY33" s="814">
        <f>Z33</f>
        <v>5729015.1900000004</v>
      </c>
      <c r="AZ33" s="835">
        <f t="shared" si="30"/>
        <v>4314356.1100000003</v>
      </c>
      <c r="BA33" s="843">
        <f>AZ33</f>
        <v>4314356.1100000003</v>
      </c>
      <c r="BB33" s="814">
        <f>AI33</f>
        <v>3701914.82</v>
      </c>
      <c r="BS33" s="859"/>
      <c r="CJ33" s="859"/>
      <c r="CK33" s="859"/>
      <c r="CL33" s="389" t="s">
        <v>261</v>
      </c>
      <c r="CM33" s="720">
        <f t="shared" si="12"/>
        <v>4314356.1100000003</v>
      </c>
      <c r="CO33" s="835">
        <f>AZ33</f>
        <v>4314356.1100000003</v>
      </c>
      <c r="CP33" s="843">
        <f t="shared" si="32"/>
        <v>4314356.1100000003</v>
      </c>
    </row>
    <row r="34" spans="2:94" ht="4.3499999999999996" customHeight="1" x14ac:dyDescent="0.3">
      <c r="B34" s="371"/>
      <c r="C34" s="387"/>
      <c r="D34" s="387"/>
      <c r="E34" s="387"/>
      <c r="F34" s="387"/>
      <c r="G34" s="387"/>
      <c r="H34" s="387"/>
      <c r="I34" s="387"/>
      <c r="J34" s="387"/>
      <c r="K34" s="387"/>
      <c r="L34" s="387"/>
      <c r="M34" s="387"/>
      <c r="N34" s="387"/>
      <c r="AX34" s="819"/>
      <c r="AY34" s="819"/>
      <c r="AZ34" s="819">
        <f t="shared" si="30"/>
        <v>0</v>
      </c>
      <c r="BA34" s="348"/>
      <c r="BB34" s="819"/>
      <c r="BS34" s="859"/>
      <c r="CJ34" s="859"/>
      <c r="CK34" s="859"/>
      <c r="CL34" s="371"/>
      <c r="CM34" s="349">
        <f t="shared" si="12"/>
        <v>0</v>
      </c>
      <c r="CO34" s="819"/>
      <c r="CP34" s="348"/>
    </row>
    <row r="35" spans="2:94" x14ac:dyDescent="0.3">
      <c r="B35" s="383" t="s">
        <v>429</v>
      </c>
      <c r="C35" s="390">
        <v>1.0775058580190922</v>
      </c>
      <c r="D35" s="390">
        <v>1.1638309886964682</v>
      </c>
      <c r="E35" s="390">
        <v>0.65066601190841566</v>
      </c>
      <c r="F35" s="390">
        <v>0.40377992873942697</v>
      </c>
      <c r="G35" s="390">
        <v>1.1183294638700199</v>
      </c>
      <c r="H35" s="390">
        <v>0.6975980406512976</v>
      </c>
      <c r="I35" s="390">
        <v>0.60695213472877796</v>
      </c>
      <c r="J35" s="390">
        <v>1.0326590996452931</v>
      </c>
      <c r="K35" s="390">
        <v>0.68269286494263148</v>
      </c>
      <c r="L35" s="390">
        <v>0.83686275896453544</v>
      </c>
      <c r="M35" s="390">
        <v>0.60875782443434534</v>
      </c>
      <c r="N35" s="390">
        <v>1.183827581795778</v>
      </c>
      <c r="O35" s="303">
        <f>'All Statements'!H11</f>
        <v>0.42170372731692285</v>
      </c>
      <c r="P35" s="303">
        <f>'All Statements'!I11</f>
        <v>0.62696628887653527</v>
      </c>
      <c r="Q35" s="303">
        <f>'All Statements'!J11</f>
        <v>0.75768887398822493</v>
      </c>
      <c r="R35" s="303">
        <f>'All Statements'!K11</f>
        <v>0.42699348184541391</v>
      </c>
      <c r="S35" s="303">
        <f>'All Statements'!L11</f>
        <v>0.48680522699514966</v>
      </c>
      <c r="T35" s="303">
        <f>'All Statements'!M11</f>
        <v>0.62961901951352384</v>
      </c>
      <c r="U35" s="303">
        <f>'All Statements'!N11</f>
        <v>0.69027993011541822</v>
      </c>
      <c r="V35" s="303">
        <f>'All Statements'!O11</f>
        <v>0.68298772649272121</v>
      </c>
      <c r="W35" s="303">
        <f>'All Statements'!P11</f>
        <v>0.94562313224510997</v>
      </c>
      <c r="X35" s="303">
        <f>'All Statements'!Q11</f>
        <v>1.4298982515552059</v>
      </c>
      <c r="Y35" s="303">
        <f>'All Statements'!R11</f>
        <v>0.4641915228620026</v>
      </c>
      <c r="Z35" s="303">
        <f>'All Statements'!S11</f>
        <v>1.7416326617749456</v>
      </c>
      <c r="AA35" s="391">
        <f>'All Statements'!T11</f>
        <v>1.622634489638626</v>
      </c>
      <c r="AB35" s="303">
        <f>'All Statements'!U11</f>
        <v>1.3575814469627647</v>
      </c>
      <c r="AC35" s="303">
        <f>'All Statements'!V11</f>
        <v>1.067102019887977</v>
      </c>
      <c r="AD35" s="303">
        <f>'All Statements'!W11</f>
        <v>0.89506006443146746</v>
      </c>
      <c r="AE35" s="303">
        <f>'All Statements'!X11</f>
        <v>1.2125648361435106</v>
      </c>
      <c r="AF35" s="303">
        <f>'All Statements'!Y11</f>
        <v>1.2572168227514477</v>
      </c>
      <c r="AG35" s="303">
        <f>'All Statements'!Z11</f>
        <v>1.010786439739632</v>
      </c>
      <c r="AH35" s="303">
        <f>'All Statements'!AA11</f>
        <v>1.0050247537249755</v>
      </c>
      <c r="AI35" s="303">
        <f>'All Statements'!AB11</f>
        <v>0.7492372610161685</v>
      </c>
      <c r="AJ35" s="303">
        <f>'All Statements'!AC11</f>
        <v>0.68132150859594165</v>
      </c>
      <c r="AK35" s="303">
        <f>'All Statements'!AD11</f>
        <v>0.66269398407561309</v>
      </c>
      <c r="AL35" s="303">
        <f>'All Statements'!AE11</f>
        <v>0.95491970666929316</v>
      </c>
      <c r="AM35" s="303">
        <f>'All Statements'!AF11</f>
        <v>0.62658864903101585</v>
      </c>
      <c r="AN35" s="303">
        <f>'All Statements'!AG11</f>
        <v>1.0760136960740891</v>
      </c>
      <c r="AO35" s="303">
        <f>'All Statements'!AH11</f>
        <v>1.768295632392956</v>
      </c>
      <c r="AP35" s="303">
        <f>'All Statements'!AI11</f>
        <v>1.4811415591181838</v>
      </c>
      <c r="AQ35" s="303">
        <f>'All Statements'!AJ11</f>
        <v>1.3660083045444062</v>
      </c>
      <c r="AR35" s="303">
        <f>'All Statements'!AK11</f>
        <v>1.5868456906416224</v>
      </c>
      <c r="AS35" s="303">
        <f>'All Statements'!AL11</f>
        <v>2.2696452318890596</v>
      </c>
      <c r="AT35" s="303">
        <f>'All Statements'!AM11</f>
        <v>1.6879380987242172</v>
      </c>
      <c r="AU35" s="303">
        <f>'All Statements'!AN11</f>
        <v>1.9421319845492875</v>
      </c>
      <c r="AV35" s="303">
        <f>'All Statements'!AO11</f>
        <v>1.9638319843952139</v>
      </c>
      <c r="AW35" s="303">
        <f>'All Statements'!BF11</f>
        <v>22.725296001776904</v>
      </c>
      <c r="AX35" s="820">
        <f>AX4/AX30</f>
        <v>10.582333936458475</v>
      </c>
      <c r="AY35" s="820">
        <f>AY4/AY30</f>
        <v>10.931971737568633</v>
      </c>
      <c r="AZ35" s="820">
        <f t="shared" si="30"/>
        <v>1.9638319843952139</v>
      </c>
      <c r="BA35" s="849">
        <f>BA4/BA30</f>
        <v>14.684760377320227</v>
      </c>
      <c r="BB35" s="820"/>
      <c r="BS35" s="859"/>
      <c r="CJ35" s="859"/>
      <c r="CK35" s="859"/>
      <c r="CL35" s="383" t="s">
        <v>429</v>
      </c>
      <c r="CM35" s="391">
        <f t="shared" si="12"/>
        <v>1.9638319843952139</v>
      </c>
      <c r="CO35" s="820">
        <f t="shared" ref="CO35:CO40" si="36">AZ35</f>
        <v>1.9638319843952139</v>
      </c>
      <c r="CP35" s="849">
        <f t="shared" si="32"/>
        <v>14.684760377320227</v>
      </c>
    </row>
    <row r="36" spans="2:94" ht="15.75" customHeight="1" x14ac:dyDescent="0.3">
      <c r="B36" s="383" t="s">
        <v>430</v>
      </c>
      <c r="C36" s="390">
        <v>28.770145210153203</v>
      </c>
      <c r="D36" s="390">
        <v>24.058476077665702</v>
      </c>
      <c r="E36" s="390">
        <v>49.180377358490567</v>
      </c>
      <c r="F36" s="390">
        <v>74.297898099239177</v>
      </c>
      <c r="G36" s="390">
        <v>26.825726200742228</v>
      </c>
      <c r="H36" s="390">
        <v>44.43819820803612</v>
      </c>
      <c r="I36" s="390">
        <v>51.074867730472072</v>
      </c>
      <c r="J36" s="390">
        <v>30.019587306835483</v>
      </c>
      <c r="K36" s="390">
        <v>43.943626102670606</v>
      </c>
      <c r="L36" s="390">
        <v>37.043110913857404</v>
      </c>
      <c r="M36" s="390">
        <v>49.28068074997779</v>
      </c>
      <c r="N36" s="390">
        <v>26.186245764755132</v>
      </c>
      <c r="O36" s="303">
        <f>'All Statements'!H12</f>
        <v>73.511325586891431</v>
      </c>
      <c r="P36" s="303">
        <f>'All Statements'!I12</f>
        <v>44.659498439977327</v>
      </c>
      <c r="Q36" s="303">
        <f>'All Statements'!J12</f>
        <v>40.913890997008046</v>
      </c>
      <c r="R36" s="303">
        <f>'All Statements'!K12</f>
        <v>70.258683739956979</v>
      </c>
      <c r="S36" s="303">
        <f>'All Statements'!L12</f>
        <v>61.626289810357576</v>
      </c>
      <c r="T36" s="303">
        <f>'All Statements'!M12</f>
        <v>49.236123813337471</v>
      </c>
      <c r="U36" s="303">
        <f>'All Statements'!N12</f>
        <v>44.909316709840667</v>
      </c>
      <c r="V36" s="303">
        <f>'All Statements'!O12</f>
        <v>45.388809780215539</v>
      </c>
      <c r="W36" s="303">
        <f>'All Statements'!P12</f>
        <v>31.725112232368549</v>
      </c>
      <c r="X36" s="303">
        <f>'All Statements'!Q12</f>
        <v>21.679864260469824</v>
      </c>
      <c r="Y36" s="303">
        <f>'All Statements'!R12</f>
        <v>64.62849604627219</v>
      </c>
      <c r="Z36" s="303">
        <f>'All Statements'!S12</f>
        <v>17.79939058354995</v>
      </c>
      <c r="AA36" s="391">
        <f>'All Statements'!T12</f>
        <v>19.104733812791046</v>
      </c>
      <c r="AB36" s="303">
        <f>'All Statements'!U12</f>
        <v>20.624913564223139</v>
      </c>
      <c r="AC36" s="303">
        <f>'All Statements'!V12</f>
        <v>29.050643164609827</v>
      </c>
      <c r="AD36" s="303">
        <f>'All Statements'!W12</f>
        <v>33.517303689619624</v>
      </c>
      <c r="AE36" s="303">
        <f>'All Statements'!X12</f>
        <v>25.565643234875285</v>
      </c>
      <c r="AF36" s="303">
        <f>'All Statements'!Y12</f>
        <v>23.862232398660012</v>
      </c>
      <c r="AG36" s="303">
        <f>'All Statements'!Z12</f>
        <v>30.669188644819251</v>
      </c>
      <c r="AH36" s="303">
        <f>'All Statements'!AA12</f>
        <v>30.845011414000592</v>
      </c>
      <c r="AI36" s="303">
        <f>'All Statements'!AB12</f>
        <v>40.040720824951876</v>
      </c>
      <c r="AJ36" s="303">
        <f>'All Statements'!AC12</f>
        <v>45.499811188823891</v>
      </c>
      <c r="AK36" s="303">
        <f>'All Statements'!AD12</f>
        <v>45.269763602648027</v>
      </c>
      <c r="AL36" s="303">
        <f>'All Statements'!AE12</f>
        <v>32.463462407877493</v>
      </c>
      <c r="AM36" s="303">
        <f>'All Statements'!AF12</f>
        <v>49.474244463157383</v>
      </c>
      <c r="AN36" s="303">
        <f>'All Statements'!AG12</f>
        <v>26.021973606990272</v>
      </c>
      <c r="AO36" s="303">
        <f>'All Statements'!AH12</f>
        <v>17.531005241498605</v>
      </c>
      <c r="AP36" s="303">
        <f>'All Statements'!AI12</f>
        <v>20.25464738013352</v>
      </c>
      <c r="AQ36" s="303">
        <f>'All Statements'!AJ12</f>
        <v>22.693859105299641</v>
      </c>
      <c r="AR36" s="303">
        <f>'All Statements'!AK12</f>
        <v>18.905429921084419</v>
      </c>
      <c r="AS36" s="303">
        <f>'All Statements'!AL12</f>
        <v>13.658522294340353</v>
      </c>
      <c r="AT36" s="303">
        <f>'All Statements'!AM12</f>
        <v>18.365602401788621</v>
      </c>
      <c r="AU36" s="303">
        <f>'All Statements'!AN12</f>
        <v>15.446941937348367</v>
      </c>
      <c r="AV36" s="303">
        <f>'All Statements'!AO12</f>
        <v>15.785464462504326</v>
      </c>
      <c r="AW36" s="303">
        <f>'All Statements'!BF12</f>
        <v>16.061396954805801</v>
      </c>
      <c r="AX36" s="820">
        <f>(365)/AX35</f>
        <v>34.49144604504442</v>
      </c>
      <c r="AY36" s="820">
        <f>(365)/AY35</f>
        <v>33.388304393950001</v>
      </c>
      <c r="AZ36" s="820">
        <f t="shared" si="30"/>
        <v>15.785464462504326</v>
      </c>
      <c r="BA36" s="849">
        <f>365/BA35</f>
        <v>24.855700101427711</v>
      </c>
      <c r="BB36" s="820"/>
      <c r="BS36" s="859"/>
      <c r="CJ36" s="859"/>
      <c r="CK36" s="860"/>
      <c r="CL36" s="383" t="s">
        <v>430</v>
      </c>
      <c r="CM36" s="391">
        <f t="shared" si="12"/>
        <v>15.785464462504326</v>
      </c>
      <c r="CN36" s="711"/>
      <c r="CO36" s="820">
        <f t="shared" si="36"/>
        <v>15.785464462504326</v>
      </c>
      <c r="CP36" s="849">
        <f t="shared" si="32"/>
        <v>24.855700101427711</v>
      </c>
    </row>
    <row r="37" spans="2:94" ht="15.6" x14ac:dyDescent="0.3">
      <c r="B37" s="383" t="s">
        <v>431</v>
      </c>
      <c r="C37" s="390">
        <v>0.32160104604059125</v>
      </c>
      <c r="D37" s="390">
        <v>0.55075076613666762</v>
      </c>
      <c r="E37" s="390">
        <v>0.53276309931839894</v>
      </c>
      <c r="F37" s="390">
        <v>0.29243023614822533</v>
      </c>
      <c r="G37" s="390">
        <v>0.59100493152295408</v>
      </c>
      <c r="H37" s="390">
        <v>0.50158424584075367</v>
      </c>
      <c r="I37" s="390">
        <v>0.36765103927047682</v>
      </c>
      <c r="J37" s="390">
        <v>0.45353564898495657</v>
      </c>
      <c r="K37" s="390">
        <v>0.41350739034303274</v>
      </c>
      <c r="L37" s="390">
        <v>0.64727898413554896</v>
      </c>
      <c r="M37" s="390">
        <v>0.38035518187535944</v>
      </c>
      <c r="N37" s="390">
        <v>0.65613758681512591</v>
      </c>
      <c r="O37" s="303">
        <f>'All Statements'!H13</f>
        <v>0.25742068580251093</v>
      </c>
      <c r="P37" s="303">
        <f>'All Statements'!I13</f>
        <v>0.34725352734751247</v>
      </c>
      <c r="Q37" s="303">
        <f>'All Statements'!J13</f>
        <v>0.35429679092241301</v>
      </c>
      <c r="R37" s="303">
        <f>'All Statements'!K13</f>
        <v>0.25984327398193963</v>
      </c>
      <c r="S37" s="303">
        <f>'All Statements'!L13</f>
        <v>0.33714255709887059</v>
      </c>
      <c r="T37" s="303">
        <f>'All Statements'!M13</f>
        <v>0.47491719580153746</v>
      </c>
      <c r="U37" s="303">
        <f>'All Statements'!N13</f>
        <v>0.28592397321901403</v>
      </c>
      <c r="V37" s="303">
        <f>'All Statements'!O13</f>
        <v>0.44467413544414669</v>
      </c>
      <c r="W37" s="303">
        <f>'All Statements'!P13</f>
        <v>0.29039233303157252</v>
      </c>
      <c r="X37" s="303">
        <f>'All Statements'!Q13</f>
        <v>0.58828296022544868</v>
      </c>
      <c r="Y37" s="303">
        <f>'All Statements'!R13</f>
        <v>0.32914494934010269</v>
      </c>
      <c r="Z37" s="303">
        <f>'All Statements'!S13</f>
        <v>0.97004851248099822</v>
      </c>
      <c r="AA37" s="391">
        <f>'All Statements'!T13</f>
        <v>0.37664373889880631</v>
      </c>
      <c r="AB37" s="303">
        <f>'All Statements'!U13</f>
        <v>0.51014642038877778</v>
      </c>
      <c r="AC37" s="303">
        <f>'All Statements'!V13</f>
        <v>0.50749039465299017</v>
      </c>
      <c r="AD37" s="303">
        <f>'All Statements'!W13</f>
        <v>0.39026127170892472</v>
      </c>
      <c r="AE37" s="303">
        <f>'All Statements'!X13</f>
        <v>0.44965972284822653</v>
      </c>
      <c r="AF37" s="303">
        <f>'All Statements'!Y13</f>
        <v>0.2498504764859516</v>
      </c>
      <c r="AG37" s="303">
        <f>'All Statements'!Z13</f>
        <v>0.32926950506447233</v>
      </c>
      <c r="AH37" s="303">
        <f>'All Statements'!AA13</f>
        <v>0.25956536835040217</v>
      </c>
      <c r="AI37" s="303">
        <f>'All Statements'!AB13</f>
        <v>0.28901553187683865</v>
      </c>
      <c r="AJ37" s="303">
        <f>'All Statements'!AC13</f>
        <v>0.21700164741381148</v>
      </c>
      <c r="AK37" s="303">
        <f>'All Statements'!AD13</f>
        <v>0.17554777906124983</v>
      </c>
      <c r="AL37" s="303">
        <f>'All Statements'!AE13</f>
        <v>0.25094647627023048</v>
      </c>
      <c r="AM37" s="303">
        <f>'All Statements'!AF13</f>
        <v>0.23918981473092935</v>
      </c>
      <c r="AN37" s="303">
        <f>'All Statements'!AG13</f>
        <v>0.20760292131098873</v>
      </c>
      <c r="AO37" s="303">
        <f>'All Statements'!AH13</f>
        <v>0.29798206193643767</v>
      </c>
      <c r="AP37" s="303">
        <f>'All Statements'!AI13</f>
        <v>0.20650281401312515</v>
      </c>
      <c r="AQ37" s="303">
        <f>'All Statements'!AJ13</f>
        <v>9.5475017558742312E-2</v>
      </c>
      <c r="AR37" s="303">
        <f>'All Statements'!AK13</f>
        <v>0.23402783303029004</v>
      </c>
      <c r="AS37" s="303">
        <f>'All Statements'!AL13</f>
        <v>0.17771910765476528</v>
      </c>
      <c r="AT37" s="303">
        <f>'All Statements'!AM13</f>
        <v>0.11325459840569707</v>
      </c>
      <c r="AU37" s="303">
        <f>'All Statements'!AN13</f>
        <v>0.1488616301083627</v>
      </c>
      <c r="AV37" s="303">
        <f>'All Statements'!AO13</f>
        <v>0.2463627364923538</v>
      </c>
      <c r="AW37" s="303">
        <f>'All Statements'!BF13</f>
        <v>2.2864317043480087</v>
      </c>
      <c r="AX37" s="820">
        <f>(AX4-AX5)/AX29</f>
        <v>3.2497042432829426</v>
      </c>
      <c r="AY37" s="820">
        <f>(AY4-AY5)/AVERAGE(O29:Z29)</f>
        <v>4.8302003687592876</v>
      </c>
      <c r="AZ37" s="820">
        <f t="shared" si="30"/>
        <v>0.2463627364923538</v>
      </c>
      <c r="BA37" s="849">
        <f>(BA4-BA5)/BA29</f>
        <v>2.641798980333101</v>
      </c>
      <c r="BB37" s="820"/>
      <c r="BS37" s="859"/>
      <c r="CJ37" s="859"/>
      <c r="CK37" s="860" t="s">
        <v>473</v>
      </c>
      <c r="CL37" s="383" t="s">
        <v>431</v>
      </c>
      <c r="CM37" s="391">
        <f t="shared" si="12"/>
        <v>0.2463627364923538</v>
      </c>
      <c r="CN37" s="711"/>
      <c r="CO37" s="820">
        <f t="shared" si="36"/>
        <v>0.2463627364923538</v>
      </c>
      <c r="CP37" s="849">
        <f t="shared" si="32"/>
        <v>2.641798980333101</v>
      </c>
    </row>
    <row r="38" spans="2:94" ht="15.6" x14ac:dyDescent="0.3">
      <c r="B38" s="383" t="s">
        <v>432</v>
      </c>
      <c r="C38" s="390">
        <v>96.392721297577182</v>
      </c>
      <c r="D38" s="390">
        <v>50.839693236217599</v>
      </c>
      <c r="E38" s="390">
        <v>60.06421998997272</v>
      </c>
      <c r="F38" s="390">
        <v>102.5885708507713</v>
      </c>
      <c r="G38" s="390">
        <v>50.760997751225752</v>
      </c>
      <c r="H38" s="390">
        <v>61.804173988833945</v>
      </c>
      <c r="I38" s="390">
        <v>84.319087092784315</v>
      </c>
      <c r="J38" s="390">
        <v>68.351848568861328</v>
      </c>
      <c r="K38" s="390">
        <v>72.550093905487259</v>
      </c>
      <c r="L38" s="390">
        <v>47.893831367074306</v>
      </c>
      <c r="M38" s="390">
        <v>78.873646080181061</v>
      </c>
      <c r="N38" s="390">
        <v>47.246188334482042</v>
      </c>
      <c r="O38" s="303">
        <f>'All Statements'!H14</f>
        <v>120.4254425139039</v>
      </c>
      <c r="P38" s="303">
        <f>'All Statements'!I14</f>
        <v>80.632730252957572</v>
      </c>
      <c r="Q38" s="303">
        <f>'All Statements'!J14</f>
        <v>87.497264424245515</v>
      </c>
      <c r="R38" s="303">
        <f>'All Statements'!K14</f>
        <v>115.45421030249621</v>
      </c>
      <c r="S38" s="303">
        <f>'All Statements'!L14</f>
        <v>88.983130038970984</v>
      </c>
      <c r="T38" s="303">
        <f>'All Statements'!M14</f>
        <v>65.274536854114146</v>
      </c>
      <c r="U38" s="303">
        <f>'All Statements'!N14</f>
        <v>108.42042956731861</v>
      </c>
      <c r="V38" s="303">
        <f>'All Statements'!O14</f>
        <v>69.713971488440109</v>
      </c>
      <c r="W38" s="303">
        <f>'All Statements'!P14</f>
        <v>103.30851261399621</v>
      </c>
      <c r="X38" s="303">
        <f>'All Statements'!Q14</f>
        <v>52.695729939415237</v>
      </c>
      <c r="Y38" s="303">
        <f>'All Statements'!R14</f>
        <v>91.145253968339816</v>
      </c>
      <c r="Z38" s="303">
        <f>'All Statements'!S14</f>
        <v>31.957164617173973</v>
      </c>
      <c r="AA38" s="391">
        <f>'All Statements'!T14</f>
        <v>82.305894930404875</v>
      </c>
      <c r="AB38" s="303">
        <f>'All Statements'!U14</f>
        <v>54.886203021206079</v>
      </c>
      <c r="AC38" s="303">
        <f>'All Statements'!V14</f>
        <v>61.084899983569265</v>
      </c>
      <c r="AD38" s="303">
        <f>'All Statements'!W14</f>
        <v>76.8715785418119</v>
      </c>
      <c r="AE38" s="303">
        <f>'All Statements'!X14</f>
        <v>68.941020119926151</v>
      </c>
      <c r="AF38" s="303">
        <f>'All Statements'!Y14</f>
        <v>120.07181423841237</v>
      </c>
      <c r="AG38" s="303">
        <f>'All Statements'!Z14</f>
        <v>94.147801491456278</v>
      </c>
      <c r="AH38" s="303">
        <f>'All Statements'!AA14</f>
        <v>119.43041630326941</v>
      </c>
      <c r="AI38" s="303">
        <f>'All Statements'!AB14</f>
        <v>103.80064976156447</v>
      </c>
      <c r="AJ38" s="303">
        <f>'All Statements'!AC14</f>
        <v>142.85605832698829</v>
      </c>
      <c r="AK38" s="303">
        <f>'All Statements'!AD14</f>
        <v>170.89364593745611</v>
      </c>
      <c r="AL38" s="303">
        <f>'All Statements'!AE14</f>
        <v>123.53231836823164</v>
      </c>
      <c r="AM38" s="303">
        <f>'All Statements'!AF14</f>
        <v>129.60418082547821</v>
      </c>
      <c r="AN38" s="303">
        <f>'All Statements'!AG14</f>
        <v>134.87286124483796</v>
      </c>
      <c r="AO38" s="303">
        <f>'All Statements'!AH14</f>
        <v>104.03310789430199</v>
      </c>
      <c r="AP38" s="303">
        <f>'All Statements'!AI14</f>
        <v>145.27647065426055</v>
      </c>
      <c r="AQ38" s="303">
        <f>'All Statements'!AJ14</f>
        <v>324.69226812057747</v>
      </c>
      <c r="AR38" s="303">
        <f>'All Statements'!AK14</f>
        <v>128.18988071438974</v>
      </c>
      <c r="AS38" s="303">
        <f>'All Statements'!AL14</f>
        <v>174.43256613813398</v>
      </c>
      <c r="AT38" s="303">
        <f>'All Statements'!AM14</f>
        <v>273.71957021076327</v>
      </c>
      <c r="AU38" s="303">
        <f>'All Statements'!AN14</f>
        <v>201.529433596567</v>
      </c>
      <c r="AV38" s="303">
        <f>'All Statements'!AO14</f>
        <v>125.83071791363272</v>
      </c>
      <c r="AW38" s="303">
        <f>'All Statements'!BF14</f>
        <v>159.63739450686202</v>
      </c>
      <c r="AX38" s="820">
        <f>365/AX37</f>
        <v>112.31791346995526</v>
      </c>
      <c r="AY38" s="849">
        <f>365/AY37</f>
        <v>75.566223372583593</v>
      </c>
      <c r="AZ38" s="820">
        <f t="shared" si="30"/>
        <v>125.83071791363272</v>
      </c>
      <c r="BA38" s="849">
        <f>365/BA37</f>
        <v>138.16342678502269</v>
      </c>
      <c r="BB38" s="820"/>
      <c r="BS38" s="859"/>
      <c r="CJ38" s="859"/>
      <c r="CK38" s="860" t="s">
        <v>404</v>
      </c>
      <c r="CL38" s="383" t="s">
        <v>432</v>
      </c>
      <c r="CM38" s="391">
        <f t="shared" si="12"/>
        <v>125.83071791363272</v>
      </c>
      <c r="CN38" s="408"/>
      <c r="CO38" s="820">
        <f t="shared" si="36"/>
        <v>125.83071791363272</v>
      </c>
      <c r="CP38" s="849">
        <f t="shared" si="32"/>
        <v>138.16342678502269</v>
      </c>
    </row>
    <row r="39" spans="2:94" x14ac:dyDescent="0.3">
      <c r="B39" s="383" t="s">
        <v>433</v>
      </c>
      <c r="C39" s="390">
        <v>0.70441476296736283</v>
      </c>
      <c r="D39" s="390">
        <v>1.6461257949865786</v>
      </c>
      <c r="E39" s="390">
        <v>0.93306173489933897</v>
      </c>
      <c r="F39" s="390">
        <v>0.49552043288706632</v>
      </c>
      <c r="G39" s="390">
        <v>1.9053895368039815</v>
      </c>
      <c r="H39" s="390">
        <v>1.4270621294669976</v>
      </c>
      <c r="I39" s="390">
        <v>0.72468674357990692</v>
      </c>
      <c r="J39" s="390">
        <v>1.2418274119964026</v>
      </c>
      <c r="K39" s="390">
        <v>1.3271918012276995</v>
      </c>
      <c r="L39" s="390">
        <v>1.5912508429126768</v>
      </c>
      <c r="M39" s="390">
        <v>0.87228012153678125</v>
      </c>
      <c r="N39" s="390">
        <v>2.0985595278116298</v>
      </c>
      <c r="O39" s="303">
        <f>'All Statements'!H15</f>
        <v>0.44479216302583402</v>
      </c>
      <c r="P39" s="303">
        <f>'All Statements'!I15</f>
        <v>0.47680017692477744</v>
      </c>
      <c r="Q39" s="303">
        <f>'All Statements'!J15</f>
        <v>0.43376862885318518</v>
      </c>
      <c r="R39" s="303">
        <f>'All Statements'!K15</f>
        <v>0.35917263840870861</v>
      </c>
      <c r="S39" s="303">
        <f>'All Statements'!L15</f>
        <v>0.47101956411138729</v>
      </c>
      <c r="T39" s="303">
        <f>'All Statements'!M15</f>
        <v>0.75190672826039218</v>
      </c>
      <c r="U39" s="303">
        <f>'All Statements'!N15</f>
        <v>0.76801095641375539</v>
      </c>
      <c r="V39" s="303">
        <f>'All Statements'!O15</f>
        <v>0.7252299136979401</v>
      </c>
      <c r="W39" s="303">
        <f>'All Statements'!P15</f>
        <v>0.75087920252634144</v>
      </c>
      <c r="X39" s="303">
        <f>'All Statements'!Q15</f>
        <v>1.7975815215090176</v>
      </c>
      <c r="Y39" s="303">
        <f>'All Statements'!R15</f>
        <v>0.83409455139835786</v>
      </c>
      <c r="Z39" s="303">
        <f>'All Statements'!S15</f>
        <v>2.6093281683654368</v>
      </c>
      <c r="AA39" s="391">
        <f>'All Statements'!T15</f>
        <v>0.9622834872477003</v>
      </c>
      <c r="AB39" s="303">
        <f>'All Statements'!U15</f>
        <v>1.1191355831167358</v>
      </c>
      <c r="AC39" s="303">
        <f>'All Statements'!V15</f>
        <v>1.5298524357593557</v>
      </c>
      <c r="AD39" s="303">
        <f>'All Statements'!W15</f>
        <v>0.94325227947624501</v>
      </c>
      <c r="AE39" s="303">
        <f>'All Statements'!X15</f>
        <v>1.5208469406348302</v>
      </c>
      <c r="AF39" s="303">
        <f>'All Statements'!Y15</f>
        <v>1.9592661831467455</v>
      </c>
      <c r="AG39" s="303">
        <f>'All Statements'!Z15</f>
        <v>3.6055600804663515</v>
      </c>
      <c r="AH39" s="303">
        <f>'All Statements'!AA15</f>
        <v>3.08458715833468</v>
      </c>
      <c r="AI39" s="303">
        <f>'All Statements'!AB15</f>
        <v>4.9264006154870978</v>
      </c>
      <c r="AJ39" s="303">
        <f>'All Statements'!AC15</f>
        <v>1.3079906300511548</v>
      </c>
      <c r="AK39" s="303">
        <f>'All Statements'!AD15</f>
        <v>1.237532284100749</v>
      </c>
      <c r="AL39" s="303">
        <f>'All Statements'!AE15</f>
        <v>1.6467633123126344</v>
      </c>
      <c r="AM39" s="303">
        <f>'All Statements'!AF15</f>
        <v>1.4953045420575271</v>
      </c>
      <c r="AN39" s="303">
        <f>'All Statements'!AG15</f>
        <v>1.1087102846218424</v>
      </c>
      <c r="AO39" s="303">
        <f>'All Statements'!AH15</f>
        <v>1.5747501131525881</v>
      </c>
      <c r="AP39" s="303">
        <f>'All Statements'!AI15</f>
        <v>1.4850810572866739</v>
      </c>
      <c r="AQ39" s="303">
        <f>'All Statements'!AJ15</f>
        <v>0.86188345956729717</v>
      </c>
      <c r="AR39" s="303">
        <f>'All Statements'!AK15</f>
        <v>2.3213958761336979</v>
      </c>
      <c r="AS39" s="303">
        <f>'All Statements'!AL15</f>
        <v>1.9666703937158749</v>
      </c>
      <c r="AT39" s="303">
        <f>'All Statements'!AM15</f>
        <v>1.5161744138624966</v>
      </c>
      <c r="AU39" s="303">
        <f>'All Statements'!AN15</f>
        <v>1.4781770708748654</v>
      </c>
      <c r="AV39" s="303">
        <f>'All Statements'!AO15</f>
        <v>2.1242717814990928</v>
      </c>
      <c r="AW39" s="303">
        <f>'All Statements'!BF15</f>
        <v>22.507558966157976</v>
      </c>
      <c r="AX39" s="820">
        <f>(AX4-AX5)/AX32</f>
        <v>19.376039636936046</v>
      </c>
      <c r="AY39" s="820">
        <f>(AY4-AY5)/AY32</f>
        <v>13.940892825985975</v>
      </c>
      <c r="AZ39" s="820">
        <f t="shared" si="30"/>
        <v>2.1242717814990928</v>
      </c>
      <c r="BA39" s="849">
        <f>(BA4-BA5)/BA32</f>
        <v>14.520936626196084</v>
      </c>
      <c r="BB39" s="820"/>
      <c r="BS39" s="859"/>
      <c r="CJ39" s="859"/>
      <c r="CK39" s="859"/>
      <c r="CL39" s="383" t="s">
        <v>433</v>
      </c>
      <c r="CM39" s="391">
        <f t="shared" si="12"/>
        <v>2.1242717814990928</v>
      </c>
      <c r="CO39" s="820">
        <f t="shared" si="36"/>
        <v>2.1242717814990928</v>
      </c>
      <c r="CP39" s="849">
        <f t="shared" si="32"/>
        <v>14.520936626196084</v>
      </c>
    </row>
    <row r="40" spans="2:94" x14ac:dyDescent="0.3">
      <c r="B40" s="383" t="s">
        <v>434</v>
      </c>
      <c r="C40" s="390">
        <v>44.008163414139439</v>
      </c>
      <c r="D40" s="390">
        <v>17.009635645876198</v>
      </c>
      <c r="E40" s="390">
        <v>34.295694275204887</v>
      </c>
      <c r="F40" s="390">
        <v>60.542407555648218</v>
      </c>
      <c r="G40" s="390">
        <v>15.744811977041037</v>
      </c>
      <c r="H40" s="390">
        <v>21.722950500815536</v>
      </c>
      <c r="I40" s="390">
        <v>42.77710372741462</v>
      </c>
      <c r="J40" s="390">
        <v>24.963211232520131</v>
      </c>
      <c r="K40" s="390">
        <v>22.604117937022316</v>
      </c>
      <c r="L40" s="390">
        <v>19.481529350367289</v>
      </c>
      <c r="M40" s="390">
        <v>34.39262142893508</v>
      </c>
      <c r="N40" s="390">
        <v>14.772037490405395</v>
      </c>
      <c r="O40" s="303">
        <f>'All Statements'!H16</f>
        <v>69.695472575580169</v>
      </c>
      <c r="P40" s="303">
        <f>'All Statements'!I16</f>
        <v>58.724810423921951</v>
      </c>
      <c r="Q40" s="303">
        <f>'All Statements'!J16</f>
        <v>71.466671257345283</v>
      </c>
      <c r="R40" s="303">
        <f>'All Statements'!K16</f>
        <v>83.525293387918083</v>
      </c>
      <c r="S40" s="303">
        <f>'All Statements'!L16</f>
        <v>63.691621932089348</v>
      </c>
      <c r="T40" s="303">
        <f>'All Statements'!M16</f>
        <v>41.228517893065607</v>
      </c>
      <c r="U40" s="303">
        <f>'All Statements'!N16</f>
        <v>40.364007493793061</v>
      </c>
      <c r="V40" s="303">
        <f>'All Statements'!O16</f>
        <v>42.745065274446979</v>
      </c>
      <c r="W40" s="303">
        <f>'All Statements'!P16</f>
        <v>39.953164102913846</v>
      </c>
      <c r="X40" s="303">
        <f>'All Statements'!Q16</f>
        <v>17.245393117957953</v>
      </c>
      <c r="Y40" s="303">
        <f>'All Statements'!R16</f>
        <v>35.967145391017191</v>
      </c>
      <c r="Z40" s="303">
        <f>'All Statements'!S16</f>
        <v>11.88045274482257</v>
      </c>
      <c r="AA40" s="391">
        <f>'All Statements'!T16</f>
        <v>32.215038926486663</v>
      </c>
      <c r="AB40" s="303">
        <f>'All Statements'!U16</f>
        <v>25.019309923129619</v>
      </c>
      <c r="AC40" s="303">
        <f>'All Statements'!V16</f>
        <v>20.263392256268741</v>
      </c>
      <c r="AD40" s="303">
        <f>'All Statements'!W16</f>
        <v>31.804852903889032</v>
      </c>
      <c r="AE40" s="303">
        <f>'All Statements'!X16</f>
        <v>20.383379268304289</v>
      </c>
      <c r="AF40" s="303">
        <f>'All Statements'!Y16</f>
        <v>15.311855151716797</v>
      </c>
      <c r="AG40" s="303">
        <f>'All Statements'!Z16</f>
        <v>8.5978320449982313</v>
      </c>
      <c r="AH40" s="303">
        <f>'All Statements'!AA16</f>
        <v>10.049967275600153</v>
      </c>
      <c r="AI40" s="303">
        <f>'All Statements'!AB16</f>
        <v>6.0896387325239383</v>
      </c>
      <c r="AJ40" s="303">
        <f>'All Statements'!AC16</f>
        <v>23.700475590400526</v>
      </c>
      <c r="AK40" s="303">
        <f>'All Statements'!AD16</f>
        <v>24.241791818626741</v>
      </c>
      <c r="AL40" s="303">
        <f>'All Statements'!AE16</f>
        <v>18.824806071532592</v>
      </c>
      <c r="AM40" s="303">
        <f>'All Statements'!AF16</f>
        <v>20.731562787433422</v>
      </c>
      <c r="AN40" s="303">
        <f>'All Statements'!AG16</f>
        <v>25.254568653658882</v>
      </c>
      <c r="AO40" s="303">
        <f>'All Statements'!AH16</f>
        <v>19.685662976673303</v>
      </c>
      <c r="AP40" s="303">
        <f>'All Statements'!AI16</f>
        <v>20.200917554501487</v>
      </c>
      <c r="AQ40" s="303">
        <f>'All Statements'!AJ16</f>
        <v>35.967739786494271</v>
      </c>
      <c r="AR40" s="303">
        <f>'All Statements'!AK16</f>
        <v>12.923258935897319</v>
      </c>
      <c r="AS40" s="303">
        <f>'All Statements'!AL16</f>
        <v>15.762681992394183</v>
      </c>
      <c r="AT40" s="303">
        <f>'All Statements'!AM16</f>
        <v>20.446196503888121</v>
      </c>
      <c r="AU40" s="303">
        <f>'All Statements'!AN16</f>
        <v>20.295268132013693</v>
      </c>
      <c r="AV40" s="303">
        <f>'All Statements'!AO16</f>
        <v>14.593236265711436</v>
      </c>
      <c r="AW40" s="303">
        <f>'All Statements'!BF16</f>
        <v>16.216774131251125</v>
      </c>
      <c r="AX40" s="820">
        <f>365/AX39</f>
        <v>18.837698871352941</v>
      </c>
      <c r="AY40" s="849">
        <f>365/AY39</f>
        <v>26.181967292628208</v>
      </c>
      <c r="AZ40" s="820">
        <f t="shared" si="30"/>
        <v>14.593236265711436</v>
      </c>
      <c r="BA40" s="849">
        <f>365/BA39</f>
        <v>25.136119617899308</v>
      </c>
      <c r="BB40" s="820"/>
      <c r="BS40" s="859"/>
      <c r="CJ40" s="859"/>
      <c r="CK40" s="859"/>
      <c r="CL40" s="383" t="s">
        <v>434</v>
      </c>
      <c r="CM40" s="391">
        <f t="shared" si="12"/>
        <v>14.593236265711436</v>
      </c>
      <c r="CO40" s="820">
        <f t="shared" si="36"/>
        <v>14.593236265711436</v>
      </c>
      <c r="CP40" s="849">
        <f t="shared" si="32"/>
        <v>25.136119617899308</v>
      </c>
    </row>
    <row r="41" spans="2:94" x14ac:dyDescent="0.3">
      <c r="B41" s="392" t="s">
        <v>435</v>
      </c>
      <c r="C41" s="393"/>
      <c r="D41" s="393"/>
      <c r="E41" s="393"/>
      <c r="F41" s="393"/>
      <c r="G41" s="393"/>
      <c r="H41" s="393"/>
      <c r="I41" s="393"/>
      <c r="J41" s="393"/>
      <c r="K41" s="393"/>
      <c r="L41" s="393"/>
      <c r="M41" s="393"/>
      <c r="N41" s="393"/>
      <c r="O41" s="393"/>
      <c r="P41" s="393"/>
      <c r="Q41" s="393"/>
      <c r="R41" s="393"/>
      <c r="S41" s="393"/>
      <c r="T41" s="393"/>
      <c r="U41" s="393"/>
      <c r="V41" s="393"/>
      <c r="W41" s="393"/>
      <c r="X41" s="393"/>
      <c r="Y41" s="393"/>
      <c r="Z41" s="393"/>
      <c r="AA41" s="394"/>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821"/>
      <c r="AY41" s="821"/>
      <c r="AZ41" s="821"/>
      <c r="BA41" s="850"/>
      <c r="BB41" s="821"/>
      <c r="BS41" s="859"/>
      <c r="CJ41" s="859"/>
      <c r="CK41" s="859"/>
      <c r="CL41" s="392" t="s">
        <v>435</v>
      </c>
      <c r="CM41" s="394"/>
      <c r="CO41" s="821"/>
      <c r="CP41" s="850"/>
    </row>
    <row r="42" spans="2:94" x14ac:dyDescent="0.3">
      <c r="B42" s="383" t="s">
        <v>412</v>
      </c>
      <c r="C42" s="372">
        <v>108079.28999999957</v>
      </c>
      <c r="D42" s="372">
        <v>-102335.94999999992</v>
      </c>
      <c r="E42" s="372">
        <v>288687.42999999993</v>
      </c>
      <c r="F42" s="372">
        <v>83267.490000000544</v>
      </c>
      <c r="G42" s="372">
        <v>-192435.20000000045</v>
      </c>
      <c r="H42" s="372">
        <v>-27149.650000000023</v>
      </c>
      <c r="I42" s="372">
        <v>158881.77999999959</v>
      </c>
      <c r="J42" s="372">
        <v>15703.370000000357</v>
      </c>
      <c r="K42" s="372">
        <v>-347054.62999999983</v>
      </c>
      <c r="L42" s="372">
        <v>256886.1200000002</v>
      </c>
      <c r="M42" s="372">
        <v>299041.08000000054</v>
      </c>
      <c r="N42" s="372">
        <v>-151770.01000000039</v>
      </c>
      <c r="O42" s="373">
        <f>'All Statements'!H242</f>
        <v>321033.57744800078</v>
      </c>
      <c r="P42" s="373">
        <f>'All Statements'!I242</f>
        <v>-46767.793878999473</v>
      </c>
      <c r="Q42" s="373">
        <f>'All Statements'!J242</f>
        <v>36753.699999999873</v>
      </c>
      <c r="R42" s="373">
        <f>'All Statements'!K242</f>
        <v>-187617.74999999802</v>
      </c>
      <c r="S42" s="373">
        <f>'All Statements'!L242</f>
        <v>-86428.260000005481</v>
      </c>
      <c r="T42" s="373">
        <f>'All Statements'!M242</f>
        <v>680667.82000000612</v>
      </c>
      <c r="U42" s="373">
        <f>'All Statements'!N242</f>
        <v>-120845.93000000469</v>
      </c>
      <c r="V42" s="373">
        <f>'All Statements'!O242</f>
        <v>225152.85000000172</v>
      </c>
      <c r="W42" s="373">
        <f>'All Statements'!P242</f>
        <v>176758.97999999757</v>
      </c>
      <c r="X42" s="373">
        <f>'All Statements'!Q242</f>
        <v>447014.8600000001</v>
      </c>
      <c r="Y42" s="373">
        <f>'All Statements'!R242</f>
        <v>28939.500000006065</v>
      </c>
      <c r="Z42" s="373">
        <f>'All Statements'!S242</f>
        <v>2206913.9199999957</v>
      </c>
      <c r="AA42" s="720">
        <f>'All Statements'!T242</f>
        <v>-582358.99000000011</v>
      </c>
      <c r="AB42" s="373">
        <f>'All Statements'!U242</f>
        <v>-553450.75000000058</v>
      </c>
      <c r="AC42" s="373">
        <f>'All Statements'!V242</f>
        <v>-534471.16999999981</v>
      </c>
      <c r="AD42" s="373">
        <f>'All Statements'!W242</f>
        <v>632850.61999999906</v>
      </c>
      <c r="AE42" s="373">
        <f>'All Statements'!X242</f>
        <v>78383.320000001215</v>
      </c>
      <c r="AF42" s="373">
        <f>'All Statements'!Y242</f>
        <v>-552199.42000000039</v>
      </c>
      <c r="AG42" s="373">
        <f>'All Statements'!Z242</f>
        <v>55629.46000000045</v>
      </c>
      <c r="AH42" s="373">
        <f>'All Statements'!AA242</f>
        <v>364052.7599999996</v>
      </c>
      <c r="AI42" s="373">
        <f>'All Statements'!AB242</f>
        <v>108543.61999999861</v>
      </c>
      <c r="AJ42" s="373">
        <f>'All Statements'!AC242</f>
        <v>224073.28000000215</v>
      </c>
      <c r="AK42" s="373">
        <f>'All Statements'!AD242</f>
        <v>215526.61000000022</v>
      </c>
      <c r="AL42" s="373">
        <f>'All Statements'!AE242</f>
        <v>100943.88999999962</v>
      </c>
      <c r="AM42" s="373">
        <f>'All Statements'!AF242</f>
        <v>-9810.8799999992807</v>
      </c>
      <c r="AN42" s="373">
        <f>'All Statements'!AG242</f>
        <v>434425.97999999841</v>
      </c>
      <c r="AO42" s="373">
        <f>'All Statements'!AH242</f>
        <v>492524.55000000092</v>
      </c>
      <c r="AP42" s="373">
        <f>'All Statements'!AI242</f>
        <v>-79018.409999999902</v>
      </c>
      <c r="AQ42" s="373">
        <f>'All Statements'!AJ242</f>
        <v>349609.31999999884</v>
      </c>
      <c r="AR42" s="373">
        <f>'All Statements'!AK242</f>
        <v>-2077727.6799999974</v>
      </c>
      <c r="AS42" s="373">
        <f>'All Statements'!AL242</f>
        <v>503567.589999997</v>
      </c>
      <c r="AT42" s="373">
        <f>'All Statements'!AM242</f>
        <v>-424594.34999999811</v>
      </c>
      <c r="AU42" s="373">
        <f>'All Statements'!AN242</f>
        <v>-262732.17000000027</v>
      </c>
      <c r="AV42" s="373">
        <f>'All Statements'!AO242</f>
        <v>422938.19999999879</v>
      </c>
      <c r="AW42" s="373">
        <f ca="1">'All Statements'!BF242</f>
        <v>935271.20491018263</v>
      </c>
      <c r="AX42" s="814">
        <f>SUM(AA42:AL42)</f>
        <v>-442476.77000000008</v>
      </c>
      <c r="AY42" s="814">
        <f>SUM(O42:Z42)</f>
        <v>3681575.4735690001</v>
      </c>
      <c r="AZ42" s="835">
        <f>SUM(AM42:AV42)</f>
        <v>-650817.85000000102</v>
      </c>
      <c r="BA42" s="843">
        <f>SUM(AK42:AV42)</f>
        <v>-334347.35000000102</v>
      </c>
      <c r="BB42" s="814">
        <f>SUM(X42:AI42)</f>
        <v>1699847.7300000002</v>
      </c>
      <c r="BS42" s="859"/>
      <c r="CJ42" s="859"/>
      <c r="CK42" s="859"/>
      <c r="CL42" s="383" t="s">
        <v>412</v>
      </c>
      <c r="CM42" s="720">
        <f>AV42</f>
        <v>422938.19999999879</v>
      </c>
      <c r="CO42" s="823">
        <f t="shared" ref="CO42:CP45" si="37">AZ42</f>
        <v>-650817.85000000102</v>
      </c>
      <c r="CP42" s="843">
        <f t="shared" si="37"/>
        <v>-334347.35000000102</v>
      </c>
    </row>
    <row r="43" spans="2:94" x14ac:dyDescent="0.3">
      <c r="B43" s="383" t="s">
        <v>436</v>
      </c>
      <c r="C43" s="372">
        <v>-190695.35000000015</v>
      </c>
      <c r="D43" s="372">
        <v>-231885.54999999978</v>
      </c>
      <c r="E43" s="372">
        <v>-168367.26999999964</v>
      </c>
      <c r="F43" s="372">
        <v>-65057.930000000531</v>
      </c>
      <c r="G43" s="372">
        <v>-56224.94000000017</v>
      </c>
      <c r="H43" s="372">
        <v>23564.629999999997</v>
      </c>
      <c r="I43" s="372">
        <v>-8038.0300000000743</v>
      </c>
      <c r="J43" s="372">
        <v>-11207.730000000331</v>
      </c>
      <c r="K43" s="372">
        <v>0</v>
      </c>
      <c r="L43" s="372">
        <v>-5410</v>
      </c>
      <c r="M43" s="372">
        <v>0</v>
      </c>
      <c r="N43" s="372">
        <v>-5079</v>
      </c>
      <c r="O43" s="373">
        <f>'All Statements'!H247</f>
        <v>0</v>
      </c>
      <c r="P43" s="373">
        <f>'All Statements'!I247</f>
        <v>0</v>
      </c>
      <c r="Q43" s="373">
        <f>'All Statements'!J247</f>
        <v>0</v>
      </c>
      <c r="R43" s="373">
        <f>'All Statements'!K247</f>
        <v>0</v>
      </c>
      <c r="S43" s="373">
        <f>'All Statements'!L247</f>
        <v>-6386.7799999999988</v>
      </c>
      <c r="T43" s="373">
        <f>'All Statements'!M247</f>
        <v>-15898.95</v>
      </c>
      <c r="U43" s="373">
        <f>'All Statements'!N247</f>
        <v>0</v>
      </c>
      <c r="V43" s="373">
        <f>'All Statements'!O247</f>
        <v>0</v>
      </c>
      <c r="W43" s="373">
        <f>'All Statements'!P247</f>
        <v>-87</v>
      </c>
      <c r="X43" s="373">
        <f>'All Statements'!Q247</f>
        <v>0</v>
      </c>
      <c r="Y43" s="373">
        <f>'All Statements'!R247</f>
        <v>-9956</v>
      </c>
      <c r="Z43" s="373">
        <f>'All Statements'!S247</f>
        <v>97809.649999999907</v>
      </c>
      <c r="AA43" s="720">
        <f>'All Statements'!T247</f>
        <v>3.7289282772690058E-11</v>
      </c>
      <c r="AB43" s="373">
        <f>'All Statements'!U247</f>
        <v>-4.283720045350492E-10</v>
      </c>
      <c r="AC43" s="373">
        <f>'All Statements'!V247</f>
        <v>5.0295057008042932E-10</v>
      </c>
      <c r="AD43" s="373">
        <f>'All Statements'!W247</f>
        <v>-16688.84000000028</v>
      </c>
      <c r="AE43" s="373">
        <f>'All Statements'!X247</f>
        <v>-85842.550000000236</v>
      </c>
      <c r="AF43" s="373">
        <f>'All Statements'!Y247</f>
        <v>-95790.910000000076</v>
      </c>
      <c r="AG43" s="373">
        <f>'All Statements'!Z247</f>
        <v>-17284.949999999648</v>
      </c>
      <c r="AH43" s="373">
        <f>'All Statements'!AA247</f>
        <v>-41438.19999999983</v>
      </c>
      <c r="AI43" s="373">
        <f>'All Statements'!AB247</f>
        <v>-148774.03000000017</v>
      </c>
      <c r="AJ43" s="373">
        <f>'All Statements'!AC247</f>
        <v>356.1900000000187</v>
      </c>
      <c r="AK43" s="373">
        <f>'All Statements'!AD247</f>
        <v>-131933.01000000015</v>
      </c>
      <c r="AL43" s="373">
        <f>'All Statements'!AE247</f>
        <v>-357907.53999999957</v>
      </c>
      <c r="AM43" s="373">
        <f>'All Statements'!AF247</f>
        <v>-52556.760000000206</v>
      </c>
      <c r="AN43" s="373">
        <f>'All Statements'!AG247</f>
        <v>-73680.940000000366</v>
      </c>
      <c r="AO43" s="373">
        <f>'All Statements'!AH247</f>
        <v>-143102.38999999964</v>
      </c>
      <c r="AP43" s="373">
        <f>'All Statements'!AI247</f>
        <v>55336.410000000185</v>
      </c>
      <c r="AQ43" s="373">
        <f>'All Statements'!AJ247</f>
        <v>-119039.8000000007</v>
      </c>
      <c r="AR43" s="373">
        <f>'All Statements'!AK247</f>
        <v>1210078.2400000002</v>
      </c>
      <c r="AS43" s="373">
        <f>'All Statements'!AL247</f>
        <v>-38033.269999999553</v>
      </c>
      <c r="AT43" s="373">
        <f>'All Statements'!AM247</f>
        <v>40846.050000000047</v>
      </c>
      <c r="AU43" s="373">
        <f>'All Statements'!AN247</f>
        <v>-78253.209999999497</v>
      </c>
      <c r="AV43" s="373">
        <f>'All Statements'!AO247</f>
        <v>-43780.820000000298</v>
      </c>
      <c r="AW43" s="373">
        <f>'All Statements'!BF247</f>
        <v>717813.51000000024</v>
      </c>
      <c r="AX43" s="814">
        <f>SUM(AA43:AL43)</f>
        <v>-895303.83999999985</v>
      </c>
      <c r="AY43" s="814">
        <f>SUM(O43:Z43)</f>
        <v>65480.919999999911</v>
      </c>
      <c r="AZ43" s="835">
        <f>SUM(AM43:AV43)</f>
        <v>757813.51000000024</v>
      </c>
      <c r="BA43" s="843">
        <f>SUM(AK43:AV43)</f>
        <v>267972.96000000031</v>
      </c>
      <c r="BB43" s="814">
        <f>SUM(X43:AI43)</f>
        <v>-317965.83000000019</v>
      </c>
      <c r="BS43" s="859"/>
      <c r="CJ43" s="859"/>
      <c r="CK43" s="859"/>
      <c r="CL43" s="383" t="s">
        <v>436</v>
      </c>
      <c r="CM43" s="720">
        <f>AV43</f>
        <v>-43780.820000000298</v>
      </c>
      <c r="CO43" s="823">
        <f t="shared" si="37"/>
        <v>757813.51000000024</v>
      </c>
      <c r="CP43" s="843">
        <f t="shared" si="37"/>
        <v>267972.96000000031</v>
      </c>
    </row>
    <row r="44" spans="2:94" x14ac:dyDescent="0.3">
      <c r="B44" s="396" t="s">
        <v>437</v>
      </c>
      <c r="C44" s="378">
        <v>-114773.34999999995</v>
      </c>
      <c r="D44" s="378">
        <v>0</v>
      </c>
      <c r="E44" s="378">
        <v>998799.34</v>
      </c>
      <c r="F44" s="378">
        <v>503825.6</v>
      </c>
      <c r="G44" s="378">
        <v>64528</v>
      </c>
      <c r="H44" s="378">
        <v>-3637</v>
      </c>
      <c r="I44" s="378">
        <v>-500089.97999999992</v>
      </c>
      <c r="J44" s="378">
        <v>-4365.6900000000023</v>
      </c>
      <c r="K44" s="378">
        <v>-3646.5899999999965</v>
      </c>
      <c r="L44" s="378">
        <v>-213684.31000000006</v>
      </c>
      <c r="M44" s="378">
        <v>-3653.42888755491</v>
      </c>
      <c r="N44" s="378">
        <v>-1003656.8593384032</v>
      </c>
      <c r="O44" s="379">
        <f>'All Statements'!H262</f>
        <v>-192661.32</v>
      </c>
      <c r="P44" s="379">
        <f>'All Statements'!I262</f>
        <v>-3663.7478799292562</v>
      </c>
      <c r="Q44" s="379">
        <f>'All Statements'!J262</f>
        <v>-1001292.2060200737</v>
      </c>
      <c r="R44" s="379">
        <f>'All Statements'!K262</f>
        <v>-24169.173439560931</v>
      </c>
      <c r="S44" s="379">
        <f>'All Statements'!L262</f>
        <v>-3674.1501632904196</v>
      </c>
      <c r="T44" s="379">
        <f>'All Statements'!M262</f>
        <v>-1302.6399999999994</v>
      </c>
      <c r="U44" s="379">
        <f>'All Statements'!N262</f>
        <v>-24327.729999999974</v>
      </c>
      <c r="V44" s="379">
        <f>'All Statements'!O262</f>
        <v>-1309.636409931609</v>
      </c>
      <c r="W44" s="379">
        <f>'All Statements'!P262</f>
        <v>-1313.1506009649256</v>
      </c>
      <c r="X44" s="379">
        <f>'All Statements'!Q262</f>
        <v>-213287.36999999997</v>
      </c>
      <c r="Y44" s="379">
        <f>'All Statements'!R262</f>
        <v>-1320.2099999999991</v>
      </c>
      <c r="Z44" s="379">
        <f>'All Statements'!S262</f>
        <v>32226.250146178987</v>
      </c>
      <c r="AA44" s="725">
        <f>'All Statements'!T262</f>
        <v>-24264.029999999984</v>
      </c>
      <c r="AB44" s="379">
        <f>'All Statements'!U262</f>
        <v>-1330.8600000000006</v>
      </c>
      <c r="AC44" s="379">
        <f>'All Statements'!V262</f>
        <v>-1334.429999999993</v>
      </c>
      <c r="AD44" s="379">
        <f>'All Statements'!W262</f>
        <v>-903512.48</v>
      </c>
      <c r="AE44" s="379">
        <f>'All Statements'!X262</f>
        <v>53781.08</v>
      </c>
      <c r="AF44" s="379">
        <f>'All Statements'!Y262</f>
        <v>-30957.280000000024</v>
      </c>
      <c r="AG44" s="379">
        <f>'All Statements'!Z262</f>
        <v>-5325.030000000007</v>
      </c>
      <c r="AH44" s="379">
        <f>'All Statements'!AA262</f>
        <v>362.07000000000721</v>
      </c>
      <c r="AI44" s="379">
        <f>'All Statements'!AB262</f>
        <v>-13284.219999999998</v>
      </c>
      <c r="AJ44" s="379">
        <f>'All Statements'!AC262</f>
        <v>-98645.22000000003</v>
      </c>
      <c r="AK44" s="379">
        <f>'All Statements'!AD262</f>
        <v>29637.959999999995</v>
      </c>
      <c r="AL44" s="379">
        <f>'All Statements'!AE262</f>
        <v>361768.76000000007</v>
      </c>
      <c r="AM44" s="379">
        <f>'All Statements'!AF262</f>
        <v>-521692.44</v>
      </c>
      <c r="AN44" s="379">
        <f>'All Statements'!AG262</f>
        <v>-1852.050000000002</v>
      </c>
      <c r="AO44" s="379">
        <f>'All Statements'!AH262</f>
        <v>6697.4099999999962</v>
      </c>
      <c r="AP44" s="379">
        <f>'All Statements'!AI262</f>
        <v>-504013.59</v>
      </c>
      <c r="AQ44" s="379">
        <f>'All Statements'!AJ262</f>
        <v>1728.2400000000107</v>
      </c>
      <c r="AR44" s="379">
        <f>'All Statements'!AK262</f>
        <v>98992.01999999999</v>
      </c>
      <c r="AS44" s="379">
        <f>'All Statements'!AL262</f>
        <v>-12511.699999999944</v>
      </c>
      <c r="AT44" s="379">
        <f>'All Statements'!AM262</f>
        <v>-13048.710000000196</v>
      </c>
      <c r="AU44" s="379">
        <f>'All Statements'!AN262</f>
        <v>-11821.919999999925</v>
      </c>
      <c r="AV44" s="379">
        <f>'All Statements'!AO262</f>
        <v>54565.290000000037</v>
      </c>
      <c r="AW44" s="379">
        <f ca="1">'All Statements'!BF262</f>
        <v>-1370171.1874387902</v>
      </c>
      <c r="AX44" s="822">
        <f>SUM(AA44:AL44)</f>
        <v>-633103.67999999993</v>
      </c>
      <c r="AY44" s="822">
        <f>SUM(O44:Z44)</f>
        <v>-1436095.0843675714</v>
      </c>
      <c r="AZ44" s="965">
        <f>SUM(AM44:AV44)</f>
        <v>-902957.45000000007</v>
      </c>
      <c r="BA44" s="1279">
        <f>SUM(AK44:AV44)</f>
        <v>-511550.73</v>
      </c>
      <c r="BB44" s="822">
        <f>SUM(X44:AI44)</f>
        <v>-1108246.5098538208</v>
      </c>
      <c r="BS44" s="859"/>
      <c r="CJ44" s="859"/>
      <c r="CK44" s="859"/>
      <c r="CL44" s="396" t="s">
        <v>437</v>
      </c>
      <c r="CM44" s="1123">
        <f>AV44</f>
        <v>54565.290000000037</v>
      </c>
      <c r="CO44" s="839">
        <f t="shared" si="37"/>
        <v>-902957.45000000007</v>
      </c>
      <c r="CP44" s="965">
        <f t="shared" si="37"/>
        <v>-511550.73</v>
      </c>
    </row>
    <row r="45" spans="2:94" x14ac:dyDescent="0.3">
      <c r="B45" s="383" t="s">
        <v>438</v>
      </c>
      <c r="C45" s="372">
        <f>SUM(C42:C44)</f>
        <v>-197389.41000000053</v>
      </c>
      <c r="D45" s="372">
        <f t="shared" ref="D45:N45" si="38">SUM(D42:D44)</f>
        <v>-334221.49999999971</v>
      </c>
      <c r="E45" s="372">
        <f t="shared" si="38"/>
        <v>1119119.5000000002</v>
      </c>
      <c r="F45" s="372">
        <f t="shared" si="38"/>
        <v>522035.16</v>
      </c>
      <c r="G45" s="372">
        <f t="shared" si="38"/>
        <v>-184132.14000000063</v>
      </c>
      <c r="H45" s="372">
        <f t="shared" si="38"/>
        <v>-7222.0200000000259</v>
      </c>
      <c r="I45" s="372">
        <f t="shared" si="38"/>
        <v>-349246.23000000045</v>
      </c>
      <c r="J45" s="372">
        <f t="shared" si="38"/>
        <v>129.95000000002437</v>
      </c>
      <c r="K45" s="372">
        <f t="shared" si="38"/>
        <v>-350701.21999999986</v>
      </c>
      <c r="L45" s="372">
        <f t="shared" si="38"/>
        <v>37791.810000000143</v>
      </c>
      <c r="M45" s="372">
        <f t="shared" si="38"/>
        <v>295387.65111244563</v>
      </c>
      <c r="N45" s="372">
        <f t="shared" si="38"/>
        <v>-1160505.8693384037</v>
      </c>
      <c r="O45" s="373">
        <f>'All Statements'!H266</f>
        <v>128372.25744800083</v>
      </c>
      <c r="P45" s="373">
        <f>'All Statements'!I266</f>
        <v>-50431.541758928914</v>
      </c>
      <c r="Q45" s="373">
        <f>'All Statements'!J266</f>
        <v>-964538.50602007401</v>
      </c>
      <c r="R45" s="373">
        <f>'All Statements'!K266</f>
        <v>-211786.92343955883</v>
      </c>
      <c r="S45" s="373">
        <f>'All Statements'!L266</f>
        <v>-96489.190163295949</v>
      </c>
      <c r="T45" s="373">
        <f>'All Statements'!M266</f>
        <v>663466.23000000627</v>
      </c>
      <c r="U45" s="373">
        <f>'All Statements'!N266</f>
        <v>-145173.66000000457</v>
      </c>
      <c r="V45" s="373">
        <f>'All Statements'!O266</f>
        <v>223843.21359007014</v>
      </c>
      <c r="W45" s="373">
        <f>'All Statements'!P266</f>
        <v>175358.82939903275</v>
      </c>
      <c r="X45" s="373">
        <f>'All Statements'!Q266</f>
        <v>233727.48999999976</v>
      </c>
      <c r="Y45" s="373">
        <f>'All Statements'!R266</f>
        <v>17663.290000006091</v>
      </c>
      <c r="Z45" s="373">
        <f>'All Statements'!S266</f>
        <v>1627090.6909447461</v>
      </c>
      <c r="AA45" s="720">
        <f>'All Statements'!T266</f>
        <v>-606623.02</v>
      </c>
      <c r="AB45" s="373">
        <f>'All Statements'!U266</f>
        <v>-554781.6100000008</v>
      </c>
      <c r="AC45" s="373">
        <f>'All Statements'!V266</f>
        <v>-535805.59999999939</v>
      </c>
      <c r="AD45" s="373">
        <f>'All Statements'!W266</f>
        <v>-287350.70000000135</v>
      </c>
      <c r="AE45" s="373">
        <f>'All Statements'!X266</f>
        <v>46321.850000001024</v>
      </c>
      <c r="AF45" s="373">
        <f>'All Statements'!Y266</f>
        <v>-678947.61000000057</v>
      </c>
      <c r="AG45" s="373">
        <f>'All Statements'!Z266</f>
        <v>33019.48000000068</v>
      </c>
      <c r="AH45" s="373">
        <f>'All Statements'!AA266</f>
        <v>322976.62999999989</v>
      </c>
      <c r="AI45" s="373">
        <f>'All Statements'!AB266</f>
        <v>-53514.630000001518</v>
      </c>
      <c r="AJ45" s="373">
        <f>'All Statements'!AC266</f>
        <v>125784.2500000021</v>
      </c>
      <c r="AK45" s="373">
        <f>'All Statements'!AD266</f>
        <v>113231.56000000006</v>
      </c>
      <c r="AL45" s="373">
        <f>'All Statements'!AE266</f>
        <v>104805.1100000001</v>
      </c>
      <c r="AM45" s="373">
        <f>'All Statements'!AF266</f>
        <v>-584060.07999999938</v>
      </c>
      <c r="AN45" s="373">
        <f>'All Statements'!AG266</f>
        <v>358892.9899999979</v>
      </c>
      <c r="AO45" s="373">
        <f>'All Statements'!AH266</f>
        <v>356119.57000000123</v>
      </c>
      <c r="AP45" s="373">
        <f>'All Statements'!AI266</f>
        <v>-527695.58999999985</v>
      </c>
      <c r="AQ45" s="373">
        <f>'All Statements'!AJ266</f>
        <v>232297.75999999815</v>
      </c>
      <c r="AR45" s="373">
        <f>'All Statements'!AK266</f>
        <v>-768657.41999999713</v>
      </c>
      <c r="AS45" s="373">
        <f>'All Statements'!AL266</f>
        <v>453022.61999999755</v>
      </c>
      <c r="AT45" s="373">
        <f>'All Statements'!AM266</f>
        <v>-396797.00999999826</v>
      </c>
      <c r="AU45" s="373">
        <f>'All Statements'!AN266</f>
        <v>-352807.2999999997</v>
      </c>
      <c r="AV45" s="373">
        <f>'All Statements'!AO266</f>
        <v>433722.66999999853</v>
      </c>
      <c r="AW45" s="373">
        <f ca="1">'All Statements'!BF266</f>
        <v>282913.52747139265</v>
      </c>
      <c r="AX45" s="814">
        <f>SUM(AX42:AX44)</f>
        <v>-1970884.2899999998</v>
      </c>
      <c r="AY45" s="814">
        <f>SUM(O45:Z45)</f>
        <v>1601102.1799999997</v>
      </c>
      <c r="AZ45" s="835">
        <f>SUM(AM45:AV45)</f>
        <v>-795961.79000000097</v>
      </c>
      <c r="BA45" s="843">
        <f>SUM(BA42:BA44)</f>
        <v>-577925.12000000069</v>
      </c>
      <c r="BB45" s="814">
        <f>SUM(X45:AI45)</f>
        <v>-436223.73905525007</v>
      </c>
      <c r="BS45" s="859"/>
      <c r="CJ45" s="859"/>
      <c r="CK45" s="859"/>
      <c r="CL45" s="383" t="s">
        <v>438</v>
      </c>
      <c r="CM45" s="720">
        <f>AV45</f>
        <v>433722.66999999853</v>
      </c>
      <c r="CO45" s="823">
        <f t="shared" si="37"/>
        <v>-795961.79000000097</v>
      </c>
      <c r="CP45" s="851">
        <f t="shared" si="37"/>
        <v>-577925.12000000069</v>
      </c>
    </row>
    <row r="46" spans="2:94" x14ac:dyDescent="0.3">
      <c r="C46" s="387"/>
      <c r="D46" s="387"/>
      <c r="E46" s="387"/>
      <c r="F46" s="387"/>
      <c r="G46" s="387"/>
      <c r="H46" s="387"/>
      <c r="I46" s="387"/>
      <c r="J46" s="387"/>
      <c r="K46" s="387"/>
      <c r="L46" s="387"/>
      <c r="M46" s="387"/>
      <c r="N46" s="387"/>
      <c r="Z46" s="27">
        <f>4%*Z48</f>
        <v>147459.52652921324</v>
      </c>
      <c r="AX46" s="819"/>
      <c r="AY46" s="819"/>
      <c r="AZ46" s="819"/>
      <c r="BA46" s="348"/>
      <c r="BB46" s="819"/>
      <c r="CM46" s="349"/>
      <c r="CO46" s="819"/>
      <c r="CP46" s="348"/>
    </row>
    <row r="47" spans="2:94" x14ac:dyDescent="0.3">
      <c r="B47" s="383" t="s">
        <v>439</v>
      </c>
      <c r="C47" s="388">
        <f>C4</f>
        <v>678267.31</v>
      </c>
      <c r="D47" s="388">
        <f t="shared" ref="D47:N47" si="39">C47+D4</f>
        <v>1557229.82</v>
      </c>
      <c r="E47" s="388">
        <f t="shared" si="39"/>
        <v>2394629.8200000003</v>
      </c>
      <c r="F47" s="388">
        <f t="shared" si="39"/>
        <v>2884080.14</v>
      </c>
      <c r="G47" s="388">
        <f t="shared" si="39"/>
        <v>4000300.7700000005</v>
      </c>
      <c r="H47" s="388">
        <f t="shared" si="39"/>
        <v>4833993.91</v>
      </c>
      <c r="I47" s="388">
        <f t="shared" si="39"/>
        <v>5584074.0800000001</v>
      </c>
      <c r="J47" s="388">
        <f t="shared" si="39"/>
        <v>6452340.46</v>
      </c>
      <c r="K47" s="388">
        <f t="shared" si="39"/>
        <v>7254434.0199999996</v>
      </c>
      <c r="L47" s="388">
        <f t="shared" si="39"/>
        <v>8258397.6599999992</v>
      </c>
      <c r="M47" s="388">
        <f t="shared" si="39"/>
        <v>8962276.6399999987</v>
      </c>
      <c r="N47" s="388">
        <f t="shared" si="39"/>
        <v>10185597.289999999</v>
      </c>
      <c r="O47" s="376">
        <f>O4</f>
        <v>355725.44232099992</v>
      </c>
      <c r="P47" s="376">
        <f t="shared" ref="P47:AI47" si="40">O47+P4</f>
        <v>1026227.919196</v>
      </c>
      <c r="Q47" s="376">
        <f t="shared" si="40"/>
        <v>2151783.6291959998</v>
      </c>
      <c r="R47" s="376">
        <f t="shared" si="40"/>
        <v>2873580.059196</v>
      </c>
      <c r="S47" s="376">
        <f t="shared" si="40"/>
        <v>3774236.6891959999</v>
      </c>
      <c r="T47" s="376">
        <f t="shared" si="40"/>
        <v>4717039.4791959999</v>
      </c>
      <c r="U47" s="376">
        <f t="shared" si="40"/>
        <v>5641321.7791959997</v>
      </c>
      <c r="V47" s="376">
        <f t="shared" si="40"/>
        <v>6845179.099196</v>
      </c>
      <c r="W47" s="376">
        <f t="shared" si="40"/>
        <v>7932345.4091959996</v>
      </c>
      <c r="X47" s="376">
        <f>W47+X4</f>
        <v>9516594.2991959993</v>
      </c>
      <c r="Y47" s="376">
        <f t="shared" si="40"/>
        <v>10534059.379195999</v>
      </c>
      <c r="Z47" s="376">
        <f t="shared" si="40"/>
        <v>12530336.309195999</v>
      </c>
      <c r="AA47" s="395">
        <f>AA4</f>
        <v>1044236.69</v>
      </c>
      <c r="AB47" s="376">
        <f t="shared" si="40"/>
        <v>2696041.13</v>
      </c>
      <c r="AC47" s="376">
        <f t="shared" si="40"/>
        <v>4271144.12</v>
      </c>
      <c r="AD47" s="376">
        <f t="shared" si="40"/>
        <v>5261891.78</v>
      </c>
      <c r="AE47" s="376">
        <f t="shared" si="40"/>
        <v>6642421.1699999999</v>
      </c>
      <c r="AF47" s="376">
        <f t="shared" si="40"/>
        <v>8159489.9000000004</v>
      </c>
      <c r="AG47" s="376">
        <f t="shared" si="40"/>
        <v>9334346.7599999998</v>
      </c>
      <c r="AH47" s="376">
        <f t="shared" si="40"/>
        <v>10936764.76</v>
      </c>
      <c r="AI47" s="376">
        <f t="shared" si="40"/>
        <v>12201417.43</v>
      </c>
      <c r="AJ47" s="376">
        <f>AI47+AJ4</f>
        <v>13258346.390000001</v>
      </c>
      <c r="AK47" s="376">
        <f>AJ47+AK4</f>
        <v>14150692.68</v>
      </c>
      <c r="AL47" s="376">
        <f>AK47+AL4</f>
        <v>15554265.33</v>
      </c>
      <c r="AM47" s="376">
        <f>AM4</f>
        <v>715167.97</v>
      </c>
      <c r="AN47" s="376">
        <f t="shared" ref="AN47:AV47" si="41">AM47+AN4</f>
        <v>1704903.52</v>
      </c>
      <c r="AO47" s="376">
        <f t="shared" si="41"/>
        <v>3520531.21</v>
      </c>
      <c r="AP47" s="376">
        <f t="shared" si="41"/>
        <v>4858273.62</v>
      </c>
      <c r="AQ47" s="376">
        <f t="shared" si="41"/>
        <v>6170861.6699999999</v>
      </c>
      <c r="AR47" s="376">
        <f t="shared" si="41"/>
        <v>8051406.6799999997</v>
      </c>
      <c r="AS47" s="376">
        <f t="shared" si="41"/>
        <v>9603651.5299999993</v>
      </c>
      <c r="AT47" s="376">
        <f t="shared" si="41"/>
        <v>11108000.399999999</v>
      </c>
      <c r="AU47" s="376">
        <f t="shared" si="41"/>
        <v>12960339.329999998</v>
      </c>
      <c r="AV47" s="376">
        <f t="shared" si="41"/>
        <v>15315570.569999998</v>
      </c>
      <c r="AW47" s="376">
        <f>AW4</f>
        <v>20328502.066924997</v>
      </c>
      <c r="AX47" s="823">
        <f>AL47</f>
        <v>15554265.33</v>
      </c>
      <c r="AY47" s="823">
        <f>Z47</f>
        <v>12530336.309195999</v>
      </c>
      <c r="AZ47" s="823">
        <f>AV47</f>
        <v>15315570.569999998</v>
      </c>
      <c r="BA47" s="851">
        <f>BA4</f>
        <v>17611489.509999998</v>
      </c>
      <c r="BB47" s="823">
        <f>AI47</f>
        <v>12201417.43</v>
      </c>
      <c r="CL47" s="383" t="s">
        <v>439</v>
      </c>
      <c r="CM47" s="395">
        <f>AV47</f>
        <v>15315570.569999998</v>
      </c>
      <c r="CN47" s="376"/>
      <c r="CO47" s="823">
        <f t="shared" ref="CO47:CP50" si="42">AZ47</f>
        <v>15315570.569999998</v>
      </c>
      <c r="CP47" s="851">
        <f t="shared" si="42"/>
        <v>17611489.509999998</v>
      </c>
    </row>
    <row r="48" spans="2:94" x14ac:dyDescent="0.3">
      <c r="B48" s="383" t="s">
        <v>440</v>
      </c>
      <c r="C48" s="397">
        <f>C10</f>
        <v>57110</v>
      </c>
      <c r="D48" s="397">
        <f t="shared" ref="D48:N48" si="43">C48+D10</f>
        <v>112682.48000000001</v>
      </c>
      <c r="E48" s="397">
        <f t="shared" si="43"/>
        <v>134696.48000000001</v>
      </c>
      <c r="F48" s="397">
        <f t="shared" si="43"/>
        <v>69969.72</v>
      </c>
      <c r="G48" s="397">
        <f t="shared" si="43"/>
        <v>351977.73000000021</v>
      </c>
      <c r="H48" s="397">
        <f t="shared" si="43"/>
        <v>395768.4800000001</v>
      </c>
      <c r="I48" s="397">
        <f t="shared" si="43"/>
        <v>461604.20000000013</v>
      </c>
      <c r="J48" s="397">
        <f t="shared" si="43"/>
        <v>366651.01</v>
      </c>
      <c r="K48" s="397">
        <f t="shared" si="43"/>
        <v>429206.47000000009</v>
      </c>
      <c r="L48" s="397">
        <f t="shared" si="43"/>
        <v>502800.18000000017</v>
      </c>
      <c r="M48" s="397">
        <f t="shared" si="43"/>
        <v>504718.05000000016</v>
      </c>
      <c r="N48" s="397">
        <f t="shared" si="43"/>
        <v>1214738.6600000006</v>
      </c>
      <c r="O48" s="27">
        <f>O10</f>
        <v>-44512.7473520001</v>
      </c>
      <c r="P48" s="27">
        <f>P10+O48</f>
        <v>45448.722068999901</v>
      </c>
      <c r="Q48" s="27">
        <f t="shared" ref="Q48:AI48" si="44">P48+Q10</f>
        <v>529882.63206899993</v>
      </c>
      <c r="R48" s="27">
        <f t="shared" si="44"/>
        <v>722595.61206900002</v>
      </c>
      <c r="S48" s="27">
        <f t="shared" si="44"/>
        <v>955029.87206900015</v>
      </c>
      <c r="T48" s="27">
        <f t="shared" si="44"/>
        <v>1252089.4486915085</v>
      </c>
      <c r="U48" s="27">
        <f t="shared" si="44"/>
        <v>1725088.5792748369</v>
      </c>
      <c r="V48" s="27">
        <f t="shared" si="44"/>
        <v>2071130.2064716422</v>
      </c>
      <c r="W48" s="27">
        <f t="shared" si="44"/>
        <v>2536264.3694774145</v>
      </c>
      <c r="X48" s="27">
        <f t="shared" si="44"/>
        <v>3008631.2894774149</v>
      </c>
      <c r="Y48" s="27">
        <f t="shared" si="44"/>
        <v>3210228.4394774148</v>
      </c>
      <c r="Z48" s="27">
        <f t="shared" si="44"/>
        <v>3686488.1632303307</v>
      </c>
      <c r="AA48" s="395">
        <f>AA10</f>
        <v>84168.371690808184</v>
      </c>
      <c r="AB48" s="376">
        <f t="shared" si="44"/>
        <v>320242.81178814213</v>
      </c>
      <c r="AC48" s="376">
        <f t="shared" si="44"/>
        <v>387337.8707350592</v>
      </c>
      <c r="AD48" s="376">
        <f t="shared" si="44"/>
        <v>154150.06894897227</v>
      </c>
      <c r="AE48" s="376">
        <f t="shared" si="44"/>
        <v>50234.176821581364</v>
      </c>
      <c r="AF48" s="376">
        <f t="shared" si="44"/>
        <v>348354.33471880405</v>
      </c>
      <c r="AG48" s="376">
        <f t="shared" si="44"/>
        <v>351231.7229807062</v>
      </c>
      <c r="AH48" s="376">
        <f t="shared" si="44"/>
        <v>876598.44192143274</v>
      </c>
      <c r="AI48" s="376">
        <f t="shared" si="44"/>
        <v>1130679.331829139</v>
      </c>
      <c r="AJ48" s="376">
        <f>AI48+AJ10</f>
        <v>1268728.4729659194</v>
      </c>
      <c r="AK48" s="376">
        <f>AJ48+AK10</f>
        <v>1435823.5655677388</v>
      </c>
      <c r="AL48" s="376">
        <f>AK48+AL10</f>
        <v>1713486.479844362</v>
      </c>
      <c r="AM48" s="376">
        <f>AM10</f>
        <v>-244135.47000000006</v>
      </c>
      <c r="AN48" s="376">
        <f t="shared" ref="AN48:AV48" si="45">AM48+AN10</f>
        <v>-143691.74000000002</v>
      </c>
      <c r="AO48" s="376">
        <f t="shared" si="45"/>
        <v>234046.74999999997</v>
      </c>
      <c r="AP48" s="376">
        <f t="shared" si="45"/>
        <v>492627.55999999994</v>
      </c>
      <c r="AQ48" s="376">
        <f t="shared" si="45"/>
        <v>954522.58</v>
      </c>
      <c r="AR48" s="376">
        <f t="shared" si="45"/>
        <v>834241.60999999987</v>
      </c>
      <c r="AS48" s="376">
        <f t="shared" si="45"/>
        <v>992577.41999999993</v>
      </c>
      <c r="AT48" s="376">
        <f t="shared" si="45"/>
        <v>1249937.46</v>
      </c>
      <c r="AU48" s="376">
        <f t="shared" si="45"/>
        <v>1533897.2199999997</v>
      </c>
      <c r="AV48" s="376">
        <f t="shared" si="45"/>
        <v>1847896.82</v>
      </c>
      <c r="AW48" s="376">
        <f ca="1">AW10</f>
        <v>2750052.4761110758</v>
      </c>
      <c r="AX48" s="823">
        <f>AL48</f>
        <v>1713486.479844362</v>
      </c>
      <c r="AY48" s="823">
        <f>Z48</f>
        <v>3686488.1632303307</v>
      </c>
      <c r="AZ48" s="823">
        <f>AV48</f>
        <v>1847896.82</v>
      </c>
      <c r="BA48" s="851">
        <f>BA10</f>
        <v>2292654.8268784429</v>
      </c>
      <c r="BB48" s="824">
        <f>AI48</f>
        <v>1130679.331829139</v>
      </c>
      <c r="CL48" s="383" t="s">
        <v>440</v>
      </c>
      <c r="CM48" s="395">
        <f>AV48</f>
        <v>1847896.82</v>
      </c>
      <c r="CN48" s="376"/>
      <c r="CO48" s="823">
        <f t="shared" si="42"/>
        <v>1847896.82</v>
      </c>
      <c r="CP48" s="851">
        <f t="shared" si="42"/>
        <v>2292654.8268784429</v>
      </c>
    </row>
    <row r="49" spans="2:98" x14ac:dyDescent="0.3">
      <c r="B49" s="383" t="s">
        <v>441</v>
      </c>
      <c r="C49" s="397">
        <f>C12</f>
        <v>-79196.370000000345</v>
      </c>
      <c r="D49" s="397">
        <f t="shared" ref="D49:N49" si="46">C49+D12</f>
        <v>-412262.59999999963</v>
      </c>
      <c r="E49" s="397">
        <f t="shared" si="46"/>
        <v>-283283.39000000036</v>
      </c>
      <c r="F49" s="397">
        <f t="shared" si="46"/>
        <v>-263905.97000000055</v>
      </c>
      <c r="G49" s="397">
        <f t="shared" si="46"/>
        <v>-511408.1000000012</v>
      </c>
      <c r="H49" s="397">
        <f t="shared" si="46"/>
        <v>-524660.75000000023</v>
      </c>
      <c r="I49" s="397">
        <f t="shared" si="46"/>
        <v>-373817.79999999981</v>
      </c>
      <c r="J49" s="397">
        <f t="shared" si="46"/>
        <v>-369322.1600000005</v>
      </c>
      <c r="K49" s="397">
        <f t="shared" si="46"/>
        <v>-730133.78999999957</v>
      </c>
      <c r="L49" s="397">
        <f t="shared" si="46"/>
        <v>-478786.24000000051</v>
      </c>
      <c r="M49" s="397">
        <f t="shared" si="46"/>
        <v>-186593.16000000061</v>
      </c>
      <c r="N49" s="397">
        <f t="shared" si="46"/>
        <v>215084.4099999998</v>
      </c>
      <c r="O49" s="27">
        <f>O12</f>
        <v>441073.94264800072</v>
      </c>
      <c r="P49" s="27">
        <f>P12+O49</f>
        <v>536338.31206900114</v>
      </c>
      <c r="Q49" s="27">
        <f t="shared" ref="Q49:AI49" si="47">P49+Q12</f>
        <v>774605.92206900078</v>
      </c>
      <c r="R49" s="27">
        <f t="shared" si="47"/>
        <v>841419.85206900258</v>
      </c>
      <c r="S49" s="27">
        <f t="shared" si="47"/>
        <v>963497.09206899675</v>
      </c>
      <c r="T49" s="27">
        <f t="shared" si="47"/>
        <v>1826775.9220690029</v>
      </c>
      <c r="U49" s="27">
        <f t="shared" si="47"/>
        <v>1924615.500668999</v>
      </c>
      <c r="V49" s="27">
        <f t="shared" si="47"/>
        <v>2358749.6906690006</v>
      </c>
      <c r="W49" s="27">
        <f t="shared" si="47"/>
        <v>2791205.6006689984</v>
      </c>
      <c r="X49" s="27">
        <f t="shared" si="47"/>
        <v>3238220.4606689978</v>
      </c>
      <c r="Y49" s="27">
        <f t="shared" si="47"/>
        <v>3267159.9606690044</v>
      </c>
      <c r="Z49" s="27">
        <f t="shared" si="47"/>
        <v>5766645.6406690013</v>
      </c>
      <c r="AA49" s="395">
        <f>AA12</f>
        <v>-582358.9900000015</v>
      </c>
      <c r="AB49" s="376">
        <f t="shared" si="47"/>
        <v>-1135809.7400000021</v>
      </c>
      <c r="AC49" s="376">
        <f t="shared" si="47"/>
        <v>-1670280.9100000011</v>
      </c>
      <c r="AD49" s="376">
        <f t="shared" si="47"/>
        <v>-1054119.1300000031</v>
      </c>
      <c r="AE49" s="376">
        <f t="shared" si="47"/>
        <v>-1061578.3599999999</v>
      </c>
      <c r="AF49" s="376">
        <f t="shared" si="47"/>
        <v>-1709568.690000002</v>
      </c>
      <c r="AG49" s="376">
        <f t="shared" si="47"/>
        <v>-1671224.1800000011</v>
      </c>
      <c r="AH49" s="376">
        <f t="shared" si="47"/>
        <v>-1348609.6200000024</v>
      </c>
      <c r="AI49" s="376">
        <f t="shared" si="47"/>
        <v>-1388840.0300000024</v>
      </c>
      <c r="AJ49" s="376">
        <f>AI49+AJ12</f>
        <v>-1164410.560000001</v>
      </c>
      <c r="AK49" s="376">
        <f>AJ49+AK12</f>
        <v>-1080816.9600000004</v>
      </c>
      <c r="AL49" s="376">
        <f>AK49+AL12</f>
        <v>-2098056.61</v>
      </c>
      <c r="AM49" s="376">
        <f>AM12</f>
        <v>-62367.640000000421</v>
      </c>
      <c r="AN49" s="376">
        <f t="shared" ref="AN49:AV49" si="48">AM49+AN12</f>
        <v>298377.39999999927</v>
      </c>
      <c r="AO49" s="376">
        <f t="shared" si="48"/>
        <v>647799.56000000029</v>
      </c>
      <c r="AP49" s="376">
        <f t="shared" si="48"/>
        <v>624117.56000000145</v>
      </c>
      <c r="AQ49" s="376">
        <f t="shared" si="48"/>
        <v>854687.07999999775</v>
      </c>
      <c r="AR49" s="376">
        <f t="shared" si="48"/>
        <v>671088.99999999814</v>
      </c>
      <c r="AS49" s="376">
        <f t="shared" si="48"/>
        <v>1124408.3199999975</v>
      </c>
      <c r="AT49" s="376">
        <f t="shared" si="48"/>
        <v>1142350.7600000002</v>
      </c>
      <c r="AU49" s="376">
        <f t="shared" si="48"/>
        <v>805556.37999999861</v>
      </c>
      <c r="AV49" s="376">
        <f t="shared" si="48"/>
        <v>1177471.7599999998</v>
      </c>
      <c r="AW49" s="376">
        <f ca="1">AW12</f>
        <v>2290831.3849101816</v>
      </c>
      <c r="AX49" s="823">
        <f>AL49</f>
        <v>-2098056.61</v>
      </c>
      <c r="AY49" s="823">
        <f>Z49</f>
        <v>5766645.6406690013</v>
      </c>
      <c r="AZ49" s="823">
        <f>AV49</f>
        <v>1177471.7599999998</v>
      </c>
      <c r="BA49" s="851">
        <f>BA12</f>
        <v>243825.71000000124</v>
      </c>
      <c r="BB49" s="824">
        <f>AI49</f>
        <v>-1388840.0300000024</v>
      </c>
      <c r="CL49" s="383" t="s">
        <v>441</v>
      </c>
      <c r="CM49" s="395">
        <f>AV49</f>
        <v>1177471.7599999998</v>
      </c>
      <c r="CN49" s="376"/>
      <c r="CO49" s="823">
        <f t="shared" si="42"/>
        <v>1177471.7599999998</v>
      </c>
      <c r="CP49" s="851">
        <f t="shared" si="42"/>
        <v>243825.71000000124</v>
      </c>
    </row>
    <row r="50" spans="2:98" x14ac:dyDescent="0.3">
      <c r="B50" s="383" t="s">
        <v>463</v>
      </c>
      <c r="O50" s="726">
        <v>56</v>
      </c>
      <c r="P50" s="726">
        <v>56</v>
      </c>
      <c r="Q50" s="726">
        <v>56</v>
      </c>
      <c r="R50" s="726">
        <v>56</v>
      </c>
      <c r="S50" s="726">
        <v>55</v>
      </c>
      <c r="T50" s="732">
        <v>59</v>
      </c>
      <c r="U50" s="732">
        <v>58</v>
      </c>
      <c r="V50" s="732">
        <v>56</v>
      </c>
      <c r="W50" s="732">
        <v>59</v>
      </c>
      <c r="X50" s="732">
        <v>66</v>
      </c>
      <c r="Y50">
        <v>62.5</v>
      </c>
      <c r="Z50">
        <v>62.5</v>
      </c>
      <c r="AA50" s="395">
        <f t="shared" ref="AA50:AG50" si="49">Z50</f>
        <v>62.5</v>
      </c>
      <c r="AB50" s="376">
        <v>67</v>
      </c>
      <c r="AC50" s="376">
        <v>67</v>
      </c>
      <c r="AD50" s="376">
        <f t="shared" si="49"/>
        <v>67</v>
      </c>
      <c r="AE50" s="376">
        <f t="shared" si="49"/>
        <v>67</v>
      </c>
      <c r="AF50" s="376">
        <f t="shared" si="49"/>
        <v>67</v>
      </c>
      <c r="AG50" s="376">
        <f t="shared" si="49"/>
        <v>67</v>
      </c>
      <c r="AH50" s="376">
        <v>60</v>
      </c>
      <c r="AI50" s="376">
        <v>59</v>
      </c>
      <c r="AJ50" s="376">
        <v>58</v>
      </c>
      <c r="AK50" s="376">
        <v>55</v>
      </c>
      <c r="AL50" s="376">
        <v>56</v>
      </c>
      <c r="AM50" s="376">
        <v>55</v>
      </c>
      <c r="AN50" s="376">
        <v>55</v>
      </c>
      <c r="AO50" s="376">
        <v>57</v>
      </c>
      <c r="AP50" s="376">
        <v>55</v>
      </c>
      <c r="AQ50" s="376">
        <v>55</v>
      </c>
      <c r="AR50" s="376">
        <v>55</v>
      </c>
      <c r="AS50" s="376">
        <v>55</v>
      </c>
      <c r="AT50" s="376">
        <v>55</v>
      </c>
      <c r="AU50" s="376">
        <v>55</v>
      </c>
      <c r="AV50" s="376">
        <v>54</v>
      </c>
      <c r="AW50" s="376">
        <v>70</v>
      </c>
      <c r="AX50" s="823">
        <f>AVERAGE(AA50:AL50)</f>
        <v>62.708333333333336</v>
      </c>
      <c r="AY50" s="823">
        <f>Z50</f>
        <v>62.5</v>
      </c>
      <c r="AZ50" s="1060">
        <f>AV50</f>
        <v>54</v>
      </c>
      <c r="BA50" s="851">
        <f>AV50</f>
        <v>54</v>
      </c>
      <c r="BB50" s="819"/>
      <c r="CL50" s="383" t="s">
        <v>463</v>
      </c>
      <c r="CM50" s="395">
        <f>AV50</f>
        <v>54</v>
      </c>
      <c r="CN50" s="376"/>
      <c r="CO50" s="823">
        <f t="shared" si="42"/>
        <v>54</v>
      </c>
      <c r="CP50" s="851">
        <f t="shared" si="42"/>
        <v>54</v>
      </c>
    </row>
    <row r="51" spans="2:98" x14ac:dyDescent="0.3">
      <c r="B51" s="383" t="s">
        <v>464</v>
      </c>
      <c r="H51" s="398"/>
      <c r="I51" s="398"/>
      <c r="J51" s="398"/>
      <c r="K51" s="398"/>
      <c r="L51" s="398"/>
      <c r="M51" s="398"/>
      <c r="N51" s="398"/>
      <c r="O51" s="598">
        <f t="shared" ref="O51:Z51" si="50">O4/O50</f>
        <v>6352.2400414464273</v>
      </c>
      <c r="P51" s="598">
        <f t="shared" si="50"/>
        <v>11973.258515625001</v>
      </c>
      <c r="Q51" s="598">
        <f t="shared" si="50"/>
        <v>20099.209107142855</v>
      </c>
      <c r="R51" s="598">
        <f t="shared" si="50"/>
        <v>12889.221964285714</v>
      </c>
      <c r="S51" s="598">
        <f t="shared" si="50"/>
        <v>16375.575090909093</v>
      </c>
      <c r="T51" s="598">
        <f t="shared" si="50"/>
        <v>15979.708305084743</v>
      </c>
      <c r="U51" s="598">
        <f t="shared" si="50"/>
        <v>15935.901724137932</v>
      </c>
      <c r="V51" s="598">
        <f>V4/V50</f>
        <v>21497.452142857139</v>
      </c>
      <c r="W51" s="598">
        <f>W4/W50</f>
        <v>18426.547627118642</v>
      </c>
      <c r="X51" s="598">
        <f t="shared" si="50"/>
        <v>24003.771060606065</v>
      </c>
      <c r="Y51" s="598">
        <f t="shared" si="50"/>
        <v>16279.441279999997</v>
      </c>
      <c r="Z51" s="598">
        <f t="shared" si="50"/>
        <v>31940.430880000004</v>
      </c>
      <c r="AA51" s="1050">
        <f t="shared" ref="AA51:AI51" si="51">AA4/AA50</f>
        <v>16707.787039999999</v>
      </c>
      <c r="AB51" s="1051">
        <f t="shared" si="51"/>
        <v>24653.797611940299</v>
      </c>
      <c r="AC51" s="1051">
        <f t="shared" si="51"/>
        <v>23508.999850746273</v>
      </c>
      <c r="AD51" s="1051">
        <f t="shared" si="51"/>
        <v>14787.278507462685</v>
      </c>
      <c r="AE51" s="1051">
        <f t="shared" si="51"/>
        <v>20604.916268656714</v>
      </c>
      <c r="AF51" s="1051">
        <f t="shared" si="51"/>
        <v>22642.816865671641</v>
      </c>
      <c r="AG51" s="1051">
        <f t="shared" si="51"/>
        <v>17535.177014925375</v>
      </c>
      <c r="AH51" s="1051">
        <f t="shared" si="51"/>
        <v>26706.966666666667</v>
      </c>
      <c r="AI51" s="1051">
        <f t="shared" si="51"/>
        <v>21434.791016949155</v>
      </c>
      <c r="AJ51" s="1051">
        <f t="shared" ref="AJ51:AY51" si="52">AJ4/AJ50</f>
        <v>18222.913103448274</v>
      </c>
      <c r="AK51" s="1051">
        <f t="shared" si="52"/>
        <v>16224.478000000001</v>
      </c>
      <c r="AL51" s="1051">
        <f t="shared" si="52"/>
        <v>25063.797321428574</v>
      </c>
      <c r="AM51" s="1051">
        <f t="shared" si="52"/>
        <v>13003.054</v>
      </c>
      <c r="AN51" s="1051">
        <f t="shared" si="52"/>
        <v>17995.191818181818</v>
      </c>
      <c r="AO51" s="1051">
        <f t="shared" si="52"/>
        <v>31853.117368421052</v>
      </c>
      <c r="AP51" s="1051">
        <f t="shared" si="52"/>
        <v>24322.589272727269</v>
      </c>
      <c r="AQ51" s="1051">
        <f t="shared" ref="AQ51:AU51" si="53">AQ4/AQ50</f>
        <v>23865.237272727274</v>
      </c>
      <c r="AR51" s="1051">
        <f t="shared" si="53"/>
        <v>34191.727454545457</v>
      </c>
      <c r="AS51" s="1051">
        <f t="shared" si="53"/>
        <v>28222.633636363636</v>
      </c>
      <c r="AT51" s="1051">
        <f t="shared" si="53"/>
        <v>27351.797636363637</v>
      </c>
      <c r="AU51" s="1051">
        <f t="shared" si="53"/>
        <v>33678.889636363638</v>
      </c>
      <c r="AV51" s="1051">
        <f t="shared" ref="AV51" si="54">AV4/AV50</f>
        <v>43615.393333333341</v>
      </c>
      <c r="AW51" s="1051">
        <f t="shared" si="52"/>
        <v>290407.17238464282</v>
      </c>
      <c r="AX51" s="1052">
        <f t="shared" si="52"/>
        <v>248041.4404784053</v>
      </c>
      <c r="AY51" s="1052">
        <f t="shared" si="52"/>
        <v>200485.38094713597</v>
      </c>
      <c r="AZ51" s="1052">
        <f>SUM(AM51:AV51)</f>
        <v>278099.63142902713</v>
      </c>
      <c r="BA51" s="1053">
        <f>BA4/BA50</f>
        <v>326138.69462962961</v>
      </c>
      <c r="BB51" s="825"/>
      <c r="CL51" s="383" t="s">
        <v>464</v>
      </c>
      <c r="CM51" s="1050">
        <f>AV51</f>
        <v>43615.393333333341</v>
      </c>
      <c r="CN51" s="376"/>
      <c r="CO51" s="1052">
        <f>AZ51/4</f>
        <v>69524.907857256781</v>
      </c>
      <c r="CP51" s="1053">
        <f>BA51/12</f>
        <v>27178.224552469135</v>
      </c>
    </row>
    <row r="52" spans="2:98" x14ac:dyDescent="0.3">
      <c r="B52" s="383" t="s">
        <v>475</v>
      </c>
      <c r="H52" s="400"/>
      <c r="I52" s="400"/>
      <c r="J52" s="400"/>
      <c r="K52" s="400"/>
      <c r="L52" s="400"/>
      <c r="M52" s="400"/>
      <c r="N52" s="400"/>
      <c r="O52" s="400">
        <f>SUM(Operations!E7:E10,Operations!E21:E23,Operations!E36:E38,Operations!E50:E52)+SUM('Sales &amp; Mktg'!D8:D16,Innovation!D8,Innovation!D10:D11,Innovation!D23:D28,'Sales &amp; Mktg'!D41:D43)+SUM('Admin-Finance'!F6:F8)</f>
        <v>262081.21999999997</v>
      </c>
      <c r="P52" s="400">
        <f>SUM(Operations!H7:H10,Operations!H21:H23,Operations!H36:H38,Operations!H50:H52)+SUM('Sales &amp; Mktg'!H8:H16,Innovation!H8,Innovation!H10:H11,Innovation!H23:H28,'Sales &amp; Mktg'!H41:H43)+SUM('Admin-Finance'!J6:J8)</f>
        <v>270991.74</v>
      </c>
      <c r="Q52" s="400">
        <f>SUM(Operations!K7:K10,Operations!K21:K23,Operations!K36:K38,Operations!K50:K52)+SUM('Sales &amp; Mktg'!L8:L16,Innovation!L8,Innovation!L10:L11,Innovation!L23:L28,'Sales &amp; Mktg'!L41:L43)+SUM('Admin-Finance'!N6:N8)</f>
        <v>299759.39</v>
      </c>
      <c r="R52" s="400">
        <f>SUM(Operations!N7:N10,Operations!N21:N23,Operations!N36:N38,Operations!N50:N52)+SUM('Sales &amp; Mktg'!P8:P16,Innovation!P8,Innovation!P10:P11,Innovation!P23:P28,'Sales &amp; Mktg'!P41:P43)+SUM('Admin-Finance'!R6:R8)</f>
        <v>308209.46000000002</v>
      </c>
      <c r="S52" s="400">
        <f>SUM(Operations!Q7:Q10,Operations!Q21:Q23,Operations!Q36:Q38,Operations!Q50:Q52)+SUM('Sales &amp; Mktg'!T8:T16,Innovation!T8,Innovation!T10:T11,Innovation!T23:T28,'Sales &amp; Mktg'!T41:T43)+SUM('Admin-Finance'!V6:V8)</f>
        <v>294445.70999999996</v>
      </c>
      <c r="T52" s="400">
        <f>SUM(Operations!T7:T10,Operations!T21:T23,Operations!T36:T38,Operations!T50:T52)+SUM('Sales &amp; Mktg'!X8:X16,Innovation!X8,Innovation!X10:X11,Innovation!X23:X28,'Sales &amp; Mktg'!X41:X43)+SUM('Admin-Finance'!Z6:Z8)</f>
        <v>305329.90000000002</v>
      </c>
      <c r="U52" s="400">
        <f>SUM(Operations!W7:W10,Operations!W21:W23,Operations!W36:W38,Operations!W50:W52)+SUM('Sales &amp; Mktg'!AB8:AB16,Innovation!AB8,Innovation!AB10:AB11,Innovation!AB23:AB28,'Sales &amp; Mktg'!AB41:AB43)+SUM('Admin-Finance'!AD6:AD8)</f>
        <v>340986.02</v>
      </c>
      <c r="V52" s="400">
        <f>SUM(Operations!Z7:Z10,Operations!Z21:Z23,Operations!Z36:Z38,Operations!Z50:Z52)+SUM('Sales &amp; Mktg'!AF8:AF16,Innovation!AF8,Innovation!AF10:AF11,Innovation!AF23:AF28,'Sales &amp; Mktg'!AF41:AF43)+SUM('Admin-Finance'!AH6:AH8)</f>
        <v>310515.08000000019</v>
      </c>
      <c r="W52" s="400">
        <f>SUM(Operations!AC7:AC10,Operations!AC21:AC23,Operations!AC36:AC38,Operations!AC50:AC52)+SUM('Sales &amp; Mktg'!AJ8:AJ16,Innovation!AJ8,Innovation!AJ10:AJ11,Innovation!AJ23:AJ28,'Sales &amp; Mktg'!AJ41:AJ43)+SUM('Admin-Finance'!AL6:AL8)</f>
        <v>322755.28999999992</v>
      </c>
      <c r="X52" s="400">
        <f>SUM(Operations!AF7:AF10,Operations!AF21:AF23,Operations!AF36:AF38,Operations!AF50:AF52)+SUM('Sales &amp; Mktg'!AN8:AN16,Innovation!AN8,Innovation!AN10:AN11,Innovation!AN23:AN28,'Sales &amp; Mktg'!AN41:AN43)+SUM('Admin-Finance'!AP6:AP8)</f>
        <v>326673.92999999993</v>
      </c>
      <c r="Y52" s="400">
        <f>SUM(Operations!AI7:AI10,Operations!AI21:AI23,Operations!AI36:AI38,Operations!AI50:AI52)+SUM('Sales &amp; Mktg'!AR8:AR16,Innovation!AR8,Innovation!AR10:AR11,Innovation!AR23:AR28,'Sales &amp; Mktg'!AR41:AR43)+SUM('Admin-Finance'!AT6:AT8)</f>
        <v>323626.00999999995</v>
      </c>
      <c r="Z52" s="400">
        <f>SUM(Operations!AL7:AL10,Operations!AL21:AL23,Operations!AL36:AL38,Operations!AL50:AL52)+SUM('Sales &amp; Mktg'!AV8:AV16,Innovation!AV8,Innovation!AV10:AV11,Innovation!AV23:AV28,'Sales &amp; Mktg'!AV41:AV43)+SUM('Admin-Finance'!AX6:AX8)</f>
        <v>353498.22999999986</v>
      </c>
      <c r="AA52" s="1050">
        <f>SUM('Sales &amp; Mktg'!AX59:AX62,Operations!AN21:AN23,Operations!AN36:AN38,Operations!AN50:AN52)+SUM('Sales &amp; Mktg'!AX8:AX16,Innovation!AX8,Innovation!AX10:AX11,Innovation!AX23:AX28,'Sales &amp; Mktg'!AX41:AX43)+SUM('Admin-Finance'!AY6:AY8)</f>
        <v>318772.64</v>
      </c>
      <c r="AB52" s="1051">
        <f>SUM('Sales &amp; Mktg'!AY59:AY62,Operations!AO21:AO23,Operations!AO36:AO38,Operations!AO50:AO52)+SUM('Sales &amp; Mktg'!AY8:AY16,Innovation!AY8,Innovation!AY10:AY11,Innovation!AY23:AY28,'Sales &amp; Mktg'!AY41:AY43)+SUM('Admin-Finance'!AZ6:AZ8)</f>
        <v>338490.92</v>
      </c>
      <c r="AC52" s="1051">
        <f>SUM('Sales &amp; Mktg'!AZ59:AZ62,Operations!AP21:AP23,Operations!AP36:AP38,Operations!AP50:AP52)+SUM('Sales &amp; Mktg'!AZ8:AZ16,Innovation!AZ8,Innovation!AZ10:AZ11,Innovation!AZ23:AZ28,'Sales &amp; Mktg'!AZ41:AZ43)+SUM('Admin-Finance'!BA6:BA8)</f>
        <v>393707.69</v>
      </c>
      <c r="AD52" s="1051">
        <f>SUM('Sales &amp; Mktg'!BA59:BA62,Operations!AQ21:AQ23,Operations!AQ36:AQ38,Operations!AQ50:AQ52)+SUM('Sales &amp; Mktg'!BA8:BA16,Innovation!BA8,Innovation!BA10:BA11,Innovation!BA23:BA28,'Sales &amp; Mktg'!BA41:BA43)+SUM('Admin-Finance'!BB6:BB8)</f>
        <v>346732.39</v>
      </c>
      <c r="AE52" s="1051">
        <f>SUM('Sales &amp; Mktg'!BB59:BB62,Operations!AR21:AR23,Operations!AR36:AR38,Operations!AR50:AR52)+SUM('Sales &amp; Mktg'!BB8:BB16,Innovation!BB8,Innovation!BB10:BB11,Innovation!BB23:BB28,'Sales &amp; Mktg'!BB41:BB43)+SUM('Admin-Finance'!BC6:BC8)</f>
        <v>404159.16</v>
      </c>
      <c r="AF52" s="1051">
        <f>SUM(Operations!AS7:AS10,Operations!AS21:AS23,Operations!AS36:AS38,Operations!AS50:AS52)+SUM('Sales &amp; Mktg'!BC8:BC16,Innovation!BC8,Innovation!BC10:BC11,Innovation!BC23:BC28,'Sales &amp; Mktg'!BC41:BC43)+SUM('Admin-Finance'!BD6:BD8)</f>
        <v>343448.09</v>
      </c>
      <c r="AG52" s="1051">
        <f>SUM(Operations!AT7:AT10,Operations!AT21:AT23,Operations!AT36:AT38,Operations!AT50:AT52)+SUM('Sales &amp; Mktg'!BD8:BD16,Innovation!BD8,Innovation!BD10:BD11,Innovation!BD23:BD28,'Sales &amp; Mktg'!BD41:BD43)+SUM('Admin-Finance'!BE6:BE8)</f>
        <v>326504.37</v>
      </c>
      <c r="AH52" s="1051">
        <f>SUM(Operations!AU7:AU10,Operations!AU21:AU23,Operations!AU36:AU38,Operations!AU50:AU52)+SUM('Sales &amp; Mktg'!BE8:BE16,Innovation!BE8,Innovation!BE10:BE11,Innovation!BE23:BE28,'Sales &amp; Mktg'!BE41:BE43)+SUM('Admin-Finance'!BF6:BF8)</f>
        <v>315896.28000000003</v>
      </c>
      <c r="AI52" s="1051">
        <f>SUM(Operations!AV7:AV10,Operations!AV21:AV23,Operations!AV36:AV38,Operations!AV50:AV52)+SUM('Sales &amp; Mktg'!BF8:BF16,Innovation!BF8,Innovation!BF10:BF11,Innovation!BF23:BF28,'Sales &amp; Mktg'!BF41:BF43)+SUM('Admin-Finance'!BG6:BG8)</f>
        <v>317607.55000000005</v>
      </c>
      <c r="AJ52" s="1051">
        <f>SUM(Operations!AW7:AW10,Operations!AW21:AW23,Operations!AW36:AW38,Operations!AW50:AW52)+SUM('Sales &amp; Mktg'!BG8:BG16,Innovation!BG8,Innovation!BG10:BG11,Innovation!BG23:BG28,'Sales &amp; Mktg'!BG41:BG43)+SUM('Admin-Finance'!BH6:BH8)</f>
        <v>311096.39999999997</v>
      </c>
      <c r="AK52" s="1051">
        <f>SUM(Operations!AX7:AX10,Operations!AX21:AX23,Operations!AX36:AX38,Operations!AX50:AX52)+SUM('Sales &amp; Mktg'!BH8:BH16,Innovation!BH8,Innovation!BH10:BH11,Innovation!BH23:BH28,'Sales &amp; Mktg'!BH41:BH43)+SUM('Admin-Finance'!BI6:BI8)</f>
        <v>304830.31999999995</v>
      </c>
      <c r="AL52" s="1051">
        <f>SUM(Operations!AY7:AY10,Operations!AY21:AY23,Operations!AY36:AY38,Operations!AY50:AY52)+SUM('Sales &amp; Mktg'!BI8:BI16,Innovation!BI8,Innovation!BI10:BI11,Innovation!BI23:BI28,'Sales &amp; Mktg'!BI41:BI43)+SUM('Admin-Finance'!BJ6:BJ8)</f>
        <v>331098.56</v>
      </c>
      <c r="AM52" s="1051">
        <f>SUM(Operations!AZ7:AZ10,Operations!AZ21:AZ23,Operations!AZ36:AZ38,Operations!AZ50:AZ52)+SUM('Sales &amp; Mktg'!BJ8:BJ16,Innovation!BJ8,Innovation!BJ10:BJ11,Innovation!BJ23:BJ28,'Sales &amp; Mktg'!BJ41:BJ43)+SUM('Admin-Finance'!BK6:BK8)</f>
        <v>311933.90000000002</v>
      </c>
      <c r="AN52" s="1051">
        <f>SUM(Operations!BA7:BA10,Operations!BA21:BA23,Operations!BA36:BA38,Operations!BA50:BA52)+SUM('Sales &amp; Mktg'!BK8:BK16,Innovation!BK8,Innovation!BK10:BK11,Innovation!BK23:BK28,'Sales &amp; Mktg'!BK41:BK43)+SUM('Admin-Finance'!BL6:BL8)</f>
        <v>283403.63999999996</v>
      </c>
      <c r="AO52" s="1051">
        <f>SUM(Operations!BB7:BB10,Operations!BB21:BB23,Operations!BB36:BB38,Operations!BB50:BB52)+SUM('Sales &amp; Mktg'!BL8:BL16,Innovation!BL8,Innovation!BL10:BL11,Innovation!BL23:BL28,'Sales &amp; Mktg'!BL41:BL43)+SUM('Admin-Finance'!BM6:BM8)</f>
        <v>381523.82</v>
      </c>
      <c r="AP52" s="1051">
        <f>SUM(Operations!BC7:BC10,Operations!BC21:BC23,Operations!BC36:BC38,Operations!BC50:BC52)+SUM('Sales &amp; Mktg'!BM8:BM16,Innovation!BM8,Innovation!BM10:BM11,Innovation!BM23:BM28,'Sales &amp; Mktg'!BM41:BM43)+SUM('Admin-Finance'!BN6:BN8)</f>
        <v>292456.19</v>
      </c>
      <c r="AQ52" s="1051">
        <f>SUM(Operations!BD7:BD10,Operations!BD21:BD23,Operations!BD36:BD38,Operations!BD50:BD52)+SUM('Sales &amp; Mktg'!BN8:BN16,Innovation!BN8,Innovation!BN10:BN11,Innovation!BN23:BN28,'Sales &amp; Mktg'!BN41:BN43)+SUM('Admin-Finance'!BO6:BO8)</f>
        <v>363430.26</v>
      </c>
      <c r="AR52" s="1051">
        <f>SUM(Operations!BE7:BE10,Operations!BE21:BE23,Operations!BE36:BE38,Operations!BE50:BE52)+SUM('Sales &amp; Mktg'!BO8:BO16,Innovation!BO8,Innovation!BO10:BO11,Innovation!BO23:BO28,'Sales &amp; Mktg'!BO41:BO43)+SUM('Admin-Finance'!BP6:BP8)</f>
        <v>361782.15</v>
      </c>
      <c r="AS52" s="1051">
        <f>SUM(Operations!BF7:BF10,Operations!BF21:BF23,Operations!BF36:BF38,Operations!BF50:BF52)+SUM('Sales &amp; Mktg'!BP8:BP16,Innovation!BP8,Innovation!BP10:BP11,Innovation!BP23:BP28,'Sales &amp; Mktg'!BP41:BP43)+SUM('Admin-Finance'!BQ6:BQ8)</f>
        <v>284169.73</v>
      </c>
      <c r="AT52" s="1051">
        <f>SUM(Operations!BG7:BG10,Operations!BG21:BG23,Operations!BG36:BG38,Operations!BG50:BG52)+SUM('Sales &amp; Mktg'!BQ8:BQ16,Innovation!BQ8,Innovation!BQ10:BQ11,Innovation!BQ23:BQ28,'Sales &amp; Mktg'!BQ41:BQ43)+SUM('Admin-Finance'!BR6:BR8)</f>
        <v>341463.47000000003</v>
      </c>
      <c r="AU52" s="1051">
        <f>SUM(Operations!BH7:BH10,Operations!BH21:BH23,Operations!BH36:BH38,Operations!BH50:BH52)+SUM('Sales &amp; Mktg'!BR8:BR16,Innovation!BR8,Innovation!BR10:BR11,Innovation!BR23:BR28,'Sales &amp; Mktg'!BR41:BR43)+SUM('Admin-Finance'!BS6:BS8)</f>
        <v>298077.83</v>
      </c>
      <c r="AV52" s="1051">
        <f>SUM(Operations!BI7:BI10,Operations!BI21:BI23,Operations!BI36:BI38,Operations!BI50:BI52)+SUM('Sales &amp; Mktg'!BS8:BS16,Innovation!BS8,Innovation!BS10:BS11,Innovation!BS23:BS28,'Sales &amp; Mktg'!BS41:BS43)+SUM('Admin-Finance'!BT6:BT8)</f>
        <v>358023.43</v>
      </c>
      <c r="AW52" s="1051"/>
      <c r="AX52" s="1052"/>
      <c r="AY52" s="1052"/>
      <c r="AZ52" s="823"/>
      <c r="BA52" s="851"/>
      <c r="BB52" s="826"/>
      <c r="BJ52" s="3"/>
      <c r="CA52" s="3"/>
      <c r="CL52" s="718"/>
      <c r="CM52" s="1124"/>
      <c r="CO52" s="852"/>
      <c r="CP52" s="840"/>
    </row>
    <row r="53" spans="2:98" x14ac:dyDescent="0.3">
      <c r="B53" s="383" t="s">
        <v>896</v>
      </c>
      <c r="I53" s="400"/>
      <c r="J53" s="400"/>
      <c r="K53" s="400"/>
      <c r="L53" s="400"/>
      <c r="M53" s="400"/>
      <c r="N53" s="400"/>
      <c r="O53" s="400"/>
      <c r="P53" s="400"/>
      <c r="Q53" s="400"/>
      <c r="R53" s="400"/>
      <c r="S53" s="400"/>
      <c r="T53" s="400"/>
      <c r="U53" s="400"/>
      <c r="V53" s="400"/>
      <c r="W53" s="400"/>
      <c r="X53" s="400"/>
      <c r="Y53" s="400"/>
      <c r="Z53" s="717"/>
      <c r="AA53" s="1054">
        <f t="shared" ref="AA53:AL53" si="55">O52</f>
        <v>262081.21999999997</v>
      </c>
      <c r="AB53" s="1054">
        <f t="shared" si="55"/>
        <v>270991.74</v>
      </c>
      <c r="AC53" s="1054">
        <f t="shared" si="55"/>
        <v>299759.39</v>
      </c>
      <c r="AD53" s="1054">
        <f t="shared" si="55"/>
        <v>308209.46000000002</v>
      </c>
      <c r="AE53" s="1054">
        <f t="shared" si="55"/>
        <v>294445.70999999996</v>
      </c>
      <c r="AF53" s="1054">
        <f t="shared" si="55"/>
        <v>305329.90000000002</v>
      </c>
      <c r="AG53" s="1054">
        <f t="shared" si="55"/>
        <v>340986.02</v>
      </c>
      <c r="AH53" s="1054">
        <f t="shared" si="55"/>
        <v>310515.08000000019</v>
      </c>
      <c r="AI53" s="1054">
        <f t="shared" si="55"/>
        <v>322755.28999999992</v>
      </c>
      <c r="AJ53" s="1054">
        <f t="shared" si="55"/>
        <v>326673.92999999993</v>
      </c>
      <c r="AK53" s="1054">
        <f t="shared" si="55"/>
        <v>323626.00999999995</v>
      </c>
      <c r="AL53" s="1054">
        <f t="shared" si="55"/>
        <v>353498.22999999986</v>
      </c>
      <c r="AM53" s="1054">
        <f t="shared" ref="AM53:AV53" si="56">AA52</f>
        <v>318772.64</v>
      </c>
      <c r="AN53" s="1054">
        <f t="shared" si="56"/>
        <v>338490.92</v>
      </c>
      <c r="AO53" s="1054">
        <f t="shared" si="56"/>
        <v>393707.69</v>
      </c>
      <c r="AP53" s="1054">
        <f t="shared" si="56"/>
        <v>346732.39</v>
      </c>
      <c r="AQ53" s="1054">
        <f t="shared" si="56"/>
        <v>404159.16</v>
      </c>
      <c r="AR53" s="1054">
        <f t="shared" si="56"/>
        <v>343448.09</v>
      </c>
      <c r="AS53" s="1054">
        <f t="shared" si="56"/>
        <v>326504.37</v>
      </c>
      <c r="AT53" s="1054">
        <f t="shared" si="56"/>
        <v>315896.28000000003</v>
      </c>
      <c r="AU53" s="1054">
        <f t="shared" si="56"/>
        <v>317607.55000000005</v>
      </c>
      <c r="AV53" s="1054">
        <f t="shared" si="56"/>
        <v>311096.39999999997</v>
      </c>
      <c r="AW53" s="1054"/>
      <c r="AX53" s="1055"/>
      <c r="AY53" s="1055"/>
      <c r="AZ53" s="1055"/>
      <c r="BA53" s="1053"/>
      <c r="BB53" s="827"/>
      <c r="CM53" s="401"/>
      <c r="CO53" s="399"/>
      <c r="CP53" s="399"/>
    </row>
    <row r="54" spans="2:98" x14ac:dyDescent="0.3">
      <c r="B54" s="718" t="s">
        <v>476</v>
      </c>
      <c r="C54" s="398"/>
      <c r="D54" s="398"/>
      <c r="E54" s="398"/>
      <c r="F54" s="398"/>
      <c r="G54" s="398"/>
      <c r="H54" s="400"/>
      <c r="I54" s="400"/>
      <c r="J54" s="400"/>
      <c r="K54" s="400"/>
      <c r="L54" s="400"/>
      <c r="M54" s="400"/>
      <c r="N54" s="400"/>
      <c r="O54" s="400">
        <f>SUM(Operations!E7:E10,Operations!E21:E23,Operations!E36:E38,Operations!E50:E52)</f>
        <v>175816.44999999998</v>
      </c>
      <c r="P54" s="400">
        <f>SUM(Operations!H7:H10,Operations!H21:H23,Operations!H36:H38,Operations!H50:H52)</f>
        <v>189824.44999999998</v>
      </c>
      <c r="Q54" s="400">
        <f>SUM(Operations!K7:K10,Operations!K21:K23,Operations!K36:K38,Operations!K50:K52)</f>
        <v>207558.58</v>
      </c>
      <c r="R54" s="400">
        <f>SUM(Operations!N7:N10,Operations!N21:N23,Operations!N36:N38,Operations!N50:N52)</f>
        <v>200555.11</v>
      </c>
      <c r="S54" s="400">
        <f>SUM(Operations!Q7:Q10,Operations!Q21:Q23,Operations!Q36:Q38,Operations!Q50:Q52)</f>
        <v>198928.05999999997</v>
      </c>
      <c r="T54" s="400">
        <f>SUM(Operations!T7:T10,Operations!T21:T23,Operations!T36:T38,Operations!T50:T52)</f>
        <v>202658.35000000006</v>
      </c>
      <c r="U54" s="400">
        <f>SUM(Operations!W7:W10,Operations!W21:W23,Operations!W36:W38,Operations!W50:W52)</f>
        <v>243254.06999999998</v>
      </c>
      <c r="V54" s="400">
        <f>SUM(Operations!Z7:Z10,Operations!Z21:Z23,Operations!Z36:Z38,Operations!Z50:Z52)</f>
        <v>215619.17000000019</v>
      </c>
      <c r="W54" s="400">
        <f>SUM(Operations!AC7:AC10,Operations!AC21:AC23,Operations!AC36:AC38,Operations!AC50:AC52)</f>
        <v>222626.11999999991</v>
      </c>
      <c r="X54" s="400">
        <f>SUM(Operations!AF7:AF10,Operations!AF21:AF23,Operations!AF36:AF38,Operations!AF50:AF52)</f>
        <v>232413.12999999998</v>
      </c>
      <c r="Y54" s="400">
        <f>SUM(Operations!AI7:AI10,Operations!AI21:AI23,Operations!AI36:AI38,Operations!AI50:AI52)</f>
        <v>227248.54999999996</v>
      </c>
      <c r="Z54" s="400">
        <f>SUM(Operations!AL7:AL10,Operations!AL21:AL23,Operations!AL36:AL38,Operations!AL50:AL52)</f>
        <v>257335.2099999999</v>
      </c>
      <c r="AA54" s="1050">
        <f>SUM('Sales &amp; Mktg'!AX59:AX62,Operations!AN21:AN23,Operations!AN36:AN38,Operations!AN50:AN52)</f>
        <v>225016.16</v>
      </c>
      <c r="AB54" s="1051">
        <f>SUM('Sales &amp; Mktg'!AY59:AY62,Operations!AO21:AO23,Operations!AO36:AO38,Operations!AO50:AO52)</f>
        <v>234768.23</v>
      </c>
      <c r="AC54" s="1051">
        <f>SUM('Sales &amp; Mktg'!AZ59:AZ62,Operations!AP21:AP23,Operations!AP36:AP38,Operations!AP50:AP52)</f>
        <v>294654.04000000004</v>
      </c>
      <c r="AD54" s="1051">
        <f>SUM('Sales &amp; Mktg'!BA59:BA62,Operations!AQ21:AQ23,Operations!AQ36:AQ38,Operations!AQ50:AQ52)</f>
        <v>233249.32000000004</v>
      </c>
      <c r="AE54" s="1051">
        <f>SUM('Sales &amp; Mktg'!BB59:BB62,Operations!AR21:AR23,Operations!AR36:AR38,Operations!AR50:AR52)</f>
        <v>263591.82</v>
      </c>
      <c r="AF54" s="1051">
        <f>SUM(Operations!AS7:AS10,Operations!AS21:AS23,Operations!AS36:AS38,Operations!AS50:AS52)</f>
        <v>220174.49000000002</v>
      </c>
      <c r="AG54" s="1051">
        <f>SUM(Operations!AT7:AT10,Operations!AT21:AT23,Operations!AT36:AT38,Operations!AT50:AT52)</f>
        <v>216354.94</v>
      </c>
      <c r="AH54" s="1051">
        <f>SUM(Operations!AU7:AU10,Operations!AU21:AU23,Operations!AU36:AU38,Operations!AU50:AU52)</f>
        <v>207466.14</v>
      </c>
      <c r="AI54" s="1051">
        <f>SUM(Operations!AV7:AV10,Operations!AV21:AV23,Operations!AV36:AV38,Operations!AV50:AV52)</f>
        <v>205990.98</v>
      </c>
      <c r="AJ54" s="1051">
        <f>SUM(Operations!AW7:AW10,Operations!AW21:AW23,Operations!AW36:AW38,Operations!AW50:AW52)</f>
        <v>195401.06999999998</v>
      </c>
      <c r="AK54" s="1051">
        <f>SUM(Operations!AX7:AX10,Operations!AX21:AX23,Operations!AX36:AX38,Operations!AX50:AX52)</f>
        <v>187628.58</v>
      </c>
      <c r="AL54" s="1051">
        <f>SUM(Operations!AY7:AY10,Operations!AY21:AY23,Operations!AY36:AY38,Operations!AY50:AY52)</f>
        <v>213723.22</v>
      </c>
      <c r="AM54" s="1051">
        <f>SUM(Operations!AZ7:AZ10,Operations!AZ21:AZ23,Operations!AZ36:AZ38,Operations!AZ50:AZ52)</f>
        <v>204907.04</v>
      </c>
      <c r="AN54" s="1051">
        <f>SUM(Operations!BA7:BA10,Operations!BA21:BA23,Operations!BA36:BA38,Operations!BA50:BA52)</f>
        <v>189841.02999999997</v>
      </c>
      <c r="AO54" s="1051">
        <f>SUM(Operations!BB7:BB10,Operations!BB21:BB23,Operations!BB36:BB38,Operations!BB50:BB52)</f>
        <v>256527.04</v>
      </c>
      <c r="AP54" s="1051">
        <f>SUM(Operations!BC7:BC10,Operations!BC21:BC23,Operations!BC36:BC38,Operations!BC50:BC52)</f>
        <v>202040.90000000002</v>
      </c>
      <c r="AQ54" s="1051">
        <f>SUM(Operations!BD7:BD10,Operations!BD21:BD23,Operations!BD36:BD38,Operations!BD50:BD52)</f>
        <v>226831.97000000003</v>
      </c>
      <c r="AR54" s="1051">
        <f>SUM(Operations!BE7:BE10,Operations!BE21:BE23,Operations!BE36:BE38,Operations!BE50:BE52)</f>
        <v>222849.95</v>
      </c>
      <c r="AS54" s="1051">
        <f>SUM(Operations!BF7:BF10,Operations!BF21:BF23,Operations!BF36:BF38,Operations!BF50:BF52)</f>
        <v>191567.13999999998</v>
      </c>
      <c r="AT54" s="1051">
        <f>SUM(Operations!BG7:BG10,Operations!BG21:BG23,Operations!BG36:BG38,Operations!BG50:BG52)</f>
        <v>208412.37000000002</v>
      </c>
      <c r="AU54" s="1051">
        <f>SUM(Operations!BH7:BH10,Operations!BH21:BH23,Operations!BH36:BH38,Operations!BH50:BH52)</f>
        <v>204622.33000000002</v>
      </c>
      <c r="AV54" s="1051">
        <f>SUM(Operations!BI7:BI10,Operations!BI21:BI23,Operations!BI36:BI38,Operations!BI50:BI52)</f>
        <v>215205.50999999998</v>
      </c>
      <c r="AW54" s="1051"/>
      <c r="AX54" s="1052"/>
      <c r="AY54" s="1052"/>
      <c r="AZ54" s="823"/>
      <c r="BA54" s="851"/>
      <c r="BB54" s="826"/>
      <c r="CM54" s="401"/>
      <c r="CO54" s="399"/>
      <c r="CP54" s="399"/>
    </row>
    <row r="55" spans="2:98" x14ac:dyDescent="0.3">
      <c r="B55" s="718" t="s">
        <v>477</v>
      </c>
      <c r="C55" s="398"/>
      <c r="D55" s="398"/>
      <c r="E55" s="398"/>
      <c r="F55" s="398"/>
      <c r="G55" s="398"/>
      <c r="H55" s="400"/>
      <c r="I55" s="400"/>
      <c r="J55" s="400"/>
      <c r="K55" s="400"/>
      <c r="L55" s="400"/>
      <c r="M55" s="400"/>
      <c r="N55" s="400"/>
      <c r="O55" s="400">
        <f>+SUM('Sales &amp; Mktg'!D8:D16,Innovation!D8,Innovation!D10:D11,Innovation!D23:D28,'Sales &amp; Mktg'!D41:D43)</f>
        <v>46295.659999999996</v>
      </c>
      <c r="P55" s="400">
        <f>SUM('Sales &amp; Mktg'!H8:H16,Innovation!H8,Innovation!H10:H11,Innovation!H23:H28,'Sales &amp; Mktg'!H41:H43)</f>
        <v>46690.44999999999</v>
      </c>
      <c r="Q55" s="400">
        <f>+SUM('Sales &amp; Mktg'!L8:L16,Innovation!L8,Innovation!L10:L11,Innovation!L23:L28,'Sales &amp; Mktg'!L41:L43)</f>
        <v>50739.310000000005</v>
      </c>
      <c r="R55" s="400">
        <f>+SUM('Sales &amp; Mktg'!P8:P16,Innovation!P8,Innovation!P10:P11,Innovation!P23:P28,'Sales &amp; Mktg'!P41:P43)</f>
        <v>53827.38</v>
      </c>
      <c r="S55" s="400">
        <f>+SUM('Sales &amp; Mktg'!T8:T16,Innovation!T8,Innovation!T10:T11,Innovation!T23:T28,'Sales &amp; Mktg'!T41:T43)</f>
        <v>49781.469999999979</v>
      </c>
      <c r="T55" s="400">
        <f>+SUM('Sales &amp; Mktg'!X8:X16,Innovation!X8,Innovation!X10:X11,Innovation!X23:X28,'Sales &amp; Mktg'!X41:X43)</f>
        <v>53551.53</v>
      </c>
      <c r="U55" s="400">
        <f>+SUM('Sales &amp; Mktg'!AB8:AB16,Innovation!AB8,Innovation!AB10:AB11,Innovation!AB23:AB28,'Sales &amp; Mktg'!AB41:AB43)</f>
        <v>49584.87</v>
      </c>
      <c r="V55" s="400">
        <f>+SUM('Sales &amp; Mktg'!AF8:AF16,Innovation!AF8,Innovation!AF10:AF11,Innovation!AF23:AF28,'Sales &amp; Mktg'!AF41:AF43)</f>
        <v>52090.839999999989</v>
      </c>
      <c r="W55" s="400">
        <f>+SUM('Sales &amp; Mktg'!AJ8:AJ16,Innovation!AJ8,Innovation!AJ10:AJ11,Innovation!AJ23:AJ28,'Sales &amp; Mktg'!AJ41:AJ43)</f>
        <v>55976.37000000001</v>
      </c>
      <c r="X55" s="400">
        <f>+SUM('Sales &amp; Mktg'!AN8:AN16,Innovation!AN8,Innovation!AN10:AN11,Innovation!AN23:AN28,'Sales &amp; Mktg'!AN41:AN43)</f>
        <v>51614.399999999958</v>
      </c>
      <c r="Y55" s="400">
        <f>+SUM('Sales &amp; Mktg'!AR8:AR16,Innovation!AR8,Innovation!AR10:AR11,Innovation!AR23:AR28,'Sales &amp; Mktg'!AR41:AR43)</f>
        <v>51867.12</v>
      </c>
      <c r="Z55" s="400">
        <f>+SUM('Sales &amp; Mktg'!AV8:AV16,Innovation!AV8,Innovation!AV10:AV11,Innovation!AV23:AV28,'Sales &amp; Mktg'!AV41:AV43)</f>
        <v>49947.91</v>
      </c>
      <c r="AA55" s="1050">
        <f>+SUM('Sales &amp; Mktg'!AX8:AX16,Innovation!AX8,Innovation!AX10:AX11,Innovation!AX23:AX28,'Sales &amp; Mktg'!AX41:AX43)</f>
        <v>49171.579999999994</v>
      </c>
      <c r="AB55" s="1051">
        <f>+SUM('Sales &amp; Mktg'!AY8:AY16,Innovation!AY8,Innovation!AY10:AY11,Innovation!AY23:AY28,'Sales &amp; Mktg'!AY41:AY43)</f>
        <v>59489.210000000006</v>
      </c>
      <c r="AC55" s="1051">
        <f>+SUM('Sales &amp; Mktg'!AZ8:AZ16,Innovation!AZ8,Innovation!AZ10:AZ11,Innovation!AZ23:AZ28,'Sales &amp; Mktg'!AZ41:AZ43)</f>
        <v>48631.359999999993</v>
      </c>
      <c r="AD55" s="1051">
        <f>+SUM('Sales &amp; Mktg'!BA8:BA16,Innovation!BA8,Innovation!BA10:BA11,Innovation!BA23:BA28,'Sales &amp; Mktg'!BA41:BA43)</f>
        <v>59417.929999999993</v>
      </c>
      <c r="AE55" s="1051">
        <f>+SUM('Sales &amp; Mktg'!BB8:BB16,Innovation!BB8,Innovation!BB10:BB11,Innovation!BB23:BB28,'Sales &amp; Mktg'!BB41:BB43)</f>
        <v>67051.42</v>
      </c>
      <c r="AF55" s="1051">
        <f>+SUM('Sales &amp; Mktg'!BC8:BC16,Innovation!BC8,Innovation!BC10:BC11,Innovation!BC23:BC28,'Sales &amp; Mktg'!BC41:BC43)</f>
        <v>59818.459999999992</v>
      </c>
      <c r="AG55" s="1051">
        <f>+SUM('Sales &amp; Mktg'!BD8:BD16,Innovation!BD8,Innovation!BD10:BD11,Innovation!BD23:BD28,'Sales &amp; Mktg'!BD41:BD43)</f>
        <v>64542.209999999992</v>
      </c>
      <c r="AH55" s="1051">
        <f>+SUM('Sales &amp; Mktg'!BE8:BE16,Innovation!BE8,Innovation!BE10:BE11,Innovation!BE23:BE28,'Sales &amp; Mktg'!BE41:BE43)</f>
        <v>59288.560000000005</v>
      </c>
      <c r="AI55" s="1051">
        <f>+SUM('Sales &amp; Mktg'!BF8:BF16,Innovation!BF8,Innovation!BF10:BF11,Innovation!BF23:BF28,'Sales &amp; Mktg'!BF41:BF43)</f>
        <v>58843.049999999996</v>
      </c>
      <c r="AJ55" s="1051">
        <f>+SUM('Sales &amp; Mktg'!BG8:BG16,Innovation!BG8,Innovation!BG10:BG11,Innovation!BG23:BG28,'Sales &amp; Mktg'!BG41:BG43)</f>
        <v>61400.380000000005</v>
      </c>
      <c r="AK55" s="1051">
        <f>+SUM('Sales &amp; Mktg'!BH8:BH16,Innovation!BH8,Innovation!BH10:BH11,Innovation!BH23:BH28,'Sales &amp; Mktg'!BH41:BH43)</f>
        <v>61942.83</v>
      </c>
      <c r="AL55" s="1051">
        <f>+SUM('Sales &amp; Mktg'!BI8:BI16,Innovation!BI8,Innovation!BI10:BI11,Innovation!BI23:BI28,'Sales &amp; Mktg'!BI41:BI43)</f>
        <v>60877.74</v>
      </c>
      <c r="AM55" s="1051">
        <f>+SUM('Sales &amp; Mktg'!BJ8:BJ16,Innovation!BJ8,Innovation!BJ10:BJ11,Innovation!BJ23:BJ28,'Sales &amp; Mktg'!BJ41:BJ43)</f>
        <v>47929.590000000004</v>
      </c>
      <c r="AN55" s="1051">
        <f>+SUM('Sales &amp; Mktg'!BK8:BK16,Innovation!BK8,Innovation!BK10:BK11,Innovation!BK23:BK28,'Sales &amp; Mktg'!BK41:BK43)</f>
        <v>40648.53</v>
      </c>
      <c r="AO55" s="1051">
        <f>+SUM('Sales &amp; Mktg'!BL8:BL16,Innovation!BL8,Innovation!BL10:BL11,Innovation!BL23:BL28,'Sales &amp; Mktg'!BL41:BL43)</f>
        <v>61687.91</v>
      </c>
      <c r="AP55" s="1051">
        <f>+SUM('Sales &amp; Mktg'!BM8:BM16,Innovation!BM8,Innovation!BM10:BM11,Innovation!BM23:BM28,'Sales &amp; Mktg'!BM41:BM43)</f>
        <v>36182.479999999996</v>
      </c>
      <c r="AQ55" s="1051">
        <f>+SUM('Sales &amp; Mktg'!BN8:BN16,Innovation!BN8,Innovation!BN10:BN11,Innovation!BN23:BN28,'Sales &amp; Mktg'!BN41:BN43)</f>
        <v>73706.290000000008</v>
      </c>
      <c r="AR55" s="1051">
        <f>+SUM('Sales &amp; Mktg'!BO8:BO16,Innovation!BO8,Innovation!BO10:BO11,Innovation!BO23:BO28,'Sales &amp; Mktg'!BO41:BO43)</f>
        <v>73824.7</v>
      </c>
      <c r="AS55" s="1051">
        <f>+SUM('Sales &amp; Mktg'!BP8:BP16,Innovation!BP8,Innovation!BP10:BP11,Innovation!BP23:BP28,'Sales &amp; Mktg'!BP41:BP43)</f>
        <v>34218.85</v>
      </c>
      <c r="AT55" s="1051">
        <f>+SUM('Sales &amp; Mktg'!BQ8:BQ16,Innovation!BQ8,Innovation!BQ10:BQ11,Innovation!BQ23:BQ28,'Sales &amp; Mktg'!BQ41:BQ43)</f>
        <v>74760.77</v>
      </c>
      <c r="AU55" s="1051">
        <f>+SUM('Sales &amp; Mktg'!BR8:BR16,Innovation!BR8,Innovation!BR10:BR11,Innovation!BR23:BR28,'Sales &amp; Mktg'!BR41:BR43)</f>
        <v>40757.199999999997</v>
      </c>
      <c r="AV55" s="1051">
        <f>+SUM('Sales &amp; Mktg'!BS8:BS16,Innovation!BS8,Innovation!BS10:BS11,Innovation!BS23:BS28,'Sales &amp; Mktg'!BS41:BS43)</f>
        <v>87292.61</v>
      </c>
      <c r="AW55" s="1051"/>
      <c r="AX55" s="1052"/>
      <c r="AY55" s="1052"/>
      <c r="AZ55" s="823"/>
      <c r="BA55" s="851"/>
      <c r="BB55" s="826"/>
      <c r="CM55" s="399"/>
      <c r="CO55" s="399"/>
      <c r="CP55" s="399"/>
    </row>
    <row r="56" spans="2:98" x14ac:dyDescent="0.3">
      <c r="B56" s="718" t="s">
        <v>478</v>
      </c>
      <c r="C56" s="398"/>
      <c r="D56" s="398"/>
      <c r="E56" s="398"/>
      <c r="F56" s="398"/>
      <c r="G56" s="398"/>
      <c r="H56" s="400"/>
      <c r="I56" s="400"/>
      <c r="J56" s="400"/>
      <c r="K56" s="400"/>
      <c r="L56" s="400"/>
      <c r="M56" s="400"/>
      <c r="N56" s="400"/>
      <c r="O56" s="400">
        <f>+SUM('Admin-Finance'!F6:F8)</f>
        <v>39969.11</v>
      </c>
      <c r="P56" s="400">
        <f>SUM('Admin-Finance'!J6:J8)</f>
        <v>34476.839999999997</v>
      </c>
      <c r="Q56" s="400">
        <f>+SUM('Admin-Finance'!N6:N8)</f>
        <v>41461.5</v>
      </c>
      <c r="R56" s="400">
        <f>+SUM('Admin-Finance'!R6:R8)</f>
        <v>53826.970000000008</v>
      </c>
      <c r="S56" s="400">
        <f>+SUM('Admin-Finance'!V6:V8)</f>
        <v>45736.180000000029</v>
      </c>
      <c r="T56" s="400">
        <f>+SUM('Admin-Finance'!Z6:Z8)</f>
        <v>49120.019999999968</v>
      </c>
      <c r="U56" s="400">
        <f>+SUM('Admin-Finance'!AD6:AD8)</f>
        <v>48147.080000000031</v>
      </c>
      <c r="V56" s="400">
        <f>+SUM('Admin-Finance'!AH6:AH8)</f>
        <v>42805.069999999978</v>
      </c>
      <c r="W56" s="400">
        <f>+SUM('Admin-Finance'!AL6:AL8)</f>
        <v>44152.800000000003</v>
      </c>
      <c r="X56" s="400">
        <f>+SUM('Admin-Finance'!AP6:AP8)</f>
        <v>42646.400000000045</v>
      </c>
      <c r="Y56" s="400">
        <f>+SUM('Admin-Finance'!AT6:AT8)</f>
        <v>44510.339999999946</v>
      </c>
      <c r="Z56" s="400">
        <f>+SUM('Admin-Finance'!AX6:AX8)</f>
        <v>46215.110000000015</v>
      </c>
      <c r="AA56" s="1050">
        <f>+SUM('Admin-Finance'!AY6:AY8)</f>
        <v>44584.9</v>
      </c>
      <c r="AB56" s="1051">
        <f>+SUM('Admin-Finance'!AZ6:AZ8)</f>
        <v>44233.48</v>
      </c>
      <c r="AC56" s="1051">
        <f>+SUM('Admin-Finance'!BA6:BA8)</f>
        <v>50422.29</v>
      </c>
      <c r="AD56" s="1051">
        <f>+SUM('Admin-Finance'!BB6:BB8)</f>
        <v>54065.14</v>
      </c>
      <c r="AE56" s="1051">
        <f>+SUM('Admin-Finance'!BC6:BC8)</f>
        <v>73515.92</v>
      </c>
      <c r="AF56" s="1051">
        <f>+SUM('Admin-Finance'!BD6:BD8)</f>
        <v>63455.14</v>
      </c>
      <c r="AG56" s="1051">
        <f>+SUM('Admin-Finance'!BE6:BE8)</f>
        <v>45607.22</v>
      </c>
      <c r="AH56" s="1051">
        <f>+SUM('Admin-Finance'!BF6:BF8)</f>
        <v>49141.58</v>
      </c>
      <c r="AI56" s="1051">
        <f>+SUM('Admin-Finance'!BG6:BG8)</f>
        <v>52773.520000000004</v>
      </c>
      <c r="AJ56" s="1051">
        <f>+SUM('Admin-Finance'!BH6:BH8)</f>
        <v>54294.950000000004</v>
      </c>
      <c r="AK56" s="1051">
        <f>+SUM('Admin-Finance'!BI6:BI8)</f>
        <v>55258.91</v>
      </c>
      <c r="AL56" s="1051">
        <f>+SUM('Admin-Finance'!BJ6:BJ8)</f>
        <v>56497.599999999999</v>
      </c>
      <c r="AM56" s="1051">
        <f>+SUM('Admin-Finance'!BK6:BK8)</f>
        <v>59097.270000000004</v>
      </c>
      <c r="AN56" s="1051">
        <f>+SUM('Admin-Finance'!BL6:BL8)</f>
        <v>52914.080000000002</v>
      </c>
      <c r="AO56" s="1051">
        <f>+SUM('Admin-Finance'!BM6:BM8)</f>
        <v>63308.87</v>
      </c>
      <c r="AP56" s="1051">
        <f>+SUM('Admin-Finance'!BN6:BN8)</f>
        <v>54232.81</v>
      </c>
      <c r="AQ56" s="1051">
        <f>+SUM('Admin-Finance'!BO6:BO8)</f>
        <v>62892</v>
      </c>
      <c r="AR56" s="1051">
        <f>+SUM('Admin-Finance'!BP6:BP8)</f>
        <v>65107.500000000007</v>
      </c>
      <c r="AS56" s="1051">
        <f>+SUM('Admin-Finance'!BQ6:BQ8)</f>
        <v>58383.74</v>
      </c>
      <c r="AT56" s="1051">
        <f>+SUM('Admin-Finance'!BR6:BR8)</f>
        <v>58290.33</v>
      </c>
      <c r="AU56" s="1051">
        <f>+SUM('Admin-Finance'!BS6:BS8)</f>
        <v>52698.3</v>
      </c>
      <c r="AV56" s="1051">
        <f>+SUM('Admin-Finance'!BT6:BT8)</f>
        <v>55525.31</v>
      </c>
      <c r="AW56" s="1051"/>
      <c r="AX56" s="1052"/>
      <c r="AY56" s="1052"/>
      <c r="AZ56" s="823"/>
      <c r="BA56" s="851"/>
      <c r="BB56" s="826"/>
      <c r="CM56" s="402"/>
      <c r="CO56" s="339"/>
      <c r="CP56" s="339"/>
    </row>
    <row r="57" spans="2:98" x14ac:dyDescent="0.3">
      <c r="B57" s="718" t="s">
        <v>923</v>
      </c>
      <c r="C57" s="398"/>
      <c r="D57" s="398"/>
      <c r="E57" s="398"/>
      <c r="F57" s="398"/>
      <c r="G57" s="398"/>
      <c r="H57" s="400"/>
      <c r="I57" s="400"/>
      <c r="J57" s="400"/>
      <c r="K57" s="400"/>
      <c r="L57" s="400"/>
      <c r="M57" s="400"/>
      <c r="N57" s="400"/>
      <c r="O57" s="400"/>
      <c r="P57" s="400"/>
      <c r="Q57" s="400"/>
      <c r="R57" s="400"/>
      <c r="S57" s="400"/>
      <c r="T57" s="400"/>
      <c r="U57" s="400"/>
      <c r="V57" s="400"/>
      <c r="W57" s="400"/>
      <c r="X57" s="400"/>
      <c r="Y57" s="400"/>
      <c r="Z57" s="400"/>
      <c r="AA57" s="1050">
        <f>SUM(Operations!AL7:AL10,Operations!AL21:AL23,Operations!AL36:AL38,Operations!AL50:AL52)</f>
        <v>257335.2099999999</v>
      </c>
      <c r="AB57" s="1051">
        <f>SUM('Sales &amp; Mktg'!AX59:AX62,Operations!AN21:AN23,Operations!AN36:AN38,Operations!AN50:AN52)</f>
        <v>225016.16</v>
      </c>
      <c r="AC57" s="1051">
        <f>SUM('Sales &amp; Mktg'!AY59:AY62,Operations!AO21:AO23,Operations!AO36:AO38,Operations!AO50:AO52)</f>
        <v>234768.23</v>
      </c>
      <c r="AD57" s="1051">
        <f>SUM('Sales &amp; Mktg'!AZ59:AZ62,Operations!AP21:AP23,Operations!AP36:AP38,Operations!AP50:AP52)</f>
        <v>294654.04000000004</v>
      </c>
      <c r="AE57" s="1051">
        <f>SUM('Sales &amp; Mktg'!BA59:BA62,Operations!AQ21:AQ23,Operations!AQ36:AQ38,Operations!AQ50:AQ52)</f>
        <v>233249.32000000004</v>
      </c>
      <c r="AF57" s="1051">
        <f>SUM('Sales &amp; Mktg'!BB59:BB62,Operations!AR21:AR23,Operations!AR36:AR38,Operations!AR50:AR52)</f>
        <v>263591.82</v>
      </c>
      <c r="AG57" s="1051">
        <f>SUM(Operations!AS7:AS10,Operations!AS21:AS23,Operations!AS36:AS38,Operations!AS50:AS52)</f>
        <v>220174.49000000002</v>
      </c>
      <c r="AH57" s="1051">
        <f>SUM(Operations!AT7:AT10,Operations!AT21:AT23,Operations!AT36:AT38,Operations!AT50:AT52)</f>
        <v>216354.94</v>
      </c>
      <c r="AI57" s="1051">
        <f>SUM(Operations!AU7:AU10,Operations!AU21:AU23,Operations!AU36:AU38,Operations!AU50:AU52)</f>
        <v>207466.14</v>
      </c>
      <c r="AJ57" s="1051">
        <f>SUM(Operations!AV7:AV10,Operations!AV21:AV23,Operations!AV36:AV38,Operations!AV50:AV52)</f>
        <v>205990.98</v>
      </c>
      <c r="AK57" s="1051">
        <f>SUM(Operations!AW7:AW10,Operations!AW21:AW23,Operations!AW36:AW38,Operations!AW50:AW52)</f>
        <v>195401.06999999998</v>
      </c>
      <c r="AL57" s="1051">
        <f>SUM(Operations!AX7:AX10,Operations!AX21:AX23,Operations!AX36:AX38,Operations!AX50:AX52)</f>
        <v>187628.58</v>
      </c>
      <c r="AM57" s="1051">
        <f>SUM(Operations!AY7:AY10,Operations!AY21:AY23,Operations!AY36:AY38,Operations!AY50:AY52)</f>
        <v>213723.22</v>
      </c>
      <c r="AN57" s="1051">
        <f>SUM(Operations!AZ7:AZ10,Operations!AZ21:AZ23,Operations!AZ36:AZ38,Operations!AZ50:AZ52)</f>
        <v>204907.04</v>
      </c>
      <c r="AO57" s="1051">
        <f>SUM(Operations!BA7:BA10,Operations!BA21:BA23,Operations!BA36:BA38,Operations!BA50:BA52)</f>
        <v>189841.02999999997</v>
      </c>
      <c r="AP57" s="1051">
        <f>SUM(Operations!BB7:BB10,Operations!BB21:BB23,Operations!BB36:BB38,Operations!BB50:BB52)</f>
        <v>256527.04</v>
      </c>
      <c r="AQ57" s="1051">
        <f>SUM(Operations!BC7:BC10,Operations!BC21:BC23,Operations!BC36:BC38,Operations!BC50:BC52)</f>
        <v>202040.90000000002</v>
      </c>
      <c r="AR57" s="1051">
        <f>SUM(Operations!BD7:BD10,Operations!BD21:BD23,Operations!BD36:BD38,Operations!BD50:BD52)</f>
        <v>226831.97000000003</v>
      </c>
      <c r="AS57" s="1051">
        <f>SUM(Operations!BE7:BE10,Operations!BE21:BE23,Operations!BE36:BE38,Operations!BE50:BE52)</f>
        <v>222849.95</v>
      </c>
      <c r="AT57" s="1051">
        <f>SUM(Operations!BF7:BF10,Operations!BF21:BF23,Operations!BF36:BF38,Operations!BF50:BF52)</f>
        <v>191567.13999999998</v>
      </c>
      <c r="AU57" s="1051">
        <f>SUM(Operations!BG7:BG10,Operations!BG21:BG23,Operations!BG36:BG38,Operations!BG50:BG52)</f>
        <v>208412.37000000002</v>
      </c>
      <c r="AV57" s="1051">
        <f>SUM(Operations!BH7:BH10,Operations!BH21:BH23,Operations!BH36:BH38,Operations!BH50:BH52)</f>
        <v>204622.33000000002</v>
      </c>
      <c r="AW57" s="1051"/>
      <c r="AX57" s="1052"/>
      <c r="AY57" s="1052"/>
      <c r="AZ57" s="823"/>
      <c r="BA57" s="851"/>
      <c r="BB57" s="826"/>
      <c r="CM57" s="398"/>
      <c r="CN57" s="29"/>
      <c r="CO57" s="399"/>
      <c r="CP57" s="399"/>
    </row>
    <row r="58" spans="2:98" x14ac:dyDescent="0.3">
      <c r="B58" s="718" t="s">
        <v>924</v>
      </c>
      <c r="C58" s="398"/>
      <c r="D58" s="398"/>
      <c r="E58" s="398"/>
      <c r="F58" s="398"/>
      <c r="G58" s="398"/>
      <c r="H58" s="400"/>
      <c r="I58" s="400"/>
      <c r="J58" s="400"/>
      <c r="K58" s="400"/>
      <c r="L58" s="400"/>
      <c r="M58" s="400"/>
      <c r="N58" s="400"/>
      <c r="O58" s="400"/>
      <c r="P58" s="400"/>
      <c r="Q58" s="400"/>
      <c r="R58" s="400"/>
      <c r="S58" s="400"/>
      <c r="T58" s="400"/>
      <c r="U58" s="400"/>
      <c r="V58" s="400"/>
      <c r="W58" s="400"/>
      <c r="X58" s="400"/>
      <c r="Y58" s="400"/>
      <c r="Z58" s="400"/>
      <c r="AA58" s="1050">
        <f>+SUM('Sales &amp; Mktg'!AV8:AV16,Innovation!AV8,Innovation!AV10:AV11,Innovation!AV23:AV28,'Sales &amp; Mktg'!AV41:AV43)</f>
        <v>49947.91</v>
      </c>
      <c r="AB58" s="1051">
        <f>+SUM('Sales &amp; Mktg'!AX8:AX16,Innovation!AX8,Innovation!AX10:AX11,Innovation!AX23:AX28,'Sales &amp; Mktg'!AX41:AX43)</f>
        <v>49171.579999999994</v>
      </c>
      <c r="AC58" s="1051">
        <f>+SUM('Sales &amp; Mktg'!AY8:AY16,Innovation!AY8,Innovation!AY10:AY11,Innovation!AY23:AY28,'Sales &amp; Mktg'!AY41:AY43)</f>
        <v>59489.210000000006</v>
      </c>
      <c r="AD58" s="1051">
        <f>+SUM('Sales &amp; Mktg'!AZ8:AZ16,Innovation!AZ8,Innovation!AZ10:AZ11,Innovation!AZ23:AZ28,'Sales &amp; Mktg'!AZ41:AZ43)</f>
        <v>48631.359999999993</v>
      </c>
      <c r="AE58" s="1051">
        <f>+SUM('Sales &amp; Mktg'!BA8:BA16,Innovation!BA8,Innovation!BA10:BA11,Innovation!BA23:BA28,'Sales &amp; Mktg'!BA41:BA43)</f>
        <v>59417.929999999993</v>
      </c>
      <c r="AF58" s="1051">
        <f>+SUM('Sales &amp; Mktg'!BB8:BB16,Innovation!BB8,Innovation!BB10:BB11,Innovation!BB23:BB28,'Sales &amp; Mktg'!BB41:BB43)</f>
        <v>67051.42</v>
      </c>
      <c r="AG58" s="1051">
        <f>+SUM('Sales &amp; Mktg'!BC8:BC16,Innovation!BC8,Innovation!BC10:BC11,Innovation!BC23:BC28,'Sales &amp; Mktg'!BC41:BC43)</f>
        <v>59818.459999999992</v>
      </c>
      <c r="AH58" s="1051">
        <f>+SUM('Sales &amp; Mktg'!BD8:BD16,Innovation!BD8,Innovation!BD10:BD11,Innovation!BD23:BD28,'Sales &amp; Mktg'!BD41:BD43)</f>
        <v>64542.209999999992</v>
      </c>
      <c r="AI58" s="1051">
        <f>+SUM('Sales &amp; Mktg'!BE8:BE16,Innovation!BE8,Innovation!BE10:BE11,Innovation!BE23:BE28,'Sales &amp; Mktg'!BE41:BE43)</f>
        <v>59288.560000000005</v>
      </c>
      <c r="AJ58" s="1051">
        <f>+SUM('Sales &amp; Mktg'!BF8:BF16,Innovation!BF8,Innovation!BF10:BF11,Innovation!BF23:BF28,'Sales &amp; Mktg'!BF41:BF43)</f>
        <v>58843.049999999996</v>
      </c>
      <c r="AK58" s="1051">
        <f>+SUM('Sales &amp; Mktg'!BG8:BG16,Innovation!BG8,Innovation!BG10:BG11,Innovation!BG23:BG28,'Sales &amp; Mktg'!BG41:BG43)</f>
        <v>61400.380000000005</v>
      </c>
      <c r="AL58" s="1051">
        <f>+SUM('Sales &amp; Mktg'!BH8:BH16,Innovation!BH8,Innovation!BH10:BH11,Innovation!BH23:BH28,'Sales &amp; Mktg'!BH41:BH43)</f>
        <v>61942.83</v>
      </c>
      <c r="AM58" s="1051">
        <f>+SUM('Sales &amp; Mktg'!BI8:BI16,Innovation!BI8,Innovation!BI10:BI11,Innovation!BI23:BI28,'Sales &amp; Mktg'!BI41:BI43)</f>
        <v>60877.74</v>
      </c>
      <c r="AN58" s="1051">
        <f>+SUM('Sales &amp; Mktg'!BJ8:BJ16,Innovation!BJ8,Innovation!BJ10:BJ11,Innovation!BJ23:BJ28,'Sales &amp; Mktg'!BJ41:BJ43)</f>
        <v>47929.590000000004</v>
      </c>
      <c r="AO58" s="1051">
        <f>+SUM('Sales &amp; Mktg'!BK8:BK16,Innovation!BK8,Innovation!BK10:BK11,Innovation!BK23:BK28,'Sales &amp; Mktg'!BK41:BK43)</f>
        <v>40648.53</v>
      </c>
      <c r="AP58" s="1051">
        <f>+SUM('Sales &amp; Mktg'!BL8:BL16,Innovation!BL8,Innovation!BL10:BL11,Innovation!BL23:BL28,'Sales &amp; Mktg'!BL41:BL43)</f>
        <v>61687.91</v>
      </c>
      <c r="AQ58" s="1051">
        <f>+SUM('Sales &amp; Mktg'!BM8:BM16,Innovation!BM8,Innovation!BM10:BM11,Innovation!BM23:BM28,'Sales &amp; Mktg'!BM41:BM43)</f>
        <v>36182.479999999996</v>
      </c>
      <c r="AR58" s="1051">
        <f>+SUM('Sales &amp; Mktg'!BN8:BN16,Innovation!BN8,Innovation!BN10:BN11,Innovation!BN23:BN28,'Sales &amp; Mktg'!BN41:BN43)</f>
        <v>73706.290000000008</v>
      </c>
      <c r="AS58" s="1051">
        <f>+SUM('Sales &amp; Mktg'!BO8:BO16,Innovation!BO8,Innovation!BO10:BO11,Innovation!BO23:BO28,'Sales &amp; Mktg'!BO41:BO43)</f>
        <v>73824.7</v>
      </c>
      <c r="AT58" s="1051">
        <f>+SUM('Sales &amp; Mktg'!BP8:BP16,Innovation!BP8,Innovation!BP10:BP11,Innovation!BP23:BP28,'Sales &amp; Mktg'!BP41:BP43)</f>
        <v>34218.85</v>
      </c>
      <c r="AU58" s="1051">
        <f>+SUM('Sales &amp; Mktg'!BQ8:BQ16,Innovation!BQ8,Innovation!BQ10:BQ11,Innovation!BQ23:BQ28,'Sales &amp; Mktg'!BQ41:BQ43)</f>
        <v>74760.77</v>
      </c>
      <c r="AV58" s="1051">
        <f>+SUM('Sales &amp; Mktg'!BR8:BR16,Innovation!BR8,Innovation!BR10:BR11,Innovation!BR23:BR28,'Sales &amp; Mktg'!BR41:BR43)</f>
        <v>40757.199999999997</v>
      </c>
      <c r="AW58" s="1051"/>
      <c r="AX58" s="1052"/>
      <c r="AY58" s="1052"/>
      <c r="AZ58" s="823"/>
      <c r="BA58" s="851"/>
      <c r="BB58" s="826"/>
      <c r="CM58" s="403"/>
      <c r="CN58" s="29"/>
      <c r="CO58" s="399"/>
      <c r="CP58" s="399"/>
    </row>
    <row r="59" spans="2:98" x14ac:dyDescent="0.3">
      <c r="B59" s="718" t="s">
        <v>925</v>
      </c>
      <c r="C59" s="398"/>
      <c r="D59" s="398"/>
      <c r="E59" s="398"/>
      <c r="F59" s="398"/>
      <c r="G59" s="398"/>
      <c r="H59" s="400"/>
      <c r="I59" s="400"/>
      <c r="J59" s="400"/>
      <c r="K59" s="400"/>
      <c r="L59" s="400"/>
      <c r="M59" s="400"/>
      <c r="N59" s="400"/>
      <c r="O59" s="400"/>
      <c r="P59" s="400"/>
      <c r="Q59" s="400"/>
      <c r="R59" s="400"/>
      <c r="S59" s="400"/>
      <c r="T59" s="400"/>
      <c r="U59" s="400"/>
      <c r="V59" s="400"/>
      <c r="W59" s="400"/>
      <c r="X59" s="400"/>
      <c r="Y59" s="400"/>
      <c r="Z59" s="400"/>
      <c r="AA59" s="1050">
        <f>+SUM('Admin-Finance'!AX6:AX8)</f>
        <v>46215.110000000015</v>
      </c>
      <c r="AB59" s="1051">
        <f>+SUM('Admin-Finance'!AY6:AY8)</f>
        <v>44584.9</v>
      </c>
      <c r="AC59" s="1051">
        <f>+SUM('Admin-Finance'!AZ6:AZ8)</f>
        <v>44233.48</v>
      </c>
      <c r="AD59" s="1051">
        <f>+SUM('Admin-Finance'!BA6:BA8)</f>
        <v>50422.29</v>
      </c>
      <c r="AE59" s="1051">
        <f>+SUM('Admin-Finance'!BB6:BB8)</f>
        <v>54065.14</v>
      </c>
      <c r="AF59" s="1051">
        <f>+SUM('Admin-Finance'!BC6:BC8)</f>
        <v>73515.92</v>
      </c>
      <c r="AG59" s="1051">
        <f>+SUM('Admin-Finance'!BD6:BD8)</f>
        <v>63455.14</v>
      </c>
      <c r="AH59" s="1051">
        <f>+SUM('Admin-Finance'!BE6:BE8)</f>
        <v>45607.22</v>
      </c>
      <c r="AI59" s="1051">
        <f>+SUM('Admin-Finance'!BF6:BF8)</f>
        <v>49141.58</v>
      </c>
      <c r="AJ59" s="1051">
        <f>+SUM('Admin-Finance'!BG6:BG8)</f>
        <v>52773.520000000004</v>
      </c>
      <c r="AK59" s="1051">
        <f>+SUM('Admin-Finance'!BH6:BH8)</f>
        <v>54294.950000000004</v>
      </c>
      <c r="AL59" s="1051">
        <f>+SUM('Admin-Finance'!BI6:BI8)</f>
        <v>55258.91</v>
      </c>
      <c r="AM59" s="1051">
        <f>+SUM('Admin-Finance'!BJ6:BJ8)</f>
        <v>56497.599999999999</v>
      </c>
      <c r="AN59" s="1051">
        <f>+SUM('Admin-Finance'!BK6:BK8)</f>
        <v>59097.270000000004</v>
      </c>
      <c r="AO59" s="1051">
        <f>+SUM('Admin-Finance'!BL6:BL8)</f>
        <v>52914.080000000002</v>
      </c>
      <c r="AP59" s="1051">
        <f>+SUM('Admin-Finance'!BM6:BM8)</f>
        <v>63308.87</v>
      </c>
      <c r="AQ59" s="1051">
        <f>+SUM('Admin-Finance'!BN6:BN8)</f>
        <v>54232.81</v>
      </c>
      <c r="AR59" s="1051">
        <f>+SUM('Admin-Finance'!BO6:BO8)</f>
        <v>62892</v>
      </c>
      <c r="AS59" s="1051">
        <f>+SUM('Admin-Finance'!BP6:BP8)</f>
        <v>65107.500000000007</v>
      </c>
      <c r="AT59" s="1051">
        <f>+SUM('Admin-Finance'!BQ6:BQ8)</f>
        <v>58383.74</v>
      </c>
      <c r="AU59" s="1051">
        <f>+SUM('Admin-Finance'!BR6:BR8)</f>
        <v>58290.33</v>
      </c>
      <c r="AV59" s="1051">
        <f>+SUM('Admin-Finance'!BS6:BS8)</f>
        <v>52698.3</v>
      </c>
      <c r="AW59" s="1051"/>
      <c r="AX59" s="1218"/>
      <c r="AY59" s="1056"/>
      <c r="AZ59" s="839"/>
      <c r="BA59" s="1057"/>
      <c r="BB59" s="828"/>
      <c r="CM59" s="403"/>
      <c r="CN59" s="29"/>
      <c r="CO59" s="399"/>
      <c r="CP59" s="399"/>
    </row>
    <row r="60" spans="2:98" x14ac:dyDescent="0.3">
      <c r="V60" s="401"/>
      <c r="W60" s="401"/>
      <c r="X60" s="833"/>
      <c r="Y60" s="401"/>
      <c r="Z60" s="401"/>
      <c r="AA60" s="1050"/>
      <c r="AB60" s="1051"/>
      <c r="AC60" s="1051"/>
      <c r="AD60" s="1051"/>
      <c r="AE60" s="1051"/>
      <c r="AF60" s="1051"/>
      <c r="AG60" s="1051"/>
      <c r="AH60" s="1051"/>
      <c r="AI60" s="1051"/>
      <c r="AJ60" s="1051"/>
      <c r="AK60" s="1051"/>
      <c r="AL60" s="1051"/>
      <c r="AM60" s="1051"/>
      <c r="AN60" s="1051"/>
      <c r="AO60" s="1051"/>
      <c r="AP60" s="1051"/>
      <c r="AQ60" s="1051"/>
      <c r="AR60" s="1051"/>
      <c r="AS60" s="1051"/>
      <c r="AT60" s="1051"/>
      <c r="AU60" s="1051"/>
      <c r="AV60" s="1051"/>
      <c r="AW60" s="1051"/>
      <c r="AX60" s="1051"/>
      <c r="AY60" s="1051"/>
      <c r="AZ60" s="1054"/>
      <c r="BA60" s="1054"/>
      <c r="BB60" s="401"/>
      <c r="CM60" s="403"/>
      <c r="CO60" s="399"/>
      <c r="CP60" s="399"/>
    </row>
    <row r="61" spans="2:98" x14ac:dyDescent="0.3">
      <c r="W61" s="401"/>
      <c r="X61" s="401"/>
      <c r="Y61" s="401"/>
      <c r="Z61" s="401"/>
      <c r="AA61" s="733"/>
      <c r="AB61" s="734">
        <v>2016</v>
      </c>
      <c r="AC61" s="734">
        <v>2017</v>
      </c>
      <c r="AD61" s="734">
        <v>2018</v>
      </c>
      <c r="AE61" s="734">
        <v>2019</v>
      </c>
      <c r="AF61" s="734">
        <v>2020</v>
      </c>
      <c r="AG61" s="734" t="s">
        <v>894</v>
      </c>
      <c r="AH61" s="996">
        <v>2022</v>
      </c>
      <c r="AI61" s="996" t="s">
        <v>1364</v>
      </c>
      <c r="AJ61" s="401"/>
      <c r="AK61" s="401"/>
      <c r="AL61" s="401"/>
      <c r="AM61" s="401"/>
      <c r="AN61" s="401"/>
      <c r="AO61" s="401"/>
      <c r="AP61" s="401"/>
      <c r="AQ61" s="401"/>
      <c r="AR61" s="401"/>
      <c r="AS61" s="401"/>
      <c r="AT61" s="401"/>
      <c r="AU61" s="401"/>
      <c r="AV61" s="401"/>
      <c r="AW61" s="401"/>
      <c r="AX61" s="401"/>
      <c r="AY61" s="401"/>
      <c r="AZ61" s="399"/>
      <c r="BA61" s="399"/>
      <c r="BB61" s="401"/>
      <c r="CM61" s="398"/>
      <c r="CN61" s="29"/>
      <c r="CO61" s="399"/>
      <c r="CP61" s="399"/>
    </row>
    <row r="62" spans="2:98" x14ac:dyDescent="0.3">
      <c r="W62" s="399"/>
      <c r="X62" s="399"/>
      <c r="Y62" s="399"/>
      <c r="Z62" s="399"/>
      <c r="AA62" s="735" t="s">
        <v>422</v>
      </c>
      <c r="AB62" s="736">
        <v>1.7175541549014883</v>
      </c>
      <c r="AC62" s="736">
        <v>1.8808320222022097</v>
      </c>
      <c r="AD62" s="736">
        <v>1.5499207568509525</v>
      </c>
      <c r="AE62" s="736">
        <v>1.9435781557883265</v>
      </c>
      <c r="AF62" s="736">
        <v>1.5205293373601991</v>
      </c>
      <c r="AG62" s="736">
        <v>1.3177505487046286</v>
      </c>
      <c r="AH62" s="736">
        <v>1.2930578770521204</v>
      </c>
      <c r="AI62" s="717">
        <f>BA21</f>
        <v>1.5563747839584265</v>
      </c>
      <c r="AJ62" s="399"/>
      <c r="AK62" s="399"/>
      <c r="AL62" s="399"/>
      <c r="AM62" s="399"/>
      <c r="AN62" s="399"/>
      <c r="AO62" s="399"/>
      <c r="AP62" s="399"/>
      <c r="AQ62" s="399"/>
      <c r="AR62" s="399"/>
      <c r="AS62" s="399"/>
      <c r="AT62" s="399"/>
      <c r="AU62" s="399"/>
      <c r="AV62" s="399"/>
      <c r="AW62" s="399"/>
      <c r="AX62" s="399"/>
      <c r="AY62" s="399"/>
      <c r="AZ62" s="399"/>
      <c r="BA62" s="399"/>
      <c r="BB62" s="399"/>
      <c r="BK62" s="311"/>
      <c r="CB62" s="311"/>
      <c r="CM62" s="403"/>
      <c r="CN62" s="29"/>
      <c r="CO62" s="399"/>
      <c r="CP62" s="399"/>
    </row>
    <row r="63" spans="2:98" x14ac:dyDescent="0.3">
      <c r="W63" s="402"/>
      <c r="X63" s="402"/>
      <c r="Y63" s="402"/>
      <c r="Z63" s="402"/>
      <c r="AA63" s="735" t="s">
        <v>423</v>
      </c>
      <c r="AB63" s="736">
        <v>0.91871979409343241</v>
      </c>
      <c r="AC63" s="736">
        <v>0.6329443243562145</v>
      </c>
      <c r="AD63" s="736">
        <v>2.310467938464579</v>
      </c>
      <c r="AE63" s="736">
        <v>1.3738212830553447</v>
      </c>
      <c r="AF63" s="736">
        <v>1.8042365124956932</v>
      </c>
      <c r="AG63" s="736">
        <v>2.899458658551358</v>
      </c>
      <c r="AH63" s="736">
        <v>2.0040968262651671</v>
      </c>
      <c r="AI63" s="1254">
        <f>BA22</f>
        <v>2.527417464432002</v>
      </c>
      <c r="AJ63" s="402"/>
      <c r="AK63" s="402"/>
      <c r="AL63" s="402"/>
      <c r="AM63" s="402"/>
      <c r="AN63" s="402"/>
      <c r="AO63" s="402"/>
      <c r="AP63" s="402"/>
      <c r="AQ63" s="402"/>
      <c r="AR63" s="402"/>
      <c r="AS63" s="402"/>
      <c r="AT63" s="402"/>
      <c r="AU63" s="402"/>
      <c r="AV63" s="402"/>
      <c r="AW63" s="402"/>
      <c r="AX63" s="402"/>
      <c r="AY63" s="402"/>
      <c r="AZ63" s="339"/>
      <c r="BA63" s="339"/>
      <c r="BB63" s="402"/>
      <c r="BK63" s="405"/>
      <c r="CB63" s="405"/>
      <c r="CM63" s="404"/>
      <c r="CN63" s="29"/>
      <c r="CO63" s="399"/>
      <c r="CP63" s="399"/>
    </row>
    <row r="64" spans="2:98" x14ac:dyDescent="0.3">
      <c r="W64" s="398"/>
      <c r="X64" s="398"/>
      <c r="Y64" s="398"/>
      <c r="Z64" s="398"/>
      <c r="AA64" s="737" t="s">
        <v>424</v>
      </c>
      <c r="AB64" s="738">
        <v>1363627</v>
      </c>
      <c r="AC64" s="738">
        <v>1256846</v>
      </c>
      <c r="AD64" s="738">
        <v>1586060</v>
      </c>
      <c r="AE64" s="738">
        <v>2121249</v>
      </c>
      <c r="AF64" s="738">
        <v>1697943.0300000003</v>
      </c>
      <c r="AG64" s="739">
        <v>2131836.5799999991</v>
      </c>
      <c r="AH64" s="739">
        <v>2326244.5600000005</v>
      </c>
      <c r="AI64" s="1051">
        <f>BA25</f>
        <v>3850042.1999999993</v>
      </c>
      <c r="AJ64" s="398"/>
      <c r="AK64" s="398"/>
      <c r="AL64" s="398"/>
      <c r="AM64" s="398"/>
      <c r="AN64" s="398"/>
      <c r="AO64" s="398"/>
      <c r="AP64" s="398"/>
      <c r="AQ64" s="398"/>
      <c r="AR64" s="398"/>
      <c r="AS64" s="398"/>
      <c r="AT64" s="398"/>
      <c r="AU64" s="398"/>
      <c r="AV64" s="398"/>
      <c r="AW64" s="398"/>
      <c r="AX64" s="398"/>
      <c r="AY64" s="398"/>
      <c r="AZ64" s="399"/>
      <c r="BA64" s="399"/>
      <c r="BB64" s="398"/>
      <c r="BK64" s="405"/>
      <c r="CB64" s="405"/>
      <c r="CM64" s="404"/>
      <c r="CO64" s="399"/>
      <c r="CP64" s="399"/>
      <c r="CQ64" s="29"/>
      <c r="CR64" s="29"/>
      <c r="CS64" s="29"/>
      <c r="CT64" s="29"/>
    </row>
    <row r="65" spans="23:98" x14ac:dyDescent="0.3">
      <c r="W65" s="403"/>
      <c r="X65" s="403"/>
      <c r="Y65" s="403"/>
      <c r="Z65" s="403"/>
      <c r="AA65" s="737" t="s">
        <v>442</v>
      </c>
      <c r="AB65" s="738">
        <v>-95187</v>
      </c>
      <c r="AC65" s="738">
        <v>480229</v>
      </c>
      <c r="AD65" s="738">
        <v>-77604</v>
      </c>
      <c r="AE65" s="738">
        <v>320470</v>
      </c>
      <c r="AF65" s="738">
        <v>506118.31000000006</v>
      </c>
      <c r="AG65" s="739">
        <v>661090</v>
      </c>
      <c r="AH65" s="739">
        <v>504201.58000000054</v>
      </c>
      <c r="AI65" s="1255">
        <f>BA26</f>
        <v>2823961.7699999991</v>
      </c>
      <c r="AJ65" s="403"/>
      <c r="AK65" s="403"/>
      <c r="AL65" s="403"/>
      <c r="AM65" s="403"/>
      <c r="AN65" s="403"/>
      <c r="AO65" s="403"/>
      <c r="AP65" s="403"/>
      <c r="AQ65" s="403"/>
      <c r="AR65" s="403"/>
      <c r="AS65" s="403"/>
      <c r="AT65" s="403"/>
      <c r="AU65" s="403"/>
      <c r="AV65" s="403"/>
      <c r="AW65" s="403"/>
      <c r="AX65" s="403"/>
      <c r="AY65" s="403"/>
      <c r="AZ65" s="399"/>
      <c r="BA65" s="399"/>
      <c r="BB65" s="403"/>
      <c r="BK65" s="303"/>
      <c r="CB65" s="303"/>
      <c r="CM65" s="406"/>
      <c r="CO65" s="399"/>
      <c r="CP65" s="399"/>
      <c r="CQ65" s="29"/>
      <c r="CR65" s="29"/>
      <c r="CS65" s="29"/>
      <c r="CT65" s="29"/>
    </row>
    <row r="66" spans="23:98" x14ac:dyDescent="0.3">
      <c r="W66" s="403"/>
      <c r="X66" s="403"/>
      <c r="Y66" s="403"/>
      <c r="Z66" s="403"/>
      <c r="AA66" s="740"/>
      <c r="AB66" s="740"/>
      <c r="AC66" s="740"/>
      <c r="AD66" s="740"/>
      <c r="AE66" s="740"/>
      <c r="AF66" s="740"/>
      <c r="AG66" s="740"/>
      <c r="AH66" s="740"/>
      <c r="AI66" s="403"/>
      <c r="AJ66" s="403"/>
      <c r="AK66" s="403"/>
      <c r="AL66" s="403"/>
      <c r="AM66" s="403"/>
      <c r="AN66" s="403"/>
      <c r="AO66" s="403"/>
      <c r="AP66" s="403"/>
      <c r="AQ66" s="403"/>
      <c r="AR66" s="403"/>
      <c r="AS66" s="403"/>
      <c r="AT66" s="403"/>
      <c r="AU66" s="403"/>
      <c r="AV66" s="403"/>
      <c r="AW66" s="403"/>
      <c r="AX66" s="403"/>
      <c r="AY66" s="403"/>
      <c r="AZ66" s="399"/>
      <c r="BA66" s="399"/>
      <c r="BB66" s="403"/>
      <c r="BK66" s="303"/>
      <c r="CB66" s="303"/>
      <c r="CM66" s="406"/>
      <c r="CO66" s="399"/>
      <c r="CP66" s="399"/>
      <c r="CQ66" s="29"/>
      <c r="CR66" s="29"/>
      <c r="CS66" s="29"/>
      <c r="CT66" s="29"/>
    </row>
    <row r="67" spans="23:98" x14ac:dyDescent="0.3">
      <c r="W67" s="403"/>
      <c r="X67" s="403"/>
      <c r="Y67" s="403"/>
      <c r="Z67" s="403"/>
      <c r="AA67" s="737" t="s">
        <v>0</v>
      </c>
      <c r="AB67" s="741">
        <v>6682214</v>
      </c>
      <c r="AC67" s="741">
        <v>8804022</v>
      </c>
      <c r="AD67" s="741">
        <v>10015716</v>
      </c>
      <c r="AE67" s="741">
        <v>11178164</v>
      </c>
      <c r="AF67" s="741">
        <v>10185597.289999999</v>
      </c>
      <c r="AG67" s="741">
        <v>12555627.109196002</v>
      </c>
      <c r="AH67" s="741">
        <v>15586286.800000001</v>
      </c>
      <c r="AI67" s="1255">
        <f>BA4</f>
        <v>17611489.509999998</v>
      </c>
      <c r="AJ67" s="403"/>
      <c r="AK67" s="403"/>
      <c r="AL67" s="403"/>
      <c r="AM67" s="403"/>
      <c r="AN67" s="403"/>
      <c r="AO67" s="403"/>
      <c r="AP67" s="403"/>
      <c r="AQ67" s="403"/>
      <c r="AR67" s="403"/>
      <c r="AS67" s="403"/>
      <c r="AT67" s="403"/>
      <c r="AU67" s="403"/>
      <c r="AV67" s="403"/>
      <c r="AW67" s="403"/>
      <c r="AX67" s="403"/>
      <c r="AY67" s="403"/>
      <c r="AZ67" s="399"/>
      <c r="BA67" s="399"/>
      <c r="BB67" s="403"/>
      <c r="BK67" s="303"/>
      <c r="CB67" s="303"/>
      <c r="CM67" s="406"/>
      <c r="CO67" s="399"/>
      <c r="CP67" s="399"/>
    </row>
    <row r="68" spans="23:98" x14ac:dyDescent="0.3">
      <c r="W68" s="403"/>
      <c r="X68" s="398"/>
      <c r="Y68" s="398"/>
      <c r="Z68" s="398"/>
      <c r="AA68" s="737" t="s">
        <v>220</v>
      </c>
      <c r="AB68" s="741">
        <v>862118</v>
      </c>
      <c r="AC68" s="741">
        <v>980904</v>
      </c>
      <c r="AD68" s="741">
        <v>891633</v>
      </c>
      <c r="AE68" s="741">
        <v>1290965</v>
      </c>
      <c r="AF68" s="741">
        <v>716383.09000000055</v>
      </c>
      <c r="AG68" s="741">
        <v>914826</v>
      </c>
      <c r="AH68" s="741">
        <v>1805219.8898443622</v>
      </c>
      <c r="AI68" s="1051">
        <f>BA10</f>
        <v>2292654.8268784429</v>
      </c>
      <c r="AJ68" s="398"/>
      <c r="AK68" s="398"/>
      <c r="AL68" s="398"/>
      <c r="AM68" s="398"/>
      <c r="AN68" s="398"/>
      <c r="AO68" s="398"/>
      <c r="AP68" s="398"/>
      <c r="AQ68" s="398"/>
      <c r="AR68" s="398"/>
      <c r="AS68" s="398"/>
      <c r="AT68" s="398"/>
      <c r="AU68" s="398"/>
      <c r="AV68" s="398"/>
      <c r="AW68" s="398"/>
      <c r="AX68" s="398"/>
      <c r="AY68" s="398"/>
      <c r="AZ68" s="399"/>
      <c r="BA68" s="399"/>
      <c r="BB68" s="398"/>
      <c r="BK68" s="303"/>
      <c r="CB68" s="303"/>
      <c r="CM68" s="406"/>
      <c r="CO68" s="399"/>
      <c r="CP68" s="399"/>
      <c r="CQ68" s="29"/>
      <c r="CR68" s="29"/>
      <c r="CS68" s="29"/>
      <c r="CT68" s="29"/>
    </row>
    <row r="69" spans="23:98" x14ac:dyDescent="0.3">
      <c r="W69" s="398"/>
      <c r="X69" s="403"/>
      <c r="Y69" s="403"/>
      <c r="Z69" s="403"/>
      <c r="AA69" s="737" t="s">
        <v>443</v>
      </c>
      <c r="AB69" s="742">
        <v>1.9658857060369746E-2</v>
      </c>
      <c r="AC69" s="742">
        <v>0.31753068668558054</v>
      </c>
      <c r="AD69" s="742">
        <v>0.13762959701827188</v>
      </c>
      <c r="AE69" s="742">
        <v>0.11606239633791533</v>
      </c>
      <c r="AF69" s="742">
        <v>-8.8795146501697494E-2</v>
      </c>
      <c r="AG69" s="742">
        <v>0.23268442210284979</v>
      </c>
      <c r="AH69" s="742">
        <v>0.24137859976617823</v>
      </c>
      <c r="AI69" s="1256">
        <f>AI67/AH67-1</f>
        <v>0.12993490598414992</v>
      </c>
      <c r="AJ69" s="403"/>
      <c r="AK69" s="403"/>
      <c r="AL69" s="403"/>
      <c r="AM69" s="403"/>
      <c r="AN69" s="403"/>
      <c r="AO69" s="403"/>
      <c r="AP69" s="403"/>
      <c r="AQ69" s="403"/>
      <c r="AR69" s="403"/>
      <c r="AS69" s="403"/>
      <c r="AT69" s="403"/>
      <c r="AU69" s="403"/>
      <c r="AV69" s="403"/>
      <c r="AW69" s="403"/>
      <c r="AX69" s="403"/>
      <c r="AY69" s="403"/>
      <c r="AZ69" s="399"/>
      <c r="BA69" s="399"/>
      <c r="BB69" s="403"/>
      <c r="CM69" s="398"/>
      <c r="CO69" s="399"/>
      <c r="CP69" s="399"/>
      <c r="CQ69" s="29"/>
      <c r="CR69" s="29"/>
      <c r="CS69" s="29"/>
      <c r="CT69" s="29"/>
    </row>
    <row r="70" spans="23:98" x14ac:dyDescent="0.3">
      <c r="W70" s="403"/>
      <c r="X70" s="404"/>
      <c r="Y70" s="404"/>
      <c r="Z70" s="404"/>
      <c r="AA70" s="735" t="s">
        <v>444</v>
      </c>
      <c r="AB70" s="743">
        <v>0.31279498127836897</v>
      </c>
      <c r="AC70" s="743">
        <v>0.38193299406454206</v>
      </c>
      <c r="AD70" s="742">
        <v>0.35236395365663559</v>
      </c>
      <c r="AE70" s="742">
        <v>0.35457549200387467</v>
      </c>
      <c r="AF70" s="742">
        <v>0.29040183562961192</v>
      </c>
      <c r="AG70" s="743">
        <v>0.2940179833283843</v>
      </c>
      <c r="AH70" s="743">
        <v>0.31104281425130709</v>
      </c>
      <c r="AI70" s="403">
        <f>BA6</f>
        <v>0.40589046633114689</v>
      </c>
      <c r="AJ70" s="404"/>
      <c r="AK70" s="404"/>
      <c r="AL70" s="404"/>
      <c r="AM70" s="404"/>
      <c r="AN70" s="404"/>
      <c r="AO70" s="404"/>
      <c r="AP70" s="404"/>
      <c r="AQ70" s="404"/>
      <c r="AR70" s="404"/>
      <c r="AS70" s="404"/>
      <c r="AT70" s="404"/>
      <c r="AU70" s="404"/>
      <c r="AV70" s="404"/>
      <c r="AW70" s="404"/>
      <c r="AX70" s="404"/>
      <c r="AY70" s="404"/>
      <c r="AZ70" s="399"/>
      <c r="BA70" s="399"/>
      <c r="BB70" s="404"/>
      <c r="CM70" s="403"/>
      <c r="CO70" s="399"/>
      <c r="CP70" s="399"/>
      <c r="CQ70" s="29"/>
      <c r="CR70" s="29"/>
      <c r="CS70" s="29"/>
      <c r="CT70" s="29"/>
    </row>
    <row r="71" spans="23:98" x14ac:dyDescent="0.3">
      <c r="W71" s="404"/>
      <c r="X71" s="404"/>
      <c r="Y71" s="404"/>
      <c r="Z71" s="404"/>
      <c r="AA71" s="735" t="s">
        <v>445</v>
      </c>
      <c r="AB71" s="743">
        <v>4.7301683314050672E-2</v>
      </c>
      <c r="AC71" s="743">
        <v>9.8733144433865785E-2</v>
      </c>
      <c r="AD71" s="743">
        <v>8.6594399695957142E-2</v>
      </c>
      <c r="AE71" s="743">
        <v>9.1058155883202291E-2</v>
      </c>
      <c r="AF71" s="743">
        <v>3.3916145530234344E-2</v>
      </c>
      <c r="AG71" s="743">
        <v>5.2964299928351666E-2</v>
      </c>
      <c r="AH71" s="743">
        <v>9.638999136086733E-2</v>
      </c>
      <c r="AI71" s="403">
        <f>BA9</f>
        <v>0.1048420134453466</v>
      </c>
      <c r="AJ71" s="404"/>
      <c r="AK71" s="404"/>
      <c r="AL71" s="404"/>
      <c r="AM71" s="404"/>
      <c r="AN71" s="404"/>
      <c r="AO71" s="404"/>
      <c r="AP71" s="404"/>
      <c r="AQ71" s="404"/>
      <c r="AR71" s="404"/>
      <c r="AS71" s="404"/>
      <c r="AT71" s="404"/>
      <c r="AU71" s="404"/>
      <c r="AV71" s="404"/>
      <c r="AW71" s="404"/>
      <c r="AX71" s="404"/>
      <c r="AY71" s="404"/>
      <c r="AZ71" s="399"/>
      <c r="BA71" s="399"/>
      <c r="BB71" s="404"/>
      <c r="CM71" s="403"/>
      <c r="CO71" s="399"/>
      <c r="CP71" s="399"/>
    </row>
    <row r="72" spans="23:98" x14ac:dyDescent="0.3">
      <c r="W72" s="404"/>
      <c r="X72" s="406"/>
      <c r="Y72" s="406"/>
      <c r="Z72" s="406"/>
      <c r="AA72" s="735" t="s">
        <v>446</v>
      </c>
      <c r="AB72" s="743">
        <v>4.5656120763294436E-2</v>
      </c>
      <c r="AC72" s="743">
        <v>9.7650569107783733E-2</v>
      </c>
      <c r="AD72" s="743">
        <v>8.2094297356367349E-2</v>
      </c>
      <c r="AE72" s="743">
        <v>8.9995906304470033E-2</v>
      </c>
      <c r="AF72" s="743">
        <v>8.0683954666737126E-2</v>
      </c>
      <c r="AG72" s="743">
        <v>5.2964299928351666E-2</v>
      </c>
      <c r="AH72" s="743">
        <v>9.5333197641403619E-2</v>
      </c>
      <c r="AI72" s="403">
        <f>AI71</f>
        <v>0.1048420134453466</v>
      </c>
      <c r="AJ72" s="406"/>
      <c r="AK72" s="406"/>
      <c r="AL72" s="406"/>
      <c r="AM72" s="406"/>
      <c r="AN72" s="406"/>
      <c r="AO72" s="406"/>
      <c r="AP72" s="406"/>
      <c r="AQ72" s="406"/>
      <c r="AR72" s="406"/>
      <c r="AS72" s="406"/>
      <c r="AT72" s="406"/>
      <c r="AU72" s="406"/>
      <c r="AV72" s="406"/>
      <c r="AW72" s="406"/>
      <c r="AX72" s="406"/>
      <c r="AY72" s="406"/>
      <c r="AZ72" s="399"/>
      <c r="BA72" s="399"/>
      <c r="BB72" s="406"/>
      <c r="CM72" s="403"/>
      <c r="CO72" s="399"/>
      <c r="CP72" s="399"/>
    </row>
    <row r="73" spans="23:98" x14ac:dyDescent="0.3">
      <c r="W73" s="406"/>
      <c r="X73" s="406"/>
      <c r="Y73" s="406"/>
      <c r="Z73" s="406"/>
      <c r="AA73" s="740"/>
      <c r="AB73" s="744"/>
      <c r="AC73" s="744"/>
      <c r="AD73" s="744"/>
      <c r="AE73" s="744"/>
      <c r="AF73" s="744"/>
      <c r="AG73" s="744"/>
      <c r="AH73" s="744"/>
      <c r="AI73" s="403"/>
      <c r="AJ73" s="406"/>
      <c r="AK73" s="406"/>
      <c r="AL73" s="406"/>
      <c r="AM73" s="406"/>
      <c r="AN73" s="406"/>
      <c r="AO73" s="406"/>
      <c r="AP73" s="406"/>
      <c r="AQ73" s="406"/>
      <c r="AR73" s="406"/>
      <c r="AS73" s="406"/>
      <c r="AT73" s="406"/>
      <c r="AU73" s="406"/>
      <c r="AV73" s="406"/>
      <c r="AW73" s="406"/>
      <c r="AX73" s="406"/>
      <c r="AY73" s="406"/>
      <c r="AZ73" s="399"/>
      <c r="BA73" s="399"/>
      <c r="BB73" s="406"/>
      <c r="CM73" s="403"/>
      <c r="CO73" s="399"/>
      <c r="CP73" s="399"/>
    </row>
    <row r="74" spans="23:98" x14ac:dyDescent="0.3">
      <c r="W74" s="406"/>
      <c r="X74" s="406"/>
      <c r="Y74" s="406"/>
      <c r="Z74" s="406"/>
      <c r="AA74" s="735" t="s">
        <v>447</v>
      </c>
      <c r="AB74" s="743">
        <v>0.31545493352464649</v>
      </c>
      <c r="AC74" s="743">
        <v>0.32060526242247805</v>
      </c>
      <c r="AD74" s="743">
        <v>0.35662444495223039</v>
      </c>
      <c r="AE74" s="743">
        <v>0.46314976081345088</v>
      </c>
      <c r="AF74" s="743">
        <v>0.36188623703472506</v>
      </c>
      <c r="AG74" s="743">
        <v>0.39</v>
      </c>
      <c r="AH74" s="743">
        <v>0.46904757663541613</v>
      </c>
      <c r="AI74" s="403">
        <f>BA8/BA19</f>
        <v>0.44188138757872464</v>
      </c>
      <c r="AJ74" s="406"/>
      <c r="AK74" s="406"/>
      <c r="AL74" s="406"/>
      <c r="AM74" s="406"/>
      <c r="AN74" s="406"/>
      <c r="AO74" s="406"/>
      <c r="AP74" s="406"/>
      <c r="AQ74" s="406"/>
      <c r="AR74" s="406"/>
      <c r="AS74" s="406"/>
      <c r="AT74" s="406"/>
      <c r="AU74" s="406"/>
      <c r="AV74" s="406"/>
      <c r="AW74" s="406"/>
      <c r="AX74" s="406"/>
      <c r="AY74" s="406"/>
      <c r="AZ74" s="399"/>
      <c r="BA74" s="399"/>
      <c r="BB74" s="406"/>
      <c r="CM74" s="398"/>
      <c r="CO74" s="399"/>
      <c r="CP74" s="399"/>
    </row>
    <row r="75" spans="23:98" x14ac:dyDescent="0.3">
      <c r="W75" s="406"/>
      <c r="X75" s="406"/>
      <c r="Y75" s="406"/>
      <c r="Z75" s="406"/>
      <c r="AA75" s="735" t="s">
        <v>448</v>
      </c>
      <c r="AB75" s="745">
        <v>6.1287229056663648</v>
      </c>
      <c r="AC75" s="745">
        <v>14.837447439602942</v>
      </c>
      <c r="AD75" s="745">
        <v>8.4661269245009017</v>
      </c>
      <c r="AE75" s="745">
        <v>11.31611221727629</v>
      </c>
      <c r="AF75" s="745">
        <v>9.588886390455853</v>
      </c>
      <c r="AG75" s="745">
        <v>10.95403645347076</v>
      </c>
      <c r="AH75" s="745">
        <v>10.604119721996204</v>
      </c>
      <c r="AI75" s="406">
        <f t="shared" ref="AI75:AI80" si="57">BA35</f>
        <v>14.684760377320227</v>
      </c>
      <c r="AJ75" s="406"/>
      <c r="AK75" s="406"/>
      <c r="AL75" s="406"/>
      <c r="AM75" s="406"/>
      <c r="AN75" s="406"/>
      <c r="AO75" s="406"/>
      <c r="AP75" s="406"/>
      <c r="AQ75" s="406"/>
      <c r="AR75" s="406"/>
      <c r="AS75" s="406"/>
      <c r="AT75" s="406"/>
      <c r="AU75" s="406"/>
      <c r="AV75" s="406"/>
      <c r="AW75" s="406"/>
      <c r="AX75" s="406"/>
      <c r="AY75" s="406"/>
      <c r="AZ75" s="399"/>
      <c r="BA75" s="399"/>
      <c r="BB75" s="406"/>
      <c r="CM75" s="401"/>
      <c r="CO75" s="399"/>
      <c r="CP75" s="399"/>
    </row>
    <row r="76" spans="23:98" x14ac:dyDescent="0.3">
      <c r="W76" s="406"/>
      <c r="X76" s="398"/>
      <c r="Y76" s="398"/>
      <c r="Z76" s="398"/>
      <c r="AA76" s="735" t="s">
        <v>449</v>
      </c>
      <c r="AB76" s="745">
        <v>59.555637547675069</v>
      </c>
      <c r="AC76" s="745">
        <v>24.59991865081664</v>
      </c>
      <c r="AD76" s="745">
        <v>43.11298463335023</v>
      </c>
      <c r="AE76" s="746">
        <v>32.254893994666745</v>
      </c>
      <c r="AF76" s="745">
        <v>38.169187233701336</v>
      </c>
      <c r="AG76" s="745">
        <v>33.321050331574405</v>
      </c>
      <c r="AH76" s="745">
        <v>34.420584600047263</v>
      </c>
      <c r="AI76" s="406">
        <f t="shared" si="57"/>
        <v>24.855700101427711</v>
      </c>
      <c r="AJ76" s="398"/>
      <c r="AK76" s="398"/>
      <c r="AL76" s="398"/>
      <c r="AM76" s="398"/>
      <c r="AN76" s="398"/>
      <c r="AO76" s="398"/>
      <c r="AP76" s="398"/>
      <c r="AQ76" s="398"/>
      <c r="AR76" s="398"/>
      <c r="AS76" s="398"/>
      <c r="AT76" s="398"/>
      <c r="AU76" s="398"/>
      <c r="AV76" s="398"/>
      <c r="AW76" s="398"/>
      <c r="AX76" s="398"/>
      <c r="AY76" s="398"/>
      <c r="AZ76" s="399"/>
      <c r="BA76" s="399"/>
      <c r="BB76" s="398"/>
    </row>
    <row r="77" spans="23:98" x14ac:dyDescent="0.3">
      <c r="W77" s="398"/>
      <c r="X77" s="403"/>
      <c r="Y77" s="403"/>
      <c r="Z77" s="403"/>
      <c r="AA77" s="735" t="s">
        <v>450</v>
      </c>
      <c r="AB77" s="745">
        <v>6.147590787372156</v>
      </c>
      <c r="AC77" s="745">
        <v>4.4867109425410368</v>
      </c>
      <c r="AD77" s="745">
        <v>6.6033361184333295</v>
      </c>
      <c r="AE77" s="745">
        <v>5.977956263440702</v>
      </c>
      <c r="AF77" s="745">
        <v>5.5830823586244103</v>
      </c>
      <c r="AG77" s="745">
        <v>4.8302003687592885</v>
      </c>
      <c r="AH77" s="745">
        <v>3.2648892635767179</v>
      </c>
      <c r="AI77" s="406">
        <f t="shared" si="57"/>
        <v>2.641798980333101</v>
      </c>
      <c r="AJ77" s="403"/>
      <c r="AK77" s="403"/>
      <c r="AL77" s="403"/>
      <c r="AM77" s="403"/>
      <c r="AN77" s="403"/>
      <c r="AO77" s="403"/>
      <c r="AP77" s="403"/>
      <c r="AQ77" s="403"/>
      <c r="AR77" s="403"/>
      <c r="AS77" s="403"/>
      <c r="AT77" s="403"/>
      <c r="AU77" s="403"/>
      <c r="AV77" s="403"/>
      <c r="AW77" s="403"/>
      <c r="AX77" s="403"/>
      <c r="AY77" s="403"/>
      <c r="AZ77" s="399"/>
      <c r="BA77" s="399"/>
      <c r="BB77" s="403"/>
    </row>
    <row r="78" spans="23:98" x14ac:dyDescent="0.3">
      <c r="W78" s="403"/>
      <c r="X78" s="403"/>
      <c r="Y78" s="403"/>
      <c r="Z78" s="403"/>
      <c r="AA78" s="735" t="s">
        <v>451</v>
      </c>
      <c r="AB78" s="745">
        <v>59.372852329363091</v>
      </c>
      <c r="AC78" s="745">
        <v>81.351351730558164</v>
      </c>
      <c r="AD78" s="745">
        <v>55.275090265524426</v>
      </c>
      <c r="AE78" s="745">
        <v>61.057656482404376</v>
      </c>
      <c r="AF78" s="745">
        <v>65.555185557065116</v>
      </c>
      <c r="AG78" s="745">
        <v>75.566223372583579</v>
      </c>
      <c r="AH78" s="745">
        <v>111.7955221550574</v>
      </c>
      <c r="AI78" s="406">
        <f t="shared" si="57"/>
        <v>138.16342678502269</v>
      </c>
      <c r="AJ78" s="403"/>
      <c r="AK78" s="403"/>
      <c r="AL78" s="403"/>
      <c r="AM78" s="403"/>
      <c r="AN78" s="403"/>
      <c r="AO78" s="403"/>
      <c r="AP78" s="403"/>
      <c r="AQ78" s="403"/>
      <c r="AR78" s="403"/>
      <c r="AS78" s="403"/>
      <c r="AT78" s="403"/>
      <c r="AU78" s="403"/>
      <c r="AV78" s="403"/>
      <c r="AW78" s="403"/>
      <c r="AX78" s="403"/>
      <c r="AY78" s="403"/>
      <c r="AZ78" s="399"/>
      <c r="BA78" s="399"/>
      <c r="BB78" s="403"/>
    </row>
    <row r="79" spans="23:98" x14ac:dyDescent="0.3">
      <c r="W79" s="403"/>
      <c r="X79" s="403"/>
      <c r="Y79" s="403"/>
      <c r="Z79" s="403"/>
      <c r="AA79" s="735" t="s">
        <v>452</v>
      </c>
      <c r="AB79" s="745">
        <v>12.351458528970207</v>
      </c>
      <c r="AC79" s="745">
        <v>21.508929042966539</v>
      </c>
      <c r="AD79" s="745">
        <v>16.760983609679002</v>
      </c>
      <c r="AE79" s="745">
        <v>11.01206116228937</v>
      </c>
      <c r="AF79" s="745">
        <v>13.597415981915656</v>
      </c>
      <c r="AG79" s="745">
        <v>13.940892825985978</v>
      </c>
      <c r="AH79" s="745">
        <v>19.376039636936049</v>
      </c>
      <c r="AI79" s="406">
        <f t="shared" si="57"/>
        <v>14.520936626196084</v>
      </c>
      <c r="AJ79" s="403"/>
      <c r="AK79" s="403"/>
      <c r="AL79" s="403"/>
      <c r="AM79" s="403"/>
      <c r="AN79" s="403"/>
      <c r="AO79" s="403"/>
      <c r="AP79" s="403"/>
      <c r="AQ79" s="403"/>
      <c r="AR79" s="403"/>
      <c r="AS79" s="403"/>
      <c r="AT79" s="403"/>
      <c r="AU79" s="403"/>
      <c r="AV79" s="403"/>
      <c r="AW79" s="403"/>
      <c r="AX79" s="403"/>
      <c r="AY79" s="403"/>
      <c r="AZ79" s="399"/>
      <c r="BA79" s="399"/>
      <c r="BB79" s="403"/>
    </row>
    <row r="80" spans="23:98" x14ac:dyDescent="0.3">
      <c r="W80" s="403"/>
      <c r="X80" s="403"/>
      <c r="Y80" s="403"/>
      <c r="Z80" s="403"/>
      <c r="AA80" s="735" t="s">
        <v>866</v>
      </c>
      <c r="AB80" s="745">
        <v>29.551165892181608</v>
      </c>
      <c r="AC80" s="745">
        <v>16.969696597672105</v>
      </c>
      <c r="AD80" s="745">
        <v>21.776764926207711</v>
      </c>
      <c r="AE80" s="745">
        <v>33.145475185874986</v>
      </c>
      <c r="AF80" s="745">
        <v>26.916878948674814</v>
      </c>
      <c r="AG80" s="745">
        <v>18.837698871352938</v>
      </c>
      <c r="AH80" s="745">
        <v>18.837698871352938</v>
      </c>
      <c r="AI80" s="406">
        <f t="shared" si="57"/>
        <v>25.136119617899308</v>
      </c>
      <c r="AJ80" s="403"/>
      <c r="AK80" s="403"/>
      <c r="AL80" s="403"/>
      <c r="AM80" s="403"/>
      <c r="AN80" s="403"/>
      <c r="AO80" s="403"/>
      <c r="AP80" s="403"/>
      <c r="AQ80" s="403"/>
      <c r="AR80" s="403"/>
      <c r="AS80" s="403"/>
      <c r="AT80" s="403"/>
      <c r="AU80" s="403"/>
      <c r="AV80" s="403"/>
      <c r="AW80" s="403"/>
      <c r="AX80" s="403"/>
      <c r="AY80" s="403"/>
      <c r="AZ80" s="399"/>
      <c r="BA80" s="399"/>
      <c r="BB80" s="403"/>
    </row>
    <row r="81" spans="2:91" x14ac:dyDescent="0.3">
      <c r="W81" s="403"/>
      <c r="X81" s="398"/>
      <c r="Y81" s="398"/>
      <c r="Z81" s="398"/>
      <c r="AA81" s="735"/>
      <c r="AB81" s="744"/>
      <c r="AC81" s="744"/>
      <c r="AD81" s="744"/>
      <c r="AE81" s="744"/>
      <c r="AF81" s="744"/>
      <c r="AG81" s="744"/>
      <c r="AH81" s="744"/>
      <c r="AI81" s="398"/>
      <c r="AJ81" s="398"/>
      <c r="AK81" s="398"/>
      <c r="AL81" s="398"/>
      <c r="AM81" s="398"/>
      <c r="AN81" s="398"/>
      <c r="AO81" s="398"/>
      <c r="AP81" s="398"/>
      <c r="AQ81" s="398"/>
      <c r="AR81" s="398"/>
      <c r="AS81" s="398"/>
      <c r="AT81" s="398"/>
      <c r="AU81" s="398"/>
      <c r="AV81" s="398"/>
      <c r="AW81" s="398"/>
      <c r="AX81" s="398"/>
      <c r="AY81" s="398"/>
      <c r="AZ81" s="399"/>
      <c r="BA81" s="399"/>
      <c r="BB81" s="398"/>
    </row>
    <row r="82" spans="2:91" x14ac:dyDescent="0.3">
      <c r="W82" s="398"/>
      <c r="X82" s="401"/>
      <c r="Y82" s="401"/>
      <c r="Z82" s="401"/>
      <c r="AA82" s="735" t="s">
        <v>412</v>
      </c>
      <c r="AB82" s="744"/>
      <c r="AC82" s="744"/>
      <c r="AD82" s="744"/>
      <c r="AE82" s="743">
        <v>0.14371985113557825</v>
      </c>
      <c r="AF82" s="743">
        <v>3.8269834247491648E-2</v>
      </c>
      <c r="AG82" s="743">
        <v>0.25775989804592397</v>
      </c>
      <c r="AH82" s="743">
        <v>-2.8388850768484502E-2</v>
      </c>
      <c r="AI82" s="403">
        <f>BA42/BA4</f>
        <v>-1.8984615117883977E-2</v>
      </c>
      <c r="AJ82" s="401"/>
      <c r="AK82" s="401"/>
      <c r="AL82" s="401"/>
      <c r="AM82" s="401"/>
      <c r="AN82" s="401"/>
      <c r="AO82" s="401"/>
      <c r="AP82" s="401"/>
      <c r="AQ82" s="401"/>
      <c r="AR82" s="401"/>
      <c r="AS82" s="401"/>
      <c r="AT82" s="401"/>
      <c r="AU82" s="401"/>
      <c r="AV82" s="401"/>
      <c r="AW82" s="401"/>
      <c r="AX82" s="401"/>
      <c r="AY82" s="401"/>
      <c r="AZ82" s="399"/>
      <c r="BA82" s="399"/>
      <c r="BB82" s="401"/>
    </row>
    <row r="83" spans="2:91" x14ac:dyDescent="0.3">
      <c r="W83" s="401"/>
      <c r="AA83" s="735" t="s">
        <v>436</v>
      </c>
      <c r="AB83" s="744"/>
      <c r="AC83" s="744"/>
      <c r="AD83" s="744"/>
      <c r="AE83" s="743">
        <v>-2.2294445849583268E-2</v>
      </c>
      <c r="AF83" s="743">
        <v>-7.0531079282440456E-2</v>
      </c>
      <c r="AG83" s="743">
        <v>5.2152647916757838E-3</v>
      </c>
      <c r="AH83" s="743">
        <v>-3.4398516264951585E-2</v>
      </c>
      <c r="AI83" s="403">
        <f>BA43/BA4</f>
        <v>1.5215803288406828E-2</v>
      </c>
    </row>
    <row r="84" spans="2:91" x14ac:dyDescent="0.3">
      <c r="AA84" s="735" t="s">
        <v>437</v>
      </c>
      <c r="AB84" s="744"/>
      <c r="AC84" s="744"/>
      <c r="AD84" s="744"/>
      <c r="AE84" s="743">
        <v>-5.1365855973989932E-2</v>
      </c>
      <c r="AF84" s="743">
        <v>-2.7524578111997815E-2</v>
      </c>
      <c r="AG84" s="743">
        <v>-0.11437860266778277</v>
      </c>
      <c r="AH84" s="743">
        <v>-6.366250170630762E-2</v>
      </c>
      <c r="AI84" s="403">
        <f>BA44/BA4</f>
        <v>-2.9046420503475067E-2</v>
      </c>
      <c r="CL84" t="s">
        <v>465</v>
      </c>
      <c r="CM84" t="str">
        <f>CL84</f>
        <v>CR Hi Limit</v>
      </c>
    </row>
    <row r="85" spans="2:91" x14ac:dyDescent="0.3">
      <c r="AA85" s="735" t="s">
        <v>438</v>
      </c>
      <c r="AB85" s="744"/>
      <c r="AC85" s="743">
        <v>-7.7486971295619211E-2</v>
      </c>
      <c r="AD85" s="743">
        <v>8.8565510443786549E-2</v>
      </c>
      <c r="AE85" s="743">
        <v>7.0059549312005059E-2</v>
      </c>
      <c r="AF85" s="743">
        <v>-5.9785823146946568E-2</v>
      </c>
      <c r="AG85" s="743">
        <v>0.12752068583076343</v>
      </c>
      <c r="AH85" s="743">
        <v>-0.1264498687397437</v>
      </c>
      <c r="AI85" s="403">
        <f>BA45/BA4</f>
        <v>-3.2815232332952214E-2</v>
      </c>
      <c r="CL85" t="s">
        <v>466</v>
      </c>
      <c r="CM85" t="str">
        <f>CL85</f>
        <v>CR Low Limit</v>
      </c>
    </row>
    <row r="86" spans="2:91" x14ac:dyDescent="0.3">
      <c r="O86" s="740"/>
      <c r="P86" s="744"/>
      <c r="Q86" s="744"/>
      <c r="R86" s="744"/>
      <c r="S86" s="744"/>
      <c r="T86" s="744"/>
      <c r="U86" s="744"/>
      <c r="V86" s="744"/>
      <c r="AI86" s="403"/>
      <c r="CL86" t="s">
        <v>467</v>
      </c>
      <c r="CM86" t="str">
        <f>CL86</f>
        <v>D/E Low Limit</v>
      </c>
    </row>
    <row r="87" spans="2:91" x14ac:dyDescent="0.3">
      <c r="O87" s="735" t="s">
        <v>415</v>
      </c>
      <c r="P87" s="744"/>
      <c r="Q87" s="744"/>
      <c r="R87" s="744"/>
      <c r="S87" s="738">
        <v>1327.4340659999993</v>
      </c>
      <c r="T87" s="868">
        <v>215084.4099999998</v>
      </c>
      <c r="U87" s="868">
        <f>SUM(O12:Z12)</f>
        <v>5766645.6406690013</v>
      </c>
      <c r="V87" s="868">
        <f>BA12</f>
        <v>243825.71000000124</v>
      </c>
    </row>
    <row r="90" spans="2:91" x14ac:dyDescent="0.3">
      <c r="C90">
        <v>2</v>
      </c>
      <c r="D90">
        <f>C90</f>
        <v>2</v>
      </c>
      <c r="E90">
        <f t="shared" ref="E90:N92" si="58">D90</f>
        <v>2</v>
      </c>
      <c r="F90">
        <f t="shared" si="58"/>
        <v>2</v>
      </c>
      <c r="G90">
        <f t="shared" si="58"/>
        <v>2</v>
      </c>
      <c r="H90">
        <f t="shared" si="58"/>
        <v>2</v>
      </c>
      <c r="I90">
        <f t="shared" si="58"/>
        <v>2</v>
      </c>
      <c r="J90">
        <f t="shared" si="58"/>
        <v>2</v>
      </c>
      <c r="K90">
        <f t="shared" si="58"/>
        <v>2</v>
      </c>
      <c r="L90">
        <f t="shared" si="58"/>
        <v>2</v>
      </c>
      <c r="M90">
        <f t="shared" si="58"/>
        <v>2</v>
      </c>
      <c r="N90">
        <f t="shared" si="58"/>
        <v>2</v>
      </c>
    </row>
    <row r="91" spans="2:91" x14ac:dyDescent="0.3">
      <c r="B91" t="s">
        <v>465</v>
      </c>
      <c r="C91">
        <v>1.5</v>
      </c>
      <c r="D91">
        <f>C91</f>
        <v>1.5</v>
      </c>
      <c r="E91">
        <f t="shared" si="58"/>
        <v>1.5</v>
      </c>
      <c r="F91">
        <f t="shared" si="58"/>
        <v>1.5</v>
      </c>
      <c r="G91">
        <f t="shared" si="58"/>
        <v>1.5</v>
      </c>
      <c r="H91">
        <f t="shared" si="58"/>
        <v>1.5</v>
      </c>
      <c r="I91">
        <f t="shared" si="58"/>
        <v>1.5</v>
      </c>
      <c r="J91">
        <f t="shared" si="58"/>
        <v>1.5</v>
      </c>
      <c r="K91">
        <f t="shared" si="58"/>
        <v>1.5</v>
      </c>
      <c r="L91">
        <f t="shared" si="58"/>
        <v>1.5</v>
      </c>
      <c r="M91">
        <v>2</v>
      </c>
      <c r="N91">
        <f>M91</f>
        <v>2</v>
      </c>
      <c r="O91">
        <f t="shared" ref="O91:X91" si="59">N91</f>
        <v>2</v>
      </c>
      <c r="P91">
        <f t="shared" si="59"/>
        <v>2</v>
      </c>
      <c r="Q91">
        <f t="shared" si="59"/>
        <v>2</v>
      </c>
      <c r="R91">
        <f t="shared" si="59"/>
        <v>2</v>
      </c>
      <c r="S91">
        <f t="shared" si="59"/>
        <v>2</v>
      </c>
      <c r="T91">
        <f t="shared" si="59"/>
        <v>2</v>
      </c>
      <c r="U91">
        <f t="shared" si="59"/>
        <v>2</v>
      </c>
      <c r="V91">
        <f t="shared" si="59"/>
        <v>2</v>
      </c>
      <c r="W91">
        <f t="shared" si="59"/>
        <v>2</v>
      </c>
      <c r="X91">
        <f t="shared" si="59"/>
        <v>2</v>
      </c>
      <c r="Y91">
        <f t="shared" ref="Y91:AK91" si="60">X91</f>
        <v>2</v>
      </c>
      <c r="Z91">
        <f t="shared" si="60"/>
        <v>2</v>
      </c>
      <c r="AA91" s="349">
        <f t="shared" si="60"/>
        <v>2</v>
      </c>
      <c r="AB91">
        <f t="shared" si="60"/>
        <v>2</v>
      </c>
      <c r="AC91">
        <f t="shared" si="60"/>
        <v>2</v>
      </c>
      <c r="AD91">
        <f t="shared" si="60"/>
        <v>2</v>
      </c>
      <c r="AE91">
        <f t="shared" si="60"/>
        <v>2</v>
      </c>
      <c r="AF91">
        <f t="shared" si="60"/>
        <v>2</v>
      </c>
      <c r="AG91">
        <f t="shared" si="60"/>
        <v>2</v>
      </c>
      <c r="AH91">
        <f t="shared" si="60"/>
        <v>2</v>
      </c>
      <c r="AI91">
        <f t="shared" si="60"/>
        <v>2</v>
      </c>
      <c r="AJ91">
        <f t="shared" si="60"/>
        <v>2</v>
      </c>
      <c r="AK91">
        <f t="shared" si="60"/>
        <v>2</v>
      </c>
      <c r="AL91">
        <f t="shared" ref="AL91:AM93" si="61">AK91</f>
        <v>2</v>
      </c>
      <c r="AM91">
        <f t="shared" si="61"/>
        <v>2</v>
      </c>
      <c r="AN91">
        <f t="shared" ref="AN91:AV93" si="62">AM91</f>
        <v>2</v>
      </c>
      <c r="AO91">
        <f t="shared" si="62"/>
        <v>2</v>
      </c>
      <c r="AP91">
        <f t="shared" si="62"/>
        <v>2</v>
      </c>
      <c r="AQ91">
        <f t="shared" si="62"/>
        <v>2</v>
      </c>
      <c r="AR91">
        <f t="shared" si="62"/>
        <v>2</v>
      </c>
      <c r="AS91">
        <f t="shared" si="62"/>
        <v>2</v>
      </c>
      <c r="AT91">
        <f t="shared" si="62"/>
        <v>2</v>
      </c>
      <c r="AU91">
        <f t="shared" si="62"/>
        <v>2</v>
      </c>
      <c r="AV91">
        <f t="shared" si="62"/>
        <v>2</v>
      </c>
      <c r="AW91">
        <f>AN91</f>
        <v>2</v>
      </c>
    </row>
    <row r="92" spans="2:91" x14ac:dyDescent="0.3">
      <c r="B92" t="s">
        <v>466</v>
      </c>
      <c r="C92">
        <v>1</v>
      </c>
      <c r="D92">
        <f>C92</f>
        <v>1</v>
      </c>
      <c r="E92">
        <f t="shared" si="58"/>
        <v>1</v>
      </c>
      <c r="F92">
        <f t="shared" si="58"/>
        <v>1</v>
      </c>
      <c r="G92">
        <f t="shared" si="58"/>
        <v>1</v>
      </c>
      <c r="H92">
        <f t="shared" si="58"/>
        <v>1</v>
      </c>
      <c r="I92">
        <f t="shared" si="58"/>
        <v>1</v>
      </c>
      <c r="J92">
        <f t="shared" si="58"/>
        <v>1</v>
      </c>
      <c r="K92">
        <f t="shared" si="58"/>
        <v>1</v>
      </c>
      <c r="L92">
        <f t="shared" si="58"/>
        <v>1</v>
      </c>
      <c r="M92">
        <v>1.5</v>
      </c>
      <c r="N92">
        <f>M92</f>
        <v>1.5</v>
      </c>
      <c r="O92">
        <f t="shared" ref="O92:X92" si="63">N92</f>
        <v>1.5</v>
      </c>
      <c r="P92">
        <f t="shared" si="63"/>
        <v>1.5</v>
      </c>
      <c r="Q92">
        <f t="shared" si="63"/>
        <v>1.5</v>
      </c>
      <c r="R92">
        <f t="shared" si="63"/>
        <v>1.5</v>
      </c>
      <c r="S92">
        <f t="shared" si="63"/>
        <v>1.5</v>
      </c>
      <c r="T92">
        <f t="shared" si="63"/>
        <v>1.5</v>
      </c>
      <c r="U92">
        <f t="shared" si="63"/>
        <v>1.5</v>
      </c>
      <c r="V92">
        <f t="shared" si="63"/>
        <v>1.5</v>
      </c>
      <c r="W92">
        <f t="shared" si="63"/>
        <v>1.5</v>
      </c>
      <c r="X92">
        <f t="shared" si="63"/>
        <v>1.5</v>
      </c>
      <c r="Y92">
        <f t="shared" ref="Y92:AK92" si="64">X92</f>
        <v>1.5</v>
      </c>
      <c r="Z92">
        <f t="shared" si="64"/>
        <v>1.5</v>
      </c>
      <c r="AA92" s="349">
        <f t="shared" si="64"/>
        <v>1.5</v>
      </c>
      <c r="AB92">
        <f t="shared" si="64"/>
        <v>1.5</v>
      </c>
      <c r="AC92">
        <f t="shared" si="64"/>
        <v>1.5</v>
      </c>
      <c r="AD92">
        <f t="shared" si="64"/>
        <v>1.5</v>
      </c>
      <c r="AE92">
        <f t="shared" si="64"/>
        <v>1.5</v>
      </c>
      <c r="AF92">
        <f t="shared" si="64"/>
        <v>1.5</v>
      </c>
      <c r="AG92">
        <f t="shared" si="64"/>
        <v>1.5</v>
      </c>
      <c r="AH92">
        <f t="shared" si="64"/>
        <v>1.5</v>
      </c>
      <c r="AI92">
        <f t="shared" si="64"/>
        <v>1.5</v>
      </c>
      <c r="AJ92">
        <f t="shared" si="64"/>
        <v>1.5</v>
      </c>
      <c r="AK92">
        <f t="shared" si="64"/>
        <v>1.5</v>
      </c>
      <c r="AL92">
        <f t="shared" si="61"/>
        <v>1.5</v>
      </c>
      <c r="AM92">
        <f t="shared" si="61"/>
        <v>1.5</v>
      </c>
      <c r="AN92">
        <f t="shared" si="62"/>
        <v>1.5</v>
      </c>
      <c r="AO92">
        <f t="shared" si="62"/>
        <v>1.5</v>
      </c>
      <c r="AP92">
        <f t="shared" si="62"/>
        <v>1.5</v>
      </c>
      <c r="AQ92">
        <f t="shared" si="62"/>
        <v>1.5</v>
      </c>
      <c r="AR92">
        <f t="shared" si="62"/>
        <v>1.5</v>
      </c>
      <c r="AS92">
        <f t="shared" si="62"/>
        <v>1.5</v>
      </c>
      <c r="AT92">
        <f t="shared" si="62"/>
        <v>1.5</v>
      </c>
      <c r="AU92">
        <f t="shared" si="62"/>
        <v>1.5</v>
      </c>
      <c r="AV92">
        <f t="shared" si="62"/>
        <v>1.5</v>
      </c>
      <c r="AW92">
        <f>AN92</f>
        <v>1.5</v>
      </c>
    </row>
    <row r="93" spans="2:91" x14ac:dyDescent="0.3">
      <c r="B93" t="s">
        <v>467</v>
      </c>
      <c r="M93">
        <v>1</v>
      </c>
      <c r="N93">
        <f>M93</f>
        <v>1</v>
      </c>
      <c r="O93">
        <f t="shared" ref="O93:X93" si="65">N93</f>
        <v>1</v>
      </c>
      <c r="P93">
        <f t="shared" si="65"/>
        <v>1</v>
      </c>
      <c r="Q93">
        <f t="shared" si="65"/>
        <v>1</v>
      </c>
      <c r="R93">
        <f t="shared" si="65"/>
        <v>1</v>
      </c>
      <c r="S93">
        <f t="shared" si="65"/>
        <v>1</v>
      </c>
      <c r="T93">
        <f t="shared" si="65"/>
        <v>1</v>
      </c>
      <c r="U93">
        <f t="shared" si="65"/>
        <v>1</v>
      </c>
      <c r="V93">
        <f t="shared" si="65"/>
        <v>1</v>
      </c>
      <c r="W93">
        <f t="shared" si="65"/>
        <v>1</v>
      </c>
      <c r="X93">
        <f t="shared" si="65"/>
        <v>1</v>
      </c>
      <c r="Y93">
        <f t="shared" ref="Y93:AK93" si="66">X93</f>
        <v>1</v>
      </c>
      <c r="Z93">
        <f t="shared" si="66"/>
        <v>1</v>
      </c>
      <c r="AA93" s="349">
        <f t="shared" si="66"/>
        <v>1</v>
      </c>
      <c r="AB93">
        <f t="shared" si="66"/>
        <v>1</v>
      </c>
      <c r="AC93">
        <f t="shared" si="66"/>
        <v>1</v>
      </c>
      <c r="AD93">
        <f t="shared" si="66"/>
        <v>1</v>
      </c>
      <c r="AE93">
        <f t="shared" si="66"/>
        <v>1</v>
      </c>
      <c r="AF93">
        <f t="shared" si="66"/>
        <v>1</v>
      </c>
      <c r="AG93">
        <f t="shared" si="66"/>
        <v>1</v>
      </c>
      <c r="AH93">
        <f t="shared" si="66"/>
        <v>1</v>
      </c>
      <c r="AI93">
        <f t="shared" si="66"/>
        <v>1</v>
      </c>
      <c r="AJ93">
        <f t="shared" si="66"/>
        <v>1</v>
      </c>
      <c r="AK93">
        <f t="shared" si="66"/>
        <v>1</v>
      </c>
      <c r="AL93">
        <f t="shared" si="61"/>
        <v>1</v>
      </c>
      <c r="AM93">
        <f t="shared" si="61"/>
        <v>1</v>
      </c>
      <c r="AN93">
        <f t="shared" si="62"/>
        <v>1</v>
      </c>
      <c r="AO93">
        <f t="shared" si="62"/>
        <v>1</v>
      </c>
      <c r="AP93">
        <f t="shared" si="62"/>
        <v>1</v>
      </c>
      <c r="AQ93">
        <f t="shared" si="62"/>
        <v>1</v>
      </c>
      <c r="AR93">
        <f t="shared" si="62"/>
        <v>1</v>
      </c>
      <c r="AS93">
        <f t="shared" si="62"/>
        <v>1</v>
      </c>
      <c r="AT93">
        <f t="shared" si="62"/>
        <v>1</v>
      </c>
      <c r="AU93">
        <f t="shared" si="62"/>
        <v>1</v>
      </c>
      <c r="AV93">
        <f t="shared" si="62"/>
        <v>1</v>
      </c>
      <c r="AW93">
        <f>AN93</f>
        <v>1</v>
      </c>
    </row>
    <row r="101" ht="6" customHeight="1" x14ac:dyDescent="0.3"/>
    <row r="110" ht="6.75" customHeight="1" x14ac:dyDescent="0.3"/>
    <row r="114" spans="93:93" ht="6.75" customHeight="1" x14ac:dyDescent="0.3"/>
    <row r="119" spans="93:93" ht="6.75" customHeight="1" x14ac:dyDescent="0.3"/>
    <row r="123" spans="93:93" x14ac:dyDescent="0.3">
      <c r="CO123" s="873">
        <v>2022</v>
      </c>
    </row>
    <row r="124" spans="93:93" ht="6.75" customHeight="1" x14ac:dyDescent="0.3">
      <c r="CO124" s="867"/>
    </row>
    <row r="125" spans="93:93" x14ac:dyDescent="0.3">
      <c r="CO125" s="376">
        <f>CO163</f>
        <v>313999.60000000038</v>
      </c>
    </row>
    <row r="126" spans="93:93" x14ac:dyDescent="0.3">
      <c r="CO126">
        <f>CO164</f>
        <v>0</v>
      </c>
    </row>
    <row r="127" spans="93:93" x14ac:dyDescent="0.3">
      <c r="CO127" s="376">
        <f>CO165</f>
        <v>0</v>
      </c>
    </row>
    <row r="128" spans="93:93" x14ac:dyDescent="0.3">
      <c r="CO128" s="376">
        <f>CO166</f>
        <v>1026080.4299999999</v>
      </c>
    </row>
    <row r="129" spans="36:94" x14ac:dyDescent="0.3">
      <c r="CO129" s="376">
        <f>CO167</f>
        <v>3641071.54</v>
      </c>
    </row>
    <row r="130" spans="36:94" ht="21.75" customHeight="1" x14ac:dyDescent="0.3">
      <c r="AJ130" s="873"/>
      <c r="AK130" s="873">
        <v>2021</v>
      </c>
      <c r="AL130" s="873"/>
      <c r="AM130" s="873"/>
      <c r="AN130" s="873"/>
      <c r="AO130" s="873"/>
      <c r="AP130" s="873"/>
      <c r="AQ130" s="873"/>
      <c r="AR130" s="873"/>
      <c r="AS130" s="873"/>
      <c r="AT130" s="873"/>
      <c r="AU130" s="873"/>
      <c r="AV130" s="1585"/>
      <c r="AW130" s="873"/>
      <c r="AX130" s="873">
        <v>2021</v>
      </c>
      <c r="AY130" s="873"/>
      <c r="AZ130" s="873">
        <v>2022</v>
      </c>
      <c r="CO130" s="866">
        <f>CO127-(CO129-CO128)</f>
        <v>-2614991.1100000003</v>
      </c>
    </row>
    <row r="131" spans="36:94" x14ac:dyDescent="0.3">
      <c r="AJ131" s="867"/>
      <c r="AK131" s="875" t="s">
        <v>505</v>
      </c>
      <c r="AL131" s="867"/>
      <c r="AM131" s="867"/>
      <c r="AN131" s="867"/>
      <c r="AO131" s="867"/>
      <c r="AP131" s="867"/>
      <c r="AQ131" s="867"/>
      <c r="AR131" s="867"/>
      <c r="AS131" s="867"/>
      <c r="AT131" s="867"/>
      <c r="AU131" s="867"/>
      <c r="AV131" s="867"/>
      <c r="AW131" s="867"/>
      <c r="AX131" s="875" t="s">
        <v>506</v>
      </c>
      <c r="AY131" s="867"/>
      <c r="AZ131" s="867"/>
    </row>
    <row r="132" spans="36:94" x14ac:dyDescent="0.3">
      <c r="AJ132" t="s">
        <v>220</v>
      </c>
      <c r="AK132" s="376">
        <f>AK170</f>
        <v>3686488.1632303307</v>
      </c>
      <c r="AX132" s="376">
        <f>AX170</f>
        <v>3686488.1632303307</v>
      </c>
      <c r="AZ132" s="376">
        <f>AZ170</f>
        <v>1713486.479844362</v>
      </c>
      <c r="CO132" s="861"/>
      <c r="CP132" s="861"/>
    </row>
    <row r="133" spans="36:94" x14ac:dyDescent="0.3">
      <c r="AJ133" t="s">
        <v>502</v>
      </c>
      <c r="AK133">
        <f>AK171</f>
        <v>8</v>
      </c>
      <c r="AX133">
        <f>AX171</f>
        <v>8</v>
      </c>
      <c r="AZ133">
        <f>AZ171</f>
        <v>8</v>
      </c>
      <c r="CO133">
        <f>CM133</f>
        <v>0</v>
      </c>
      <c r="CP133" s="311" t="e">
        <f>CO133/CO$139</f>
        <v>#DIV/0!</v>
      </c>
    </row>
    <row r="134" spans="36:94" x14ac:dyDescent="0.3">
      <c r="AJ134" t="s">
        <v>503</v>
      </c>
      <c r="AK134" s="376">
        <f>AK172</f>
        <v>29491905.305842645</v>
      </c>
      <c r="AX134" s="376">
        <f>AX172</f>
        <v>29491905.305842645</v>
      </c>
      <c r="AZ134" s="376">
        <f>AZ172</f>
        <v>13707891.838754896</v>
      </c>
      <c r="CO134">
        <f>CM134</f>
        <v>0</v>
      </c>
      <c r="CP134" s="311" t="e">
        <f>CO134/CO$139</f>
        <v>#DIV/0!</v>
      </c>
    </row>
    <row r="135" spans="36:94" x14ac:dyDescent="0.3">
      <c r="AJ135" t="s">
        <v>417</v>
      </c>
      <c r="AK135" s="376">
        <f>AK173</f>
        <v>3792926.9</v>
      </c>
      <c r="AX135" s="376">
        <f>AX173</f>
        <v>3792926.9</v>
      </c>
      <c r="AZ135" s="376">
        <f>AZ173</f>
        <v>1822042.98</v>
      </c>
      <c r="CO135" s="861">
        <f>CM135</f>
        <v>0</v>
      </c>
      <c r="CP135" s="863" t="e">
        <f>CO135/CO$139</f>
        <v>#DIV/0!</v>
      </c>
    </row>
    <row r="136" spans="36:94" x14ac:dyDescent="0.3">
      <c r="AJ136" t="s">
        <v>501</v>
      </c>
      <c r="AK136" s="376">
        <f>AK174</f>
        <v>755025.10000000009</v>
      </c>
      <c r="AX136" s="376">
        <f>AX174</f>
        <v>755025.10000000009</v>
      </c>
      <c r="AZ136" s="376">
        <f>AZ174</f>
        <v>1806502.43</v>
      </c>
      <c r="CO136">
        <f>87.5%/2*CO$135</f>
        <v>0</v>
      </c>
    </row>
    <row r="137" spans="36:94" x14ac:dyDescent="0.3">
      <c r="AJ137" s="861" t="s">
        <v>507</v>
      </c>
      <c r="AK137" s="866">
        <f>AK134-(AK136-AK135)</f>
        <v>32529807.105842646</v>
      </c>
      <c r="AL137" s="861"/>
      <c r="AM137" s="861"/>
      <c r="AN137" s="861"/>
      <c r="AO137" s="861"/>
      <c r="AP137" s="861"/>
      <c r="AQ137" s="861"/>
      <c r="AR137" s="861"/>
      <c r="AS137" s="861"/>
      <c r="AT137" s="861"/>
      <c r="AU137" s="861"/>
      <c r="AV137" s="1487"/>
      <c r="AW137" s="861"/>
      <c r="AX137" s="866">
        <f>AX134-(AX136-AX135)</f>
        <v>32529807.105842646</v>
      </c>
      <c r="AY137" s="861"/>
      <c r="AZ137" s="866">
        <f>AZ134-(AZ136-AZ135)</f>
        <v>13723432.388754897</v>
      </c>
      <c r="CO137">
        <f>12.5%*CO135</f>
        <v>0</v>
      </c>
    </row>
    <row r="138" spans="36:94" x14ac:dyDescent="0.3">
      <c r="CO138" s="861">
        <f>87.5%/2*CO$135</f>
        <v>0</v>
      </c>
      <c r="CP138" s="861"/>
    </row>
    <row r="139" spans="36:94" ht="6.75" customHeight="1" x14ac:dyDescent="0.3">
      <c r="AJ139" s="873" t="s">
        <v>524</v>
      </c>
      <c r="AK139" s="861"/>
      <c r="AL139" s="861"/>
      <c r="AM139" s="861"/>
      <c r="AN139" s="861"/>
      <c r="AO139" s="861"/>
      <c r="AP139" s="861"/>
      <c r="AQ139" s="861"/>
      <c r="AR139" s="861"/>
      <c r="AS139" s="861"/>
      <c r="AT139" s="861"/>
      <c r="AU139" s="861"/>
      <c r="AV139" s="1487"/>
      <c r="AW139" s="861"/>
      <c r="AX139" s="861"/>
      <c r="AY139" s="861"/>
      <c r="AZ139" s="861"/>
      <c r="BA139" s="861"/>
      <c r="CO139">
        <f>SUM(CO133:CO135)</f>
        <v>0</v>
      </c>
    </row>
    <row r="140" spans="36:94" x14ac:dyDescent="0.3">
      <c r="AJ140" t="s">
        <v>389</v>
      </c>
      <c r="AK140">
        <v>510</v>
      </c>
      <c r="AL140" s="311">
        <f>AK140/AK$184</f>
        <v>0.51</v>
      </c>
      <c r="AM140" s="311"/>
      <c r="AN140" s="311"/>
      <c r="AO140" s="311"/>
      <c r="AP140" s="311"/>
      <c r="AQ140" s="311"/>
      <c r="AR140" s="311"/>
      <c r="AS140" s="311"/>
      <c r="AT140" s="311"/>
      <c r="AU140" s="311"/>
      <c r="AV140" s="311"/>
      <c r="AW140" s="311"/>
      <c r="AX140">
        <f>AK140</f>
        <v>510</v>
      </c>
      <c r="AY140" s="311">
        <f>AX140/AX$146</f>
        <v>0.51</v>
      </c>
      <c r="AZ140">
        <f>AX140</f>
        <v>510</v>
      </c>
      <c r="BA140" s="311">
        <f>AZ140/AZ$146</f>
        <v>0.51</v>
      </c>
    </row>
    <row r="141" spans="36:94" x14ac:dyDescent="0.3">
      <c r="AJ141" t="s">
        <v>508</v>
      </c>
      <c r="AK141">
        <v>490</v>
      </c>
      <c r="AL141" s="311">
        <f>AK141/AK$184</f>
        <v>0.49</v>
      </c>
      <c r="AM141" s="311"/>
      <c r="AN141" s="311"/>
      <c r="AO141" s="311"/>
      <c r="AP141" s="311"/>
      <c r="AQ141" s="311"/>
      <c r="AR141" s="311"/>
      <c r="AS141" s="311"/>
      <c r="AT141" s="311"/>
      <c r="AU141" s="311"/>
      <c r="AV141" s="311"/>
      <c r="AW141" s="311"/>
      <c r="AX141">
        <f>AK141</f>
        <v>490</v>
      </c>
      <c r="AY141" s="311">
        <f t="shared" ref="AY141:BA142" si="67">AX141/AX$146</f>
        <v>0.49</v>
      </c>
      <c r="AZ141">
        <f>AX141</f>
        <v>490</v>
      </c>
      <c r="BA141" s="311">
        <f t="shared" si="67"/>
        <v>0.49</v>
      </c>
      <c r="CO141" s="316">
        <f>CO129/CO125</f>
        <v>11.595784007368149</v>
      </c>
    </row>
    <row r="142" spans="36:94" x14ac:dyDescent="0.3">
      <c r="AJ142" s="861" t="s">
        <v>141</v>
      </c>
      <c r="AK142" s="861">
        <v>0</v>
      </c>
      <c r="AL142" s="863">
        <f>AK142/AK$184</f>
        <v>0</v>
      </c>
      <c r="AM142" s="863"/>
      <c r="AN142" s="863"/>
      <c r="AO142" s="863"/>
      <c r="AP142" s="863"/>
      <c r="AQ142" s="863"/>
      <c r="AR142" s="863"/>
      <c r="AS142" s="863"/>
      <c r="AT142" s="863"/>
      <c r="AU142" s="863"/>
      <c r="AV142" s="1586"/>
      <c r="AW142" s="863"/>
      <c r="AX142" s="861">
        <v>0</v>
      </c>
      <c r="AY142" s="863">
        <f t="shared" si="67"/>
        <v>0</v>
      </c>
      <c r="AZ142" s="861">
        <f>AX142</f>
        <v>0</v>
      </c>
      <c r="BA142" s="863">
        <f t="shared" si="67"/>
        <v>0</v>
      </c>
      <c r="CO142" s="376" t="e">
        <f>CO125/CO139</f>
        <v>#DIV/0!</v>
      </c>
    </row>
    <row r="143" spans="36:94" x14ac:dyDescent="0.3">
      <c r="AJ143" s="870" t="s">
        <v>389</v>
      </c>
      <c r="AK143">
        <f>87.5%/2*AK$180</f>
        <v>0</v>
      </c>
      <c r="AX143">
        <f>87.5%/2*AX$142</f>
        <v>0</v>
      </c>
      <c r="AZ143">
        <f>87.5%/2*AZ$142</f>
        <v>0</v>
      </c>
      <c r="CO143" s="376" t="e">
        <f>CO130/CO139</f>
        <v>#DIV/0!</v>
      </c>
    </row>
    <row r="144" spans="36:94" x14ac:dyDescent="0.3">
      <c r="AJ144" s="870" t="s">
        <v>508</v>
      </c>
      <c r="AK144">
        <f>12.5%*AK142</f>
        <v>0</v>
      </c>
      <c r="AX144">
        <f>12.5%*AX142</f>
        <v>0</v>
      </c>
      <c r="AZ144">
        <f>12.5%*AZ142</f>
        <v>0</v>
      </c>
    </row>
    <row r="145" spans="36:93" x14ac:dyDescent="0.3">
      <c r="AJ145" s="871" t="s">
        <v>388</v>
      </c>
      <c r="AK145" s="861">
        <f>87.5%/2*AK$180</f>
        <v>0</v>
      </c>
      <c r="AL145" s="861"/>
      <c r="AM145" s="861"/>
      <c r="AN145" s="861"/>
      <c r="AO145" s="861"/>
      <c r="AP145" s="861"/>
      <c r="AQ145" s="861"/>
      <c r="AR145" s="861"/>
      <c r="AS145" s="861"/>
      <c r="AT145" s="861"/>
      <c r="AU145" s="861"/>
      <c r="AV145" s="1487"/>
      <c r="AW145" s="861"/>
      <c r="AX145" s="861">
        <f>87.5%/2*AX$142</f>
        <v>0</v>
      </c>
      <c r="AY145" s="861"/>
      <c r="AZ145" s="861">
        <f>87.5%/2*AZ$142</f>
        <v>0</v>
      </c>
      <c r="BA145" s="861"/>
      <c r="CO145" s="861"/>
    </row>
    <row r="146" spans="36:93" x14ac:dyDescent="0.3">
      <c r="AJ146" s="302" t="s">
        <v>142</v>
      </c>
      <c r="AK146">
        <f>SUM(AK140:AK142)</f>
        <v>1000</v>
      </c>
      <c r="AX146">
        <f>SUM(AX140:AX142)</f>
        <v>1000</v>
      </c>
      <c r="AZ146">
        <f>SUM(AZ140:AZ142)</f>
        <v>1000</v>
      </c>
      <c r="CO146" s="376">
        <f>CO$180*(CO136+CO133)</f>
        <v>0</v>
      </c>
    </row>
    <row r="147" spans="36:93" x14ac:dyDescent="0.3">
      <c r="CO147" s="376">
        <f>CO$180*(CO137+CO134)</f>
        <v>0</v>
      </c>
    </row>
    <row r="148" spans="36:93" ht="6.75" customHeight="1" x14ac:dyDescent="0.3">
      <c r="AJ148" s="302" t="s">
        <v>523</v>
      </c>
      <c r="AK148" s="316">
        <f>AK136/AK132</f>
        <v>0.20480876828271166</v>
      </c>
      <c r="AX148" s="316">
        <f>AX136/AX132</f>
        <v>0.20480876828271166</v>
      </c>
      <c r="AZ148" s="316">
        <f>AZ136/AZ132</f>
        <v>1.0542846128345795</v>
      </c>
      <c r="CO148" s="376">
        <f>CO$180*(CO138)</f>
        <v>0</v>
      </c>
    </row>
    <row r="149" spans="36:93" x14ac:dyDescent="0.3">
      <c r="AJ149" s="302" t="s">
        <v>509</v>
      </c>
      <c r="AK149" s="376">
        <f>AK132/AK146</f>
        <v>3686.4881632303309</v>
      </c>
      <c r="AL149" s="376"/>
      <c r="AM149" s="376"/>
      <c r="AN149" s="376"/>
      <c r="AO149" s="376"/>
      <c r="AP149" s="376"/>
      <c r="AQ149" s="376"/>
      <c r="AR149" s="376"/>
      <c r="AS149" s="376"/>
      <c r="AT149" s="376"/>
      <c r="AU149" s="376"/>
      <c r="AV149" s="376"/>
      <c r="AW149" s="376"/>
      <c r="AX149" s="376">
        <f>AX132/AX146</f>
        <v>3686.4881632303309</v>
      </c>
      <c r="AY149" s="376"/>
      <c r="AZ149" s="376">
        <f>AZ132/AZ146</f>
        <v>1713.4864798443621</v>
      </c>
    </row>
    <row r="150" spans="36:93" x14ac:dyDescent="0.3">
      <c r="AJ150" t="s">
        <v>517</v>
      </c>
      <c r="AK150" s="376">
        <f>AK137/AK146</f>
        <v>32529.807105842647</v>
      </c>
      <c r="AL150" s="376"/>
      <c r="AM150" s="376"/>
      <c r="AN150" s="376"/>
      <c r="AO150" s="376"/>
      <c r="AP150" s="376"/>
      <c r="AQ150" s="376"/>
      <c r="AR150" s="376"/>
      <c r="AS150" s="376"/>
      <c r="AT150" s="376"/>
      <c r="AU150" s="376"/>
      <c r="AV150" s="376"/>
      <c r="AW150" s="376"/>
      <c r="AX150" s="376">
        <f>AX137/AX146</f>
        <v>32529.807105842647</v>
      </c>
      <c r="AY150" s="376"/>
      <c r="AZ150" s="376">
        <f>AZ137/AZ146</f>
        <v>13723.432388754896</v>
      </c>
      <c r="CO150" s="861"/>
    </row>
    <row r="151" spans="36:93" x14ac:dyDescent="0.3">
      <c r="CO151" s="376" t="e">
        <f>CO$143*CO133+CO$135/SUM($AX$140:$AX$142)*$AX$137*CO133/SUM($AX$140:$AX$141)</f>
        <v>#DIV/0!</v>
      </c>
    </row>
    <row r="152" spans="36:93" ht="6.75" customHeight="1" x14ac:dyDescent="0.3">
      <c r="AJ152" s="873" t="s">
        <v>510</v>
      </c>
      <c r="AK152" s="861"/>
      <c r="AL152" s="861"/>
      <c r="AM152" s="861"/>
      <c r="AN152" s="861"/>
      <c r="AO152" s="861"/>
      <c r="AP152" s="861"/>
      <c r="AQ152" s="861"/>
      <c r="AR152" s="861"/>
      <c r="AS152" s="861"/>
      <c r="AT152" s="861"/>
      <c r="AU152" s="861"/>
      <c r="AV152" s="1487"/>
      <c r="AW152" s="861"/>
      <c r="AX152" s="861"/>
      <c r="AY152" s="861"/>
      <c r="AZ152" s="861"/>
      <c r="CO152" s="376" t="e">
        <f>CO$143*CO134+CO$135/SUM($AX$140:$AX$142)*$AX$137*CO134/SUM($AX$140:$AX$141)</f>
        <v>#DIV/0!</v>
      </c>
    </row>
    <row r="153" spans="36:93" x14ac:dyDescent="0.3">
      <c r="AJ153" t="s">
        <v>389</v>
      </c>
      <c r="AK153" s="376">
        <f>AK$187*(AK143+AK140)</f>
        <v>1880108.9632474687</v>
      </c>
      <c r="AX153" s="376">
        <f>AX$187*(AX143+AX140)</f>
        <v>1709189.966588608</v>
      </c>
      <c r="AZ153" s="376">
        <f>AZ$187*(AZ143+AZ140)</f>
        <v>794434.64065511327</v>
      </c>
      <c r="CO153" s="376" t="e">
        <f>CO$143*CO$135-CO$135/SUM($AX$140:$AX$142)*$AX$137</f>
        <v>#DIV/0!</v>
      </c>
    </row>
    <row r="154" spans="36:93" x14ac:dyDescent="0.3">
      <c r="AJ154" t="s">
        <v>508</v>
      </c>
      <c r="AK154" s="376">
        <f>AK$187*(AK144+AK141)</f>
        <v>1806379.1999828622</v>
      </c>
      <c r="AX154" s="376">
        <f>AX$187*(AX144+AX141)</f>
        <v>1642162.9090753291</v>
      </c>
      <c r="AZ154" s="376">
        <f>AZ$187*(AZ144+AZ141)</f>
        <v>763280.34102157946</v>
      </c>
      <c r="CO154" s="376"/>
    </row>
    <row r="155" spans="36:93" x14ac:dyDescent="0.3">
      <c r="AJ155" t="s">
        <v>388</v>
      </c>
      <c r="AK155" s="376">
        <f>AK$187*(AK145+AK142)</f>
        <v>0</v>
      </c>
      <c r="AX155" s="376">
        <f>AX$187*(AX145)</f>
        <v>0</v>
      </c>
      <c r="AZ155" s="376">
        <f>AZ$187*(AZ145)</f>
        <v>0</v>
      </c>
      <c r="CO155" s="866"/>
    </row>
    <row r="156" spans="36:93" x14ac:dyDescent="0.3">
      <c r="CO156" s="872" t="e">
        <f>CO151+87.5%/2*CO$135</f>
        <v>#DIV/0!</v>
      </c>
    </row>
    <row r="157" spans="36:93" ht="6.75" customHeight="1" x14ac:dyDescent="0.3">
      <c r="AJ157" s="873" t="s">
        <v>516</v>
      </c>
      <c r="AK157" s="861"/>
      <c r="AL157" s="861"/>
      <c r="AM157" s="861"/>
      <c r="AN157" s="861"/>
      <c r="AO157" s="861"/>
      <c r="AP157" s="861"/>
      <c r="AQ157" s="861"/>
      <c r="AR157" s="861"/>
      <c r="AS157" s="861"/>
      <c r="AT157" s="861"/>
      <c r="AU157" s="861"/>
      <c r="AV157" s="1487"/>
      <c r="AW157" s="861"/>
      <c r="AX157" s="861"/>
      <c r="AY157" s="861"/>
      <c r="AZ157" s="861"/>
      <c r="CO157" s="872" t="e">
        <f>CO152+12.5%*CO$135</f>
        <v>#DIV/0!</v>
      </c>
    </row>
    <row r="158" spans="36:93" x14ac:dyDescent="0.3">
      <c r="AJ158" t="s">
        <v>389</v>
      </c>
      <c r="AK158" s="857">
        <f>AK$188*AK140</f>
        <v>16590201.623979749</v>
      </c>
      <c r="AX158" s="376">
        <f>AX$188*AX140+AX$180/SUM($AX$178:$AX$180)*$AX$175*AX140/SUM($AX$178:$AX$179)</f>
        <v>16590201.623979751</v>
      </c>
      <c r="AZ158" s="376">
        <f>AZ$150*AZ140+AZ$142/SUM($AX$140:$AX$142)*$AX$137*AZ140/SUM($AX$140:$AX$141)</f>
        <v>6998950.5182649968</v>
      </c>
      <c r="CO158" s="872" t="e">
        <f>CO153+87.5%/2*CO$135</f>
        <v>#DIV/0!</v>
      </c>
    </row>
    <row r="159" spans="36:93" x14ac:dyDescent="0.3">
      <c r="AJ159" t="s">
        <v>508</v>
      </c>
      <c r="AK159" s="857">
        <f>AK$188*AK141</f>
        <v>15939605.481862897</v>
      </c>
      <c r="AX159" s="376">
        <f>AX$188*AX141+AX$180/SUM($AX$178:$AX$180)*$AX$175*AX141/SUM($AX$178:$AX$179)</f>
        <v>15939605.481862899</v>
      </c>
      <c r="AZ159" s="376">
        <f>AZ$150*AZ141+AZ$142/SUM($AX$140:$AX$142)*$AX$137*AZ141/SUM($AX$140:$AX$141)</f>
        <v>6724481.8704898991</v>
      </c>
    </row>
    <row r="160" spans="36:93" x14ac:dyDescent="0.3">
      <c r="AJ160" t="s">
        <v>141</v>
      </c>
      <c r="AK160" s="857">
        <f>AK$188*AK142</f>
        <v>0</v>
      </c>
      <c r="AX160" s="857">
        <f>AX$188*AX$180-AX$180/SUM($AX$178:$AX$180)*$AX$175</f>
        <v>0</v>
      </c>
      <c r="AZ160" s="376">
        <f>AZ$150*AZ$142-AZ$142/SUM($AX$140:$AX$142)*$AX$137</f>
        <v>0</v>
      </c>
    </row>
    <row r="161" spans="2:94" x14ac:dyDescent="0.3">
      <c r="AK161" s="857"/>
      <c r="AX161" s="857"/>
      <c r="AZ161" s="376"/>
      <c r="CO161" s="873">
        <v>2022</v>
      </c>
    </row>
    <row r="162" spans="2:94" ht="6.75" customHeight="1" x14ac:dyDescent="0.3">
      <c r="AJ162" s="873" t="s">
        <v>521</v>
      </c>
      <c r="AK162" s="874"/>
      <c r="AL162" s="861"/>
      <c r="AM162" s="861"/>
      <c r="AN162" s="861"/>
      <c r="AO162" s="861"/>
      <c r="AP162" s="861"/>
      <c r="AQ162" s="861"/>
      <c r="AR162" s="861"/>
      <c r="AS162" s="861"/>
      <c r="AT162" s="861"/>
      <c r="AU162" s="861"/>
      <c r="AV162" s="1487"/>
      <c r="AW162" s="861"/>
      <c r="AX162" s="874"/>
      <c r="AY162" s="861"/>
      <c r="AZ162" s="866"/>
      <c r="CO162" s="867"/>
    </row>
    <row r="163" spans="2:94" x14ac:dyDescent="0.3">
      <c r="AJ163" t="s">
        <v>389</v>
      </c>
      <c r="AK163" s="376">
        <f>AK158+87.5%/2*AK$198</f>
        <v>16590201.623979749</v>
      </c>
      <c r="AL163" s="376"/>
      <c r="AM163" s="376"/>
      <c r="AN163" s="376"/>
      <c r="AO163" s="376"/>
      <c r="AP163" s="376"/>
      <c r="AQ163" s="376"/>
      <c r="AR163" s="376"/>
      <c r="AS163" s="376"/>
      <c r="AT163" s="376"/>
      <c r="AU163" s="376"/>
      <c r="AV163" s="376"/>
      <c r="AW163" s="376"/>
      <c r="AX163" s="376">
        <f>AX158+87.5%/2*AX$198</f>
        <v>16590201.623979751</v>
      </c>
      <c r="AY163" s="376"/>
      <c r="AZ163" s="872">
        <f>AZ158+87.5%/2*AZ$142</f>
        <v>6998950.5182649968</v>
      </c>
      <c r="CO163" s="376">
        <f>CM10</f>
        <v>313999.60000000038</v>
      </c>
    </row>
    <row r="164" spans="2:94" x14ac:dyDescent="0.3">
      <c r="AJ164" t="s">
        <v>508</v>
      </c>
      <c r="AK164" s="376">
        <f>AK159+12.5%*AK$198</f>
        <v>15939605.481862897</v>
      </c>
      <c r="AL164" s="376"/>
      <c r="AM164" s="376"/>
      <c r="AN164" s="376"/>
      <c r="AO164" s="376"/>
      <c r="AP164" s="376"/>
      <c r="AQ164" s="376"/>
      <c r="AR164" s="376"/>
      <c r="AS164" s="376"/>
      <c r="AT164" s="376"/>
      <c r="AU164" s="376"/>
      <c r="AV164" s="376"/>
      <c r="AW164" s="376"/>
      <c r="AX164" s="376">
        <f>AX159+12.5%*AX$198</f>
        <v>15939605.481862899</v>
      </c>
      <c r="AY164" s="376"/>
      <c r="AZ164" s="872">
        <f>AZ159+12.5%*AZ$142</f>
        <v>6724481.8704898991</v>
      </c>
      <c r="CO164">
        <f>CM164</f>
        <v>0</v>
      </c>
    </row>
    <row r="165" spans="2:94" x14ac:dyDescent="0.3">
      <c r="AJ165" t="s">
        <v>388</v>
      </c>
      <c r="AK165" s="376">
        <f>AK160+87.5%/2*AK$198</f>
        <v>0</v>
      </c>
      <c r="AL165" s="376"/>
      <c r="AM165" s="376"/>
      <c r="AN165" s="376"/>
      <c r="AO165" s="376"/>
      <c r="AP165" s="376"/>
      <c r="AQ165" s="376"/>
      <c r="AR165" s="376"/>
      <c r="AS165" s="376"/>
      <c r="AT165" s="376"/>
      <c r="AU165" s="376"/>
      <c r="AV165" s="376"/>
      <c r="AW165" s="376"/>
      <c r="AX165" s="376">
        <f>AX160+87.5%/2*AX$198</f>
        <v>0</v>
      </c>
      <c r="AY165" s="376"/>
      <c r="AZ165" s="872">
        <f>AZ160+87.5%/2*AZ$142</f>
        <v>0</v>
      </c>
      <c r="CO165" s="376">
        <f>CO164*CO163</f>
        <v>0</v>
      </c>
    </row>
    <row r="166" spans="2:94" x14ac:dyDescent="0.3">
      <c r="CO166" s="376">
        <f>CM14</f>
        <v>1026080.4299999999</v>
      </c>
    </row>
    <row r="167" spans="2:94" x14ac:dyDescent="0.3">
      <c r="CL167" t="s">
        <v>487</v>
      </c>
      <c r="CO167" s="376">
        <f>CM17</f>
        <v>3641071.54</v>
      </c>
    </row>
    <row r="168" spans="2:94" x14ac:dyDescent="0.3">
      <c r="AJ168" s="873"/>
      <c r="AK168" s="873">
        <v>2021</v>
      </c>
      <c r="AL168" s="873"/>
      <c r="AM168" s="873"/>
      <c r="AN168" s="873"/>
      <c r="AO168" s="873"/>
      <c r="AP168" s="873"/>
      <c r="AQ168" s="873"/>
      <c r="AR168" s="873"/>
      <c r="AS168" s="873"/>
      <c r="AT168" s="873"/>
      <c r="AU168" s="873"/>
      <c r="AV168" s="1585"/>
      <c r="AW168" s="873"/>
      <c r="AX168" s="873">
        <v>2021</v>
      </c>
      <c r="AY168" s="873"/>
      <c r="AZ168" s="873">
        <v>2022</v>
      </c>
      <c r="CL168" t="s">
        <v>489</v>
      </c>
      <c r="CO168" s="866">
        <f>CO165-(CO167-CO166)</f>
        <v>-2614991.1100000003</v>
      </c>
    </row>
    <row r="169" spans="2:94" x14ac:dyDescent="0.3">
      <c r="AJ169" s="867"/>
      <c r="AK169" s="875" t="s">
        <v>505</v>
      </c>
      <c r="AL169" s="867"/>
      <c r="AM169" s="867"/>
      <c r="AN169" s="867"/>
      <c r="AO169" s="867"/>
      <c r="AP169" s="867"/>
      <c r="AQ169" s="867"/>
      <c r="AR169" s="867"/>
      <c r="AS169" s="867"/>
      <c r="AT169" s="867"/>
      <c r="AU169" s="867"/>
      <c r="AV169" s="867"/>
      <c r="AW169" s="867"/>
      <c r="AX169" s="875" t="s">
        <v>506</v>
      </c>
      <c r="AY169" s="867"/>
      <c r="AZ169" s="867"/>
      <c r="CL169" t="s">
        <v>488</v>
      </c>
      <c r="CO169" s="376"/>
    </row>
    <row r="170" spans="2:94" x14ac:dyDescent="0.3">
      <c r="AJ170" t="s">
        <v>504</v>
      </c>
      <c r="AK170" s="376">
        <f>AY10</f>
        <v>3686488.1632303307</v>
      </c>
      <c r="AX170" s="376">
        <f>AK170</f>
        <v>3686488.1632303307</v>
      </c>
      <c r="AZ170" s="376">
        <f>AX10</f>
        <v>1713486.479844362</v>
      </c>
      <c r="CL170" t="s">
        <v>490</v>
      </c>
      <c r="CO170" s="861"/>
      <c r="CP170" s="861"/>
    </row>
    <row r="171" spans="2:94" x14ac:dyDescent="0.3">
      <c r="AJ171" t="s">
        <v>502</v>
      </c>
      <c r="AK171">
        <v>8</v>
      </c>
      <c r="AX171">
        <f>AK171</f>
        <v>8</v>
      </c>
      <c r="AZ171">
        <f>AX171</f>
        <v>8</v>
      </c>
      <c r="CO171">
        <f>CM171</f>
        <v>0</v>
      </c>
      <c r="CP171" s="311">
        <f>CO171/CO$177</f>
        <v>0</v>
      </c>
    </row>
    <row r="172" spans="2:94" x14ac:dyDescent="0.3">
      <c r="Z172" s="376">
        <f>Z173/12</f>
        <v>84822</v>
      </c>
      <c r="AJ172" t="s">
        <v>503</v>
      </c>
      <c r="AK172" s="376">
        <f>AK171*AK170</f>
        <v>29491905.305842645</v>
      </c>
      <c r="AX172" s="376">
        <f>AX171*AX170</f>
        <v>29491905.305842645</v>
      </c>
      <c r="AZ172" s="376">
        <f>AZ171*AZ170</f>
        <v>13707891.838754896</v>
      </c>
      <c r="CO172">
        <f>CM172</f>
        <v>0</v>
      </c>
      <c r="CP172" s="311">
        <f>CO172/CO$177</f>
        <v>0</v>
      </c>
    </row>
    <row r="173" spans="2:94" x14ac:dyDescent="0.3">
      <c r="O173" s="310">
        <f>1017864/12</f>
        <v>84822</v>
      </c>
      <c r="P173" s="310">
        <f>O173+1017864/12</f>
        <v>169644</v>
      </c>
      <c r="Q173" s="310">
        <f t="shared" ref="Q173:Z173" si="68">P173+1017864/12</f>
        <v>254466</v>
      </c>
      <c r="R173" s="310">
        <f t="shared" si="68"/>
        <v>339288</v>
      </c>
      <c r="S173" s="310">
        <f t="shared" si="68"/>
        <v>424110</v>
      </c>
      <c r="T173" s="310">
        <f t="shared" si="68"/>
        <v>508932</v>
      </c>
      <c r="U173" s="310">
        <f t="shared" si="68"/>
        <v>593754</v>
      </c>
      <c r="V173" s="310">
        <f t="shared" si="68"/>
        <v>678576</v>
      </c>
      <c r="W173" s="310">
        <f t="shared" si="68"/>
        <v>763398</v>
      </c>
      <c r="Y173" s="310">
        <f>X174+1017864/12</f>
        <v>933042</v>
      </c>
      <c r="Z173" s="310">
        <f t="shared" si="68"/>
        <v>1017864</v>
      </c>
      <c r="AJ173" t="s">
        <v>417</v>
      </c>
      <c r="AK173" s="376">
        <f>AY14</f>
        <v>3792926.9</v>
      </c>
      <c r="AX173" s="376">
        <f>AK173</f>
        <v>3792926.9</v>
      </c>
      <c r="AZ173" s="376">
        <f>AX14</f>
        <v>1822042.98</v>
      </c>
      <c r="CO173" s="861">
        <v>100</v>
      </c>
      <c r="CP173" s="863">
        <f>CO173/CO$177</f>
        <v>1</v>
      </c>
    </row>
    <row r="174" spans="2:94" x14ac:dyDescent="0.3">
      <c r="B174" t="s">
        <v>487</v>
      </c>
      <c r="O174" s="376">
        <f>O7</f>
        <v>-96610.817352000115</v>
      </c>
      <c r="P174" s="376">
        <f>O174+P7</f>
        <v>-68628.401231000127</v>
      </c>
      <c r="Q174" s="376">
        <f t="shared" ref="Q174:Z174" si="69">P174+Q7</f>
        <v>321539.19876899989</v>
      </c>
      <c r="R174" s="376">
        <f t="shared" si="69"/>
        <v>380477.91876899998</v>
      </c>
      <c r="S174" s="376">
        <f t="shared" si="69"/>
        <v>522259.01876900013</v>
      </c>
      <c r="T174" s="376">
        <f t="shared" si="69"/>
        <v>747447.318769</v>
      </c>
      <c r="U174" s="376">
        <f t="shared" si="69"/>
        <v>1150316.6873690002</v>
      </c>
      <c r="V174" s="376">
        <f t="shared" si="69"/>
        <v>1428080.3173690001</v>
      </c>
      <c r="W174" s="376">
        <f t="shared" si="69"/>
        <v>1797736.4473689999</v>
      </c>
      <c r="X174" s="310">
        <f>W173+1017864/12</f>
        <v>848220</v>
      </c>
      <c r="Y174" s="376">
        <f>X175+Y7</f>
        <v>2385017.6073690006</v>
      </c>
      <c r="Z174" s="376">
        <f t="shared" si="69"/>
        <v>2793651.7273690002</v>
      </c>
      <c r="AJ174" t="s">
        <v>501</v>
      </c>
      <c r="AK174" s="376">
        <f>AY17</f>
        <v>755025.10000000009</v>
      </c>
      <c r="AX174" s="376">
        <f>AK174</f>
        <v>755025.10000000009</v>
      </c>
      <c r="AZ174" s="376">
        <f>AX17</f>
        <v>1806502.43</v>
      </c>
      <c r="CO174">
        <f>87.5%/2*CO$173</f>
        <v>43.75</v>
      </c>
    </row>
    <row r="175" spans="2:94" x14ac:dyDescent="0.3">
      <c r="B175" t="s">
        <v>489</v>
      </c>
      <c r="O175" s="376">
        <f>O174-O173</f>
        <v>-181432.8173520001</v>
      </c>
      <c r="P175" s="376">
        <f t="shared" ref="P175:W175" si="70">P174-P173</f>
        <v>-238272.40123100014</v>
      </c>
      <c r="Q175" s="376">
        <f>Q174-Q173</f>
        <v>67073.198768999893</v>
      </c>
      <c r="R175" s="376">
        <f t="shared" si="70"/>
        <v>41189.918768999982</v>
      </c>
      <c r="S175" s="376">
        <f t="shared" si="70"/>
        <v>98149.018769000133</v>
      </c>
      <c r="T175" s="376">
        <f t="shared" si="70"/>
        <v>238515.318769</v>
      </c>
      <c r="U175" s="376">
        <f t="shared" si="70"/>
        <v>556562.68736900017</v>
      </c>
      <c r="V175" s="376">
        <f t="shared" si="70"/>
        <v>749504.31736900005</v>
      </c>
      <c r="W175" s="376">
        <f t="shared" si="70"/>
        <v>1034338.4473689999</v>
      </c>
      <c r="X175" s="376">
        <f>W174+X7</f>
        <v>2204190.4273690004</v>
      </c>
      <c r="Y175" s="376">
        <f>Y174-Y173</f>
        <v>1451975.6073690006</v>
      </c>
      <c r="Z175" s="376">
        <f>Z174-Z173</f>
        <v>1775787.7273690002</v>
      </c>
      <c r="AJ175" s="861" t="s">
        <v>507</v>
      </c>
      <c r="AK175" s="866">
        <f>AK172-(AK174-AK173)</f>
        <v>32529807.105842646</v>
      </c>
      <c r="AL175" s="861"/>
      <c r="AM175" s="861"/>
      <c r="AN175" s="861"/>
      <c r="AO175" s="861"/>
      <c r="AP175" s="861"/>
      <c r="AQ175" s="861"/>
      <c r="AR175" s="861"/>
      <c r="AS175" s="861"/>
      <c r="AT175" s="861"/>
      <c r="AU175" s="861"/>
      <c r="AV175" s="1487"/>
      <c r="AW175" s="861"/>
      <c r="AX175" s="866">
        <f>AX172-(AX174-AX173)</f>
        <v>32529807.105842646</v>
      </c>
      <c r="AY175" s="861"/>
      <c r="AZ175" s="866">
        <f>AZ172-(AZ174-AZ173)</f>
        <v>13723432.388754897</v>
      </c>
      <c r="CO175">
        <f>12.5%*CO173</f>
        <v>12.5</v>
      </c>
    </row>
    <row r="176" spans="2:94" x14ac:dyDescent="0.3">
      <c r="B176" t="s">
        <v>488</v>
      </c>
      <c r="U176" s="857">
        <f>2.7%*U174</f>
        <v>31058.550558963008</v>
      </c>
      <c r="V176" s="856">
        <f>2.7%*V174-U176</f>
        <v>7499.6180099999947</v>
      </c>
      <c r="W176" s="856">
        <f>2.7%*W174-V176</f>
        <v>41039.266068963014</v>
      </c>
      <c r="X176" s="376">
        <f>X175-X174</f>
        <v>1355970.4273690004</v>
      </c>
      <c r="Y176" s="856">
        <f>2.7%*Y174-X177</f>
        <v>45921.59992896302</v>
      </c>
      <c r="Z176" s="856">
        <f>2.7%*Z174-Y176</f>
        <v>29506.996709999999</v>
      </c>
      <c r="AK176" s="376"/>
      <c r="AX176" s="376"/>
      <c r="AZ176" s="376"/>
      <c r="CO176" s="861">
        <f>87.5%/2*CO$173</f>
        <v>43.75</v>
      </c>
      <c r="CP176" s="861"/>
    </row>
    <row r="177" spans="2:93" x14ac:dyDescent="0.3">
      <c r="B177" t="s">
        <v>490</v>
      </c>
      <c r="X177" s="856">
        <f>2.7%*X175-W176</f>
        <v>18473.875470000006</v>
      </c>
      <c r="AJ177" s="873" t="s">
        <v>524</v>
      </c>
      <c r="AK177" s="861"/>
      <c r="AL177" s="861"/>
      <c r="AM177" s="861"/>
      <c r="AN177" s="861"/>
      <c r="AO177" s="861"/>
      <c r="AP177" s="861"/>
      <c r="AQ177" s="861"/>
      <c r="AR177" s="861"/>
      <c r="AS177" s="861"/>
      <c r="AT177" s="861"/>
      <c r="AU177" s="861"/>
      <c r="AV177" s="1487"/>
      <c r="AW177" s="861"/>
      <c r="AX177" s="861"/>
      <c r="AY177" s="861"/>
      <c r="AZ177" s="861"/>
      <c r="BA177" s="861"/>
      <c r="CO177">
        <f>SUM(CO171:CO173)</f>
        <v>100</v>
      </c>
    </row>
    <row r="178" spans="2:93" x14ac:dyDescent="0.3">
      <c r="AJ178" t="s">
        <v>389</v>
      </c>
      <c r="AK178">
        <v>510</v>
      </c>
      <c r="AL178" s="311">
        <f>AK178/AK$184</f>
        <v>0.51</v>
      </c>
      <c r="AM178" s="311"/>
      <c r="AN178" s="311"/>
      <c r="AO178" s="311"/>
      <c r="AP178" s="311"/>
      <c r="AQ178" s="311"/>
      <c r="AR178" s="311"/>
      <c r="AS178" s="311"/>
      <c r="AT178" s="311"/>
      <c r="AU178" s="311"/>
      <c r="AV178" s="311"/>
      <c r="AW178" s="311"/>
      <c r="AX178">
        <f>AK178</f>
        <v>510</v>
      </c>
      <c r="AY178" s="311">
        <f>AX178/AX$184</f>
        <v>0.46363636363636362</v>
      </c>
      <c r="AZ178">
        <f>AX178</f>
        <v>510</v>
      </c>
      <c r="BA178" s="311">
        <f>AZ178/AZ$184</f>
        <v>0.46363636363636362</v>
      </c>
    </row>
    <row r="179" spans="2:93" ht="6.75" customHeight="1" x14ac:dyDescent="0.3">
      <c r="AJ179" t="s">
        <v>508</v>
      </c>
      <c r="AK179">
        <v>490</v>
      </c>
      <c r="AL179" s="311">
        <f>AK179/AK$184</f>
        <v>0.49</v>
      </c>
      <c r="AM179" s="311"/>
      <c r="AN179" s="311"/>
      <c r="AO179" s="311"/>
      <c r="AP179" s="311"/>
      <c r="AQ179" s="311"/>
      <c r="AR179" s="311"/>
      <c r="AS179" s="311"/>
      <c r="AT179" s="311"/>
      <c r="AU179" s="311"/>
      <c r="AV179" s="311"/>
      <c r="AW179" s="311"/>
      <c r="AX179">
        <f>AK179</f>
        <v>490</v>
      </c>
      <c r="AY179" s="311">
        <f>AX179/AX$184</f>
        <v>0.44545454545454544</v>
      </c>
      <c r="AZ179">
        <f>AX179</f>
        <v>490</v>
      </c>
      <c r="BA179" s="311">
        <f>AZ179/AZ$184</f>
        <v>0.44545454545454544</v>
      </c>
      <c r="CO179" s="316">
        <f>CO167/CO163</f>
        <v>11.595784007368149</v>
      </c>
    </row>
    <row r="180" spans="2:93" x14ac:dyDescent="0.3">
      <c r="AJ180" s="861" t="s">
        <v>141</v>
      </c>
      <c r="AK180" s="861">
        <v>0</v>
      </c>
      <c r="AL180" s="863">
        <f>AK180/AK$184</f>
        <v>0</v>
      </c>
      <c r="AM180" s="863"/>
      <c r="AN180" s="863"/>
      <c r="AO180" s="863"/>
      <c r="AP180" s="863"/>
      <c r="AQ180" s="863"/>
      <c r="AR180" s="863"/>
      <c r="AS180" s="863"/>
      <c r="AT180" s="863"/>
      <c r="AU180" s="863"/>
      <c r="AV180" s="1586"/>
      <c r="AW180" s="863"/>
      <c r="AX180" s="861">
        <v>100</v>
      </c>
      <c r="AY180" s="863">
        <f>AX180/AX$184</f>
        <v>9.0909090909090912E-2</v>
      </c>
      <c r="AZ180" s="861">
        <v>100</v>
      </c>
      <c r="BA180" s="863">
        <f>AZ180/AZ$184</f>
        <v>9.0909090909090912E-2</v>
      </c>
      <c r="CO180" s="376">
        <f>CO163/CO177</f>
        <v>3139.9960000000037</v>
      </c>
    </row>
    <row r="181" spans="2:93" x14ac:dyDescent="0.3">
      <c r="AJ181" s="870" t="s">
        <v>389</v>
      </c>
      <c r="AK181">
        <f>87.5%/2*AK$180</f>
        <v>0</v>
      </c>
      <c r="AX181">
        <f>87.5%/2*AX$180</f>
        <v>43.75</v>
      </c>
      <c r="AZ181">
        <f>87.5%/2*AZ$180</f>
        <v>43.75</v>
      </c>
      <c r="CO181" s="376">
        <f>CO168/CO177</f>
        <v>-26149.911100000005</v>
      </c>
    </row>
    <row r="182" spans="2:93" x14ac:dyDescent="0.3">
      <c r="AJ182" s="870" t="s">
        <v>508</v>
      </c>
      <c r="AK182">
        <f>12.5%*AK180</f>
        <v>0</v>
      </c>
      <c r="AX182">
        <f>12.5%*AX180</f>
        <v>12.5</v>
      </c>
      <c r="AZ182">
        <f>12.5%*AZ180</f>
        <v>12.5</v>
      </c>
    </row>
    <row r="183" spans="2:93" x14ac:dyDescent="0.3">
      <c r="AJ183" s="871" t="s">
        <v>388</v>
      </c>
      <c r="AK183" s="861">
        <f>87.5%/2*AK$180</f>
        <v>0</v>
      </c>
      <c r="AL183" s="861"/>
      <c r="AM183" s="861"/>
      <c r="AN183" s="861"/>
      <c r="AO183" s="861"/>
      <c r="AP183" s="861"/>
      <c r="AQ183" s="861"/>
      <c r="AR183" s="861"/>
      <c r="AS183" s="861"/>
      <c r="AT183" s="861"/>
      <c r="AU183" s="861"/>
      <c r="AV183" s="1487"/>
      <c r="AW183" s="861"/>
      <c r="AX183" s="861">
        <f>87.5%/2*AX$180</f>
        <v>43.75</v>
      </c>
      <c r="AY183" s="861"/>
      <c r="AZ183" s="861">
        <f>87.5%/2*AZ$180</f>
        <v>43.75</v>
      </c>
      <c r="BA183" s="861"/>
      <c r="CO183" s="861"/>
    </row>
    <row r="184" spans="2:93" x14ac:dyDescent="0.3">
      <c r="AJ184" s="302" t="s">
        <v>142</v>
      </c>
      <c r="AK184">
        <f>SUM(AK178:AK180)</f>
        <v>1000</v>
      </c>
      <c r="AX184">
        <f>SUM(AX178:AX180)</f>
        <v>1100</v>
      </c>
      <c r="AZ184">
        <f>SUM(AZ178:AZ180)</f>
        <v>1100</v>
      </c>
      <c r="CO184" s="376">
        <f>CO$180*(CO174+CO171)</f>
        <v>137374.82500000016</v>
      </c>
    </row>
    <row r="185" spans="2:93" x14ac:dyDescent="0.3">
      <c r="CO185" s="376">
        <f>CO$180*(CO175+CO172)</f>
        <v>39249.950000000048</v>
      </c>
    </row>
    <row r="186" spans="2:93" x14ac:dyDescent="0.3">
      <c r="AJ186" s="302" t="s">
        <v>523</v>
      </c>
      <c r="AK186" s="316">
        <f>AK174/AK170</f>
        <v>0.20480876828271166</v>
      </c>
      <c r="AX186" s="316">
        <f>AX174/AX170</f>
        <v>0.20480876828271166</v>
      </c>
      <c r="AZ186" s="316">
        <f>AZ174/AZ170</f>
        <v>1.0542846128345795</v>
      </c>
      <c r="CO186" s="376">
        <f>CO$180*(CO176)</f>
        <v>137374.82500000016</v>
      </c>
    </row>
    <row r="187" spans="2:93" x14ac:dyDescent="0.3">
      <c r="AJ187" s="302" t="s">
        <v>509</v>
      </c>
      <c r="AK187" s="376">
        <f>AK170/AK184</f>
        <v>3686.4881632303309</v>
      </c>
      <c r="AL187" s="376"/>
      <c r="AM187" s="376"/>
      <c r="AN187" s="376"/>
      <c r="AO187" s="376"/>
      <c r="AP187" s="376"/>
      <c r="AQ187" s="376"/>
      <c r="AR187" s="376"/>
      <c r="AS187" s="376"/>
      <c r="AT187" s="376"/>
      <c r="AU187" s="376"/>
      <c r="AV187" s="376"/>
      <c r="AW187" s="376"/>
      <c r="AX187" s="376">
        <f>AX170/AX184</f>
        <v>3351.3528756639371</v>
      </c>
      <c r="AY187" s="376"/>
      <c r="AZ187" s="376">
        <f>AZ170/AZ184</f>
        <v>1557.7149816766928</v>
      </c>
    </row>
    <row r="188" spans="2:93" ht="6.75" customHeight="1" x14ac:dyDescent="0.3">
      <c r="AJ188" t="s">
        <v>517</v>
      </c>
      <c r="AK188" s="376">
        <f>AK175/AK184</f>
        <v>32529.807105842647</v>
      </c>
      <c r="AL188" s="376"/>
      <c r="AM188" s="376"/>
      <c r="AN188" s="376"/>
      <c r="AO188" s="376"/>
      <c r="AP188" s="376"/>
      <c r="AQ188" s="376"/>
      <c r="AR188" s="376"/>
      <c r="AS188" s="376"/>
      <c r="AT188" s="376"/>
      <c r="AU188" s="376"/>
      <c r="AV188" s="376"/>
      <c r="AW188" s="376"/>
      <c r="AX188" s="376">
        <f>AX175/AX184</f>
        <v>29572.551914402407</v>
      </c>
      <c r="AY188" s="376"/>
      <c r="AZ188" s="376">
        <f>AZ175/AZ184</f>
        <v>12475.847626140816</v>
      </c>
      <c r="CO188" s="861"/>
    </row>
    <row r="189" spans="2:93" x14ac:dyDescent="0.3">
      <c r="CO189" s="376">
        <f>CO$181*CO171+CO$173/SUM($AX$178:$AX$180)*$AX$175*CO171/SUM($AX$178:$AX$179)</f>
        <v>0</v>
      </c>
    </row>
    <row r="190" spans="2:93" x14ac:dyDescent="0.3">
      <c r="AJ190" s="873" t="s">
        <v>510</v>
      </c>
      <c r="AK190" s="861"/>
      <c r="AL190" s="861"/>
      <c r="AM190" s="861"/>
      <c r="AN190" s="861"/>
      <c r="AO190" s="861"/>
      <c r="AP190" s="861"/>
      <c r="AQ190" s="861"/>
      <c r="AR190" s="861"/>
      <c r="AS190" s="861"/>
      <c r="AT190" s="861"/>
      <c r="AU190" s="861"/>
      <c r="AV190" s="1487"/>
      <c r="AW190" s="861"/>
      <c r="AX190" s="861"/>
      <c r="AY190" s="861"/>
      <c r="AZ190" s="861"/>
      <c r="CO190" s="376">
        <f>CO$181*CO172+CO$173/SUM($AX$178:$AX$180)*$AX$175*CO172/SUM($AX$178:$AX$179)</f>
        <v>0</v>
      </c>
    </row>
    <row r="191" spans="2:93" x14ac:dyDescent="0.3">
      <c r="AJ191" t="s">
        <v>389</v>
      </c>
      <c r="AK191" s="376">
        <f>AK$187*(AK181+AK178)</f>
        <v>1880108.9632474687</v>
      </c>
      <c r="AX191" s="376">
        <f>AX$187*(AX181+AX178)</f>
        <v>1855811.6548989052</v>
      </c>
      <c r="AZ191" s="376">
        <f>AZ$187*(AZ181+AZ178)</f>
        <v>862584.67110346863</v>
      </c>
      <c r="CO191" s="376">
        <f>CO$181*CO$173-CO$173/SUM($AX$178:$AX$180)*$AX$175</f>
        <v>-5572246.3014402408</v>
      </c>
    </row>
    <row r="192" spans="2:93" ht="6.75" customHeight="1" x14ac:dyDescent="0.3">
      <c r="AJ192" t="s">
        <v>508</v>
      </c>
      <c r="AK192" s="376">
        <f>AK$187*(AK182+AK179)</f>
        <v>1806379.1999828622</v>
      </c>
      <c r="AX192" s="376">
        <f>AX$187*(AX182+AX179)</f>
        <v>1684054.8200211283</v>
      </c>
      <c r="AZ192" s="376">
        <f>AZ$187*(AZ182+AZ179)</f>
        <v>782751.77829253813</v>
      </c>
      <c r="CO192" s="376">
        <f>SUM(CO189:CO191)-CO168</f>
        <v>-2957255.1914402405</v>
      </c>
    </row>
    <row r="193" spans="36:94" x14ac:dyDescent="0.3">
      <c r="AJ193" t="s">
        <v>388</v>
      </c>
      <c r="AK193" s="376">
        <f>AK$187*(AK183+AK180)</f>
        <v>0</v>
      </c>
      <c r="AX193" s="376">
        <f>AX$187*(AX183)</f>
        <v>146621.68831029724</v>
      </c>
      <c r="AZ193" s="376">
        <f>AZ$187*(AZ183)</f>
        <v>68150.030448355305</v>
      </c>
      <c r="CO193" s="866"/>
      <c r="CP193" s="873" t="s">
        <v>520</v>
      </c>
    </row>
    <row r="194" spans="36:94" x14ac:dyDescent="0.3">
      <c r="CO194" s="872">
        <f>CO189+87.5%/2*CO$191</f>
        <v>-2437857.7568801055</v>
      </c>
      <c r="CP194" s="311" t="e">
        <f>(CO194-CO156)/CO156</f>
        <v>#DIV/0!</v>
      </c>
    </row>
    <row r="195" spans="36:94" x14ac:dyDescent="0.3">
      <c r="AJ195" s="873" t="s">
        <v>516</v>
      </c>
      <c r="AK195" s="861"/>
      <c r="AL195" s="861"/>
      <c r="AM195" s="861"/>
      <c r="AN195" s="861"/>
      <c r="AO195" s="861"/>
      <c r="AP195" s="861"/>
      <c r="AQ195" s="861"/>
      <c r="AR195" s="861"/>
      <c r="AS195" s="861"/>
      <c r="AT195" s="861"/>
      <c r="AU195" s="861"/>
      <c r="AV195" s="1487"/>
      <c r="AW195" s="861"/>
      <c r="AX195" s="861"/>
      <c r="AY195" s="861"/>
      <c r="AZ195" s="861"/>
      <c r="CO195" s="872">
        <f>CO190+12.5%*CO$191</f>
        <v>-696530.7876800301</v>
      </c>
      <c r="CP195" s="311" t="e">
        <f>(CO195-CO157)/CO157</f>
        <v>#DIV/0!</v>
      </c>
    </row>
    <row r="196" spans="36:94" x14ac:dyDescent="0.3">
      <c r="AJ196" t="s">
        <v>389</v>
      </c>
      <c r="AK196" s="857">
        <f>AK$188*AK178</f>
        <v>16590201.623979749</v>
      </c>
      <c r="AX196" s="376">
        <f>AX$188*AX178+AX$180/SUM($AX$178:$AX$180)*$AX$175*AX178/SUM($AX$178:$AX$179)</f>
        <v>16590201.623979751</v>
      </c>
      <c r="AZ196" s="376">
        <f>AZ$188*AZ178+AZ$180/SUM($AX$178:$AX$180)*$AX$175*AZ178/SUM($AX$178:$AX$179)</f>
        <v>7870882.4369663391</v>
      </c>
      <c r="CO196" s="872">
        <f>87.5%/2*CO$191</f>
        <v>-2437857.7568801055</v>
      </c>
      <c r="CP196" s="311" t="e">
        <f>(CO196-CO158)/CO158</f>
        <v>#DIV/0!</v>
      </c>
    </row>
    <row r="197" spans="36:94" ht="6.75" customHeight="1" x14ac:dyDescent="0.3">
      <c r="AJ197" t="s">
        <v>508</v>
      </c>
      <c r="AK197" s="857">
        <f>AK$188*AK179</f>
        <v>15939605.481862897</v>
      </c>
      <c r="AX197" s="376">
        <f>AX$188*AX179+AX$180/SUM($AX$178:$AX$180)*$AX$175*AX179/SUM($AX$178:$AX$179)</f>
        <v>15939605.481862899</v>
      </c>
      <c r="AZ197" s="376">
        <f>AZ$188*AZ179+AZ$180/SUM($AX$178:$AX$180)*$AX$175*AZ179/SUM($AX$178:$AX$179)</f>
        <v>7562220.3806147184</v>
      </c>
      <c r="CO197" s="376">
        <f>SUM(CO194:CO196)-CO168</f>
        <v>-2957255.1914402405</v>
      </c>
    </row>
    <row r="198" spans="36:94" x14ac:dyDescent="0.3">
      <c r="AJ198" t="s">
        <v>141</v>
      </c>
      <c r="AK198" s="857">
        <f>AK$188*AK180</f>
        <v>0</v>
      </c>
      <c r="AX198" s="857">
        <f>AX$188*AX$180-AX$180/SUM($AX$178:$AX$180)*$AX$175</f>
        <v>0</v>
      </c>
      <c r="AZ198" s="376">
        <f>AZ$188*AZ$180-AZ$180/SUM($AX$178:$AX$180)*$AX$175</f>
        <v>-1709670.4288261589</v>
      </c>
    </row>
    <row r="199" spans="36:94" x14ac:dyDescent="0.3">
      <c r="AK199" s="857"/>
      <c r="AX199" s="857"/>
      <c r="AZ199" s="376">
        <f>SUM(AZ196:AZ198)-AZ175</f>
        <v>0</v>
      </c>
    </row>
    <row r="200" spans="36:94" x14ac:dyDescent="0.3">
      <c r="AJ200" s="873" t="s">
        <v>521</v>
      </c>
      <c r="AK200" s="874"/>
      <c r="AL200" s="861"/>
      <c r="AM200" s="861"/>
      <c r="AN200" s="861"/>
      <c r="AO200" s="861"/>
      <c r="AP200" s="861"/>
      <c r="AQ200" s="861"/>
      <c r="AR200" s="861"/>
      <c r="AS200" s="861"/>
      <c r="AT200" s="861"/>
      <c r="AU200" s="861"/>
      <c r="AV200" s="1487"/>
      <c r="AW200" s="861"/>
      <c r="AX200" s="874"/>
      <c r="AY200" s="861"/>
      <c r="AZ200" s="866"/>
      <c r="BA200" s="873" t="s">
        <v>520</v>
      </c>
    </row>
    <row r="201" spans="36:94" x14ac:dyDescent="0.3">
      <c r="AJ201" t="s">
        <v>389</v>
      </c>
      <c r="AK201" s="376">
        <f>AK196+87.5%/2*AK$198</f>
        <v>16590201.623979749</v>
      </c>
      <c r="AL201" s="376"/>
      <c r="AM201" s="376"/>
      <c r="AN201" s="376"/>
      <c r="AO201" s="376"/>
      <c r="AP201" s="376"/>
      <c r="AQ201" s="376"/>
      <c r="AR201" s="376"/>
      <c r="AS201" s="376"/>
      <c r="AT201" s="376"/>
      <c r="AU201" s="376"/>
      <c r="AV201" s="376"/>
      <c r="AW201" s="376"/>
      <c r="AX201" s="376">
        <f>AX196+87.5%/2*AX$198</f>
        <v>16590201.623979751</v>
      </c>
      <c r="AY201" s="376"/>
      <c r="AZ201" s="872">
        <f>AZ196+87.5%/2*AZ$198</f>
        <v>7122901.6243548943</v>
      </c>
      <c r="BA201" s="311">
        <f>(AZ201-AZ163)/AZ163</f>
        <v>1.7709956052185991E-2</v>
      </c>
      <c r="CO201" s="873">
        <v>2022</v>
      </c>
    </row>
    <row r="202" spans="36:94" ht="6.75" customHeight="1" x14ac:dyDescent="0.3">
      <c r="AJ202" t="s">
        <v>508</v>
      </c>
      <c r="AK202" s="376">
        <f>AK197+12.5%*AK$198</f>
        <v>15939605.481862897</v>
      </c>
      <c r="AL202" s="376"/>
      <c r="AM202" s="376"/>
      <c r="AN202" s="376"/>
      <c r="AO202" s="376"/>
      <c r="AP202" s="376"/>
      <c r="AQ202" s="376"/>
      <c r="AR202" s="376"/>
      <c r="AS202" s="376"/>
      <c r="AT202" s="376"/>
      <c r="AU202" s="376"/>
      <c r="AV202" s="376"/>
      <c r="AW202" s="376"/>
      <c r="AX202" s="376">
        <f>AX197+12.5%*AX$198</f>
        <v>15939605.481862899</v>
      </c>
      <c r="AY202" s="376"/>
      <c r="AZ202" s="872">
        <f>AZ197+12.5%*AZ$198</f>
        <v>7348511.5770114483</v>
      </c>
      <c r="BA202" s="311">
        <f>(AZ202-AZ164)/AZ164</f>
        <v>9.2799671192523678E-2</v>
      </c>
      <c r="CO202" s="867"/>
    </row>
    <row r="203" spans="36:94" x14ac:dyDescent="0.3">
      <c r="AJ203" t="s">
        <v>388</v>
      </c>
      <c r="AK203" s="376">
        <f>AK198+87.5%/2*AK$198</f>
        <v>0</v>
      </c>
      <c r="AL203" s="376"/>
      <c r="AM203" s="376"/>
      <c r="AN203" s="376"/>
      <c r="AO203" s="376"/>
      <c r="AP203" s="376"/>
      <c r="AQ203" s="376"/>
      <c r="AR203" s="376"/>
      <c r="AS203" s="376"/>
      <c r="AT203" s="376"/>
      <c r="AU203" s="376"/>
      <c r="AV203" s="376"/>
      <c r="AW203" s="376"/>
      <c r="AX203" s="376">
        <f>AX198+87.5%/2*AX$198</f>
        <v>0</v>
      </c>
      <c r="AY203" s="376"/>
      <c r="AZ203" s="872">
        <f>87.5%/2*AZ$198</f>
        <v>-747980.8126114445</v>
      </c>
      <c r="BA203" s="311" t="e">
        <f>(AZ203-AZ165)/AZ165</f>
        <v>#DIV/0!</v>
      </c>
      <c r="CO203" s="376">
        <f>CO163</f>
        <v>313999.60000000038</v>
      </c>
    </row>
    <row r="204" spans="36:94" x14ac:dyDescent="0.3">
      <c r="AK204" s="857"/>
      <c r="AX204" s="857"/>
      <c r="AZ204" s="376">
        <f>SUM(AZ201:AZ203)-AZ175</f>
        <v>0</v>
      </c>
      <c r="CO204">
        <f>CO164</f>
        <v>0</v>
      </c>
    </row>
    <row r="205" spans="36:94" x14ac:dyDescent="0.3">
      <c r="CO205" s="376">
        <f>CO165</f>
        <v>0</v>
      </c>
    </row>
    <row r="206" spans="36:94" x14ac:dyDescent="0.3">
      <c r="CO206" s="376">
        <f>CO166</f>
        <v>1026080.4299999999</v>
      </c>
    </row>
    <row r="207" spans="36:94" ht="6.75" customHeight="1" x14ac:dyDescent="0.3">
      <c r="CO207" s="376">
        <f>CO167+CH217-CG221</f>
        <v>3641071.54</v>
      </c>
    </row>
    <row r="208" spans="36:94" x14ac:dyDescent="0.3">
      <c r="AJ208" s="873"/>
      <c r="AK208" s="873">
        <v>2021</v>
      </c>
      <c r="AL208" s="873"/>
      <c r="AM208" s="873"/>
      <c r="AN208" s="873"/>
      <c r="AO208" s="873"/>
      <c r="AP208" s="873"/>
      <c r="AQ208" s="873"/>
      <c r="AR208" s="873"/>
      <c r="AS208" s="873"/>
      <c r="AT208" s="873"/>
      <c r="AU208" s="873"/>
      <c r="AV208" s="1585"/>
      <c r="AW208" s="873"/>
      <c r="AX208" s="873">
        <v>2021</v>
      </c>
      <c r="AY208" s="873"/>
      <c r="AZ208" s="873">
        <v>2022</v>
      </c>
      <c r="CO208" s="866">
        <f>CO205-(CO207-CO206)</f>
        <v>-2614991.1100000003</v>
      </c>
    </row>
    <row r="209" spans="32:94" x14ac:dyDescent="0.3">
      <c r="AJ209" s="867"/>
      <c r="AK209" s="875" t="s">
        <v>505</v>
      </c>
      <c r="AL209" s="867"/>
      <c r="AM209" s="867"/>
      <c r="AN209" s="867"/>
      <c r="AO209" s="867"/>
      <c r="AP209" s="867"/>
      <c r="AQ209" s="867"/>
      <c r="AR209" s="867"/>
      <c r="AS209" s="867"/>
      <c r="AT209" s="867"/>
      <c r="AU209" s="867"/>
      <c r="AV209" s="867"/>
      <c r="AW209" s="867"/>
      <c r="AX209" s="875" t="s">
        <v>506</v>
      </c>
      <c r="AY209" s="867"/>
      <c r="AZ209" s="867"/>
      <c r="CO209" s="877"/>
    </row>
    <row r="210" spans="32:94" x14ac:dyDescent="0.3">
      <c r="AJ210" t="s">
        <v>220</v>
      </c>
      <c r="AK210" s="376">
        <f>AK170</f>
        <v>3686488.1632303307</v>
      </c>
      <c r="AX210" s="376">
        <f>AX170</f>
        <v>3686488.1632303307</v>
      </c>
      <c r="AZ210" s="376">
        <f>AZ170</f>
        <v>1713486.479844362</v>
      </c>
      <c r="CO210" s="861"/>
      <c r="CP210" s="861"/>
    </row>
    <row r="211" spans="32:94" x14ac:dyDescent="0.3">
      <c r="AJ211" t="s">
        <v>502</v>
      </c>
      <c r="AK211">
        <f>AK171</f>
        <v>8</v>
      </c>
      <c r="AX211">
        <f>AX171</f>
        <v>8</v>
      </c>
      <c r="AZ211">
        <f>AZ171</f>
        <v>8</v>
      </c>
      <c r="CO211">
        <f>CM211</f>
        <v>0</v>
      </c>
      <c r="CP211" s="311">
        <f>CO211/CO$217</f>
        <v>0</v>
      </c>
    </row>
    <row r="212" spans="32:94" ht="6.75" customHeight="1" x14ac:dyDescent="0.3">
      <c r="AJ212" t="s">
        <v>503</v>
      </c>
      <c r="AK212" s="376">
        <f>AK172</f>
        <v>29491905.305842645</v>
      </c>
      <c r="AX212" s="376">
        <f>AX172</f>
        <v>29491905.305842645</v>
      </c>
      <c r="AZ212" s="376">
        <f>AZ172</f>
        <v>13707891.838754896</v>
      </c>
      <c r="CO212">
        <f>CM212</f>
        <v>0</v>
      </c>
      <c r="CP212" s="311">
        <f>CO212/CO$217</f>
        <v>0</v>
      </c>
    </row>
    <row r="213" spans="32:94" x14ac:dyDescent="0.3">
      <c r="AJ213" t="s">
        <v>417</v>
      </c>
      <c r="AK213" s="376">
        <f>AK173</f>
        <v>3792926.9</v>
      </c>
      <c r="AX213" s="376">
        <f>AX173</f>
        <v>3792926.9</v>
      </c>
      <c r="AZ213" s="376">
        <f>AZ173</f>
        <v>1822042.98</v>
      </c>
      <c r="CO213" s="861">
        <v>100</v>
      </c>
      <c r="CP213" s="863">
        <f>CO213/CO$217</f>
        <v>1</v>
      </c>
    </row>
    <row r="214" spans="32:94" x14ac:dyDescent="0.3">
      <c r="AF214" s="861" t="s">
        <v>511</v>
      </c>
      <c r="AH214" s="1783" t="s">
        <v>513</v>
      </c>
      <c r="AJ214" t="s">
        <v>501</v>
      </c>
      <c r="AK214" s="376">
        <f>AK174</f>
        <v>755025.10000000009</v>
      </c>
      <c r="AX214" s="376">
        <f>AX174+AH217</f>
        <v>7260986.52116853</v>
      </c>
      <c r="AZ214" s="376">
        <f>AZ174+AH217-AG221</f>
        <v>7228136.9476404414</v>
      </c>
      <c r="CO214">
        <f>87.5%/2*CO$173</f>
        <v>43.75</v>
      </c>
    </row>
    <row r="215" spans="32:94" x14ac:dyDescent="0.3">
      <c r="AF215" s="29">
        <v>0.2</v>
      </c>
      <c r="AG215" s="861" t="s">
        <v>512</v>
      </c>
      <c r="AH215" s="1784"/>
      <c r="AJ215" s="861" t="s">
        <v>507</v>
      </c>
      <c r="AK215" s="866">
        <f>AK212-(AK214-AK213)</f>
        <v>32529807.105842646</v>
      </c>
      <c r="AL215" s="861"/>
      <c r="AM215" s="861"/>
      <c r="AN215" s="861"/>
      <c r="AO215" s="861"/>
      <c r="AP215" s="861"/>
      <c r="AQ215" s="861"/>
      <c r="AR215" s="861"/>
      <c r="AS215" s="861"/>
      <c r="AT215" s="861"/>
      <c r="AU215" s="861"/>
      <c r="AV215" s="1487"/>
      <c r="AW215" s="861"/>
      <c r="AX215" s="866">
        <f>AX212-(AX214-AX213)</f>
        <v>26023845.684674114</v>
      </c>
      <c r="AY215" s="861"/>
      <c r="AZ215" s="866">
        <f>AZ212-(AZ214-AZ213)</f>
        <v>8301797.8711144552</v>
      </c>
      <c r="CO215">
        <f>12.5%*CO213</f>
        <v>12.5</v>
      </c>
    </row>
    <row r="216" spans="32:94" x14ac:dyDescent="0.3">
      <c r="AF216" s="29"/>
      <c r="AH216" s="876"/>
      <c r="AJ216" s="864"/>
      <c r="AK216" s="877"/>
      <c r="AL216" s="864"/>
      <c r="AM216" s="864"/>
      <c r="AN216" s="864"/>
      <c r="AO216" s="864"/>
      <c r="AP216" s="864"/>
      <c r="AQ216" s="864"/>
      <c r="AR216" s="864"/>
      <c r="AS216" s="864"/>
      <c r="AT216" s="864"/>
      <c r="AU216" s="864"/>
      <c r="AV216" s="1587"/>
      <c r="AW216" s="864"/>
      <c r="AX216" s="877"/>
      <c r="AY216" s="864"/>
      <c r="AZ216" s="877"/>
      <c r="CO216" s="861">
        <f>87.5%/2*CO$173</f>
        <v>43.75</v>
      </c>
      <c r="CP216" s="861"/>
    </row>
    <row r="217" spans="32:94" x14ac:dyDescent="0.3">
      <c r="AG217">
        <f>AF215*AK224</f>
        <v>200</v>
      </c>
      <c r="AH217" s="376">
        <f>AF215*AK215</f>
        <v>6505961.4211685294</v>
      </c>
      <c r="AJ217" s="873" t="s">
        <v>524</v>
      </c>
      <c r="AK217" s="861"/>
      <c r="AL217" s="861"/>
      <c r="AM217" s="861"/>
      <c r="AN217" s="861"/>
      <c r="AO217" s="861"/>
      <c r="AP217" s="861"/>
      <c r="AQ217" s="861"/>
      <c r="AR217" s="861"/>
      <c r="AS217" s="861"/>
      <c r="AT217" s="861"/>
      <c r="AU217" s="861"/>
      <c r="AV217" s="1487"/>
      <c r="AW217" s="861"/>
      <c r="AX217" s="861"/>
      <c r="AY217" s="861"/>
      <c r="AZ217" s="861"/>
      <c r="BA217" s="861"/>
      <c r="CO217">
        <f>SUM(CO211:CO213)</f>
        <v>100</v>
      </c>
    </row>
    <row r="218" spans="32:94" x14ac:dyDescent="0.3">
      <c r="AF218" t="s">
        <v>217</v>
      </c>
      <c r="AJ218" t="s">
        <v>389</v>
      </c>
      <c r="AK218">
        <v>510</v>
      </c>
      <c r="AL218" s="311">
        <f>AK218/AK$184</f>
        <v>0.51</v>
      </c>
      <c r="AM218" s="311"/>
      <c r="AN218" s="311"/>
      <c r="AO218" s="311"/>
      <c r="AP218" s="311"/>
      <c r="AQ218" s="311"/>
      <c r="AR218" s="311"/>
      <c r="AS218" s="311"/>
      <c r="AT218" s="311"/>
      <c r="AU218" s="311"/>
      <c r="AV218" s="311"/>
      <c r="AW218" s="311"/>
      <c r="AX218">
        <f>AK218</f>
        <v>510</v>
      </c>
      <c r="AY218" s="311">
        <f>AX218/AX$224</f>
        <v>0.56666666666666665</v>
      </c>
      <c r="AZ218">
        <f>AX218</f>
        <v>510</v>
      </c>
      <c r="BA218" s="311">
        <f>AZ218/AZ$224</f>
        <v>0.56666666666666665</v>
      </c>
    </row>
    <row r="219" spans="32:94" x14ac:dyDescent="0.3">
      <c r="AF219" t="s">
        <v>379</v>
      </c>
      <c r="AG219">
        <v>6</v>
      </c>
      <c r="AJ219" t="s">
        <v>508</v>
      </c>
      <c r="AK219">
        <v>490</v>
      </c>
      <c r="AL219" s="311">
        <f>AK219/AK$184</f>
        <v>0.49</v>
      </c>
      <c r="AM219" s="311"/>
      <c r="AN219" s="311"/>
      <c r="AO219" s="311"/>
      <c r="AP219" s="311"/>
      <c r="AQ219" s="311"/>
      <c r="AR219" s="311"/>
      <c r="AS219" s="311"/>
      <c r="AT219" s="311"/>
      <c r="AU219" s="311"/>
      <c r="AV219" s="311"/>
      <c r="AW219" s="311"/>
      <c r="AX219">
        <f>AK219-AG217</f>
        <v>290</v>
      </c>
      <c r="AY219" s="311">
        <f t="shared" ref="AY219:BA220" si="71">AX219/AX$224</f>
        <v>0.32222222222222224</v>
      </c>
      <c r="AZ219">
        <f>AX219</f>
        <v>290</v>
      </c>
      <c r="BA219" s="311">
        <f t="shared" si="71"/>
        <v>0.32222222222222224</v>
      </c>
      <c r="CO219" s="316">
        <f>CO207/CO203</f>
        <v>11.595784007368149</v>
      </c>
    </row>
    <row r="220" spans="32:94" x14ac:dyDescent="0.3">
      <c r="AF220" t="s">
        <v>514</v>
      </c>
      <c r="AG220" s="29">
        <v>0.05</v>
      </c>
      <c r="AJ220" s="861" t="s">
        <v>141</v>
      </c>
      <c r="AK220" s="861">
        <v>0</v>
      </c>
      <c r="AL220" s="863">
        <f>AK220/AK$184</f>
        <v>0</v>
      </c>
      <c r="AM220" s="863"/>
      <c r="AN220" s="863"/>
      <c r="AO220" s="863"/>
      <c r="AP220" s="863"/>
      <c r="AQ220" s="863"/>
      <c r="AR220" s="863"/>
      <c r="AS220" s="863"/>
      <c r="AT220" s="863"/>
      <c r="AU220" s="863"/>
      <c r="AV220" s="1586"/>
      <c r="AW220" s="863"/>
      <c r="AX220" s="861">
        <v>100</v>
      </c>
      <c r="AY220" s="863">
        <f t="shared" si="71"/>
        <v>0.1111111111111111</v>
      </c>
      <c r="AZ220" s="861">
        <v>100</v>
      </c>
      <c r="BA220" s="863">
        <f t="shared" si="71"/>
        <v>0.1111111111111111</v>
      </c>
      <c r="CO220" s="857">
        <f>CO203/CO217</f>
        <v>3139.9960000000037</v>
      </c>
    </row>
    <row r="221" spans="32:94" x14ac:dyDescent="0.3">
      <c r="AF221" t="s">
        <v>515</v>
      </c>
      <c r="AG221" s="857">
        <f>AH217/AG219</f>
        <v>1084326.9035280882</v>
      </c>
      <c r="AJ221" s="870" t="s">
        <v>389</v>
      </c>
      <c r="AK221">
        <f>87.5%/2*AK$180</f>
        <v>0</v>
      </c>
      <c r="AX221">
        <f>87.5%/2*AX$180</f>
        <v>43.75</v>
      </c>
      <c r="AZ221">
        <f>87.5%/2*AZ$180</f>
        <v>43.75</v>
      </c>
      <c r="CO221" s="376">
        <f>CO208/CO217</f>
        <v>-26149.911100000005</v>
      </c>
    </row>
    <row r="222" spans="32:94" x14ac:dyDescent="0.3">
      <c r="AG222" s="857">
        <f>AG220*AH217</f>
        <v>325298.07105842652</v>
      </c>
      <c r="AJ222" s="870" t="s">
        <v>508</v>
      </c>
      <c r="AK222">
        <f>12.5%*AK220</f>
        <v>0</v>
      </c>
      <c r="AX222">
        <f>12.5%*AX220</f>
        <v>12.5</v>
      </c>
      <c r="AZ222">
        <f>12.5%*AZ220</f>
        <v>12.5</v>
      </c>
    </row>
    <row r="223" spans="32:94" x14ac:dyDescent="0.3">
      <c r="AJ223" s="871" t="s">
        <v>388</v>
      </c>
      <c r="AK223" s="861">
        <f>87.5%/2*AK$180</f>
        <v>0</v>
      </c>
      <c r="AL223" s="861"/>
      <c r="AM223" s="861"/>
      <c r="AN223" s="861"/>
      <c r="AO223" s="861"/>
      <c r="AP223" s="861"/>
      <c r="AQ223" s="861"/>
      <c r="AR223" s="861"/>
      <c r="AS223" s="861"/>
      <c r="AT223" s="861"/>
      <c r="AU223" s="861"/>
      <c r="AV223" s="1487"/>
      <c r="AW223" s="861"/>
      <c r="AX223" s="861">
        <f>87.5%/2*AX$180</f>
        <v>43.75</v>
      </c>
      <c r="AY223" s="861"/>
      <c r="AZ223" s="861">
        <f>87.5%/2*AZ$180</f>
        <v>43.75</v>
      </c>
      <c r="BA223" s="861"/>
      <c r="CO223" s="873"/>
    </row>
    <row r="224" spans="32:94" x14ac:dyDescent="0.3">
      <c r="AJ224" s="302" t="s">
        <v>142</v>
      </c>
      <c r="AK224">
        <f>SUM(AK218:AK220)</f>
        <v>1000</v>
      </c>
      <c r="AX224">
        <f>SUM(AX218:AX220)</f>
        <v>900</v>
      </c>
      <c r="AZ224">
        <f>SUM(AZ218:AZ220)</f>
        <v>900</v>
      </c>
      <c r="CO224" s="376">
        <f>CO$220*(CO214+CO211)</f>
        <v>137374.82500000016</v>
      </c>
    </row>
    <row r="225" spans="36:93" x14ac:dyDescent="0.3">
      <c r="CO225" s="376">
        <f>CO$220*(CO215+CO212)</f>
        <v>39249.950000000048</v>
      </c>
    </row>
    <row r="226" spans="36:93" x14ac:dyDescent="0.3">
      <c r="AJ226" s="302" t="s">
        <v>523</v>
      </c>
      <c r="AK226" s="316">
        <f>AK214/AK210</f>
        <v>0.20480876828271166</v>
      </c>
      <c r="AX226" s="316">
        <f>AX214/AX210</f>
        <v>1.9696215475722567</v>
      </c>
      <c r="AZ226" s="316">
        <f>AZ214/AZ210</f>
        <v>4.2183799129229085</v>
      </c>
      <c r="CO226" s="376">
        <f>CO$220*(CO216)</f>
        <v>137374.82500000016</v>
      </c>
    </row>
    <row r="227" spans="36:93" x14ac:dyDescent="0.3">
      <c r="AJ227" s="302" t="s">
        <v>509</v>
      </c>
      <c r="AK227" s="857">
        <f>AK210/AK224</f>
        <v>3686.4881632303309</v>
      </c>
      <c r="AX227" s="857">
        <f>AX210/AX224</f>
        <v>4096.0979591448122</v>
      </c>
      <c r="AZ227" s="857">
        <f>AZ210/AZ224</f>
        <v>1903.8738664937355</v>
      </c>
    </row>
    <row r="228" spans="36:93" x14ac:dyDescent="0.3">
      <c r="AJ228" t="s">
        <v>517</v>
      </c>
      <c r="AK228" s="376">
        <f>AK215/AK224</f>
        <v>32529.807105842647</v>
      </c>
      <c r="AL228" s="376"/>
      <c r="AM228" s="376"/>
      <c r="AN228" s="376"/>
      <c r="AO228" s="376"/>
      <c r="AP228" s="376"/>
      <c r="AQ228" s="376"/>
      <c r="AR228" s="376"/>
      <c r="AS228" s="376"/>
      <c r="AT228" s="376"/>
      <c r="AU228" s="376"/>
      <c r="AV228" s="376"/>
      <c r="AW228" s="376"/>
      <c r="AX228" s="376">
        <f>AX215/AX224</f>
        <v>28915.38409408235</v>
      </c>
      <c r="AY228" s="376"/>
      <c r="AZ228" s="376">
        <f>AZ215/AZ224</f>
        <v>9224.2198567938394</v>
      </c>
      <c r="CO228" s="861"/>
    </row>
    <row r="229" spans="36:93" x14ac:dyDescent="0.3">
      <c r="CO229" s="376">
        <f>CO$221*CO211+CO$213/SUM($AX$218:$AX$220)*$AX$175*CO211/SUM($AX$218:$AX$219)</f>
        <v>0</v>
      </c>
    </row>
    <row r="230" spans="36:93" x14ac:dyDescent="0.3">
      <c r="AJ230" s="873" t="s">
        <v>510</v>
      </c>
      <c r="AK230" s="873"/>
      <c r="AL230" s="873"/>
      <c r="AM230" s="873"/>
      <c r="AN230" s="873"/>
      <c r="AO230" s="873"/>
      <c r="AP230" s="873"/>
      <c r="AQ230" s="873"/>
      <c r="AR230" s="873"/>
      <c r="AS230" s="873"/>
      <c r="AT230" s="873"/>
      <c r="AU230" s="873"/>
      <c r="AV230" s="1585"/>
      <c r="AW230" s="873"/>
      <c r="AX230" s="873"/>
      <c r="AY230" s="873"/>
      <c r="AZ230" s="873"/>
      <c r="CO230" s="376">
        <f>CO$221*CO212+CO$213/SUM($AX$218:$AX$220)*$AX$175*CO212/SUM($AX$218:$AX$219)</f>
        <v>0</v>
      </c>
    </row>
    <row r="231" spans="36:93" x14ac:dyDescent="0.3">
      <c r="AJ231" t="s">
        <v>389</v>
      </c>
      <c r="AK231" s="376">
        <f>AK$187*(AK221+AK218)</f>
        <v>1880108.9632474687</v>
      </c>
      <c r="AX231" s="376">
        <f>AX$227*(AX221+AX218)</f>
        <v>2268214.2448764397</v>
      </c>
      <c r="AZ231" s="376">
        <f>AZ$227*(AZ221+AZ218)</f>
        <v>1054270.153570906</v>
      </c>
      <c r="CO231" s="376">
        <f>CO$221*CO$213-CO$213/SUM($AX$218:$AX$220)*$AX$215</f>
        <v>-5506529.5194082353</v>
      </c>
    </row>
    <row r="232" spans="36:93" x14ac:dyDescent="0.3">
      <c r="AJ232" t="s">
        <v>508</v>
      </c>
      <c r="AK232" s="376">
        <f>AK$187*(AK222+AK219)</f>
        <v>1806379.1999828622</v>
      </c>
      <c r="AX232" s="376">
        <f>AX$227*(AX222+AX219)</f>
        <v>1239069.6326413057</v>
      </c>
      <c r="AZ232" s="376">
        <f>AZ$227*(AZ222+AZ219)</f>
        <v>575921.84461435501</v>
      </c>
      <c r="CO232" s="376"/>
    </row>
    <row r="233" spans="36:93" x14ac:dyDescent="0.3">
      <c r="AJ233" t="s">
        <v>388</v>
      </c>
      <c r="AK233" s="376">
        <f>AK$187*(AK223+AK220)</f>
        <v>0</v>
      </c>
      <c r="AX233" s="376">
        <f>AX$227*(AX223)</f>
        <v>179204.28571258552</v>
      </c>
      <c r="AZ233" s="376">
        <f>AZ$227*(AZ223)</f>
        <v>83294.481659100929</v>
      </c>
      <c r="CO233" s="866"/>
    </row>
    <row r="234" spans="36:93" x14ac:dyDescent="0.3">
      <c r="CO234" s="376">
        <f>CO229+87.5%/2*CO$191</f>
        <v>-2437857.7568801055</v>
      </c>
    </row>
    <row r="235" spans="36:93" x14ac:dyDescent="0.3">
      <c r="AJ235" s="873" t="s">
        <v>516</v>
      </c>
      <c r="AK235" s="861"/>
      <c r="AL235" s="861"/>
      <c r="AM235" s="861"/>
      <c r="AN235" s="861"/>
      <c r="AO235" s="861"/>
      <c r="AP235" s="861"/>
      <c r="AQ235" s="861"/>
      <c r="AR235" s="861"/>
      <c r="AS235" s="861"/>
      <c r="AT235" s="861"/>
      <c r="AU235" s="861"/>
      <c r="AV235" s="1487"/>
      <c r="AW235" s="861"/>
      <c r="AX235" s="861"/>
      <c r="AY235" s="861"/>
      <c r="AZ235" s="861"/>
      <c r="CO235" s="376">
        <f>CO230+12.5%*CO$191</f>
        <v>-696530.7876800301</v>
      </c>
    </row>
    <row r="236" spans="36:93" x14ac:dyDescent="0.3">
      <c r="AJ236" t="s">
        <v>389</v>
      </c>
      <c r="AK236" s="857">
        <f>AK$188*AK218</f>
        <v>16590201.623979749</v>
      </c>
      <c r="AX236" s="376">
        <f>AX$228*AX218+AX$180/SUM($AX$178:$AX$180)*$AX$175*AX218/SUM($AX$178:$AX$179)</f>
        <v>16255046.035616521</v>
      </c>
      <c r="AZ236" s="376">
        <f>AZ$228*AZ218+AZ$220/SUM($AX$218:$AX$220)*$AX$175*AZ218/SUM($AX$218:$AX$219)</f>
        <v>7008546.7969620451</v>
      </c>
      <c r="CO236" s="376">
        <f>CO231+87.5%/2*CO$191</f>
        <v>-7944387.2762883408</v>
      </c>
    </row>
    <row r="237" spans="36:93" x14ac:dyDescent="0.3">
      <c r="AJ237" t="s">
        <v>508</v>
      </c>
      <c r="AK237" s="857">
        <f>AK$188*AK219</f>
        <v>15939605.481862897</v>
      </c>
      <c r="AX237" s="376">
        <f>AX$228*AX219+AX$180/SUM($AX$178:$AX$180)*$AX$175*AX219/SUM($AX$178:$AX$179)</f>
        <v>9243065.3928015511</v>
      </c>
      <c r="AZ237" s="376">
        <f>AZ$228*AZ219+AZ$220/SUM($AX$218:$AX$220)*$AX$175*AZ219/SUM($AX$218:$AX$219)</f>
        <v>3985252.1002333201</v>
      </c>
    </row>
    <row r="238" spans="36:93" x14ac:dyDescent="0.3">
      <c r="AJ238" t="s">
        <v>141</v>
      </c>
      <c r="AK238" s="857">
        <f>AK$188*AK220</f>
        <v>0</v>
      </c>
      <c r="AX238" s="857">
        <f>AX$188*AX$180-AX$180/SUM($AX$178:$AX$180)*$AX$175</f>
        <v>0</v>
      </c>
      <c r="AZ238" s="376">
        <f>AZ$228*AZ$220-AZ$220/SUM($AX$218:$AX$220)*$AX$215</f>
        <v>-1969116.4237288507</v>
      </c>
      <c r="CO238" s="861"/>
    </row>
    <row r="239" spans="36:93" x14ac:dyDescent="0.3">
      <c r="AK239" s="857"/>
      <c r="AX239" s="857"/>
      <c r="AZ239" s="376"/>
    </row>
    <row r="240" spans="36:93" x14ac:dyDescent="0.3">
      <c r="AJ240" s="873" t="s">
        <v>521</v>
      </c>
      <c r="AK240" s="874"/>
      <c r="AL240" s="861"/>
      <c r="AM240" s="861"/>
      <c r="AN240" s="861"/>
      <c r="AO240" s="861"/>
      <c r="AP240" s="861"/>
      <c r="AQ240" s="861"/>
      <c r="AR240" s="861"/>
      <c r="AS240" s="861"/>
      <c r="AT240" s="861"/>
      <c r="AU240" s="861"/>
      <c r="AV240" s="1487"/>
      <c r="AW240" s="861"/>
      <c r="AX240" s="874"/>
      <c r="AY240" s="861"/>
      <c r="AZ240" s="866"/>
      <c r="CO240" s="376">
        <f>CM240</f>
        <v>0</v>
      </c>
    </row>
    <row r="241" spans="36:94" x14ac:dyDescent="0.3">
      <c r="AJ241" t="s">
        <v>389</v>
      </c>
      <c r="AK241" s="376">
        <f>AK236+87.5%/2*AK$198</f>
        <v>16590201.623979749</v>
      </c>
      <c r="AL241" s="376"/>
      <c r="AM241" s="376"/>
      <c r="AN241" s="376"/>
      <c r="AO241" s="376"/>
      <c r="AP241" s="376"/>
      <c r="AQ241" s="376"/>
      <c r="AR241" s="376"/>
      <c r="AS241" s="376"/>
      <c r="AT241" s="376"/>
      <c r="AU241" s="376"/>
      <c r="AV241" s="376"/>
      <c r="AW241" s="376"/>
      <c r="AX241" s="376">
        <f>AX236+87.5%/2*AX$198</f>
        <v>16255046.035616521</v>
      </c>
      <c r="AY241" s="376"/>
      <c r="AZ241" s="376">
        <f>AZ236+87.5%/2*AZ$198</f>
        <v>6260565.9843506003</v>
      </c>
    </row>
    <row r="242" spans="36:94" x14ac:dyDescent="0.3">
      <c r="AJ242" t="s">
        <v>508</v>
      </c>
      <c r="AK242" s="376">
        <f>AK237+12.5%*AK$198</f>
        <v>15939605.481862897</v>
      </c>
      <c r="AL242" s="376"/>
      <c r="AM242" s="376"/>
      <c r="AN242" s="376"/>
      <c r="AO242" s="376"/>
      <c r="AP242" s="376"/>
      <c r="AQ242" s="376"/>
      <c r="AR242" s="376"/>
      <c r="AS242" s="376"/>
      <c r="AT242" s="376"/>
      <c r="AU242" s="376"/>
      <c r="AV242" s="376"/>
      <c r="AW242" s="376"/>
      <c r="AX242" s="376">
        <f>AX237+12.5%*AX$198</f>
        <v>9243065.3928015511</v>
      </c>
      <c r="AY242" s="376"/>
      <c r="AZ242" s="376">
        <f>AZ237+12.5%*AZ$198</f>
        <v>3771543.2966300501</v>
      </c>
    </row>
    <row r="243" spans="36:94" x14ac:dyDescent="0.3">
      <c r="AJ243" t="s">
        <v>388</v>
      </c>
      <c r="AK243" s="376">
        <f>AK238+87.5%/2*AK$198</f>
        <v>0</v>
      </c>
      <c r="AL243" s="376"/>
      <c r="AM243" s="376"/>
      <c r="AN243" s="376"/>
      <c r="AO243" s="376"/>
      <c r="AP243" s="376"/>
      <c r="AQ243" s="376"/>
      <c r="AR243" s="376"/>
      <c r="AS243" s="376"/>
      <c r="AT243" s="376"/>
      <c r="AU243" s="376"/>
      <c r="AV243" s="376"/>
      <c r="AW243" s="376"/>
      <c r="AX243" s="376">
        <f>AX238+87.5%/2*AX$198</f>
        <v>0</v>
      </c>
      <c r="AY243" s="376"/>
      <c r="AZ243" s="376">
        <f>AZ238+87.5%/2*AZ$198</f>
        <v>-2717097.2363402951</v>
      </c>
      <c r="CO243" s="866"/>
      <c r="CP243" t="s">
        <v>520</v>
      </c>
    </row>
    <row r="244" spans="36:94" x14ac:dyDescent="0.3">
      <c r="CO244" s="872">
        <f>CO234+CO239</f>
        <v>-2437857.7568801055</v>
      </c>
      <c r="CP244" s="315" t="e">
        <f>(CO244-CO156)/CO156</f>
        <v>#DIV/0!</v>
      </c>
    </row>
    <row r="245" spans="36:94" x14ac:dyDescent="0.3">
      <c r="AJ245" s="873" t="s">
        <v>518</v>
      </c>
      <c r="AK245" s="861"/>
      <c r="AL245" s="861"/>
      <c r="AM245" s="861"/>
      <c r="AN245" s="861"/>
      <c r="AO245" s="861"/>
      <c r="AP245" s="861"/>
      <c r="AQ245" s="861"/>
      <c r="AR245" s="861"/>
      <c r="AS245" s="861"/>
      <c r="AT245" s="861"/>
      <c r="AU245" s="861"/>
      <c r="AV245" s="1487"/>
      <c r="AW245" s="861"/>
      <c r="AX245" s="861"/>
      <c r="AY245" s="861"/>
      <c r="AZ245" s="861"/>
      <c r="CO245" s="872">
        <f>CO235+CO240</f>
        <v>-696530.7876800301</v>
      </c>
      <c r="CP245" s="315" t="e">
        <f>(CO245-CO157)/CO157</f>
        <v>#DIV/0!</v>
      </c>
    </row>
    <row r="246" spans="36:94" x14ac:dyDescent="0.3">
      <c r="AJ246" t="s">
        <v>389</v>
      </c>
      <c r="CO246" s="872">
        <f>CO236+CO241</f>
        <v>-7944387.2762883408</v>
      </c>
      <c r="CP246" s="311" t="e">
        <f>(CO246-CO158)/CO158</f>
        <v>#DIV/0!</v>
      </c>
    </row>
    <row r="247" spans="36:94" x14ac:dyDescent="0.3">
      <c r="AJ247" t="s">
        <v>508</v>
      </c>
      <c r="AX247" s="376">
        <f>AH217</f>
        <v>6505961.4211685294</v>
      </c>
      <c r="AZ247" s="376">
        <f>AX247</f>
        <v>6505961.4211685294</v>
      </c>
    </row>
    <row r="248" spans="36:94" x14ac:dyDescent="0.3">
      <c r="AJ248" t="s">
        <v>388</v>
      </c>
    </row>
    <row r="250" spans="36:94" x14ac:dyDescent="0.3">
      <c r="AJ250" s="873" t="s">
        <v>522</v>
      </c>
      <c r="AK250" s="874"/>
      <c r="AL250" s="861"/>
      <c r="AM250" s="861"/>
      <c r="AN250" s="861"/>
      <c r="AO250" s="861"/>
      <c r="AP250" s="861"/>
      <c r="AQ250" s="861"/>
      <c r="AR250" s="861"/>
      <c r="AS250" s="861"/>
      <c r="AT250" s="861"/>
      <c r="AU250" s="861"/>
      <c r="AV250" s="1487"/>
      <c r="AW250" s="861"/>
      <c r="AX250" s="874"/>
      <c r="AY250" s="861"/>
      <c r="AZ250" s="866"/>
      <c r="BA250" t="s">
        <v>520</v>
      </c>
      <c r="BB250" t="s">
        <v>519</v>
      </c>
    </row>
    <row r="251" spans="36:94" x14ac:dyDescent="0.3">
      <c r="AJ251" t="s">
        <v>389</v>
      </c>
      <c r="AK251" s="376">
        <f>AK241+AK246</f>
        <v>16590201.623979749</v>
      </c>
      <c r="AX251" s="376">
        <f>AX241+AX246</f>
        <v>16255046.035616521</v>
      </c>
      <c r="AZ251" s="872">
        <f>AZ241+AZ246</f>
        <v>6260565.9843506003</v>
      </c>
      <c r="BA251" s="315">
        <f>(AZ251-AZ163)/AZ163</f>
        <v>-0.10549932193225996</v>
      </c>
      <c r="BB251" s="315">
        <f>(AZ251-AZ201)/AZ201</f>
        <v>-0.12106521828909772</v>
      </c>
    </row>
    <row r="252" spans="36:94" x14ac:dyDescent="0.3">
      <c r="AJ252" t="s">
        <v>508</v>
      </c>
      <c r="AK252" s="376">
        <f>AK242+AK247</f>
        <v>15939605.481862897</v>
      </c>
      <c r="AX252" s="376">
        <f>AX242+AX247</f>
        <v>15749026.813970082</v>
      </c>
      <c r="AZ252" s="872">
        <f>AZ242+AZ247</f>
        <v>10277504.717798579</v>
      </c>
      <c r="BA252" s="315">
        <f>(AZ252-AZ164)/AZ164</f>
        <v>0.52837124342634767</v>
      </c>
      <c r="BB252" s="315">
        <f>(AZ252-AZ202)/AZ202</f>
        <v>0.39858318383140079</v>
      </c>
    </row>
    <row r="253" spans="36:94" x14ac:dyDescent="0.3">
      <c r="AJ253" t="s">
        <v>388</v>
      </c>
      <c r="AK253" s="376">
        <f>AK243+AK248</f>
        <v>0</v>
      </c>
      <c r="AX253" s="376">
        <f>AX243+AX248</f>
        <v>0</v>
      </c>
      <c r="AZ253" s="872">
        <f>AZ243+AZ248</f>
        <v>-2717097.2363402951</v>
      </c>
      <c r="BA253" s="311" t="e">
        <f>(AZ253-AZ165)/AZ165</f>
        <v>#DIV/0!</v>
      </c>
      <c r="BB253" s="315">
        <f>(AZ253-AZ203)/AZ203</f>
        <v>2.6325761176333176</v>
      </c>
    </row>
  </sheetData>
  <mergeCells count="1">
    <mergeCell ref="AH214:AH215"/>
  </mergeCells>
  <phoneticPr fontId="68" type="noConversion"/>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63884-9400-4AA1-B3DC-AD1D8E0967D8}">
  <sheetPr>
    <tabColor rgb="FF002060"/>
  </sheetPr>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4279A-39C0-4A03-88A1-A455581EC8CB}">
  <sheetPr codeName="Sheet18">
    <tabColor rgb="FF0070C0"/>
  </sheetPr>
  <dimension ref="A1:EA799"/>
  <sheetViews>
    <sheetView showGridLines="0" topLeftCell="J3" zoomScale="80" zoomScaleNormal="80" workbookViewId="0">
      <selection activeCell="L29" sqref="L29"/>
    </sheetView>
  </sheetViews>
  <sheetFormatPr defaultColWidth="8.5546875" defaultRowHeight="13.2" x14ac:dyDescent="0.25"/>
  <cols>
    <col min="1" max="1" width="5.33203125" style="220" customWidth="1"/>
    <col min="2" max="2" width="10.88671875" style="220" customWidth="1"/>
    <col min="3" max="3" width="11.33203125" style="220" customWidth="1"/>
    <col min="4" max="4" width="14.6640625" style="220" customWidth="1"/>
    <col min="5" max="5" width="10.88671875" style="220" customWidth="1"/>
    <col min="6" max="6" width="10" style="220" customWidth="1"/>
    <col min="7" max="7" width="12.44140625" style="220" customWidth="1"/>
    <col min="8" max="8" width="14.6640625" style="220" customWidth="1"/>
    <col min="9" max="10" width="10.5546875" style="220" customWidth="1"/>
    <col min="11" max="11" width="48.109375" style="220" customWidth="1"/>
    <col min="12" max="12" width="13.88671875" style="220" customWidth="1"/>
    <col min="13" max="14" width="11" style="220" customWidth="1"/>
    <col min="15" max="131" width="10.5546875" style="220" bestFit="1" customWidth="1"/>
    <col min="132" max="16384" width="8.5546875" style="220"/>
  </cols>
  <sheetData>
    <row r="1" spans="1:11" ht="30" customHeight="1" x14ac:dyDescent="0.4">
      <c r="A1" s="217" t="s">
        <v>313</v>
      </c>
      <c r="B1" s="218"/>
      <c r="C1" s="218"/>
      <c r="D1" s="218"/>
      <c r="E1" s="218"/>
      <c r="F1" s="218"/>
      <c r="G1" s="219"/>
      <c r="H1" s="219"/>
      <c r="K1" s="221" t="s">
        <v>314</v>
      </c>
    </row>
    <row r="2" spans="1:11" ht="12.75" customHeight="1" x14ac:dyDescent="0.25">
      <c r="A2" s="222" t="s">
        <v>315</v>
      </c>
      <c r="H2" s="223" t="str">
        <f ca="1">"© 2008-" &amp; YEAR(TODAY()) &amp; " Vertex42 LLC"</f>
        <v>© 2008-2024 Vertex42 LLC</v>
      </c>
      <c r="K2" s="1785" t="s">
        <v>316</v>
      </c>
    </row>
    <row r="3" spans="1:11" x14ac:dyDescent="0.25">
      <c r="A3" s="222"/>
      <c r="H3" s="223"/>
      <c r="K3" s="1786"/>
    </row>
    <row r="4" spans="1:11" ht="15.6" x14ac:dyDescent="0.3">
      <c r="B4" s="224" t="s">
        <v>317</v>
      </c>
      <c r="C4" s="1787"/>
      <c r="D4" s="1787"/>
      <c r="H4" s="225" t="s">
        <v>318</v>
      </c>
      <c r="K4" s="1786"/>
    </row>
    <row r="5" spans="1:11" x14ac:dyDescent="0.25">
      <c r="C5" s="220" t="s">
        <v>319</v>
      </c>
      <c r="H5" s="226" t="s">
        <v>320</v>
      </c>
      <c r="K5" s="1786"/>
    </row>
    <row r="6" spans="1:11" x14ac:dyDescent="0.25">
      <c r="C6" s="227" t="s">
        <v>321</v>
      </c>
      <c r="H6" s="226" t="s">
        <v>321</v>
      </c>
      <c r="K6" s="1786"/>
    </row>
    <row r="7" spans="1:11" x14ac:dyDescent="0.25">
      <c r="K7" s="1786"/>
    </row>
    <row r="8" spans="1:11" ht="13.8" x14ac:dyDescent="0.25">
      <c r="A8" s="228" t="s">
        <v>322</v>
      </c>
      <c r="B8" s="229"/>
      <c r="C8" s="229"/>
      <c r="D8" s="229"/>
      <c r="E8" s="230" t="s">
        <v>323</v>
      </c>
      <c r="F8" s="228" t="s">
        <v>324</v>
      </c>
      <c r="G8" s="231"/>
      <c r="H8" s="231"/>
      <c r="K8" s="1786"/>
    </row>
    <row r="9" spans="1:11" ht="15" customHeight="1" x14ac:dyDescent="0.25">
      <c r="A9" s="232"/>
      <c r="B9" s="232"/>
      <c r="C9" s="233" t="s">
        <v>325</v>
      </c>
      <c r="D9" s="887">
        <f>'Sources and Uses'!C3</f>
        <v>1975</v>
      </c>
      <c r="F9" s="232"/>
      <c r="G9" s="233" t="s">
        <v>326</v>
      </c>
      <c r="H9" s="235">
        <f>D10/D12</f>
        <v>1.6888888888888889E-4</v>
      </c>
      <c r="K9" s="1786"/>
    </row>
    <row r="10" spans="1:11" ht="15" customHeight="1" x14ac:dyDescent="0.25">
      <c r="A10" s="232"/>
      <c r="B10" s="232"/>
      <c r="C10" s="233" t="s">
        <v>328</v>
      </c>
      <c r="D10" s="1363">
        <v>6.08E-2</v>
      </c>
      <c r="F10" s="232"/>
      <c r="G10" s="233" t="s">
        <v>331</v>
      </c>
      <c r="H10" s="233">
        <v>120</v>
      </c>
      <c r="K10" s="1786"/>
    </row>
    <row r="11" spans="1:11" ht="15" customHeight="1" x14ac:dyDescent="0.25">
      <c r="A11" s="232"/>
      <c r="B11" s="232"/>
      <c r="C11" s="233" t="s">
        <v>332</v>
      </c>
      <c r="D11" s="238">
        <v>45077</v>
      </c>
      <c r="F11" s="232"/>
      <c r="G11" s="233" t="s">
        <v>333</v>
      </c>
      <c r="H11" s="888">
        <f ca="1">SUM(C19:C798)</f>
        <v>2643.3300000000049</v>
      </c>
      <c r="K11" s="1786"/>
    </row>
    <row r="12" spans="1:11" ht="15" customHeight="1" x14ac:dyDescent="0.25">
      <c r="A12" s="232"/>
      <c r="B12" s="232"/>
      <c r="C12" s="233" t="s">
        <v>334</v>
      </c>
      <c r="D12" s="239">
        <v>360</v>
      </c>
      <c r="F12" s="232"/>
      <c r="G12" s="233" t="s">
        <v>335</v>
      </c>
      <c r="H12" s="888">
        <f ca="1">SUM(D18:D798)</f>
        <v>668.33</v>
      </c>
      <c r="K12" s="1786"/>
    </row>
    <row r="13" spans="1:11" ht="15" customHeight="1" x14ac:dyDescent="0.25">
      <c r="G13" s="220" t="s">
        <v>337</v>
      </c>
      <c r="H13" s="220">
        <v>120</v>
      </c>
      <c r="K13" s="1786"/>
    </row>
    <row r="14" spans="1:11" ht="15" x14ac:dyDescent="0.25">
      <c r="C14" s="240" t="s">
        <v>336</v>
      </c>
      <c r="D14" s="241">
        <f>PMT(D10/12,H10,D9,0,1)</f>
        <v>-21.895042278559089</v>
      </c>
      <c r="K14" s="1786"/>
    </row>
    <row r="15" spans="1:11" x14ac:dyDescent="0.25">
      <c r="K15" s="1786"/>
    </row>
    <row r="16" spans="1:11" ht="15.6" x14ac:dyDescent="0.3">
      <c r="A16" s="1788" t="s">
        <v>338</v>
      </c>
      <c r="B16" s="1788"/>
      <c r="C16" s="1788"/>
      <c r="D16" s="1788"/>
      <c r="E16" s="242"/>
      <c r="F16" s="242"/>
      <c r="G16" s="242"/>
      <c r="H16" s="223" t="s">
        <v>339</v>
      </c>
      <c r="K16" s="243" t="s">
        <v>340</v>
      </c>
    </row>
    <row r="17" spans="1:131" ht="30" customHeight="1" thickBot="1" x14ac:dyDescent="0.3">
      <c r="A17" s="244" t="s">
        <v>341</v>
      </c>
      <c r="B17" s="245" t="s">
        <v>342</v>
      </c>
      <c r="C17" s="245" t="s">
        <v>343</v>
      </c>
      <c r="D17" s="245" t="s">
        <v>344</v>
      </c>
      <c r="E17" s="245" t="s">
        <v>1198</v>
      </c>
      <c r="F17" s="245" t="s">
        <v>345</v>
      </c>
      <c r="G17" s="245" t="s">
        <v>346</v>
      </c>
      <c r="H17" s="245" t="s">
        <v>347</v>
      </c>
      <c r="K17" s="246"/>
      <c r="M17" s="247"/>
    </row>
    <row r="18" spans="1:131" x14ac:dyDescent="0.25">
      <c r="A18" s="1302"/>
      <c r="B18" s="1303">
        <f>D11-1</f>
        <v>45076</v>
      </c>
      <c r="C18" s="1304" t="s">
        <v>348</v>
      </c>
      <c r="D18" s="1304" t="s">
        <v>348</v>
      </c>
      <c r="E18" s="1305"/>
      <c r="F18" s="1306">
        <v>0</v>
      </c>
      <c r="G18" s="1307">
        <f>$D$9</f>
        <v>1975</v>
      </c>
      <c r="H18" s="1307">
        <f>F18+G18</f>
        <v>1975</v>
      </c>
      <c r="I18" s="253"/>
      <c r="J18" s="253"/>
      <c r="L18" s="220">
        <v>2021</v>
      </c>
      <c r="M18" s="220">
        <f t="shared" ref="M18:W18" si="0">L18+1</f>
        <v>2022</v>
      </c>
      <c r="N18" s="220">
        <f t="shared" si="0"/>
        <v>2023</v>
      </c>
      <c r="O18" s="220">
        <f t="shared" si="0"/>
        <v>2024</v>
      </c>
      <c r="P18" s="220">
        <f t="shared" si="0"/>
        <v>2025</v>
      </c>
      <c r="Q18" s="220">
        <f t="shared" si="0"/>
        <v>2026</v>
      </c>
      <c r="R18" s="220">
        <f t="shared" si="0"/>
        <v>2027</v>
      </c>
      <c r="S18" s="220">
        <f t="shared" si="0"/>
        <v>2028</v>
      </c>
      <c r="T18" s="220">
        <f t="shared" si="0"/>
        <v>2029</v>
      </c>
      <c r="U18" s="220">
        <f t="shared" si="0"/>
        <v>2030</v>
      </c>
      <c r="V18" s="220">
        <f t="shared" si="0"/>
        <v>2031</v>
      </c>
      <c r="W18" s="220">
        <f t="shared" si="0"/>
        <v>2032</v>
      </c>
    </row>
    <row r="19" spans="1:131" x14ac:dyDescent="0.25">
      <c r="A19" s="254">
        <v>1</v>
      </c>
      <c r="B19" s="255">
        <f t="shared" ref="B19:B82" si="1">IF(A19&lt;$H$10+1,DATE(YEAR(B18),MONTH(B18)+1,1),"")</f>
        <v>45078</v>
      </c>
      <c r="C19" s="256">
        <f>-D14</f>
        <v>21.895042278559089</v>
      </c>
      <c r="D19" s="257">
        <f t="shared" ref="D19:D82" si="2">IF(B19="","",ROUND((B19-B18)*$H$9*G18,2))</f>
        <v>0.67</v>
      </c>
      <c r="E19" s="253">
        <f>C19-D19</f>
        <v>21.225042278559087</v>
      </c>
      <c r="F19" s="257">
        <f t="shared" ref="F19:F82" si="3">IF(B19="","",IF(C19&gt;F18+D19,0,F18+D19-C19))</f>
        <v>0</v>
      </c>
      <c r="G19" s="257">
        <f t="shared" ref="G19:G82" si="4">IF(B19="","",IF(C19&gt;D19+F18,G18+F18+D19-C19,G18))</f>
        <v>1953.7749577214411</v>
      </c>
      <c r="H19" s="257">
        <f t="shared" ref="H19:H82" si="5">IF(B19="","",G19+F19)</f>
        <v>1953.7749577214411</v>
      </c>
      <c r="I19" s="220">
        <f t="shared" ref="I19:I82" si="6">YEAR(B19)</f>
        <v>2023</v>
      </c>
      <c r="K19" s="226" t="s">
        <v>349</v>
      </c>
      <c r="L19" s="260">
        <v>0</v>
      </c>
      <c r="M19" s="258">
        <f t="shared" ref="M19:W19" si="7">L23</f>
        <v>1975</v>
      </c>
      <c r="N19" s="258">
        <f ca="1">M23</f>
        <v>1975</v>
      </c>
      <c r="O19" s="258">
        <f t="shared" ca="1" si="7"/>
        <v>1881.8747040500864</v>
      </c>
      <c r="P19" s="258">
        <f t="shared" ca="1" si="7"/>
        <v>1731.2541967073773</v>
      </c>
      <c r="Q19" s="258">
        <f t="shared" ca="1" si="7"/>
        <v>1570.7636893646682</v>
      </c>
      <c r="R19" s="258">
        <f t="shared" ca="1" si="7"/>
        <v>1400.0731820219592</v>
      </c>
      <c r="S19" s="258">
        <f t="shared" ca="1" si="7"/>
        <v>1218.54267467925</v>
      </c>
      <c r="T19" s="258">
        <f t="shared" ca="1" si="7"/>
        <v>1025.7321673365409</v>
      </c>
      <c r="U19" s="258">
        <f t="shared" ca="1" si="7"/>
        <v>820.47165999383185</v>
      </c>
      <c r="V19" s="258">
        <f t="shared" ca="1" si="7"/>
        <v>602.2111526511228</v>
      </c>
      <c r="W19" s="258">
        <f t="shared" ca="1" si="7"/>
        <v>370.11064530841372</v>
      </c>
    </row>
    <row r="20" spans="1:131" x14ac:dyDescent="0.25">
      <c r="A20" s="254">
        <f t="shared" ref="A20:A36" ca="1" si="8">IF(OR(H19&lt;=0,H19=""),"",OFFSET(A20,-1,0,1,1)+1)</f>
        <v>2</v>
      </c>
      <c r="B20" s="255">
        <f t="shared" ca="1" si="1"/>
        <v>45108</v>
      </c>
      <c r="C20" s="256">
        <f ca="1">IF(A20&lt;$H$10,C19,IF(A20=$H$10,D20+G19,""))</f>
        <v>21.895042278559089</v>
      </c>
      <c r="D20" s="257">
        <f t="shared" ca="1" si="2"/>
        <v>9.9</v>
      </c>
      <c r="E20" s="253">
        <f t="shared" ref="E20:E83" ca="1" si="9">C20-D20</f>
        <v>11.995042278559088</v>
      </c>
      <c r="F20" s="257">
        <f t="shared" ca="1" si="3"/>
        <v>0</v>
      </c>
      <c r="G20" s="257">
        <f t="shared" ca="1" si="4"/>
        <v>1941.7799154428822</v>
      </c>
      <c r="H20" s="257">
        <f t="shared" ca="1" si="5"/>
        <v>1941.7799154428822</v>
      </c>
      <c r="I20" s="220">
        <f t="shared" ca="1" si="6"/>
        <v>2023</v>
      </c>
      <c r="K20" s="226" t="s">
        <v>343</v>
      </c>
      <c r="L20" s="259">
        <f ca="1">SUMIF($I$19:$I$138,L18,$C$19:$C$138)</f>
        <v>0</v>
      </c>
      <c r="M20" s="259">
        <f t="shared" ref="M20:W20" ca="1" si="10">IF(M18=YEAR($D$11)+$H$10/12,L23+M21,IF(M19&lt;SUMIF($I$19:$I$138,M18,$C$19:$C$138),M19+M21,SUMIF($I$19:$I$138,M18,$C$19:$C$138)))</f>
        <v>0</v>
      </c>
      <c r="N20" s="259">
        <f t="shared" ca="1" si="10"/>
        <v>153.26529594991362</v>
      </c>
      <c r="O20" s="259">
        <f t="shared" ca="1" si="10"/>
        <v>262.74050734270907</v>
      </c>
      <c r="P20" s="259">
        <f t="shared" ca="1" si="10"/>
        <v>262.74050734270907</v>
      </c>
      <c r="Q20" s="259">
        <f t="shared" ca="1" si="10"/>
        <v>262.74050734270907</v>
      </c>
      <c r="R20" s="259">
        <f t="shared" ca="1" si="10"/>
        <v>262.74050734270907</v>
      </c>
      <c r="S20" s="259">
        <f t="shared" ca="1" si="10"/>
        <v>262.74050734270907</v>
      </c>
      <c r="T20" s="259">
        <f t="shared" ca="1" si="10"/>
        <v>262.74050734270907</v>
      </c>
      <c r="U20" s="259">
        <f t="shared" ca="1" si="10"/>
        <v>262.74050734270907</v>
      </c>
      <c r="V20" s="259">
        <f t="shared" ca="1" si="10"/>
        <v>262.74050734270907</v>
      </c>
      <c r="W20" s="259">
        <f t="shared" ca="1" si="10"/>
        <v>262.74050734270907</v>
      </c>
    </row>
    <row r="21" spans="1:131" x14ac:dyDescent="0.25">
      <c r="A21" s="254">
        <f t="shared" ca="1" si="8"/>
        <v>3</v>
      </c>
      <c r="B21" s="255">
        <f t="shared" ca="1" si="1"/>
        <v>45139</v>
      </c>
      <c r="C21" s="256">
        <f ca="1">IF(A21&lt;$H$13,C20,IF(A21=$H$13,D21+G20,""))</f>
        <v>21.895042278559089</v>
      </c>
      <c r="D21" s="257">
        <f t="shared" ca="1" si="2"/>
        <v>10.17</v>
      </c>
      <c r="E21" s="253">
        <f t="shared" ca="1" si="9"/>
        <v>11.725042278559089</v>
      </c>
      <c r="F21" s="257">
        <f t="shared" ca="1" si="3"/>
        <v>0</v>
      </c>
      <c r="G21" s="257">
        <f t="shared" ca="1" si="4"/>
        <v>1930.0548731643232</v>
      </c>
      <c r="H21" s="257">
        <f t="shared" ca="1" si="5"/>
        <v>1930.0548731643232</v>
      </c>
      <c r="I21" s="220">
        <f t="shared" ca="1" si="6"/>
        <v>2023</v>
      </c>
      <c r="K21" s="226" t="s">
        <v>350</v>
      </c>
      <c r="L21" s="260">
        <f ca="1">SUMIF($I$19:$I$138,L18,$D$19:$D$138)</f>
        <v>0</v>
      </c>
      <c r="M21" s="260">
        <f t="shared" ref="M21:W21" ca="1" si="11">IF(SUMIF($I$19:$I$138,M18,$D$19:$D$138)&gt;0,SUMIF($I$19:$I$138,M18,$D$19:$D$138),0)</f>
        <v>0</v>
      </c>
      <c r="N21" s="260">
        <f t="shared" ca="1" si="11"/>
        <v>60.140000000000008</v>
      </c>
      <c r="O21" s="260">
        <f t="shared" ca="1" si="11"/>
        <v>112.12000000000002</v>
      </c>
      <c r="P21" s="260">
        <f t="shared" ca="1" si="11"/>
        <v>102.25000000000001</v>
      </c>
      <c r="Q21" s="260">
        <f t="shared" ca="1" si="11"/>
        <v>92.050000000000011</v>
      </c>
      <c r="R21" s="260">
        <f t="shared" ca="1" si="11"/>
        <v>81.210000000000008</v>
      </c>
      <c r="S21" s="260">
        <f t="shared" ca="1" si="11"/>
        <v>69.930000000000007</v>
      </c>
      <c r="T21" s="260">
        <f t="shared" ca="1" si="11"/>
        <v>57.480000000000004</v>
      </c>
      <c r="U21" s="260">
        <f t="shared" ca="1" si="11"/>
        <v>44.48</v>
      </c>
      <c r="V21" s="260">
        <f t="shared" ca="1" si="11"/>
        <v>30.639999999999997</v>
      </c>
      <c r="W21" s="260">
        <f t="shared" ca="1" si="11"/>
        <v>15.969999999999999</v>
      </c>
    </row>
    <row r="22" spans="1:131" x14ac:dyDescent="0.25">
      <c r="A22" s="254">
        <f t="shared" ca="1" si="8"/>
        <v>4</v>
      </c>
      <c r="B22" s="255">
        <f t="shared" ca="1" si="1"/>
        <v>45170</v>
      </c>
      <c r="C22" s="256">
        <f t="shared" ref="C22:C85" ca="1" si="12">IF(A22&lt;$H$13,C21,IF(A22=$H$13,D22+G21,""))</f>
        <v>21.895042278559089</v>
      </c>
      <c r="D22" s="257">
        <f t="shared" ca="1" si="2"/>
        <v>10.1</v>
      </c>
      <c r="E22" s="253">
        <f t="shared" ca="1" si="9"/>
        <v>11.795042278559089</v>
      </c>
      <c r="F22" s="257">
        <f t="shared" ca="1" si="3"/>
        <v>0</v>
      </c>
      <c r="G22" s="257">
        <f t="shared" ca="1" si="4"/>
        <v>1918.2598308857641</v>
      </c>
      <c r="H22" s="257">
        <f t="shared" ca="1" si="5"/>
        <v>1918.2598308857641</v>
      </c>
      <c r="I22" s="220">
        <f t="shared" ca="1" si="6"/>
        <v>2023</v>
      </c>
      <c r="K22" s="226" t="s">
        <v>532</v>
      </c>
      <c r="L22" s="258">
        <f t="shared" ref="L22:W22" ca="1" si="13">L20-L21</f>
        <v>0</v>
      </c>
      <c r="M22" s="258">
        <f t="shared" ca="1" si="13"/>
        <v>0</v>
      </c>
      <c r="N22" s="258">
        <f t="shared" ca="1" si="13"/>
        <v>93.125295949913607</v>
      </c>
      <c r="O22" s="258">
        <f t="shared" ca="1" si="13"/>
        <v>150.62050734270906</v>
      </c>
      <c r="P22" s="258">
        <f t="shared" ca="1" si="13"/>
        <v>160.49050734270907</v>
      </c>
      <c r="Q22" s="258">
        <f t="shared" ca="1" si="13"/>
        <v>170.69050734270905</v>
      </c>
      <c r="R22" s="258">
        <f t="shared" ca="1" si="13"/>
        <v>181.53050734270906</v>
      </c>
      <c r="S22" s="258">
        <f t="shared" ca="1" si="13"/>
        <v>192.81050734270906</v>
      </c>
      <c r="T22" s="258">
        <f t="shared" ca="1" si="13"/>
        <v>205.26050734270905</v>
      </c>
      <c r="U22" s="258">
        <f t="shared" ca="1" si="13"/>
        <v>218.26050734270908</v>
      </c>
      <c r="V22" s="258">
        <f t="shared" ca="1" si="13"/>
        <v>232.10050734270908</v>
      </c>
      <c r="W22" s="258">
        <f t="shared" ca="1" si="13"/>
        <v>246.77050734270907</v>
      </c>
    </row>
    <row r="23" spans="1:131" x14ac:dyDescent="0.25">
      <c r="A23" s="254">
        <f t="shared" ca="1" si="8"/>
        <v>5</v>
      </c>
      <c r="B23" s="255">
        <f t="shared" ca="1" si="1"/>
        <v>45200</v>
      </c>
      <c r="C23" s="256">
        <f t="shared" ca="1" si="12"/>
        <v>21.895042278559089</v>
      </c>
      <c r="D23" s="257">
        <f t="shared" ca="1" si="2"/>
        <v>9.7200000000000006</v>
      </c>
      <c r="E23" s="253">
        <f t="shared" ca="1" si="9"/>
        <v>12.175042278559088</v>
      </c>
      <c r="F23" s="257">
        <f t="shared" ca="1" si="3"/>
        <v>0</v>
      </c>
      <c r="G23" s="257">
        <f t="shared" ca="1" si="4"/>
        <v>1906.0847886072052</v>
      </c>
      <c r="H23" s="257">
        <f t="shared" ca="1" si="5"/>
        <v>1906.0847886072052</v>
      </c>
      <c r="I23" s="220">
        <f t="shared" ca="1" si="6"/>
        <v>2023</v>
      </c>
      <c r="J23" s="253">
        <f ca="1">SUM(C19:C23)</f>
        <v>109.47521139279544</v>
      </c>
      <c r="K23" s="226" t="s">
        <v>353</v>
      </c>
      <c r="L23" s="258">
        <f>G18</f>
        <v>1975</v>
      </c>
      <c r="M23" s="258">
        <f ca="1">M19-M22</f>
        <v>1975</v>
      </c>
      <c r="N23" s="258">
        <f t="shared" ref="N23:W23" ca="1" si="14">N19-N22</f>
        <v>1881.8747040500864</v>
      </c>
      <c r="O23" s="258">
        <f t="shared" ca="1" si="14"/>
        <v>1731.2541967073773</v>
      </c>
      <c r="P23" s="258">
        <f t="shared" ca="1" si="14"/>
        <v>1570.7636893646682</v>
      </c>
      <c r="Q23" s="258">
        <f t="shared" ca="1" si="14"/>
        <v>1400.0731820219592</v>
      </c>
      <c r="R23" s="258">
        <f t="shared" ca="1" si="14"/>
        <v>1218.54267467925</v>
      </c>
      <c r="S23" s="258">
        <f t="shared" ca="1" si="14"/>
        <v>1025.7321673365409</v>
      </c>
      <c r="T23" s="258">
        <f t="shared" ca="1" si="14"/>
        <v>820.47165999383185</v>
      </c>
      <c r="U23" s="258">
        <f t="shared" ca="1" si="14"/>
        <v>602.2111526511228</v>
      </c>
      <c r="V23" s="258">
        <f t="shared" ca="1" si="14"/>
        <v>370.11064530841372</v>
      </c>
      <c r="W23" s="258">
        <f t="shared" ca="1" si="14"/>
        <v>123.34013796570466</v>
      </c>
    </row>
    <row r="24" spans="1:131" x14ac:dyDescent="0.25">
      <c r="A24" s="254">
        <f t="shared" ca="1" si="8"/>
        <v>6</v>
      </c>
      <c r="B24" s="255">
        <f t="shared" ca="1" si="1"/>
        <v>45231</v>
      </c>
      <c r="C24" s="256">
        <f t="shared" ca="1" si="12"/>
        <v>21.895042278559089</v>
      </c>
      <c r="D24" s="257">
        <f t="shared" ca="1" si="2"/>
        <v>9.98</v>
      </c>
      <c r="E24" s="253">
        <f t="shared" ca="1" si="9"/>
        <v>11.915042278559088</v>
      </c>
      <c r="F24" s="257">
        <f t="shared" ca="1" si="3"/>
        <v>0</v>
      </c>
      <c r="G24" s="257">
        <f t="shared" ca="1" si="4"/>
        <v>1894.1697463286462</v>
      </c>
      <c r="H24" s="257">
        <f t="shared" ca="1" si="5"/>
        <v>1894.1697463286462</v>
      </c>
      <c r="I24" s="220">
        <f t="shared" ca="1" si="6"/>
        <v>2023</v>
      </c>
      <c r="K24" s="261" t="s">
        <v>354</v>
      </c>
      <c r="L24" s="262">
        <v>0</v>
      </c>
      <c r="M24" s="262">
        <v>0</v>
      </c>
      <c r="N24" s="262">
        <v>0</v>
      </c>
      <c r="O24" s="262">
        <v>0</v>
      </c>
      <c r="P24" s="262">
        <v>0</v>
      </c>
      <c r="Q24" s="262">
        <v>0</v>
      </c>
      <c r="R24" s="262"/>
    </row>
    <row r="25" spans="1:131" x14ac:dyDescent="0.25">
      <c r="A25" s="254">
        <f t="shared" ca="1" si="8"/>
        <v>7</v>
      </c>
      <c r="B25" s="255">
        <f t="shared" ca="1" si="1"/>
        <v>45261</v>
      </c>
      <c r="C25" s="256">
        <f t="shared" ca="1" si="12"/>
        <v>21.895042278559089</v>
      </c>
      <c r="D25" s="257">
        <f t="shared" ca="1" si="2"/>
        <v>9.6</v>
      </c>
      <c r="E25" s="253">
        <f t="shared" ca="1" si="9"/>
        <v>12.295042278559089</v>
      </c>
      <c r="F25" s="257">
        <f t="shared" ca="1" si="3"/>
        <v>0</v>
      </c>
      <c r="G25" s="257">
        <f t="shared" ca="1" si="4"/>
        <v>1881.8747040500871</v>
      </c>
      <c r="H25" s="257">
        <f t="shared" ca="1" si="5"/>
        <v>1881.8747040500871</v>
      </c>
      <c r="I25" s="220">
        <f t="shared" ca="1" si="6"/>
        <v>2023</v>
      </c>
      <c r="K25" s="892"/>
      <c r="L25" s="220">
        <v>-24.029650617966269</v>
      </c>
      <c r="M25" s="220">
        <v>-56.235717621653464</v>
      </c>
      <c r="N25" s="220">
        <v>-31.512220076247672</v>
      </c>
      <c r="O25" s="220">
        <v>-6.6508553360682754</v>
      </c>
    </row>
    <row r="26" spans="1:131" x14ac:dyDescent="0.25">
      <c r="A26" s="254">
        <f t="shared" ca="1" si="8"/>
        <v>8</v>
      </c>
      <c r="B26" s="255">
        <f t="shared" ca="1" si="1"/>
        <v>45292</v>
      </c>
      <c r="C26" s="256">
        <f t="shared" ca="1" si="12"/>
        <v>21.895042278559089</v>
      </c>
      <c r="D26" s="257">
        <f t="shared" ca="1" si="2"/>
        <v>9.85</v>
      </c>
      <c r="E26" s="253">
        <f t="shared" ca="1" si="9"/>
        <v>12.045042278559089</v>
      </c>
      <c r="F26" s="257">
        <f t="shared" ca="1" si="3"/>
        <v>0</v>
      </c>
      <c r="G26" s="257">
        <f t="shared" ca="1" si="4"/>
        <v>1869.829661771528</v>
      </c>
      <c r="H26" s="257">
        <f t="shared" ca="1" si="5"/>
        <v>1869.829661771528</v>
      </c>
      <c r="I26" s="220">
        <f t="shared" ca="1" si="6"/>
        <v>2024</v>
      </c>
      <c r="K26" s="263"/>
    </row>
    <row r="27" spans="1:131" x14ac:dyDescent="0.25">
      <c r="A27" s="254">
        <f t="shared" ca="1" si="8"/>
        <v>9</v>
      </c>
      <c r="B27" s="255">
        <f t="shared" ca="1" si="1"/>
        <v>45323</v>
      </c>
      <c r="C27" s="256">
        <f t="shared" ca="1" si="12"/>
        <v>21.895042278559089</v>
      </c>
      <c r="D27" s="257">
        <f t="shared" ca="1" si="2"/>
        <v>9.7899999999999991</v>
      </c>
      <c r="E27" s="253">
        <f t="shared" ca="1" si="9"/>
        <v>12.10504227855909</v>
      </c>
      <c r="F27" s="257">
        <f t="shared" ca="1" si="3"/>
        <v>0</v>
      </c>
      <c r="G27" s="257">
        <f t="shared" ca="1" si="4"/>
        <v>1857.7246194929689</v>
      </c>
      <c r="H27" s="257">
        <f t="shared" ca="1" si="5"/>
        <v>1857.7246194929689</v>
      </c>
      <c r="I27" s="220">
        <f t="shared" ca="1" si="6"/>
        <v>2024</v>
      </c>
    </row>
    <row r="28" spans="1:131" x14ac:dyDescent="0.25">
      <c r="A28" s="254">
        <f t="shared" ca="1" si="8"/>
        <v>10</v>
      </c>
      <c r="B28" s="255">
        <f t="shared" ca="1" si="1"/>
        <v>45352</v>
      </c>
      <c r="C28" s="256">
        <f t="shared" ca="1" si="12"/>
        <v>21.895042278559089</v>
      </c>
      <c r="D28" s="257">
        <f t="shared" ca="1" si="2"/>
        <v>9.1</v>
      </c>
      <c r="E28" s="253">
        <f t="shared" ca="1" si="9"/>
        <v>12.795042278559089</v>
      </c>
      <c r="F28" s="257">
        <f t="shared" ca="1" si="3"/>
        <v>0</v>
      </c>
      <c r="G28" s="257">
        <f t="shared" ca="1" si="4"/>
        <v>1844.9295772144098</v>
      </c>
      <c r="H28" s="257">
        <f t="shared" ca="1" si="5"/>
        <v>1844.9295772144098</v>
      </c>
      <c r="I28" s="220">
        <f t="shared" ca="1" si="6"/>
        <v>2024</v>
      </c>
    </row>
    <row r="29" spans="1:131" x14ac:dyDescent="0.25">
      <c r="A29" s="254">
        <f t="shared" ca="1" si="8"/>
        <v>11</v>
      </c>
      <c r="B29" s="255">
        <f t="shared" ca="1" si="1"/>
        <v>45383</v>
      </c>
      <c r="C29" s="256">
        <f t="shared" ca="1" si="12"/>
        <v>21.895042278559089</v>
      </c>
      <c r="D29" s="257">
        <f t="shared" ca="1" si="2"/>
        <v>9.66</v>
      </c>
      <c r="E29" s="253">
        <f t="shared" ca="1" si="9"/>
        <v>12.235042278559089</v>
      </c>
      <c r="F29" s="257">
        <f t="shared" ca="1" si="3"/>
        <v>0</v>
      </c>
      <c r="G29" s="257">
        <f t="shared" ca="1" si="4"/>
        <v>1832.6945349358509</v>
      </c>
      <c r="H29" s="257">
        <f t="shared" ca="1" si="5"/>
        <v>1832.6945349358509</v>
      </c>
      <c r="I29" s="220">
        <f t="shared" ca="1" si="6"/>
        <v>2024</v>
      </c>
      <c r="L29" s="220">
        <v>1</v>
      </c>
      <c r="M29" s="220">
        <v>2</v>
      </c>
      <c r="N29" s="220">
        <v>3</v>
      </c>
      <c r="O29" s="220">
        <v>4</v>
      </c>
      <c r="P29" s="220">
        <v>5</v>
      </c>
      <c r="Q29" s="220">
        <v>6</v>
      </c>
      <c r="R29" s="220">
        <v>7</v>
      </c>
      <c r="S29" s="220">
        <v>8</v>
      </c>
      <c r="T29" s="220">
        <v>9</v>
      </c>
      <c r="U29" s="220">
        <v>10</v>
      </c>
      <c r="V29" s="220">
        <v>11</v>
      </c>
      <c r="W29" s="220">
        <v>12</v>
      </c>
      <c r="X29" s="220">
        <v>13</v>
      </c>
      <c r="Y29" s="220">
        <v>14</v>
      </c>
      <c r="Z29" s="220">
        <v>15</v>
      </c>
      <c r="AA29" s="220">
        <v>16</v>
      </c>
      <c r="AB29" s="220">
        <v>17</v>
      </c>
      <c r="AC29" s="220">
        <v>18</v>
      </c>
      <c r="AD29" s="220">
        <v>19</v>
      </c>
      <c r="AE29" s="220">
        <v>20</v>
      </c>
      <c r="AF29" s="220">
        <v>21</v>
      </c>
      <c r="AG29" s="220">
        <v>22</v>
      </c>
      <c r="AH29" s="220">
        <v>23</v>
      </c>
      <c r="AI29" s="220">
        <v>24</v>
      </c>
      <c r="AJ29" s="220">
        <v>25</v>
      </c>
      <c r="AK29" s="220">
        <v>26</v>
      </c>
      <c r="AL29" s="220">
        <v>27</v>
      </c>
      <c r="AM29" s="220">
        <v>28</v>
      </c>
      <c r="AN29" s="220">
        <v>29</v>
      </c>
      <c r="AO29" s="220">
        <v>30</v>
      </c>
      <c r="AP29" s="220">
        <v>31</v>
      </c>
      <c r="AQ29" s="220">
        <v>32</v>
      </c>
      <c r="AR29" s="220">
        <v>33</v>
      </c>
      <c r="AS29" s="220">
        <v>34</v>
      </c>
      <c r="AT29" s="220">
        <v>35</v>
      </c>
      <c r="AU29" s="220">
        <v>36</v>
      </c>
      <c r="AV29" s="220">
        <v>37</v>
      </c>
      <c r="AW29" s="220">
        <v>38</v>
      </c>
      <c r="AX29" s="220">
        <v>39</v>
      </c>
      <c r="AY29" s="220">
        <v>40</v>
      </c>
      <c r="AZ29" s="220">
        <v>41</v>
      </c>
      <c r="BA29" s="220">
        <v>42</v>
      </c>
      <c r="BB29" s="220">
        <v>43</v>
      </c>
      <c r="BC29" s="220">
        <v>44</v>
      </c>
      <c r="BD29" s="220">
        <v>45</v>
      </c>
      <c r="BE29" s="220">
        <v>46</v>
      </c>
      <c r="BF29" s="220">
        <v>47</v>
      </c>
      <c r="BG29" s="220">
        <v>48</v>
      </c>
      <c r="BH29" s="220">
        <v>49</v>
      </c>
      <c r="BI29" s="220">
        <v>50</v>
      </c>
      <c r="BJ29" s="220">
        <v>51</v>
      </c>
      <c r="BK29" s="220">
        <v>52</v>
      </c>
      <c r="BL29" s="220">
        <v>53</v>
      </c>
      <c r="BM29" s="220">
        <v>54</v>
      </c>
      <c r="BN29" s="220">
        <v>55</v>
      </c>
      <c r="BO29" s="220">
        <v>56</v>
      </c>
      <c r="BP29" s="220">
        <v>57</v>
      </c>
      <c r="BQ29" s="220">
        <v>58</v>
      </c>
      <c r="BR29" s="220">
        <v>59</v>
      </c>
      <c r="BS29" s="220">
        <v>60</v>
      </c>
      <c r="BT29" s="220">
        <v>61</v>
      </c>
      <c r="BU29" s="220">
        <v>62</v>
      </c>
      <c r="BV29" s="220">
        <v>63</v>
      </c>
      <c r="BW29" s="220">
        <v>64</v>
      </c>
      <c r="BX29" s="220">
        <v>65</v>
      </c>
      <c r="BY29" s="220">
        <v>66</v>
      </c>
      <c r="BZ29" s="220">
        <v>67</v>
      </c>
      <c r="CA29" s="220">
        <v>68</v>
      </c>
      <c r="CB29" s="220">
        <v>69</v>
      </c>
      <c r="CC29" s="220">
        <v>70</v>
      </c>
      <c r="CD29" s="220">
        <v>71</v>
      </c>
      <c r="CE29" s="220">
        <v>72</v>
      </c>
      <c r="CF29" s="220">
        <v>73</v>
      </c>
      <c r="CG29" s="220">
        <v>74</v>
      </c>
      <c r="CH29" s="220">
        <v>75</v>
      </c>
      <c r="CI29" s="220">
        <v>76</v>
      </c>
      <c r="CJ29" s="220">
        <v>77</v>
      </c>
      <c r="CK29" s="220">
        <v>78</v>
      </c>
      <c r="CL29" s="220">
        <v>79</v>
      </c>
      <c r="CM29" s="220">
        <v>80</v>
      </c>
      <c r="CN29" s="220">
        <v>81</v>
      </c>
      <c r="CO29" s="220">
        <v>82</v>
      </c>
      <c r="CP29" s="220">
        <v>83</v>
      </c>
      <c r="CQ29" s="220">
        <v>84</v>
      </c>
      <c r="CR29" s="220">
        <v>85</v>
      </c>
      <c r="CS29" s="220">
        <v>86</v>
      </c>
      <c r="CT29" s="220">
        <v>87</v>
      </c>
      <c r="CU29" s="220">
        <v>88</v>
      </c>
      <c r="CV29" s="220">
        <v>89</v>
      </c>
      <c r="CW29" s="220">
        <v>90</v>
      </c>
      <c r="CX29" s="220">
        <v>91</v>
      </c>
      <c r="CY29" s="220">
        <v>92</v>
      </c>
      <c r="CZ29" s="220">
        <v>93</v>
      </c>
      <c r="DA29" s="220">
        <v>94</v>
      </c>
      <c r="DB29" s="220">
        <v>95</v>
      </c>
      <c r="DC29" s="220">
        <v>96</v>
      </c>
      <c r="DD29" s="220">
        <v>97</v>
      </c>
      <c r="DE29" s="220">
        <v>98</v>
      </c>
      <c r="DF29" s="220">
        <v>99</v>
      </c>
      <c r="DG29" s="220">
        <v>100</v>
      </c>
      <c r="DH29" s="220">
        <v>101</v>
      </c>
      <c r="DI29" s="220">
        <v>102</v>
      </c>
      <c r="DJ29" s="220">
        <v>103</v>
      </c>
      <c r="DK29" s="220">
        <v>104</v>
      </c>
      <c r="DL29" s="220">
        <v>105</v>
      </c>
      <c r="DM29" s="220">
        <v>106</v>
      </c>
      <c r="DN29" s="220">
        <v>107</v>
      </c>
      <c r="DO29" s="220">
        <v>108</v>
      </c>
      <c r="DP29" s="220">
        <v>109</v>
      </c>
      <c r="DQ29" s="220">
        <v>110</v>
      </c>
      <c r="DR29" s="220">
        <v>111</v>
      </c>
      <c r="DS29" s="220">
        <v>112</v>
      </c>
      <c r="DT29" s="220">
        <v>113</v>
      </c>
      <c r="DU29" s="220">
        <v>114</v>
      </c>
      <c r="DV29" s="220">
        <v>115</v>
      </c>
      <c r="DW29" s="220">
        <v>116</v>
      </c>
      <c r="DX29" s="220">
        <v>117</v>
      </c>
      <c r="DY29" s="220">
        <v>118</v>
      </c>
      <c r="DZ29" s="220">
        <v>119</v>
      </c>
      <c r="EA29" s="220">
        <v>120</v>
      </c>
    </row>
    <row r="30" spans="1:131" x14ac:dyDescent="0.25">
      <c r="A30" s="254">
        <f t="shared" ca="1" si="8"/>
        <v>12</v>
      </c>
      <c r="B30" s="255">
        <f t="shared" ca="1" si="1"/>
        <v>45413</v>
      </c>
      <c r="C30" s="256">
        <f t="shared" ca="1" si="12"/>
        <v>21.895042278559089</v>
      </c>
      <c r="D30" s="257">
        <f t="shared" ca="1" si="2"/>
        <v>9.2899999999999991</v>
      </c>
      <c r="E30" s="253">
        <f t="shared" ca="1" si="9"/>
        <v>12.60504227855909</v>
      </c>
      <c r="F30" s="257">
        <f t="shared" ca="1" si="3"/>
        <v>0</v>
      </c>
      <c r="G30" s="257">
        <f t="shared" ca="1" si="4"/>
        <v>1820.0894926572919</v>
      </c>
      <c r="H30" s="257">
        <f t="shared" ca="1" si="5"/>
        <v>1820.0894926572919</v>
      </c>
      <c r="I30" s="220">
        <f t="shared" ca="1" si="6"/>
        <v>2024</v>
      </c>
      <c r="K30" s="220" t="s">
        <v>378</v>
      </c>
      <c r="L30" s="1392">
        <f t="array" ref="L30:EA30">TRANSPOSE(E19:E138)</f>
        <v>21.225042278559087</v>
      </c>
      <c r="M30" s="1392">
        <f ca="1"/>
        <v>11.995042278559088</v>
      </c>
      <c r="N30" s="1392">
        <f ca="1"/>
        <v>11.725042278559089</v>
      </c>
      <c r="O30" s="1392">
        <f ca="1"/>
        <v>11.795042278559089</v>
      </c>
      <c r="P30" s="1392">
        <f ca="1"/>
        <v>12.175042278559088</v>
      </c>
      <c r="Q30" s="1392">
        <f ca="1"/>
        <v>11.915042278559088</v>
      </c>
      <c r="R30" s="1392">
        <f ca="1"/>
        <v>12.295042278559089</v>
      </c>
      <c r="S30" s="1392">
        <f ca="1"/>
        <v>12.045042278559089</v>
      </c>
      <c r="T30" s="1392">
        <f ca="1"/>
        <v>12.10504227855909</v>
      </c>
      <c r="U30" s="1392">
        <f ca="1"/>
        <v>12.795042278559089</v>
      </c>
      <c r="V30" s="1392">
        <f ca="1"/>
        <v>12.235042278559089</v>
      </c>
      <c r="W30" s="1392">
        <f ca="1"/>
        <v>12.60504227855909</v>
      </c>
      <c r="X30" s="1392">
        <f ca="1"/>
        <v>12.365042278559089</v>
      </c>
      <c r="Y30" s="1392">
        <f ca="1"/>
        <v>12.735042278559089</v>
      </c>
      <c r="Z30" s="1392">
        <f ca="1"/>
        <v>12.495042278559088</v>
      </c>
      <c r="AA30" s="1392">
        <f ca="1"/>
        <v>12.565042278559089</v>
      </c>
      <c r="AB30" s="1392">
        <f ca="1"/>
        <v>12.925042278559088</v>
      </c>
      <c r="AC30" s="1392">
        <f ca="1"/>
        <v>12.69504227855909</v>
      </c>
      <c r="AD30" s="1392">
        <f ca="1"/>
        <v>13.055042278559089</v>
      </c>
      <c r="AE30" s="1392">
        <f ca="1"/>
        <v>12.835042278559088</v>
      </c>
      <c r="AF30" s="1392">
        <f ca="1"/>
        <v>12.895042278559089</v>
      </c>
      <c r="AG30" s="1392">
        <f ca="1"/>
        <v>13.825042278559089</v>
      </c>
      <c r="AH30" s="1392">
        <f ca="1"/>
        <v>13.035042278559089</v>
      </c>
      <c r="AI30" s="1392">
        <f ca="1"/>
        <v>13.385042278559089</v>
      </c>
      <c r="AJ30" s="1392">
        <f ca="1"/>
        <v>13.175042278559088</v>
      </c>
      <c r="AK30" s="1392">
        <f ca="1"/>
        <v>13.52504227855909</v>
      </c>
      <c r="AL30" s="1392">
        <f ca="1"/>
        <v>13.315042278559089</v>
      </c>
      <c r="AM30" s="1392">
        <f ca="1"/>
        <v>13.385042278559089</v>
      </c>
      <c r="AN30" s="1392">
        <f ca="1"/>
        <v>13.725042278559089</v>
      </c>
      <c r="AO30" s="1392">
        <f ca="1"/>
        <v>13.52504227855909</v>
      </c>
      <c r="AP30" s="1392">
        <f ca="1"/>
        <v>13.865042278559089</v>
      </c>
      <c r="AQ30" s="1392">
        <f ca="1"/>
        <v>13.675042278559088</v>
      </c>
      <c r="AR30" s="1392">
        <f ca="1"/>
        <v>13.745042278559088</v>
      </c>
      <c r="AS30" s="1392">
        <f ca="1"/>
        <v>14.595042278559088</v>
      </c>
      <c r="AT30" s="1392">
        <f ca="1"/>
        <v>13.895042278559089</v>
      </c>
      <c r="AU30" s="1392">
        <f ca="1"/>
        <v>14.215042278559089</v>
      </c>
      <c r="AV30" s="1392">
        <f ca="1"/>
        <v>14.035042278559089</v>
      </c>
      <c r="AW30" s="1392">
        <f ca="1"/>
        <v>14.365042278559088</v>
      </c>
      <c r="AX30" s="1392">
        <f ca="1"/>
        <v>14.185042278559088</v>
      </c>
      <c r="AY30" s="1392">
        <f ca="1"/>
        <v>14.26504227855909</v>
      </c>
      <c r="AZ30" s="1392">
        <f ca="1"/>
        <v>14.575042278559089</v>
      </c>
      <c r="BA30" s="1392">
        <f ca="1"/>
        <v>14.415042278559088</v>
      </c>
      <c r="BB30" s="1392">
        <f ca="1"/>
        <v>14.725042278559089</v>
      </c>
      <c r="BC30" s="1392">
        <f ca="1"/>
        <v>14.565042278559089</v>
      </c>
      <c r="BD30" s="1392">
        <f ca="1"/>
        <v>14.645042278559089</v>
      </c>
      <c r="BE30" s="1392">
        <f ca="1"/>
        <v>15.415042278559088</v>
      </c>
      <c r="BF30" s="1392">
        <f ca="1"/>
        <v>14.795042278559089</v>
      </c>
      <c r="BG30" s="1392">
        <f ca="1"/>
        <v>15.10504227855909</v>
      </c>
      <c r="BH30" s="1392">
        <f ca="1"/>
        <v>14.955042278559088</v>
      </c>
      <c r="BI30" s="1392">
        <f ca="1"/>
        <v>15.255042278559088</v>
      </c>
      <c r="BJ30" s="1392">
        <f ca="1"/>
        <v>15.115042278559088</v>
      </c>
      <c r="BK30" s="1392">
        <f ca="1"/>
        <v>15.19504227855909</v>
      </c>
      <c r="BL30" s="1392">
        <f ca="1"/>
        <v>15.485042278559089</v>
      </c>
      <c r="BM30" s="1392">
        <f ca="1"/>
        <v>15.35504227855909</v>
      </c>
      <c r="BN30" s="1392">
        <f ca="1"/>
        <v>15.645042278559089</v>
      </c>
      <c r="BO30" s="1392">
        <f ca="1"/>
        <v>15.51504227855909</v>
      </c>
      <c r="BP30" s="1392">
        <f ca="1"/>
        <v>15.595042278559088</v>
      </c>
      <c r="BQ30" s="1392">
        <f ca="1"/>
        <v>16.075042278559089</v>
      </c>
      <c r="BR30" s="1392">
        <f ca="1"/>
        <v>15.76504227855909</v>
      </c>
      <c r="BS30" s="1392">
        <f ca="1"/>
        <v>16.035042278559089</v>
      </c>
      <c r="BT30" s="1392">
        <f ca="1"/>
        <v>15.92504227855909</v>
      </c>
      <c r="BU30" s="1392">
        <f ca="1"/>
        <v>16.205042278559088</v>
      </c>
      <c r="BV30" s="1392">
        <f ca="1"/>
        <v>16.095042278559088</v>
      </c>
      <c r="BW30" s="1392">
        <f ca="1"/>
        <v>16.185042278559088</v>
      </c>
      <c r="BX30" s="1392">
        <f ca="1"/>
        <v>16.44504227855909</v>
      </c>
      <c r="BY30" s="1392">
        <f ca="1"/>
        <v>16.35504227855909</v>
      </c>
      <c r="BZ30" s="1392">
        <f ca="1"/>
        <v>16.615042278559088</v>
      </c>
      <c r="CA30" s="1392">
        <f ca="1"/>
        <v>16.525042278559088</v>
      </c>
      <c r="CB30" s="1392">
        <f ca="1"/>
        <v>16.615042278559088</v>
      </c>
      <c r="CC30" s="1392">
        <f ca="1"/>
        <v>17.205042278559088</v>
      </c>
      <c r="CD30" s="1392">
        <f ca="1"/>
        <v>16.785042278559089</v>
      </c>
      <c r="CE30" s="1392">
        <f ca="1"/>
        <v>17.035042278559089</v>
      </c>
      <c r="CF30" s="1392">
        <f ca="1"/>
        <v>16.965042278559089</v>
      </c>
      <c r="CG30" s="1392">
        <f ca="1"/>
        <v>17.215042278559089</v>
      </c>
      <c r="CH30" s="1392">
        <f ca="1"/>
        <v>17.145042278559089</v>
      </c>
      <c r="CI30" s="1392">
        <f ca="1"/>
        <v>17.235042278559089</v>
      </c>
      <c r="CJ30" s="1392">
        <f ca="1"/>
        <v>17.475042278559087</v>
      </c>
      <c r="CK30" s="1392">
        <f ca="1"/>
        <v>17.415042278559088</v>
      </c>
      <c r="CL30" s="1392">
        <f ca="1"/>
        <v>17.645042278559089</v>
      </c>
      <c r="CM30" s="1392">
        <f ca="1"/>
        <v>17.595042278559088</v>
      </c>
      <c r="CN30" s="1392">
        <f ca="1"/>
        <v>17.69504227855909</v>
      </c>
      <c r="CO30" s="1392">
        <f ca="1"/>
        <v>18.185042278559088</v>
      </c>
      <c r="CP30" s="1392">
        <f ca="1"/>
        <v>17.875042278559089</v>
      </c>
      <c r="CQ30" s="1392">
        <f ca="1"/>
        <v>18.095042278559088</v>
      </c>
      <c r="CR30" s="1392">
        <f ca="1"/>
        <v>18.065042278559091</v>
      </c>
      <c r="CS30" s="1392">
        <f ca="1"/>
        <v>18.285042278559089</v>
      </c>
      <c r="CT30" s="1392">
        <f ca="1"/>
        <v>18.255042278559088</v>
      </c>
      <c r="CU30" s="1392">
        <f ca="1"/>
        <v>18.35504227855909</v>
      </c>
      <c r="CV30" s="1392">
        <f ca="1"/>
        <v>18.565042278559091</v>
      </c>
      <c r="CW30" s="1392">
        <f ca="1"/>
        <v>18.545042278559087</v>
      </c>
      <c r="CX30" s="1392">
        <f ca="1"/>
        <v>18.74504227855909</v>
      </c>
      <c r="CY30" s="1392">
        <f ca="1"/>
        <v>18.74504227855909</v>
      </c>
      <c r="CZ30" s="1392">
        <f ca="1"/>
        <v>18.845042278559088</v>
      </c>
      <c r="DA30" s="1392">
        <f ca="1"/>
        <v>19.225042278559087</v>
      </c>
      <c r="DB30" s="1392">
        <f ca="1"/>
        <v>19.035042278559089</v>
      </c>
      <c r="DC30" s="1392">
        <f ca="1"/>
        <v>19.225042278559087</v>
      </c>
      <c r="DD30" s="1392">
        <f ca="1"/>
        <v>19.235042278559089</v>
      </c>
      <c r="DE30" s="1392">
        <f ca="1"/>
        <v>19.42504227855909</v>
      </c>
      <c r="DF30" s="1392">
        <f ca="1"/>
        <v>19.44504227855909</v>
      </c>
      <c r="DG30" s="1392">
        <f ca="1"/>
        <v>19.545042278559087</v>
      </c>
      <c r="DH30" s="1392">
        <f ca="1"/>
        <v>19.715042278559089</v>
      </c>
      <c r="DI30" s="1392">
        <f ca="1"/>
        <v>19.74504227855909</v>
      </c>
      <c r="DJ30" s="1392">
        <f ca="1"/>
        <v>19.915042278559088</v>
      </c>
      <c r="DK30" s="1392">
        <f ca="1"/>
        <v>19.955042278559088</v>
      </c>
      <c r="DL30" s="1392">
        <f ca="1"/>
        <v>20.065042278559091</v>
      </c>
      <c r="DM30" s="1392">
        <f ca="1"/>
        <v>20.275042278559088</v>
      </c>
      <c r="DN30" s="1392">
        <f ca="1"/>
        <v>20.275042278559088</v>
      </c>
      <c r="DO30" s="1392">
        <f ca="1"/>
        <v>20.42504227855909</v>
      </c>
      <c r="DP30" s="1392">
        <f ca="1"/>
        <v>20.485042278559089</v>
      </c>
      <c r="DQ30" s="1392">
        <f ca="1"/>
        <v>20.635042278559087</v>
      </c>
      <c r="DR30" s="1392">
        <f ca="1"/>
        <v>20.705042278559088</v>
      </c>
      <c r="DS30" s="1392">
        <f ca="1"/>
        <v>20.805042278559089</v>
      </c>
      <c r="DT30" s="1392">
        <f ca="1"/>
        <v>20.955042278559088</v>
      </c>
      <c r="DU30" s="1392">
        <f ca="1"/>
        <v>21.025042278559088</v>
      </c>
      <c r="DV30" s="1392">
        <f ca="1"/>
        <v>21.165042278559088</v>
      </c>
      <c r="DW30" s="1392">
        <f ca="1"/>
        <v>21.24504227855909</v>
      </c>
      <c r="DX30" s="1392">
        <f ca="1"/>
        <v>21.365042278559088</v>
      </c>
      <c r="DY30" s="1392">
        <f ca="1"/>
        <v>21.51504227855909</v>
      </c>
      <c r="DZ30" s="1392">
        <f ca="1"/>
        <v>21.58504227855909</v>
      </c>
      <c r="EA30" s="1392">
        <f ca="1"/>
        <v>37.629968851472853</v>
      </c>
    </row>
    <row r="31" spans="1:131" x14ac:dyDescent="0.25">
      <c r="A31" s="254">
        <f t="shared" ca="1" si="8"/>
        <v>13</v>
      </c>
      <c r="B31" s="255">
        <f t="shared" ca="1" si="1"/>
        <v>45444</v>
      </c>
      <c r="C31" s="256">
        <f t="shared" ca="1" si="12"/>
        <v>21.895042278559089</v>
      </c>
      <c r="D31" s="257">
        <f t="shared" ca="1" si="2"/>
        <v>9.5299999999999994</v>
      </c>
      <c r="E31" s="253">
        <f t="shared" ca="1" si="9"/>
        <v>12.365042278559089</v>
      </c>
      <c r="F31" s="257">
        <f t="shared" ca="1" si="3"/>
        <v>0</v>
      </c>
      <c r="G31" s="257">
        <f t="shared" ca="1" si="4"/>
        <v>1807.7244503787329</v>
      </c>
      <c r="H31" s="257">
        <f t="shared" ca="1" si="5"/>
        <v>1807.7244503787329</v>
      </c>
      <c r="I31" s="220">
        <f t="shared" ca="1" si="6"/>
        <v>2024</v>
      </c>
      <c r="K31" s="220" t="s">
        <v>379</v>
      </c>
      <c r="L31" s="220">
        <f t="array" ref="L31:EA31">TRANSPOSE(D19:D138)</f>
        <v>0.67</v>
      </c>
      <c r="M31" s="220">
        <f ca="1"/>
        <v>9.9</v>
      </c>
      <c r="N31" s="220">
        <f ca="1"/>
        <v>10.17</v>
      </c>
      <c r="O31" s="220">
        <f ca="1"/>
        <v>10.1</v>
      </c>
      <c r="P31" s="220">
        <f ca="1"/>
        <v>9.7200000000000006</v>
      </c>
      <c r="Q31" s="220">
        <f ca="1"/>
        <v>9.98</v>
      </c>
      <c r="R31" s="220">
        <f ca="1"/>
        <v>9.6</v>
      </c>
      <c r="S31" s="220">
        <f ca="1"/>
        <v>9.85</v>
      </c>
      <c r="T31" s="220">
        <f ca="1"/>
        <v>9.7899999999999991</v>
      </c>
      <c r="U31" s="220">
        <f ca="1"/>
        <v>9.1</v>
      </c>
      <c r="V31" s="220">
        <f ca="1"/>
        <v>9.66</v>
      </c>
      <c r="W31" s="220">
        <f ca="1"/>
        <v>9.2899999999999991</v>
      </c>
      <c r="X31" s="220">
        <f ca="1"/>
        <v>9.5299999999999994</v>
      </c>
      <c r="Y31" s="220">
        <f ca="1"/>
        <v>9.16</v>
      </c>
      <c r="Z31" s="220">
        <f ca="1"/>
        <v>9.4</v>
      </c>
      <c r="AA31" s="220">
        <f ca="1"/>
        <v>9.33</v>
      </c>
      <c r="AB31" s="220">
        <f ca="1"/>
        <v>8.9700000000000006</v>
      </c>
      <c r="AC31" s="220">
        <f ca="1"/>
        <v>9.1999999999999993</v>
      </c>
      <c r="AD31" s="220">
        <f ca="1"/>
        <v>8.84</v>
      </c>
      <c r="AE31" s="220">
        <f ca="1"/>
        <v>9.06</v>
      </c>
      <c r="AF31" s="220">
        <f ca="1"/>
        <v>9</v>
      </c>
      <c r="AG31" s="220">
        <f ca="1"/>
        <v>8.07</v>
      </c>
      <c r="AH31" s="220">
        <f ca="1"/>
        <v>8.86</v>
      </c>
      <c r="AI31" s="220">
        <f ca="1"/>
        <v>8.51</v>
      </c>
      <c r="AJ31" s="220">
        <f ca="1"/>
        <v>8.7200000000000006</v>
      </c>
      <c r="AK31" s="220">
        <f ca="1"/>
        <v>8.3699999999999992</v>
      </c>
      <c r="AL31" s="220">
        <f ca="1"/>
        <v>8.58</v>
      </c>
      <c r="AM31" s="220">
        <f ca="1"/>
        <v>8.51</v>
      </c>
      <c r="AN31" s="220">
        <f ca="1"/>
        <v>8.17</v>
      </c>
      <c r="AO31" s="220">
        <f ca="1"/>
        <v>8.3699999999999992</v>
      </c>
      <c r="AP31" s="220">
        <f ca="1"/>
        <v>8.0299999999999994</v>
      </c>
      <c r="AQ31" s="220">
        <f ca="1"/>
        <v>8.2200000000000006</v>
      </c>
      <c r="AR31" s="220">
        <f ca="1"/>
        <v>8.15</v>
      </c>
      <c r="AS31" s="220">
        <f ca="1"/>
        <v>7.3</v>
      </c>
      <c r="AT31" s="220">
        <f ca="1"/>
        <v>8</v>
      </c>
      <c r="AU31" s="220">
        <f ca="1"/>
        <v>7.68</v>
      </c>
      <c r="AV31" s="220">
        <f ca="1"/>
        <v>7.86</v>
      </c>
      <c r="AW31" s="220">
        <f ca="1"/>
        <v>7.53</v>
      </c>
      <c r="AX31" s="220">
        <f ca="1"/>
        <v>7.71</v>
      </c>
      <c r="AY31" s="220">
        <f ca="1"/>
        <v>7.63</v>
      </c>
      <c r="AZ31" s="220">
        <f ca="1"/>
        <v>7.32</v>
      </c>
      <c r="BA31" s="220">
        <f ca="1"/>
        <v>7.48</v>
      </c>
      <c r="BB31" s="220">
        <f ca="1"/>
        <v>7.17</v>
      </c>
      <c r="BC31" s="220">
        <f ca="1"/>
        <v>7.33</v>
      </c>
      <c r="BD31" s="220">
        <f ca="1"/>
        <v>7.25</v>
      </c>
      <c r="BE31" s="220">
        <f ca="1"/>
        <v>6.48</v>
      </c>
      <c r="BF31" s="220">
        <f ca="1"/>
        <v>7.1</v>
      </c>
      <c r="BG31" s="220">
        <f ca="1"/>
        <v>6.79</v>
      </c>
      <c r="BH31" s="220">
        <f ca="1"/>
        <v>6.94</v>
      </c>
      <c r="BI31" s="220">
        <f ca="1"/>
        <v>6.64</v>
      </c>
      <c r="BJ31" s="220">
        <f ca="1"/>
        <v>6.78</v>
      </c>
      <c r="BK31" s="220">
        <f ca="1"/>
        <v>6.7</v>
      </c>
      <c r="BL31" s="220">
        <f ca="1"/>
        <v>6.41</v>
      </c>
      <c r="BM31" s="220">
        <f ca="1"/>
        <v>6.54</v>
      </c>
      <c r="BN31" s="220">
        <f ca="1"/>
        <v>6.25</v>
      </c>
      <c r="BO31" s="220">
        <f ca="1"/>
        <v>6.38</v>
      </c>
      <c r="BP31" s="220">
        <f ca="1"/>
        <v>6.3</v>
      </c>
      <c r="BQ31" s="220">
        <f ca="1"/>
        <v>5.82</v>
      </c>
      <c r="BR31" s="220">
        <f ca="1"/>
        <v>6.13</v>
      </c>
      <c r="BS31" s="220">
        <f ca="1"/>
        <v>5.86</v>
      </c>
      <c r="BT31" s="220">
        <f ca="1"/>
        <v>5.97</v>
      </c>
      <c r="BU31" s="220">
        <f ca="1"/>
        <v>5.69</v>
      </c>
      <c r="BV31" s="220">
        <f ca="1"/>
        <v>5.8</v>
      </c>
      <c r="BW31" s="220">
        <f ca="1"/>
        <v>5.71</v>
      </c>
      <c r="BX31" s="220">
        <f ca="1"/>
        <v>5.45</v>
      </c>
      <c r="BY31" s="220">
        <f ca="1"/>
        <v>5.54</v>
      </c>
      <c r="BZ31" s="220">
        <f ca="1"/>
        <v>5.28</v>
      </c>
      <c r="CA31" s="220">
        <f ca="1"/>
        <v>5.37</v>
      </c>
      <c r="CB31" s="220">
        <f ca="1"/>
        <v>5.28</v>
      </c>
      <c r="CC31" s="220">
        <f ca="1"/>
        <v>4.6900000000000004</v>
      </c>
      <c r="CD31" s="220">
        <f ca="1"/>
        <v>5.1100000000000003</v>
      </c>
      <c r="CE31" s="220">
        <f ca="1"/>
        <v>4.8600000000000003</v>
      </c>
      <c r="CF31" s="220">
        <f ca="1"/>
        <v>4.93</v>
      </c>
      <c r="CG31" s="220">
        <f ca="1"/>
        <v>4.68</v>
      </c>
      <c r="CH31" s="220">
        <f ca="1"/>
        <v>4.75</v>
      </c>
      <c r="CI31" s="220">
        <f ca="1"/>
        <v>4.66</v>
      </c>
      <c r="CJ31" s="220">
        <f ca="1"/>
        <v>4.42</v>
      </c>
      <c r="CK31" s="220">
        <f ca="1"/>
        <v>4.4800000000000004</v>
      </c>
      <c r="CL31" s="220">
        <f ca="1"/>
        <v>4.25</v>
      </c>
      <c r="CM31" s="220">
        <f ca="1"/>
        <v>4.3</v>
      </c>
      <c r="CN31" s="220">
        <f ca="1"/>
        <v>4.2</v>
      </c>
      <c r="CO31" s="220">
        <f ca="1"/>
        <v>3.71</v>
      </c>
      <c r="CP31" s="220">
        <f ca="1"/>
        <v>4.0199999999999996</v>
      </c>
      <c r="CQ31" s="220">
        <f ca="1"/>
        <v>3.8</v>
      </c>
      <c r="CR31" s="220">
        <f ca="1"/>
        <v>3.83</v>
      </c>
      <c r="CS31" s="220">
        <f ca="1"/>
        <v>3.61</v>
      </c>
      <c r="CT31" s="220">
        <f ca="1"/>
        <v>3.64</v>
      </c>
      <c r="CU31" s="220">
        <f ca="1"/>
        <v>3.54</v>
      </c>
      <c r="CV31" s="220">
        <f ca="1"/>
        <v>3.33</v>
      </c>
      <c r="CW31" s="220">
        <f ca="1"/>
        <v>3.35</v>
      </c>
      <c r="CX31" s="220">
        <f ca="1"/>
        <v>3.15</v>
      </c>
      <c r="CY31" s="220">
        <f ca="1"/>
        <v>3.15</v>
      </c>
      <c r="CZ31" s="220">
        <f ca="1"/>
        <v>3.05</v>
      </c>
      <c r="DA31" s="220">
        <f ca="1"/>
        <v>2.67</v>
      </c>
      <c r="DB31" s="220">
        <f ca="1"/>
        <v>2.86</v>
      </c>
      <c r="DC31" s="220">
        <f ca="1"/>
        <v>2.67</v>
      </c>
      <c r="DD31" s="220">
        <f ca="1"/>
        <v>2.66</v>
      </c>
      <c r="DE31" s="220">
        <f ca="1"/>
        <v>2.4700000000000002</v>
      </c>
      <c r="DF31" s="220">
        <f ca="1"/>
        <v>2.4500000000000002</v>
      </c>
      <c r="DG31" s="220">
        <f ca="1"/>
        <v>2.35</v>
      </c>
      <c r="DH31" s="220">
        <f ca="1"/>
        <v>2.1800000000000002</v>
      </c>
      <c r="DI31" s="220">
        <f ca="1"/>
        <v>2.15</v>
      </c>
      <c r="DJ31" s="220">
        <f ca="1"/>
        <v>1.98</v>
      </c>
      <c r="DK31" s="220">
        <f ca="1"/>
        <v>1.94</v>
      </c>
      <c r="DL31" s="220">
        <f ca="1"/>
        <v>1.83</v>
      </c>
      <c r="DM31" s="220">
        <f ca="1"/>
        <v>1.62</v>
      </c>
      <c r="DN31" s="220">
        <f ca="1"/>
        <v>1.62</v>
      </c>
      <c r="DO31" s="220">
        <f ca="1"/>
        <v>1.47</v>
      </c>
      <c r="DP31" s="220">
        <f ca="1"/>
        <v>1.41</v>
      </c>
      <c r="DQ31" s="220">
        <f ca="1"/>
        <v>1.26</v>
      </c>
      <c r="DR31" s="220">
        <f ca="1"/>
        <v>1.19</v>
      </c>
      <c r="DS31" s="220">
        <f ca="1"/>
        <v>1.0900000000000001</v>
      </c>
      <c r="DT31" s="220">
        <f ca="1"/>
        <v>0.94</v>
      </c>
      <c r="DU31" s="220">
        <f ca="1"/>
        <v>0.87</v>
      </c>
      <c r="DV31" s="220">
        <f ca="1"/>
        <v>0.73</v>
      </c>
      <c r="DW31" s="220">
        <f ca="1"/>
        <v>0.65</v>
      </c>
      <c r="DX31" s="220">
        <f ca="1"/>
        <v>0.53</v>
      </c>
      <c r="DY31" s="220">
        <f ca="1"/>
        <v>0.38</v>
      </c>
      <c r="DZ31" s="220">
        <f ca="1"/>
        <v>0.31</v>
      </c>
      <c r="EA31" s="220">
        <f ca="1"/>
        <v>0.19</v>
      </c>
    </row>
    <row r="32" spans="1:131" x14ac:dyDescent="0.25">
      <c r="A32" s="254">
        <f t="shared" ca="1" si="8"/>
        <v>14</v>
      </c>
      <c r="B32" s="255">
        <f t="shared" ca="1" si="1"/>
        <v>45474</v>
      </c>
      <c r="C32" s="256">
        <f t="shared" ca="1" si="12"/>
        <v>21.895042278559089</v>
      </c>
      <c r="D32" s="257">
        <f t="shared" ca="1" si="2"/>
        <v>9.16</v>
      </c>
      <c r="E32" s="253">
        <f t="shared" ca="1" si="9"/>
        <v>12.735042278559089</v>
      </c>
      <c r="F32" s="257">
        <f t="shared" ca="1" si="3"/>
        <v>0</v>
      </c>
      <c r="G32" s="257">
        <f t="shared" ca="1" si="4"/>
        <v>1794.9894081001739</v>
      </c>
      <c r="H32" s="257">
        <f t="shared" ca="1" si="5"/>
        <v>1794.9894081001739</v>
      </c>
      <c r="I32" s="220">
        <f t="shared" ca="1" si="6"/>
        <v>2024</v>
      </c>
      <c r="N32" s="220">
        <f ca="1">N31+'HEC Seller Debt'!M31</f>
        <v>12.59</v>
      </c>
    </row>
    <row r="33" spans="1:16" x14ac:dyDescent="0.25">
      <c r="A33" s="254">
        <f t="shared" ca="1" si="8"/>
        <v>15</v>
      </c>
      <c r="B33" s="255">
        <f t="shared" ca="1" si="1"/>
        <v>45505</v>
      </c>
      <c r="C33" s="256">
        <f t="shared" ca="1" si="12"/>
        <v>21.895042278559089</v>
      </c>
      <c r="D33" s="257">
        <f t="shared" ca="1" si="2"/>
        <v>9.4</v>
      </c>
      <c r="E33" s="253">
        <f t="shared" ca="1" si="9"/>
        <v>12.495042278559088</v>
      </c>
      <c r="F33" s="257">
        <f t="shared" ca="1" si="3"/>
        <v>0</v>
      </c>
      <c r="G33" s="257">
        <f t="shared" ca="1" si="4"/>
        <v>1782.494365821615</v>
      </c>
      <c r="H33" s="257">
        <f t="shared" ca="1" si="5"/>
        <v>1782.494365821615</v>
      </c>
      <c r="I33" s="220">
        <f t="shared" ca="1" si="6"/>
        <v>2024</v>
      </c>
      <c r="M33" s="220" t="s">
        <v>1261</v>
      </c>
      <c r="N33" s="220">
        <v>12473.44</v>
      </c>
      <c r="P33" s="220" t="s">
        <v>1264</v>
      </c>
    </row>
    <row r="34" spans="1:16" x14ac:dyDescent="0.25">
      <c r="A34" s="254">
        <f t="shared" ca="1" si="8"/>
        <v>16</v>
      </c>
      <c r="B34" s="255">
        <f t="shared" ca="1" si="1"/>
        <v>45536</v>
      </c>
      <c r="C34" s="256">
        <f t="shared" ca="1" si="12"/>
        <v>21.895042278559089</v>
      </c>
      <c r="D34" s="257">
        <f t="shared" ca="1" si="2"/>
        <v>9.33</v>
      </c>
      <c r="E34" s="253">
        <f t="shared" ca="1" si="9"/>
        <v>12.565042278559089</v>
      </c>
      <c r="F34" s="257">
        <f t="shared" ca="1" si="3"/>
        <v>0</v>
      </c>
      <c r="G34" s="257">
        <f t="shared" ca="1" si="4"/>
        <v>1769.9293235430559</v>
      </c>
      <c r="H34" s="257">
        <f t="shared" ca="1" si="5"/>
        <v>1769.9293235430559</v>
      </c>
      <c r="I34" s="220">
        <f t="shared" ca="1" si="6"/>
        <v>2024</v>
      </c>
      <c r="M34" s="220" t="s">
        <v>1262</v>
      </c>
      <c r="N34" s="220">
        <v>11324</v>
      </c>
    </row>
    <row r="35" spans="1:16" x14ac:dyDescent="0.25">
      <c r="A35" s="254">
        <f t="shared" ca="1" si="8"/>
        <v>17</v>
      </c>
      <c r="B35" s="255">
        <f t="shared" ca="1" si="1"/>
        <v>45566</v>
      </c>
      <c r="C35" s="256">
        <f t="shared" ca="1" si="12"/>
        <v>21.895042278559089</v>
      </c>
      <c r="D35" s="257">
        <f t="shared" ca="1" si="2"/>
        <v>8.9700000000000006</v>
      </c>
      <c r="E35" s="253">
        <f t="shared" ca="1" si="9"/>
        <v>12.925042278559088</v>
      </c>
      <c r="F35" s="257">
        <f t="shared" ca="1" si="3"/>
        <v>0</v>
      </c>
      <c r="G35" s="257">
        <f t="shared" ca="1" si="4"/>
        <v>1757.004281264497</v>
      </c>
      <c r="H35" s="257">
        <f t="shared" ca="1" si="5"/>
        <v>1757.004281264497</v>
      </c>
      <c r="I35" s="220">
        <f t="shared" ca="1" si="6"/>
        <v>2024</v>
      </c>
      <c r="J35" s="253">
        <f ca="1">SUM(C24:C35)</f>
        <v>262.74050734270907</v>
      </c>
    </row>
    <row r="36" spans="1:16" x14ac:dyDescent="0.25">
      <c r="A36" s="254">
        <f t="shared" ca="1" si="8"/>
        <v>18</v>
      </c>
      <c r="B36" s="255">
        <f t="shared" ca="1" si="1"/>
        <v>45597</v>
      </c>
      <c r="C36" s="256">
        <f t="shared" ca="1" si="12"/>
        <v>21.895042278559089</v>
      </c>
      <c r="D36" s="257">
        <f t="shared" ca="1" si="2"/>
        <v>9.1999999999999993</v>
      </c>
      <c r="E36" s="253">
        <f t="shared" ca="1" si="9"/>
        <v>12.69504227855909</v>
      </c>
      <c r="F36" s="257">
        <f t="shared" ca="1" si="3"/>
        <v>0</v>
      </c>
      <c r="G36" s="257">
        <f t="shared" ca="1" si="4"/>
        <v>1744.309238985938</v>
      </c>
      <c r="H36" s="257">
        <f t="shared" ca="1" si="5"/>
        <v>1744.309238985938</v>
      </c>
      <c r="I36" s="220">
        <f t="shared" ca="1" si="6"/>
        <v>2024</v>
      </c>
      <c r="M36" s="220" t="s">
        <v>1263</v>
      </c>
    </row>
    <row r="37" spans="1:16" x14ac:dyDescent="0.25">
      <c r="A37" s="254">
        <v>19</v>
      </c>
      <c r="B37" s="255">
        <f t="shared" ca="1" si="1"/>
        <v>45627</v>
      </c>
      <c r="C37" s="256">
        <f t="shared" ca="1" si="12"/>
        <v>21.895042278559089</v>
      </c>
      <c r="D37" s="257">
        <f t="shared" ca="1" si="2"/>
        <v>8.84</v>
      </c>
      <c r="E37" s="253">
        <f t="shared" ca="1" si="9"/>
        <v>13.055042278559089</v>
      </c>
      <c r="F37" s="257">
        <f t="shared" ca="1" si="3"/>
        <v>0</v>
      </c>
      <c r="G37" s="257">
        <f t="shared" ca="1" si="4"/>
        <v>1731.2541967073789</v>
      </c>
      <c r="H37" s="257">
        <f t="shared" ca="1" si="5"/>
        <v>1731.2541967073789</v>
      </c>
      <c r="I37" s="220">
        <f t="shared" ca="1" si="6"/>
        <v>2024</v>
      </c>
      <c r="M37" s="220" t="s">
        <v>1262</v>
      </c>
    </row>
    <row r="38" spans="1:16" x14ac:dyDescent="0.25">
      <c r="A38" s="254">
        <f ca="1">IF(OR(H37&lt;=0,H37=""),"",OFFSET(A38,-1,0,1,1)+1)</f>
        <v>20</v>
      </c>
      <c r="B38" s="255">
        <f t="shared" ca="1" si="1"/>
        <v>45658</v>
      </c>
      <c r="C38" s="256">
        <f t="shared" ca="1" si="12"/>
        <v>21.895042278559089</v>
      </c>
      <c r="D38" s="257">
        <f t="shared" ca="1" si="2"/>
        <v>9.06</v>
      </c>
      <c r="E38" s="253">
        <f t="shared" ca="1" si="9"/>
        <v>12.835042278559088</v>
      </c>
      <c r="F38" s="257">
        <f t="shared" ca="1" si="3"/>
        <v>0</v>
      </c>
      <c r="G38" s="257">
        <f t="shared" ca="1" si="4"/>
        <v>1718.4191544288199</v>
      </c>
      <c r="H38" s="257">
        <f t="shared" ca="1" si="5"/>
        <v>1718.4191544288199</v>
      </c>
      <c r="I38" s="220">
        <f t="shared" ca="1" si="6"/>
        <v>2025</v>
      </c>
    </row>
    <row r="39" spans="1:16" x14ac:dyDescent="0.25">
      <c r="A39" s="254">
        <f ca="1">IF(OR(H38&lt;=0,H38=""),"",OFFSET(A39,-1,0,1,1)+1)</f>
        <v>21</v>
      </c>
      <c r="B39" s="255">
        <f t="shared" ca="1" si="1"/>
        <v>45689</v>
      </c>
      <c r="C39" s="256">
        <f t="shared" ca="1" si="12"/>
        <v>21.895042278559089</v>
      </c>
      <c r="D39" s="257">
        <f t="shared" ca="1" si="2"/>
        <v>9</v>
      </c>
      <c r="E39" s="253">
        <f t="shared" ca="1" si="9"/>
        <v>12.895042278559089</v>
      </c>
      <c r="F39" s="257">
        <f t="shared" ca="1" si="3"/>
        <v>0</v>
      </c>
      <c r="G39" s="257">
        <f t="shared" ca="1" si="4"/>
        <v>1705.5241121502609</v>
      </c>
      <c r="H39" s="257">
        <f t="shared" ca="1" si="5"/>
        <v>1705.5241121502609</v>
      </c>
      <c r="I39" s="220">
        <f t="shared" ca="1" si="6"/>
        <v>2025</v>
      </c>
    </row>
    <row r="40" spans="1:16" x14ac:dyDescent="0.25">
      <c r="A40" s="254">
        <v>22</v>
      </c>
      <c r="B40" s="255">
        <f t="shared" ca="1" si="1"/>
        <v>45717</v>
      </c>
      <c r="C40" s="256">
        <f t="shared" ca="1" si="12"/>
        <v>21.895042278559089</v>
      </c>
      <c r="D40" s="257">
        <f t="shared" ca="1" si="2"/>
        <v>8.07</v>
      </c>
      <c r="E40" s="253">
        <f t="shared" ca="1" si="9"/>
        <v>13.825042278559089</v>
      </c>
      <c r="F40" s="257">
        <f t="shared" ca="1" si="3"/>
        <v>0</v>
      </c>
      <c r="G40" s="257">
        <f t="shared" ca="1" si="4"/>
        <v>1691.6990698717018</v>
      </c>
      <c r="H40" s="257">
        <f t="shared" ca="1" si="5"/>
        <v>1691.6990698717018</v>
      </c>
      <c r="I40" s="220">
        <f t="shared" ca="1" si="6"/>
        <v>2025</v>
      </c>
    </row>
    <row r="41" spans="1:16" x14ac:dyDescent="0.25">
      <c r="A41" s="254">
        <f t="shared" ref="A41:A104" ca="1" si="15">IF(OR(H40&lt;=0,H40=""),"",OFFSET(A41,-1,0,1,1)+1)</f>
        <v>23</v>
      </c>
      <c r="B41" s="255">
        <f t="shared" ca="1" si="1"/>
        <v>45748</v>
      </c>
      <c r="C41" s="256">
        <f t="shared" ca="1" si="12"/>
        <v>21.895042278559089</v>
      </c>
      <c r="D41" s="257">
        <f t="shared" ca="1" si="2"/>
        <v>8.86</v>
      </c>
      <c r="E41" s="253">
        <f t="shared" ca="1" si="9"/>
        <v>13.035042278559089</v>
      </c>
      <c r="F41" s="257">
        <f t="shared" ca="1" si="3"/>
        <v>0</v>
      </c>
      <c r="G41" s="257">
        <f t="shared" ca="1" si="4"/>
        <v>1678.6640275931427</v>
      </c>
      <c r="H41" s="257">
        <f t="shared" ca="1" si="5"/>
        <v>1678.6640275931427</v>
      </c>
      <c r="I41" s="220">
        <f t="shared" ca="1" si="6"/>
        <v>2025</v>
      </c>
    </row>
    <row r="42" spans="1:16" x14ac:dyDescent="0.25">
      <c r="A42" s="254">
        <f t="shared" ca="1" si="15"/>
        <v>24</v>
      </c>
      <c r="B42" s="255">
        <f t="shared" ca="1" si="1"/>
        <v>45778</v>
      </c>
      <c r="C42" s="256">
        <f t="shared" ca="1" si="12"/>
        <v>21.895042278559089</v>
      </c>
      <c r="D42" s="257">
        <f t="shared" ca="1" si="2"/>
        <v>8.51</v>
      </c>
      <c r="E42" s="253">
        <f t="shared" ca="1" si="9"/>
        <v>13.385042278559089</v>
      </c>
      <c r="F42" s="257">
        <f t="shared" ca="1" si="3"/>
        <v>0</v>
      </c>
      <c r="G42" s="257">
        <f t="shared" ca="1" si="4"/>
        <v>1665.2789853145837</v>
      </c>
      <c r="H42" s="257">
        <f t="shared" ca="1" si="5"/>
        <v>1665.2789853145837</v>
      </c>
      <c r="I42" s="220">
        <f t="shared" ca="1" si="6"/>
        <v>2025</v>
      </c>
    </row>
    <row r="43" spans="1:16" x14ac:dyDescent="0.25">
      <c r="A43" s="254">
        <f t="shared" ca="1" si="15"/>
        <v>25</v>
      </c>
      <c r="B43" s="255">
        <f t="shared" ca="1" si="1"/>
        <v>45809</v>
      </c>
      <c r="C43" s="256">
        <f t="shared" ca="1" si="12"/>
        <v>21.895042278559089</v>
      </c>
      <c r="D43" s="257">
        <f t="shared" ca="1" si="2"/>
        <v>8.7200000000000006</v>
      </c>
      <c r="E43" s="253">
        <f t="shared" ca="1" si="9"/>
        <v>13.175042278559088</v>
      </c>
      <c r="F43" s="257">
        <f t="shared" ca="1" si="3"/>
        <v>0</v>
      </c>
      <c r="G43" s="257">
        <f t="shared" ca="1" si="4"/>
        <v>1652.1039430360247</v>
      </c>
      <c r="H43" s="257">
        <f t="shared" ca="1" si="5"/>
        <v>1652.1039430360247</v>
      </c>
      <c r="I43" s="220">
        <f t="shared" ca="1" si="6"/>
        <v>2025</v>
      </c>
    </row>
    <row r="44" spans="1:16" x14ac:dyDescent="0.25">
      <c r="A44" s="254">
        <f t="shared" ca="1" si="15"/>
        <v>26</v>
      </c>
      <c r="B44" s="255">
        <f t="shared" ca="1" si="1"/>
        <v>45839</v>
      </c>
      <c r="C44" s="256">
        <f t="shared" ca="1" si="12"/>
        <v>21.895042278559089</v>
      </c>
      <c r="D44" s="257">
        <f t="shared" ca="1" si="2"/>
        <v>8.3699999999999992</v>
      </c>
      <c r="E44" s="253">
        <f t="shared" ca="1" si="9"/>
        <v>13.52504227855909</v>
      </c>
      <c r="F44" s="257">
        <f t="shared" ca="1" si="3"/>
        <v>0</v>
      </c>
      <c r="G44" s="257">
        <f t="shared" ca="1" si="4"/>
        <v>1638.5789007574656</v>
      </c>
      <c r="H44" s="257">
        <f t="shared" ca="1" si="5"/>
        <v>1638.5789007574656</v>
      </c>
      <c r="I44" s="220">
        <f t="shared" ca="1" si="6"/>
        <v>2025</v>
      </c>
    </row>
    <row r="45" spans="1:16" x14ac:dyDescent="0.25">
      <c r="A45" s="254">
        <f t="shared" ca="1" si="15"/>
        <v>27</v>
      </c>
      <c r="B45" s="255">
        <f t="shared" ca="1" si="1"/>
        <v>45870</v>
      </c>
      <c r="C45" s="256">
        <f t="shared" ca="1" si="12"/>
        <v>21.895042278559089</v>
      </c>
      <c r="D45" s="257">
        <f t="shared" ca="1" si="2"/>
        <v>8.58</v>
      </c>
      <c r="E45" s="253">
        <f t="shared" ca="1" si="9"/>
        <v>13.315042278559089</v>
      </c>
      <c r="F45" s="257">
        <f t="shared" ca="1" si="3"/>
        <v>0</v>
      </c>
      <c r="G45" s="257">
        <f t="shared" ca="1" si="4"/>
        <v>1625.2638584789065</v>
      </c>
      <c r="H45" s="257">
        <f t="shared" ca="1" si="5"/>
        <v>1625.2638584789065</v>
      </c>
      <c r="I45" s="220">
        <f t="shared" ca="1" si="6"/>
        <v>2025</v>
      </c>
    </row>
    <row r="46" spans="1:16" x14ac:dyDescent="0.25">
      <c r="A46" s="254">
        <f t="shared" ca="1" si="15"/>
        <v>28</v>
      </c>
      <c r="B46" s="255">
        <f t="shared" ca="1" si="1"/>
        <v>45901</v>
      </c>
      <c r="C46" s="256">
        <f t="shared" ca="1" si="12"/>
        <v>21.895042278559089</v>
      </c>
      <c r="D46" s="257">
        <f t="shared" ca="1" si="2"/>
        <v>8.51</v>
      </c>
      <c r="E46" s="253">
        <f t="shared" ca="1" si="9"/>
        <v>13.385042278559089</v>
      </c>
      <c r="F46" s="257">
        <f t="shared" ca="1" si="3"/>
        <v>0</v>
      </c>
      <c r="G46" s="257">
        <f t="shared" ca="1" si="4"/>
        <v>1611.8788162003475</v>
      </c>
      <c r="H46" s="257">
        <f t="shared" ca="1" si="5"/>
        <v>1611.8788162003475</v>
      </c>
      <c r="I46" s="220">
        <f t="shared" ca="1" si="6"/>
        <v>2025</v>
      </c>
    </row>
    <row r="47" spans="1:16" x14ac:dyDescent="0.25">
      <c r="A47" s="254">
        <f t="shared" ca="1" si="15"/>
        <v>29</v>
      </c>
      <c r="B47" s="255">
        <f t="shared" ca="1" si="1"/>
        <v>45931</v>
      </c>
      <c r="C47" s="256">
        <f t="shared" ca="1" si="12"/>
        <v>21.895042278559089</v>
      </c>
      <c r="D47" s="257">
        <f t="shared" ca="1" si="2"/>
        <v>8.17</v>
      </c>
      <c r="E47" s="253">
        <f t="shared" ca="1" si="9"/>
        <v>13.725042278559089</v>
      </c>
      <c r="F47" s="257">
        <f t="shared" ca="1" si="3"/>
        <v>0</v>
      </c>
      <c r="G47" s="257">
        <f t="shared" ca="1" si="4"/>
        <v>1598.1537739217886</v>
      </c>
      <c r="H47" s="257">
        <f t="shared" ca="1" si="5"/>
        <v>1598.1537739217886</v>
      </c>
      <c r="I47" s="220">
        <f t="shared" ca="1" si="6"/>
        <v>2025</v>
      </c>
      <c r="J47" s="253">
        <f ca="1">SUM(C36:C47)</f>
        <v>262.74050734270907</v>
      </c>
    </row>
    <row r="48" spans="1:16" x14ac:dyDescent="0.25">
      <c r="A48" s="254">
        <f t="shared" ca="1" si="15"/>
        <v>30</v>
      </c>
      <c r="B48" s="255">
        <f t="shared" ca="1" si="1"/>
        <v>45962</v>
      </c>
      <c r="C48" s="256">
        <f t="shared" ca="1" si="12"/>
        <v>21.895042278559089</v>
      </c>
      <c r="D48" s="257">
        <f t="shared" ca="1" si="2"/>
        <v>8.3699999999999992</v>
      </c>
      <c r="E48" s="253">
        <f t="shared" ca="1" si="9"/>
        <v>13.52504227855909</v>
      </c>
      <c r="F48" s="257">
        <f t="shared" ca="1" si="3"/>
        <v>0</v>
      </c>
      <c r="G48" s="257">
        <f t="shared" ca="1" si="4"/>
        <v>1584.6287316432295</v>
      </c>
      <c r="H48" s="257">
        <f t="shared" ca="1" si="5"/>
        <v>1584.6287316432295</v>
      </c>
      <c r="I48" s="220">
        <f t="shared" ca="1" si="6"/>
        <v>2025</v>
      </c>
    </row>
    <row r="49" spans="1:12" x14ac:dyDescent="0.25">
      <c r="A49" s="254">
        <f t="shared" ca="1" si="15"/>
        <v>31</v>
      </c>
      <c r="B49" s="255">
        <f t="shared" ca="1" si="1"/>
        <v>45992</v>
      </c>
      <c r="C49" s="256">
        <f t="shared" ca="1" si="12"/>
        <v>21.895042278559089</v>
      </c>
      <c r="D49" s="257">
        <f t="shared" ca="1" si="2"/>
        <v>8.0299999999999994</v>
      </c>
      <c r="E49" s="253">
        <f t="shared" ca="1" si="9"/>
        <v>13.865042278559089</v>
      </c>
      <c r="F49" s="257">
        <f t="shared" ca="1" si="3"/>
        <v>0</v>
      </c>
      <c r="G49" s="257">
        <f t="shared" ca="1" si="4"/>
        <v>1570.7636893646704</v>
      </c>
      <c r="H49" s="257">
        <f t="shared" ca="1" si="5"/>
        <v>1570.7636893646704</v>
      </c>
      <c r="I49" s="220">
        <f t="shared" ca="1" si="6"/>
        <v>2025</v>
      </c>
    </row>
    <row r="50" spans="1:12" x14ac:dyDescent="0.25">
      <c r="A50" s="254">
        <f t="shared" ca="1" si="15"/>
        <v>32</v>
      </c>
      <c r="B50" s="255">
        <f t="shared" ca="1" si="1"/>
        <v>46023</v>
      </c>
      <c r="C50" s="256">
        <f t="shared" ca="1" si="12"/>
        <v>21.895042278559089</v>
      </c>
      <c r="D50" s="257">
        <f t="shared" ca="1" si="2"/>
        <v>8.2200000000000006</v>
      </c>
      <c r="E50" s="253">
        <f t="shared" ca="1" si="9"/>
        <v>13.675042278559088</v>
      </c>
      <c r="F50" s="257">
        <f t="shared" ca="1" si="3"/>
        <v>0</v>
      </c>
      <c r="G50" s="257">
        <f t="shared" ca="1" si="4"/>
        <v>1557.0886470861115</v>
      </c>
      <c r="H50" s="257">
        <f t="shared" ca="1" si="5"/>
        <v>1557.0886470861115</v>
      </c>
      <c r="I50" s="220">
        <f t="shared" ca="1" si="6"/>
        <v>2026</v>
      </c>
    </row>
    <row r="51" spans="1:12" x14ac:dyDescent="0.25">
      <c r="A51" s="254">
        <f t="shared" ca="1" si="15"/>
        <v>33</v>
      </c>
      <c r="B51" s="255">
        <f t="shared" ca="1" si="1"/>
        <v>46054</v>
      </c>
      <c r="C51" s="256">
        <f t="shared" ca="1" si="12"/>
        <v>21.895042278559089</v>
      </c>
      <c r="D51" s="257">
        <f t="shared" ca="1" si="2"/>
        <v>8.15</v>
      </c>
      <c r="E51" s="253">
        <f t="shared" ca="1" si="9"/>
        <v>13.745042278559088</v>
      </c>
      <c r="F51" s="257">
        <f t="shared" ca="1" si="3"/>
        <v>0</v>
      </c>
      <c r="G51" s="257">
        <f t="shared" ca="1" si="4"/>
        <v>1543.3436048075525</v>
      </c>
      <c r="H51" s="257">
        <f t="shared" ca="1" si="5"/>
        <v>1543.3436048075525</v>
      </c>
      <c r="I51" s="220">
        <f t="shared" ca="1" si="6"/>
        <v>2026</v>
      </c>
    </row>
    <row r="52" spans="1:12" x14ac:dyDescent="0.25">
      <c r="A52" s="254">
        <f t="shared" ca="1" si="15"/>
        <v>34</v>
      </c>
      <c r="B52" s="255">
        <f t="shared" ca="1" si="1"/>
        <v>46082</v>
      </c>
      <c r="C52" s="256">
        <f t="shared" ca="1" si="12"/>
        <v>21.895042278559089</v>
      </c>
      <c r="D52" s="257">
        <f t="shared" ca="1" si="2"/>
        <v>7.3</v>
      </c>
      <c r="E52" s="253">
        <f t="shared" ca="1" si="9"/>
        <v>14.595042278559088</v>
      </c>
      <c r="F52" s="257">
        <f t="shared" ca="1" si="3"/>
        <v>0</v>
      </c>
      <c r="G52" s="257">
        <f t="shared" ca="1" si="4"/>
        <v>1528.7485625289935</v>
      </c>
      <c r="H52" s="257">
        <f t="shared" ca="1" si="5"/>
        <v>1528.7485625289935</v>
      </c>
      <c r="I52" s="220">
        <f t="shared" ca="1" si="6"/>
        <v>2026</v>
      </c>
    </row>
    <row r="53" spans="1:12" x14ac:dyDescent="0.25">
      <c r="A53" s="254">
        <f t="shared" ca="1" si="15"/>
        <v>35</v>
      </c>
      <c r="B53" s="255">
        <f t="shared" ca="1" si="1"/>
        <v>46113</v>
      </c>
      <c r="C53" s="256">
        <f t="shared" ca="1" si="12"/>
        <v>21.895042278559089</v>
      </c>
      <c r="D53" s="257">
        <f t="shared" ca="1" si="2"/>
        <v>8</v>
      </c>
      <c r="E53" s="253">
        <f t="shared" ca="1" si="9"/>
        <v>13.895042278559089</v>
      </c>
      <c r="F53" s="257">
        <f t="shared" ca="1" si="3"/>
        <v>0</v>
      </c>
      <c r="G53" s="257">
        <f t="shared" ca="1" si="4"/>
        <v>1514.8535202504345</v>
      </c>
      <c r="H53" s="257">
        <f t="shared" ca="1" si="5"/>
        <v>1514.8535202504345</v>
      </c>
      <c r="I53" s="220">
        <f t="shared" ca="1" si="6"/>
        <v>2026</v>
      </c>
    </row>
    <row r="54" spans="1:12" x14ac:dyDescent="0.25">
      <c r="A54" s="254">
        <f t="shared" ca="1" si="15"/>
        <v>36</v>
      </c>
      <c r="B54" s="255">
        <f t="shared" ca="1" si="1"/>
        <v>46143</v>
      </c>
      <c r="C54" s="256">
        <f t="shared" ca="1" si="12"/>
        <v>21.895042278559089</v>
      </c>
      <c r="D54" s="257">
        <f t="shared" ca="1" si="2"/>
        <v>7.68</v>
      </c>
      <c r="E54" s="253">
        <f t="shared" ca="1" si="9"/>
        <v>14.215042278559089</v>
      </c>
      <c r="F54" s="257">
        <f t="shared" ca="1" si="3"/>
        <v>0</v>
      </c>
      <c r="G54" s="257">
        <f t="shared" ca="1" si="4"/>
        <v>1500.6384779718755</v>
      </c>
      <c r="H54" s="257">
        <f t="shared" ca="1" si="5"/>
        <v>1500.6384779718755</v>
      </c>
      <c r="I54" s="220">
        <f t="shared" ca="1" si="6"/>
        <v>2026</v>
      </c>
      <c r="J54" s="253">
        <f ca="1">SUM(C48:C54)</f>
        <v>153.26529594991362</v>
      </c>
    </row>
    <row r="55" spans="1:12" x14ac:dyDescent="0.25">
      <c r="A55" s="254">
        <f t="shared" ca="1" si="15"/>
        <v>37</v>
      </c>
      <c r="B55" s="255">
        <f t="shared" ca="1" si="1"/>
        <v>46174</v>
      </c>
      <c r="C55" s="256">
        <f t="shared" ca="1" si="12"/>
        <v>21.895042278559089</v>
      </c>
      <c r="D55" s="257">
        <f t="shared" ca="1" si="2"/>
        <v>7.86</v>
      </c>
      <c r="E55" s="253">
        <f t="shared" ca="1" si="9"/>
        <v>14.035042278559089</v>
      </c>
      <c r="F55" s="257">
        <f t="shared" ca="1" si="3"/>
        <v>0</v>
      </c>
      <c r="G55" s="257">
        <f t="shared" ca="1" si="4"/>
        <v>1486.6034356933164</v>
      </c>
      <c r="H55" s="257">
        <f t="shared" ca="1" si="5"/>
        <v>1486.6034356933164</v>
      </c>
      <c r="I55" s="220">
        <f t="shared" ca="1" si="6"/>
        <v>2026</v>
      </c>
    </row>
    <row r="56" spans="1:12" x14ac:dyDescent="0.25">
      <c r="A56" s="254">
        <f t="shared" ca="1" si="15"/>
        <v>38</v>
      </c>
      <c r="B56" s="255">
        <f t="shared" ca="1" si="1"/>
        <v>46204</v>
      </c>
      <c r="C56" s="256">
        <f t="shared" ca="1" si="12"/>
        <v>21.895042278559089</v>
      </c>
      <c r="D56" s="257">
        <f t="shared" ca="1" si="2"/>
        <v>7.53</v>
      </c>
      <c r="E56" s="253">
        <f t="shared" ca="1" si="9"/>
        <v>14.365042278559088</v>
      </c>
      <c r="F56" s="257">
        <f t="shared" ca="1" si="3"/>
        <v>0</v>
      </c>
      <c r="G56" s="257">
        <f t="shared" ca="1" si="4"/>
        <v>1472.2383934147574</v>
      </c>
      <c r="H56" s="257">
        <f t="shared" ca="1" si="5"/>
        <v>1472.2383934147574</v>
      </c>
      <c r="I56" s="220">
        <f t="shared" ca="1" si="6"/>
        <v>2026</v>
      </c>
    </row>
    <row r="57" spans="1:12" x14ac:dyDescent="0.25">
      <c r="A57" s="254">
        <f t="shared" ca="1" si="15"/>
        <v>39</v>
      </c>
      <c r="B57" s="255">
        <f t="shared" ca="1" si="1"/>
        <v>46235</v>
      </c>
      <c r="C57" s="256">
        <f t="shared" ca="1" si="12"/>
        <v>21.895042278559089</v>
      </c>
      <c r="D57" s="257">
        <f t="shared" ca="1" si="2"/>
        <v>7.71</v>
      </c>
      <c r="E57" s="253">
        <f t="shared" ca="1" si="9"/>
        <v>14.185042278559088</v>
      </c>
      <c r="F57" s="257">
        <f t="shared" ca="1" si="3"/>
        <v>0</v>
      </c>
      <c r="G57" s="257">
        <f t="shared" ca="1" si="4"/>
        <v>1458.0533511361984</v>
      </c>
      <c r="H57" s="257">
        <f t="shared" ca="1" si="5"/>
        <v>1458.0533511361984</v>
      </c>
      <c r="I57" s="220">
        <f t="shared" ca="1" si="6"/>
        <v>2026</v>
      </c>
    </row>
    <row r="58" spans="1:12" x14ac:dyDescent="0.25">
      <c r="A58" s="254">
        <f t="shared" ca="1" si="15"/>
        <v>40</v>
      </c>
      <c r="B58" s="255">
        <f t="shared" ca="1" si="1"/>
        <v>46266</v>
      </c>
      <c r="C58" s="256">
        <f t="shared" ca="1" si="12"/>
        <v>21.895042278559089</v>
      </c>
      <c r="D58" s="257">
        <f t="shared" ca="1" si="2"/>
        <v>7.63</v>
      </c>
      <c r="E58" s="253">
        <f t="shared" ca="1" si="9"/>
        <v>14.26504227855909</v>
      </c>
      <c r="F58" s="257">
        <f t="shared" ca="1" si="3"/>
        <v>0</v>
      </c>
      <c r="G58" s="257">
        <f t="shared" ca="1" si="4"/>
        <v>1443.7883088576395</v>
      </c>
      <c r="H58" s="257">
        <f t="shared" ca="1" si="5"/>
        <v>1443.7883088576395</v>
      </c>
      <c r="I58" s="220">
        <f t="shared" ca="1" si="6"/>
        <v>2026</v>
      </c>
    </row>
    <row r="59" spans="1:12" x14ac:dyDescent="0.25">
      <c r="A59" s="254">
        <f t="shared" ca="1" si="15"/>
        <v>41</v>
      </c>
      <c r="B59" s="255">
        <f t="shared" ca="1" si="1"/>
        <v>46296</v>
      </c>
      <c r="C59" s="256">
        <f t="shared" ca="1" si="12"/>
        <v>21.895042278559089</v>
      </c>
      <c r="D59" s="257">
        <f t="shared" ca="1" si="2"/>
        <v>7.32</v>
      </c>
      <c r="E59" s="253">
        <f t="shared" ca="1" si="9"/>
        <v>14.575042278559089</v>
      </c>
      <c r="F59" s="257">
        <f t="shared" ca="1" si="3"/>
        <v>0</v>
      </c>
      <c r="G59" s="257">
        <f t="shared" ca="1" si="4"/>
        <v>1429.2132665790805</v>
      </c>
      <c r="H59" s="257">
        <f t="shared" ca="1" si="5"/>
        <v>1429.2132665790805</v>
      </c>
      <c r="I59" s="220">
        <f t="shared" ca="1" si="6"/>
        <v>2026</v>
      </c>
    </row>
    <row r="60" spans="1:12" x14ac:dyDescent="0.25">
      <c r="A60" s="254">
        <f t="shared" ca="1" si="15"/>
        <v>42</v>
      </c>
      <c r="B60" s="255">
        <f t="shared" ca="1" si="1"/>
        <v>46327</v>
      </c>
      <c r="C60" s="256">
        <f t="shared" ca="1" si="12"/>
        <v>21.895042278559089</v>
      </c>
      <c r="D60" s="257">
        <f t="shared" ca="1" si="2"/>
        <v>7.48</v>
      </c>
      <c r="E60" s="253">
        <f t="shared" ca="1" si="9"/>
        <v>14.415042278559088</v>
      </c>
      <c r="F60" s="257">
        <f t="shared" ca="1" si="3"/>
        <v>0</v>
      </c>
      <c r="G60" s="257">
        <f t="shared" ca="1" si="4"/>
        <v>1414.7982243005215</v>
      </c>
      <c r="H60" s="257">
        <f t="shared" ca="1" si="5"/>
        <v>1414.7982243005215</v>
      </c>
      <c r="I60" s="220">
        <f t="shared" ca="1" si="6"/>
        <v>2026</v>
      </c>
    </row>
    <row r="61" spans="1:12" x14ac:dyDescent="0.25">
      <c r="A61" s="254">
        <f t="shared" ca="1" si="15"/>
        <v>43</v>
      </c>
      <c r="B61" s="255">
        <f t="shared" ca="1" si="1"/>
        <v>46357</v>
      </c>
      <c r="C61" s="256">
        <f t="shared" ca="1" si="12"/>
        <v>21.895042278559089</v>
      </c>
      <c r="D61" s="257">
        <f t="shared" ca="1" si="2"/>
        <v>7.17</v>
      </c>
      <c r="E61" s="253">
        <f t="shared" ca="1" si="9"/>
        <v>14.725042278559089</v>
      </c>
      <c r="F61" s="257">
        <f t="shared" ca="1" si="3"/>
        <v>0</v>
      </c>
      <c r="G61" s="257">
        <f t="shared" ca="1" si="4"/>
        <v>1400.0731820219626</v>
      </c>
      <c r="H61" s="257">
        <f t="shared" ca="1" si="5"/>
        <v>1400.0731820219626</v>
      </c>
      <c r="I61" s="220">
        <f t="shared" ca="1" si="6"/>
        <v>2026</v>
      </c>
    </row>
    <row r="62" spans="1:12" x14ac:dyDescent="0.25">
      <c r="A62" s="254">
        <f t="shared" ca="1" si="15"/>
        <v>44</v>
      </c>
      <c r="B62" s="255">
        <f t="shared" ca="1" si="1"/>
        <v>46388</v>
      </c>
      <c r="C62" s="256">
        <f t="shared" ca="1" si="12"/>
        <v>21.895042278559089</v>
      </c>
      <c r="D62" s="257">
        <f t="shared" ca="1" si="2"/>
        <v>7.33</v>
      </c>
      <c r="E62" s="253">
        <f t="shared" ca="1" si="9"/>
        <v>14.565042278559089</v>
      </c>
      <c r="F62" s="257">
        <f t="shared" ca="1" si="3"/>
        <v>0</v>
      </c>
      <c r="G62" s="257">
        <f t="shared" ca="1" si="4"/>
        <v>1385.5081397434035</v>
      </c>
      <c r="H62" s="257">
        <f t="shared" ca="1" si="5"/>
        <v>1385.5081397434035</v>
      </c>
      <c r="I62" s="220">
        <f t="shared" ca="1" si="6"/>
        <v>2027</v>
      </c>
    </row>
    <row r="63" spans="1:12" x14ac:dyDescent="0.25">
      <c r="A63" s="254">
        <f t="shared" ca="1" si="15"/>
        <v>45</v>
      </c>
      <c r="B63" s="255">
        <f t="shared" ca="1" si="1"/>
        <v>46419</v>
      </c>
      <c r="C63" s="256">
        <f t="shared" ca="1" si="12"/>
        <v>21.895042278559089</v>
      </c>
      <c r="D63" s="257">
        <f t="shared" ca="1" si="2"/>
        <v>7.25</v>
      </c>
      <c r="E63" s="253">
        <f t="shared" ca="1" si="9"/>
        <v>14.645042278559089</v>
      </c>
      <c r="F63" s="257">
        <f t="shared" ca="1" si="3"/>
        <v>0</v>
      </c>
      <c r="G63" s="257">
        <f t="shared" ca="1" si="4"/>
        <v>1370.8630974648445</v>
      </c>
      <c r="H63" s="257">
        <f t="shared" ca="1" si="5"/>
        <v>1370.8630974648445</v>
      </c>
      <c r="I63" s="220">
        <f t="shared" ca="1" si="6"/>
        <v>2027</v>
      </c>
      <c r="K63" s="253"/>
    </row>
    <row r="64" spans="1:12" x14ac:dyDescent="0.25">
      <c r="A64" s="254">
        <f t="shared" ca="1" si="15"/>
        <v>46</v>
      </c>
      <c r="B64" s="255">
        <f t="shared" ca="1" si="1"/>
        <v>46447</v>
      </c>
      <c r="C64" s="256">
        <f t="shared" ca="1" si="12"/>
        <v>21.895042278559089</v>
      </c>
      <c r="D64" s="257">
        <f t="shared" ca="1" si="2"/>
        <v>6.48</v>
      </c>
      <c r="E64" s="253">
        <f t="shared" ca="1" si="9"/>
        <v>15.415042278559088</v>
      </c>
      <c r="F64" s="257">
        <f t="shared" ca="1" si="3"/>
        <v>0</v>
      </c>
      <c r="G64" s="257">
        <f t="shared" ca="1" si="4"/>
        <v>1355.4480551862855</v>
      </c>
      <c r="H64" s="257">
        <f t="shared" ca="1" si="5"/>
        <v>1355.4480551862855</v>
      </c>
      <c r="I64" s="220">
        <f t="shared" ca="1" si="6"/>
        <v>2027</v>
      </c>
      <c r="K64" s="260">
        <f t="shared" ref="K64:K127" ca="1" si="16">HLOOKUP(I64,$L$18:$W$24,7,0)/12</f>
        <v>0</v>
      </c>
      <c r="L64" s="253">
        <f ca="1">G62-G68</f>
        <v>90.170253671353976</v>
      </c>
    </row>
    <row r="65" spans="1:13" x14ac:dyDescent="0.25">
      <c r="A65" s="254">
        <f t="shared" ca="1" si="15"/>
        <v>47</v>
      </c>
      <c r="B65" s="255">
        <f t="shared" ca="1" si="1"/>
        <v>46478</v>
      </c>
      <c r="C65" s="256">
        <f t="shared" ca="1" si="12"/>
        <v>21.895042278559089</v>
      </c>
      <c r="D65" s="257">
        <f t="shared" ca="1" si="2"/>
        <v>7.1</v>
      </c>
      <c r="E65" s="253">
        <f t="shared" ca="1" si="9"/>
        <v>14.795042278559089</v>
      </c>
      <c r="F65" s="257">
        <f t="shared" ca="1" si="3"/>
        <v>0</v>
      </c>
      <c r="G65" s="257">
        <f t="shared" ca="1" si="4"/>
        <v>1340.6530129077264</v>
      </c>
      <c r="H65" s="257">
        <f t="shared" ca="1" si="5"/>
        <v>1340.6530129077264</v>
      </c>
      <c r="I65" s="220">
        <f t="shared" ca="1" si="6"/>
        <v>2027</v>
      </c>
      <c r="K65" s="260">
        <f t="shared" ca="1" si="16"/>
        <v>0</v>
      </c>
    </row>
    <row r="66" spans="1:13" x14ac:dyDescent="0.25">
      <c r="A66" s="254">
        <f t="shared" ca="1" si="15"/>
        <v>48</v>
      </c>
      <c r="B66" s="255">
        <f t="shared" ca="1" si="1"/>
        <v>46508</v>
      </c>
      <c r="C66" s="256">
        <f t="shared" ca="1" si="12"/>
        <v>21.895042278559089</v>
      </c>
      <c r="D66" s="257">
        <f t="shared" ca="1" si="2"/>
        <v>6.79</v>
      </c>
      <c r="E66" s="253">
        <f t="shared" ca="1" si="9"/>
        <v>15.10504227855909</v>
      </c>
      <c r="F66" s="257">
        <f t="shared" ca="1" si="3"/>
        <v>0</v>
      </c>
      <c r="G66" s="257">
        <f t="shared" ca="1" si="4"/>
        <v>1325.5479706291674</v>
      </c>
      <c r="H66" s="257">
        <f t="shared" ca="1" si="5"/>
        <v>1325.5479706291674</v>
      </c>
      <c r="I66" s="220">
        <f t="shared" ca="1" si="6"/>
        <v>2027</v>
      </c>
      <c r="K66" s="260">
        <f t="shared" ca="1" si="16"/>
        <v>0</v>
      </c>
    </row>
    <row r="67" spans="1:13" x14ac:dyDescent="0.25">
      <c r="A67" s="254">
        <f t="shared" ca="1" si="15"/>
        <v>49</v>
      </c>
      <c r="B67" s="255">
        <f t="shared" ca="1" si="1"/>
        <v>46539</v>
      </c>
      <c r="C67" s="256">
        <f t="shared" ca="1" si="12"/>
        <v>21.895042278559089</v>
      </c>
      <c r="D67" s="257">
        <f t="shared" ca="1" si="2"/>
        <v>6.94</v>
      </c>
      <c r="E67" s="253">
        <f t="shared" ca="1" si="9"/>
        <v>14.955042278559088</v>
      </c>
      <c r="F67" s="257">
        <f t="shared" ca="1" si="3"/>
        <v>0</v>
      </c>
      <c r="G67" s="257">
        <f t="shared" ca="1" si="4"/>
        <v>1310.5929283506084</v>
      </c>
      <c r="H67" s="257">
        <f t="shared" ca="1" si="5"/>
        <v>1310.5929283506084</v>
      </c>
      <c r="I67" s="220">
        <f t="shared" ca="1" si="6"/>
        <v>2027</v>
      </c>
      <c r="K67" s="260">
        <f t="shared" ca="1" si="16"/>
        <v>0</v>
      </c>
    </row>
    <row r="68" spans="1:13" x14ac:dyDescent="0.25">
      <c r="A68" s="254">
        <f t="shared" ca="1" si="15"/>
        <v>50</v>
      </c>
      <c r="B68" s="255">
        <f t="shared" ca="1" si="1"/>
        <v>46569</v>
      </c>
      <c r="C68" s="256">
        <f t="shared" ca="1" si="12"/>
        <v>21.895042278559089</v>
      </c>
      <c r="D68" s="257">
        <f t="shared" ca="1" si="2"/>
        <v>6.64</v>
      </c>
      <c r="E68" s="253">
        <f t="shared" ca="1" si="9"/>
        <v>15.255042278559088</v>
      </c>
      <c r="F68" s="257">
        <f t="shared" ca="1" si="3"/>
        <v>0</v>
      </c>
      <c r="G68" s="257">
        <f t="shared" ca="1" si="4"/>
        <v>1295.3378860720495</v>
      </c>
      <c r="H68" s="257">
        <f t="shared" ca="1" si="5"/>
        <v>1295.3378860720495</v>
      </c>
      <c r="I68" s="220">
        <f t="shared" ca="1" si="6"/>
        <v>2027</v>
      </c>
      <c r="K68" s="260">
        <f t="shared" ca="1" si="16"/>
        <v>0</v>
      </c>
      <c r="L68" s="253">
        <f ca="1">G68-G74</f>
        <v>92.310253671353848</v>
      </c>
      <c r="M68" s="247">
        <f ca="1">L22-L64</f>
        <v>-90.170253671353976</v>
      </c>
    </row>
    <row r="69" spans="1:13" x14ac:dyDescent="0.25">
      <c r="A69" s="254">
        <f t="shared" ca="1" si="15"/>
        <v>51</v>
      </c>
      <c r="B69" s="255">
        <f t="shared" ca="1" si="1"/>
        <v>46600</v>
      </c>
      <c r="C69" s="256">
        <f t="shared" ca="1" si="12"/>
        <v>21.895042278559089</v>
      </c>
      <c r="D69" s="257">
        <f t="shared" ca="1" si="2"/>
        <v>6.78</v>
      </c>
      <c r="E69" s="253">
        <f t="shared" ca="1" si="9"/>
        <v>15.115042278559088</v>
      </c>
      <c r="F69" s="257">
        <f t="shared" ca="1" si="3"/>
        <v>0</v>
      </c>
      <c r="G69" s="257">
        <f t="shared" ca="1" si="4"/>
        <v>1280.2228437934905</v>
      </c>
      <c r="H69" s="257">
        <f t="shared" ca="1" si="5"/>
        <v>1280.2228437934905</v>
      </c>
      <c r="I69" s="220">
        <f t="shared" ca="1" si="6"/>
        <v>2027</v>
      </c>
      <c r="K69" s="260">
        <f t="shared" ca="1" si="16"/>
        <v>0</v>
      </c>
      <c r="L69" s="253">
        <f ca="1">L68+L64</f>
        <v>182.48050734270782</v>
      </c>
    </row>
    <row r="70" spans="1:13" x14ac:dyDescent="0.25">
      <c r="A70" s="254">
        <f t="shared" ca="1" si="15"/>
        <v>52</v>
      </c>
      <c r="B70" s="255">
        <f t="shared" ca="1" si="1"/>
        <v>46631</v>
      </c>
      <c r="C70" s="256">
        <f t="shared" ca="1" si="12"/>
        <v>21.895042278559089</v>
      </c>
      <c r="D70" s="257">
        <f t="shared" ca="1" si="2"/>
        <v>6.7</v>
      </c>
      <c r="E70" s="253">
        <f t="shared" ca="1" si="9"/>
        <v>15.19504227855909</v>
      </c>
      <c r="F70" s="257">
        <f t="shared" ca="1" si="3"/>
        <v>0</v>
      </c>
      <c r="G70" s="257">
        <f t="shared" ca="1" si="4"/>
        <v>1265.0278015149315</v>
      </c>
      <c r="H70" s="257">
        <f t="shared" ca="1" si="5"/>
        <v>1265.0278015149315</v>
      </c>
      <c r="I70" s="220">
        <f t="shared" ca="1" si="6"/>
        <v>2027</v>
      </c>
      <c r="K70" s="260">
        <f t="shared" ca="1" si="16"/>
        <v>0</v>
      </c>
    </row>
    <row r="71" spans="1:13" x14ac:dyDescent="0.25">
      <c r="A71" s="254">
        <f t="shared" ca="1" si="15"/>
        <v>53</v>
      </c>
      <c r="B71" s="255">
        <f t="shared" ca="1" si="1"/>
        <v>46661</v>
      </c>
      <c r="C71" s="256">
        <f t="shared" ca="1" si="12"/>
        <v>21.895042278559089</v>
      </c>
      <c r="D71" s="257">
        <f t="shared" ca="1" si="2"/>
        <v>6.41</v>
      </c>
      <c r="E71" s="253">
        <f t="shared" ca="1" si="9"/>
        <v>15.485042278559089</v>
      </c>
      <c r="F71" s="257">
        <f t="shared" ca="1" si="3"/>
        <v>0</v>
      </c>
      <c r="G71" s="257">
        <f t="shared" ca="1" si="4"/>
        <v>1249.5427592363726</v>
      </c>
      <c r="H71" s="257">
        <f t="shared" ca="1" si="5"/>
        <v>1249.5427592363726</v>
      </c>
      <c r="I71" s="220">
        <f t="shared" ca="1" si="6"/>
        <v>2027</v>
      </c>
      <c r="K71" s="260">
        <f t="shared" ca="1" si="16"/>
        <v>0</v>
      </c>
    </row>
    <row r="72" spans="1:13" x14ac:dyDescent="0.25">
      <c r="A72" s="254">
        <f t="shared" ca="1" si="15"/>
        <v>54</v>
      </c>
      <c r="B72" s="255">
        <f t="shared" ca="1" si="1"/>
        <v>46692</v>
      </c>
      <c r="C72" s="256">
        <f t="shared" ca="1" si="12"/>
        <v>21.895042278559089</v>
      </c>
      <c r="D72" s="257">
        <f t="shared" ca="1" si="2"/>
        <v>6.54</v>
      </c>
      <c r="E72" s="253">
        <f t="shared" ca="1" si="9"/>
        <v>15.35504227855909</v>
      </c>
      <c r="F72" s="257">
        <f t="shared" ca="1" si="3"/>
        <v>0</v>
      </c>
      <c r="G72" s="257">
        <f t="shared" ca="1" si="4"/>
        <v>1234.1877169578136</v>
      </c>
      <c r="H72" s="257">
        <f t="shared" ca="1" si="5"/>
        <v>1234.1877169578136</v>
      </c>
      <c r="I72" s="220">
        <f t="shared" ca="1" si="6"/>
        <v>2027</v>
      </c>
      <c r="K72" s="260">
        <f t="shared" ca="1" si="16"/>
        <v>0</v>
      </c>
    </row>
    <row r="73" spans="1:13" x14ac:dyDescent="0.25">
      <c r="A73" s="254">
        <f t="shared" ca="1" si="15"/>
        <v>55</v>
      </c>
      <c r="B73" s="255">
        <f t="shared" ca="1" si="1"/>
        <v>46722</v>
      </c>
      <c r="C73" s="256">
        <f t="shared" ca="1" si="12"/>
        <v>21.895042278559089</v>
      </c>
      <c r="D73" s="257">
        <f t="shared" ca="1" si="2"/>
        <v>6.25</v>
      </c>
      <c r="E73" s="253">
        <f t="shared" ca="1" si="9"/>
        <v>15.645042278559089</v>
      </c>
      <c r="F73" s="257">
        <f t="shared" ca="1" si="3"/>
        <v>0</v>
      </c>
      <c r="G73" s="257">
        <f t="shared" ca="1" si="4"/>
        <v>1218.5426746792546</v>
      </c>
      <c r="H73" s="257">
        <f t="shared" ca="1" si="5"/>
        <v>1218.5426746792546</v>
      </c>
      <c r="I73" s="220">
        <f t="shared" ca="1" si="6"/>
        <v>2027</v>
      </c>
      <c r="K73" s="260">
        <f t="shared" ca="1" si="16"/>
        <v>0</v>
      </c>
    </row>
    <row r="74" spans="1:13" x14ac:dyDescent="0.25">
      <c r="A74" s="254">
        <f t="shared" ca="1" si="15"/>
        <v>56</v>
      </c>
      <c r="B74" s="255">
        <f t="shared" ca="1" si="1"/>
        <v>46753</v>
      </c>
      <c r="C74" s="256">
        <f t="shared" ca="1" si="12"/>
        <v>21.895042278559089</v>
      </c>
      <c r="D74" s="257">
        <f t="shared" ca="1" si="2"/>
        <v>6.38</v>
      </c>
      <c r="E74" s="253">
        <f t="shared" ca="1" si="9"/>
        <v>15.51504227855909</v>
      </c>
      <c r="F74" s="257">
        <f t="shared" ca="1" si="3"/>
        <v>0</v>
      </c>
      <c r="G74" s="257">
        <f t="shared" ca="1" si="4"/>
        <v>1203.0276324006957</v>
      </c>
      <c r="H74" s="257">
        <f t="shared" ca="1" si="5"/>
        <v>1203.0276324006957</v>
      </c>
      <c r="I74" s="220">
        <f t="shared" ca="1" si="6"/>
        <v>2028</v>
      </c>
      <c r="K74" s="260">
        <f t="shared" ca="1" si="16"/>
        <v>0</v>
      </c>
    </row>
    <row r="75" spans="1:13" x14ac:dyDescent="0.25">
      <c r="A75" s="254">
        <f t="shared" ca="1" si="15"/>
        <v>57</v>
      </c>
      <c r="B75" s="255">
        <f t="shared" ca="1" si="1"/>
        <v>46784</v>
      </c>
      <c r="C75" s="256">
        <f t="shared" ca="1" si="12"/>
        <v>21.895042278559089</v>
      </c>
      <c r="D75" s="257">
        <f t="shared" ca="1" si="2"/>
        <v>6.3</v>
      </c>
      <c r="E75" s="253">
        <f t="shared" ca="1" si="9"/>
        <v>15.595042278559088</v>
      </c>
      <c r="F75" s="257">
        <f t="shared" ca="1" si="3"/>
        <v>0</v>
      </c>
      <c r="G75" s="257">
        <f t="shared" ca="1" si="4"/>
        <v>1187.4325901221366</v>
      </c>
      <c r="H75" s="257">
        <f t="shared" ca="1" si="5"/>
        <v>1187.4325901221366</v>
      </c>
      <c r="I75" s="220">
        <f t="shared" ca="1" si="6"/>
        <v>2028</v>
      </c>
      <c r="K75" s="260">
        <f t="shared" ca="1" si="16"/>
        <v>0</v>
      </c>
    </row>
    <row r="76" spans="1:13" x14ac:dyDescent="0.25">
      <c r="A76" s="254">
        <f t="shared" ca="1" si="15"/>
        <v>58</v>
      </c>
      <c r="B76" s="255">
        <f t="shared" ca="1" si="1"/>
        <v>46813</v>
      </c>
      <c r="C76" s="256">
        <f t="shared" ca="1" si="12"/>
        <v>21.895042278559089</v>
      </c>
      <c r="D76" s="257">
        <f t="shared" ca="1" si="2"/>
        <v>5.82</v>
      </c>
      <c r="E76" s="253">
        <f t="shared" ca="1" si="9"/>
        <v>16.075042278559089</v>
      </c>
      <c r="F76" s="257">
        <f t="shared" ca="1" si="3"/>
        <v>0</v>
      </c>
      <c r="G76" s="257">
        <f t="shared" ca="1" si="4"/>
        <v>1171.3575478435775</v>
      </c>
      <c r="H76" s="257">
        <f t="shared" ca="1" si="5"/>
        <v>1171.3575478435775</v>
      </c>
      <c r="I76" s="220">
        <f t="shared" ca="1" si="6"/>
        <v>2028</v>
      </c>
      <c r="K76" s="260">
        <f t="shared" ca="1" si="16"/>
        <v>0</v>
      </c>
    </row>
    <row r="77" spans="1:13" x14ac:dyDescent="0.25">
      <c r="A77" s="254">
        <f t="shared" ca="1" si="15"/>
        <v>59</v>
      </c>
      <c r="B77" s="255">
        <f t="shared" ca="1" si="1"/>
        <v>46844</v>
      </c>
      <c r="C77" s="256">
        <f t="shared" ca="1" si="12"/>
        <v>21.895042278559089</v>
      </c>
      <c r="D77" s="257">
        <f t="shared" ca="1" si="2"/>
        <v>6.13</v>
      </c>
      <c r="E77" s="253">
        <f t="shared" ca="1" si="9"/>
        <v>15.76504227855909</v>
      </c>
      <c r="F77" s="257">
        <f t="shared" ca="1" si="3"/>
        <v>0</v>
      </c>
      <c r="G77" s="257">
        <f t="shared" ca="1" si="4"/>
        <v>1155.5925055650187</v>
      </c>
      <c r="H77" s="257">
        <f t="shared" ca="1" si="5"/>
        <v>1155.5925055650187</v>
      </c>
      <c r="I77" s="220">
        <f t="shared" ca="1" si="6"/>
        <v>2028</v>
      </c>
      <c r="K77" s="260">
        <f t="shared" ca="1" si="16"/>
        <v>0</v>
      </c>
    </row>
    <row r="78" spans="1:13" x14ac:dyDescent="0.25">
      <c r="A78" s="254">
        <f t="shared" ca="1" si="15"/>
        <v>60</v>
      </c>
      <c r="B78" s="255">
        <f t="shared" ca="1" si="1"/>
        <v>46874</v>
      </c>
      <c r="C78" s="256">
        <f t="shared" ca="1" si="12"/>
        <v>21.895042278559089</v>
      </c>
      <c r="D78" s="257">
        <f t="shared" ca="1" si="2"/>
        <v>5.86</v>
      </c>
      <c r="E78" s="253">
        <f t="shared" ca="1" si="9"/>
        <v>16.035042278559089</v>
      </c>
      <c r="F78" s="257">
        <f t="shared" ca="1" si="3"/>
        <v>0</v>
      </c>
      <c r="G78" s="257">
        <f t="shared" ca="1" si="4"/>
        <v>1139.5574632864596</v>
      </c>
      <c r="H78" s="257">
        <f t="shared" ca="1" si="5"/>
        <v>1139.5574632864596</v>
      </c>
      <c r="I78" s="220">
        <f t="shared" ca="1" si="6"/>
        <v>2028</v>
      </c>
      <c r="K78" s="260">
        <f t="shared" ca="1" si="16"/>
        <v>0</v>
      </c>
    </row>
    <row r="79" spans="1:13" x14ac:dyDescent="0.25">
      <c r="A79" s="254">
        <f t="shared" ca="1" si="15"/>
        <v>61</v>
      </c>
      <c r="B79" s="255">
        <f t="shared" ca="1" si="1"/>
        <v>46905</v>
      </c>
      <c r="C79" s="256">
        <f t="shared" ca="1" si="12"/>
        <v>21.895042278559089</v>
      </c>
      <c r="D79" s="257">
        <f t="shared" ca="1" si="2"/>
        <v>5.97</v>
      </c>
      <c r="E79" s="253">
        <f t="shared" ca="1" si="9"/>
        <v>15.92504227855909</v>
      </c>
      <c r="F79" s="257">
        <f t="shared" ca="1" si="3"/>
        <v>0</v>
      </c>
      <c r="G79" s="257">
        <f t="shared" ca="1" si="4"/>
        <v>1123.6324210079006</v>
      </c>
      <c r="H79" s="257">
        <f t="shared" ca="1" si="5"/>
        <v>1123.6324210079006</v>
      </c>
      <c r="I79" s="220">
        <f t="shared" ca="1" si="6"/>
        <v>2028</v>
      </c>
      <c r="K79" s="260">
        <f t="shared" ca="1" si="16"/>
        <v>0</v>
      </c>
    </row>
    <row r="80" spans="1:13" x14ac:dyDescent="0.25">
      <c r="A80" s="254">
        <f t="shared" ca="1" si="15"/>
        <v>62</v>
      </c>
      <c r="B80" s="255">
        <f t="shared" ca="1" si="1"/>
        <v>46935</v>
      </c>
      <c r="C80" s="256">
        <f t="shared" ca="1" si="12"/>
        <v>21.895042278559089</v>
      </c>
      <c r="D80" s="257">
        <f t="shared" ca="1" si="2"/>
        <v>5.69</v>
      </c>
      <c r="E80" s="253">
        <f t="shared" ca="1" si="9"/>
        <v>16.205042278559088</v>
      </c>
      <c r="F80" s="257">
        <f t="shared" ca="1" si="3"/>
        <v>0</v>
      </c>
      <c r="G80" s="257">
        <f t="shared" ca="1" si="4"/>
        <v>1107.4273787293416</v>
      </c>
      <c r="H80" s="257">
        <f t="shared" ca="1" si="5"/>
        <v>1107.4273787293416</v>
      </c>
      <c r="I80" s="220">
        <f t="shared" ca="1" si="6"/>
        <v>2028</v>
      </c>
      <c r="K80" s="260">
        <f t="shared" ca="1" si="16"/>
        <v>0</v>
      </c>
    </row>
    <row r="81" spans="1:11" x14ac:dyDescent="0.25">
      <c r="A81" s="254">
        <f t="shared" ca="1" si="15"/>
        <v>63</v>
      </c>
      <c r="B81" s="255">
        <f t="shared" ca="1" si="1"/>
        <v>46966</v>
      </c>
      <c r="C81" s="256">
        <f t="shared" ca="1" si="12"/>
        <v>21.895042278559089</v>
      </c>
      <c r="D81" s="257">
        <f t="shared" ca="1" si="2"/>
        <v>5.8</v>
      </c>
      <c r="E81" s="253">
        <f t="shared" ca="1" si="9"/>
        <v>16.095042278559088</v>
      </c>
      <c r="F81" s="257">
        <f t="shared" ca="1" si="3"/>
        <v>0</v>
      </c>
      <c r="G81" s="257">
        <f t="shared" ca="1" si="4"/>
        <v>1091.3323364507826</v>
      </c>
      <c r="H81" s="257">
        <f t="shared" ca="1" si="5"/>
        <v>1091.3323364507826</v>
      </c>
      <c r="I81" s="220">
        <f t="shared" ca="1" si="6"/>
        <v>2028</v>
      </c>
      <c r="K81" s="260">
        <f t="shared" ca="1" si="16"/>
        <v>0</v>
      </c>
    </row>
    <row r="82" spans="1:11" x14ac:dyDescent="0.25">
      <c r="A82" s="254">
        <f t="shared" ca="1" si="15"/>
        <v>64</v>
      </c>
      <c r="B82" s="255">
        <f t="shared" ca="1" si="1"/>
        <v>46997</v>
      </c>
      <c r="C82" s="256">
        <f t="shared" ca="1" si="12"/>
        <v>21.895042278559089</v>
      </c>
      <c r="D82" s="257">
        <f t="shared" ca="1" si="2"/>
        <v>5.71</v>
      </c>
      <c r="E82" s="253">
        <f t="shared" ca="1" si="9"/>
        <v>16.185042278559088</v>
      </c>
      <c r="F82" s="257">
        <f t="shared" ca="1" si="3"/>
        <v>0</v>
      </c>
      <c r="G82" s="257">
        <f t="shared" ca="1" si="4"/>
        <v>1075.1472941722236</v>
      </c>
      <c r="H82" s="257">
        <f t="shared" ca="1" si="5"/>
        <v>1075.1472941722236</v>
      </c>
      <c r="I82" s="220">
        <f t="shared" ca="1" si="6"/>
        <v>2028</v>
      </c>
      <c r="K82" s="260">
        <f t="shared" ca="1" si="16"/>
        <v>0</v>
      </c>
    </row>
    <row r="83" spans="1:11" x14ac:dyDescent="0.25">
      <c r="A83" s="254">
        <f t="shared" ca="1" si="15"/>
        <v>65</v>
      </c>
      <c r="B83" s="255">
        <f t="shared" ref="B83:B138" ca="1" si="17">IF(A83&lt;$H$10+1,DATE(YEAR(B82),MONTH(B82)+1,1),"")</f>
        <v>47027</v>
      </c>
      <c r="C83" s="256">
        <f t="shared" ca="1" si="12"/>
        <v>21.895042278559089</v>
      </c>
      <c r="D83" s="257">
        <f t="shared" ref="D83:D146" ca="1" si="18">IF(B83="","",ROUND((B83-B82)*$H$9*G82,2))</f>
        <v>5.45</v>
      </c>
      <c r="E83" s="253">
        <f t="shared" ca="1" si="9"/>
        <v>16.44504227855909</v>
      </c>
      <c r="F83" s="257">
        <f t="shared" ref="F83:F146" ca="1" si="19">IF(B83="","",IF(C83&gt;F82+D83,0,F82+D83-C83))</f>
        <v>0</v>
      </c>
      <c r="G83" s="257">
        <f t="shared" ref="G83:G146" ca="1" si="20">IF(B83="","",IF(C83&gt;D83+F82,G82+F82+D83-C83,G82))</f>
        <v>1058.7022518936647</v>
      </c>
      <c r="H83" s="257">
        <f t="shared" ref="H83:H146" ca="1" si="21">IF(B83="","",G83+F83)</f>
        <v>1058.7022518936647</v>
      </c>
      <c r="I83" s="220">
        <f t="shared" ref="I83:I138" ca="1" si="22">YEAR(B83)</f>
        <v>2028</v>
      </c>
      <c r="K83" s="260">
        <f t="shared" ca="1" si="16"/>
        <v>0</v>
      </c>
    </row>
    <row r="84" spans="1:11" x14ac:dyDescent="0.25">
      <c r="A84" s="254">
        <f t="shared" ca="1" si="15"/>
        <v>66</v>
      </c>
      <c r="B84" s="255">
        <f t="shared" ca="1" si="17"/>
        <v>47058</v>
      </c>
      <c r="C84" s="256">
        <f t="shared" ca="1" si="12"/>
        <v>21.895042278559089</v>
      </c>
      <c r="D84" s="257">
        <f t="shared" ca="1" si="18"/>
        <v>5.54</v>
      </c>
      <c r="E84" s="253">
        <f t="shared" ref="E84:E138" ca="1" si="23">C84-D84</f>
        <v>16.35504227855909</v>
      </c>
      <c r="F84" s="257">
        <f t="shared" ca="1" si="19"/>
        <v>0</v>
      </c>
      <c r="G84" s="257">
        <f t="shared" ca="1" si="20"/>
        <v>1042.3472096151056</v>
      </c>
      <c r="H84" s="257">
        <f t="shared" ca="1" si="21"/>
        <v>1042.3472096151056</v>
      </c>
      <c r="I84" s="220">
        <f t="shared" ca="1" si="22"/>
        <v>2028</v>
      </c>
      <c r="K84" s="260">
        <f t="shared" ca="1" si="16"/>
        <v>0</v>
      </c>
    </row>
    <row r="85" spans="1:11" x14ac:dyDescent="0.25">
      <c r="A85" s="254">
        <f t="shared" ca="1" si="15"/>
        <v>67</v>
      </c>
      <c r="B85" s="255">
        <f t="shared" ca="1" si="17"/>
        <v>47088</v>
      </c>
      <c r="C85" s="256">
        <f t="shared" ca="1" si="12"/>
        <v>21.895042278559089</v>
      </c>
      <c r="D85" s="257">
        <f t="shared" ca="1" si="18"/>
        <v>5.28</v>
      </c>
      <c r="E85" s="253">
        <f t="shared" ca="1" si="23"/>
        <v>16.615042278559088</v>
      </c>
      <c r="F85" s="257">
        <f t="shared" ca="1" si="19"/>
        <v>0</v>
      </c>
      <c r="G85" s="257">
        <f t="shared" ca="1" si="20"/>
        <v>1025.7321673365466</v>
      </c>
      <c r="H85" s="257">
        <f t="shared" ca="1" si="21"/>
        <v>1025.7321673365466</v>
      </c>
      <c r="I85" s="220">
        <f t="shared" ca="1" si="22"/>
        <v>2028</v>
      </c>
      <c r="K85" s="260">
        <f t="shared" ca="1" si="16"/>
        <v>0</v>
      </c>
    </row>
    <row r="86" spans="1:11" x14ac:dyDescent="0.25">
      <c r="A86" s="254">
        <f t="shared" ca="1" si="15"/>
        <v>68</v>
      </c>
      <c r="B86" s="255">
        <f t="shared" ca="1" si="17"/>
        <v>47119</v>
      </c>
      <c r="C86" s="256">
        <f t="shared" ref="C86:C138" ca="1" si="24">IF(A86&lt;$H$13,C85,IF(A86=$H$13,D86+G85,""))</f>
        <v>21.895042278559089</v>
      </c>
      <c r="D86" s="257">
        <f t="shared" ca="1" si="18"/>
        <v>5.37</v>
      </c>
      <c r="E86" s="253">
        <f t="shared" ca="1" si="23"/>
        <v>16.525042278559088</v>
      </c>
      <c r="F86" s="257">
        <f t="shared" ca="1" si="19"/>
        <v>0</v>
      </c>
      <c r="G86" s="257">
        <f t="shared" ca="1" si="20"/>
        <v>1009.2071250579874</v>
      </c>
      <c r="H86" s="257">
        <f t="shared" ca="1" si="21"/>
        <v>1009.2071250579874</v>
      </c>
      <c r="I86" s="220">
        <f t="shared" ca="1" si="22"/>
        <v>2029</v>
      </c>
      <c r="K86" s="260">
        <f t="shared" ca="1" si="16"/>
        <v>0</v>
      </c>
    </row>
    <row r="87" spans="1:11" x14ac:dyDescent="0.25">
      <c r="A87" s="254">
        <f t="shared" ca="1" si="15"/>
        <v>69</v>
      </c>
      <c r="B87" s="255">
        <f t="shared" ca="1" si="17"/>
        <v>47150</v>
      </c>
      <c r="C87" s="256">
        <f t="shared" ca="1" si="24"/>
        <v>21.895042278559089</v>
      </c>
      <c r="D87" s="257">
        <f t="shared" ca="1" si="18"/>
        <v>5.28</v>
      </c>
      <c r="E87" s="253">
        <f t="shared" ca="1" si="23"/>
        <v>16.615042278559088</v>
      </c>
      <c r="F87" s="257">
        <f t="shared" ca="1" si="19"/>
        <v>0</v>
      </c>
      <c r="G87" s="257">
        <f t="shared" ca="1" si="20"/>
        <v>992.59208277942821</v>
      </c>
      <c r="H87" s="257">
        <f t="shared" ca="1" si="21"/>
        <v>992.59208277942821</v>
      </c>
      <c r="I87" s="220">
        <f t="shared" ca="1" si="22"/>
        <v>2029</v>
      </c>
      <c r="K87" s="260">
        <f t="shared" ca="1" si="16"/>
        <v>0</v>
      </c>
    </row>
    <row r="88" spans="1:11" x14ac:dyDescent="0.25">
      <c r="A88" s="254">
        <f t="shared" ca="1" si="15"/>
        <v>70</v>
      </c>
      <c r="B88" s="255">
        <f t="shared" ca="1" si="17"/>
        <v>47178</v>
      </c>
      <c r="C88" s="256">
        <f t="shared" ca="1" si="24"/>
        <v>21.895042278559089</v>
      </c>
      <c r="D88" s="257">
        <f t="shared" ca="1" si="18"/>
        <v>4.6900000000000004</v>
      </c>
      <c r="E88" s="253">
        <f t="shared" ca="1" si="23"/>
        <v>17.205042278559088</v>
      </c>
      <c r="F88" s="257">
        <f t="shared" ca="1" si="19"/>
        <v>0</v>
      </c>
      <c r="G88" s="257">
        <f t="shared" ca="1" si="20"/>
        <v>975.38704050086915</v>
      </c>
      <c r="H88" s="257">
        <f t="shared" ca="1" si="21"/>
        <v>975.38704050086915</v>
      </c>
      <c r="I88" s="220">
        <f t="shared" ca="1" si="22"/>
        <v>2029</v>
      </c>
      <c r="K88" s="260">
        <f t="shared" ca="1" si="16"/>
        <v>0</v>
      </c>
    </row>
    <row r="89" spans="1:11" x14ac:dyDescent="0.25">
      <c r="A89" s="254">
        <f t="shared" ca="1" si="15"/>
        <v>71</v>
      </c>
      <c r="B89" s="255">
        <f t="shared" ca="1" si="17"/>
        <v>47209</v>
      </c>
      <c r="C89" s="256">
        <f t="shared" ca="1" si="24"/>
        <v>21.895042278559089</v>
      </c>
      <c r="D89" s="257">
        <f t="shared" ca="1" si="18"/>
        <v>5.1100000000000003</v>
      </c>
      <c r="E89" s="253">
        <f t="shared" ca="1" si="23"/>
        <v>16.785042278559089</v>
      </c>
      <c r="F89" s="257">
        <f t="shared" ca="1" si="19"/>
        <v>0</v>
      </c>
      <c r="G89" s="257">
        <f t="shared" ca="1" si="20"/>
        <v>958.60199822231004</v>
      </c>
      <c r="H89" s="257">
        <f t="shared" ca="1" si="21"/>
        <v>958.60199822231004</v>
      </c>
      <c r="I89" s="220">
        <f t="shared" ca="1" si="22"/>
        <v>2029</v>
      </c>
      <c r="K89" s="260">
        <f t="shared" ca="1" si="16"/>
        <v>0</v>
      </c>
    </row>
    <row r="90" spans="1:11" x14ac:dyDescent="0.25">
      <c r="A90" s="254">
        <f t="shared" ca="1" si="15"/>
        <v>72</v>
      </c>
      <c r="B90" s="255">
        <f t="shared" ca="1" si="17"/>
        <v>47239</v>
      </c>
      <c r="C90" s="256">
        <f t="shared" ca="1" si="24"/>
        <v>21.895042278559089</v>
      </c>
      <c r="D90" s="257">
        <f t="shared" ca="1" si="18"/>
        <v>4.8600000000000003</v>
      </c>
      <c r="E90" s="253">
        <f t="shared" ca="1" si="23"/>
        <v>17.035042278559089</v>
      </c>
      <c r="F90" s="257">
        <f t="shared" ca="1" si="19"/>
        <v>0</v>
      </c>
      <c r="G90" s="257">
        <f t="shared" ca="1" si="20"/>
        <v>941.56695594375094</v>
      </c>
      <c r="H90" s="257">
        <f t="shared" ca="1" si="21"/>
        <v>941.56695594375094</v>
      </c>
      <c r="I90" s="220">
        <f t="shared" ca="1" si="22"/>
        <v>2029</v>
      </c>
      <c r="K90" s="260">
        <f t="shared" ca="1" si="16"/>
        <v>0</v>
      </c>
    </row>
    <row r="91" spans="1:11" x14ac:dyDescent="0.25">
      <c r="A91" s="254">
        <f t="shared" ca="1" si="15"/>
        <v>73</v>
      </c>
      <c r="B91" s="255">
        <f t="shared" ca="1" si="17"/>
        <v>47270</v>
      </c>
      <c r="C91" s="256">
        <f t="shared" ca="1" si="24"/>
        <v>21.895042278559089</v>
      </c>
      <c r="D91" s="257">
        <f t="shared" ca="1" si="18"/>
        <v>4.93</v>
      </c>
      <c r="E91" s="253">
        <f t="shared" ca="1" si="23"/>
        <v>16.965042278559089</v>
      </c>
      <c r="F91" s="257">
        <f t="shared" ca="1" si="19"/>
        <v>0</v>
      </c>
      <c r="G91" s="257">
        <f t="shared" ca="1" si="20"/>
        <v>924.60191366519177</v>
      </c>
      <c r="H91" s="257">
        <f t="shared" ca="1" si="21"/>
        <v>924.60191366519177</v>
      </c>
      <c r="I91" s="220">
        <f t="shared" ca="1" si="22"/>
        <v>2029</v>
      </c>
      <c r="K91" s="260">
        <f t="shared" ca="1" si="16"/>
        <v>0</v>
      </c>
    </row>
    <row r="92" spans="1:11" x14ac:dyDescent="0.25">
      <c r="A92" s="254">
        <f t="shared" ca="1" si="15"/>
        <v>74</v>
      </c>
      <c r="B92" s="255">
        <f t="shared" ca="1" si="17"/>
        <v>47300</v>
      </c>
      <c r="C92" s="256">
        <f t="shared" ca="1" si="24"/>
        <v>21.895042278559089</v>
      </c>
      <c r="D92" s="257">
        <f t="shared" ca="1" si="18"/>
        <v>4.68</v>
      </c>
      <c r="E92" s="253">
        <f t="shared" ca="1" si="23"/>
        <v>17.215042278559089</v>
      </c>
      <c r="F92" s="257">
        <f t="shared" ca="1" si="19"/>
        <v>0</v>
      </c>
      <c r="G92" s="257">
        <f t="shared" ca="1" si="20"/>
        <v>907.38687138663261</v>
      </c>
      <c r="H92" s="257">
        <f t="shared" ca="1" si="21"/>
        <v>907.38687138663261</v>
      </c>
      <c r="I92" s="220">
        <f t="shared" ca="1" si="22"/>
        <v>2029</v>
      </c>
      <c r="K92" s="260">
        <f t="shared" ca="1" si="16"/>
        <v>0</v>
      </c>
    </row>
    <row r="93" spans="1:11" x14ac:dyDescent="0.25">
      <c r="A93" s="254">
        <f t="shared" ca="1" si="15"/>
        <v>75</v>
      </c>
      <c r="B93" s="255">
        <f t="shared" ca="1" si="17"/>
        <v>47331</v>
      </c>
      <c r="C93" s="256">
        <f t="shared" ca="1" si="24"/>
        <v>21.895042278559089</v>
      </c>
      <c r="D93" s="257">
        <f t="shared" ca="1" si="18"/>
        <v>4.75</v>
      </c>
      <c r="E93" s="253">
        <f t="shared" ca="1" si="23"/>
        <v>17.145042278559089</v>
      </c>
      <c r="F93" s="257">
        <f t="shared" ca="1" si="19"/>
        <v>0</v>
      </c>
      <c r="G93" s="257">
        <f t="shared" ca="1" si="20"/>
        <v>890.24182910807349</v>
      </c>
      <c r="H93" s="257">
        <f t="shared" ca="1" si="21"/>
        <v>890.24182910807349</v>
      </c>
      <c r="I93" s="220">
        <f t="shared" ca="1" si="22"/>
        <v>2029</v>
      </c>
      <c r="K93" s="260">
        <f t="shared" ca="1" si="16"/>
        <v>0</v>
      </c>
    </row>
    <row r="94" spans="1:11" x14ac:dyDescent="0.25">
      <c r="A94" s="254">
        <f t="shared" ca="1" si="15"/>
        <v>76</v>
      </c>
      <c r="B94" s="255">
        <f t="shared" ca="1" si="17"/>
        <v>47362</v>
      </c>
      <c r="C94" s="256">
        <f t="shared" ca="1" si="24"/>
        <v>21.895042278559089</v>
      </c>
      <c r="D94" s="257">
        <f t="shared" ca="1" si="18"/>
        <v>4.66</v>
      </c>
      <c r="E94" s="253">
        <f t="shared" ca="1" si="23"/>
        <v>17.235042278559089</v>
      </c>
      <c r="F94" s="257">
        <f t="shared" ca="1" si="19"/>
        <v>0</v>
      </c>
      <c r="G94" s="257">
        <f t="shared" ca="1" si="20"/>
        <v>873.00678682951434</v>
      </c>
      <c r="H94" s="257">
        <f t="shared" ca="1" si="21"/>
        <v>873.00678682951434</v>
      </c>
      <c r="I94" s="220">
        <f t="shared" ca="1" si="22"/>
        <v>2029</v>
      </c>
      <c r="K94" s="260">
        <f t="shared" ca="1" si="16"/>
        <v>0</v>
      </c>
    </row>
    <row r="95" spans="1:11" x14ac:dyDescent="0.25">
      <c r="A95" s="254">
        <f t="shared" ca="1" si="15"/>
        <v>77</v>
      </c>
      <c r="B95" s="255">
        <f t="shared" ca="1" si="17"/>
        <v>47392</v>
      </c>
      <c r="C95" s="256">
        <f t="shared" ca="1" si="24"/>
        <v>21.895042278559089</v>
      </c>
      <c r="D95" s="257">
        <f t="shared" ca="1" si="18"/>
        <v>4.42</v>
      </c>
      <c r="E95" s="253">
        <f t="shared" ca="1" si="23"/>
        <v>17.475042278559087</v>
      </c>
      <c r="F95" s="257">
        <f t="shared" ca="1" si="19"/>
        <v>0</v>
      </c>
      <c r="G95" s="257">
        <f t="shared" ca="1" si="20"/>
        <v>855.53174455095518</v>
      </c>
      <c r="H95" s="257">
        <f t="shared" ca="1" si="21"/>
        <v>855.53174455095518</v>
      </c>
      <c r="I95" s="220">
        <f t="shared" ca="1" si="22"/>
        <v>2029</v>
      </c>
      <c r="K95" s="260">
        <f t="shared" ca="1" si="16"/>
        <v>0</v>
      </c>
    </row>
    <row r="96" spans="1:11" x14ac:dyDescent="0.25">
      <c r="A96" s="254">
        <f t="shared" ca="1" si="15"/>
        <v>78</v>
      </c>
      <c r="B96" s="255">
        <f t="shared" ca="1" si="17"/>
        <v>47423</v>
      </c>
      <c r="C96" s="256">
        <f t="shared" ca="1" si="24"/>
        <v>21.895042278559089</v>
      </c>
      <c r="D96" s="257">
        <f t="shared" ca="1" si="18"/>
        <v>4.4800000000000004</v>
      </c>
      <c r="E96" s="253">
        <f t="shared" ca="1" si="23"/>
        <v>17.415042278559088</v>
      </c>
      <c r="F96" s="257">
        <f t="shared" ca="1" si="19"/>
        <v>0</v>
      </c>
      <c r="G96" s="257">
        <f t="shared" ca="1" si="20"/>
        <v>838.11670227239608</v>
      </c>
      <c r="H96" s="257">
        <f t="shared" ca="1" si="21"/>
        <v>838.11670227239608</v>
      </c>
      <c r="I96" s="220">
        <f t="shared" ca="1" si="22"/>
        <v>2029</v>
      </c>
      <c r="K96" s="260">
        <f t="shared" ca="1" si="16"/>
        <v>0</v>
      </c>
    </row>
    <row r="97" spans="1:11" x14ac:dyDescent="0.25">
      <c r="A97" s="254">
        <f t="shared" ca="1" si="15"/>
        <v>79</v>
      </c>
      <c r="B97" s="255">
        <f t="shared" ca="1" si="17"/>
        <v>47453</v>
      </c>
      <c r="C97" s="256">
        <f t="shared" ca="1" si="24"/>
        <v>21.895042278559089</v>
      </c>
      <c r="D97" s="257">
        <f t="shared" ca="1" si="18"/>
        <v>4.25</v>
      </c>
      <c r="E97" s="253">
        <f t="shared" ca="1" si="23"/>
        <v>17.645042278559089</v>
      </c>
      <c r="F97" s="257">
        <f t="shared" ca="1" si="19"/>
        <v>0</v>
      </c>
      <c r="G97" s="257">
        <f t="shared" ca="1" si="20"/>
        <v>820.47165999383697</v>
      </c>
      <c r="H97" s="257">
        <f t="shared" ca="1" si="21"/>
        <v>820.47165999383697</v>
      </c>
      <c r="I97" s="220">
        <f t="shared" ca="1" si="22"/>
        <v>2029</v>
      </c>
      <c r="K97" s="260">
        <f t="shared" ca="1" si="16"/>
        <v>0</v>
      </c>
    </row>
    <row r="98" spans="1:11" x14ac:dyDescent="0.25">
      <c r="A98" s="254">
        <f t="shared" ca="1" si="15"/>
        <v>80</v>
      </c>
      <c r="B98" s="255">
        <f t="shared" ca="1" si="17"/>
        <v>47484</v>
      </c>
      <c r="C98" s="256">
        <f t="shared" ca="1" si="24"/>
        <v>21.895042278559089</v>
      </c>
      <c r="D98" s="257">
        <f t="shared" ca="1" si="18"/>
        <v>4.3</v>
      </c>
      <c r="E98" s="253">
        <f t="shared" ca="1" si="23"/>
        <v>17.595042278559088</v>
      </c>
      <c r="F98" s="257">
        <f t="shared" ca="1" si="19"/>
        <v>0</v>
      </c>
      <c r="G98" s="257">
        <f t="shared" ca="1" si="20"/>
        <v>802.8766177152778</v>
      </c>
      <c r="H98" s="257">
        <f t="shared" ca="1" si="21"/>
        <v>802.8766177152778</v>
      </c>
      <c r="I98" s="220">
        <f t="shared" ca="1" si="22"/>
        <v>2030</v>
      </c>
      <c r="K98" s="260">
        <f t="shared" ca="1" si="16"/>
        <v>0</v>
      </c>
    </row>
    <row r="99" spans="1:11" x14ac:dyDescent="0.25">
      <c r="A99" s="254">
        <f t="shared" ca="1" si="15"/>
        <v>81</v>
      </c>
      <c r="B99" s="255">
        <f t="shared" ca="1" si="17"/>
        <v>47515</v>
      </c>
      <c r="C99" s="256">
        <f t="shared" ca="1" si="24"/>
        <v>21.895042278559089</v>
      </c>
      <c r="D99" s="257">
        <f t="shared" ca="1" si="18"/>
        <v>4.2</v>
      </c>
      <c r="E99" s="253">
        <f t="shared" ca="1" si="23"/>
        <v>17.69504227855909</v>
      </c>
      <c r="F99" s="257">
        <f t="shared" ca="1" si="19"/>
        <v>0</v>
      </c>
      <c r="G99" s="257">
        <f t="shared" ca="1" si="20"/>
        <v>785.18157543671873</v>
      </c>
      <c r="H99" s="257">
        <f t="shared" ca="1" si="21"/>
        <v>785.18157543671873</v>
      </c>
      <c r="I99" s="220">
        <f t="shared" ca="1" si="22"/>
        <v>2030</v>
      </c>
      <c r="K99" s="260">
        <f t="shared" ca="1" si="16"/>
        <v>0</v>
      </c>
    </row>
    <row r="100" spans="1:11" x14ac:dyDescent="0.25">
      <c r="A100" s="254">
        <f t="shared" ca="1" si="15"/>
        <v>82</v>
      </c>
      <c r="B100" s="255">
        <f t="shared" ca="1" si="17"/>
        <v>47543</v>
      </c>
      <c r="C100" s="256">
        <f t="shared" ca="1" si="24"/>
        <v>21.895042278559089</v>
      </c>
      <c r="D100" s="257">
        <f t="shared" ca="1" si="18"/>
        <v>3.71</v>
      </c>
      <c r="E100" s="253">
        <f t="shared" ca="1" si="23"/>
        <v>18.185042278559088</v>
      </c>
      <c r="F100" s="257">
        <f t="shared" ca="1" si="19"/>
        <v>0</v>
      </c>
      <c r="G100" s="257">
        <f t="shared" ca="1" si="20"/>
        <v>766.99653315815965</v>
      </c>
      <c r="H100" s="257">
        <f t="shared" ca="1" si="21"/>
        <v>766.99653315815965</v>
      </c>
      <c r="I100" s="220">
        <f t="shared" ca="1" si="22"/>
        <v>2030</v>
      </c>
      <c r="K100" s="260">
        <f t="shared" ca="1" si="16"/>
        <v>0</v>
      </c>
    </row>
    <row r="101" spans="1:11" x14ac:dyDescent="0.25">
      <c r="A101" s="254">
        <f t="shared" ca="1" si="15"/>
        <v>83</v>
      </c>
      <c r="B101" s="255">
        <f t="shared" ca="1" si="17"/>
        <v>47574</v>
      </c>
      <c r="C101" s="256">
        <f t="shared" ca="1" si="24"/>
        <v>21.895042278559089</v>
      </c>
      <c r="D101" s="257">
        <f t="shared" ca="1" si="18"/>
        <v>4.0199999999999996</v>
      </c>
      <c r="E101" s="253">
        <f t="shared" ca="1" si="23"/>
        <v>17.875042278559089</v>
      </c>
      <c r="F101" s="257">
        <f t="shared" ca="1" si="19"/>
        <v>0</v>
      </c>
      <c r="G101" s="257">
        <f t="shared" ca="1" si="20"/>
        <v>749.12149087960051</v>
      </c>
      <c r="H101" s="257">
        <f t="shared" ca="1" si="21"/>
        <v>749.12149087960051</v>
      </c>
      <c r="I101" s="220">
        <f t="shared" ca="1" si="22"/>
        <v>2030</v>
      </c>
      <c r="K101" s="260">
        <f t="shared" ca="1" si="16"/>
        <v>0</v>
      </c>
    </row>
    <row r="102" spans="1:11" x14ac:dyDescent="0.25">
      <c r="A102" s="254">
        <f t="shared" ca="1" si="15"/>
        <v>84</v>
      </c>
      <c r="B102" s="255">
        <f t="shared" ca="1" si="17"/>
        <v>47604</v>
      </c>
      <c r="C102" s="256">
        <f t="shared" ca="1" si="24"/>
        <v>21.895042278559089</v>
      </c>
      <c r="D102" s="257">
        <f t="shared" ca="1" si="18"/>
        <v>3.8</v>
      </c>
      <c r="E102" s="253">
        <f t="shared" ca="1" si="23"/>
        <v>18.095042278559088</v>
      </c>
      <c r="F102" s="257">
        <f t="shared" ca="1" si="19"/>
        <v>0</v>
      </c>
      <c r="G102" s="257">
        <f t="shared" ca="1" si="20"/>
        <v>731.02644860104135</v>
      </c>
      <c r="H102" s="257">
        <f t="shared" ca="1" si="21"/>
        <v>731.02644860104135</v>
      </c>
      <c r="I102" s="220">
        <f t="shared" ca="1" si="22"/>
        <v>2030</v>
      </c>
      <c r="K102" s="260">
        <f t="shared" ca="1" si="16"/>
        <v>0</v>
      </c>
    </row>
    <row r="103" spans="1:11" x14ac:dyDescent="0.25">
      <c r="A103" s="254">
        <f t="shared" ca="1" si="15"/>
        <v>85</v>
      </c>
      <c r="B103" s="255">
        <f t="shared" ca="1" si="17"/>
        <v>47635</v>
      </c>
      <c r="C103" s="256">
        <f t="shared" ca="1" si="24"/>
        <v>21.895042278559089</v>
      </c>
      <c r="D103" s="257">
        <f t="shared" ca="1" si="18"/>
        <v>3.83</v>
      </c>
      <c r="E103" s="253">
        <f t="shared" ca="1" si="23"/>
        <v>18.065042278559091</v>
      </c>
      <c r="F103" s="257">
        <f t="shared" ca="1" si="19"/>
        <v>0</v>
      </c>
      <c r="G103" s="257">
        <f t="shared" ca="1" si="20"/>
        <v>712.96140632248228</v>
      </c>
      <c r="H103" s="257">
        <f t="shared" ca="1" si="21"/>
        <v>712.96140632248228</v>
      </c>
      <c r="I103" s="220">
        <f t="shared" ca="1" si="22"/>
        <v>2030</v>
      </c>
      <c r="K103" s="260">
        <f t="shared" ca="1" si="16"/>
        <v>0</v>
      </c>
    </row>
    <row r="104" spans="1:11" x14ac:dyDescent="0.25">
      <c r="A104" s="254">
        <f t="shared" ca="1" si="15"/>
        <v>86</v>
      </c>
      <c r="B104" s="255">
        <f t="shared" ca="1" si="17"/>
        <v>47665</v>
      </c>
      <c r="C104" s="256">
        <f t="shared" ca="1" si="24"/>
        <v>21.895042278559089</v>
      </c>
      <c r="D104" s="257">
        <f t="shared" ca="1" si="18"/>
        <v>3.61</v>
      </c>
      <c r="E104" s="253">
        <f t="shared" ca="1" si="23"/>
        <v>18.285042278559089</v>
      </c>
      <c r="F104" s="257">
        <f t="shared" ca="1" si="19"/>
        <v>0</v>
      </c>
      <c r="G104" s="257">
        <f t="shared" ca="1" si="20"/>
        <v>694.67636404392317</v>
      </c>
      <c r="H104" s="257">
        <f t="shared" ca="1" si="21"/>
        <v>694.67636404392317</v>
      </c>
      <c r="I104" s="220">
        <f t="shared" ca="1" si="22"/>
        <v>2030</v>
      </c>
      <c r="K104" s="260">
        <f t="shared" ca="1" si="16"/>
        <v>0</v>
      </c>
    </row>
    <row r="105" spans="1:11" x14ac:dyDescent="0.25">
      <c r="A105" s="254">
        <f t="shared" ref="A105:A168" ca="1" si="25">IF(OR(H104&lt;=0,H104=""),"",OFFSET(A105,-1,0,1,1)+1)</f>
        <v>87</v>
      </c>
      <c r="B105" s="255">
        <f t="shared" ca="1" si="17"/>
        <v>47696</v>
      </c>
      <c r="C105" s="256">
        <f t="shared" ca="1" si="24"/>
        <v>21.895042278559089</v>
      </c>
      <c r="D105" s="257">
        <f t="shared" ca="1" si="18"/>
        <v>3.64</v>
      </c>
      <c r="E105" s="253">
        <f t="shared" ca="1" si="23"/>
        <v>18.255042278559088</v>
      </c>
      <c r="F105" s="257">
        <f t="shared" ca="1" si="19"/>
        <v>0</v>
      </c>
      <c r="G105" s="257">
        <f t="shared" ca="1" si="20"/>
        <v>676.42132176536404</v>
      </c>
      <c r="H105" s="257">
        <f t="shared" ca="1" si="21"/>
        <v>676.42132176536404</v>
      </c>
      <c r="I105" s="220">
        <f t="shared" ca="1" si="22"/>
        <v>2030</v>
      </c>
      <c r="K105" s="260">
        <f t="shared" ca="1" si="16"/>
        <v>0</v>
      </c>
    </row>
    <row r="106" spans="1:11" x14ac:dyDescent="0.25">
      <c r="A106" s="254">
        <f t="shared" ca="1" si="25"/>
        <v>88</v>
      </c>
      <c r="B106" s="255">
        <f t="shared" ca="1" si="17"/>
        <v>47727</v>
      </c>
      <c r="C106" s="256">
        <f t="shared" ca="1" si="24"/>
        <v>21.895042278559089</v>
      </c>
      <c r="D106" s="257">
        <f t="shared" ca="1" si="18"/>
        <v>3.54</v>
      </c>
      <c r="E106" s="253">
        <f t="shared" ca="1" si="23"/>
        <v>18.35504227855909</v>
      </c>
      <c r="F106" s="257">
        <f t="shared" ca="1" si="19"/>
        <v>0</v>
      </c>
      <c r="G106" s="257">
        <f t="shared" ca="1" si="20"/>
        <v>658.06627948680489</v>
      </c>
      <c r="H106" s="257">
        <f t="shared" ca="1" si="21"/>
        <v>658.06627948680489</v>
      </c>
      <c r="I106" s="220">
        <f t="shared" ca="1" si="22"/>
        <v>2030</v>
      </c>
      <c r="K106" s="260">
        <f t="shared" ca="1" si="16"/>
        <v>0</v>
      </c>
    </row>
    <row r="107" spans="1:11" x14ac:dyDescent="0.25">
      <c r="A107" s="254">
        <f t="shared" ca="1" si="25"/>
        <v>89</v>
      </c>
      <c r="B107" s="255">
        <f t="shared" ca="1" si="17"/>
        <v>47757</v>
      </c>
      <c r="C107" s="256">
        <f t="shared" ca="1" si="24"/>
        <v>21.895042278559089</v>
      </c>
      <c r="D107" s="257">
        <f t="shared" ca="1" si="18"/>
        <v>3.33</v>
      </c>
      <c r="E107" s="253">
        <f t="shared" ca="1" si="23"/>
        <v>18.565042278559091</v>
      </c>
      <c r="F107" s="257">
        <f t="shared" ca="1" si="19"/>
        <v>0</v>
      </c>
      <c r="G107" s="257">
        <f t="shared" ca="1" si="20"/>
        <v>639.50123720824581</v>
      </c>
      <c r="H107" s="257">
        <f t="shared" ca="1" si="21"/>
        <v>639.50123720824581</v>
      </c>
      <c r="I107" s="220">
        <f t="shared" ca="1" si="22"/>
        <v>2030</v>
      </c>
      <c r="K107" s="260">
        <f t="shared" ca="1" si="16"/>
        <v>0</v>
      </c>
    </row>
    <row r="108" spans="1:11" x14ac:dyDescent="0.25">
      <c r="A108" s="254">
        <f t="shared" ca="1" si="25"/>
        <v>90</v>
      </c>
      <c r="B108" s="255">
        <f t="shared" ca="1" si="17"/>
        <v>47788</v>
      </c>
      <c r="C108" s="256">
        <f t="shared" ca="1" si="24"/>
        <v>21.895042278559089</v>
      </c>
      <c r="D108" s="257">
        <f t="shared" ca="1" si="18"/>
        <v>3.35</v>
      </c>
      <c r="E108" s="253">
        <f t="shared" ca="1" si="23"/>
        <v>18.545042278559087</v>
      </c>
      <c r="F108" s="257">
        <f t="shared" ca="1" si="19"/>
        <v>0</v>
      </c>
      <c r="G108" s="257">
        <f t="shared" ca="1" si="20"/>
        <v>620.95619492968672</v>
      </c>
      <c r="H108" s="257">
        <f t="shared" ca="1" si="21"/>
        <v>620.95619492968672</v>
      </c>
      <c r="I108" s="220">
        <f t="shared" ca="1" si="22"/>
        <v>2030</v>
      </c>
      <c r="K108" s="260">
        <f t="shared" ca="1" si="16"/>
        <v>0</v>
      </c>
    </row>
    <row r="109" spans="1:11" x14ac:dyDescent="0.25">
      <c r="A109" s="254">
        <f t="shared" ca="1" si="25"/>
        <v>91</v>
      </c>
      <c r="B109" s="255">
        <f t="shared" ca="1" si="17"/>
        <v>47818</v>
      </c>
      <c r="C109" s="256">
        <f t="shared" ca="1" si="24"/>
        <v>21.895042278559089</v>
      </c>
      <c r="D109" s="257">
        <f t="shared" ca="1" si="18"/>
        <v>3.15</v>
      </c>
      <c r="E109" s="253">
        <f t="shared" ca="1" si="23"/>
        <v>18.74504227855909</v>
      </c>
      <c r="F109" s="257">
        <f t="shared" ca="1" si="19"/>
        <v>0</v>
      </c>
      <c r="G109" s="257">
        <f t="shared" ca="1" si="20"/>
        <v>602.21115265112758</v>
      </c>
      <c r="H109" s="257">
        <f t="shared" ca="1" si="21"/>
        <v>602.21115265112758</v>
      </c>
      <c r="I109" s="220">
        <f t="shared" ca="1" si="22"/>
        <v>2030</v>
      </c>
      <c r="K109" s="260">
        <f t="shared" ca="1" si="16"/>
        <v>0</v>
      </c>
    </row>
    <row r="110" spans="1:11" x14ac:dyDescent="0.25">
      <c r="A110" s="254">
        <f t="shared" ca="1" si="25"/>
        <v>92</v>
      </c>
      <c r="B110" s="255">
        <f t="shared" ca="1" si="17"/>
        <v>47849</v>
      </c>
      <c r="C110" s="256">
        <f t="shared" ca="1" si="24"/>
        <v>21.895042278559089</v>
      </c>
      <c r="D110" s="257">
        <f t="shared" ca="1" si="18"/>
        <v>3.15</v>
      </c>
      <c r="E110" s="253">
        <f t="shared" ca="1" si="23"/>
        <v>18.74504227855909</v>
      </c>
      <c r="F110" s="257">
        <f t="shared" ca="1" si="19"/>
        <v>0</v>
      </c>
      <c r="G110" s="257">
        <f t="shared" ca="1" si="20"/>
        <v>583.46611037256844</v>
      </c>
      <c r="H110" s="257">
        <f t="shared" ca="1" si="21"/>
        <v>583.46611037256844</v>
      </c>
      <c r="I110" s="220">
        <f t="shared" ca="1" si="22"/>
        <v>2031</v>
      </c>
      <c r="K110" s="260">
        <f t="shared" ca="1" si="16"/>
        <v>0</v>
      </c>
    </row>
    <row r="111" spans="1:11" x14ac:dyDescent="0.25">
      <c r="A111" s="254">
        <f t="shared" ca="1" si="25"/>
        <v>93</v>
      </c>
      <c r="B111" s="255">
        <f t="shared" ca="1" si="17"/>
        <v>47880</v>
      </c>
      <c r="C111" s="256">
        <f t="shared" ca="1" si="24"/>
        <v>21.895042278559089</v>
      </c>
      <c r="D111" s="257">
        <f t="shared" ca="1" si="18"/>
        <v>3.05</v>
      </c>
      <c r="E111" s="253">
        <f t="shared" ca="1" si="23"/>
        <v>18.845042278559088</v>
      </c>
      <c r="F111" s="257">
        <f t="shared" ca="1" si="19"/>
        <v>0</v>
      </c>
      <c r="G111" s="257">
        <f t="shared" ca="1" si="20"/>
        <v>564.62106809400927</v>
      </c>
      <c r="H111" s="257">
        <f t="shared" ca="1" si="21"/>
        <v>564.62106809400927</v>
      </c>
      <c r="I111" s="220">
        <f t="shared" ca="1" si="22"/>
        <v>2031</v>
      </c>
      <c r="K111" s="260">
        <f t="shared" ca="1" si="16"/>
        <v>0</v>
      </c>
    </row>
    <row r="112" spans="1:11" x14ac:dyDescent="0.25">
      <c r="A112" s="254">
        <f t="shared" ca="1" si="25"/>
        <v>94</v>
      </c>
      <c r="B112" s="255">
        <f t="shared" ca="1" si="17"/>
        <v>47908</v>
      </c>
      <c r="C112" s="256">
        <f t="shared" ca="1" si="24"/>
        <v>21.895042278559089</v>
      </c>
      <c r="D112" s="257">
        <f t="shared" ca="1" si="18"/>
        <v>2.67</v>
      </c>
      <c r="E112" s="253">
        <f t="shared" ca="1" si="23"/>
        <v>19.225042278559087</v>
      </c>
      <c r="F112" s="257">
        <f t="shared" ca="1" si="19"/>
        <v>0</v>
      </c>
      <c r="G112" s="257">
        <f t="shared" ca="1" si="20"/>
        <v>545.39602581545012</v>
      </c>
      <c r="H112" s="257">
        <f t="shared" ca="1" si="21"/>
        <v>545.39602581545012</v>
      </c>
      <c r="I112" s="220">
        <f t="shared" ca="1" si="22"/>
        <v>2031</v>
      </c>
      <c r="K112" s="260">
        <f t="shared" ca="1" si="16"/>
        <v>0</v>
      </c>
    </row>
    <row r="113" spans="1:11" x14ac:dyDescent="0.25">
      <c r="A113" s="254">
        <f t="shared" ca="1" si="25"/>
        <v>95</v>
      </c>
      <c r="B113" s="255">
        <f t="shared" ca="1" si="17"/>
        <v>47939</v>
      </c>
      <c r="C113" s="256">
        <f t="shared" ca="1" si="24"/>
        <v>21.895042278559089</v>
      </c>
      <c r="D113" s="257">
        <f t="shared" ca="1" si="18"/>
        <v>2.86</v>
      </c>
      <c r="E113" s="253">
        <f t="shared" ca="1" si="23"/>
        <v>19.035042278559089</v>
      </c>
      <c r="F113" s="257">
        <f t="shared" ca="1" si="19"/>
        <v>0</v>
      </c>
      <c r="G113" s="257">
        <f t="shared" ca="1" si="20"/>
        <v>526.36098353689101</v>
      </c>
      <c r="H113" s="257">
        <f t="shared" ca="1" si="21"/>
        <v>526.36098353689101</v>
      </c>
      <c r="I113" s="220">
        <f t="shared" ca="1" si="22"/>
        <v>2031</v>
      </c>
      <c r="K113" s="260">
        <f t="shared" ca="1" si="16"/>
        <v>0</v>
      </c>
    </row>
    <row r="114" spans="1:11" x14ac:dyDescent="0.25">
      <c r="A114" s="254">
        <f t="shared" ca="1" si="25"/>
        <v>96</v>
      </c>
      <c r="B114" s="255">
        <f t="shared" ca="1" si="17"/>
        <v>47969</v>
      </c>
      <c r="C114" s="256">
        <f t="shared" ca="1" si="24"/>
        <v>21.895042278559089</v>
      </c>
      <c r="D114" s="257">
        <f t="shared" ca="1" si="18"/>
        <v>2.67</v>
      </c>
      <c r="E114" s="253">
        <f t="shared" ca="1" si="23"/>
        <v>19.225042278559087</v>
      </c>
      <c r="F114" s="257">
        <f t="shared" ca="1" si="19"/>
        <v>0</v>
      </c>
      <c r="G114" s="257">
        <f t="shared" ca="1" si="20"/>
        <v>507.13594125833185</v>
      </c>
      <c r="H114" s="257">
        <f t="shared" ca="1" si="21"/>
        <v>507.13594125833185</v>
      </c>
      <c r="I114" s="220">
        <f t="shared" ca="1" si="22"/>
        <v>2031</v>
      </c>
      <c r="K114" s="260">
        <f t="shared" ca="1" si="16"/>
        <v>0</v>
      </c>
    </row>
    <row r="115" spans="1:11" x14ac:dyDescent="0.25">
      <c r="A115" s="254">
        <f t="shared" ca="1" si="25"/>
        <v>97</v>
      </c>
      <c r="B115" s="255">
        <f t="shared" ca="1" si="17"/>
        <v>48000</v>
      </c>
      <c r="C115" s="256">
        <f t="shared" ca="1" si="24"/>
        <v>21.895042278559089</v>
      </c>
      <c r="D115" s="257">
        <f t="shared" ca="1" si="18"/>
        <v>2.66</v>
      </c>
      <c r="E115" s="253">
        <f t="shared" ca="1" si="23"/>
        <v>19.235042278559089</v>
      </c>
      <c r="F115" s="257">
        <f t="shared" ca="1" si="19"/>
        <v>0</v>
      </c>
      <c r="G115" s="257">
        <f t="shared" ca="1" si="20"/>
        <v>487.90089897977282</v>
      </c>
      <c r="H115" s="257">
        <f t="shared" ca="1" si="21"/>
        <v>487.90089897977282</v>
      </c>
      <c r="I115" s="220">
        <f t="shared" ca="1" si="22"/>
        <v>2031</v>
      </c>
      <c r="K115" s="260">
        <f t="shared" ca="1" si="16"/>
        <v>0</v>
      </c>
    </row>
    <row r="116" spans="1:11" x14ac:dyDescent="0.25">
      <c r="A116" s="254">
        <f t="shared" ca="1" si="25"/>
        <v>98</v>
      </c>
      <c r="B116" s="255">
        <f t="shared" ca="1" si="17"/>
        <v>48030</v>
      </c>
      <c r="C116" s="256">
        <f t="shared" ca="1" si="24"/>
        <v>21.895042278559089</v>
      </c>
      <c r="D116" s="257">
        <f t="shared" ca="1" si="18"/>
        <v>2.4700000000000002</v>
      </c>
      <c r="E116" s="253">
        <f t="shared" ca="1" si="23"/>
        <v>19.42504227855909</v>
      </c>
      <c r="F116" s="257">
        <f t="shared" ca="1" si="19"/>
        <v>0</v>
      </c>
      <c r="G116" s="257">
        <f t="shared" ca="1" si="20"/>
        <v>468.47585670121373</v>
      </c>
      <c r="H116" s="257">
        <f t="shared" ca="1" si="21"/>
        <v>468.47585670121373</v>
      </c>
      <c r="I116" s="220">
        <f t="shared" ca="1" si="22"/>
        <v>2031</v>
      </c>
      <c r="K116" s="260">
        <f t="shared" ca="1" si="16"/>
        <v>0</v>
      </c>
    </row>
    <row r="117" spans="1:11" x14ac:dyDescent="0.25">
      <c r="A117" s="254">
        <f t="shared" ca="1" si="25"/>
        <v>99</v>
      </c>
      <c r="B117" s="255">
        <f t="shared" ca="1" si="17"/>
        <v>48061</v>
      </c>
      <c r="C117" s="256">
        <f t="shared" ca="1" si="24"/>
        <v>21.895042278559089</v>
      </c>
      <c r="D117" s="257">
        <f t="shared" ca="1" si="18"/>
        <v>2.4500000000000002</v>
      </c>
      <c r="E117" s="253">
        <f t="shared" ca="1" si="23"/>
        <v>19.44504227855909</v>
      </c>
      <c r="F117" s="257">
        <f t="shared" ca="1" si="19"/>
        <v>0</v>
      </c>
      <c r="G117" s="257">
        <f t="shared" ca="1" si="20"/>
        <v>449.03081442265466</v>
      </c>
      <c r="H117" s="257">
        <f t="shared" ca="1" si="21"/>
        <v>449.03081442265466</v>
      </c>
      <c r="I117" s="220">
        <f t="shared" ca="1" si="22"/>
        <v>2031</v>
      </c>
      <c r="K117" s="260">
        <f t="shared" ca="1" si="16"/>
        <v>0</v>
      </c>
    </row>
    <row r="118" spans="1:11" x14ac:dyDescent="0.25">
      <c r="A118" s="254">
        <f t="shared" ca="1" si="25"/>
        <v>100</v>
      </c>
      <c r="B118" s="255">
        <f t="shared" ca="1" si="17"/>
        <v>48092</v>
      </c>
      <c r="C118" s="256">
        <f t="shared" ca="1" si="24"/>
        <v>21.895042278559089</v>
      </c>
      <c r="D118" s="257">
        <f t="shared" ca="1" si="18"/>
        <v>2.35</v>
      </c>
      <c r="E118" s="253">
        <f t="shared" ca="1" si="23"/>
        <v>19.545042278559087</v>
      </c>
      <c r="F118" s="257">
        <f t="shared" ca="1" si="19"/>
        <v>0</v>
      </c>
      <c r="G118" s="257">
        <f t="shared" ca="1" si="20"/>
        <v>429.48577214409556</v>
      </c>
      <c r="H118" s="257">
        <f t="shared" ca="1" si="21"/>
        <v>429.48577214409556</v>
      </c>
      <c r="I118" s="220">
        <f t="shared" ca="1" si="22"/>
        <v>2031</v>
      </c>
      <c r="K118" s="260">
        <f t="shared" ca="1" si="16"/>
        <v>0</v>
      </c>
    </row>
    <row r="119" spans="1:11" x14ac:dyDescent="0.25">
      <c r="A119" s="254">
        <f t="shared" ca="1" si="25"/>
        <v>101</v>
      </c>
      <c r="B119" s="255">
        <f t="shared" ca="1" si="17"/>
        <v>48122</v>
      </c>
      <c r="C119" s="256">
        <f t="shared" ca="1" si="24"/>
        <v>21.895042278559089</v>
      </c>
      <c r="D119" s="257">
        <f t="shared" ca="1" si="18"/>
        <v>2.1800000000000002</v>
      </c>
      <c r="E119" s="253">
        <f t="shared" ca="1" si="23"/>
        <v>19.715042278559089</v>
      </c>
      <c r="F119" s="257">
        <f t="shared" ca="1" si="19"/>
        <v>0</v>
      </c>
      <c r="G119" s="257">
        <f t="shared" ca="1" si="20"/>
        <v>409.77072986553651</v>
      </c>
      <c r="H119" s="257">
        <f t="shared" ca="1" si="21"/>
        <v>409.77072986553651</v>
      </c>
      <c r="I119" s="220">
        <f t="shared" ca="1" si="22"/>
        <v>2031</v>
      </c>
      <c r="K119" s="260">
        <f t="shared" ca="1" si="16"/>
        <v>0</v>
      </c>
    </row>
    <row r="120" spans="1:11" x14ac:dyDescent="0.25">
      <c r="A120" s="254">
        <f t="shared" ca="1" si="25"/>
        <v>102</v>
      </c>
      <c r="B120" s="255">
        <f t="shared" ca="1" si="17"/>
        <v>48153</v>
      </c>
      <c r="C120" s="256">
        <f t="shared" ca="1" si="24"/>
        <v>21.895042278559089</v>
      </c>
      <c r="D120" s="257">
        <f t="shared" ca="1" si="18"/>
        <v>2.15</v>
      </c>
      <c r="E120" s="253">
        <f t="shared" ca="1" si="23"/>
        <v>19.74504227855909</v>
      </c>
      <c r="F120" s="257">
        <f t="shared" ca="1" si="19"/>
        <v>0</v>
      </c>
      <c r="G120" s="257">
        <f t="shared" ca="1" si="20"/>
        <v>390.02568758697737</v>
      </c>
      <c r="H120" s="257">
        <f t="shared" ca="1" si="21"/>
        <v>390.02568758697737</v>
      </c>
      <c r="I120" s="220">
        <f t="shared" ca="1" si="22"/>
        <v>2031</v>
      </c>
      <c r="K120" s="260">
        <f t="shared" ca="1" si="16"/>
        <v>0</v>
      </c>
    </row>
    <row r="121" spans="1:11" x14ac:dyDescent="0.25">
      <c r="A121" s="254">
        <f t="shared" ca="1" si="25"/>
        <v>103</v>
      </c>
      <c r="B121" s="255">
        <f t="shared" ca="1" si="17"/>
        <v>48183</v>
      </c>
      <c r="C121" s="256">
        <f t="shared" ca="1" si="24"/>
        <v>21.895042278559089</v>
      </c>
      <c r="D121" s="257">
        <f t="shared" ca="1" si="18"/>
        <v>1.98</v>
      </c>
      <c r="E121" s="253">
        <f t="shared" ca="1" si="23"/>
        <v>19.915042278559088</v>
      </c>
      <c r="F121" s="257">
        <f t="shared" ca="1" si="19"/>
        <v>0</v>
      </c>
      <c r="G121" s="257">
        <f t="shared" ca="1" si="20"/>
        <v>370.11064530841827</v>
      </c>
      <c r="H121" s="257">
        <f t="shared" ca="1" si="21"/>
        <v>370.11064530841827</v>
      </c>
      <c r="I121" s="220">
        <f t="shared" ca="1" si="22"/>
        <v>2031</v>
      </c>
      <c r="K121" s="260">
        <f t="shared" ca="1" si="16"/>
        <v>0</v>
      </c>
    </row>
    <row r="122" spans="1:11" x14ac:dyDescent="0.25">
      <c r="A122" s="254">
        <f t="shared" ca="1" si="25"/>
        <v>104</v>
      </c>
      <c r="B122" s="255">
        <f t="shared" ca="1" si="17"/>
        <v>48214</v>
      </c>
      <c r="C122" s="256">
        <f t="shared" ca="1" si="24"/>
        <v>21.895042278559089</v>
      </c>
      <c r="D122" s="257">
        <f t="shared" ca="1" si="18"/>
        <v>1.94</v>
      </c>
      <c r="E122" s="253">
        <f t="shared" ca="1" si="23"/>
        <v>19.955042278559088</v>
      </c>
      <c r="F122" s="257">
        <f t="shared" ca="1" si="19"/>
        <v>0</v>
      </c>
      <c r="G122" s="257">
        <f t="shared" ca="1" si="20"/>
        <v>350.15560302985921</v>
      </c>
      <c r="H122" s="257">
        <f t="shared" ca="1" si="21"/>
        <v>350.15560302985921</v>
      </c>
      <c r="I122" s="220">
        <f t="shared" ca="1" si="22"/>
        <v>2032</v>
      </c>
      <c r="K122" s="260">
        <f t="shared" ca="1" si="16"/>
        <v>0</v>
      </c>
    </row>
    <row r="123" spans="1:11" x14ac:dyDescent="0.25">
      <c r="A123" s="254">
        <f t="shared" ca="1" si="25"/>
        <v>105</v>
      </c>
      <c r="B123" s="255">
        <f t="shared" ca="1" si="17"/>
        <v>48245</v>
      </c>
      <c r="C123" s="256">
        <f t="shared" ca="1" si="24"/>
        <v>21.895042278559089</v>
      </c>
      <c r="D123" s="257">
        <f t="shared" ca="1" si="18"/>
        <v>1.83</v>
      </c>
      <c r="E123" s="253">
        <f t="shared" ca="1" si="23"/>
        <v>20.065042278559091</v>
      </c>
      <c r="F123" s="257">
        <f t="shared" ca="1" si="19"/>
        <v>0</v>
      </c>
      <c r="G123" s="257">
        <f t="shared" ca="1" si="20"/>
        <v>330.09056075130013</v>
      </c>
      <c r="H123" s="257">
        <f t="shared" ca="1" si="21"/>
        <v>330.09056075130013</v>
      </c>
      <c r="I123" s="220">
        <f t="shared" ca="1" si="22"/>
        <v>2032</v>
      </c>
      <c r="K123" s="260">
        <f t="shared" ca="1" si="16"/>
        <v>0</v>
      </c>
    </row>
    <row r="124" spans="1:11" x14ac:dyDescent="0.25">
      <c r="A124" s="254">
        <f t="shared" ca="1" si="25"/>
        <v>106</v>
      </c>
      <c r="B124" s="255">
        <f t="shared" ca="1" si="17"/>
        <v>48274</v>
      </c>
      <c r="C124" s="256">
        <f t="shared" ca="1" si="24"/>
        <v>21.895042278559089</v>
      </c>
      <c r="D124" s="257">
        <f t="shared" ca="1" si="18"/>
        <v>1.62</v>
      </c>
      <c r="E124" s="253">
        <f t="shared" ca="1" si="23"/>
        <v>20.275042278559088</v>
      </c>
      <c r="F124" s="257">
        <f t="shared" ca="1" si="19"/>
        <v>0</v>
      </c>
      <c r="G124" s="257">
        <f t="shared" ca="1" si="20"/>
        <v>309.81551847274102</v>
      </c>
      <c r="H124" s="257">
        <f t="shared" ca="1" si="21"/>
        <v>309.81551847274102</v>
      </c>
      <c r="I124" s="220">
        <f t="shared" ca="1" si="22"/>
        <v>2032</v>
      </c>
      <c r="K124" s="260">
        <f t="shared" ca="1" si="16"/>
        <v>0</v>
      </c>
    </row>
    <row r="125" spans="1:11" x14ac:dyDescent="0.25">
      <c r="A125" s="254">
        <f t="shared" ca="1" si="25"/>
        <v>107</v>
      </c>
      <c r="B125" s="255">
        <f t="shared" ca="1" si="17"/>
        <v>48305</v>
      </c>
      <c r="C125" s="256">
        <f t="shared" ca="1" si="24"/>
        <v>21.895042278559089</v>
      </c>
      <c r="D125" s="257">
        <f t="shared" ca="1" si="18"/>
        <v>1.62</v>
      </c>
      <c r="E125" s="253">
        <f t="shared" ca="1" si="23"/>
        <v>20.275042278559088</v>
      </c>
      <c r="F125" s="257">
        <f t="shared" ca="1" si="19"/>
        <v>0</v>
      </c>
      <c r="G125" s="257">
        <f t="shared" ca="1" si="20"/>
        <v>289.54047619418191</v>
      </c>
      <c r="H125" s="257">
        <f t="shared" ca="1" si="21"/>
        <v>289.54047619418191</v>
      </c>
      <c r="I125" s="220">
        <f t="shared" ca="1" si="22"/>
        <v>2032</v>
      </c>
      <c r="K125" s="260">
        <f t="shared" ca="1" si="16"/>
        <v>0</v>
      </c>
    </row>
    <row r="126" spans="1:11" x14ac:dyDescent="0.25">
      <c r="A126" s="254">
        <f t="shared" ca="1" si="25"/>
        <v>108</v>
      </c>
      <c r="B126" s="255">
        <f t="shared" ca="1" si="17"/>
        <v>48335</v>
      </c>
      <c r="C126" s="256">
        <f t="shared" ca="1" si="24"/>
        <v>21.895042278559089</v>
      </c>
      <c r="D126" s="257">
        <f t="shared" ca="1" si="18"/>
        <v>1.47</v>
      </c>
      <c r="E126" s="253">
        <f t="shared" ca="1" si="23"/>
        <v>20.42504227855909</v>
      </c>
      <c r="F126" s="257">
        <f t="shared" ca="1" si="19"/>
        <v>0</v>
      </c>
      <c r="G126" s="257">
        <f t="shared" ca="1" si="20"/>
        <v>269.11543391562282</v>
      </c>
      <c r="H126" s="257">
        <f t="shared" ca="1" si="21"/>
        <v>269.11543391562282</v>
      </c>
      <c r="I126" s="220">
        <f t="shared" ca="1" si="22"/>
        <v>2032</v>
      </c>
      <c r="K126" s="260">
        <f t="shared" ca="1" si="16"/>
        <v>0</v>
      </c>
    </row>
    <row r="127" spans="1:11" x14ac:dyDescent="0.25">
      <c r="A127" s="254">
        <f t="shared" ca="1" si="25"/>
        <v>109</v>
      </c>
      <c r="B127" s="255">
        <f t="shared" ca="1" si="17"/>
        <v>48366</v>
      </c>
      <c r="C127" s="256">
        <f t="shared" ca="1" si="24"/>
        <v>21.895042278559089</v>
      </c>
      <c r="D127" s="257">
        <f t="shared" ca="1" si="18"/>
        <v>1.41</v>
      </c>
      <c r="E127" s="253">
        <f t="shared" ca="1" si="23"/>
        <v>20.485042278559089</v>
      </c>
      <c r="F127" s="257">
        <f t="shared" ca="1" si="19"/>
        <v>0</v>
      </c>
      <c r="G127" s="257">
        <f t="shared" ca="1" si="20"/>
        <v>248.63039163706375</v>
      </c>
      <c r="H127" s="257">
        <f t="shared" ca="1" si="21"/>
        <v>248.63039163706375</v>
      </c>
      <c r="I127" s="220">
        <f t="shared" ca="1" si="22"/>
        <v>2032</v>
      </c>
      <c r="K127" s="260">
        <f t="shared" ca="1" si="16"/>
        <v>0</v>
      </c>
    </row>
    <row r="128" spans="1:11" x14ac:dyDescent="0.25">
      <c r="A128" s="254">
        <f t="shared" ca="1" si="25"/>
        <v>110</v>
      </c>
      <c r="B128" s="255">
        <f t="shared" ca="1" si="17"/>
        <v>48396</v>
      </c>
      <c r="C128" s="256">
        <f t="shared" ca="1" si="24"/>
        <v>21.895042278559089</v>
      </c>
      <c r="D128" s="257">
        <f t="shared" ca="1" si="18"/>
        <v>1.26</v>
      </c>
      <c r="E128" s="253">
        <f t="shared" ca="1" si="23"/>
        <v>20.635042278559087</v>
      </c>
      <c r="F128" s="257">
        <f t="shared" ca="1" si="19"/>
        <v>0</v>
      </c>
      <c r="G128" s="257">
        <f t="shared" ca="1" si="20"/>
        <v>227.99534935850465</v>
      </c>
      <c r="H128" s="257">
        <f t="shared" ca="1" si="21"/>
        <v>227.99534935850465</v>
      </c>
      <c r="I128" s="220">
        <f t="shared" ca="1" si="22"/>
        <v>2032</v>
      </c>
      <c r="K128" s="260">
        <f t="shared" ref="K128:K138" ca="1" si="26">HLOOKUP(I128,$L$18:$W$24,7,0)/12</f>
        <v>0</v>
      </c>
    </row>
    <row r="129" spans="1:11" x14ac:dyDescent="0.25">
      <c r="A129" s="254">
        <f t="shared" ca="1" si="25"/>
        <v>111</v>
      </c>
      <c r="B129" s="255">
        <f t="shared" ca="1" si="17"/>
        <v>48427</v>
      </c>
      <c r="C129" s="256">
        <f t="shared" ca="1" si="24"/>
        <v>21.895042278559089</v>
      </c>
      <c r="D129" s="257">
        <f t="shared" ca="1" si="18"/>
        <v>1.19</v>
      </c>
      <c r="E129" s="253">
        <f t="shared" ca="1" si="23"/>
        <v>20.705042278559088</v>
      </c>
      <c r="F129" s="257">
        <f t="shared" ca="1" si="19"/>
        <v>0</v>
      </c>
      <c r="G129" s="257">
        <f t="shared" ca="1" si="20"/>
        <v>207.29030707994556</v>
      </c>
      <c r="H129" s="257">
        <f t="shared" ca="1" si="21"/>
        <v>207.29030707994556</v>
      </c>
      <c r="I129" s="220">
        <f t="shared" ca="1" si="22"/>
        <v>2032</v>
      </c>
      <c r="K129" s="260">
        <f t="shared" ca="1" si="26"/>
        <v>0</v>
      </c>
    </row>
    <row r="130" spans="1:11" x14ac:dyDescent="0.25">
      <c r="A130" s="254">
        <f t="shared" ca="1" si="25"/>
        <v>112</v>
      </c>
      <c r="B130" s="255">
        <f t="shared" ca="1" si="17"/>
        <v>48458</v>
      </c>
      <c r="C130" s="256">
        <f t="shared" ca="1" si="24"/>
        <v>21.895042278559089</v>
      </c>
      <c r="D130" s="257">
        <f t="shared" ca="1" si="18"/>
        <v>1.0900000000000001</v>
      </c>
      <c r="E130" s="253">
        <f t="shared" ca="1" si="23"/>
        <v>20.805042278559089</v>
      </c>
      <c r="F130" s="257">
        <f t="shared" ca="1" si="19"/>
        <v>0</v>
      </c>
      <c r="G130" s="257">
        <f t="shared" ca="1" si="20"/>
        <v>186.48526480138648</v>
      </c>
      <c r="H130" s="257">
        <f t="shared" ca="1" si="21"/>
        <v>186.48526480138648</v>
      </c>
      <c r="I130" s="220">
        <f t="shared" ca="1" si="22"/>
        <v>2032</v>
      </c>
      <c r="K130" s="260">
        <f t="shared" ca="1" si="26"/>
        <v>0</v>
      </c>
    </row>
    <row r="131" spans="1:11" x14ac:dyDescent="0.25">
      <c r="A131" s="254">
        <f t="shared" ca="1" si="25"/>
        <v>113</v>
      </c>
      <c r="B131" s="255">
        <f t="shared" ca="1" si="17"/>
        <v>48488</v>
      </c>
      <c r="C131" s="256">
        <f t="shared" ca="1" si="24"/>
        <v>21.895042278559089</v>
      </c>
      <c r="D131" s="257">
        <f t="shared" ca="1" si="18"/>
        <v>0.94</v>
      </c>
      <c r="E131" s="253">
        <f t="shared" ca="1" si="23"/>
        <v>20.955042278559088</v>
      </c>
      <c r="F131" s="257">
        <f t="shared" ca="1" si="19"/>
        <v>0</v>
      </c>
      <c r="G131" s="257">
        <f t="shared" ca="1" si="20"/>
        <v>165.53022252282739</v>
      </c>
      <c r="H131" s="257">
        <f t="shared" ca="1" si="21"/>
        <v>165.53022252282739</v>
      </c>
      <c r="I131" s="220">
        <f t="shared" ca="1" si="22"/>
        <v>2032</v>
      </c>
      <c r="K131" s="260">
        <f t="shared" ca="1" si="26"/>
        <v>0</v>
      </c>
    </row>
    <row r="132" spans="1:11" x14ac:dyDescent="0.25">
      <c r="A132" s="254">
        <f t="shared" ca="1" si="25"/>
        <v>114</v>
      </c>
      <c r="B132" s="255">
        <f t="shared" ca="1" si="17"/>
        <v>48519</v>
      </c>
      <c r="C132" s="256">
        <f t="shared" ca="1" si="24"/>
        <v>21.895042278559089</v>
      </c>
      <c r="D132" s="257">
        <f t="shared" ca="1" si="18"/>
        <v>0.87</v>
      </c>
      <c r="E132" s="253">
        <f t="shared" ca="1" si="23"/>
        <v>21.025042278559088</v>
      </c>
      <c r="F132" s="257">
        <f t="shared" ca="1" si="19"/>
        <v>0</v>
      </c>
      <c r="G132" s="257">
        <f t="shared" ca="1" si="20"/>
        <v>144.5051802442683</v>
      </c>
      <c r="H132" s="257">
        <f t="shared" ca="1" si="21"/>
        <v>144.5051802442683</v>
      </c>
      <c r="I132" s="220">
        <f t="shared" ca="1" si="22"/>
        <v>2032</v>
      </c>
      <c r="K132" s="260">
        <f t="shared" ca="1" si="26"/>
        <v>0</v>
      </c>
    </row>
    <row r="133" spans="1:11" x14ac:dyDescent="0.25">
      <c r="A133" s="254">
        <f t="shared" ca="1" si="25"/>
        <v>115</v>
      </c>
      <c r="B133" s="255">
        <f t="shared" ca="1" si="17"/>
        <v>48549</v>
      </c>
      <c r="C133" s="256">
        <f t="shared" ca="1" si="24"/>
        <v>21.895042278559089</v>
      </c>
      <c r="D133" s="257">
        <f t="shared" ca="1" si="18"/>
        <v>0.73</v>
      </c>
      <c r="E133" s="253">
        <f t="shared" ca="1" si="23"/>
        <v>21.165042278559088</v>
      </c>
      <c r="F133" s="257">
        <f t="shared" ca="1" si="19"/>
        <v>0</v>
      </c>
      <c r="G133" s="257">
        <f t="shared" ca="1" si="20"/>
        <v>123.3401379657092</v>
      </c>
      <c r="H133" s="257">
        <f t="shared" ca="1" si="21"/>
        <v>123.3401379657092</v>
      </c>
      <c r="I133" s="220">
        <f t="shared" ca="1" si="22"/>
        <v>2032</v>
      </c>
      <c r="K133" s="260">
        <f t="shared" ca="1" si="26"/>
        <v>0</v>
      </c>
    </row>
    <row r="134" spans="1:11" x14ac:dyDescent="0.25">
      <c r="A134" s="254">
        <f t="shared" ca="1" si="25"/>
        <v>116</v>
      </c>
      <c r="B134" s="255">
        <f t="shared" ca="1" si="17"/>
        <v>48580</v>
      </c>
      <c r="C134" s="256">
        <f t="shared" ca="1" si="24"/>
        <v>21.895042278559089</v>
      </c>
      <c r="D134" s="257">
        <f t="shared" ca="1" si="18"/>
        <v>0.65</v>
      </c>
      <c r="E134" s="253">
        <f t="shared" ca="1" si="23"/>
        <v>21.24504227855909</v>
      </c>
      <c r="F134" s="257">
        <f t="shared" ca="1" si="19"/>
        <v>0</v>
      </c>
      <c r="G134" s="257">
        <f t="shared" ca="1" si="20"/>
        <v>102.09509568715012</v>
      </c>
      <c r="H134" s="257">
        <f t="shared" ca="1" si="21"/>
        <v>102.09509568715012</v>
      </c>
      <c r="I134" s="220">
        <f t="shared" ca="1" si="22"/>
        <v>2033</v>
      </c>
      <c r="K134" s="260" t="e">
        <f t="shared" ca="1" si="26"/>
        <v>#N/A</v>
      </c>
    </row>
    <row r="135" spans="1:11" x14ac:dyDescent="0.25">
      <c r="A135" s="254">
        <f t="shared" ca="1" si="25"/>
        <v>117</v>
      </c>
      <c r="B135" s="255">
        <f t="shared" ca="1" si="17"/>
        <v>48611</v>
      </c>
      <c r="C135" s="256">
        <f t="shared" ca="1" si="24"/>
        <v>21.895042278559089</v>
      </c>
      <c r="D135" s="257">
        <f t="shared" ca="1" si="18"/>
        <v>0.53</v>
      </c>
      <c r="E135" s="253">
        <f t="shared" ca="1" si="23"/>
        <v>21.365042278559088</v>
      </c>
      <c r="F135" s="257">
        <f t="shared" ca="1" si="19"/>
        <v>0</v>
      </c>
      <c r="G135" s="257">
        <f t="shared" ca="1" si="20"/>
        <v>80.730053408591033</v>
      </c>
      <c r="H135" s="257">
        <f t="shared" ca="1" si="21"/>
        <v>80.730053408591033</v>
      </c>
      <c r="I135" s="220">
        <f t="shared" ca="1" si="22"/>
        <v>2033</v>
      </c>
      <c r="K135" s="260" t="e">
        <f t="shared" ca="1" si="26"/>
        <v>#N/A</v>
      </c>
    </row>
    <row r="136" spans="1:11" x14ac:dyDescent="0.25">
      <c r="A136" s="254">
        <f t="shared" ca="1" si="25"/>
        <v>118</v>
      </c>
      <c r="B136" s="255">
        <f t="shared" ca="1" si="17"/>
        <v>48639</v>
      </c>
      <c r="C136" s="256">
        <f t="shared" ca="1" si="24"/>
        <v>21.895042278559089</v>
      </c>
      <c r="D136" s="257">
        <f t="shared" ca="1" si="18"/>
        <v>0.38</v>
      </c>
      <c r="E136" s="253">
        <f t="shared" ca="1" si="23"/>
        <v>21.51504227855909</v>
      </c>
      <c r="F136" s="257">
        <f t="shared" ca="1" si="19"/>
        <v>0</v>
      </c>
      <c r="G136" s="257">
        <f t="shared" ca="1" si="20"/>
        <v>59.21501113003194</v>
      </c>
      <c r="H136" s="257">
        <f t="shared" ca="1" si="21"/>
        <v>59.21501113003194</v>
      </c>
      <c r="I136" s="220">
        <f t="shared" ca="1" si="22"/>
        <v>2033</v>
      </c>
      <c r="K136" s="260" t="e">
        <f t="shared" ca="1" si="26"/>
        <v>#N/A</v>
      </c>
    </row>
    <row r="137" spans="1:11" x14ac:dyDescent="0.25">
      <c r="A137" s="254">
        <f t="shared" ca="1" si="25"/>
        <v>119</v>
      </c>
      <c r="B137" s="255">
        <f t="shared" ca="1" si="17"/>
        <v>48670</v>
      </c>
      <c r="C137" s="256">
        <f t="shared" ca="1" si="24"/>
        <v>21.895042278559089</v>
      </c>
      <c r="D137" s="257">
        <f t="shared" ca="1" si="18"/>
        <v>0.31</v>
      </c>
      <c r="E137" s="253">
        <f t="shared" ca="1" si="23"/>
        <v>21.58504227855909</v>
      </c>
      <c r="F137" s="257">
        <f t="shared" ca="1" si="19"/>
        <v>0</v>
      </c>
      <c r="G137" s="257">
        <f t="shared" ca="1" si="20"/>
        <v>37.629968851472853</v>
      </c>
      <c r="H137" s="257">
        <f t="shared" ca="1" si="21"/>
        <v>37.629968851472853</v>
      </c>
      <c r="I137" s="220">
        <f t="shared" ca="1" si="22"/>
        <v>2033</v>
      </c>
      <c r="K137" s="260" t="e">
        <f t="shared" ca="1" si="26"/>
        <v>#N/A</v>
      </c>
    </row>
    <row r="138" spans="1:11" x14ac:dyDescent="0.25">
      <c r="A138" s="254">
        <f t="shared" ca="1" si="25"/>
        <v>120</v>
      </c>
      <c r="B138" s="255">
        <f t="shared" ca="1" si="17"/>
        <v>48700</v>
      </c>
      <c r="C138" s="256">
        <f t="shared" ca="1" si="24"/>
        <v>37.819968851472851</v>
      </c>
      <c r="D138" s="257">
        <f t="shared" ca="1" si="18"/>
        <v>0.19</v>
      </c>
      <c r="E138" s="253">
        <f t="shared" ca="1" si="23"/>
        <v>37.629968851472853</v>
      </c>
      <c r="F138" s="257">
        <f t="shared" ca="1" si="19"/>
        <v>0</v>
      </c>
      <c r="G138" s="257">
        <f t="shared" ca="1" si="20"/>
        <v>0</v>
      </c>
      <c r="H138" s="257">
        <f t="shared" ca="1" si="21"/>
        <v>0</v>
      </c>
      <c r="I138" s="220">
        <f t="shared" ca="1" si="22"/>
        <v>2033</v>
      </c>
      <c r="K138" s="260" t="e">
        <f t="shared" ca="1" si="26"/>
        <v>#N/A</v>
      </c>
    </row>
    <row r="139" spans="1:11" x14ac:dyDescent="0.25">
      <c r="A139" s="254" t="str">
        <f t="shared" ca="1" si="25"/>
        <v/>
      </c>
      <c r="B139" s="255"/>
      <c r="C139" s="256"/>
      <c r="D139" s="257" t="str">
        <f t="shared" si="18"/>
        <v/>
      </c>
      <c r="E139" s="253"/>
      <c r="F139" s="257" t="str">
        <f t="shared" si="19"/>
        <v/>
      </c>
      <c r="G139" s="257" t="str">
        <f t="shared" si="20"/>
        <v/>
      </c>
      <c r="H139" s="257" t="str">
        <f t="shared" si="21"/>
        <v/>
      </c>
    </row>
    <row r="140" spans="1:11" x14ac:dyDescent="0.25">
      <c r="A140" s="254" t="str">
        <f t="shared" ca="1" si="25"/>
        <v/>
      </c>
      <c r="B140" s="255"/>
      <c r="C140" s="256"/>
      <c r="D140" s="257" t="str">
        <f t="shared" si="18"/>
        <v/>
      </c>
      <c r="E140" s="253"/>
      <c r="F140" s="257" t="str">
        <f t="shared" si="19"/>
        <v/>
      </c>
      <c r="G140" s="257" t="str">
        <f t="shared" si="20"/>
        <v/>
      </c>
      <c r="H140" s="257" t="str">
        <f t="shared" si="21"/>
        <v/>
      </c>
    </row>
    <row r="141" spans="1:11" x14ac:dyDescent="0.25">
      <c r="A141" s="254" t="str">
        <f t="shared" ca="1" si="25"/>
        <v/>
      </c>
      <c r="B141" s="255"/>
      <c r="C141" s="256"/>
      <c r="D141" s="257" t="str">
        <f t="shared" si="18"/>
        <v/>
      </c>
      <c r="E141" s="253"/>
      <c r="F141" s="257" t="str">
        <f t="shared" si="19"/>
        <v/>
      </c>
      <c r="G141" s="257" t="str">
        <f t="shared" si="20"/>
        <v/>
      </c>
      <c r="H141" s="257" t="str">
        <f t="shared" si="21"/>
        <v/>
      </c>
    </row>
    <row r="142" spans="1:11" x14ac:dyDescent="0.25">
      <c r="A142" s="254" t="str">
        <f t="shared" ca="1" si="25"/>
        <v/>
      </c>
      <c r="B142" s="255"/>
      <c r="C142" s="256"/>
      <c r="D142" s="257" t="str">
        <f t="shared" si="18"/>
        <v/>
      </c>
      <c r="E142" s="253"/>
      <c r="F142" s="257" t="str">
        <f t="shared" si="19"/>
        <v/>
      </c>
      <c r="G142" s="257" t="str">
        <f t="shared" si="20"/>
        <v/>
      </c>
      <c r="H142" s="257" t="str">
        <f t="shared" si="21"/>
        <v/>
      </c>
    </row>
    <row r="143" spans="1:11" x14ac:dyDescent="0.25">
      <c r="A143" s="254" t="str">
        <f t="shared" ca="1" si="25"/>
        <v/>
      </c>
      <c r="B143" s="255"/>
      <c r="C143" s="256"/>
      <c r="D143" s="257" t="str">
        <f t="shared" si="18"/>
        <v/>
      </c>
      <c r="E143" s="253"/>
      <c r="F143" s="257" t="str">
        <f t="shared" si="19"/>
        <v/>
      </c>
      <c r="G143" s="257" t="str">
        <f t="shared" si="20"/>
        <v/>
      </c>
      <c r="H143" s="257" t="str">
        <f t="shared" si="21"/>
        <v/>
      </c>
    </row>
    <row r="144" spans="1:11" x14ac:dyDescent="0.25">
      <c r="A144" s="254" t="str">
        <f t="shared" ca="1" si="25"/>
        <v/>
      </c>
      <c r="B144" s="255"/>
      <c r="C144" s="256"/>
      <c r="D144" s="257" t="str">
        <f t="shared" si="18"/>
        <v/>
      </c>
      <c r="E144" s="253"/>
      <c r="F144" s="257" t="str">
        <f t="shared" si="19"/>
        <v/>
      </c>
      <c r="G144" s="257" t="str">
        <f t="shared" si="20"/>
        <v/>
      </c>
      <c r="H144" s="257" t="str">
        <f t="shared" si="21"/>
        <v/>
      </c>
    </row>
    <row r="145" spans="1:8" x14ac:dyDescent="0.25">
      <c r="A145" s="254" t="str">
        <f t="shared" ca="1" si="25"/>
        <v/>
      </c>
      <c r="B145" s="255"/>
      <c r="C145" s="256"/>
      <c r="D145" s="257" t="str">
        <f t="shared" si="18"/>
        <v/>
      </c>
      <c r="E145" s="253"/>
      <c r="F145" s="257" t="str">
        <f t="shared" si="19"/>
        <v/>
      </c>
      <c r="G145" s="257" t="str">
        <f t="shared" si="20"/>
        <v/>
      </c>
      <c r="H145" s="257" t="str">
        <f t="shared" si="21"/>
        <v/>
      </c>
    </row>
    <row r="146" spans="1:8" x14ac:dyDescent="0.25">
      <c r="A146" s="254" t="str">
        <f t="shared" ca="1" si="25"/>
        <v/>
      </c>
      <c r="B146" s="255"/>
      <c r="C146" s="256"/>
      <c r="D146" s="257" t="str">
        <f t="shared" si="18"/>
        <v/>
      </c>
      <c r="E146" s="253"/>
      <c r="F146" s="257" t="str">
        <f t="shared" si="19"/>
        <v/>
      </c>
      <c r="G146" s="257" t="str">
        <f t="shared" si="20"/>
        <v/>
      </c>
      <c r="H146" s="257" t="str">
        <f t="shared" si="21"/>
        <v/>
      </c>
    </row>
    <row r="147" spans="1:8" x14ac:dyDescent="0.25">
      <c r="A147" s="254" t="str">
        <f t="shared" ca="1" si="25"/>
        <v/>
      </c>
      <c r="B147" s="255"/>
      <c r="C147" s="256"/>
      <c r="D147" s="257" t="str">
        <f t="shared" ref="D147:D210" si="27">IF(B147="","",ROUND((B147-B146)*$H$9*G146,2))</f>
        <v/>
      </c>
      <c r="E147" s="253"/>
      <c r="F147" s="257" t="str">
        <f t="shared" ref="F147:F210" si="28">IF(B147="","",IF(C147&gt;F146+D147,0,F146+D147-C147))</f>
        <v/>
      </c>
      <c r="G147" s="257" t="str">
        <f t="shared" ref="G147:G210" si="29">IF(B147="","",IF(C147&gt;D147+F146,G146+F146+D147-C147,G146))</f>
        <v/>
      </c>
      <c r="H147" s="257" t="str">
        <f t="shared" ref="H147:H210" si="30">IF(B147="","",G147+F147)</f>
        <v/>
      </c>
    </row>
    <row r="148" spans="1:8" x14ac:dyDescent="0.25">
      <c r="A148" s="254" t="str">
        <f t="shared" ca="1" si="25"/>
        <v/>
      </c>
      <c r="B148" s="255"/>
      <c r="C148" s="256"/>
      <c r="D148" s="257" t="str">
        <f t="shared" si="27"/>
        <v/>
      </c>
      <c r="E148" s="253"/>
      <c r="F148" s="257" t="str">
        <f t="shared" si="28"/>
        <v/>
      </c>
      <c r="G148" s="257" t="str">
        <f t="shared" si="29"/>
        <v/>
      </c>
      <c r="H148" s="257" t="str">
        <f t="shared" si="30"/>
        <v/>
      </c>
    </row>
    <row r="149" spans="1:8" x14ac:dyDescent="0.25">
      <c r="A149" s="254" t="str">
        <f t="shared" ca="1" si="25"/>
        <v/>
      </c>
      <c r="B149" s="255"/>
      <c r="C149" s="256"/>
      <c r="D149" s="257" t="str">
        <f t="shared" si="27"/>
        <v/>
      </c>
      <c r="E149" s="253"/>
      <c r="F149" s="257" t="str">
        <f t="shared" si="28"/>
        <v/>
      </c>
      <c r="G149" s="257" t="str">
        <f t="shared" si="29"/>
        <v/>
      </c>
      <c r="H149" s="257" t="str">
        <f t="shared" si="30"/>
        <v/>
      </c>
    </row>
    <row r="150" spans="1:8" x14ac:dyDescent="0.25">
      <c r="A150" s="254" t="str">
        <f t="shared" ca="1" si="25"/>
        <v/>
      </c>
      <c r="B150" s="255"/>
      <c r="C150" s="256"/>
      <c r="D150" s="257" t="str">
        <f t="shared" si="27"/>
        <v/>
      </c>
      <c r="E150" s="253"/>
      <c r="F150" s="257" t="str">
        <f t="shared" si="28"/>
        <v/>
      </c>
      <c r="G150" s="257" t="str">
        <f t="shared" si="29"/>
        <v/>
      </c>
      <c r="H150" s="257" t="str">
        <f t="shared" si="30"/>
        <v/>
      </c>
    </row>
    <row r="151" spans="1:8" x14ac:dyDescent="0.25">
      <c r="A151" s="254" t="str">
        <f t="shared" ca="1" si="25"/>
        <v/>
      </c>
      <c r="B151" s="255"/>
      <c r="C151" s="256"/>
      <c r="D151" s="257" t="str">
        <f t="shared" si="27"/>
        <v/>
      </c>
      <c r="E151" s="253"/>
      <c r="F151" s="257" t="str">
        <f t="shared" si="28"/>
        <v/>
      </c>
      <c r="G151" s="257" t="str">
        <f t="shared" si="29"/>
        <v/>
      </c>
      <c r="H151" s="257" t="str">
        <f t="shared" si="30"/>
        <v/>
      </c>
    </row>
    <row r="152" spans="1:8" x14ac:dyDescent="0.25">
      <c r="A152" s="254" t="str">
        <f t="shared" ca="1" si="25"/>
        <v/>
      </c>
      <c r="B152" s="255"/>
      <c r="C152" s="256"/>
      <c r="D152" s="257" t="str">
        <f t="shared" si="27"/>
        <v/>
      </c>
      <c r="E152" s="253"/>
      <c r="F152" s="257" t="str">
        <f t="shared" si="28"/>
        <v/>
      </c>
      <c r="G152" s="257" t="str">
        <f t="shared" si="29"/>
        <v/>
      </c>
      <c r="H152" s="257" t="str">
        <f t="shared" si="30"/>
        <v/>
      </c>
    </row>
    <row r="153" spans="1:8" x14ac:dyDescent="0.25">
      <c r="A153" s="254" t="str">
        <f t="shared" ca="1" si="25"/>
        <v/>
      </c>
      <c r="B153" s="255"/>
      <c r="C153" s="256"/>
      <c r="D153" s="257" t="str">
        <f t="shared" si="27"/>
        <v/>
      </c>
      <c r="E153" s="253"/>
      <c r="F153" s="257" t="str">
        <f t="shared" si="28"/>
        <v/>
      </c>
      <c r="G153" s="257" t="str">
        <f t="shared" si="29"/>
        <v/>
      </c>
      <c r="H153" s="257" t="str">
        <f t="shared" si="30"/>
        <v/>
      </c>
    </row>
    <row r="154" spans="1:8" x14ac:dyDescent="0.25">
      <c r="A154" s="254" t="str">
        <f t="shared" ca="1" si="25"/>
        <v/>
      </c>
      <c r="B154" s="255"/>
      <c r="C154" s="256"/>
      <c r="D154" s="257" t="str">
        <f t="shared" si="27"/>
        <v/>
      </c>
      <c r="E154" s="253"/>
      <c r="F154" s="257" t="str">
        <f t="shared" si="28"/>
        <v/>
      </c>
      <c r="G154" s="257" t="str">
        <f t="shared" si="29"/>
        <v/>
      </c>
      <c r="H154" s="257" t="str">
        <f t="shared" si="30"/>
        <v/>
      </c>
    </row>
    <row r="155" spans="1:8" x14ac:dyDescent="0.25">
      <c r="A155" s="254" t="str">
        <f t="shared" ca="1" si="25"/>
        <v/>
      </c>
      <c r="B155" s="255"/>
      <c r="C155" s="256"/>
      <c r="D155" s="257" t="str">
        <f t="shared" si="27"/>
        <v/>
      </c>
      <c r="E155" s="253"/>
      <c r="F155" s="257" t="str">
        <f t="shared" si="28"/>
        <v/>
      </c>
      <c r="G155" s="257" t="str">
        <f t="shared" si="29"/>
        <v/>
      </c>
      <c r="H155" s="257" t="str">
        <f t="shared" si="30"/>
        <v/>
      </c>
    </row>
    <row r="156" spans="1:8" x14ac:dyDescent="0.25">
      <c r="A156" s="254" t="str">
        <f t="shared" ca="1" si="25"/>
        <v/>
      </c>
      <c r="B156" s="255"/>
      <c r="C156" s="256"/>
      <c r="D156" s="257" t="str">
        <f t="shared" si="27"/>
        <v/>
      </c>
      <c r="E156" s="253"/>
      <c r="F156" s="257" t="str">
        <f t="shared" si="28"/>
        <v/>
      </c>
      <c r="G156" s="257" t="str">
        <f t="shared" si="29"/>
        <v/>
      </c>
      <c r="H156" s="257" t="str">
        <f t="shared" si="30"/>
        <v/>
      </c>
    </row>
    <row r="157" spans="1:8" x14ac:dyDescent="0.25">
      <c r="A157" s="254" t="str">
        <f t="shared" ca="1" si="25"/>
        <v/>
      </c>
      <c r="B157" s="255"/>
      <c r="C157" s="256"/>
      <c r="D157" s="257" t="str">
        <f t="shared" si="27"/>
        <v/>
      </c>
      <c r="E157" s="253"/>
      <c r="F157" s="257" t="str">
        <f t="shared" si="28"/>
        <v/>
      </c>
      <c r="G157" s="257" t="str">
        <f t="shared" si="29"/>
        <v/>
      </c>
      <c r="H157" s="257" t="str">
        <f t="shared" si="30"/>
        <v/>
      </c>
    </row>
    <row r="158" spans="1:8" x14ac:dyDescent="0.25">
      <c r="A158" s="254" t="str">
        <f t="shared" ca="1" si="25"/>
        <v/>
      </c>
      <c r="B158" s="255"/>
      <c r="C158" s="256"/>
      <c r="D158" s="257" t="str">
        <f t="shared" si="27"/>
        <v/>
      </c>
      <c r="E158" s="253"/>
      <c r="F158" s="257" t="str">
        <f t="shared" si="28"/>
        <v/>
      </c>
      <c r="G158" s="257" t="str">
        <f t="shared" si="29"/>
        <v/>
      </c>
      <c r="H158" s="257" t="str">
        <f t="shared" si="30"/>
        <v/>
      </c>
    </row>
    <row r="159" spans="1:8" x14ac:dyDescent="0.25">
      <c r="A159" s="254" t="str">
        <f t="shared" ca="1" si="25"/>
        <v/>
      </c>
      <c r="B159" s="255"/>
      <c r="C159" s="256"/>
      <c r="D159" s="257" t="str">
        <f t="shared" si="27"/>
        <v/>
      </c>
      <c r="E159" s="253"/>
      <c r="F159" s="257" t="str">
        <f t="shared" si="28"/>
        <v/>
      </c>
      <c r="G159" s="257" t="str">
        <f t="shared" si="29"/>
        <v/>
      </c>
      <c r="H159" s="257" t="str">
        <f t="shared" si="30"/>
        <v/>
      </c>
    </row>
    <row r="160" spans="1:8" x14ac:dyDescent="0.25">
      <c r="A160" s="254" t="str">
        <f t="shared" ca="1" si="25"/>
        <v/>
      </c>
      <c r="B160" s="255"/>
      <c r="C160" s="256"/>
      <c r="D160" s="257" t="str">
        <f t="shared" si="27"/>
        <v/>
      </c>
      <c r="E160" s="253"/>
      <c r="F160" s="257" t="str">
        <f t="shared" si="28"/>
        <v/>
      </c>
      <c r="G160" s="257" t="str">
        <f t="shared" si="29"/>
        <v/>
      </c>
      <c r="H160" s="257" t="str">
        <f t="shared" si="30"/>
        <v/>
      </c>
    </row>
    <row r="161" spans="1:8" x14ac:dyDescent="0.25">
      <c r="A161" s="254" t="str">
        <f t="shared" ca="1" si="25"/>
        <v/>
      </c>
      <c r="B161" s="255"/>
      <c r="C161" s="256"/>
      <c r="D161" s="257" t="str">
        <f t="shared" si="27"/>
        <v/>
      </c>
      <c r="E161" s="253"/>
      <c r="F161" s="257" t="str">
        <f t="shared" si="28"/>
        <v/>
      </c>
      <c r="G161" s="257" t="str">
        <f t="shared" si="29"/>
        <v/>
      </c>
      <c r="H161" s="257" t="str">
        <f t="shared" si="30"/>
        <v/>
      </c>
    </row>
    <row r="162" spans="1:8" x14ac:dyDescent="0.25">
      <c r="A162" s="254" t="str">
        <f t="shared" ca="1" si="25"/>
        <v/>
      </c>
      <c r="B162" s="255"/>
      <c r="C162" s="256"/>
      <c r="D162" s="257" t="str">
        <f t="shared" si="27"/>
        <v/>
      </c>
      <c r="E162" s="253"/>
      <c r="F162" s="257" t="str">
        <f t="shared" si="28"/>
        <v/>
      </c>
      <c r="G162" s="257" t="str">
        <f t="shared" si="29"/>
        <v/>
      </c>
      <c r="H162" s="257" t="str">
        <f t="shared" si="30"/>
        <v/>
      </c>
    </row>
    <row r="163" spans="1:8" x14ac:dyDescent="0.25">
      <c r="A163" s="254" t="str">
        <f t="shared" ca="1" si="25"/>
        <v/>
      </c>
      <c r="B163" s="255"/>
      <c r="C163" s="256"/>
      <c r="D163" s="257" t="str">
        <f t="shared" si="27"/>
        <v/>
      </c>
      <c r="E163" s="253"/>
      <c r="F163" s="257" t="str">
        <f t="shared" si="28"/>
        <v/>
      </c>
      <c r="G163" s="257" t="str">
        <f t="shared" si="29"/>
        <v/>
      </c>
      <c r="H163" s="257" t="str">
        <f t="shared" si="30"/>
        <v/>
      </c>
    </row>
    <row r="164" spans="1:8" x14ac:dyDescent="0.25">
      <c r="A164" s="254" t="str">
        <f t="shared" ca="1" si="25"/>
        <v/>
      </c>
      <c r="B164" s="255"/>
      <c r="C164" s="256"/>
      <c r="D164" s="257" t="str">
        <f t="shared" si="27"/>
        <v/>
      </c>
      <c r="E164" s="253"/>
      <c r="F164" s="257" t="str">
        <f t="shared" si="28"/>
        <v/>
      </c>
      <c r="G164" s="257" t="str">
        <f t="shared" si="29"/>
        <v/>
      </c>
      <c r="H164" s="257" t="str">
        <f t="shared" si="30"/>
        <v/>
      </c>
    </row>
    <row r="165" spans="1:8" x14ac:dyDescent="0.25">
      <c r="A165" s="254" t="str">
        <f t="shared" ca="1" si="25"/>
        <v/>
      </c>
      <c r="B165" s="255"/>
      <c r="C165" s="256"/>
      <c r="D165" s="257" t="str">
        <f t="shared" si="27"/>
        <v/>
      </c>
      <c r="E165" s="253"/>
      <c r="F165" s="257" t="str">
        <f t="shared" si="28"/>
        <v/>
      </c>
      <c r="G165" s="257" t="str">
        <f t="shared" si="29"/>
        <v/>
      </c>
      <c r="H165" s="257" t="str">
        <f t="shared" si="30"/>
        <v/>
      </c>
    </row>
    <row r="166" spans="1:8" x14ac:dyDescent="0.25">
      <c r="A166" s="254" t="str">
        <f t="shared" ca="1" si="25"/>
        <v/>
      </c>
      <c r="B166" s="255"/>
      <c r="C166" s="256"/>
      <c r="D166" s="257" t="str">
        <f t="shared" si="27"/>
        <v/>
      </c>
      <c r="E166" s="253"/>
      <c r="F166" s="257" t="str">
        <f t="shared" si="28"/>
        <v/>
      </c>
      <c r="G166" s="257" t="str">
        <f t="shared" si="29"/>
        <v/>
      </c>
      <c r="H166" s="257" t="str">
        <f t="shared" si="30"/>
        <v/>
      </c>
    </row>
    <row r="167" spans="1:8" x14ac:dyDescent="0.25">
      <c r="A167" s="254" t="str">
        <f t="shared" ca="1" si="25"/>
        <v/>
      </c>
      <c r="B167" s="255"/>
      <c r="C167" s="256"/>
      <c r="D167" s="257" t="str">
        <f t="shared" si="27"/>
        <v/>
      </c>
      <c r="E167" s="253"/>
      <c r="F167" s="257" t="str">
        <f t="shared" si="28"/>
        <v/>
      </c>
      <c r="G167" s="257" t="str">
        <f t="shared" si="29"/>
        <v/>
      </c>
      <c r="H167" s="257" t="str">
        <f t="shared" si="30"/>
        <v/>
      </c>
    </row>
    <row r="168" spans="1:8" x14ac:dyDescent="0.25">
      <c r="A168" s="254" t="str">
        <f t="shared" ca="1" si="25"/>
        <v/>
      </c>
      <c r="B168" s="255"/>
      <c r="C168" s="256"/>
      <c r="D168" s="257" t="str">
        <f t="shared" si="27"/>
        <v/>
      </c>
      <c r="E168" s="253"/>
      <c r="F168" s="257" t="str">
        <f t="shared" si="28"/>
        <v/>
      </c>
      <c r="G168" s="257" t="str">
        <f t="shared" si="29"/>
        <v/>
      </c>
      <c r="H168" s="257" t="str">
        <f t="shared" si="30"/>
        <v/>
      </c>
    </row>
    <row r="169" spans="1:8" x14ac:dyDescent="0.25">
      <c r="A169" s="254" t="str">
        <f t="shared" ref="A169:A232" ca="1" si="31">IF(OR(H168&lt;=0,H168=""),"",OFFSET(A169,-1,0,1,1)+1)</f>
        <v/>
      </c>
      <c r="B169" s="255"/>
      <c r="C169" s="256"/>
      <c r="D169" s="257" t="str">
        <f t="shared" si="27"/>
        <v/>
      </c>
      <c r="E169" s="253"/>
      <c r="F169" s="257" t="str">
        <f t="shared" si="28"/>
        <v/>
      </c>
      <c r="G169" s="257" t="str">
        <f t="shared" si="29"/>
        <v/>
      </c>
      <c r="H169" s="257" t="str">
        <f t="shared" si="30"/>
        <v/>
      </c>
    </row>
    <row r="170" spans="1:8" x14ac:dyDescent="0.25">
      <c r="A170" s="254" t="str">
        <f t="shared" ca="1" si="31"/>
        <v/>
      </c>
      <c r="B170" s="255"/>
      <c r="C170" s="256"/>
      <c r="D170" s="257" t="str">
        <f t="shared" si="27"/>
        <v/>
      </c>
      <c r="E170" s="253"/>
      <c r="F170" s="257" t="str">
        <f t="shared" si="28"/>
        <v/>
      </c>
      <c r="G170" s="257" t="str">
        <f t="shared" si="29"/>
        <v/>
      </c>
      <c r="H170" s="257" t="str">
        <f t="shared" si="30"/>
        <v/>
      </c>
    </row>
    <row r="171" spans="1:8" x14ac:dyDescent="0.25">
      <c r="A171" s="254" t="str">
        <f t="shared" ca="1" si="31"/>
        <v/>
      </c>
      <c r="B171" s="255"/>
      <c r="C171" s="256"/>
      <c r="D171" s="257" t="str">
        <f t="shared" si="27"/>
        <v/>
      </c>
      <c r="E171" s="253"/>
      <c r="F171" s="257" t="str">
        <f t="shared" si="28"/>
        <v/>
      </c>
      <c r="G171" s="257" t="str">
        <f t="shared" si="29"/>
        <v/>
      </c>
      <c r="H171" s="257" t="str">
        <f t="shared" si="30"/>
        <v/>
      </c>
    </row>
    <row r="172" spans="1:8" x14ac:dyDescent="0.25">
      <c r="A172" s="254" t="str">
        <f t="shared" ca="1" si="31"/>
        <v/>
      </c>
      <c r="B172" s="255"/>
      <c r="C172" s="256"/>
      <c r="D172" s="257" t="str">
        <f t="shared" si="27"/>
        <v/>
      </c>
      <c r="E172" s="253"/>
      <c r="F172" s="257" t="str">
        <f t="shared" si="28"/>
        <v/>
      </c>
      <c r="G172" s="257" t="str">
        <f t="shared" si="29"/>
        <v/>
      </c>
      <c r="H172" s="257" t="str">
        <f t="shared" si="30"/>
        <v/>
      </c>
    </row>
    <row r="173" spans="1:8" x14ac:dyDescent="0.25">
      <c r="A173" s="254" t="str">
        <f t="shared" ca="1" si="31"/>
        <v/>
      </c>
      <c r="B173" s="255"/>
      <c r="C173" s="256"/>
      <c r="D173" s="257" t="str">
        <f t="shared" si="27"/>
        <v/>
      </c>
      <c r="E173" s="253"/>
      <c r="F173" s="257" t="str">
        <f t="shared" si="28"/>
        <v/>
      </c>
      <c r="G173" s="257" t="str">
        <f t="shared" si="29"/>
        <v/>
      </c>
      <c r="H173" s="257" t="str">
        <f t="shared" si="30"/>
        <v/>
      </c>
    </row>
    <row r="174" spans="1:8" x14ac:dyDescent="0.25">
      <c r="A174" s="254" t="str">
        <f t="shared" ca="1" si="31"/>
        <v/>
      </c>
      <c r="B174" s="255"/>
      <c r="C174" s="256"/>
      <c r="D174" s="257" t="str">
        <f t="shared" si="27"/>
        <v/>
      </c>
      <c r="E174" s="253"/>
      <c r="F174" s="257" t="str">
        <f t="shared" si="28"/>
        <v/>
      </c>
      <c r="G174" s="257" t="str">
        <f t="shared" si="29"/>
        <v/>
      </c>
      <c r="H174" s="257" t="str">
        <f t="shared" si="30"/>
        <v/>
      </c>
    </row>
    <row r="175" spans="1:8" x14ac:dyDescent="0.25">
      <c r="A175" s="254" t="str">
        <f t="shared" ca="1" si="31"/>
        <v/>
      </c>
      <c r="B175" s="255"/>
      <c r="C175" s="256"/>
      <c r="D175" s="257" t="str">
        <f t="shared" si="27"/>
        <v/>
      </c>
      <c r="E175" s="253"/>
      <c r="F175" s="257" t="str">
        <f t="shared" si="28"/>
        <v/>
      </c>
      <c r="G175" s="257" t="str">
        <f t="shared" si="29"/>
        <v/>
      </c>
      <c r="H175" s="257" t="str">
        <f t="shared" si="30"/>
        <v/>
      </c>
    </row>
    <row r="176" spans="1:8" x14ac:dyDescent="0.25">
      <c r="A176" s="254" t="str">
        <f t="shared" ca="1" si="31"/>
        <v/>
      </c>
      <c r="B176" s="255"/>
      <c r="C176" s="256"/>
      <c r="D176" s="257" t="str">
        <f t="shared" si="27"/>
        <v/>
      </c>
      <c r="E176" s="253"/>
      <c r="F176" s="257" t="str">
        <f t="shared" si="28"/>
        <v/>
      </c>
      <c r="G176" s="257" t="str">
        <f t="shared" si="29"/>
        <v/>
      </c>
      <c r="H176" s="257" t="str">
        <f t="shared" si="30"/>
        <v/>
      </c>
    </row>
    <row r="177" spans="1:8" x14ac:dyDescent="0.25">
      <c r="A177" s="254" t="str">
        <f t="shared" ca="1" si="31"/>
        <v/>
      </c>
      <c r="B177" s="255"/>
      <c r="C177" s="256"/>
      <c r="D177" s="257" t="str">
        <f t="shared" si="27"/>
        <v/>
      </c>
      <c r="E177" s="253"/>
      <c r="F177" s="257" t="str">
        <f t="shared" si="28"/>
        <v/>
      </c>
      <c r="G177" s="257" t="str">
        <f t="shared" si="29"/>
        <v/>
      </c>
      <c r="H177" s="257" t="str">
        <f t="shared" si="30"/>
        <v/>
      </c>
    </row>
    <row r="178" spans="1:8" x14ac:dyDescent="0.25">
      <c r="A178" s="254" t="str">
        <f t="shared" ca="1" si="31"/>
        <v/>
      </c>
      <c r="B178" s="255"/>
      <c r="C178" s="256"/>
      <c r="D178" s="257" t="str">
        <f t="shared" si="27"/>
        <v/>
      </c>
      <c r="E178" s="253"/>
      <c r="F178" s="257" t="str">
        <f t="shared" si="28"/>
        <v/>
      </c>
      <c r="G178" s="257" t="str">
        <f t="shared" si="29"/>
        <v/>
      </c>
      <c r="H178" s="257" t="str">
        <f t="shared" si="30"/>
        <v/>
      </c>
    </row>
    <row r="179" spans="1:8" x14ac:dyDescent="0.25">
      <c r="A179" s="254" t="str">
        <f t="shared" ca="1" si="31"/>
        <v/>
      </c>
      <c r="B179" s="255"/>
      <c r="C179" s="256"/>
      <c r="D179" s="257" t="str">
        <f t="shared" si="27"/>
        <v/>
      </c>
      <c r="E179" s="253"/>
      <c r="F179" s="257" t="str">
        <f t="shared" si="28"/>
        <v/>
      </c>
      <c r="G179" s="257" t="str">
        <f t="shared" si="29"/>
        <v/>
      </c>
      <c r="H179" s="257" t="str">
        <f t="shared" si="30"/>
        <v/>
      </c>
    </row>
    <row r="180" spans="1:8" x14ac:dyDescent="0.25">
      <c r="A180" s="254" t="str">
        <f t="shared" ca="1" si="31"/>
        <v/>
      </c>
      <c r="B180" s="255"/>
      <c r="C180" s="256"/>
      <c r="D180" s="257" t="str">
        <f t="shared" si="27"/>
        <v/>
      </c>
      <c r="E180" s="253"/>
      <c r="F180" s="257" t="str">
        <f t="shared" si="28"/>
        <v/>
      </c>
      <c r="G180" s="257" t="str">
        <f t="shared" si="29"/>
        <v/>
      </c>
      <c r="H180" s="257" t="str">
        <f t="shared" si="30"/>
        <v/>
      </c>
    </row>
    <row r="181" spans="1:8" x14ac:dyDescent="0.25">
      <c r="A181" s="254" t="str">
        <f t="shared" ca="1" si="31"/>
        <v/>
      </c>
      <c r="B181" s="255"/>
      <c r="C181" s="256"/>
      <c r="D181" s="257" t="str">
        <f t="shared" si="27"/>
        <v/>
      </c>
      <c r="E181" s="253"/>
      <c r="F181" s="257" t="str">
        <f t="shared" si="28"/>
        <v/>
      </c>
      <c r="G181" s="257" t="str">
        <f t="shared" si="29"/>
        <v/>
      </c>
      <c r="H181" s="257" t="str">
        <f t="shared" si="30"/>
        <v/>
      </c>
    </row>
    <row r="182" spans="1:8" x14ac:dyDescent="0.25">
      <c r="A182" s="254" t="str">
        <f t="shared" ca="1" si="31"/>
        <v/>
      </c>
      <c r="B182" s="255"/>
      <c r="C182" s="256"/>
      <c r="D182" s="257" t="str">
        <f t="shared" si="27"/>
        <v/>
      </c>
      <c r="E182" s="253"/>
      <c r="F182" s="257" t="str">
        <f t="shared" si="28"/>
        <v/>
      </c>
      <c r="G182" s="257" t="str">
        <f t="shared" si="29"/>
        <v/>
      </c>
      <c r="H182" s="257" t="str">
        <f t="shared" si="30"/>
        <v/>
      </c>
    </row>
    <row r="183" spans="1:8" x14ac:dyDescent="0.25">
      <c r="A183" s="254" t="str">
        <f t="shared" ca="1" si="31"/>
        <v/>
      </c>
      <c r="B183" s="255"/>
      <c r="C183" s="256"/>
      <c r="D183" s="257" t="str">
        <f t="shared" si="27"/>
        <v/>
      </c>
      <c r="E183" s="253"/>
      <c r="F183" s="257" t="str">
        <f t="shared" si="28"/>
        <v/>
      </c>
      <c r="G183" s="257" t="str">
        <f t="shared" si="29"/>
        <v/>
      </c>
      <c r="H183" s="257" t="str">
        <f t="shared" si="30"/>
        <v/>
      </c>
    </row>
    <row r="184" spans="1:8" x14ac:dyDescent="0.25">
      <c r="A184" s="254" t="str">
        <f t="shared" ca="1" si="31"/>
        <v/>
      </c>
      <c r="B184" s="255"/>
      <c r="C184" s="256"/>
      <c r="D184" s="257" t="str">
        <f t="shared" si="27"/>
        <v/>
      </c>
      <c r="E184" s="253"/>
      <c r="F184" s="257" t="str">
        <f t="shared" si="28"/>
        <v/>
      </c>
      <c r="G184" s="257" t="str">
        <f t="shared" si="29"/>
        <v/>
      </c>
      <c r="H184" s="257" t="str">
        <f t="shared" si="30"/>
        <v/>
      </c>
    </row>
    <row r="185" spans="1:8" x14ac:dyDescent="0.25">
      <c r="A185" s="254" t="str">
        <f t="shared" ca="1" si="31"/>
        <v/>
      </c>
      <c r="B185" s="255"/>
      <c r="C185" s="256"/>
      <c r="D185" s="257" t="str">
        <f t="shared" si="27"/>
        <v/>
      </c>
      <c r="E185" s="253"/>
      <c r="F185" s="257" t="str">
        <f t="shared" si="28"/>
        <v/>
      </c>
      <c r="G185" s="257" t="str">
        <f t="shared" si="29"/>
        <v/>
      </c>
      <c r="H185" s="257" t="str">
        <f t="shared" si="30"/>
        <v/>
      </c>
    </row>
    <row r="186" spans="1:8" x14ac:dyDescent="0.25">
      <c r="A186" s="254" t="str">
        <f t="shared" ca="1" si="31"/>
        <v/>
      </c>
      <c r="B186" s="255"/>
      <c r="C186" s="256"/>
      <c r="D186" s="257" t="str">
        <f t="shared" si="27"/>
        <v/>
      </c>
      <c r="E186" s="253"/>
      <c r="F186" s="257" t="str">
        <f t="shared" si="28"/>
        <v/>
      </c>
      <c r="G186" s="257" t="str">
        <f t="shared" si="29"/>
        <v/>
      </c>
      <c r="H186" s="257" t="str">
        <f t="shared" si="30"/>
        <v/>
      </c>
    </row>
    <row r="187" spans="1:8" x14ac:dyDescent="0.25">
      <c r="A187" s="254" t="str">
        <f t="shared" ca="1" si="31"/>
        <v/>
      </c>
      <c r="B187" s="255"/>
      <c r="C187" s="256"/>
      <c r="D187" s="257" t="str">
        <f t="shared" si="27"/>
        <v/>
      </c>
      <c r="E187" s="253"/>
      <c r="F187" s="257" t="str">
        <f t="shared" si="28"/>
        <v/>
      </c>
      <c r="G187" s="257" t="str">
        <f t="shared" si="29"/>
        <v/>
      </c>
      <c r="H187" s="257" t="str">
        <f t="shared" si="30"/>
        <v/>
      </c>
    </row>
    <row r="188" spans="1:8" x14ac:dyDescent="0.25">
      <c r="A188" s="254" t="str">
        <f t="shared" ca="1" si="31"/>
        <v/>
      </c>
      <c r="B188" s="255"/>
      <c r="C188" s="256"/>
      <c r="D188" s="257" t="str">
        <f t="shared" si="27"/>
        <v/>
      </c>
      <c r="E188" s="253"/>
      <c r="F188" s="257" t="str">
        <f t="shared" si="28"/>
        <v/>
      </c>
      <c r="G188" s="257" t="str">
        <f t="shared" si="29"/>
        <v/>
      </c>
      <c r="H188" s="257" t="str">
        <f t="shared" si="30"/>
        <v/>
      </c>
    </row>
    <row r="189" spans="1:8" x14ac:dyDescent="0.25">
      <c r="A189" s="254" t="str">
        <f t="shared" ca="1" si="31"/>
        <v/>
      </c>
      <c r="B189" s="255"/>
      <c r="C189" s="256"/>
      <c r="D189" s="257" t="str">
        <f t="shared" si="27"/>
        <v/>
      </c>
      <c r="E189" s="253"/>
      <c r="F189" s="257" t="str">
        <f t="shared" si="28"/>
        <v/>
      </c>
      <c r="G189" s="257" t="str">
        <f t="shared" si="29"/>
        <v/>
      </c>
      <c r="H189" s="257" t="str">
        <f t="shared" si="30"/>
        <v/>
      </c>
    </row>
    <row r="190" spans="1:8" x14ac:dyDescent="0.25">
      <c r="A190" s="254" t="str">
        <f t="shared" ca="1" si="31"/>
        <v/>
      </c>
      <c r="B190" s="255"/>
      <c r="C190" s="256"/>
      <c r="D190" s="257" t="str">
        <f t="shared" si="27"/>
        <v/>
      </c>
      <c r="E190" s="253"/>
      <c r="F190" s="257" t="str">
        <f t="shared" si="28"/>
        <v/>
      </c>
      <c r="G190" s="257" t="str">
        <f t="shared" si="29"/>
        <v/>
      </c>
      <c r="H190" s="257" t="str">
        <f t="shared" si="30"/>
        <v/>
      </c>
    </row>
    <row r="191" spans="1:8" x14ac:dyDescent="0.25">
      <c r="A191" s="254" t="str">
        <f t="shared" ca="1" si="31"/>
        <v/>
      </c>
      <c r="B191" s="255"/>
      <c r="C191" s="256"/>
      <c r="D191" s="257" t="str">
        <f t="shared" si="27"/>
        <v/>
      </c>
      <c r="E191" s="253"/>
      <c r="F191" s="257" t="str">
        <f t="shared" si="28"/>
        <v/>
      </c>
      <c r="G191" s="257" t="str">
        <f t="shared" si="29"/>
        <v/>
      </c>
      <c r="H191" s="257" t="str">
        <f t="shared" si="30"/>
        <v/>
      </c>
    </row>
    <row r="192" spans="1:8" x14ac:dyDescent="0.25">
      <c r="A192" s="254" t="str">
        <f t="shared" ca="1" si="31"/>
        <v/>
      </c>
      <c r="B192" s="255"/>
      <c r="C192" s="256"/>
      <c r="D192" s="257" t="str">
        <f t="shared" si="27"/>
        <v/>
      </c>
      <c r="E192" s="253"/>
      <c r="F192" s="257" t="str">
        <f t="shared" si="28"/>
        <v/>
      </c>
      <c r="G192" s="257" t="str">
        <f t="shared" si="29"/>
        <v/>
      </c>
      <c r="H192" s="257" t="str">
        <f t="shared" si="30"/>
        <v/>
      </c>
    </row>
    <row r="193" spans="1:8" x14ac:dyDescent="0.25">
      <c r="A193" s="254" t="str">
        <f t="shared" ca="1" si="31"/>
        <v/>
      </c>
      <c r="B193" s="255"/>
      <c r="C193" s="256"/>
      <c r="D193" s="257" t="str">
        <f t="shared" si="27"/>
        <v/>
      </c>
      <c r="E193" s="253"/>
      <c r="F193" s="257" t="str">
        <f t="shared" si="28"/>
        <v/>
      </c>
      <c r="G193" s="257" t="str">
        <f t="shared" si="29"/>
        <v/>
      </c>
      <c r="H193" s="257" t="str">
        <f t="shared" si="30"/>
        <v/>
      </c>
    </row>
    <row r="194" spans="1:8" x14ac:dyDescent="0.25">
      <c r="A194" s="254" t="str">
        <f t="shared" ca="1" si="31"/>
        <v/>
      </c>
      <c r="B194" s="255"/>
      <c r="C194" s="256"/>
      <c r="D194" s="257" t="str">
        <f t="shared" si="27"/>
        <v/>
      </c>
      <c r="E194" s="253"/>
      <c r="F194" s="257" t="str">
        <f t="shared" si="28"/>
        <v/>
      </c>
      <c r="G194" s="257" t="str">
        <f t="shared" si="29"/>
        <v/>
      </c>
      <c r="H194" s="257" t="str">
        <f t="shared" si="30"/>
        <v/>
      </c>
    </row>
    <row r="195" spans="1:8" x14ac:dyDescent="0.25">
      <c r="A195" s="254" t="str">
        <f t="shared" ca="1" si="31"/>
        <v/>
      </c>
      <c r="B195" s="255"/>
      <c r="C195" s="256"/>
      <c r="D195" s="257" t="str">
        <f t="shared" si="27"/>
        <v/>
      </c>
      <c r="E195" s="253"/>
      <c r="F195" s="257" t="str">
        <f t="shared" si="28"/>
        <v/>
      </c>
      <c r="G195" s="257" t="str">
        <f t="shared" si="29"/>
        <v/>
      </c>
      <c r="H195" s="257" t="str">
        <f t="shared" si="30"/>
        <v/>
      </c>
    </row>
    <row r="196" spans="1:8" x14ac:dyDescent="0.25">
      <c r="A196" s="254" t="str">
        <f t="shared" ca="1" si="31"/>
        <v/>
      </c>
      <c r="B196" s="255"/>
      <c r="C196" s="256"/>
      <c r="D196" s="257" t="str">
        <f t="shared" si="27"/>
        <v/>
      </c>
      <c r="E196" s="253"/>
      <c r="F196" s="257" t="str">
        <f t="shared" si="28"/>
        <v/>
      </c>
      <c r="G196" s="257" t="str">
        <f t="shared" si="29"/>
        <v/>
      </c>
      <c r="H196" s="257" t="str">
        <f t="shared" si="30"/>
        <v/>
      </c>
    </row>
    <row r="197" spans="1:8" x14ac:dyDescent="0.25">
      <c r="A197" s="254" t="str">
        <f t="shared" ca="1" si="31"/>
        <v/>
      </c>
      <c r="B197" s="255"/>
      <c r="C197" s="256"/>
      <c r="D197" s="257" t="str">
        <f t="shared" si="27"/>
        <v/>
      </c>
      <c r="E197" s="253"/>
      <c r="F197" s="257" t="str">
        <f t="shared" si="28"/>
        <v/>
      </c>
      <c r="G197" s="257" t="str">
        <f t="shared" si="29"/>
        <v/>
      </c>
      <c r="H197" s="257" t="str">
        <f t="shared" si="30"/>
        <v/>
      </c>
    </row>
    <row r="198" spans="1:8" x14ac:dyDescent="0.25">
      <c r="A198" s="254" t="str">
        <f t="shared" ca="1" si="31"/>
        <v/>
      </c>
      <c r="B198" s="255"/>
      <c r="C198" s="256"/>
      <c r="D198" s="257" t="str">
        <f t="shared" si="27"/>
        <v/>
      </c>
      <c r="E198" s="253"/>
      <c r="F198" s="257" t="str">
        <f t="shared" si="28"/>
        <v/>
      </c>
      <c r="G198" s="257" t="str">
        <f t="shared" si="29"/>
        <v/>
      </c>
      <c r="H198" s="257" t="str">
        <f t="shared" si="30"/>
        <v/>
      </c>
    </row>
    <row r="199" spans="1:8" x14ac:dyDescent="0.25">
      <c r="A199" s="254" t="str">
        <f t="shared" ca="1" si="31"/>
        <v/>
      </c>
      <c r="B199" s="255"/>
      <c r="C199" s="256"/>
      <c r="D199" s="257" t="str">
        <f t="shared" si="27"/>
        <v/>
      </c>
      <c r="E199" s="253"/>
      <c r="F199" s="257" t="str">
        <f t="shared" si="28"/>
        <v/>
      </c>
      <c r="G199" s="257" t="str">
        <f t="shared" si="29"/>
        <v/>
      </c>
      <c r="H199" s="257" t="str">
        <f t="shared" si="30"/>
        <v/>
      </c>
    </row>
    <row r="200" spans="1:8" x14ac:dyDescent="0.25">
      <c r="A200" s="254" t="str">
        <f t="shared" ca="1" si="31"/>
        <v/>
      </c>
      <c r="B200" s="255"/>
      <c r="C200" s="256"/>
      <c r="D200" s="257" t="str">
        <f t="shared" si="27"/>
        <v/>
      </c>
      <c r="E200" s="253"/>
      <c r="F200" s="257" t="str">
        <f t="shared" si="28"/>
        <v/>
      </c>
      <c r="G200" s="257" t="str">
        <f t="shared" si="29"/>
        <v/>
      </c>
      <c r="H200" s="257" t="str">
        <f t="shared" si="30"/>
        <v/>
      </c>
    </row>
    <row r="201" spans="1:8" x14ac:dyDescent="0.25">
      <c r="A201" s="254" t="str">
        <f t="shared" ca="1" si="31"/>
        <v/>
      </c>
      <c r="B201" s="255"/>
      <c r="C201" s="256"/>
      <c r="D201" s="257" t="str">
        <f t="shared" si="27"/>
        <v/>
      </c>
      <c r="E201" s="253"/>
      <c r="F201" s="257" t="str">
        <f t="shared" si="28"/>
        <v/>
      </c>
      <c r="G201" s="257" t="str">
        <f t="shared" si="29"/>
        <v/>
      </c>
      <c r="H201" s="257" t="str">
        <f t="shared" si="30"/>
        <v/>
      </c>
    </row>
    <row r="202" spans="1:8" x14ac:dyDescent="0.25">
      <c r="A202" s="254" t="str">
        <f t="shared" ca="1" si="31"/>
        <v/>
      </c>
      <c r="B202" s="255"/>
      <c r="C202" s="256"/>
      <c r="D202" s="257" t="str">
        <f t="shared" si="27"/>
        <v/>
      </c>
      <c r="E202" s="253"/>
      <c r="F202" s="257" t="str">
        <f t="shared" si="28"/>
        <v/>
      </c>
      <c r="G202" s="257" t="str">
        <f t="shared" si="29"/>
        <v/>
      </c>
      <c r="H202" s="257" t="str">
        <f t="shared" si="30"/>
        <v/>
      </c>
    </row>
    <row r="203" spans="1:8" x14ac:dyDescent="0.25">
      <c r="A203" s="254" t="str">
        <f t="shared" ca="1" si="31"/>
        <v/>
      </c>
      <c r="B203" s="255"/>
      <c r="C203" s="256"/>
      <c r="D203" s="257" t="str">
        <f t="shared" si="27"/>
        <v/>
      </c>
      <c r="E203" s="253"/>
      <c r="F203" s="257" t="str">
        <f t="shared" si="28"/>
        <v/>
      </c>
      <c r="G203" s="257" t="str">
        <f t="shared" si="29"/>
        <v/>
      </c>
      <c r="H203" s="257" t="str">
        <f t="shared" si="30"/>
        <v/>
      </c>
    </row>
    <row r="204" spans="1:8" x14ac:dyDescent="0.25">
      <c r="A204" s="254" t="str">
        <f t="shared" ca="1" si="31"/>
        <v/>
      </c>
      <c r="B204" s="255"/>
      <c r="C204" s="256"/>
      <c r="D204" s="257" t="str">
        <f t="shared" si="27"/>
        <v/>
      </c>
      <c r="E204" s="253"/>
      <c r="F204" s="257" t="str">
        <f t="shared" si="28"/>
        <v/>
      </c>
      <c r="G204" s="257" t="str">
        <f t="shared" si="29"/>
        <v/>
      </c>
      <c r="H204" s="257" t="str">
        <f t="shared" si="30"/>
        <v/>
      </c>
    </row>
    <row r="205" spans="1:8" x14ac:dyDescent="0.25">
      <c r="A205" s="254" t="str">
        <f t="shared" ca="1" si="31"/>
        <v/>
      </c>
      <c r="B205" s="255"/>
      <c r="C205" s="256"/>
      <c r="D205" s="257" t="str">
        <f t="shared" si="27"/>
        <v/>
      </c>
      <c r="E205" s="253"/>
      <c r="F205" s="257" t="str">
        <f t="shared" si="28"/>
        <v/>
      </c>
      <c r="G205" s="257" t="str">
        <f t="shared" si="29"/>
        <v/>
      </c>
      <c r="H205" s="257" t="str">
        <f t="shared" si="30"/>
        <v/>
      </c>
    </row>
    <row r="206" spans="1:8" x14ac:dyDescent="0.25">
      <c r="A206" s="254" t="str">
        <f t="shared" ca="1" si="31"/>
        <v/>
      </c>
      <c r="B206" s="255"/>
      <c r="C206" s="256"/>
      <c r="D206" s="257" t="str">
        <f t="shared" si="27"/>
        <v/>
      </c>
      <c r="E206" s="253"/>
      <c r="F206" s="257" t="str">
        <f t="shared" si="28"/>
        <v/>
      </c>
      <c r="G206" s="257" t="str">
        <f t="shared" si="29"/>
        <v/>
      </c>
      <c r="H206" s="257" t="str">
        <f t="shared" si="30"/>
        <v/>
      </c>
    </row>
    <row r="207" spans="1:8" x14ac:dyDescent="0.25">
      <c r="A207" s="254" t="str">
        <f t="shared" ca="1" si="31"/>
        <v/>
      </c>
      <c r="B207" s="255"/>
      <c r="C207" s="256"/>
      <c r="D207" s="257" t="str">
        <f t="shared" si="27"/>
        <v/>
      </c>
      <c r="E207" s="253"/>
      <c r="F207" s="257" t="str">
        <f t="shared" si="28"/>
        <v/>
      </c>
      <c r="G207" s="257" t="str">
        <f t="shared" si="29"/>
        <v/>
      </c>
      <c r="H207" s="257" t="str">
        <f t="shared" si="30"/>
        <v/>
      </c>
    </row>
    <row r="208" spans="1:8" x14ac:dyDescent="0.25">
      <c r="A208" s="254" t="str">
        <f t="shared" ca="1" si="31"/>
        <v/>
      </c>
      <c r="B208" s="255"/>
      <c r="C208" s="256"/>
      <c r="D208" s="257" t="str">
        <f t="shared" si="27"/>
        <v/>
      </c>
      <c r="E208" s="253"/>
      <c r="F208" s="257" t="str">
        <f t="shared" si="28"/>
        <v/>
      </c>
      <c r="G208" s="257" t="str">
        <f t="shared" si="29"/>
        <v/>
      </c>
      <c r="H208" s="257" t="str">
        <f t="shared" si="30"/>
        <v/>
      </c>
    </row>
    <row r="209" spans="1:8" x14ac:dyDescent="0.25">
      <c r="A209" s="254" t="str">
        <f t="shared" ca="1" si="31"/>
        <v/>
      </c>
      <c r="B209" s="255"/>
      <c r="C209" s="256"/>
      <c r="D209" s="257" t="str">
        <f t="shared" si="27"/>
        <v/>
      </c>
      <c r="E209" s="253"/>
      <c r="F209" s="257" t="str">
        <f t="shared" si="28"/>
        <v/>
      </c>
      <c r="G209" s="257" t="str">
        <f t="shared" si="29"/>
        <v/>
      </c>
      <c r="H209" s="257" t="str">
        <f t="shared" si="30"/>
        <v/>
      </c>
    </row>
    <row r="210" spans="1:8" x14ac:dyDescent="0.25">
      <c r="A210" s="254" t="str">
        <f t="shared" ca="1" si="31"/>
        <v/>
      </c>
      <c r="B210" s="255"/>
      <c r="C210" s="256"/>
      <c r="D210" s="257" t="str">
        <f t="shared" si="27"/>
        <v/>
      </c>
      <c r="E210" s="253"/>
      <c r="F210" s="257" t="str">
        <f t="shared" si="28"/>
        <v/>
      </c>
      <c r="G210" s="257" t="str">
        <f t="shared" si="29"/>
        <v/>
      </c>
      <c r="H210" s="257" t="str">
        <f t="shared" si="30"/>
        <v/>
      </c>
    </row>
    <row r="211" spans="1:8" x14ac:dyDescent="0.25">
      <c r="A211" s="254" t="str">
        <f t="shared" ca="1" si="31"/>
        <v/>
      </c>
      <c r="B211" s="255"/>
      <c r="C211" s="256"/>
      <c r="D211" s="257" t="str">
        <f t="shared" ref="D211:D274" si="32">IF(B211="","",ROUND((B211-B210)*$H$9*G210,2))</f>
        <v/>
      </c>
      <c r="E211" s="253"/>
      <c r="F211" s="257" t="str">
        <f t="shared" ref="F211:F274" si="33">IF(B211="","",IF(C211&gt;F210+D211,0,F210+D211-C211))</f>
        <v/>
      </c>
      <c r="G211" s="257" t="str">
        <f t="shared" ref="G211:G274" si="34">IF(B211="","",IF(C211&gt;D211+F210,G210+F210+D211-C211,G210))</f>
        <v/>
      </c>
      <c r="H211" s="257" t="str">
        <f t="shared" ref="H211:H274" si="35">IF(B211="","",G211+F211)</f>
        <v/>
      </c>
    </row>
    <row r="212" spans="1:8" x14ac:dyDescent="0.25">
      <c r="A212" s="254" t="str">
        <f t="shared" ca="1" si="31"/>
        <v/>
      </c>
      <c r="B212" s="255"/>
      <c r="C212" s="256"/>
      <c r="D212" s="257" t="str">
        <f t="shared" si="32"/>
        <v/>
      </c>
      <c r="E212" s="253"/>
      <c r="F212" s="257" t="str">
        <f t="shared" si="33"/>
        <v/>
      </c>
      <c r="G212" s="257" t="str">
        <f t="shared" si="34"/>
        <v/>
      </c>
      <c r="H212" s="257" t="str">
        <f t="shared" si="35"/>
        <v/>
      </c>
    </row>
    <row r="213" spans="1:8" x14ac:dyDescent="0.25">
      <c r="A213" s="254" t="str">
        <f t="shared" ca="1" si="31"/>
        <v/>
      </c>
      <c r="B213" s="255"/>
      <c r="C213" s="256"/>
      <c r="D213" s="257" t="str">
        <f t="shared" si="32"/>
        <v/>
      </c>
      <c r="E213" s="253"/>
      <c r="F213" s="257" t="str">
        <f t="shared" si="33"/>
        <v/>
      </c>
      <c r="G213" s="257" t="str">
        <f t="shared" si="34"/>
        <v/>
      </c>
      <c r="H213" s="257" t="str">
        <f t="shared" si="35"/>
        <v/>
      </c>
    </row>
    <row r="214" spans="1:8" x14ac:dyDescent="0.25">
      <c r="A214" s="254" t="str">
        <f t="shared" ca="1" si="31"/>
        <v/>
      </c>
      <c r="B214" s="255"/>
      <c r="C214" s="256"/>
      <c r="D214" s="257" t="str">
        <f t="shared" si="32"/>
        <v/>
      </c>
      <c r="E214" s="253"/>
      <c r="F214" s="257" t="str">
        <f t="shared" si="33"/>
        <v/>
      </c>
      <c r="G214" s="257" t="str">
        <f t="shared" si="34"/>
        <v/>
      </c>
      <c r="H214" s="257" t="str">
        <f t="shared" si="35"/>
        <v/>
      </c>
    </row>
    <row r="215" spans="1:8" x14ac:dyDescent="0.25">
      <c r="A215" s="254" t="str">
        <f t="shared" ca="1" si="31"/>
        <v/>
      </c>
      <c r="B215" s="255"/>
      <c r="C215" s="256"/>
      <c r="D215" s="257" t="str">
        <f t="shared" si="32"/>
        <v/>
      </c>
      <c r="E215" s="253"/>
      <c r="F215" s="257" t="str">
        <f t="shared" si="33"/>
        <v/>
      </c>
      <c r="G215" s="257" t="str">
        <f t="shared" si="34"/>
        <v/>
      </c>
      <c r="H215" s="257" t="str">
        <f t="shared" si="35"/>
        <v/>
      </c>
    </row>
    <row r="216" spans="1:8" x14ac:dyDescent="0.25">
      <c r="A216" s="254" t="str">
        <f t="shared" ca="1" si="31"/>
        <v/>
      </c>
      <c r="B216" s="255"/>
      <c r="C216" s="256"/>
      <c r="D216" s="257" t="str">
        <f t="shared" si="32"/>
        <v/>
      </c>
      <c r="E216" s="253"/>
      <c r="F216" s="257" t="str">
        <f t="shared" si="33"/>
        <v/>
      </c>
      <c r="G216" s="257" t="str">
        <f t="shared" si="34"/>
        <v/>
      </c>
      <c r="H216" s="257" t="str">
        <f t="shared" si="35"/>
        <v/>
      </c>
    </row>
    <row r="217" spans="1:8" x14ac:dyDescent="0.25">
      <c r="A217" s="254" t="str">
        <f t="shared" ca="1" si="31"/>
        <v/>
      </c>
      <c r="B217" s="255"/>
      <c r="C217" s="256"/>
      <c r="D217" s="257" t="str">
        <f t="shared" si="32"/>
        <v/>
      </c>
      <c r="E217" s="253"/>
      <c r="F217" s="257" t="str">
        <f t="shared" si="33"/>
        <v/>
      </c>
      <c r="G217" s="257" t="str">
        <f t="shared" si="34"/>
        <v/>
      </c>
      <c r="H217" s="257" t="str">
        <f t="shared" si="35"/>
        <v/>
      </c>
    </row>
    <row r="218" spans="1:8" x14ac:dyDescent="0.25">
      <c r="A218" s="254" t="str">
        <f t="shared" ca="1" si="31"/>
        <v/>
      </c>
      <c r="B218" s="255"/>
      <c r="C218" s="256"/>
      <c r="D218" s="257" t="str">
        <f t="shared" si="32"/>
        <v/>
      </c>
      <c r="E218" s="253"/>
      <c r="F218" s="257" t="str">
        <f t="shared" si="33"/>
        <v/>
      </c>
      <c r="G218" s="257" t="str">
        <f t="shared" si="34"/>
        <v/>
      </c>
      <c r="H218" s="257" t="str">
        <f t="shared" si="35"/>
        <v/>
      </c>
    </row>
    <row r="219" spans="1:8" x14ac:dyDescent="0.25">
      <c r="A219" s="254" t="str">
        <f t="shared" ca="1" si="31"/>
        <v/>
      </c>
      <c r="B219" s="255"/>
      <c r="C219" s="256"/>
      <c r="D219" s="257" t="str">
        <f t="shared" si="32"/>
        <v/>
      </c>
      <c r="E219" s="253"/>
      <c r="F219" s="257" t="str">
        <f t="shared" si="33"/>
        <v/>
      </c>
      <c r="G219" s="257" t="str">
        <f t="shared" si="34"/>
        <v/>
      </c>
      <c r="H219" s="257" t="str">
        <f t="shared" si="35"/>
        <v/>
      </c>
    </row>
    <row r="220" spans="1:8" x14ac:dyDescent="0.25">
      <c r="A220" s="254" t="str">
        <f t="shared" ca="1" si="31"/>
        <v/>
      </c>
      <c r="B220" s="255"/>
      <c r="C220" s="256"/>
      <c r="D220" s="257" t="str">
        <f t="shared" si="32"/>
        <v/>
      </c>
      <c r="E220" s="253"/>
      <c r="F220" s="257" t="str">
        <f t="shared" si="33"/>
        <v/>
      </c>
      <c r="G220" s="257" t="str">
        <f t="shared" si="34"/>
        <v/>
      </c>
      <c r="H220" s="257" t="str">
        <f t="shared" si="35"/>
        <v/>
      </c>
    </row>
    <row r="221" spans="1:8" x14ac:dyDescent="0.25">
      <c r="A221" s="254" t="str">
        <f t="shared" ca="1" si="31"/>
        <v/>
      </c>
      <c r="B221" s="255"/>
      <c r="C221" s="256"/>
      <c r="D221" s="257" t="str">
        <f t="shared" si="32"/>
        <v/>
      </c>
      <c r="E221" s="253"/>
      <c r="F221" s="257" t="str">
        <f t="shared" si="33"/>
        <v/>
      </c>
      <c r="G221" s="257" t="str">
        <f t="shared" si="34"/>
        <v/>
      </c>
      <c r="H221" s="257" t="str">
        <f t="shared" si="35"/>
        <v/>
      </c>
    </row>
    <row r="222" spans="1:8" x14ac:dyDescent="0.25">
      <c r="A222" s="254" t="str">
        <f t="shared" ca="1" si="31"/>
        <v/>
      </c>
      <c r="B222" s="255"/>
      <c r="C222" s="256"/>
      <c r="D222" s="257" t="str">
        <f t="shared" si="32"/>
        <v/>
      </c>
      <c r="E222" s="253"/>
      <c r="F222" s="257" t="str">
        <f t="shared" si="33"/>
        <v/>
      </c>
      <c r="G222" s="257" t="str">
        <f t="shared" si="34"/>
        <v/>
      </c>
      <c r="H222" s="257" t="str">
        <f t="shared" si="35"/>
        <v/>
      </c>
    </row>
    <row r="223" spans="1:8" x14ac:dyDescent="0.25">
      <c r="A223" s="254" t="str">
        <f t="shared" ca="1" si="31"/>
        <v/>
      </c>
      <c r="B223" s="255"/>
      <c r="C223" s="256"/>
      <c r="D223" s="257" t="str">
        <f t="shared" si="32"/>
        <v/>
      </c>
      <c r="E223" s="253"/>
      <c r="F223" s="257" t="str">
        <f t="shared" si="33"/>
        <v/>
      </c>
      <c r="G223" s="257" t="str">
        <f t="shared" si="34"/>
        <v/>
      </c>
      <c r="H223" s="257" t="str">
        <f t="shared" si="35"/>
        <v/>
      </c>
    </row>
    <row r="224" spans="1:8" x14ac:dyDescent="0.25">
      <c r="A224" s="254" t="str">
        <f t="shared" ca="1" si="31"/>
        <v/>
      </c>
      <c r="B224" s="255"/>
      <c r="C224" s="256"/>
      <c r="D224" s="257" t="str">
        <f t="shared" si="32"/>
        <v/>
      </c>
      <c r="E224" s="253"/>
      <c r="F224" s="257" t="str">
        <f t="shared" si="33"/>
        <v/>
      </c>
      <c r="G224" s="257" t="str">
        <f t="shared" si="34"/>
        <v/>
      </c>
      <c r="H224" s="257" t="str">
        <f t="shared" si="35"/>
        <v/>
      </c>
    </row>
    <row r="225" spans="1:8" x14ac:dyDescent="0.25">
      <c r="A225" s="254" t="str">
        <f t="shared" ca="1" si="31"/>
        <v/>
      </c>
      <c r="B225" s="255"/>
      <c r="C225" s="256"/>
      <c r="D225" s="257" t="str">
        <f t="shared" si="32"/>
        <v/>
      </c>
      <c r="E225" s="253"/>
      <c r="F225" s="257" t="str">
        <f t="shared" si="33"/>
        <v/>
      </c>
      <c r="G225" s="257" t="str">
        <f t="shared" si="34"/>
        <v/>
      </c>
      <c r="H225" s="257" t="str">
        <f t="shared" si="35"/>
        <v/>
      </c>
    </row>
    <row r="226" spans="1:8" x14ac:dyDescent="0.25">
      <c r="A226" s="254" t="str">
        <f t="shared" ca="1" si="31"/>
        <v/>
      </c>
      <c r="B226" s="255"/>
      <c r="C226" s="256"/>
      <c r="D226" s="257" t="str">
        <f t="shared" si="32"/>
        <v/>
      </c>
      <c r="E226" s="253"/>
      <c r="F226" s="257" t="str">
        <f t="shared" si="33"/>
        <v/>
      </c>
      <c r="G226" s="257" t="str">
        <f t="shared" si="34"/>
        <v/>
      </c>
      <c r="H226" s="257" t="str">
        <f t="shared" si="35"/>
        <v/>
      </c>
    </row>
    <row r="227" spans="1:8" x14ac:dyDescent="0.25">
      <c r="A227" s="254" t="str">
        <f t="shared" ca="1" si="31"/>
        <v/>
      </c>
      <c r="B227" s="255"/>
      <c r="C227" s="256"/>
      <c r="D227" s="257" t="str">
        <f t="shared" si="32"/>
        <v/>
      </c>
      <c r="E227" s="253"/>
      <c r="F227" s="257" t="str">
        <f t="shared" si="33"/>
        <v/>
      </c>
      <c r="G227" s="257" t="str">
        <f t="shared" si="34"/>
        <v/>
      </c>
      <c r="H227" s="257" t="str">
        <f t="shared" si="35"/>
        <v/>
      </c>
    </row>
    <row r="228" spans="1:8" x14ac:dyDescent="0.25">
      <c r="A228" s="254" t="str">
        <f t="shared" ca="1" si="31"/>
        <v/>
      </c>
      <c r="B228" s="255"/>
      <c r="C228" s="256"/>
      <c r="D228" s="257" t="str">
        <f t="shared" si="32"/>
        <v/>
      </c>
      <c r="E228" s="253"/>
      <c r="F228" s="257" t="str">
        <f t="shared" si="33"/>
        <v/>
      </c>
      <c r="G228" s="257" t="str">
        <f t="shared" si="34"/>
        <v/>
      </c>
      <c r="H228" s="257" t="str">
        <f t="shared" si="35"/>
        <v/>
      </c>
    </row>
    <row r="229" spans="1:8" x14ac:dyDescent="0.25">
      <c r="A229" s="254" t="str">
        <f t="shared" ca="1" si="31"/>
        <v/>
      </c>
      <c r="B229" s="255"/>
      <c r="C229" s="256"/>
      <c r="D229" s="257" t="str">
        <f t="shared" si="32"/>
        <v/>
      </c>
      <c r="E229" s="253"/>
      <c r="F229" s="257" t="str">
        <f t="shared" si="33"/>
        <v/>
      </c>
      <c r="G229" s="257" t="str">
        <f t="shared" si="34"/>
        <v/>
      </c>
      <c r="H229" s="257" t="str">
        <f t="shared" si="35"/>
        <v/>
      </c>
    </row>
    <row r="230" spans="1:8" x14ac:dyDescent="0.25">
      <c r="A230" s="254" t="str">
        <f t="shared" ca="1" si="31"/>
        <v/>
      </c>
      <c r="B230" s="255"/>
      <c r="C230" s="256"/>
      <c r="D230" s="257" t="str">
        <f t="shared" si="32"/>
        <v/>
      </c>
      <c r="E230" s="253"/>
      <c r="F230" s="257" t="str">
        <f t="shared" si="33"/>
        <v/>
      </c>
      <c r="G230" s="257" t="str">
        <f t="shared" si="34"/>
        <v/>
      </c>
      <c r="H230" s="257" t="str">
        <f t="shared" si="35"/>
        <v/>
      </c>
    </row>
    <row r="231" spans="1:8" x14ac:dyDescent="0.25">
      <c r="A231" s="254" t="str">
        <f t="shared" ca="1" si="31"/>
        <v/>
      </c>
      <c r="B231" s="255"/>
      <c r="C231" s="256"/>
      <c r="D231" s="257" t="str">
        <f t="shared" si="32"/>
        <v/>
      </c>
      <c r="E231" s="253"/>
      <c r="F231" s="257" t="str">
        <f t="shared" si="33"/>
        <v/>
      </c>
      <c r="G231" s="257" t="str">
        <f t="shared" si="34"/>
        <v/>
      </c>
      <c r="H231" s="257" t="str">
        <f t="shared" si="35"/>
        <v/>
      </c>
    </row>
    <row r="232" spans="1:8" x14ac:dyDescent="0.25">
      <c r="A232" s="254" t="str">
        <f t="shared" ca="1" si="31"/>
        <v/>
      </c>
      <c r="B232" s="255"/>
      <c r="C232" s="256"/>
      <c r="D232" s="257" t="str">
        <f t="shared" si="32"/>
        <v/>
      </c>
      <c r="E232" s="253"/>
      <c r="F232" s="257" t="str">
        <f t="shared" si="33"/>
        <v/>
      </c>
      <c r="G232" s="257" t="str">
        <f t="shared" si="34"/>
        <v/>
      </c>
      <c r="H232" s="257" t="str">
        <f t="shared" si="35"/>
        <v/>
      </c>
    </row>
    <row r="233" spans="1:8" x14ac:dyDescent="0.25">
      <c r="A233" s="254" t="str">
        <f t="shared" ref="A233:A296" ca="1" si="36">IF(OR(H232&lt;=0,H232=""),"",OFFSET(A233,-1,0,1,1)+1)</f>
        <v/>
      </c>
      <c r="B233" s="255"/>
      <c r="C233" s="256"/>
      <c r="D233" s="257" t="str">
        <f t="shared" si="32"/>
        <v/>
      </c>
      <c r="E233" s="253"/>
      <c r="F233" s="257" t="str">
        <f t="shared" si="33"/>
        <v/>
      </c>
      <c r="G233" s="257" t="str">
        <f t="shared" si="34"/>
        <v/>
      </c>
      <c r="H233" s="257" t="str">
        <f t="shared" si="35"/>
        <v/>
      </c>
    </row>
    <row r="234" spans="1:8" x14ac:dyDescent="0.25">
      <c r="A234" s="254" t="str">
        <f t="shared" ca="1" si="36"/>
        <v/>
      </c>
      <c r="B234" s="255"/>
      <c r="C234" s="256"/>
      <c r="D234" s="257" t="str">
        <f t="shared" si="32"/>
        <v/>
      </c>
      <c r="E234" s="253"/>
      <c r="F234" s="257" t="str">
        <f t="shared" si="33"/>
        <v/>
      </c>
      <c r="G234" s="257" t="str">
        <f t="shared" si="34"/>
        <v/>
      </c>
      <c r="H234" s="257" t="str">
        <f t="shared" si="35"/>
        <v/>
      </c>
    </row>
    <row r="235" spans="1:8" x14ac:dyDescent="0.25">
      <c r="A235" s="254" t="str">
        <f t="shared" ca="1" si="36"/>
        <v/>
      </c>
      <c r="B235" s="255"/>
      <c r="C235" s="256"/>
      <c r="D235" s="257" t="str">
        <f t="shared" si="32"/>
        <v/>
      </c>
      <c r="E235" s="253"/>
      <c r="F235" s="257" t="str">
        <f t="shared" si="33"/>
        <v/>
      </c>
      <c r="G235" s="257" t="str">
        <f t="shared" si="34"/>
        <v/>
      </c>
      <c r="H235" s="257" t="str">
        <f t="shared" si="35"/>
        <v/>
      </c>
    </row>
    <row r="236" spans="1:8" x14ac:dyDescent="0.25">
      <c r="A236" s="254" t="str">
        <f t="shared" ca="1" si="36"/>
        <v/>
      </c>
      <c r="B236" s="255"/>
      <c r="C236" s="256"/>
      <c r="D236" s="257" t="str">
        <f t="shared" si="32"/>
        <v/>
      </c>
      <c r="E236" s="253"/>
      <c r="F236" s="257" t="str">
        <f t="shared" si="33"/>
        <v/>
      </c>
      <c r="G236" s="257" t="str">
        <f t="shared" si="34"/>
        <v/>
      </c>
      <c r="H236" s="257" t="str">
        <f t="shared" si="35"/>
        <v/>
      </c>
    </row>
    <row r="237" spans="1:8" x14ac:dyDescent="0.25">
      <c r="A237" s="254" t="str">
        <f t="shared" ca="1" si="36"/>
        <v/>
      </c>
      <c r="B237" s="255"/>
      <c r="C237" s="256"/>
      <c r="D237" s="257" t="str">
        <f t="shared" si="32"/>
        <v/>
      </c>
      <c r="E237" s="253"/>
      <c r="F237" s="257" t="str">
        <f t="shared" si="33"/>
        <v/>
      </c>
      <c r="G237" s="257" t="str">
        <f t="shared" si="34"/>
        <v/>
      </c>
      <c r="H237" s="257" t="str">
        <f t="shared" si="35"/>
        <v/>
      </c>
    </row>
    <row r="238" spans="1:8" x14ac:dyDescent="0.25">
      <c r="A238" s="254" t="str">
        <f t="shared" ca="1" si="36"/>
        <v/>
      </c>
      <c r="B238" s="255"/>
      <c r="C238" s="256"/>
      <c r="D238" s="257" t="str">
        <f t="shared" si="32"/>
        <v/>
      </c>
      <c r="E238" s="253"/>
      <c r="F238" s="257" t="str">
        <f t="shared" si="33"/>
        <v/>
      </c>
      <c r="G238" s="257" t="str">
        <f t="shared" si="34"/>
        <v/>
      </c>
      <c r="H238" s="257" t="str">
        <f t="shared" si="35"/>
        <v/>
      </c>
    </row>
    <row r="239" spans="1:8" x14ac:dyDescent="0.25">
      <c r="A239" s="254" t="str">
        <f t="shared" ca="1" si="36"/>
        <v/>
      </c>
      <c r="B239" s="255"/>
      <c r="C239" s="256"/>
      <c r="D239" s="257" t="str">
        <f t="shared" si="32"/>
        <v/>
      </c>
      <c r="E239" s="253"/>
      <c r="F239" s="257" t="str">
        <f t="shared" si="33"/>
        <v/>
      </c>
      <c r="G239" s="257" t="str">
        <f t="shared" si="34"/>
        <v/>
      </c>
      <c r="H239" s="257" t="str">
        <f t="shared" si="35"/>
        <v/>
      </c>
    </row>
    <row r="240" spans="1:8" x14ac:dyDescent="0.25">
      <c r="A240" s="254" t="str">
        <f t="shared" ca="1" si="36"/>
        <v/>
      </c>
      <c r="B240" s="255"/>
      <c r="C240" s="256"/>
      <c r="D240" s="257" t="str">
        <f t="shared" si="32"/>
        <v/>
      </c>
      <c r="E240" s="253"/>
      <c r="F240" s="257" t="str">
        <f t="shared" si="33"/>
        <v/>
      </c>
      <c r="G240" s="257" t="str">
        <f t="shared" si="34"/>
        <v/>
      </c>
      <c r="H240" s="257" t="str">
        <f t="shared" si="35"/>
        <v/>
      </c>
    </row>
    <row r="241" spans="1:8" x14ac:dyDescent="0.25">
      <c r="A241" s="254" t="str">
        <f t="shared" ca="1" si="36"/>
        <v/>
      </c>
      <c r="B241" s="255"/>
      <c r="C241" s="256"/>
      <c r="D241" s="257" t="str">
        <f t="shared" si="32"/>
        <v/>
      </c>
      <c r="E241" s="253"/>
      <c r="F241" s="257" t="str">
        <f t="shared" si="33"/>
        <v/>
      </c>
      <c r="G241" s="257" t="str">
        <f t="shared" si="34"/>
        <v/>
      </c>
      <c r="H241" s="257" t="str">
        <f t="shared" si="35"/>
        <v/>
      </c>
    </row>
    <row r="242" spans="1:8" x14ac:dyDescent="0.25">
      <c r="A242" s="254" t="str">
        <f t="shared" ca="1" si="36"/>
        <v/>
      </c>
      <c r="B242" s="255"/>
      <c r="C242" s="256"/>
      <c r="D242" s="257" t="str">
        <f t="shared" si="32"/>
        <v/>
      </c>
      <c r="E242" s="253"/>
      <c r="F242" s="257" t="str">
        <f t="shared" si="33"/>
        <v/>
      </c>
      <c r="G242" s="257" t="str">
        <f t="shared" si="34"/>
        <v/>
      </c>
      <c r="H242" s="257" t="str">
        <f t="shared" si="35"/>
        <v/>
      </c>
    </row>
    <row r="243" spans="1:8" x14ac:dyDescent="0.25">
      <c r="A243" s="254" t="str">
        <f t="shared" ca="1" si="36"/>
        <v/>
      </c>
      <c r="B243" s="255"/>
      <c r="C243" s="256"/>
      <c r="D243" s="257" t="str">
        <f t="shared" si="32"/>
        <v/>
      </c>
      <c r="E243" s="253"/>
      <c r="F243" s="257" t="str">
        <f t="shared" si="33"/>
        <v/>
      </c>
      <c r="G243" s="257" t="str">
        <f t="shared" si="34"/>
        <v/>
      </c>
      <c r="H243" s="257" t="str">
        <f t="shared" si="35"/>
        <v/>
      </c>
    </row>
    <row r="244" spans="1:8" x14ac:dyDescent="0.25">
      <c r="A244" s="254" t="str">
        <f t="shared" ca="1" si="36"/>
        <v/>
      </c>
      <c r="B244" s="255"/>
      <c r="C244" s="256"/>
      <c r="D244" s="257" t="str">
        <f t="shared" si="32"/>
        <v/>
      </c>
      <c r="E244" s="253"/>
      <c r="F244" s="257" t="str">
        <f t="shared" si="33"/>
        <v/>
      </c>
      <c r="G244" s="257" t="str">
        <f t="shared" si="34"/>
        <v/>
      </c>
      <c r="H244" s="257" t="str">
        <f t="shared" si="35"/>
        <v/>
      </c>
    </row>
    <row r="245" spans="1:8" x14ac:dyDescent="0.25">
      <c r="A245" s="254" t="str">
        <f t="shared" ca="1" si="36"/>
        <v/>
      </c>
      <c r="B245" s="255"/>
      <c r="C245" s="256"/>
      <c r="D245" s="257" t="str">
        <f t="shared" si="32"/>
        <v/>
      </c>
      <c r="E245" s="253"/>
      <c r="F245" s="257" t="str">
        <f t="shared" si="33"/>
        <v/>
      </c>
      <c r="G245" s="257" t="str">
        <f t="shared" si="34"/>
        <v/>
      </c>
      <c r="H245" s="257" t="str">
        <f t="shared" si="35"/>
        <v/>
      </c>
    </row>
    <row r="246" spans="1:8" x14ac:dyDescent="0.25">
      <c r="A246" s="254" t="str">
        <f t="shared" ca="1" si="36"/>
        <v/>
      </c>
      <c r="B246" s="255"/>
      <c r="C246" s="256"/>
      <c r="D246" s="257" t="str">
        <f t="shared" si="32"/>
        <v/>
      </c>
      <c r="E246" s="253"/>
      <c r="F246" s="257" t="str">
        <f t="shared" si="33"/>
        <v/>
      </c>
      <c r="G246" s="257" t="str">
        <f t="shared" si="34"/>
        <v/>
      </c>
      <c r="H246" s="257" t="str">
        <f t="shared" si="35"/>
        <v/>
      </c>
    </row>
    <row r="247" spans="1:8" x14ac:dyDescent="0.25">
      <c r="A247" s="254" t="str">
        <f t="shared" ca="1" si="36"/>
        <v/>
      </c>
      <c r="B247" s="255"/>
      <c r="C247" s="256"/>
      <c r="D247" s="257" t="str">
        <f t="shared" si="32"/>
        <v/>
      </c>
      <c r="E247" s="253"/>
      <c r="F247" s="257" t="str">
        <f t="shared" si="33"/>
        <v/>
      </c>
      <c r="G247" s="257" t="str">
        <f t="shared" si="34"/>
        <v/>
      </c>
      <c r="H247" s="257" t="str">
        <f t="shared" si="35"/>
        <v/>
      </c>
    </row>
    <row r="248" spans="1:8" x14ac:dyDescent="0.25">
      <c r="A248" s="254" t="str">
        <f t="shared" ca="1" si="36"/>
        <v/>
      </c>
      <c r="B248" s="255"/>
      <c r="C248" s="256"/>
      <c r="D248" s="257" t="str">
        <f t="shared" si="32"/>
        <v/>
      </c>
      <c r="E248" s="253"/>
      <c r="F248" s="257" t="str">
        <f t="shared" si="33"/>
        <v/>
      </c>
      <c r="G248" s="257" t="str">
        <f t="shared" si="34"/>
        <v/>
      </c>
      <c r="H248" s="257" t="str">
        <f t="shared" si="35"/>
        <v/>
      </c>
    </row>
    <row r="249" spans="1:8" x14ac:dyDescent="0.25">
      <c r="A249" s="254" t="str">
        <f t="shared" ca="1" si="36"/>
        <v/>
      </c>
      <c r="B249" s="255"/>
      <c r="C249" s="256"/>
      <c r="D249" s="257" t="str">
        <f t="shared" si="32"/>
        <v/>
      </c>
      <c r="E249" s="253"/>
      <c r="F249" s="257" t="str">
        <f t="shared" si="33"/>
        <v/>
      </c>
      <c r="G249" s="257" t="str">
        <f t="shared" si="34"/>
        <v/>
      </c>
      <c r="H249" s="257" t="str">
        <f t="shared" si="35"/>
        <v/>
      </c>
    </row>
    <row r="250" spans="1:8" x14ac:dyDescent="0.25">
      <c r="A250" s="254" t="str">
        <f t="shared" ca="1" si="36"/>
        <v/>
      </c>
      <c r="B250" s="255"/>
      <c r="C250" s="256"/>
      <c r="D250" s="257" t="str">
        <f t="shared" si="32"/>
        <v/>
      </c>
      <c r="E250" s="253"/>
      <c r="F250" s="257" t="str">
        <f t="shared" si="33"/>
        <v/>
      </c>
      <c r="G250" s="257" t="str">
        <f t="shared" si="34"/>
        <v/>
      </c>
      <c r="H250" s="257" t="str">
        <f t="shared" si="35"/>
        <v/>
      </c>
    </row>
    <row r="251" spans="1:8" x14ac:dyDescent="0.25">
      <c r="A251" s="254" t="str">
        <f t="shared" ca="1" si="36"/>
        <v/>
      </c>
      <c r="B251" s="255"/>
      <c r="C251" s="256"/>
      <c r="D251" s="257" t="str">
        <f t="shared" si="32"/>
        <v/>
      </c>
      <c r="E251" s="253"/>
      <c r="F251" s="257" t="str">
        <f t="shared" si="33"/>
        <v/>
      </c>
      <c r="G251" s="257" t="str">
        <f t="shared" si="34"/>
        <v/>
      </c>
      <c r="H251" s="257" t="str">
        <f t="shared" si="35"/>
        <v/>
      </c>
    </row>
    <row r="252" spans="1:8" x14ac:dyDescent="0.25">
      <c r="A252" s="254" t="str">
        <f t="shared" ca="1" si="36"/>
        <v/>
      </c>
      <c r="B252" s="255"/>
      <c r="C252" s="256"/>
      <c r="D252" s="257" t="str">
        <f t="shared" si="32"/>
        <v/>
      </c>
      <c r="E252" s="253"/>
      <c r="F252" s="257" t="str">
        <f t="shared" si="33"/>
        <v/>
      </c>
      <c r="G252" s="257" t="str">
        <f t="shared" si="34"/>
        <v/>
      </c>
      <c r="H252" s="257" t="str">
        <f t="shared" si="35"/>
        <v/>
      </c>
    </row>
    <row r="253" spans="1:8" x14ac:dyDescent="0.25">
      <c r="A253" s="254" t="str">
        <f t="shared" ca="1" si="36"/>
        <v/>
      </c>
      <c r="B253" s="255"/>
      <c r="C253" s="256"/>
      <c r="D253" s="257" t="str">
        <f t="shared" si="32"/>
        <v/>
      </c>
      <c r="E253" s="253"/>
      <c r="F253" s="257" t="str">
        <f t="shared" si="33"/>
        <v/>
      </c>
      <c r="G253" s="257" t="str">
        <f t="shared" si="34"/>
        <v/>
      </c>
      <c r="H253" s="257" t="str">
        <f t="shared" si="35"/>
        <v/>
      </c>
    </row>
    <row r="254" spans="1:8" x14ac:dyDescent="0.25">
      <c r="A254" s="254" t="str">
        <f t="shared" ca="1" si="36"/>
        <v/>
      </c>
      <c r="B254" s="255"/>
      <c r="C254" s="256"/>
      <c r="D254" s="257" t="str">
        <f t="shared" si="32"/>
        <v/>
      </c>
      <c r="E254" s="253"/>
      <c r="F254" s="257" t="str">
        <f t="shared" si="33"/>
        <v/>
      </c>
      <c r="G254" s="257" t="str">
        <f t="shared" si="34"/>
        <v/>
      </c>
      <c r="H254" s="257" t="str">
        <f t="shared" si="35"/>
        <v/>
      </c>
    </row>
    <row r="255" spans="1:8" x14ac:dyDescent="0.25">
      <c r="A255" s="254" t="str">
        <f t="shared" ca="1" si="36"/>
        <v/>
      </c>
      <c r="B255" s="255"/>
      <c r="C255" s="256"/>
      <c r="D255" s="257" t="str">
        <f t="shared" si="32"/>
        <v/>
      </c>
      <c r="E255" s="253"/>
      <c r="F255" s="257" t="str">
        <f t="shared" si="33"/>
        <v/>
      </c>
      <c r="G255" s="257" t="str">
        <f t="shared" si="34"/>
        <v/>
      </c>
      <c r="H255" s="257" t="str">
        <f t="shared" si="35"/>
        <v/>
      </c>
    </row>
    <row r="256" spans="1:8" x14ac:dyDescent="0.25">
      <c r="A256" s="254" t="str">
        <f t="shared" ca="1" si="36"/>
        <v/>
      </c>
      <c r="B256" s="255"/>
      <c r="C256" s="256"/>
      <c r="D256" s="257" t="str">
        <f t="shared" si="32"/>
        <v/>
      </c>
      <c r="E256" s="253"/>
      <c r="F256" s="257" t="str">
        <f t="shared" si="33"/>
        <v/>
      </c>
      <c r="G256" s="257" t="str">
        <f t="shared" si="34"/>
        <v/>
      </c>
      <c r="H256" s="257" t="str">
        <f t="shared" si="35"/>
        <v/>
      </c>
    </row>
    <row r="257" spans="1:8" x14ac:dyDescent="0.25">
      <c r="A257" s="254" t="str">
        <f t="shared" ca="1" si="36"/>
        <v/>
      </c>
      <c r="B257" s="255"/>
      <c r="C257" s="256"/>
      <c r="D257" s="257" t="str">
        <f t="shared" si="32"/>
        <v/>
      </c>
      <c r="E257" s="253"/>
      <c r="F257" s="257" t="str">
        <f t="shared" si="33"/>
        <v/>
      </c>
      <c r="G257" s="257" t="str">
        <f t="shared" si="34"/>
        <v/>
      </c>
      <c r="H257" s="257" t="str">
        <f t="shared" si="35"/>
        <v/>
      </c>
    </row>
    <row r="258" spans="1:8" x14ac:dyDescent="0.25">
      <c r="A258" s="254" t="str">
        <f t="shared" ca="1" si="36"/>
        <v/>
      </c>
      <c r="B258" s="255"/>
      <c r="C258" s="256"/>
      <c r="D258" s="257" t="str">
        <f t="shared" si="32"/>
        <v/>
      </c>
      <c r="E258" s="253"/>
      <c r="F258" s="257" t="str">
        <f t="shared" si="33"/>
        <v/>
      </c>
      <c r="G258" s="257" t="str">
        <f t="shared" si="34"/>
        <v/>
      </c>
      <c r="H258" s="257" t="str">
        <f t="shared" si="35"/>
        <v/>
      </c>
    </row>
    <row r="259" spans="1:8" x14ac:dyDescent="0.25">
      <c r="A259" s="254" t="str">
        <f t="shared" ca="1" si="36"/>
        <v/>
      </c>
      <c r="B259" s="255"/>
      <c r="C259" s="256"/>
      <c r="D259" s="257" t="str">
        <f t="shared" si="32"/>
        <v/>
      </c>
      <c r="E259" s="253"/>
      <c r="F259" s="257" t="str">
        <f t="shared" si="33"/>
        <v/>
      </c>
      <c r="G259" s="257" t="str">
        <f t="shared" si="34"/>
        <v/>
      </c>
      <c r="H259" s="257" t="str">
        <f t="shared" si="35"/>
        <v/>
      </c>
    </row>
    <row r="260" spans="1:8" x14ac:dyDescent="0.25">
      <c r="A260" s="254" t="str">
        <f t="shared" ca="1" si="36"/>
        <v/>
      </c>
      <c r="B260" s="255"/>
      <c r="C260" s="256"/>
      <c r="D260" s="257" t="str">
        <f t="shared" si="32"/>
        <v/>
      </c>
      <c r="E260" s="253"/>
      <c r="F260" s="257" t="str">
        <f t="shared" si="33"/>
        <v/>
      </c>
      <c r="G260" s="257" t="str">
        <f t="shared" si="34"/>
        <v/>
      </c>
      <c r="H260" s="257" t="str">
        <f t="shared" si="35"/>
        <v/>
      </c>
    </row>
    <row r="261" spans="1:8" x14ac:dyDescent="0.25">
      <c r="A261" s="254" t="str">
        <f t="shared" ca="1" si="36"/>
        <v/>
      </c>
      <c r="B261" s="255"/>
      <c r="C261" s="256"/>
      <c r="D261" s="257" t="str">
        <f t="shared" si="32"/>
        <v/>
      </c>
      <c r="E261" s="253"/>
      <c r="F261" s="257" t="str">
        <f t="shared" si="33"/>
        <v/>
      </c>
      <c r="G261" s="257" t="str">
        <f t="shared" si="34"/>
        <v/>
      </c>
      <c r="H261" s="257" t="str">
        <f t="shared" si="35"/>
        <v/>
      </c>
    </row>
    <row r="262" spans="1:8" x14ac:dyDescent="0.25">
      <c r="A262" s="254" t="str">
        <f t="shared" ca="1" si="36"/>
        <v/>
      </c>
      <c r="B262" s="255"/>
      <c r="C262" s="256"/>
      <c r="D262" s="257" t="str">
        <f t="shared" si="32"/>
        <v/>
      </c>
      <c r="E262" s="253"/>
      <c r="F262" s="257" t="str">
        <f t="shared" si="33"/>
        <v/>
      </c>
      <c r="G262" s="257" t="str">
        <f t="shared" si="34"/>
        <v/>
      </c>
      <c r="H262" s="257" t="str">
        <f t="shared" si="35"/>
        <v/>
      </c>
    </row>
    <row r="263" spans="1:8" x14ac:dyDescent="0.25">
      <c r="A263" s="254" t="str">
        <f t="shared" ca="1" si="36"/>
        <v/>
      </c>
      <c r="B263" s="255"/>
      <c r="C263" s="256"/>
      <c r="D263" s="257" t="str">
        <f t="shared" si="32"/>
        <v/>
      </c>
      <c r="E263" s="253"/>
      <c r="F263" s="257" t="str">
        <f t="shared" si="33"/>
        <v/>
      </c>
      <c r="G263" s="257" t="str">
        <f t="shared" si="34"/>
        <v/>
      </c>
      <c r="H263" s="257" t="str">
        <f t="shared" si="35"/>
        <v/>
      </c>
    </row>
    <row r="264" spans="1:8" x14ac:dyDescent="0.25">
      <c r="A264" s="254" t="str">
        <f t="shared" ca="1" si="36"/>
        <v/>
      </c>
      <c r="B264" s="255"/>
      <c r="C264" s="256"/>
      <c r="D264" s="257" t="str">
        <f t="shared" si="32"/>
        <v/>
      </c>
      <c r="E264" s="253"/>
      <c r="F264" s="257" t="str">
        <f t="shared" si="33"/>
        <v/>
      </c>
      <c r="G264" s="257" t="str">
        <f t="shared" si="34"/>
        <v/>
      </c>
      <c r="H264" s="257" t="str">
        <f t="shared" si="35"/>
        <v/>
      </c>
    </row>
    <row r="265" spans="1:8" x14ac:dyDescent="0.25">
      <c r="A265" s="254" t="str">
        <f t="shared" ca="1" si="36"/>
        <v/>
      </c>
      <c r="B265" s="255"/>
      <c r="C265" s="256"/>
      <c r="D265" s="257" t="str">
        <f t="shared" si="32"/>
        <v/>
      </c>
      <c r="E265" s="253"/>
      <c r="F265" s="257" t="str">
        <f t="shared" si="33"/>
        <v/>
      </c>
      <c r="G265" s="257" t="str">
        <f t="shared" si="34"/>
        <v/>
      </c>
      <c r="H265" s="257" t="str">
        <f t="shared" si="35"/>
        <v/>
      </c>
    </row>
    <row r="266" spans="1:8" x14ac:dyDescent="0.25">
      <c r="A266" s="254" t="str">
        <f t="shared" ca="1" si="36"/>
        <v/>
      </c>
      <c r="B266" s="255"/>
      <c r="C266" s="256"/>
      <c r="D266" s="257" t="str">
        <f t="shared" si="32"/>
        <v/>
      </c>
      <c r="E266" s="253"/>
      <c r="F266" s="257" t="str">
        <f t="shared" si="33"/>
        <v/>
      </c>
      <c r="G266" s="257" t="str">
        <f t="shared" si="34"/>
        <v/>
      </c>
      <c r="H266" s="257" t="str">
        <f t="shared" si="35"/>
        <v/>
      </c>
    </row>
    <row r="267" spans="1:8" x14ac:dyDescent="0.25">
      <c r="A267" s="254" t="str">
        <f t="shared" ca="1" si="36"/>
        <v/>
      </c>
      <c r="B267" s="255"/>
      <c r="C267" s="256"/>
      <c r="D267" s="257" t="str">
        <f t="shared" si="32"/>
        <v/>
      </c>
      <c r="E267" s="253"/>
      <c r="F267" s="257" t="str">
        <f t="shared" si="33"/>
        <v/>
      </c>
      <c r="G267" s="257" t="str">
        <f t="shared" si="34"/>
        <v/>
      </c>
      <c r="H267" s="257" t="str">
        <f t="shared" si="35"/>
        <v/>
      </c>
    </row>
    <row r="268" spans="1:8" x14ac:dyDescent="0.25">
      <c r="A268" s="254" t="str">
        <f t="shared" ca="1" si="36"/>
        <v/>
      </c>
      <c r="B268" s="255"/>
      <c r="C268" s="256"/>
      <c r="D268" s="257" t="str">
        <f t="shared" si="32"/>
        <v/>
      </c>
      <c r="E268" s="253"/>
      <c r="F268" s="257" t="str">
        <f t="shared" si="33"/>
        <v/>
      </c>
      <c r="G268" s="257" t="str">
        <f t="shared" si="34"/>
        <v/>
      </c>
      <c r="H268" s="257" t="str">
        <f t="shared" si="35"/>
        <v/>
      </c>
    </row>
    <row r="269" spans="1:8" x14ac:dyDescent="0.25">
      <c r="A269" s="254" t="str">
        <f t="shared" ca="1" si="36"/>
        <v/>
      </c>
      <c r="B269" s="255"/>
      <c r="C269" s="256"/>
      <c r="D269" s="257" t="str">
        <f t="shared" si="32"/>
        <v/>
      </c>
      <c r="E269" s="253"/>
      <c r="F269" s="257" t="str">
        <f t="shared" si="33"/>
        <v/>
      </c>
      <c r="G269" s="257" t="str">
        <f t="shared" si="34"/>
        <v/>
      </c>
      <c r="H269" s="257" t="str">
        <f t="shared" si="35"/>
        <v/>
      </c>
    </row>
    <row r="270" spans="1:8" x14ac:dyDescent="0.25">
      <c r="A270" s="254" t="str">
        <f t="shared" ca="1" si="36"/>
        <v/>
      </c>
      <c r="B270" s="255"/>
      <c r="C270" s="256"/>
      <c r="D270" s="257" t="str">
        <f t="shared" si="32"/>
        <v/>
      </c>
      <c r="E270" s="253"/>
      <c r="F270" s="257" t="str">
        <f t="shared" si="33"/>
        <v/>
      </c>
      <c r="G270" s="257" t="str">
        <f t="shared" si="34"/>
        <v/>
      </c>
      <c r="H270" s="257" t="str">
        <f t="shared" si="35"/>
        <v/>
      </c>
    </row>
    <row r="271" spans="1:8" x14ac:dyDescent="0.25">
      <c r="A271" s="254" t="str">
        <f t="shared" ca="1" si="36"/>
        <v/>
      </c>
      <c r="B271" s="255"/>
      <c r="C271" s="256"/>
      <c r="D271" s="257" t="str">
        <f t="shared" si="32"/>
        <v/>
      </c>
      <c r="E271" s="253"/>
      <c r="F271" s="257" t="str">
        <f t="shared" si="33"/>
        <v/>
      </c>
      <c r="G271" s="257" t="str">
        <f t="shared" si="34"/>
        <v/>
      </c>
      <c r="H271" s="257" t="str">
        <f t="shared" si="35"/>
        <v/>
      </c>
    </row>
    <row r="272" spans="1:8" x14ac:dyDescent="0.25">
      <c r="A272" s="254" t="str">
        <f t="shared" ca="1" si="36"/>
        <v/>
      </c>
      <c r="B272" s="255"/>
      <c r="C272" s="256"/>
      <c r="D272" s="257" t="str">
        <f t="shared" si="32"/>
        <v/>
      </c>
      <c r="E272" s="253"/>
      <c r="F272" s="257" t="str">
        <f t="shared" si="33"/>
        <v/>
      </c>
      <c r="G272" s="257" t="str">
        <f t="shared" si="34"/>
        <v/>
      </c>
      <c r="H272" s="257" t="str">
        <f t="shared" si="35"/>
        <v/>
      </c>
    </row>
    <row r="273" spans="1:8" x14ac:dyDescent="0.25">
      <c r="A273" s="254" t="str">
        <f t="shared" ca="1" si="36"/>
        <v/>
      </c>
      <c r="B273" s="255"/>
      <c r="C273" s="256"/>
      <c r="D273" s="257" t="str">
        <f t="shared" si="32"/>
        <v/>
      </c>
      <c r="E273" s="253"/>
      <c r="F273" s="257" t="str">
        <f t="shared" si="33"/>
        <v/>
      </c>
      <c r="G273" s="257" t="str">
        <f t="shared" si="34"/>
        <v/>
      </c>
      <c r="H273" s="257" t="str">
        <f t="shared" si="35"/>
        <v/>
      </c>
    </row>
    <row r="274" spans="1:8" x14ac:dyDescent="0.25">
      <c r="A274" s="254" t="str">
        <f t="shared" ca="1" si="36"/>
        <v/>
      </c>
      <c r="B274" s="255"/>
      <c r="C274" s="256"/>
      <c r="D274" s="257" t="str">
        <f t="shared" si="32"/>
        <v/>
      </c>
      <c r="E274" s="253"/>
      <c r="F274" s="257" t="str">
        <f t="shared" si="33"/>
        <v/>
      </c>
      <c r="G274" s="257" t="str">
        <f t="shared" si="34"/>
        <v/>
      </c>
      <c r="H274" s="257" t="str">
        <f t="shared" si="35"/>
        <v/>
      </c>
    </row>
    <row r="275" spans="1:8" x14ac:dyDescent="0.25">
      <c r="A275" s="254" t="str">
        <f t="shared" ca="1" si="36"/>
        <v/>
      </c>
      <c r="B275" s="255"/>
      <c r="C275" s="256"/>
      <c r="D275" s="257" t="str">
        <f t="shared" ref="D275:D338" si="37">IF(B275="","",ROUND((B275-B274)*$H$9*G274,2))</f>
        <v/>
      </c>
      <c r="E275" s="253"/>
      <c r="F275" s="257" t="str">
        <f t="shared" ref="F275:F338" si="38">IF(B275="","",IF(C275&gt;F274+D275,0,F274+D275-C275))</f>
        <v/>
      </c>
      <c r="G275" s="257" t="str">
        <f t="shared" ref="G275:G338" si="39">IF(B275="","",IF(C275&gt;D275+F274,G274+F274+D275-C275,G274))</f>
        <v/>
      </c>
      <c r="H275" s="257" t="str">
        <f t="shared" ref="H275:H338" si="40">IF(B275="","",G275+F275)</f>
        <v/>
      </c>
    </row>
    <row r="276" spans="1:8" x14ac:dyDescent="0.25">
      <c r="A276" s="254" t="str">
        <f t="shared" ca="1" si="36"/>
        <v/>
      </c>
      <c r="B276" s="255"/>
      <c r="C276" s="256"/>
      <c r="D276" s="257" t="str">
        <f t="shared" si="37"/>
        <v/>
      </c>
      <c r="E276" s="253"/>
      <c r="F276" s="257" t="str">
        <f t="shared" si="38"/>
        <v/>
      </c>
      <c r="G276" s="257" t="str">
        <f t="shared" si="39"/>
        <v/>
      </c>
      <c r="H276" s="257" t="str">
        <f t="shared" si="40"/>
        <v/>
      </c>
    </row>
    <row r="277" spans="1:8" x14ac:dyDescent="0.25">
      <c r="A277" s="254" t="str">
        <f t="shared" ca="1" si="36"/>
        <v/>
      </c>
      <c r="B277" s="255"/>
      <c r="C277" s="256"/>
      <c r="D277" s="257" t="str">
        <f t="shared" si="37"/>
        <v/>
      </c>
      <c r="E277" s="253"/>
      <c r="F277" s="257" t="str">
        <f t="shared" si="38"/>
        <v/>
      </c>
      <c r="G277" s="257" t="str">
        <f t="shared" si="39"/>
        <v/>
      </c>
      <c r="H277" s="257" t="str">
        <f t="shared" si="40"/>
        <v/>
      </c>
    </row>
    <row r="278" spans="1:8" x14ac:dyDescent="0.25">
      <c r="A278" s="254" t="str">
        <f t="shared" ca="1" si="36"/>
        <v/>
      </c>
      <c r="B278" s="255"/>
      <c r="C278" s="256"/>
      <c r="D278" s="257" t="str">
        <f t="shared" si="37"/>
        <v/>
      </c>
      <c r="E278" s="253"/>
      <c r="F278" s="257" t="str">
        <f t="shared" si="38"/>
        <v/>
      </c>
      <c r="G278" s="257" t="str">
        <f t="shared" si="39"/>
        <v/>
      </c>
      <c r="H278" s="257" t="str">
        <f t="shared" si="40"/>
        <v/>
      </c>
    </row>
    <row r="279" spans="1:8" x14ac:dyDescent="0.25">
      <c r="A279" s="254" t="str">
        <f t="shared" ca="1" si="36"/>
        <v/>
      </c>
      <c r="B279" s="255"/>
      <c r="C279" s="256"/>
      <c r="D279" s="257" t="str">
        <f t="shared" si="37"/>
        <v/>
      </c>
      <c r="E279" s="253"/>
      <c r="F279" s="257" t="str">
        <f t="shared" si="38"/>
        <v/>
      </c>
      <c r="G279" s="257" t="str">
        <f t="shared" si="39"/>
        <v/>
      </c>
      <c r="H279" s="257" t="str">
        <f t="shared" si="40"/>
        <v/>
      </c>
    </row>
    <row r="280" spans="1:8" x14ac:dyDescent="0.25">
      <c r="A280" s="254" t="str">
        <f t="shared" ca="1" si="36"/>
        <v/>
      </c>
      <c r="B280" s="255"/>
      <c r="C280" s="256"/>
      <c r="D280" s="257" t="str">
        <f t="shared" si="37"/>
        <v/>
      </c>
      <c r="E280" s="253"/>
      <c r="F280" s="257" t="str">
        <f t="shared" si="38"/>
        <v/>
      </c>
      <c r="G280" s="257" t="str">
        <f t="shared" si="39"/>
        <v/>
      </c>
      <c r="H280" s="257" t="str">
        <f t="shared" si="40"/>
        <v/>
      </c>
    </row>
    <row r="281" spans="1:8" x14ac:dyDescent="0.25">
      <c r="A281" s="254" t="str">
        <f t="shared" ca="1" si="36"/>
        <v/>
      </c>
      <c r="B281" s="255"/>
      <c r="C281" s="256"/>
      <c r="D281" s="257" t="str">
        <f t="shared" si="37"/>
        <v/>
      </c>
      <c r="E281" s="253"/>
      <c r="F281" s="257" t="str">
        <f t="shared" si="38"/>
        <v/>
      </c>
      <c r="G281" s="257" t="str">
        <f t="shared" si="39"/>
        <v/>
      </c>
      <c r="H281" s="257" t="str">
        <f t="shared" si="40"/>
        <v/>
      </c>
    </row>
    <row r="282" spans="1:8" x14ac:dyDescent="0.25">
      <c r="A282" s="254" t="str">
        <f t="shared" ca="1" si="36"/>
        <v/>
      </c>
      <c r="B282" s="255"/>
      <c r="C282" s="256"/>
      <c r="D282" s="257" t="str">
        <f t="shared" si="37"/>
        <v/>
      </c>
      <c r="E282" s="253"/>
      <c r="F282" s="257" t="str">
        <f t="shared" si="38"/>
        <v/>
      </c>
      <c r="G282" s="257" t="str">
        <f t="shared" si="39"/>
        <v/>
      </c>
      <c r="H282" s="257" t="str">
        <f t="shared" si="40"/>
        <v/>
      </c>
    </row>
    <row r="283" spans="1:8" x14ac:dyDescent="0.25">
      <c r="A283" s="254" t="str">
        <f t="shared" ca="1" si="36"/>
        <v/>
      </c>
      <c r="B283" s="255"/>
      <c r="C283" s="256"/>
      <c r="D283" s="257" t="str">
        <f t="shared" si="37"/>
        <v/>
      </c>
      <c r="E283" s="253"/>
      <c r="F283" s="257" t="str">
        <f t="shared" si="38"/>
        <v/>
      </c>
      <c r="G283" s="257" t="str">
        <f t="shared" si="39"/>
        <v/>
      </c>
      <c r="H283" s="257" t="str">
        <f t="shared" si="40"/>
        <v/>
      </c>
    </row>
    <row r="284" spans="1:8" x14ac:dyDescent="0.25">
      <c r="A284" s="254" t="str">
        <f t="shared" ca="1" si="36"/>
        <v/>
      </c>
      <c r="B284" s="255"/>
      <c r="C284" s="256"/>
      <c r="D284" s="257" t="str">
        <f t="shared" si="37"/>
        <v/>
      </c>
      <c r="E284" s="253"/>
      <c r="F284" s="257" t="str">
        <f t="shared" si="38"/>
        <v/>
      </c>
      <c r="G284" s="257" t="str">
        <f t="shared" si="39"/>
        <v/>
      </c>
      <c r="H284" s="257" t="str">
        <f t="shared" si="40"/>
        <v/>
      </c>
    </row>
    <row r="285" spans="1:8" x14ac:dyDescent="0.25">
      <c r="A285" s="254" t="str">
        <f t="shared" ca="1" si="36"/>
        <v/>
      </c>
      <c r="B285" s="255"/>
      <c r="C285" s="256"/>
      <c r="D285" s="257" t="str">
        <f t="shared" si="37"/>
        <v/>
      </c>
      <c r="E285" s="253"/>
      <c r="F285" s="257" t="str">
        <f t="shared" si="38"/>
        <v/>
      </c>
      <c r="G285" s="257" t="str">
        <f t="shared" si="39"/>
        <v/>
      </c>
      <c r="H285" s="257" t="str">
        <f t="shared" si="40"/>
        <v/>
      </c>
    </row>
    <row r="286" spans="1:8" x14ac:dyDescent="0.25">
      <c r="A286" s="254" t="str">
        <f t="shared" ca="1" si="36"/>
        <v/>
      </c>
      <c r="B286" s="255"/>
      <c r="C286" s="256"/>
      <c r="D286" s="257" t="str">
        <f t="shared" si="37"/>
        <v/>
      </c>
      <c r="E286" s="253"/>
      <c r="F286" s="257" t="str">
        <f t="shared" si="38"/>
        <v/>
      </c>
      <c r="G286" s="257" t="str">
        <f t="shared" si="39"/>
        <v/>
      </c>
      <c r="H286" s="257" t="str">
        <f t="shared" si="40"/>
        <v/>
      </c>
    </row>
    <row r="287" spans="1:8" x14ac:dyDescent="0.25">
      <c r="A287" s="254" t="str">
        <f t="shared" ca="1" si="36"/>
        <v/>
      </c>
      <c r="B287" s="255"/>
      <c r="C287" s="256"/>
      <c r="D287" s="257" t="str">
        <f t="shared" si="37"/>
        <v/>
      </c>
      <c r="E287" s="253"/>
      <c r="F287" s="257" t="str">
        <f t="shared" si="38"/>
        <v/>
      </c>
      <c r="G287" s="257" t="str">
        <f t="shared" si="39"/>
        <v/>
      </c>
      <c r="H287" s="257" t="str">
        <f t="shared" si="40"/>
        <v/>
      </c>
    </row>
    <row r="288" spans="1:8" x14ac:dyDescent="0.25">
      <c r="A288" s="254" t="str">
        <f t="shared" ca="1" si="36"/>
        <v/>
      </c>
      <c r="B288" s="255"/>
      <c r="C288" s="256"/>
      <c r="D288" s="257" t="str">
        <f t="shared" si="37"/>
        <v/>
      </c>
      <c r="E288" s="253"/>
      <c r="F288" s="257" t="str">
        <f t="shared" si="38"/>
        <v/>
      </c>
      <c r="G288" s="257" t="str">
        <f t="shared" si="39"/>
        <v/>
      </c>
      <c r="H288" s="257" t="str">
        <f t="shared" si="40"/>
        <v/>
      </c>
    </row>
    <row r="289" spans="1:8" x14ac:dyDescent="0.25">
      <c r="A289" s="254" t="str">
        <f t="shared" ca="1" si="36"/>
        <v/>
      </c>
      <c r="B289" s="255"/>
      <c r="C289" s="256"/>
      <c r="D289" s="257" t="str">
        <f t="shared" si="37"/>
        <v/>
      </c>
      <c r="E289" s="253"/>
      <c r="F289" s="257" t="str">
        <f t="shared" si="38"/>
        <v/>
      </c>
      <c r="G289" s="257" t="str">
        <f t="shared" si="39"/>
        <v/>
      </c>
      <c r="H289" s="257" t="str">
        <f t="shared" si="40"/>
        <v/>
      </c>
    </row>
    <row r="290" spans="1:8" x14ac:dyDescent="0.25">
      <c r="A290" s="254" t="str">
        <f t="shared" ca="1" si="36"/>
        <v/>
      </c>
      <c r="B290" s="255"/>
      <c r="C290" s="256"/>
      <c r="D290" s="257" t="str">
        <f t="shared" si="37"/>
        <v/>
      </c>
      <c r="E290" s="253"/>
      <c r="F290" s="257" t="str">
        <f t="shared" si="38"/>
        <v/>
      </c>
      <c r="G290" s="257" t="str">
        <f t="shared" si="39"/>
        <v/>
      </c>
      <c r="H290" s="257" t="str">
        <f t="shared" si="40"/>
        <v/>
      </c>
    </row>
    <row r="291" spans="1:8" x14ac:dyDescent="0.25">
      <c r="A291" s="254" t="str">
        <f t="shared" ca="1" si="36"/>
        <v/>
      </c>
      <c r="B291" s="255"/>
      <c r="C291" s="256"/>
      <c r="D291" s="257" t="str">
        <f t="shared" si="37"/>
        <v/>
      </c>
      <c r="E291" s="253"/>
      <c r="F291" s="257" t="str">
        <f t="shared" si="38"/>
        <v/>
      </c>
      <c r="G291" s="257" t="str">
        <f t="shared" si="39"/>
        <v/>
      </c>
      <c r="H291" s="257" t="str">
        <f t="shared" si="40"/>
        <v/>
      </c>
    </row>
    <row r="292" spans="1:8" x14ac:dyDescent="0.25">
      <c r="A292" s="254" t="str">
        <f t="shared" ca="1" si="36"/>
        <v/>
      </c>
      <c r="B292" s="255"/>
      <c r="C292" s="256"/>
      <c r="D292" s="257" t="str">
        <f t="shared" si="37"/>
        <v/>
      </c>
      <c r="E292" s="253"/>
      <c r="F292" s="257" t="str">
        <f t="shared" si="38"/>
        <v/>
      </c>
      <c r="G292" s="257" t="str">
        <f t="shared" si="39"/>
        <v/>
      </c>
      <c r="H292" s="257" t="str">
        <f t="shared" si="40"/>
        <v/>
      </c>
    </row>
    <row r="293" spans="1:8" x14ac:dyDescent="0.25">
      <c r="A293" s="254" t="str">
        <f t="shared" ca="1" si="36"/>
        <v/>
      </c>
      <c r="B293" s="255"/>
      <c r="C293" s="256"/>
      <c r="D293" s="257" t="str">
        <f t="shared" si="37"/>
        <v/>
      </c>
      <c r="E293" s="253"/>
      <c r="F293" s="257" t="str">
        <f t="shared" si="38"/>
        <v/>
      </c>
      <c r="G293" s="257" t="str">
        <f t="shared" si="39"/>
        <v/>
      </c>
      <c r="H293" s="257" t="str">
        <f t="shared" si="40"/>
        <v/>
      </c>
    </row>
    <row r="294" spans="1:8" x14ac:dyDescent="0.25">
      <c r="A294" s="254" t="str">
        <f t="shared" ca="1" si="36"/>
        <v/>
      </c>
      <c r="B294" s="255"/>
      <c r="C294" s="256"/>
      <c r="D294" s="257" t="str">
        <f t="shared" si="37"/>
        <v/>
      </c>
      <c r="E294" s="253"/>
      <c r="F294" s="257" t="str">
        <f t="shared" si="38"/>
        <v/>
      </c>
      <c r="G294" s="257" t="str">
        <f t="shared" si="39"/>
        <v/>
      </c>
      <c r="H294" s="257" t="str">
        <f t="shared" si="40"/>
        <v/>
      </c>
    </row>
    <row r="295" spans="1:8" x14ac:dyDescent="0.25">
      <c r="A295" s="254" t="str">
        <f t="shared" ca="1" si="36"/>
        <v/>
      </c>
      <c r="B295" s="255"/>
      <c r="C295" s="256"/>
      <c r="D295" s="257" t="str">
        <f t="shared" si="37"/>
        <v/>
      </c>
      <c r="E295" s="253"/>
      <c r="F295" s="257" t="str">
        <f t="shared" si="38"/>
        <v/>
      </c>
      <c r="G295" s="257" t="str">
        <f t="shared" si="39"/>
        <v/>
      </c>
      <c r="H295" s="257" t="str">
        <f t="shared" si="40"/>
        <v/>
      </c>
    </row>
    <row r="296" spans="1:8" x14ac:dyDescent="0.25">
      <c r="A296" s="254" t="str">
        <f t="shared" ca="1" si="36"/>
        <v/>
      </c>
      <c r="B296" s="255"/>
      <c r="C296" s="256"/>
      <c r="D296" s="257" t="str">
        <f t="shared" si="37"/>
        <v/>
      </c>
      <c r="E296" s="253"/>
      <c r="F296" s="257" t="str">
        <f t="shared" si="38"/>
        <v/>
      </c>
      <c r="G296" s="257" t="str">
        <f t="shared" si="39"/>
        <v/>
      </c>
      <c r="H296" s="257" t="str">
        <f t="shared" si="40"/>
        <v/>
      </c>
    </row>
    <row r="297" spans="1:8" x14ac:dyDescent="0.25">
      <c r="A297" s="254" t="str">
        <f t="shared" ref="A297:A360" ca="1" si="41">IF(OR(H296&lt;=0,H296=""),"",OFFSET(A297,-1,0,1,1)+1)</f>
        <v/>
      </c>
      <c r="B297" s="255"/>
      <c r="C297" s="256"/>
      <c r="D297" s="257" t="str">
        <f t="shared" si="37"/>
        <v/>
      </c>
      <c r="E297" s="253"/>
      <c r="F297" s="257" t="str">
        <f t="shared" si="38"/>
        <v/>
      </c>
      <c r="G297" s="257" t="str">
        <f t="shared" si="39"/>
        <v/>
      </c>
      <c r="H297" s="257" t="str">
        <f t="shared" si="40"/>
        <v/>
      </c>
    </row>
    <row r="298" spans="1:8" x14ac:dyDescent="0.25">
      <c r="A298" s="254" t="str">
        <f t="shared" ca="1" si="41"/>
        <v/>
      </c>
      <c r="B298" s="255"/>
      <c r="C298" s="256"/>
      <c r="D298" s="257" t="str">
        <f t="shared" si="37"/>
        <v/>
      </c>
      <c r="E298" s="253"/>
      <c r="F298" s="257" t="str">
        <f t="shared" si="38"/>
        <v/>
      </c>
      <c r="G298" s="257" t="str">
        <f t="shared" si="39"/>
        <v/>
      </c>
      <c r="H298" s="257" t="str">
        <f t="shared" si="40"/>
        <v/>
      </c>
    </row>
    <row r="299" spans="1:8" x14ac:dyDescent="0.25">
      <c r="A299" s="254" t="str">
        <f t="shared" ca="1" si="41"/>
        <v/>
      </c>
      <c r="B299" s="255"/>
      <c r="C299" s="256"/>
      <c r="D299" s="257" t="str">
        <f t="shared" si="37"/>
        <v/>
      </c>
      <c r="E299" s="253"/>
      <c r="F299" s="257" t="str">
        <f t="shared" si="38"/>
        <v/>
      </c>
      <c r="G299" s="257" t="str">
        <f t="shared" si="39"/>
        <v/>
      </c>
      <c r="H299" s="257" t="str">
        <f t="shared" si="40"/>
        <v/>
      </c>
    </row>
    <row r="300" spans="1:8" x14ac:dyDescent="0.25">
      <c r="A300" s="254" t="str">
        <f t="shared" ca="1" si="41"/>
        <v/>
      </c>
      <c r="B300" s="255"/>
      <c r="C300" s="256"/>
      <c r="D300" s="257" t="str">
        <f t="shared" si="37"/>
        <v/>
      </c>
      <c r="E300" s="253"/>
      <c r="F300" s="257" t="str">
        <f t="shared" si="38"/>
        <v/>
      </c>
      <c r="G300" s="257" t="str">
        <f t="shared" si="39"/>
        <v/>
      </c>
      <c r="H300" s="257" t="str">
        <f t="shared" si="40"/>
        <v/>
      </c>
    </row>
    <row r="301" spans="1:8" x14ac:dyDescent="0.25">
      <c r="A301" s="254" t="str">
        <f t="shared" ca="1" si="41"/>
        <v/>
      </c>
      <c r="B301" s="255"/>
      <c r="C301" s="256"/>
      <c r="D301" s="257" t="str">
        <f t="shared" si="37"/>
        <v/>
      </c>
      <c r="E301" s="253"/>
      <c r="F301" s="257" t="str">
        <f t="shared" si="38"/>
        <v/>
      </c>
      <c r="G301" s="257" t="str">
        <f t="shared" si="39"/>
        <v/>
      </c>
      <c r="H301" s="257" t="str">
        <f t="shared" si="40"/>
        <v/>
      </c>
    </row>
    <row r="302" spans="1:8" x14ac:dyDescent="0.25">
      <c r="A302" s="254" t="str">
        <f t="shared" ca="1" si="41"/>
        <v/>
      </c>
      <c r="B302" s="255"/>
      <c r="C302" s="256"/>
      <c r="D302" s="257" t="str">
        <f t="shared" si="37"/>
        <v/>
      </c>
      <c r="E302" s="253"/>
      <c r="F302" s="257" t="str">
        <f t="shared" si="38"/>
        <v/>
      </c>
      <c r="G302" s="257" t="str">
        <f t="shared" si="39"/>
        <v/>
      </c>
      <c r="H302" s="257" t="str">
        <f t="shared" si="40"/>
        <v/>
      </c>
    </row>
    <row r="303" spans="1:8" x14ac:dyDescent="0.25">
      <c r="A303" s="254" t="str">
        <f t="shared" ca="1" si="41"/>
        <v/>
      </c>
      <c r="B303" s="255"/>
      <c r="C303" s="256"/>
      <c r="D303" s="257" t="str">
        <f t="shared" si="37"/>
        <v/>
      </c>
      <c r="E303" s="253"/>
      <c r="F303" s="257" t="str">
        <f t="shared" si="38"/>
        <v/>
      </c>
      <c r="G303" s="257" t="str">
        <f t="shared" si="39"/>
        <v/>
      </c>
      <c r="H303" s="257" t="str">
        <f t="shared" si="40"/>
        <v/>
      </c>
    </row>
    <row r="304" spans="1:8" x14ac:dyDescent="0.25">
      <c r="A304" s="254" t="str">
        <f t="shared" ca="1" si="41"/>
        <v/>
      </c>
      <c r="B304" s="255"/>
      <c r="C304" s="256"/>
      <c r="D304" s="257" t="str">
        <f t="shared" si="37"/>
        <v/>
      </c>
      <c r="E304" s="253"/>
      <c r="F304" s="257" t="str">
        <f t="shared" si="38"/>
        <v/>
      </c>
      <c r="G304" s="257" t="str">
        <f t="shared" si="39"/>
        <v/>
      </c>
      <c r="H304" s="257" t="str">
        <f t="shared" si="40"/>
        <v/>
      </c>
    </row>
    <row r="305" spans="1:8" x14ac:dyDescent="0.25">
      <c r="A305" s="254" t="str">
        <f t="shared" ca="1" si="41"/>
        <v/>
      </c>
      <c r="B305" s="255"/>
      <c r="C305" s="256"/>
      <c r="D305" s="257" t="str">
        <f t="shared" si="37"/>
        <v/>
      </c>
      <c r="E305" s="253"/>
      <c r="F305" s="257" t="str">
        <f t="shared" si="38"/>
        <v/>
      </c>
      <c r="G305" s="257" t="str">
        <f t="shared" si="39"/>
        <v/>
      </c>
      <c r="H305" s="257" t="str">
        <f t="shared" si="40"/>
        <v/>
      </c>
    </row>
    <row r="306" spans="1:8" x14ac:dyDescent="0.25">
      <c r="A306" s="254" t="str">
        <f t="shared" ca="1" si="41"/>
        <v/>
      </c>
      <c r="B306" s="255"/>
      <c r="C306" s="256"/>
      <c r="D306" s="257" t="str">
        <f t="shared" si="37"/>
        <v/>
      </c>
      <c r="E306" s="253"/>
      <c r="F306" s="257" t="str">
        <f t="shared" si="38"/>
        <v/>
      </c>
      <c r="G306" s="257" t="str">
        <f t="shared" si="39"/>
        <v/>
      </c>
      <c r="H306" s="257" t="str">
        <f t="shared" si="40"/>
        <v/>
      </c>
    </row>
    <row r="307" spans="1:8" x14ac:dyDescent="0.25">
      <c r="A307" s="254" t="str">
        <f t="shared" ca="1" si="41"/>
        <v/>
      </c>
      <c r="B307" s="255"/>
      <c r="C307" s="256"/>
      <c r="D307" s="257" t="str">
        <f t="shared" si="37"/>
        <v/>
      </c>
      <c r="E307" s="253"/>
      <c r="F307" s="257" t="str">
        <f t="shared" si="38"/>
        <v/>
      </c>
      <c r="G307" s="257" t="str">
        <f t="shared" si="39"/>
        <v/>
      </c>
      <c r="H307" s="257" t="str">
        <f t="shared" si="40"/>
        <v/>
      </c>
    </row>
    <row r="308" spans="1:8" x14ac:dyDescent="0.25">
      <c r="A308" s="254" t="str">
        <f t="shared" ca="1" si="41"/>
        <v/>
      </c>
      <c r="B308" s="255"/>
      <c r="C308" s="256"/>
      <c r="D308" s="257" t="str">
        <f t="shared" si="37"/>
        <v/>
      </c>
      <c r="E308" s="253"/>
      <c r="F308" s="257" t="str">
        <f t="shared" si="38"/>
        <v/>
      </c>
      <c r="G308" s="257" t="str">
        <f t="shared" si="39"/>
        <v/>
      </c>
      <c r="H308" s="257" t="str">
        <f t="shared" si="40"/>
        <v/>
      </c>
    </row>
    <row r="309" spans="1:8" x14ac:dyDescent="0.25">
      <c r="A309" s="254" t="str">
        <f t="shared" ca="1" si="41"/>
        <v/>
      </c>
      <c r="B309" s="255"/>
      <c r="C309" s="256"/>
      <c r="D309" s="257" t="str">
        <f t="shared" si="37"/>
        <v/>
      </c>
      <c r="E309" s="253"/>
      <c r="F309" s="257" t="str">
        <f t="shared" si="38"/>
        <v/>
      </c>
      <c r="G309" s="257" t="str">
        <f t="shared" si="39"/>
        <v/>
      </c>
      <c r="H309" s="257" t="str">
        <f t="shared" si="40"/>
        <v/>
      </c>
    </row>
    <row r="310" spans="1:8" x14ac:dyDescent="0.25">
      <c r="A310" s="254" t="str">
        <f t="shared" ca="1" si="41"/>
        <v/>
      </c>
      <c r="B310" s="255"/>
      <c r="C310" s="256"/>
      <c r="D310" s="257" t="str">
        <f t="shared" si="37"/>
        <v/>
      </c>
      <c r="E310" s="253"/>
      <c r="F310" s="257" t="str">
        <f t="shared" si="38"/>
        <v/>
      </c>
      <c r="G310" s="257" t="str">
        <f t="shared" si="39"/>
        <v/>
      </c>
      <c r="H310" s="257" t="str">
        <f t="shared" si="40"/>
        <v/>
      </c>
    </row>
    <row r="311" spans="1:8" x14ac:dyDescent="0.25">
      <c r="A311" s="254" t="str">
        <f t="shared" ca="1" si="41"/>
        <v/>
      </c>
      <c r="B311" s="255"/>
      <c r="C311" s="256"/>
      <c r="D311" s="257" t="str">
        <f t="shared" si="37"/>
        <v/>
      </c>
      <c r="E311" s="253"/>
      <c r="F311" s="257" t="str">
        <f t="shared" si="38"/>
        <v/>
      </c>
      <c r="G311" s="257" t="str">
        <f t="shared" si="39"/>
        <v/>
      </c>
      <c r="H311" s="257" t="str">
        <f t="shared" si="40"/>
        <v/>
      </c>
    </row>
    <row r="312" spans="1:8" x14ac:dyDescent="0.25">
      <c r="A312" s="254" t="str">
        <f t="shared" ca="1" si="41"/>
        <v/>
      </c>
      <c r="B312" s="255"/>
      <c r="C312" s="256"/>
      <c r="D312" s="257" t="str">
        <f t="shared" si="37"/>
        <v/>
      </c>
      <c r="E312" s="253"/>
      <c r="F312" s="257" t="str">
        <f t="shared" si="38"/>
        <v/>
      </c>
      <c r="G312" s="257" t="str">
        <f t="shared" si="39"/>
        <v/>
      </c>
      <c r="H312" s="257" t="str">
        <f t="shared" si="40"/>
        <v/>
      </c>
    </row>
    <row r="313" spans="1:8" x14ac:dyDescent="0.25">
      <c r="A313" s="254" t="str">
        <f t="shared" ca="1" si="41"/>
        <v/>
      </c>
      <c r="B313" s="255"/>
      <c r="C313" s="256"/>
      <c r="D313" s="257" t="str">
        <f t="shared" si="37"/>
        <v/>
      </c>
      <c r="E313" s="253"/>
      <c r="F313" s="257" t="str">
        <f t="shared" si="38"/>
        <v/>
      </c>
      <c r="G313" s="257" t="str">
        <f t="shared" si="39"/>
        <v/>
      </c>
      <c r="H313" s="257" t="str">
        <f t="shared" si="40"/>
        <v/>
      </c>
    </row>
    <row r="314" spans="1:8" x14ac:dyDescent="0.25">
      <c r="A314" s="254" t="str">
        <f t="shared" ca="1" si="41"/>
        <v/>
      </c>
      <c r="B314" s="255"/>
      <c r="C314" s="256"/>
      <c r="D314" s="257" t="str">
        <f t="shared" si="37"/>
        <v/>
      </c>
      <c r="E314" s="253"/>
      <c r="F314" s="257" t="str">
        <f t="shared" si="38"/>
        <v/>
      </c>
      <c r="G314" s="257" t="str">
        <f t="shared" si="39"/>
        <v/>
      </c>
      <c r="H314" s="257" t="str">
        <f t="shared" si="40"/>
        <v/>
      </c>
    </row>
    <row r="315" spans="1:8" x14ac:dyDescent="0.25">
      <c r="A315" s="254" t="str">
        <f t="shared" ca="1" si="41"/>
        <v/>
      </c>
      <c r="B315" s="255"/>
      <c r="C315" s="256"/>
      <c r="D315" s="257" t="str">
        <f t="shared" si="37"/>
        <v/>
      </c>
      <c r="E315" s="253"/>
      <c r="F315" s="257" t="str">
        <f t="shared" si="38"/>
        <v/>
      </c>
      <c r="G315" s="257" t="str">
        <f t="shared" si="39"/>
        <v/>
      </c>
      <c r="H315" s="257" t="str">
        <f t="shared" si="40"/>
        <v/>
      </c>
    </row>
    <row r="316" spans="1:8" x14ac:dyDescent="0.25">
      <c r="A316" s="254" t="str">
        <f t="shared" ca="1" si="41"/>
        <v/>
      </c>
      <c r="B316" s="255"/>
      <c r="C316" s="256"/>
      <c r="D316" s="257" t="str">
        <f t="shared" si="37"/>
        <v/>
      </c>
      <c r="E316" s="253"/>
      <c r="F316" s="257" t="str">
        <f t="shared" si="38"/>
        <v/>
      </c>
      <c r="G316" s="257" t="str">
        <f t="shared" si="39"/>
        <v/>
      </c>
      <c r="H316" s="257" t="str">
        <f t="shared" si="40"/>
        <v/>
      </c>
    </row>
    <row r="317" spans="1:8" x14ac:dyDescent="0.25">
      <c r="A317" s="254" t="str">
        <f t="shared" ca="1" si="41"/>
        <v/>
      </c>
      <c r="B317" s="255"/>
      <c r="C317" s="256"/>
      <c r="D317" s="257" t="str">
        <f t="shared" si="37"/>
        <v/>
      </c>
      <c r="E317" s="253"/>
      <c r="F317" s="257" t="str">
        <f t="shared" si="38"/>
        <v/>
      </c>
      <c r="G317" s="257" t="str">
        <f t="shared" si="39"/>
        <v/>
      </c>
      <c r="H317" s="257" t="str">
        <f t="shared" si="40"/>
        <v/>
      </c>
    </row>
    <row r="318" spans="1:8" x14ac:dyDescent="0.25">
      <c r="A318" s="254" t="str">
        <f t="shared" ca="1" si="41"/>
        <v/>
      </c>
      <c r="B318" s="255"/>
      <c r="C318" s="256"/>
      <c r="D318" s="257" t="str">
        <f t="shared" si="37"/>
        <v/>
      </c>
      <c r="E318" s="253"/>
      <c r="F318" s="257" t="str">
        <f t="shared" si="38"/>
        <v/>
      </c>
      <c r="G318" s="257" t="str">
        <f t="shared" si="39"/>
        <v/>
      </c>
      <c r="H318" s="257" t="str">
        <f t="shared" si="40"/>
        <v/>
      </c>
    </row>
    <row r="319" spans="1:8" x14ac:dyDescent="0.25">
      <c r="A319" s="254" t="str">
        <f t="shared" ca="1" si="41"/>
        <v/>
      </c>
      <c r="B319" s="255"/>
      <c r="C319" s="256"/>
      <c r="D319" s="257" t="str">
        <f t="shared" si="37"/>
        <v/>
      </c>
      <c r="E319" s="253"/>
      <c r="F319" s="257" t="str">
        <f t="shared" si="38"/>
        <v/>
      </c>
      <c r="G319" s="257" t="str">
        <f t="shared" si="39"/>
        <v/>
      </c>
      <c r="H319" s="257" t="str">
        <f t="shared" si="40"/>
        <v/>
      </c>
    </row>
    <row r="320" spans="1:8" x14ac:dyDescent="0.25">
      <c r="A320" s="254" t="str">
        <f t="shared" ca="1" si="41"/>
        <v/>
      </c>
      <c r="B320" s="255"/>
      <c r="C320" s="256"/>
      <c r="D320" s="257" t="str">
        <f t="shared" si="37"/>
        <v/>
      </c>
      <c r="E320" s="253"/>
      <c r="F320" s="257" t="str">
        <f t="shared" si="38"/>
        <v/>
      </c>
      <c r="G320" s="257" t="str">
        <f t="shared" si="39"/>
        <v/>
      </c>
      <c r="H320" s="257" t="str">
        <f t="shared" si="40"/>
        <v/>
      </c>
    </row>
    <row r="321" spans="1:8" x14ac:dyDescent="0.25">
      <c r="A321" s="254" t="str">
        <f t="shared" ca="1" si="41"/>
        <v/>
      </c>
      <c r="B321" s="255"/>
      <c r="C321" s="256"/>
      <c r="D321" s="257" t="str">
        <f t="shared" si="37"/>
        <v/>
      </c>
      <c r="E321" s="253"/>
      <c r="F321" s="257" t="str">
        <f t="shared" si="38"/>
        <v/>
      </c>
      <c r="G321" s="257" t="str">
        <f t="shared" si="39"/>
        <v/>
      </c>
      <c r="H321" s="257" t="str">
        <f t="shared" si="40"/>
        <v/>
      </c>
    </row>
    <row r="322" spans="1:8" x14ac:dyDescent="0.25">
      <c r="A322" s="254" t="str">
        <f t="shared" ca="1" si="41"/>
        <v/>
      </c>
      <c r="B322" s="255"/>
      <c r="C322" s="256"/>
      <c r="D322" s="257" t="str">
        <f t="shared" si="37"/>
        <v/>
      </c>
      <c r="E322" s="253"/>
      <c r="F322" s="257" t="str">
        <f t="shared" si="38"/>
        <v/>
      </c>
      <c r="G322" s="257" t="str">
        <f t="shared" si="39"/>
        <v/>
      </c>
      <c r="H322" s="257" t="str">
        <f t="shared" si="40"/>
        <v/>
      </c>
    </row>
    <row r="323" spans="1:8" x14ac:dyDescent="0.25">
      <c r="A323" s="254" t="str">
        <f t="shared" ca="1" si="41"/>
        <v/>
      </c>
      <c r="B323" s="255"/>
      <c r="C323" s="256"/>
      <c r="D323" s="257" t="str">
        <f t="shared" si="37"/>
        <v/>
      </c>
      <c r="E323" s="253"/>
      <c r="F323" s="257" t="str">
        <f t="shared" si="38"/>
        <v/>
      </c>
      <c r="G323" s="257" t="str">
        <f t="shared" si="39"/>
        <v/>
      </c>
      <c r="H323" s="257" t="str">
        <f t="shared" si="40"/>
        <v/>
      </c>
    </row>
    <row r="324" spans="1:8" x14ac:dyDescent="0.25">
      <c r="A324" s="254" t="str">
        <f t="shared" ca="1" si="41"/>
        <v/>
      </c>
      <c r="B324" s="255"/>
      <c r="C324" s="256"/>
      <c r="D324" s="257" t="str">
        <f t="shared" si="37"/>
        <v/>
      </c>
      <c r="E324" s="253"/>
      <c r="F324" s="257" t="str">
        <f t="shared" si="38"/>
        <v/>
      </c>
      <c r="G324" s="257" t="str">
        <f t="shared" si="39"/>
        <v/>
      </c>
      <c r="H324" s="257" t="str">
        <f t="shared" si="40"/>
        <v/>
      </c>
    </row>
    <row r="325" spans="1:8" x14ac:dyDescent="0.25">
      <c r="A325" s="254" t="str">
        <f t="shared" ca="1" si="41"/>
        <v/>
      </c>
      <c r="B325" s="255"/>
      <c r="C325" s="256"/>
      <c r="D325" s="257" t="str">
        <f t="shared" si="37"/>
        <v/>
      </c>
      <c r="E325" s="253"/>
      <c r="F325" s="257" t="str">
        <f t="shared" si="38"/>
        <v/>
      </c>
      <c r="G325" s="257" t="str">
        <f t="shared" si="39"/>
        <v/>
      </c>
      <c r="H325" s="257" t="str">
        <f t="shared" si="40"/>
        <v/>
      </c>
    </row>
    <row r="326" spans="1:8" x14ac:dyDescent="0.25">
      <c r="A326" s="254" t="str">
        <f t="shared" ca="1" si="41"/>
        <v/>
      </c>
      <c r="B326" s="255"/>
      <c r="C326" s="256"/>
      <c r="D326" s="257" t="str">
        <f t="shared" si="37"/>
        <v/>
      </c>
      <c r="E326" s="253"/>
      <c r="F326" s="257" t="str">
        <f t="shared" si="38"/>
        <v/>
      </c>
      <c r="G326" s="257" t="str">
        <f t="shared" si="39"/>
        <v/>
      </c>
      <c r="H326" s="257" t="str">
        <f t="shared" si="40"/>
        <v/>
      </c>
    </row>
    <row r="327" spans="1:8" x14ac:dyDescent="0.25">
      <c r="A327" s="254" t="str">
        <f t="shared" ca="1" si="41"/>
        <v/>
      </c>
      <c r="B327" s="255"/>
      <c r="C327" s="256"/>
      <c r="D327" s="257" t="str">
        <f t="shared" si="37"/>
        <v/>
      </c>
      <c r="E327" s="253"/>
      <c r="F327" s="257" t="str">
        <f t="shared" si="38"/>
        <v/>
      </c>
      <c r="G327" s="257" t="str">
        <f t="shared" si="39"/>
        <v/>
      </c>
      <c r="H327" s="257" t="str">
        <f t="shared" si="40"/>
        <v/>
      </c>
    </row>
    <row r="328" spans="1:8" x14ac:dyDescent="0.25">
      <c r="A328" s="254" t="str">
        <f t="shared" ca="1" si="41"/>
        <v/>
      </c>
      <c r="B328" s="255"/>
      <c r="C328" s="256"/>
      <c r="D328" s="257" t="str">
        <f t="shared" si="37"/>
        <v/>
      </c>
      <c r="E328" s="253"/>
      <c r="F328" s="257" t="str">
        <f t="shared" si="38"/>
        <v/>
      </c>
      <c r="G328" s="257" t="str">
        <f t="shared" si="39"/>
        <v/>
      </c>
      <c r="H328" s="257" t="str">
        <f t="shared" si="40"/>
        <v/>
      </c>
    </row>
    <row r="329" spans="1:8" x14ac:dyDescent="0.25">
      <c r="A329" s="254" t="str">
        <f t="shared" ca="1" si="41"/>
        <v/>
      </c>
      <c r="B329" s="255"/>
      <c r="C329" s="256"/>
      <c r="D329" s="257" t="str">
        <f t="shared" si="37"/>
        <v/>
      </c>
      <c r="E329" s="253"/>
      <c r="F329" s="257" t="str">
        <f t="shared" si="38"/>
        <v/>
      </c>
      <c r="G329" s="257" t="str">
        <f t="shared" si="39"/>
        <v/>
      </c>
      <c r="H329" s="257" t="str">
        <f t="shared" si="40"/>
        <v/>
      </c>
    </row>
    <row r="330" spans="1:8" x14ac:dyDescent="0.25">
      <c r="A330" s="254" t="str">
        <f t="shared" ca="1" si="41"/>
        <v/>
      </c>
      <c r="B330" s="255"/>
      <c r="C330" s="256"/>
      <c r="D330" s="257" t="str">
        <f t="shared" si="37"/>
        <v/>
      </c>
      <c r="E330" s="253"/>
      <c r="F330" s="257" t="str">
        <f t="shared" si="38"/>
        <v/>
      </c>
      <c r="G330" s="257" t="str">
        <f t="shared" si="39"/>
        <v/>
      </c>
      <c r="H330" s="257" t="str">
        <f t="shared" si="40"/>
        <v/>
      </c>
    </row>
    <row r="331" spans="1:8" x14ac:dyDescent="0.25">
      <c r="A331" s="254" t="str">
        <f t="shared" ca="1" si="41"/>
        <v/>
      </c>
      <c r="B331" s="255"/>
      <c r="C331" s="256"/>
      <c r="D331" s="257" t="str">
        <f t="shared" si="37"/>
        <v/>
      </c>
      <c r="E331" s="253"/>
      <c r="F331" s="257" t="str">
        <f t="shared" si="38"/>
        <v/>
      </c>
      <c r="G331" s="257" t="str">
        <f t="shared" si="39"/>
        <v/>
      </c>
      <c r="H331" s="257" t="str">
        <f t="shared" si="40"/>
        <v/>
      </c>
    </row>
    <row r="332" spans="1:8" x14ac:dyDescent="0.25">
      <c r="A332" s="254" t="str">
        <f t="shared" ca="1" si="41"/>
        <v/>
      </c>
      <c r="B332" s="255"/>
      <c r="C332" s="256"/>
      <c r="D332" s="257" t="str">
        <f t="shared" si="37"/>
        <v/>
      </c>
      <c r="E332" s="253"/>
      <c r="F332" s="257" t="str">
        <f t="shared" si="38"/>
        <v/>
      </c>
      <c r="G332" s="257" t="str">
        <f t="shared" si="39"/>
        <v/>
      </c>
      <c r="H332" s="257" t="str">
        <f t="shared" si="40"/>
        <v/>
      </c>
    </row>
    <row r="333" spans="1:8" x14ac:dyDescent="0.25">
      <c r="A333" s="254" t="str">
        <f t="shared" ca="1" si="41"/>
        <v/>
      </c>
      <c r="B333" s="255"/>
      <c r="C333" s="256"/>
      <c r="D333" s="257" t="str">
        <f t="shared" si="37"/>
        <v/>
      </c>
      <c r="E333" s="253"/>
      <c r="F333" s="257" t="str">
        <f t="shared" si="38"/>
        <v/>
      </c>
      <c r="G333" s="257" t="str">
        <f t="shared" si="39"/>
        <v/>
      </c>
      <c r="H333" s="257" t="str">
        <f t="shared" si="40"/>
        <v/>
      </c>
    </row>
    <row r="334" spans="1:8" x14ac:dyDescent="0.25">
      <c r="A334" s="254" t="str">
        <f t="shared" ca="1" si="41"/>
        <v/>
      </c>
      <c r="B334" s="255"/>
      <c r="C334" s="256"/>
      <c r="D334" s="257" t="str">
        <f t="shared" si="37"/>
        <v/>
      </c>
      <c r="E334" s="253"/>
      <c r="F334" s="257" t="str">
        <f t="shared" si="38"/>
        <v/>
      </c>
      <c r="G334" s="257" t="str">
        <f t="shared" si="39"/>
        <v/>
      </c>
      <c r="H334" s="257" t="str">
        <f t="shared" si="40"/>
        <v/>
      </c>
    </row>
    <row r="335" spans="1:8" x14ac:dyDescent="0.25">
      <c r="A335" s="254" t="str">
        <f t="shared" ca="1" si="41"/>
        <v/>
      </c>
      <c r="B335" s="255"/>
      <c r="C335" s="256"/>
      <c r="D335" s="257" t="str">
        <f t="shared" si="37"/>
        <v/>
      </c>
      <c r="E335" s="253"/>
      <c r="F335" s="257" t="str">
        <f t="shared" si="38"/>
        <v/>
      </c>
      <c r="G335" s="257" t="str">
        <f t="shared" si="39"/>
        <v/>
      </c>
      <c r="H335" s="257" t="str">
        <f t="shared" si="40"/>
        <v/>
      </c>
    </row>
    <row r="336" spans="1:8" x14ac:dyDescent="0.25">
      <c r="A336" s="254" t="str">
        <f t="shared" ca="1" si="41"/>
        <v/>
      </c>
      <c r="B336" s="255"/>
      <c r="C336" s="256"/>
      <c r="D336" s="257" t="str">
        <f t="shared" si="37"/>
        <v/>
      </c>
      <c r="E336" s="253"/>
      <c r="F336" s="257" t="str">
        <f t="shared" si="38"/>
        <v/>
      </c>
      <c r="G336" s="257" t="str">
        <f t="shared" si="39"/>
        <v/>
      </c>
      <c r="H336" s="257" t="str">
        <f t="shared" si="40"/>
        <v/>
      </c>
    </row>
    <row r="337" spans="1:8" x14ac:dyDescent="0.25">
      <c r="A337" s="254" t="str">
        <f t="shared" ca="1" si="41"/>
        <v/>
      </c>
      <c r="B337" s="255"/>
      <c r="C337" s="256"/>
      <c r="D337" s="257" t="str">
        <f t="shared" si="37"/>
        <v/>
      </c>
      <c r="E337" s="253"/>
      <c r="F337" s="257" t="str">
        <f t="shared" si="38"/>
        <v/>
      </c>
      <c r="G337" s="257" t="str">
        <f t="shared" si="39"/>
        <v/>
      </c>
      <c r="H337" s="257" t="str">
        <f t="shared" si="40"/>
        <v/>
      </c>
    </row>
    <row r="338" spans="1:8" x14ac:dyDescent="0.25">
      <c r="A338" s="254" t="str">
        <f t="shared" ca="1" si="41"/>
        <v/>
      </c>
      <c r="B338" s="255"/>
      <c r="C338" s="256"/>
      <c r="D338" s="257" t="str">
        <f t="shared" si="37"/>
        <v/>
      </c>
      <c r="E338" s="253"/>
      <c r="F338" s="257" t="str">
        <f t="shared" si="38"/>
        <v/>
      </c>
      <c r="G338" s="257" t="str">
        <f t="shared" si="39"/>
        <v/>
      </c>
      <c r="H338" s="257" t="str">
        <f t="shared" si="40"/>
        <v/>
      </c>
    </row>
    <row r="339" spans="1:8" x14ac:dyDescent="0.25">
      <c r="A339" s="254" t="str">
        <f t="shared" ca="1" si="41"/>
        <v/>
      </c>
      <c r="B339" s="255"/>
      <c r="C339" s="256"/>
      <c r="D339" s="257" t="str">
        <f t="shared" ref="D339:D402" si="42">IF(B339="","",ROUND((B339-B338)*$H$9*G338,2))</f>
        <v/>
      </c>
      <c r="E339" s="253"/>
      <c r="F339" s="257" t="str">
        <f t="shared" ref="F339:F402" si="43">IF(B339="","",IF(C339&gt;F338+D339,0,F338+D339-C339))</f>
        <v/>
      </c>
      <c r="G339" s="257" t="str">
        <f t="shared" ref="G339:G402" si="44">IF(B339="","",IF(C339&gt;D339+F338,G338+F338+D339-C339,G338))</f>
        <v/>
      </c>
      <c r="H339" s="257" t="str">
        <f t="shared" ref="H339:H402" si="45">IF(B339="","",G339+F339)</f>
        <v/>
      </c>
    </row>
    <row r="340" spans="1:8" x14ac:dyDescent="0.25">
      <c r="A340" s="254" t="str">
        <f t="shared" ca="1" si="41"/>
        <v/>
      </c>
      <c r="B340" s="255"/>
      <c r="C340" s="256"/>
      <c r="D340" s="257" t="str">
        <f t="shared" si="42"/>
        <v/>
      </c>
      <c r="E340" s="253"/>
      <c r="F340" s="257" t="str">
        <f t="shared" si="43"/>
        <v/>
      </c>
      <c r="G340" s="257" t="str">
        <f t="shared" si="44"/>
        <v/>
      </c>
      <c r="H340" s="257" t="str">
        <f t="shared" si="45"/>
        <v/>
      </c>
    </row>
    <row r="341" spans="1:8" x14ac:dyDescent="0.25">
      <c r="A341" s="254" t="str">
        <f t="shared" ca="1" si="41"/>
        <v/>
      </c>
      <c r="B341" s="255"/>
      <c r="C341" s="256"/>
      <c r="D341" s="257" t="str">
        <f t="shared" si="42"/>
        <v/>
      </c>
      <c r="E341" s="253"/>
      <c r="F341" s="257" t="str">
        <f t="shared" si="43"/>
        <v/>
      </c>
      <c r="G341" s="257" t="str">
        <f t="shared" si="44"/>
        <v/>
      </c>
      <c r="H341" s="257" t="str">
        <f t="shared" si="45"/>
        <v/>
      </c>
    </row>
    <row r="342" spans="1:8" x14ac:dyDescent="0.25">
      <c r="A342" s="254" t="str">
        <f t="shared" ca="1" si="41"/>
        <v/>
      </c>
      <c r="B342" s="255"/>
      <c r="C342" s="256"/>
      <c r="D342" s="257" t="str">
        <f t="shared" si="42"/>
        <v/>
      </c>
      <c r="E342" s="253"/>
      <c r="F342" s="257" t="str">
        <f t="shared" si="43"/>
        <v/>
      </c>
      <c r="G342" s="257" t="str">
        <f t="shared" si="44"/>
        <v/>
      </c>
      <c r="H342" s="257" t="str">
        <f t="shared" si="45"/>
        <v/>
      </c>
    </row>
    <row r="343" spans="1:8" x14ac:dyDescent="0.25">
      <c r="A343" s="254" t="str">
        <f t="shared" ca="1" si="41"/>
        <v/>
      </c>
      <c r="B343" s="255"/>
      <c r="C343" s="256"/>
      <c r="D343" s="257" t="str">
        <f t="shared" si="42"/>
        <v/>
      </c>
      <c r="E343" s="253"/>
      <c r="F343" s="257" t="str">
        <f t="shared" si="43"/>
        <v/>
      </c>
      <c r="G343" s="257" t="str">
        <f t="shared" si="44"/>
        <v/>
      </c>
      <c r="H343" s="257" t="str">
        <f t="shared" si="45"/>
        <v/>
      </c>
    </row>
    <row r="344" spans="1:8" x14ac:dyDescent="0.25">
      <c r="A344" s="254" t="str">
        <f t="shared" ca="1" si="41"/>
        <v/>
      </c>
      <c r="B344" s="255"/>
      <c r="C344" s="256"/>
      <c r="D344" s="257" t="str">
        <f t="shared" si="42"/>
        <v/>
      </c>
      <c r="E344" s="253"/>
      <c r="F344" s="257" t="str">
        <f t="shared" si="43"/>
        <v/>
      </c>
      <c r="G344" s="257" t="str">
        <f t="shared" si="44"/>
        <v/>
      </c>
      <c r="H344" s="257" t="str">
        <f t="shared" si="45"/>
        <v/>
      </c>
    </row>
    <row r="345" spans="1:8" x14ac:dyDescent="0.25">
      <c r="A345" s="254" t="str">
        <f t="shared" ca="1" si="41"/>
        <v/>
      </c>
      <c r="B345" s="255"/>
      <c r="C345" s="256"/>
      <c r="D345" s="257" t="str">
        <f t="shared" si="42"/>
        <v/>
      </c>
      <c r="E345" s="253"/>
      <c r="F345" s="257" t="str">
        <f t="shared" si="43"/>
        <v/>
      </c>
      <c r="G345" s="257" t="str">
        <f t="shared" si="44"/>
        <v/>
      </c>
      <c r="H345" s="257" t="str">
        <f t="shared" si="45"/>
        <v/>
      </c>
    </row>
    <row r="346" spans="1:8" x14ac:dyDescent="0.25">
      <c r="A346" s="254" t="str">
        <f t="shared" ca="1" si="41"/>
        <v/>
      </c>
      <c r="B346" s="255"/>
      <c r="C346" s="256"/>
      <c r="D346" s="257" t="str">
        <f t="shared" si="42"/>
        <v/>
      </c>
      <c r="E346" s="253"/>
      <c r="F346" s="257" t="str">
        <f t="shared" si="43"/>
        <v/>
      </c>
      <c r="G346" s="257" t="str">
        <f t="shared" si="44"/>
        <v/>
      </c>
      <c r="H346" s="257" t="str">
        <f t="shared" si="45"/>
        <v/>
      </c>
    </row>
    <row r="347" spans="1:8" x14ac:dyDescent="0.25">
      <c r="A347" s="254" t="str">
        <f t="shared" ca="1" si="41"/>
        <v/>
      </c>
      <c r="B347" s="255"/>
      <c r="C347" s="256"/>
      <c r="D347" s="257" t="str">
        <f t="shared" si="42"/>
        <v/>
      </c>
      <c r="E347" s="253"/>
      <c r="F347" s="257" t="str">
        <f t="shared" si="43"/>
        <v/>
      </c>
      <c r="G347" s="257" t="str">
        <f t="shared" si="44"/>
        <v/>
      </c>
      <c r="H347" s="257" t="str">
        <f t="shared" si="45"/>
        <v/>
      </c>
    </row>
    <row r="348" spans="1:8" x14ac:dyDescent="0.25">
      <c r="A348" s="254" t="str">
        <f t="shared" ca="1" si="41"/>
        <v/>
      </c>
      <c r="B348" s="255"/>
      <c r="C348" s="256"/>
      <c r="D348" s="257" t="str">
        <f t="shared" si="42"/>
        <v/>
      </c>
      <c r="E348" s="253"/>
      <c r="F348" s="257" t="str">
        <f t="shared" si="43"/>
        <v/>
      </c>
      <c r="G348" s="257" t="str">
        <f t="shared" si="44"/>
        <v/>
      </c>
      <c r="H348" s="257" t="str">
        <f t="shared" si="45"/>
        <v/>
      </c>
    </row>
    <row r="349" spans="1:8" x14ac:dyDescent="0.25">
      <c r="A349" s="254" t="str">
        <f t="shared" ca="1" si="41"/>
        <v/>
      </c>
      <c r="B349" s="255"/>
      <c r="C349" s="256"/>
      <c r="D349" s="257" t="str">
        <f t="shared" si="42"/>
        <v/>
      </c>
      <c r="E349" s="253"/>
      <c r="F349" s="257" t="str">
        <f t="shared" si="43"/>
        <v/>
      </c>
      <c r="G349" s="257" t="str">
        <f t="shared" si="44"/>
        <v/>
      </c>
      <c r="H349" s="257" t="str">
        <f t="shared" si="45"/>
        <v/>
      </c>
    </row>
    <row r="350" spans="1:8" x14ac:dyDescent="0.25">
      <c r="A350" s="254" t="str">
        <f t="shared" ca="1" si="41"/>
        <v/>
      </c>
      <c r="B350" s="255"/>
      <c r="C350" s="256"/>
      <c r="D350" s="257" t="str">
        <f t="shared" si="42"/>
        <v/>
      </c>
      <c r="E350" s="253"/>
      <c r="F350" s="257" t="str">
        <f t="shared" si="43"/>
        <v/>
      </c>
      <c r="G350" s="257" t="str">
        <f t="shared" si="44"/>
        <v/>
      </c>
      <c r="H350" s="257" t="str">
        <f t="shared" si="45"/>
        <v/>
      </c>
    </row>
    <row r="351" spans="1:8" x14ac:dyDescent="0.25">
      <c r="A351" s="254" t="str">
        <f t="shared" ca="1" si="41"/>
        <v/>
      </c>
      <c r="B351" s="255"/>
      <c r="C351" s="256"/>
      <c r="D351" s="257" t="str">
        <f t="shared" si="42"/>
        <v/>
      </c>
      <c r="E351" s="253"/>
      <c r="F351" s="257" t="str">
        <f t="shared" si="43"/>
        <v/>
      </c>
      <c r="G351" s="257" t="str">
        <f t="shared" si="44"/>
        <v/>
      </c>
      <c r="H351" s="257" t="str">
        <f t="shared" si="45"/>
        <v/>
      </c>
    </row>
    <row r="352" spans="1:8" x14ac:dyDescent="0.25">
      <c r="A352" s="254" t="str">
        <f t="shared" ca="1" si="41"/>
        <v/>
      </c>
      <c r="B352" s="255"/>
      <c r="C352" s="256"/>
      <c r="D352" s="257" t="str">
        <f t="shared" si="42"/>
        <v/>
      </c>
      <c r="E352" s="253"/>
      <c r="F352" s="257" t="str">
        <f t="shared" si="43"/>
        <v/>
      </c>
      <c r="G352" s="257" t="str">
        <f t="shared" si="44"/>
        <v/>
      </c>
      <c r="H352" s="257" t="str">
        <f t="shared" si="45"/>
        <v/>
      </c>
    </row>
    <row r="353" spans="1:8" x14ac:dyDescent="0.25">
      <c r="A353" s="254" t="str">
        <f t="shared" ca="1" si="41"/>
        <v/>
      </c>
      <c r="B353" s="255"/>
      <c r="C353" s="256"/>
      <c r="D353" s="257" t="str">
        <f t="shared" si="42"/>
        <v/>
      </c>
      <c r="E353" s="253"/>
      <c r="F353" s="257" t="str">
        <f t="shared" si="43"/>
        <v/>
      </c>
      <c r="G353" s="257" t="str">
        <f t="shared" si="44"/>
        <v/>
      </c>
      <c r="H353" s="257" t="str">
        <f t="shared" si="45"/>
        <v/>
      </c>
    </row>
    <row r="354" spans="1:8" x14ac:dyDescent="0.25">
      <c r="A354" s="254" t="str">
        <f t="shared" ca="1" si="41"/>
        <v/>
      </c>
      <c r="B354" s="255"/>
      <c r="C354" s="256"/>
      <c r="D354" s="257" t="str">
        <f t="shared" si="42"/>
        <v/>
      </c>
      <c r="E354" s="253"/>
      <c r="F354" s="257" t="str">
        <f t="shared" si="43"/>
        <v/>
      </c>
      <c r="G354" s="257" t="str">
        <f t="shared" si="44"/>
        <v/>
      </c>
      <c r="H354" s="257" t="str">
        <f t="shared" si="45"/>
        <v/>
      </c>
    </row>
    <row r="355" spans="1:8" x14ac:dyDescent="0.25">
      <c r="A355" s="254" t="str">
        <f t="shared" ca="1" si="41"/>
        <v/>
      </c>
      <c r="B355" s="255"/>
      <c r="C355" s="256"/>
      <c r="D355" s="257" t="str">
        <f t="shared" si="42"/>
        <v/>
      </c>
      <c r="E355" s="253"/>
      <c r="F355" s="257" t="str">
        <f t="shared" si="43"/>
        <v/>
      </c>
      <c r="G355" s="257" t="str">
        <f t="shared" si="44"/>
        <v/>
      </c>
      <c r="H355" s="257" t="str">
        <f t="shared" si="45"/>
        <v/>
      </c>
    </row>
    <row r="356" spans="1:8" x14ac:dyDescent="0.25">
      <c r="A356" s="254" t="str">
        <f t="shared" ca="1" si="41"/>
        <v/>
      </c>
      <c r="B356" s="255"/>
      <c r="C356" s="256"/>
      <c r="D356" s="257" t="str">
        <f t="shared" si="42"/>
        <v/>
      </c>
      <c r="E356" s="253"/>
      <c r="F356" s="257" t="str">
        <f t="shared" si="43"/>
        <v/>
      </c>
      <c r="G356" s="257" t="str">
        <f t="shared" si="44"/>
        <v/>
      </c>
      <c r="H356" s="257" t="str">
        <f t="shared" si="45"/>
        <v/>
      </c>
    </row>
    <row r="357" spans="1:8" x14ac:dyDescent="0.25">
      <c r="A357" s="254" t="str">
        <f t="shared" ca="1" si="41"/>
        <v/>
      </c>
      <c r="B357" s="255"/>
      <c r="C357" s="256"/>
      <c r="D357" s="257" t="str">
        <f t="shared" si="42"/>
        <v/>
      </c>
      <c r="E357" s="253"/>
      <c r="F357" s="257" t="str">
        <f t="shared" si="43"/>
        <v/>
      </c>
      <c r="G357" s="257" t="str">
        <f t="shared" si="44"/>
        <v/>
      </c>
      <c r="H357" s="257" t="str">
        <f t="shared" si="45"/>
        <v/>
      </c>
    </row>
    <row r="358" spans="1:8" x14ac:dyDescent="0.25">
      <c r="A358" s="254" t="str">
        <f t="shared" ca="1" si="41"/>
        <v/>
      </c>
      <c r="B358" s="255"/>
      <c r="C358" s="256"/>
      <c r="D358" s="257" t="str">
        <f t="shared" si="42"/>
        <v/>
      </c>
      <c r="E358" s="253"/>
      <c r="F358" s="257" t="str">
        <f t="shared" si="43"/>
        <v/>
      </c>
      <c r="G358" s="257" t="str">
        <f t="shared" si="44"/>
        <v/>
      </c>
      <c r="H358" s="257" t="str">
        <f t="shared" si="45"/>
        <v/>
      </c>
    </row>
    <row r="359" spans="1:8" x14ac:dyDescent="0.25">
      <c r="A359" s="254" t="str">
        <f t="shared" ca="1" si="41"/>
        <v/>
      </c>
      <c r="B359" s="255"/>
      <c r="C359" s="256"/>
      <c r="D359" s="257" t="str">
        <f t="shared" si="42"/>
        <v/>
      </c>
      <c r="E359" s="253"/>
      <c r="F359" s="257" t="str">
        <f t="shared" si="43"/>
        <v/>
      </c>
      <c r="G359" s="257" t="str">
        <f t="shared" si="44"/>
        <v/>
      </c>
      <c r="H359" s="257" t="str">
        <f t="shared" si="45"/>
        <v/>
      </c>
    </row>
    <row r="360" spans="1:8" x14ac:dyDescent="0.25">
      <c r="A360" s="254" t="str">
        <f t="shared" ca="1" si="41"/>
        <v/>
      </c>
      <c r="B360" s="255"/>
      <c r="C360" s="256"/>
      <c r="D360" s="257" t="str">
        <f t="shared" si="42"/>
        <v/>
      </c>
      <c r="E360" s="253"/>
      <c r="F360" s="257" t="str">
        <f t="shared" si="43"/>
        <v/>
      </c>
      <c r="G360" s="257" t="str">
        <f t="shared" si="44"/>
        <v/>
      </c>
      <c r="H360" s="257" t="str">
        <f t="shared" si="45"/>
        <v/>
      </c>
    </row>
    <row r="361" spans="1:8" x14ac:dyDescent="0.25">
      <c r="A361" s="254" t="str">
        <f t="shared" ref="A361:A424" ca="1" si="46">IF(OR(H360&lt;=0,H360=""),"",OFFSET(A361,-1,0,1,1)+1)</f>
        <v/>
      </c>
      <c r="B361" s="255"/>
      <c r="C361" s="256"/>
      <c r="D361" s="257" t="str">
        <f t="shared" si="42"/>
        <v/>
      </c>
      <c r="E361" s="253"/>
      <c r="F361" s="257" t="str">
        <f t="shared" si="43"/>
        <v/>
      </c>
      <c r="G361" s="257" t="str">
        <f t="shared" si="44"/>
        <v/>
      </c>
      <c r="H361" s="257" t="str">
        <f t="shared" si="45"/>
        <v/>
      </c>
    </row>
    <row r="362" spans="1:8" x14ac:dyDescent="0.25">
      <c r="A362" s="254" t="str">
        <f t="shared" ca="1" si="46"/>
        <v/>
      </c>
      <c r="B362" s="255"/>
      <c r="C362" s="256"/>
      <c r="D362" s="257" t="str">
        <f t="shared" si="42"/>
        <v/>
      </c>
      <c r="E362" s="253"/>
      <c r="F362" s="257" t="str">
        <f t="shared" si="43"/>
        <v/>
      </c>
      <c r="G362" s="257" t="str">
        <f t="shared" si="44"/>
        <v/>
      </c>
      <c r="H362" s="257" t="str">
        <f t="shared" si="45"/>
        <v/>
      </c>
    </row>
    <row r="363" spans="1:8" x14ac:dyDescent="0.25">
      <c r="A363" s="254" t="str">
        <f t="shared" ca="1" si="46"/>
        <v/>
      </c>
      <c r="B363" s="255"/>
      <c r="C363" s="256"/>
      <c r="D363" s="257" t="str">
        <f t="shared" si="42"/>
        <v/>
      </c>
      <c r="E363" s="253"/>
      <c r="F363" s="257" t="str">
        <f t="shared" si="43"/>
        <v/>
      </c>
      <c r="G363" s="257" t="str">
        <f t="shared" si="44"/>
        <v/>
      </c>
      <c r="H363" s="257" t="str">
        <f t="shared" si="45"/>
        <v/>
      </c>
    </row>
    <row r="364" spans="1:8" x14ac:dyDescent="0.25">
      <c r="A364" s="254" t="str">
        <f t="shared" ca="1" si="46"/>
        <v/>
      </c>
      <c r="B364" s="255"/>
      <c r="C364" s="256"/>
      <c r="D364" s="257" t="str">
        <f t="shared" si="42"/>
        <v/>
      </c>
      <c r="E364" s="253"/>
      <c r="F364" s="257" t="str">
        <f t="shared" si="43"/>
        <v/>
      </c>
      <c r="G364" s="257" t="str">
        <f t="shared" si="44"/>
        <v/>
      </c>
      <c r="H364" s="257" t="str">
        <f t="shared" si="45"/>
        <v/>
      </c>
    </row>
    <row r="365" spans="1:8" x14ac:dyDescent="0.25">
      <c r="A365" s="254" t="str">
        <f t="shared" ca="1" si="46"/>
        <v/>
      </c>
      <c r="B365" s="255"/>
      <c r="C365" s="256"/>
      <c r="D365" s="257" t="str">
        <f t="shared" si="42"/>
        <v/>
      </c>
      <c r="E365" s="253"/>
      <c r="F365" s="257" t="str">
        <f t="shared" si="43"/>
        <v/>
      </c>
      <c r="G365" s="257" t="str">
        <f t="shared" si="44"/>
        <v/>
      </c>
      <c r="H365" s="257" t="str">
        <f t="shared" si="45"/>
        <v/>
      </c>
    </row>
    <row r="366" spans="1:8" x14ac:dyDescent="0.25">
      <c r="A366" s="254" t="str">
        <f t="shared" ca="1" si="46"/>
        <v/>
      </c>
      <c r="B366" s="255"/>
      <c r="C366" s="256"/>
      <c r="D366" s="257" t="str">
        <f t="shared" si="42"/>
        <v/>
      </c>
      <c r="E366" s="253"/>
      <c r="F366" s="257" t="str">
        <f t="shared" si="43"/>
        <v/>
      </c>
      <c r="G366" s="257" t="str">
        <f t="shared" si="44"/>
        <v/>
      </c>
      <c r="H366" s="257" t="str">
        <f t="shared" si="45"/>
        <v/>
      </c>
    </row>
    <row r="367" spans="1:8" x14ac:dyDescent="0.25">
      <c r="A367" s="254" t="str">
        <f t="shared" ca="1" si="46"/>
        <v/>
      </c>
      <c r="B367" s="255"/>
      <c r="C367" s="256"/>
      <c r="D367" s="257" t="str">
        <f t="shared" si="42"/>
        <v/>
      </c>
      <c r="E367" s="253"/>
      <c r="F367" s="257" t="str">
        <f t="shared" si="43"/>
        <v/>
      </c>
      <c r="G367" s="257" t="str">
        <f t="shared" si="44"/>
        <v/>
      </c>
      <c r="H367" s="257" t="str">
        <f t="shared" si="45"/>
        <v/>
      </c>
    </row>
    <row r="368" spans="1:8" x14ac:dyDescent="0.25">
      <c r="A368" s="254" t="str">
        <f t="shared" ca="1" si="46"/>
        <v/>
      </c>
      <c r="B368" s="255"/>
      <c r="C368" s="256"/>
      <c r="D368" s="257" t="str">
        <f t="shared" si="42"/>
        <v/>
      </c>
      <c r="E368" s="253"/>
      <c r="F368" s="257" t="str">
        <f t="shared" si="43"/>
        <v/>
      </c>
      <c r="G368" s="257" t="str">
        <f t="shared" si="44"/>
        <v/>
      </c>
      <c r="H368" s="257" t="str">
        <f t="shared" si="45"/>
        <v/>
      </c>
    </row>
    <row r="369" spans="1:8" x14ac:dyDescent="0.25">
      <c r="A369" s="254" t="str">
        <f t="shared" ca="1" si="46"/>
        <v/>
      </c>
      <c r="B369" s="255"/>
      <c r="C369" s="256"/>
      <c r="D369" s="257" t="str">
        <f t="shared" si="42"/>
        <v/>
      </c>
      <c r="E369" s="253"/>
      <c r="F369" s="257" t="str">
        <f t="shared" si="43"/>
        <v/>
      </c>
      <c r="G369" s="257" t="str">
        <f t="shared" si="44"/>
        <v/>
      </c>
      <c r="H369" s="257" t="str">
        <f t="shared" si="45"/>
        <v/>
      </c>
    </row>
    <row r="370" spans="1:8" x14ac:dyDescent="0.25">
      <c r="A370" s="254" t="str">
        <f t="shared" ca="1" si="46"/>
        <v/>
      </c>
      <c r="B370" s="255"/>
      <c r="C370" s="256"/>
      <c r="D370" s="257" t="str">
        <f t="shared" si="42"/>
        <v/>
      </c>
      <c r="E370" s="253"/>
      <c r="F370" s="257" t="str">
        <f t="shared" si="43"/>
        <v/>
      </c>
      <c r="G370" s="257" t="str">
        <f t="shared" si="44"/>
        <v/>
      </c>
      <c r="H370" s="257" t="str">
        <f t="shared" si="45"/>
        <v/>
      </c>
    </row>
    <row r="371" spans="1:8" x14ac:dyDescent="0.25">
      <c r="A371" s="254" t="str">
        <f t="shared" ca="1" si="46"/>
        <v/>
      </c>
      <c r="B371" s="255"/>
      <c r="C371" s="256"/>
      <c r="D371" s="257" t="str">
        <f t="shared" si="42"/>
        <v/>
      </c>
      <c r="E371" s="253"/>
      <c r="F371" s="257" t="str">
        <f t="shared" si="43"/>
        <v/>
      </c>
      <c r="G371" s="257" t="str">
        <f t="shared" si="44"/>
        <v/>
      </c>
      <c r="H371" s="257" t="str">
        <f t="shared" si="45"/>
        <v/>
      </c>
    </row>
    <row r="372" spans="1:8" x14ac:dyDescent="0.25">
      <c r="A372" s="254" t="str">
        <f t="shared" ca="1" si="46"/>
        <v/>
      </c>
      <c r="B372" s="255"/>
      <c r="C372" s="256"/>
      <c r="D372" s="257" t="str">
        <f t="shared" si="42"/>
        <v/>
      </c>
      <c r="E372" s="253"/>
      <c r="F372" s="257" t="str">
        <f t="shared" si="43"/>
        <v/>
      </c>
      <c r="G372" s="257" t="str">
        <f t="shared" si="44"/>
        <v/>
      </c>
      <c r="H372" s="257" t="str">
        <f t="shared" si="45"/>
        <v/>
      </c>
    </row>
    <row r="373" spans="1:8" x14ac:dyDescent="0.25">
      <c r="A373" s="254" t="str">
        <f t="shared" ca="1" si="46"/>
        <v/>
      </c>
      <c r="B373" s="255"/>
      <c r="C373" s="256"/>
      <c r="D373" s="257" t="str">
        <f t="shared" si="42"/>
        <v/>
      </c>
      <c r="E373" s="253"/>
      <c r="F373" s="257" t="str">
        <f t="shared" si="43"/>
        <v/>
      </c>
      <c r="G373" s="257" t="str">
        <f t="shared" si="44"/>
        <v/>
      </c>
      <c r="H373" s="257" t="str">
        <f t="shared" si="45"/>
        <v/>
      </c>
    </row>
    <row r="374" spans="1:8" x14ac:dyDescent="0.25">
      <c r="A374" s="254" t="str">
        <f t="shared" ca="1" si="46"/>
        <v/>
      </c>
      <c r="B374" s="255"/>
      <c r="C374" s="256"/>
      <c r="D374" s="257" t="str">
        <f t="shared" si="42"/>
        <v/>
      </c>
      <c r="E374" s="253"/>
      <c r="F374" s="257" t="str">
        <f t="shared" si="43"/>
        <v/>
      </c>
      <c r="G374" s="257" t="str">
        <f t="shared" si="44"/>
        <v/>
      </c>
      <c r="H374" s="257" t="str">
        <f t="shared" si="45"/>
        <v/>
      </c>
    </row>
    <row r="375" spans="1:8" x14ac:dyDescent="0.25">
      <c r="A375" s="254" t="str">
        <f t="shared" ca="1" si="46"/>
        <v/>
      </c>
      <c r="B375" s="255"/>
      <c r="C375" s="256"/>
      <c r="D375" s="257" t="str">
        <f t="shared" si="42"/>
        <v/>
      </c>
      <c r="E375" s="253"/>
      <c r="F375" s="257" t="str">
        <f t="shared" si="43"/>
        <v/>
      </c>
      <c r="G375" s="257" t="str">
        <f t="shared" si="44"/>
        <v/>
      </c>
      <c r="H375" s="257" t="str">
        <f t="shared" si="45"/>
        <v/>
      </c>
    </row>
    <row r="376" spans="1:8" x14ac:dyDescent="0.25">
      <c r="A376" s="254" t="str">
        <f t="shared" ca="1" si="46"/>
        <v/>
      </c>
      <c r="B376" s="255"/>
      <c r="C376" s="256"/>
      <c r="D376" s="257" t="str">
        <f t="shared" si="42"/>
        <v/>
      </c>
      <c r="E376" s="253"/>
      <c r="F376" s="257" t="str">
        <f t="shared" si="43"/>
        <v/>
      </c>
      <c r="G376" s="257" t="str">
        <f t="shared" si="44"/>
        <v/>
      </c>
      <c r="H376" s="257" t="str">
        <f t="shared" si="45"/>
        <v/>
      </c>
    </row>
    <row r="377" spans="1:8" x14ac:dyDescent="0.25">
      <c r="A377" s="254" t="str">
        <f t="shared" ca="1" si="46"/>
        <v/>
      </c>
      <c r="B377" s="255"/>
      <c r="C377" s="256"/>
      <c r="D377" s="257" t="str">
        <f t="shared" si="42"/>
        <v/>
      </c>
      <c r="E377" s="253"/>
      <c r="F377" s="257" t="str">
        <f t="shared" si="43"/>
        <v/>
      </c>
      <c r="G377" s="257" t="str">
        <f t="shared" si="44"/>
        <v/>
      </c>
      <c r="H377" s="257" t="str">
        <f t="shared" si="45"/>
        <v/>
      </c>
    </row>
    <row r="378" spans="1:8" x14ac:dyDescent="0.25">
      <c r="A378" s="254" t="str">
        <f t="shared" ca="1" si="46"/>
        <v/>
      </c>
      <c r="B378" s="255"/>
      <c r="C378" s="256"/>
      <c r="D378" s="257" t="str">
        <f t="shared" si="42"/>
        <v/>
      </c>
      <c r="E378" s="253"/>
      <c r="F378" s="257" t="str">
        <f t="shared" si="43"/>
        <v/>
      </c>
      <c r="G378" s="257" t="str">
        <f t="shared" si="44"/>
        <v/>
      </c>
      <c r="H378" s="257" t="str">
        <f t="shared" si="45"/>
        <v/>
      </c>
    </row>
    <row r="379" spans="1:8" x14ac:dyDescent="0.25">
      <c r="A379" s="254" t="str">
        <f t="shared" ca="1" si="46"/>
        <v/>
      </c>
      <c r="B379" s="255"/>
      <c r="C379" s="256"/>
      <c r="D379" s="257" t="str">
        <f t="shared" si="42"/>
        <v/>
      </c>
      <c r="E379" s="253"/>
      <c r="F379" s="257" t="str">
        <f t="shared" si="43"/>
        <v/>
      </c>
      <c r="G379" s="257" t="str">
        <f t="shared" si="44"/>
        <v/>
      </c>
      <c r="H379" s="257" t="str">
        <f t="shared" si="45"/>
        <v/>
      </c>
    </row>
    <row r="380" spans="1:8" x14ac:dyDescent="0.25">
      <c r="A380" s="254" t="str">
        <f t="shared" ca="1" si="46"/>
        <v/>
      </c>
      <c r="B380" s="255"/>
      <c r="C380" s="256"/>
      <c r="D380" s="257" t="str">
        <f t="shared" si="42"/>
        <v/>
      </c>
      <c r="E380" s="253"/>
      <c r="F380" s="257" t="str">
        <f t="shared" si="43"/>
        <v/>
      </c>
      <c r="G380" s="257" t="str">
        <f t="shared" si="44"/>
        <v/>
      </c>
      <c r="H380" s="257" t="str">
        <f t="shared" si="45"/>
        <v/>
      </c>
    </row>
    <row r="381" spans="1:8" x14ac:dyDescent="0.25">
      <c r="A381" s="254" t="str">
        <f t="shared" ca="1" si="46"/>
        <v/>
      </c>
      <c r="B381" s="255"/>
      <c r="C381" s="256"/>
      <c r="D381" s="257" t="str">
        <f t="shared" si="42"/>
        <v/>
      </c>
      <c r="E381" s="253"/>
      <c r="F381" s="257" t="str">
        <f t="shared" si="43"/>
        <v/>
      </c>
      <c r="G381" s="257" t="str">
        <f t="shared" si="44"/>
        <v/>
      </c>
      <c r="H381" s="257" t="str">
        <f t="shared" si="45"/>
        <v/>
      </c>
    </row>
    <row r="382" spans="1:8" x14ac:dyDescent="0.25">
      <c r="A382" s="254" t="str">
        <f t="shared" ca="1" si="46"/>
        <v/>
      </c>
      <c r="B382" s="255"/>
      <c r="C382" s="256"/>
      <c r="D382" s="257" t="str">
        <f t="shared" si="42"/>
        <v/>
      </c>
      <c r="E382" s="253"/>
      <c r="F382" s="257" t="str">
        <f t="shared" si="43"/>
        <v/>
      </c>
      <c r="G382" s="257" t="str">
        <f t="shared" si="44"/>
        <v/>
      </c>
      <c r="H382" s="257" t="str">
        <f t="shared" si="45"/>
        <v/>
      </c>
    </row>
    <row r="383" spans="1:8" x14ac:dyDescent="0.25">
      <c r="A383" s="254" t="str">
        <f t="shared" ca="1" si="46"/>
        <v/>
      </c>
      <c r="B383" s="255"/>
      <c r="C383" s="256"/>
      <c r="D383" s="257" t="str">
        <f t="shared" si="42"/>
        <v/>
      </c>
      <c r="E383" s="253"/>
      <c r="F383" s="257" t="str">
        <f t="shared" si="43"/>
        <v/>
      </c>
      <c r="G383" s="257" t="str">
        <f t="shared" si="44"/>
        <v/>
      </c>
      <c r="H383" s="257" t="str">
        <f t="shared" si="45"/>
        <v/>
      </c>
    </row>
    <row r="384" spans="1:8" x14ac:dyDescent="0.25">
      <c r="A384" s="254" t="str">
        <f t="shared" ca="1" si="46"/>
        <v/>
      </c>
      <c r="B384" s="255"/>
      <c r="C384" s="256"/>
      <c r="D384" s="257" t="str">
        <f t="shared" si="42"/>
        <v/>
      </c>
      <c r="E384" s="253"/>
      <c r="F384" s="257" t="str">
        <f t="shared" si="43"/>
        <v/>
      </c>
      <c r="G384" s="257" t="str">
        <f t="shared" si="44"/>
        <v/>
      </c>
      <c r="H384" s="257" t="str">
        <f t="shared" si="45"/>
        <v/>
      </c>
    </row>
    <row r="385" spans="1:8" x14ac:dyDescent="0.25">
      <c r="A385" s="254" t="str">
        <f t="shared" ca="1" si="46"/>
        <v/>
      </c>
      <c r="B385" s="255"/>
      <c r="C385" s="256"/>
      <c r="D385" s="257" t="str">
        <f t="shared" si="42"/>
        <v/>
      </c>
      <c r="E385" s="253"/>
      <c r="F385" s="257" t="str">
        <f t="shared" si="43"/>
        <v/>
      </c>
      <c r="G385" s="257" t="str">
        <f t="shared" si="44"/>
        <v/>
      </c>
      <c r="H385" s="257" t="str">
        <f t="shared" si="45"/>
        <v/>
      </c>
    </row>
    <row r="386" spans="1:8" x14ac:dyDescent="0.25">
      <c r="A386" s="254" t="str">
        <f t="shared" ca="1" si="46"/>
        <v/>
      </c>
      <c r="B386" s="255"/>
      <c r="C386" s="256"/>
      <c r="D386" s="257" t="str">
        <f t="shared" si="42"/>
        <v/>
      </c>
      <c r="E386" s="253"/>
      <c r="F386" s="257" t="str">
        <f t="shared" si="43"/>
        <v/>
      </c>
      <c r="G386" s="257" t="str">
        <f t="shared" si="44"/>
        <v/>
      </c>
      <c r="H386" s="257" t="str">
        <f t="shared" si="45"/>
        <v/>
      </c>
    </row>
    <row r="387" spans="1:8" x14ac:dyDescent="0.25">
      <c r="A387" s="254" t="str">
        <f t="shared" ca="1" si="46"/>
        <v/>
      </c>
      <c r="B387" s="255"/>
      <c r="C387" s="256"/>
      <c r="D387" s="257" t="str">
        <f t="shared" si="42"/>
        <v/>
      </c>
      <c r="E387" s="253"/>
      <c r="F387" s="257" t="str">
        <f t="shared" si="43"/>
        <v/>
      </c>
      <c r="G387" s="257" t="str">
        <f t="shared" si="44"/>
        <v/>
      </c>
      <c r="H387" s="257" t="str">
        <f t="shared" si="45"/>
        <v/>
      </c>
    </row>
    <row r="388" spans="1:8" x14ac:dyDescent="0.25">
      <c r="A388" s="254" t="str">
        <f t="shared" ca="1" si="46"/>
        <v/>
      </c>
      <c r="B388" s="255"/>
      <c r="C388" s="256"/>
      <c r="D388" s="257" t="str">
        <f t="shared" si="42"/>
        <v/>
      </c>
      <c r="E388" s="253"/>
      <c r="F388" s="257" t="str">
        <f t="shared" si="43"/>
        <v/>
      </c>
      <c r="G388" s="257" t="str">
        <f t="shared" si="44"/>
        <v/>
      </c>
      <c r="H388" s="257" t="str">
        <f t="shared" si="45"/>
        <v/>
      </c>
    </row>
    <row r="389" spans="1:8" x14ac:dyDescent="0.25">
      <c r="A389" s="254" t="str">
        <f t="shared" ca="1" si="46"/>
        <v/>
      </c>
      <c r="B389" s="255"/>
      <c r="C389" s="256"/>
      <c r="D389" s="257" t="str">
        <f t="shared" si="42"/>
        <v/>
      </c>
      <c r="E389" s="253"/>
      <c r="F389" s="257" t="str">
        <f t="shared" si="43"/>
        <v/>
      </c>
      <c r="G389" s="257" t="str">
        <f t="shared" si="44"/>
        <v/>
      </c>
      <c r="H389" s="257" t="str">
        <f t="shared" si="45"/>
        <v/>
      </c>
    </row>
    <row r="390" spans="1:8" x14ac:dyDescent="0.25">
      <c r="A390" s="254" t="str">
        <f t="shared" ca="1" si="46"/>
        <v/>
      </c>
      <c r="B390" s="255"/>
      <c r="C390" s="256"/>
      <c r="D390" s="257" t="str">
        <f t="shared" si="42"/>
        <v/>
      </c>
      <c r="E390" s="253"/>
      <c r="F390" s="257" t="str">
        <f t="shared" si="43"/>
        <v/>
      </c>
      <c r="G390" s="257" t="str">
        <f t="shared" si="44"/>
        <v/>
      </c>
      <c r="H390" s="257" t="str">
        <f t="shared" si="45"/>
        <v/>
      </c>
    </row>
    <row r="391" spans="1:8" x14ac:dyDescent="0.25">
      <c r="A391" s="254" t="str">
        <f t="shared" ca="1" si="46"/>
        <v/>
      </c>
      <c r="B391" s="255"/>
      <c r="C391" s="256"/>
      <c r="D391" s="257" t="str">
        <f t="shared" si="42"/>
        <v/>
      </c>
      <c r="E391" s="253"/>
      <c r="F391" s="257" t="str">
        <f t="shared" si="43"/>
        <v/>
      </c>
      <c r="G391" s="257" t="str">
        <f t="shared" si="44"/>
        <v/>
      </c>
      <c r="H391" s="257" t="str">
        <f t="shared" si="45"/>
        <v/>
      </c>
    </row>
    <row r="392" spans="1:8" x14ac:dyDescent="0.25">
      <c r="A392" s="254" t="str">
        <f t="shared" ca="1" si="46"/>
        <v/>
      </c>
      <c r="B392" s="255"/>
      <c r="C392" s="256"/>
      <c r="D392" s="257" t="str">
        <f t="shared" si="42"/>
        <v/>
      </c>
      <c r="E392" s="253"/>
      <c r="F392" s="257" t="str">
        <f t="shared" si="43"/>
        <v/>
      </c>
      <c r="G392" s="257" t="str">
        <f t="shared" si="44"/>
        <v/>
      </c>
      <c r="H392" s="257" t="str">
        <f t="shared" si="45"/>
        <v/>
      </c>
    </row>
    <row r="393" spans="1:8" x14ac:dyDescent="0.25">
      <c r="A393" s="254" t="str">
        <f t="shared" ca="1" si="46"/>
        <v/>
      </c>
      <c r="B393" s="255"/>
      <c r="C393" s="256"/>
      <c r="D393" s="257" t="str">
        <f t="shared" si="42"/>
        <v/>
      </c>
      <c r="E393" s="253"/>
      <c r="F393" s="257" t="str">
        <f t="shared" si="43"/>
        <v/>
      </c>
      <c r="G393" s="257" t="str">
        <f t="shared" si="44"/>
        <v/>
      </c>
      <c r="H393" s="257" t="str">
        <f t="shared" si="45"/>
        <v/>
      </c>
    </row>
    <row r="394" spans="1:8" x14ac:dyDescent="0.25">
      <c r="A394" s="254" t="str">
        <f t="shared" ca="1" si="46"/>
        <v/>
      </c>
      <c r="B394" s="255"/>
      <c r="C394" s="256"/>
      <c r="D394" s="257" t="str">
        <f t="shared" si="42"/>
        <v/>
      </c>
      <c r="E394" s="253"/>
      <c r="F394" s="257" t="str">
        <f t="shared" si="43"/>
        <v/>
      </c>
      <c r="G394" s="257" t="str">
        <f t="shared" si="44"/>
        <v/>
      </c>
      <c r="H394" s="257" t="str">
        <f t="shared" si="45"/>
        <v/>
      </c>
    </row>
    <row r="395" spans="1:8" x14ac:dyDescent="0.25">
      <c r="A395" s="254" t="str">
        <f t="shared" ca="1" si="46"/>
        <v/>
      </c>
      <c r="B395" s="255"/>
      <c r="C395" s="256"/>
      <c r="D395" s="257" t="str">
        <f t="shared" si="42"/>
        <v/>
      </c>
      <c r="E395" s="253"/>
      <c r="F395" s="257" t="str">
        <f t="shared" si="43"/>
        <v/>
      </c>
      <c r="G395" s="257" t="str">
        <f t="shared" si="44"/>
        <v/>
      </c>
      <c r="H395" s="257" t="str">
        <f t="shared" si="45"/>
        <v/>
      </c>
    </row>
    <row r="396" spans="1:8" x14ac:dyDescent="0.25">
      <c r="A396" s="254" t="str">
        <f t="shared" ca="1" si="46"/>
        <v/>
      </c>
      <c r="B396" s="255"/>
      <c r="C396" s="256"/>
      <c r="D396" s="257" t="str">
        <f t="shared" si="42"/>
        <v/>
      </c>
      <c r="E396" s="253"/>
      <c r="F396" s="257" t="str">
        <f t="shared" si="43"/>
        <v/>
      </c>
      <c r="G396" s="257" t="str">
        <f t="shared" si="44"/>
        <v/>
      </c>
      <c r="H396" s="257" t="str">
        <f t="shared" si="45"/>
        <v/>
      </c>
    </row>
    <row r="397" spans="1:8" x14ac:dyDescent="0.25">
      <c r="A397" s="254" t="str">
        <f t="shared" ca="1" si="46"/>
        <v/>
      </c>
      <c r="B397" s="255"/>
      <c r="C397" s="256"/>
      <c r="D397" s="257" t="str">
        <f t="shared" si="42"/>
        <v/>
      </c>
      <c r="E397" s="253"/>
      <c r="F397" s="257" t="str">
        <f t="shared" si="43"/>
        <v/>
      </c>
      <c r="G397" s="257" t="str">
        <f t="shared" si="44"/>
        <v/>
      </c>
      <c r="H397" s="257" t="str">
        <f t="shared" si="45"/>
        <v/>
      </c>
    </row>
    <row r="398" spans="1:8" x14ac:dyDescent="0.25">
      <c r="A398" s="254" t="str">
        <f t="shared" ca="1" si="46"/>
        <v/>
      </c>
      <c r="B398" s="255"/>
      <c r="C398" s="256"/>
      <c r="D398" s="257" t="str">
        <f t="shared" si="42"/>
        <v/>
      </c>
      <c r="E398" s="253"/>
      <c r="F398" s="257" t="str">
        <f t="shared" si="43"/>
        <v/>
      </c>
      <c r="G398" s="257" t="str">
        <f t="shared" si="44"/>
        <v/>
      </c>
      <c r="H398" s="257" t="str">
        <f t="shared" si="45"/>
        <v/>
      </c>
    </row>
    <row r="399" spans="1:8" x14ac:dyDescent="0.25">
      <c r="A399" s="254" t="str">
        <f t="shared" ca="1" si="46"/>
        <v/>
      </c>
      <c r="B399" s="255"/>
      <c r="C399" s="256"/>
      <c r="D399" s="257" t="str">
        <f t="shared" si="42"/>
        <v/>
      </c>
      <c r="E399" s="253"/>
      <c r="F399" s="257" t="str">
        <f t="shared" si="43"/>
        <v/>
      </c>
      <c r="G399" s="257" t="str">
        <f t="shared" si="44"/>
        <v/>
      </c>
      <c r="H399" s="257" t="str">
        <f t="shared" si="45"/>
        <v/>
      </c>
    </row>
    <row r="400" spans="1:8" x14ac:dyDescent="0.25">
      <c r="A400" s="254" t="str">
        <f t="shared" ca="1" si="46"/>
        <v/>
      </c>
      <c r="B400" s="255"/>
      <c r="C400" s="256"/>
      <c r="D400" s="257" t="str">
        <f t="shared" si="42"/>
        <v/>
      </c>
      <c r="E400" s="253"/>
      <c r="F400" s="257" t="str">
        <f t="shared" si="43"/>
        <v/>
      </c>
      <c r="G400" s="257" t="str">
        <f t="shared" si="44"/>
        <v/>
      </c>
      <c r="H400" s="257" t="str">
        <f t="shared" si="45"/>
        <v/>
      </c>
    </row>
    <row r="401" spans="1:8" x14ac:dyDescent="0.25">
      <c r="A401" s="254" t="str">
        <f t="shared" ca="1" si="46"/>
        <v/>
      </c>
      <c r="B401" s="255"/>
      <c r="C401" s="256"/>
      <c r="D401" s="257" t="str">
        <f t="shared" si="42"/>
        <v/>
      </c>
      <c r="E401" s="253"/>
      <c r="F401" s="257" t="str">
        <f t="shared" si="43"/>
        <v/>
      </c>
      <c r="G401" s="257" t="str">
        <f t="shared" si="44"/>
        <v/>
      </c>
      <c r="H401" s="257" t="str">
        <f t="shared" si="45"/>
        <v/>
      </c>
    </row>
    <row r="402" spans="1:8" x14ac:dyDescent="0.25">
      <c r="A402" s="254" t="str">
        <f t="shared" ca="1" si="46"/>
        <v/>
      </c>
      <c r="B402" s="255"/>
      <c r="C402" s="256"/>
      <c r="D402" s="257" t="str">
        <f t="shared" si="42"/>
        <v/>
      </c>
      <c r="E402" s="253"/>
      <c r="F402" s="257" t="str">
        <f t="shared" si="43"/>
        <v/>
      </c>
      <c r="G402" s="257" t="str">
        <f t="shared" si="44"/>
        <v/>
      </c>
      <c r="H402" s="257" t="str">
        <f t="shared" si="45"/>
        <v/>
      </c>
    </row>
    <row r="403" spans="1:8" x14ac:dyDescent="0.25">
      <c r="A403" s="254" t="str">
        <f t="shared" ca="1" si="46"/>
        <v/>
      </c>
      <c r="B403" s="255"/>
      <c r="C403" s="256"/>
      <c r="D403" s="257" t="str">
        <f t="shared" ref="D403:D466" si="47">IF(B403="","",ROUND((B403-B402)*$H$9*G402,2))</f>
        <v/>
      </c>
      <c r="E403" s="253"/>
      <c r="F403" s="257" t="str">
        <f t="shared" ref="F403:F466" si="48">IF(B403="","",IF(C403&gt;F402+D403,0,F402+D403-C403))</f>
        <v/>
      </c>
      <c r="G403" s="257" t="str">
        <f t="shared" ref="G403:G466" si="49">IF(B403="","",IF(C403&gt;D403+F402,G402+F402+D403-C403,G402))</f>
        <v/>
      </c>
      <c r="H403" s="257" t="str">
        <f t="shared" ref="H403:H466" si="50">IF(B403="","",G403+F403)</f>
        <v/>
      </c>
    </row>
    <row r="404" spans="1:8" x14ac:dyDescent="0.25">
      <c r="A404" s="254" t="str">
        <f t="shared" ca="1" si="46"/>
        <v/>
      </c>
      <c r="B404" s="255"/>
      <c r="C404" s="256"/>
      <c r="D404" s="257" t="str">
        <f t="shared" si="47"/>
        <v/>
      </c>
      <c r="E404" s="253"/>
      <c r="F404" s="257" t="str">
        <f t="shared" si="48"/>
        <v/>
      </c>
      <c r="G404" s="257" t="str">
        <f t="shared" si="49"/>
        <v/>
      </c>
      <c r="H404" s="257" t="str">
        <f t="shared" si="50"/>
        <v/>
      </c>
    </row>
    <row r="405" spans="1:8" x14ac:dyDescent="0.25">
      <c r="A405" s="254" t="str">
        <f t="shared" ca="1" si="46"/>
        <v/>
      </c>
      <c r="B405" s="255"/>
      <c r="C405" s="256"/>
      <c r="D405" s="257" t="str">
        <f t="shared" si="47"/>
        <v/>
      </c>
      <c r="E405" s="253"/>
      <c r="F405" s="257" t="str">
        <f t="shared" si="48"/>
        <v/>
      </c>
      <c r="G405" s="257" t="str">
        <f t="shared" si="49"/>
        <v/>
      </c>
      <c r="H405" s="257" t="str">
        <f t="shared" si="50"/>
        <v/>
      </c>
    </row>
    <row r="406" spans="1:8" x14ac:dyDescent="0.25">
      <c r="A406" s="254" t="str">
        <f t="shared" ca="1" si="46"/>
        <v/>
      </c>
      <c r="B406" s="255"/>
      <c r="C406" s="256"/>
      <c r="D406" s="257" t="str">
        <f t="shared" si="47"/>
        <v/>
      </c>
      <c r="E406" s="253"/>
      <c r="F406" s="257" t="str">
        <f t="shared" si="48"/>
        <v/>
      </c>
      <c r="G406" s="257" t="str">
        <f t="shared" si="49"/>
        <v/>
      </c>
      <c r="H406" s="257" t="str">
        <f t="shared" si="50"/>
        <v/>
      </c>
    </row>
    <row r="407" spans="1:8" x14ac:dyDescent="0.25">
      <c r="A407" s="254" t="str">
        <f t="shared" ca="1" si="46"/>
        <v/>
      </c>
      <c r="B407" s="255"/>
      <c r="C407" s="256"/>
      <c r="D407" s="257" t="str">
        <f t="shared" si="47"/>
        <v/>
      </c>
      <c r="E407" s="253"/>
      <c r="F407" s="257" t="str">
        <f t="shared" si="48"/>
        <v/>
      </c>
      <c r="G407" s="257" t="str">
        <f t="shared" si="49"/>
        <v/>
      </c>
      <c r="H407" s="257" t="str">
        <f t="shared" si="50"/>
        <v/>
      </c>
    </row>
    <row r="408" spans="1:8" x14ac:dyDescent="0.25">
      <c r="A408" s="254" t="str">
        <f t="shared" ca="1" si="46"/>
        <v/>
      </c>
      <c r="B408" s="255"/>
      <c r="C408" s="256"/>
      <c r="D408" s="257" t="str">
        <f t="shared" si="47"/>
        <v/>
      </c>
      <c r="E408" s="253"/>
      <c r="F408" s="257" t="str">
        <f t="shared" si="48"/>
        <v/>
      </c>
      <c r="G408" s="257" t="str">
        <f t="shared" si="49"/>
        <v/>
      </c>
      <c r="H408" s="257" t="str">
        <f t="shared" si="50"/>
        <v/>
      </c>
    </row>
    <row r="409" spans="1:8" x14ac:dyDescent="0.25">
      <c r="A409" s="254" t="str">
        <f t="shared" ca="1" si="46"/>
        <v/>
      </c>
      <c r="B409" s="255"/>
      <c r="C409" s="256"/>
      <c r="D409" s="257" t="str">
        <f t="shared" si="47"/>
        <v/>
      </c>
      <c r="E409" s="253"/>
      <c r="F409" s="257" t="str">
        <f t="shared" si="48"/>
        <v/>
      </c>
      <c r="G409" s="257" t="str">
        <f t="shared" si="49"/>
        <v/>
      </c>
      <c r="H409" s="257" t="str">
        <f t="shared" si="50"/>
        <v/>
      </c>
    </row>
    <row r="410" spans="1:8" x14ac:dyDescent="0.25">
      <c r="A410" s="254" t="str">
        <f t="shared" ca="1" si="46"/>
        <v/>
      </c>
      <c r="B410" s="255"/>
      <c r="C410" s="256"/>
      <c r="D410" s="257" t="str">
        <f t="shared" si="47"/>
        <v/>
      </c>
      <c r="E410" s="253"/>
      <c r="F410" s="257" t="str">
        <f t="shared" si="48"/>
        <v/>
      </c>
      <c r="G410" s="257" t="str">
        <f t="shared" si="49"/>
        <v/>
      </c>
      <c r="H410" s="257" t="str">
        <f t="shared" si="50"/>
        <v/>
      </c>
    </row>
    <row r="411" spans="1:8" x14ac:dyDescent="0.25">
      <c r="A411" s="254" t="str">
        <f t="shared" ca="1" si="46"/>
        <v/>
      </c>
      <c r="B411" s="255"/>
      <c r="C411" s="256"/>
      <c r="D411" s="257" t="str">
        <f t="shared" si="47"/>
        <v/>
      </c>
      <c r="E411" s="253"/>
      <c r="F411" s="257" t="str">
        <f t="shared" si="48"/>
        <v/>
      </c>
      <c r="G411" s="257" t="str">
        <f t="shared" si="49"/>
        <v/>
      </c>
      <c r="H411" s="257" t="str">
        <f t="shared" si="50"/>
        <v/>
      </c>
    </row>
    <row r="412" spans="1:8" x14ac:dyDescent="0.25">
      <c r="A412" s="254" t="str">
        <f t="shared" ca="1" si="46"/>
        <v/>
      </c>
      <c r="B412" s="255"/>
      <c r="C412" s="256"/>
      <c r="D412" s="257" t="str">
        <f t="shared" si="47"/>
        <v/>
      </c>
      <c r="E412" s="253"/>
      <c r="F412" s="257" t="str">
        <f t="shared" si="48"/>
        <v/>
      </c>
      <c r="G412" s="257" t="str">
        <f t="shared" si="49"/>
        <v/>
      </c>
      <c r="H412" s="257" t="str">
        <f t="shared" si="50"/>
        <v/>
      </c>
    </row>
    <row r="413" spans="1:8" x14ac:dyDescent="0.25">
      <c r="A413" s="254" t="str">
        <f t="shared" ca="1" si="46"/>
        <v/>
      </c>
      <c r="B413" s="255"/>
      <c r="C413" s="256"/>
      <c r="D413" s="257" t="str">
        <f t="shared" si="47"/>
        <v/>
      </c>
      <c r="E413" s="253"/>
      <c r="F413" s="257" t="str">
        <f t="shared" si="48"/>
        <v/>
      </c>
      <c r="G413" s="257" t="str">
        <f t="shared" si="49"/>
        <v/>
      </c>
      <c r="H413" s="257" t="str">
        <f t="shared" si="50"/>
        <v/>
      </c>
    </row>
    <row r="414" spans="1:8" x14ac:dyDescent="0.25">
      <c r="A414" s="254" t="str">
        <f t="shared" ca="1" si="46"/>
        <v/>
      </c>
      <c r="B414" s="255"/>
      <c r="C414" s="256"/>
      <c r="D414" s="257" t="str">
        <f t="shared" si="47"/>
        <v/>
      </c>
      <c r="E414" s="253"/>
      <c r="F414" s="257" t="str">
        <f t="shared" si="48"/>
        <v/>
      </c>
      <c r="G414" s="257" t="str">
        <f t="shared" si="49"/>
        <v/>
      </c>
      <c r="H414" s="257" t="str">
        <f t="shared" si="50"/>
        <v/>
      </c>
    </row>
    <row r="415" spans="1:8" x14ac:dyDescent="0.25">
      <c r="A415" s="254" t="str">
        <f t="shared" ca="1" si="46"/>
        <v/>
      </c>
      <c r="B415" s="255"/>
      <c r="C415" s="256"/>
      <c r="D415" s="257" t="str">
        <f t="shared" si="47"/>
        <v/>
      </c>
      <c r="E415" s="253"/>
      <c r="F415" s="257" t="str">
        <f t="shared" si="48"/>
        <v/>
      </c>
      <c r="G415" s="257" t="str">
        <f t="shared" si="49"/>
        <v/>
      </c>
      <c r="H415" s="257" t="str">
        <f t="shared" si="50"/>
        <v/>
      </c>
    </row>
    <row r="416" spans="1:8" x14ac:dyDescent="0.25">
      <c r="A416" s="254" t="str">
        <f t="shared" ca="1" si="46"/>
        <v/>
      </c>
      <c r="B416" s="255"/>
      <c r="C416" s="256"/>
      <c r="D416" s="257" t="str">
        <f t="shared" si="47"/>
        <v/>
      </c>
      <c r="E416" s="253"/>
      <c r="F416" s="257" t="str">
        <f t="shared" si="48"/>
        <v/>
      </c>
      <c r="G416" s="257" t="str">
        <f t="shared" si="49"/>
        <v/>
      </c>
      <c r="H416" s="257" t="str">
        <f t="shared" si="50"/>
        <v/>
      </c>
    </row>
    <row r="417" spans="1:8" x14ac:dyDescent="0.25">
      <c r="A417" s="254" t="str">
        <f t="shared" ca="1" si="46"/>
        <v/>
      </c>
      <c r="B417" s="255"/>
      <c r="C417" s="256"/>
      <c r="D417" s="257" t="str">
        <f t="shared" si="47"/>
        <v/>
      </c>
      <c r="E417" s="253"/>
      <c r="F417" s="257" t="str">
        <f t="shared" si="48"/>
        <v/>
      </c>
      <c r="G417" s="257" t="str">
        <f t="shared" si="49"/>
        <v/>
      </c>
      <c r="H417" s="257" t="str">
        <f t="shared" si="50"/>
        <v/>
      </c>
    </row>
    <row r="418" spans="1:8" x14ac:dyDescent="0.25">
      <c r="A418" s="254" t="str">
        <f t="shared" ca="1" si="46"/>
        <v/>
      </c>
      <c r="B418" s="255"/>
      <c r="C418" s="256"/>
      <c r="D418" s="257" t="str">
        <f t="shared" si="47"/>
        <v/>
      </c>
      <c r="E418" s="253"/>
      <c r="F418" s="257" t="str">
        <f t="shared" si="48"/>
        <v/>
      </c>
      <c r="G418" s="257" t="str">
        <f t="shared" si="49"/>
        <v/>
      </c>
      <c r="H418" s="257" t="str">
        <f t="shared" si="50"/>
        <v/>
      </c>
    </row>
    <row r="419" spans="1:8" x14ac:dyDescent="0.25">
      <c r="A419" s="254" t="str">
        <f t="shared" ca="1" si="46"/>
        <v/>
      </c>
      <c r="B419" s="255"/>
      <c r="C419" s="256"/>
      <c r="D419" s="257" t="str">
        <f t="shared" si="47"/>
        <v/>
      </c>
      <c r="E419" s="253"/>
      <c r="F419" s="257" t="str">
        <f t="shared" si="48"/>
        <v/>
      </c>
      <c r="G419" s="257" t="str">
        <f t="shared" si="49"/>
        <v/>
      </c>
      <c r="H419" s="257" t="str">
        <f t="shared" si="50"/>
        <v/>
      </c>
    </row>
    <row r="420" spans="1:8" x14ac:dyDescent="0.25">
      <c r="A420" s="254" t="str">
        <f t="shared" ca="1" si="46"/>
        <v/>
      </c>
      <c r="B420" s="255"/>
      <c r="C420" s="256"/>
      <c r="D420" s="257" t="str">
        <f t="shared" si="47"/>
        <v/>
      </c>
      <c r="E420" s="253"/>
      <c r="F420" s="257" t="str">
        <f t="shared" si="48"/>
        <v/>
      </c>
      <c r="G420" s="257" t="str">
        <f t="shared" si="49"/>
        <v/>
      </c>
      <c r="H420" s="257" t="str">
        <f t="shared" si="50"/>
        <v/>
      </c>
    </row>
    <row r="421" spans="1:8" x14ac:dyDescent="0.25">
      <c r="A421" s="254" t="str">
        <f t="shared" ca="1" si="46"/>
        <v/>
      </c>
      <c r="B421" s="255"/>
      <c r="C421" s="256"/>
      <c r="D421" s="257" t="str">
        <f t="shared" si="47"/>
        <v/>
      </c>
      <c r="E421" s="253"/>
      <c r="F421" s="257" t="str">
        <f t="shared" si="48"/>
        <v/>
      </c>
      <c r="G421" s="257" t="str">
        <f t="shared" si="49"/>
        <v/>
      </c>
      <c r="H421" s="257" t="str">
        <f t="shared" si="50"/>
        <v/>
      </c>
    </row>
    <row r="422" spans="1:8" x14ac:dyDescent="0.25">
      <c r="A422" s="254" t="str">
        <f t="shared" ca="1" si="46"/>
        <v/>
      </c>
      <c r="B422" s="255"/>
      <c r="C422" s="256"/>
      <c r="D422" s="257" t="str">
        <f t="shared" si="47"/>
        <v/>
      </c>
      <c r="E422" s="253"/>
      <c r="F422" s="257" t="str">
        <f t="shared" si="48"/>
        <v/>
      </c>
      <c r="G422" s="257" t="str">
        <f t="shared" si="49"/>
        <v/>
      </c>
      <c r="H422" s="257" t="str">
        <f t="shared" si="50"/>
        <v/>
      </c>
    </row>
    <row r="423" spans="1:8" x14ac:dyDescent="0.25">
      <c r="A423" s="254" t="str">
        <f t="shared" ca="1" si="46"/>
        <v/>
      </c>
      <c r="B423" s="255"/>
      <c r="C423" s="256"/>
      <c r="D423" s="257" t="str">
        <f t="shared" si="47"/>
        <v/>
      </c>
      <c r="E423" s="253"/>
      <c r="F423" s="257" t="str">
        <f t="shared" si="48"/>
        <v/>
      </c>
      <c r="G423" s="257" t="str">
        <f t="shared" si="49"/>
        <v/>
      </c>
      <c r="H423" s="257" t="str">
        <f t="shared" si="50"/>
        <v/>
      </c>
    </row>
    <row r="424" spans="1:8" x14ac:dyDescent="0.25">
      <c r="A424" s="254" t="str">
        <f t="shared" ca="1" si="46"/>
        <v/>
      </c>
      <c r="B424" s="255"/>
      <c r="C424" s="256"/>
      <c r="D424" s="257" t="str">
        <f t="shared" si="47"/>
        <v/>
      </c>
      <c r="E424" s="253"/>
      <c r="F424" s="257" t="str">
        <f t="shared" si="48"/>
        <v/>
      </c>
      <c r="G424" s="257" t="str">
        <f t="shared" si="49"/>
        <v/>
      </c>
      <c r="H424" s="257" t="str">
        <f t="shared" si="50"/>
        <v/>
      </c>
    </row>
    <row r="425" spans="1:8" x14ac:dyDescent="0.25">
      <c r="A425" s="254" t="str">
        <f t="shared" ref="A425:A488" ca="1" si="51">IF(OR(H424&lt;=0,H424=""),"",OFFSET(A425,-1,0,1,1)+1)</f>
        <v/>
      </c>
      <c r="B425" s="255"/>
      <c r="C425" s="256"/>
      <c r="D425" s="257" t="str">
        <f t="shared" si="47"/>
        <v/>
      </c>
      <c r="E425" s="253"/>
      <c r="F425" s="257" t="str">
        <f t="shared" si="48"/>
        <v/>
      </c>
      <c r="G425" s="257" t="str">
        <f t="shared" si="49"/>
        <v/>
      </c>
      <c r="H425" s="257" t="str">
        <f t="shared" si="50"/>
        <v/>
      </c>
    </row>
    <row r="426" spans="1:8" x14ac:dyDescent="0.25">
      <c r="A426" s="254" t="str">
        <f t="shared" ca="1" si="51"/>
        <v/>
      </c>
      <c r="B426" s="255"/>
      <c r="C426" s="256"/>
      <c r="D426" s="257" t="str">
        <f t="shared" si="47"/>
        <v/>
      </c>
      <c r="E426" s="253"/>
      <c r="F426" s="257" t="str">
        <f t="shared" si="48"/>
        <v/>
      </c>
      <c r="G426" s="257" t="str">
        <f t="shared" si="49"/>
        <v/>
      </c>
      <c r="H426" s="257" t="str">
        <f t="shared" si="50"/>
        <v/>
      </c>
    </row>
    <row r="427" spans="1:8" x14ac:dyDescent="0.25">
      <c r="A427" s="254" t="str">
        <f t="shared" ca="1" si="51"/>
        <v/>
      </c>
      <c r="B427" s="255"/>
      <c r="C427" s="256"/>
      <c r="D427" s="257" t="str">
        <f t="shared" si="47"/>
        <v/>
      </c>
      <c r="E427" s="253"/>
      <c r="F427" s="257" t="str">
        <f t="shared" si="48"/>
        <v/>
      </c>
      <c r="G427" s="257" t="str">
        <f t="shared" si="49"/>
        <v/>
      </c>
      <c r="H427" s="257" t="str">
        <f t="shared" si="50"/>
        <v/>
      </c>
    </row>
    <row r="428" spans="1:8" x14ac:dyDescent="0.25">
      <c r="A428" s="254" t="str">
        <f t="shared" ca="1" si="51"/>
        <v/>
      </c>
      <c r="B428" s="255"/>
      <c r="C428" s="256"/>
      <c r="D428" s="257" t="str">
        <f t="shared" si="47"/>
        <v/>
      </c>
      <c r="E428" s="253"/>
      <c r="F428" s="257" t="str">
        <f t="shared" si="48"/>
        <v/>
      </c>
      <c r="G428" s="257" t="str">
        <f t="shared" si="49"/>
        <v/>
      </c>
      <c r="H428" s="257" t="str">
        <f t="shared" si="50"/>
        <v/>
      </c>
    </row>
    <row r="429" spans="1:8" x14ac:dyDescent="0.25">
      <c r="A429" s="254" t="str">
        <f t="shared" ca="1" si="51"/>
        <v/>
      </c>
      <c r="B429" s="255"/>
      <c r="C429" s="256"/>
      <c r="D429" s="257" t="str">
        <f t="shared" si="47"/>
        <v/>
      </c>
      <c r="E429" s="253"/>
      <c r="F429" s="257" t="str">
        <f t="shared" si="48"/>
        <v/>
      </c>
      <c r="G429" s="257" t="str">
        <f t="shared" si="49"/>
        <v/>
      </c>
      <c r="H429" s="257" t="str">
        <f t="shared" si="50"/>
        <v/>
      </c>
    </row>
    <row r="430" spans="1:8" x14ac:dyDescent="0.25">
      <c r="A430" s="254" t="str">
        <f t="shared" ca="1" si="51"/>
        <v/>
      </c>
      <c r="B430" s="255"/>
      <c r="C430" s="256"/>
      <c r="D430" s="257" t="str">
        <f t="shared" si="47"/>
        <v/>
      </c>
      <c r="E430" s="253"/>
      <c r="F430" s="257" t="str">
        <f t="shared" si="48"/>
        <v/>
      </c>
      <c r="G430" s="257" t="str">
        <f t="shared" si="49"/>
        <v/>
      </c>
      <c r="H430" s="257" t="str">
        <f t="shared" si="50"/>
        <v/>
      </c>
    </row>
    <row r="431" spans="1:8" x14ac:dyDescent="0.25">
      <c r="A431" s="254" t="str">
        <f t="shared" ca="1" si="51"/>
        <v/>
      </c>
      <c r="B431" s="255"/>
      <c r="C431" s="256"/>
      <c r="D431" s="257" t="str">
        <f t="shared" si="47"/>
        <v/>
      </c>
      <c r="E431" s="253"/>
      <c r="F431" s="257" t="str">
        <f t="shared" si="48"/>
        <v/>
      </c>
      <c r="G431" s="257" t="str">
        <f t="shared" si="49"/>
        <v/>
      </c>
      <c r="H431" s="257" t="str">
        <f t="shared" si="50"/>
        <v/>
      </c>
    </row>
    <row r="432" spans="1:8" x14ac:dyDescent="0.25">
      <c r="A432" s="254" t="str">
        <f t="shared" ca="1" si="51"/>
        <v/>
      </c>
      <c r="B432" s="255"/>
      <c r="C432" s="256"/>
      <c r="D432" s="257" t="str">
        <f t="shared" si="47"/>
        <v/>
      </c>
      <c r="E432" s="253"/>
      <c r="F432" s="257" t="str">
        <f t="shared" si="48"/>
        <v/>
      </c>
      <c r="G432" s="257" t="str">
        <f t="shared" si="49"/>
        <v/>
      </c>
      <c r="H432" s="257" t="str">
        <f t="shared" si="50"/>
        <v/>
      </c>
    </row>
    <row r="433" spans="1:8" x14ac:dyDescent="0.25">
      <c r="A433" s="254" t="str">
        <f t="shared" ca="1" si="51"/>
        <v/>
      </c>
      <c r="B433" s="255"/>
      <c r="C433" s="256"/>
      <c r="D433" s="257" t="str">
        <f t="shared" si="47"/>
        <v/>
      </c>
      <c r="E433" s="253"/>
      <c r="F433" s="257" t="str">
        <f t="shared" si="48"/>
        <v/>
      </c>
      <c r="G433" s="257" t="str">
        <f t="shared" si="49"/>
        <v/>
      </c>
      <c r="H433" s="257" t="str">
        <f t="shared" si="50"/>
        <v/>
      </c>
    </row>
    <row r="434" spans="1:8" x14ac:dyDescent="0.25">
      <c r="A434" s="254" t="str">
        <f t="shared" ca="1" si="51"/>
        <v/>
      </c>
      <c r="B434" s="255"/>
      <c r="C434" s="256"/>
      <c r="D434" s="257" t="str">
        <f t="shared" si="47"/>
        <v/>
      </c>
      <c r="E434" s="253"/>
      <c r="F434" s="257" t="str">
        <f t="shared" si="48"/>
        <v/>
      </c>
      <c r="G434" s="257" t="str">
        <f t="shared" si="49"/>
        <v/>
      </c>
      <c r="H434" s="257" t="str">
        <f t="shared" si="50"/>
        <v/>
      </c>
    </row>
    <row r="435" spans="1:8" x14ac:dyDescent="0.25">
      <c r="A435" s="254" t="str">
        <f t="shared" ca="1" si="51"/>
        <v/>
      </c>
      <c r="B435" s="255"/>
      <c r="C435" s="256"/>
      <c r="D435" s="257" t="str">
        <f t="shared" si="47"/>
        <v/>
      </c>
      <c r="E435" s="253"/>
      <c r="F435" s="257" t="str">
        <f t="shared" si="48"/>
        <v/>
      </c>
      <c r="G435" s="257" t="str">
        <f t="shared" si="49"/>
        <v/>
      </c>
      <c r="H435" s="257" t="str">
        <f t="shared" si="50"/>
        <v/>
      </c>
    </row>
    <row r="436" spans="1:8" x14ac:dyDescent="0.25">
      <c r="A436" s="254" t="str">
        <f t="shared" ca="1" si="51"/>
        <v/>
      </c>
      <c r="B436" s="255"/>
      <c r="C436" s="256"/>
      <c r="D436" s="257" t="str">
        <f t="shared" si="47"/>
        <v/>
      </c>
      <c r="E436" s="253"/>
      <c r="F436" s="257" t="str">
        <f t="shared" si="48"/>
        <v/>
      </c>
      <c r="G436" s="257" t="str">
        <f t="shared" si="49"/>
        <v/>
      </c>
      <c r="H436" s="257" t="str">
        <f t="shared" si="50"/>
        <v/>
      </c>
    </row>
    <row r="437" spans="1:8" x14ac:dyDescent="0.25">
      <c r="A437" s="254" t="str">
        <f t="shared" ca="1" si="51"/>
        <v/>
      </c>
      <c r="B437" s="255"/>
      <c r="C437" s="256"/>
      <c r="D437" s="257" t="str">
        <f t="shared" si="47"/>
        <v/>
      </c>
      <c r="E437" s="253"/>
      <c r="F437" s="257" t="str">
        <f t="shared" si="48"/>
        <v/>
      </c>
      <c r="G437" s="257" t="str">
        <f t="shared" si="49"/>
        <v/>
      </c>
      <c r="H437" s="257" t="str">
        <f t="shared" si="50"/>
        <v/>
      </c>
    </row>
    <row r="438" spans="1:8" x14ac:dyDescent="0.25">
      <c r="A438" s="254" t="str">
        <f t="shared" ca="1" si="51"/>
        <v/>
      </c>
      <c r="B438" s="255"/>
      <c r="C438" s="256"/>
      <c r="D438" s="257" t="str">
        <f t="shared" si="47"/>
        <v/>
      </c>
      <c r="E438" s="253"/>
      <c r="F438" s="257" t="str">
        <f t="shared" si="48"/>
        <v/>
      </c>
      <c r="G438" s="257" t="str">
        <f t="shared" si="49"/>
        <v/>
      </c>
      <c r="H438" s="257" t="str">
        <f t="shared" si="50"/>
        <v/>
      </c>
    </row>
    <row r="439" spans="1:8" x14ac:dyDescent="0.25">
      <c r="A439" s="254" t="str">
        <f t="shared" ca="1" si="51"/>
        <v/>
      </c>
      <c r="B439" s="255"/>
      <c r="C439" s="256"/>
      <c r="D439" s="257" t="str">
        <f t="shared" si="47"/>
        <v/>
      </c>
      <c r="E439" s="253"/>
      <c r="F439" s="257" t="str">
        <f t="shared" si="48"/>
        <v/>
      </c>
      <c r="G439" s="257" t="str">
        <f t="shared" si="49"/>
        <v/>
      </c>
      <c r="H439" s="257" t="str">
        <f t="shared" si="50"/>
        <v/>
      </c>
    </row>
    <row r="440" spans="1:8" x14ac:dyDescent="0.25">
      <c r="A440" s="254" t="str">
        <f t="shared" ca="1" si="51"/>
        <v/>
      </c>
      <c r="B440" s="255"/>
      <c r="C440" s="256"/>
      <c r="D440" s="257" t="str">
        <f t="shared" si="47"/>
        <v/>
      </c>
      <c r="E440" s="253"/>
      <c r="F440" s="257" t="str">
        <f t="shared" si="48"/>
        <v/>
      </c>
      <c r="G440" s="257" t="str">
        <f t="shared" si="49"/>
        <v/>
      </c>
      <c r="H440" s="257" t="str">
        <f t="shared" si="50"/>
        <v/>
      </c>
    </row>
    <row r="441" spans="1:8" x14ac:dyDescent="0.25">
      <c r="A441" s="254" t="str">
        <f t="shared" ca="1" si="51"/>
        <v/>
      </c>
      <c r="B441" s="255"/>
      <c r="C441" s="256"/>
      <c r="D441" s="257" t="str">
        <f t="shared" si="47"/>
        <v/>
      </c>
      <c r="E441" s="253"/>
      <c r="F441" s="257" t="str">
        <f t="shared" si="48"/>
        <v/>
      </c>
      <c r="G441" s="257" t="str">
        <f t="shared" si="49"/>
        <v/>
      </c>
      <c r="H441" s="257" t="str">
        <f t="shared" si="50"/>
        <v/>
      </c>
    </row>
    <row r="442" spans="1:8" x14ac:dyDescent="0.25">
      <c r="A442" s="254" t="str">
        <f t="shared" ca="1" si="51"/>
        <v/>
      </c>
      <c r="B442" s="255"/>
      <c r="C442" s="256"/>
      <c r="D442" s="257" t="str">
        <f t="shared" si="47"/>
        <v/>
      </c>
      <c r="E442" s="253"/>
      <c r="F442" s="257" t="str">
        <f t="shared" si="48"/>
        <v/>
      </c>
      <c r="G442" s="257" t="str">
        <f t="shared" si="49"/>
        <v/>
      </c>
      <c r="H442" s="257" t="str">
        <f t="shared" si="50"/>
        <v/>
      </c>
    </row>
    <row r="443" spans="1:8" x14ac:dyDescent="0.25">
      <c r="A443" s="254" t="str">
        <f t="shared" ca="1" si="51"/>
        <v/>
      </c>
      <c r="B443" s="255"/>
      <c r="C443" s="256"/>
      <c r="D443" s="257" t="str">
        <f t="shared" si="47"/>
        <v/>
      </c>
      <c r="E443" s="253"/>
      <c r="F443" s="257" t="str">
        <f t="shared" si="48"/>
        <v/>
      </c>
      <c r="G443" s="257" t="str">
        <f t="shared" si="49"/>
        <v/>
      </c>
      <c r="H443" s="257" t="str">
        <f t="shared" si="50"/>
        <v/>
      </c>
    </row>
    <row r="444" spans="1:8" x14ac:dyDescent="0.25">
      <c r="A444" s="254" t="str">
        <f t="shared" ca="1" si="51"/>
        <v/>
      </c>
      <c r="B444" s="255"/>
      <c r="C444" s="256"/>
      <c r="D444" s="257" t="str">
        <f t="shared" si="47"/>
        <v/>
      </c>
      <c r="E444" s="253"/>
      <c r="F444" s="257" t="str">
        <f t="shared" si="48"/>
        <v/>
      </c>
      <c r="G444" s="257" t="str">
        <f t="shared" si="49"/>
        <v/>
      </c>
      <c r="H444" s="257" t="str">
        <f t="shared" si="50"/>
        <v/>
      </c>
    </row>
    <row r="445" spans="1:8" x14ac:dyDescent="0.25">
      <c r="A445" s="254" t="str">
        <f t="shared" ca="1" si="51"/>
        <v/>
      </c>
      <c r="B445" s="255"/>
      <c r="C445" s="256"/>
      <c r="D445" s="257" t="str">
        <f t="shared" si="47"/>
        <v/>
      </c>
      <c r="E445" s="253"/>
      <c r="F445" s="257" t="str">
        <f t="shared" si="48"/>
        <v/>
      </c>
      <c r="G445" s="257" t="str">
        <f t="shared" si="49"/>
        <v/>
      </c>
      <c r="H445" s="257" t="str">
        <f t="shared" si="50"/>
        <v/>
      </c>
    </row>
    <row r="446" spans="1:8" x14ac:dyDescent="0.25">
      <c r="A446" s="254" t="str">
        <f t="shared" ca="1" si="51"/>
        <v/>
      </c>
      <c r="B446" s="255"/>
      <c r="C446" s="256"/>
      <c r="D446" s="257" t="str">
        <f t="shared" si="47"/>
        <v/>
      </c>
      <c r="E446" s="253"/>
      <c r="F446" s="257" t="str">
        <f t="shared" si="48"/>
        <v/>
      </c>
      <c r="G446" s="257" t="str">
        <f t="shared" si="49"/>
        <v/>
      </c>
      <c r="H446" s="257" t="str">
        <f t="shared" si="50"/>
        <v/>
      </c>
    </row>
    <row r="447" spans="1:8" x14ac:dyDescent="0.25">
      <c r="A447" s="254" t="str">
        <f t="shared" ca="1" si="51"/>
        <v/>
      </c>
      <c r="B447" s="255"/>
      <c r="C447" s="256"/>
      <c r="D447" s="257" t="str">
        <f t="shared" si="47"/>
        <v/>
      </c>
      <c r="E447" s="253"/>
      <c r="F447" s="257" t="str">
        <f t="shared" si="48"/>
        <v/>
      </c>
      <c r="G447" s="257" t="str">
        <f t="shared" si="49"/>
        <v/>
      </c>
      <c r="H447" s="257" t="str">
        <f t="shared" si="50"/>
        <v/>
      </c>
    </row>
    <row r="448" spans="1:8" x14ac:dyDescent="0.25">
      <c r="A448" s="254" t="str">
        <f t="shared" ca="1" si="51"/>
        <v/>
      </c>
      <c r="B448" s="255"/>
      <c r="C448" s="256"/>
      <c r="D448" s="257" t="str">
        <f t="shared" si="47"/>
        <v/>
      </c>
      <c r="E448" s="253"/>
      <c r="F448" s="257" t="str">
        <f t="shared" si="48"/>
        <v/>
      </c>
      <c r="G448" s="257" t="str">
        <f t="shared" si="49"/>
        <v/>
      </c>
      <c r="H448" s="257" t="str">
        <f t="shared" si="50"/>
        <v/>
      </c>
    </row>
    <row r="449" spans="1:8" x14ac:dyDescent="0.25">
      <c r="A449" s="254" t="str">
        <f t="shared" ca="1" si="51"/>
        <v/>
      </c>
      <c r="B449" s="255"/>
      <c r="C449" s="256"/>
      <c r="D449" s="257" t="str">
        <f t="shared" si="47"/>
        <v/>
      </c>
      <c r="E449" s="253"/>
      <c r="F449" s="257" t="str">
        <f t="shared" si="48"/>
        <v/>
      </c>
      <c r="G449" s="257" t="str">
        <f t="shared" si="49"/>
        <v/>
      </c>
      <c r="H449" s="257" t="str">
        <f t="shared" si="50"/>
        <v/>
      </c>
    </row>
    <row r="450" spans="1:8" x14ac:dyDescent="0.25">
      <c r="A450" s="254" t="str">
        <f t="shared" ca="1" si="51"/>
        <v/>
      </c>
      <c r="B450" s="255"/>
      <c r="C450" s="256"/>
      <c r="D450" s="257" t="str">
        <f t="shared" si="47"/>
        <v/>
      </c>
      <c r="E450" s="253"/>
      <c r="F450" s="257" t="str">
        <f t="shared" si="48"/>
        <v/>
      </c>
      <c r="G450" s="257" t="str">
        <f t="shared" si="49"/>
        <v/>
      </c>
      <c r="H450" s="257" t="str">
        <f t="shared" si="50"/>
        <v/>
      </c>
    </row>
    <row r="451" spans="1:8" x14ac:dyDescent="0.25">
      <c r="A451" s="254" t="str">
        <f t="shared" ca="1" si="51"/>
        <v/>
      </c>
      <c r="B451" s="255"/>
      <c r="C451" s="256"/>
      <c r="D451" s="257" t="str">
        <f t="shared" si="47"/>
        <v/>
      </c>
      <c r="E451" s="253"/>
      <c r="F451" s="257" t="str">
        <f t="shared" si="48"/>
        <v/>
      </c>
      <c r="G451" s="257" t="str">
        <f t="shared" si="49"/>
        <v/>
      </c>
      <c r="H451" s="257" t="str">
        <f t="shared" si="50"/>
        <v/>
      </c>
    </row>
    <row r="452" spans="1:8" x14ac:dyDescent="0.25">
      <c r="A452" s="254" t="str">
        <f t="shared" ca="1" si="51"/>
        <v/>
      </c>
      <c r="B452" s="255"/>
      <c r="C452" s="256"/>
      <c r="D452" s="257" t="str">
        <f t="shared" si="47"/>
        <v/>
      </c>
      <c r="E452" s="253"/>
      <c r="F452" s="257" t="str">
        <f t="shared" si="48"/>
        <v/>
      </c>
      <c r="G452" s="257" t="str">
        <f t="shared" si="49"/>
        <v/>
      </c>
      <c r="H452" s="257" t="str">
        <f t="shared" si="50"/>
        <v/>
      </c>
    </row>
    <row r="453" spans="1:8" x14ac:dyDescent="0.25">
      <c r="A453" s="254" t="str">
        <f t="shared" ca="1" si="51"/>
        <v/>
      </c>
      <c r="B453" s="255"/>
      <c r="C453" s="256"/>
      <c r="D453" s="257" t="str">
        <f t="shared" si="47"/>
        <v/>
      </c>
      <c r="E453" s="253"/>
      <c r="F453" s="257" t="str">
        <f t="shared" si="48"/>
        <v/>
      </c>
      <c r="G453" s="257" t="str">
        <f t="shared" si="49"/>
        <v/>
      </c>
      <c r="H453" s="257" t="str">
        <f t="shared" si="50"/>
        <v/>
      </c>
    </row>
    <row r="454" spans="1:8" x14ac:dyDescent="0.25">
      <c r="A454" s="254" t="str">
        <f t="shared" ca="1" si="51"/>
        <v/>
      </c>
      <c r="B454" s="255"/>
      <c r="C454" s="256"/>
      <c r="D454" s="257" t="str">
        <f t="shared" si="47"/>
        <v/>
      </c>
      <c r="E454" s="253"/>
      <c r="F454" s="257" t="str">
        <f t="shared" si="48"/>
        <v/>
      </c>
      <c r="G454" s="257" t="str">
        <f t="shared" si="49"/>
        <v/>
      </c>
      <c r="H454" s="257" t="str">
        <f t="shared" si="50"/>
        <v/>
      </c>
    </row>
    <row r="455" spans="1:8" x14ac:dyDescent="0.25">
      <c r="A455" s="254" t="str">
        <f t="shared" ca="1" si="51"/>
        <v/>
      </c>
      <c r="B455" s="255"/>
      <c r="C455" s="256"/>
      <c r="D455" s="257" t="str">
        <f t="shared" si="47"/>
        <v/>
      </c>
      <c r="E455" s="253"/>
      <c r="F455" s="257" t="str">
        <f t="shared" si="48"/>
        <v/>
      </c>
      <c r="G455" s="257" t="str">
        <f t="shared" si="49"/>
        <v/>
      </c>
      <c r="H455" s="257" t="str">
        <f t="shared" si="50"/>
        <v/>
      </c>
    </row>
    <row r="456" spans="1:8" x14ac:dyDescent="0.25">
      <c r="A456" s="254" t="str">
        <f t="shared" ca="1" si="51"/>
        <v/>
      </c>
      <c r="B456" s="255"/>
      <c r="C456" s="256"/>
      <c r="D456" s="257" t="str">
        <f t="shared" si="47"/>
        <v/>
      </c>
      <c r="E456" s="253"/>
      <c r="F456" s="257" t="str">
        <f t="shared" si="48"/>
        <v/>
      </c>
      <c r="G456" s="257" t="str">
        <f t="shared" si="49"/>
        <v/>
      </c>
      <c r="H456" s="257" t="str">
        <f t="shared" si="50"/>
        <v/>
      </c>
    </row>
    <row r="457" spans="1:8" x14ac:dyDescent="0.25">
      <c r="A457" s="254" t="str">
        <f t="shared" ca="1" si="51"/>
        <v/>
      </c>
      <c r="B457" s="255"/>
      <c r="C457" s="256"/>
      <c r="D457" s="257" t="str">
        <f t="shared" si="47"/>
        <v/>
      </c>
      <c r="E457" s="253"/>
      <c r="F457" s="257" t="str">
        <f t="shared" si="48"/>
        <v/>
      </c>
      <c r="G457" s="257" t="str">
        <f t="shared" si="49"/>
        <v/>
      </c>
      <c r="H457" s="257" t="str">
        <f t="shared" si="50"/>
        <v/>
      </c>
    </row>
    <row r="458" spans="1:8" x14ac:dyDescent="0.25">
      <c r="A458" s="254" t="str">
        <f t="shared" ca="1" si="51"/>
        <v/>
      </c>
      <c r="B458" s="255"/>
      <c r="C458" s="256"/>
      <c r="D458" s="257" t="str">
        <f t="shared" si="47"/>
        <v/>
      </c>
      <c r="E458" s="253"/>
      <c r="F458" s="257" t="str">
        <f t="shared" si="48"/>
        <v/>
      </c>
      <c r="G458" s="257" t="str">
        <f t="shared" si="49"/>
        <v/>
      </c>
      <c r="H458" s="257" t="str">
        <f t="shared" si="50"/>
        <v/>
      </c>
    </row>
    <row r="459" spans="1:8" x14ac:dyDescent="0.25">
      <c r="A459" s="254" t="str">
        <f t="shared" ca="1" si="51"/>
        <v/>
      </c>
      <c r="B459" s="255"/>
      <c r="C459" s="256"/>
      <c r="D459" s="257" t="str">
        <f t="shared" si="47"/>
        <v/>
      </c>
      <c r="E459" s="253"/>
      <c r="F459" s="257" t="str">
        <f t="shared" si="48"/>
        <v/>
      </c>
      <c r="G459" s="257" t="str">
        <f t="shared" si="49"/>
        <v/>
      </c>
      <c r="H459" s="257" t="str">
        <f t="shared" si="50"/>
        <v/>
      </c>
    </row>
    <row r="460" spans="1:8" x14ac:dyDescent="0.25">
      <c r="A460" s="254" t="str">
        <f t="shared" ca="1" si="51"/>
        <v/>
      </c>
      <c r="B460" s="255"/>
      <c r="C460" s="256"/>
      <c r="D460" s="257" t="str">
        <f t="shared" si="47"/>
        <v/>
      </c>
      <c r="E460" s="253"/>
      <c r="F460" s="257" t="str">
        <f t="shared" si="48"/>
        <v/>
      </c>
      <c r="G460" s="257" t="str">
        <f t="shared" si="49"/>
        <v/>
      </c>
      <c r="H460" s="257" t="str">
        <f t="shared" si="50"/>
        <v/>
      </c>
    </row>
    <row r="461" spans="1:8" x14ac:dyDescent="0.25">
      <c r="A461" s="254" t="str">
        <f t="shared" ca="1" si="51"/>
        <v/>
      </c>
      <c r="B461" s="255"/>
      <c r="C461" s="256"/>
      <c r="D461" s="257" t="str">
        <f t="shared" si="47"/>
        <v/>
      </c>
      <c r="E461" s="253"/>
      <c r="F461" s="257" t="str">
        <f t="shared" si="48"/>
        <v/>
      </c>
      <c r="G461" s="257" t="str">
        <f t="shared" si="49"/>
        <v/>
      </c>
      <c r="H461" s="257" t="str">
        <f t="shared" si="50"/>
        <v/>
      </c>
    </row>
    <row r="462" spans="1:8" x14ac:dyDescent="0.25">
      <c r="A462" s="254" t="str">
        <f t="shared" ca="1" si="51"/>
        <v/>
      </c>
      <c r="B462" s="255"/>
      <c r="C462" s="256"/>
      <c r="D462" s="257" t="str">
        <f t="shared" si="47"/>
        <v/>
      </c>
      <c r="E462" s="253"/>
      <c r="F462" s="257" t="str">
        <f t="shared" si="48"/>
        <v/>
      </c>
      <c r="G462" s="257" t="str">
        <f t="shared" si="49"/>
        <v/>
      </c>
      <c r="H462" s="257" t="str">
        <f t="shared" si="50"/>
        <v/>
      </c>
    </row>
    <row r="463" spans="1:8" x14ac:dyDescent="0.25">
      <c r="A463" s="254" t="str">
        <f t="shared" ca="1" si="51"/>
        <v/>
      </c>
      <c r="B463" s="255"/>
      <c r="C463" s="256"/>
      <c r="D463" s="257" t="str">
        <f t="shared" si="47"/>
        <v/>
      </c>
      <c r="E463" s="253"/>
      <c r="F463" s="257" t="str">
        <f t="shared" si="48"/>
        <v/>
      </c>
      <c r="G463" s="257" t="str">
        <f t="shared" si="49"/>
        <v/>
      </c>
      <c r="H463" s="257" t="str">
        <f t="shared" si="50"/>
        <v/>
      </c>
    </row>
    <row r="464" spans="1:8" x14ac:dyDescent="0.25">
      <c r="A464" s="254" t="str">
        <f t="shared" ca="1" si="51"/>
        <v/>
      </c>
      <c r="B464" s="255"/>
      <c r="C464" s="256"/>
      <c r="D464" s="257" t="str">
        <f t="shared" si="47"/>
        <v/>
      </c>
      <c r="E464" s="253"/>
      <c r="F464" s="257" t="str">
        <f t="shared" si="48"/>
        <v/>
      </c>
      <c r="G464" s="257" t="str">
        <f t="shared" si="49"/>
        <v/>
      </c>
      <c r="H464" s="257" t="str">
        <f t="shared" si="50"/>
        <v/>
      </c>
    </row>
    <row r="465" spans="1:8" x14ac:dyDescent="0.25">
      <c r="A465" s="254" t="str">
        <f t="shared" ca="1" si="51"/>
        <v/>
      </c>
      <c r="B465" s="255"/>
      <c r="C465" s="256"/>
      <c r="D465" s="257" t="str">
        <f t="shared" si="47"/>
        <v/>
      </c>
      <c r="E465" s="253"/>
      <c r="F465" s="257" t="str">
        <f t="shared" si="48"/>
        <v/>
      </c>
      <c r="G465" s="257" t="str">
        <f t="shared" si="49"/>
        <v/>
      </c>
      <c r="H465" s="257" t="str">
        <f t="shared" si="50"/>
        <v/>
      </c>
    </row>
    <row r="466" spans="1:8" x14ac:dyDescent="0.25">
      <c r="A466" s="254" t="str">
        <f t="shared" ca="1" si="51"/>
        <v/>
      </c>
      <c r="B466" s="255"/>
      <c r="C466" s="256"/>
      <c r="D466" s="257" t="str">
        <f t="shared" si="47"/>
        <v/>
      </c>
      <c r="E466" s="253"/>
      <c r="F466" s="257" t="str">
        <f t="shared" si="48"/>
        <v/>
      </c>
      <c r="G466" s="257" t="str">
        <f t="shared" si="49"/>
        <v/>
      </c>
      <c r="H466" s="257" t="str">
        <f t="shared" si="50"/>
        <v/>
      </c>
    </row>
    <row r="467" spans="1:8" x14ac:dyDescent="0.25">
      <c r="A467" s="254" t="str">
        <f t="shared" ca="1" si="51"/>
        <v/>
      </c>
      <c r="B467" s="255"/>
      <c r="C467" s="256"/>
      <c r="D467" s="257" t="str">
        <f t="shared" ref="D467:D530" si="52">IF(B467="","",ROUND((B467-B466)*$H$9*G466,2))</f>
        <v/>
      </c>
      <c r="E467" s="253"/>
      <c r="F467" s="257" t="str">
        <f t="shared" ref="F467:F530" si="53">IF(B467="","",IF(C467&gt;F466+D467,0,F466+D467-C467))</f>
        <v/>
      </c>
      <c r="G467" s="257" t="str">
        <f t="shared" ref="G467:G530" si="54">IF(B467="","",IF(C467&gt;D467+F466,G466+F466+D467-C467,G466))</f>
        <v/>
      </c>
      <c r="H467" s="257" t="str">
        <f t="shared" ref="H467:H530" si="55">IF(B467="","",G467+F467)</f>
        <v/>
      </c>
    </row>
    <row r="468" spans="1:8" x14ac:dyDescent="0.25">
      <c r="A468" s="254" t="str">
        <f t="shared" ca="1" si="51"/>
        <v/>
      </c>
      <c r="B468" s="255"/>
      <c r="C468" s="256"/>
      <c r="D468" s="257" t="str">
        <f t="shared" si="52"/>
        <v/>
      </c>
      <c r="E468" s="253"/>
      <c r="F468" s="257" t="str">
        <f t="shared" si="53"/>
        <v/>
      </c>
      <c r="G468" s="257" t="str">
        <f t="shared" si="54"/>
        <v/>
      </c>
      <c r="H468" s="257" t="str">
        <f t="shared" si="55"/>
        <v/>
      </c>
    </row>
    <row r="469" spans="1:8" x14ac:dyDescent="0.25">
      <c r="A469" s="254" t="str">
        <f t="shared" ca="1" si="51"/>
        <v/>
      </c>
      <c r="B469" s="255"/>
      <c r="C469" s="256"/>
      <c r="D469" s="257" t="str">
        <f t="shared" si="52"/>
        <v/>
      </c>
      <c r="E469" s="253"/>
      <c r="F469" s="257" t="str">
        <f t="shared" si="53"/>
        <v/>
      </c>
      <c r="G469" s="257" t="str">
        <f t="shared" si="54"/>
        <v/>
      </c>
      <c r="H469" s="257" t="str">
        <f t="shared" si="55"/>
        <v/>
      </c>
    </row>
    <row r="470" spans="1:8" x14ac:dyDescent="0.25">
      <c r="A470" s="254" t="str">
        <f t="shared" ca="1" si="51"/>
        <v/>
      </c>
      <c r="B470" s="255"/>
      <c r="C470" s="256"/>
      <c r="D470" s="257" t="str">
        <f t="shared" si="52"/>
        <v/>
      </c>
      <c r="E470" s="253"/>
      <c r="F470" s="257" t="str">
        <f t="shared" si="53"/>
        <v/>
      </c>
      <c r="G470" s="257" t="str">
        <f t="shared" si="54"/>
        <v/>
      </c>
      <c r="H470" s="257" t="str">
        <f t="shared" si="55"/>
        <v/>
      </c>
    </row>
    <row r="471" spans="1:8" x14ac:dyDescent="0.25">
      <c r="A471" s="254" t="str">
        <f t="shared" ca="1" si="51"/>
        <v/>
      </c>
      <c r="B471" s="255"/>
      <c r="C471" s="256"/>
      <c r="D471" s="257" t="str">
        <f t="shared" si="52"/>
        <v/>
      </c>
      <c r="E471" s="253"/>
      <c r="F471" s="257" t="str">
        <f t="shared" si="53"/>
        <v/>
      </c>
      <c r="G471" s="257" t="str">
        <f t="shared" si="54"/>
        <v/>
      </c>
      <c r="H471" s="257" t="str">
        <f t="shared" si="55"/>
        <v/>
      </c>
    </row>
    <row r="472" spans="1:8" x14ac:dyDescent="0.25">
      <c r="A472" s="254" t="str">
        <f t="shared" ca="1" si="51"/>
        <v/>
      </c>
      <c r="B472" s="255"/>
      <c r="C472" s="256"/>
      <c r="D472" s="257" t="str">
        <f t="shared" si="52"/>
        <v/>
      </c>
      <c r="E472" s="253"/>
      <c r="F472" s="257" t="str">
        <f t="shared" si="53"/>
        <v/>
      </c>
      <c r="G472" s="257" t="str">
        <f t="shared" si="54"/>
        <v/>
      </c>
      <c r="H472" s="257" t="str">
        <f t="shared" si="55"/>
        <v/>
      </c>
    </row>
    <row r="473" spans="1:8" x14ac:dyDescent="0.25">
      <c r="A473" s="254" t="str">
        <f t="shared" ca="1" si="51"/>
        <v/>
      </c>
      <c r="B473" s="255"/>
      <c r="C473" s="256"/>
      <c r="D473" s="257" t="str">
        <f t="shared" si="52"/>
        <v/>
      </c>
      <c r="E473" s="253"/>
      <c r="F473" s="257" t="str">
        <f t="shared" si="53"/>
        <v/>
      </c>
      <c r="G473" s="257" t="str">
        <f t="shared" si="54"/>
        <v/>
      </c>
      <c r="H473" s="257" t="str">
        <f t="shared" si="55"/>
        <v/>
      </c>
    </row>
    <row r="474" spans="1:8" x14ac:dyDescent="0.25">
      <c r="A474" s="254" t="str">
        <f t="shared" ca="1" si="51"/>
        <v/>
      </c>
      <c r="B474" s="255"/>
      <c r="C474" s="256"/>
      <c r="D474" s="257" t="str">
        <f t="shared" si="52"/>
        <v/>
      </c>
      <c r="E474" s="253"/>
      <c r="F474" s="257" t="str">
        <f t="shared" si="53"/>
        <v/>
      </c>
      <c r="G474" s="257" t="str">
        <f t="shared" si="54"/>
        <v/>
      </c>
      <c r="H474" s="257" t="str">
        <f t="shared" si="55"/>
        <v/>
      </c>
    </row>
    <row r="475" spans="1:8" x14ac:dyDescent="0.25">
      <c r="A475" s="254" t="str">
        <f t="shared" ca="1" si="51"/>
        <v/>
      </c>
      <c r="B475" s="255"/>
      <c r="C475" s="256"/>
      <c r="D475" s="257" t="str">
        <f t="shared" si="52"/>
        <v/>
      </c>
      <c r="E475" s="253"/>
      <c r="F475" s="257" t="str">
        <f t="shared" si="53"/>
        <v/>
      </c>
      <c r="G475" s="257" t="str">
        <f t="shared" si="54"/>
        <v/>
      </c>
      <c r="H475" s="257" t="str">
        <f t="shared" si="55"/>
        <v/>
      </c>
    </row>
    <row r="476" spans="1:8" x14ac:dyDescent="0.25">
      <c r="A476" s="254" t="str">
        <f t="shared" ca="1" si="51"/>
        <v/>
      </c>
      <c r="B476" s="255"/>
      <c r="C476" s="256"/>
      <c r="D476" s="257" t="str">
        <f t="shared" si="52"/>
        <v/>
      </c>
      <c r="E476" s="253"/>
      <c r="F476" s="257" t="str">
        <f t="shared" si="53"/>
        <v/>
      </c>
      <c r="G476" s="257" t="str">
        <f t="shared" si="54"/>
        <v/>
      </c>
      <c r="H476" s="257" t="str">
        <f t="shared" si="55"/>
        <v/>
      </c>
    </row>
    <row r="477" spans="1:8" x14ac:dyDescent="0.25">
      <c r="A477" s="254" t="str">
        <f t="shared" ca="1" si="51"/>
        <v/>
      </c>
      <c r="B477" s="255"/>
      <c r="C477" s="256"/>
      <c r="D477" s="257" t="str">
        <f t="shared" si="52"/>
        <v/>
      </c>
      <c r="E477" s="253"/>
      <c r="F477" s="257" t="str">
        <f t="shared" si="53"/>
        <v/>
      </c>
      <c r="G477" s="257" t="str">
        <f t="shared" si="54"/>
        <v/>
      </c>
      <c r="H477" s="257" t="str">
        <f t="shared" si="55"/>
        <v/>
      </c>
    </row>
    <row r="478" spans="1:8" x14ac:dyDescent="0.25">
      <c r="A478" s="254" t="str">
        <f t="shared" ca="1" si="51"/>
        <v/>
      </c>
      <c r="B478" s="255"/>
      <c r="C478" s="256"/>
      <c r="D478" s="257" t="str">
        <f t="shared" si="52"/>
        <v/>
      </c>
      <c r="E478" s="253"/>
      <c r="F478" s="257" t="str">
        <f t="shared" si="53"/>
        <v/>
      </c>
      <c r="G478" s="257" t="str">
        <f t="shared" si="54"/>
        <v/>
      </c>
      <c r="H478" s="257" t="str">
        <f t="shared" si="55"/>
        <v/>
      </c>
    </row>
    <row r="479" spans="1:8" x14ac:dyDescent="0.25">
      <c r="A479" s="254" t="str">
        <f t="shared" ca="1" si="51"/>
        <v/>
      </c>
      <c r="B479" s="255"/>
      <c r="C479" s="256"/>
      <c r="D479" s="257" t="str">
        <f t="shared" si="52"/>
        <v/>
      </c>
      <c r="E479" s="253"/>
      <c r="F479" s="257" t="str">
        <f t="shared" si="53"/>
        <v/>
      </c>
      <c r="G479" s="257" t="str">
        <f t="shared" si="54"/>
        <v/>
      </c>
      <c r="H479" s="257" t="str">
        <f t="shared" si="55"/>
        <v/>
      </c>
    </row>
    <row r="480" spans="1:8" x14ac:dyDescent="0.25">
      <c r="A480" s="254" t="str">
        <f t="shared" ca="1" si="51"/>
        <v/>
      </c>
      <c r="B480" s="255"/>
      <c r="C480" s="256"/>
      <c r="D480" s="257" t="str">
        <f t="shared" si="52"/>
        <v/>
      </c>
      <c r="E480" s="253"/>
      <c r="F480" s="257" t="str">
        <f t="shared" si="53"/>
        <v/>
      </c>
      <c r="G480" s="257" t="str">
        <f t="shared" si="54"/>
        <v/>
      </c>
      <c r="H480" s="257" t="str">
        <f t="shared" si="55"/>
        <v/>
      </c>
    </row>
    <row r="481" spans="1:8" x14ac:dyDescent="0.25">
      <c r="A481" s="254" t="str">
        <f t="shared" ca="1" si="51"/>
        <v/>
      </c>
      <c r="B481" s="255"/>
      <c r="C481" s="256"/>
      <c r="D481" s="257" t="str">
        <f t="shared" si="52"/>
        <v/>
      </c>
      <c r="E481" s="253"/>
      <c r="F481" s="257" t="str">
        <f t="shared" si="53"/>
        <v/>
      </c>
      <c r="G481" s="257" t="str">
        <f t="shared" si="54"/>
        <v/>
      </c>
      <c r="H481" s="257" t="str">
        <f t="shared" si="55"/>
        <v/>
      </c>
    </row>
    <row r="482" spans="1:8" x14ac:dyDescent="0.25">
      <c r="A482" s="254" t="str">
        <f t="shared" ca="1" si="51"/>
        <v/>
      </c>
      <c r="B482" s="255"/>
      <c r="C482" s="256"/>
      <c r="D482" s="257" t="str">
        <f t="shared" si="52"/>
        <v/>
      </c>
      <c r="E482" s="253"/>
      <c r="F482" s="257" t="str">
        <f t="shared" si="53"/>
        <v/>
      </c>
      <c r="G482" s="257" t="str">
        <f t="shared" si="54"/>
        <v/>
      </c>
      <c r="H482" s="257" t="str">
        <f t="shared" si="55"/>
        <v/>
      </c>
    </row>
    <row r="483" spans="1:8" x14ac:dyDescent="0.25">
      <c r="A483" s="254" t="str">
        <f t="shared" ca="1" si="51"/>
        <v/>
      </c>
      <c r="B483" s="255"/>
      <c r="C483" s="256"/>
      <c r="D483" s="257" t="str">
        <f t="shared" si="52"/>
        <v/>
      </c>
      <c r="E483" s="253"/>
      <c r="F483" s="257" t="str">
        <f t="shared" si="53"/>
        <v/>
      </c>
      <c r="G483" s="257" t="str">
        <f t="shared" si="54"/>
        <v/>
      </c>
      <c r="H483" s="257" t="str">
        <f t="shared" si="55"/>
        <v/>
      </c>
    </row>
    <row r="484" spans="1:8" x14ac:dyDescent="0.25">
      <c r="A484" s="254" t="str">
        <f t="shared" ca="1" si="51"/>
        <v/>
      </c>
      <c r="B484" s="255"/>
      <c r="C484" s="256"/>
      <c r="D484" s="257" t="str">
        <f t="shared" si="52"/>
        <v/>
      </c>
      <c r="E484" s="253"/>
      <c r="F484" s="257" t="str">
        <f t="shared" si="53"/>
        <v/>
      </c>
      <c r="G484" s="257" t="str">
        <f t="shared" si="54"/>
        <v/>
      </c>
      <c r="H484" s="257" t="str">
        <f t="shared" si="55"/>
        <v/>
      </c>
    </row>
    <row r="485" spans="1:8" x14ac:dyDescent="0.25">
      <c r="A485" s="254" t="str">
        <f t="shared" ca="1" si="51"/>
        <v/>
      </c>
      <c r="B485" s="255"/>
      <c r="C485" s="256"/>
      <c r="D485" s="257" t="str">
        <f t="shared" si="52"/>
        <v/>
      </c>
      <c r="E485" s="253"/>
      <c r="F485" s="257" t="str">
        <f t="shared" si="53"/>
        <v/>
      </c>
      <c r="G485" s="257" t="str">
        <f t="shared" si="54"/>
        <v/>
      </c>
      <c r="H485" s="257" t="str">
        <f t="shared" si="55"/>
        <v/>
      </c>
    </row>
    <row r="486" spans="1:8" x14ac:dyDescent="0.25">
      <c r="A486" s="254" t="str">
        <f t="shared" ca="1" si="51"/>
        <v/>
      </c>
      <c r="B486" s="255"/>
      <c r="C486" s="256"/>
      <c r="D486" s="257" t="str">
        <f t="shared" si="52"/>
        <v/>
      </c>
      <c r="E486" s="253"/>
      <c r="F486" s="257" t="str">
        <f t="shared" si="53"/>
        <v/>
      </c>
      <c r="G486" s="257" t="str">
        <f t="shared" si="54"/>
        <v/>
      </c>
      <c r="H486" s="257" t="str">
        <f t="shared" si="55"/>
        <v/>
      </c>
    </row>
    <row r="487" spans="1:8" x14ac:dyDescent="0.25">
      <c r="A487" s="254" t="str">
        <f t="shared" ca="1" si="51"/>
        <v/>
      </c>
      <c r="B487" s="255"/>
      <c r="C487" s="256"/>
      <c r="D487" s="257" t="str">
        <f t="shared" si="52"/>
        <v/>
      </c>
      <c r="E487" s="253"/>
      <c r="F487" s="257" t="str">
        <f t="shared" si="53"/>
        <v/>
      </c>
      <c r="G487" s="257" t="str">
        <f t="shared" si="54"/>
        <v/>
      </c>
      <c r="H487" s="257" t="str">
        <f t="shared" si="55"/>
        <v/>
      </c>
    </row>
    <row r="488" spans="1:8" x14ac:dyDescent="0.25">
      <c r="A488" s="254" t="str">
        <f t="shared" ca="1" si="51"/>
        <v/>
      </c>
      <c r="B488" s="255"/>
      <c r="C488" s="256"/>
      <c r="D488" s="257" t="str">
        <f t="shared" si="52"/>
        <v/>
      </c>
      <c r="E488" s="253"/>
      <c r="F488" s="257" t="str">
        <f t="shared" si="53"/>
        <v/>
      </c>
      <c r="G488" s="257" t="str">
        <f t="shared" si="54"/>
        <v/>
      </c>
      <c r="H488" s="257" t="str">
        <f t="shared" si="55"/>
        <v/>
      </c>
    </row>
    <row r="489" spans="1:8" x14ac:dyDescent="0.25">
      <c r="A489" s="254" t="str">
        <f t="shared" ref="A489:A552" ca="1" si="56">IF(OR(H488&lt;=0,H488=""),"",OFFSET(A489,-1,0,1,1)+1)</f>
        <v/>
      </c>
      <c r="B489" s="255"/>
      <c r="C489" s="256"/>
      <c r="D489" s="257" t="str">
        <f t="shared" si="52"/>
        <v/>
      </c>
      <c r="E489" s="253"/>
      <c r="F489" s="257" t="str">
        <f t="shared" si="53"/>
        <v/>
      </c>
      <c r="G489" s="257" t="str">
        <f t="shared" si="54"/>
        <v/>
      </c>
      <c r="H489" s="257" t="str">
        <f t="shared" si="55"/>
        <v/>
      </c>
    </row>
    <row r="490" spans="1:8" x14ac:dyDescent="0.25">
      <c r="A490" s="254" t="str">
        <f t="shared" ca="1" si="56"/>
        <v/>
      </c>
      <c r="B490" s="255"/>
      <c r="C490" s="256"/>
      <c r="D490" s="257" t="str">
        <f t="shared" si="52"/>
        <v/>
      </c>
      <c r="E490" s="253"/>
      <c r="F490" s="257" t="str">
        <f t="shared" si="53"/>
        <v/>
      </c>
      <c r="G490" s="257" t="str">
        <f t="shared" si="54"/>
        <v/>
      </c>
      <c r="H490" s="257" t="str">
        <f t="shared" si="55"/>
        <v/>
      </c>
    </row>
    <row r="491" spans="1:8" x14ac:dyDescent="0.25">
      <c r="A491" s="254" t="str">
        <f t="shared" ca="1" si="56"/>
        <v/>
      </c>
      <c r="B491" s="255"/>
      <c r="C491" s="256"/>
      <c r="D491" s="257" t="str">
        <f t="shared" si="52"/>
        <v/>
      </c>
      <c r="E491" s="253"/>
      <c r="F491" s="257" t="str">
        <f t="shared" si="53"/>
        <v/>
      </c>
      <c r="G491" s="257" t="str">
        <f t="shared" si="54"/>
        <v/>
      </c>
      <c r="H491" s="257" t="str">
        <f t="shared" si="55"/>
        <v/>
      </c>
    </row>
    <row r="492" spans="1:8" x14ac:dyDescent="0.25">
      <c r="A492" s="254" t="str">
        <f t="shared" ca="1" si="56"/>
        <v/>
      </c>
      <c r="B492" s="255"/>
      <c r="C492" s="256"/>
      <c r="D492" s="257" t="str">
        <f t="shared" si="52"/>
        <v/>
      </c>
      <c r="E492" s="253"/>
      <c r="F492" s="257" t="str">
        <f t="shared" si="53"/>
        <v/>
      </c>
      <c r="G492" s="257" t="str">
        <f t="shared" si="54"/>
        <v/>
      </c>
      <c r="H492" s="257" t="str">
        <f t="shared" si="55"/>
        <v/>
      </c>
    </row>
    <row r="493" spans="1:8" x14ac:dyDescent="0.25">
      <c r="A493" s="254" t="str">
        <f t="shared" ca="1" si="56"/>
        <v/>
      </c>
      <c r="B493" s="255"/>
      <c r="C493" s="256"/>
      <c r="D493" s="257" t="str">
        <f t="shared" si="52"/>
        <v/>
      </c>
      <c r="E493" s="253"/>
      <c r="F493" s="257" t="str">
        <f t="shared" si="53"/>
        <v/>
      </c>
      <c r="G493" s="257" t="str">
        <f t="shared" si="54"/>
        <v/>
      </c>
      <c r="H493" s="257" t="str">
        <f t="shared" si="55"/>
        <v/>
      </c>
    </row>
    <row r="494" spans="1:8" x14ac:dyDescent="0.25">
      <c r="A494" s="254" t="str">
        <f t="shared" ca="1" si="56"/>
        <v/>
      </c>
      <c r="B494" s="255"/>
      <c r="C494" s="256"/>
      <c r="D494" s="257" t="str">
        <f t="shared" si="52"/>
        <v/>
      </c>
      <c r="E494" s="253"/>
      <c r="F494" s="257" t="str">
        <f t="shared" si="53"/>
        <v/>
      </c>
      <c r="G494" s="257" t="str">
        <f t="shared" si="54"/>
        <v/>
      </c>
      <c r="H494" s="257" t="str">
        <f t="shared" si="55"/>
        <v/>
      </c>
    </row>
    <row r="495" spans="1:8" x14ac:dyDescent="0.25">
      <c r="A495" s="254" t="str">
        <f t="shared" ca="1" si="56"/>
        <v/>
      </c>
      <c r="B495" s="255"/>
      <c r="C495" s="256"/>
      <c r="D495" s="257" t="str">
        <f t="shared" si="52"/>
        <v/>
      </c>
      <c r="E495" s="253"/>
      <c r="F495" s="257" t="str">
        <f t="shared" si="53"/>
        <v/>
      </c>
      <c r="G495" s="257" t="str">
        <f t="shared" si="54"/>
        <v/>
      </c>
      <c r="H495" s="257" t="str">
        <f t="shared" si="55"/>
        <v/>
      </c>
    </row>
    <row r="496" spans="1:8" x14ac:dyDescent="0.25">
      <c r="A496" s="254" t="str">
        <f t="shared" ca="1" si="56"/>
        <v/>
      </c>
      <c r="B496" s="255"/>
      <c r="C496" s="256"/>
      <c r="D496" s="257" t="str">
        <f t="shared" si="52"/>
        <v/>
      </c>
      <c r="E496" s="253"/>
      <c r="F496" s="257" t="str">
        <f t="shared" si="53"/>
        <v/>
      </c>
      <c r="G496" s="257" t="str">
        <f t="shared" si="54"/>
        <v/>
      </c>
      <c r="H496" s="257" t="str">
        <f t="shared" si="55"/>
        <v/>
      </c>
    </row>
    <row r="497" spans="1:8" x14ac:dyDescent="0.25">
      <c r="A497" s="254" t="str">
        <f t="shared" ca="1" si="56"/>
        <v/>
      </c>
      <c r="B497" s="255"/>
      <c r="C497" s="256"/>
      <c r="D497" s="257" t="str">
        <f t="shared" si="52"/>
        <v/>
      </c>
      <c r="E497" s="253"/>
      <c r="F497" s="257" t="str">
        <f t="shared" si="53"/>
        <v/>
      </c>
      <c r="G497" s="257" t="str">
        <f t="shared" si="54"/>
        <v/>
      </c>
      <c r="H497" s="257" t="str">
        <f t="shared" si="55"/>
        <v/>
      </c>
    </row>
    <row r="498" spans="1:8" x14ac:dyDescent="0.25">
      <c r="A498" s="254" t="str">
        <f t="shared" ca="1" si="56"/>
        <v/>
      </c>
      <c r="B498" s="255"/>
      <c r="C498" s="256"/>
      <c r="D498" s="257" t="str">
        <f t="shared" si="52"/>
        <v/>
      </c>
      <c r="E498" s="253"/>
      <c r="F498" s="257" t="str">
        <f t="shared" si="53"/>
        <v/>
      </c>
      <c r="G498" s="257" t="str">
        <f t="shared" si="54"/>
        <v/>
      </c>
      <c r="H498" s="257" t="str">
        <f t="shared" si="55"/>
        <v/>
      </c>
    </row>
    <row r="499" spans="1:8" x14ac:dyDescent="0.25">
      <c r="A499" s="254" t="str">
        <f t="shared" ca="1" si="56"/>
        <v/>
      </c>
      <c r="B499" s="255"/>
      <c r="C499" s="256"/>
      <c r="D499" s="257" t="str">
        <f t="shared" si="52"/>
        <v/>
      </c>
      <c r="E499" s="253"/>
      <c r="F499" s="257" t="str">
        <f t="shared" si="53"/>
        <v/>
      </c>
      <c r="G499" s="257" t="str">
        <f t="shared" si="54"/>
        <v/>
      </c>
      <c r="H499" s="257" t="str">
        <f t="shared" si="55"/>
        <v/>
      </c>
    </row>
    <row r="500" spans="1:8" x14ac:dyDescent="0.25">
      <c r="A500" s="254" t="str">
        <f t="shared" ca="1" si="56"/>
        <v/>
      </c>
      <c r="B500" s="255"/>
      <c r="C500" s="256"/>
      <c r="D500" s="257" t="str">
        <f t="shared" si="52"/>
        <v/>
      </c>
      <c r="E500" s="253"/>
      <c r="F500" s="257" t="str">
        <f t="shared" si="53"/>
        <v/>
      </c>
      <c r="G500" s="257" t="str">
        <f t="shared" si="54"/>
        <v/>
      </c>
      <c r="H500" s="257" t="str">
        <f t="shared" si="55"/>
        <v/>
      </c>
    </row>
    <row r="501" spans="1:8" x14ac:dyDescent="0.25">
      <c r="A501" s="254" t="str">
        <f t="shared" ca="1" si="56"/>
        <v/>
      </c>
      <c r="B501" s="255"/>
      <c r="C501" s="256"/>
      <c r="D501" s="257" t="str">
        <f t="shared" si="52"/>
        <v/>
      </c>
      <c r="E501" s="253"/>
      <c r="F501" s="257" t="str">
        <f t="shared" si="53"/>
        <v/>
      </c>
      <c r="G501" s="257" t="str">
        <f t="shared" si="54"/>
        <v/>
      </c>
      <c r="H501" s="257" t="str">
        <f t="shared" si="55"/>
        <v/>
      </c>
    </row>
    <row r="502" spans="1:8" x14ac:dyDescent="0.25">
      <c r="A502" s="254" t="str">
        <f t="shared" ca="1" si="56"/>
        <v/>
      </c>
      <c r="B502" s="255"/>
      <c r="C502" s="256"/>
      <c r="D502" s="257" t="str">
        <f t="shared" si="52"/>
        <v/>
      </c>
      <c r="E502" s="253"/>
      <c r="F502" s="257" t="str">
        <f t="shared" si="53"/>
        <v/>
      </c>
      <c r="G502" s="257" t="str">
        <f t="shared" si="54"/>
        <v/>
      </c>
      <c r="H502" s="257" t="str">
        <f t="shared" si="55"/>
        <v/>
      </c>
    </row>
    <row r="503" spans="1:8" x14ac:dyDescent="0.25">
      <c r="A503" s="254" t="str">
        <f t="shared" ca="1" si="56"/>
        <v/>
      </c>
      <c r="B503" s="255"/>
      <c r="C503" s="256"/>
      <c r="D503" s="257" t="str">
        <f t="shared" si="52"/>
        <v/>
      </c>
      <c r="E503" s="253"/>
      <c r="F503" s="257" t="str">
        <f t="shared" si="53"/>
        <v/>
      </c>
      <c r="G503" s="257" t="str">
        <f t="shared" si="54"/>
        <v/>
      </c>
      <c r="H503" s="257" t="str">
        <f t="shared" si="55"/>
        <v/>
      </c>
    </row>
    <row r="504" spans="1:8" x14ac:dyDescent="0.25">
      <c r="A504" s="254" t="str">
        <f t="shared" ca="1" si="56"/>
        <v/>
      </c>
      <c r="B504" s="255"/>
      <c r="C504" s="256"/>
      <c r="D504" s="257" t="str">
        <f t="shared" si="52"/>
        <v/>
      </c>
      <c r="E504" s="253"/>
      <c r="F504" s="257" t="str">
        <f t="shared" si="53"/>
        <v/>
      </c>
      <c r="G504" s="257" t="str">
        <f t="shared" si="54"/>
        <v/>
      </c>
      <c r="H504" s="257" t="str">
        <f t="shared" si="55"/>
        <v/>
      </c>
    </row>
    <row r="505" spans="1:8" x14ac:dyDescent="0.25">
      <c r="A505" s="254" t="str">
        <f t="shared" ca="1" si="56"/>
        <v/>
      </c>
      <c r="B505" s="255"/>
      <c r="C505" s="256"/>
      <c r="D505" s="257" t="str">
        <f t="shared" si="52"/>
        <v/>
      </c>
      <c r="E505" s="253"/>
      <c r="F505" s="257" t="str">
        <f t="shared" si="53"/>
        <v/>
      </c>
      <c r="G505" s="257" t="str">
        <f t="shared" si="54"/>
        <v/>
      </c>
      <c r="H505" s="257" t="str">
        <f t="shared" si="55"/>
        <v/>
      </c>
    </row>
    <row r="506" spans="1:8" x14ac:dyDescent="0.25">
      <c r="A506" s="254" t="str">
        <f t="shared" ca="1" si="56"/>
        <v/>
      </c>
      <c r="B506" s="255"/>
      <c r="C506" s="256"/>
      <c r="D506" s="257" t="str">
        <f t="shared" si="52"/>
        <v/>
      </c>
      <c r="E506" s="253"/>
      <c r="F506" s="257" t="str">
        <f t="shared" si="53"/>
        <v/>
      </c>
      <c r="G506" s="257" t="str">
        <f t="shared" si="54"/>
        <v/>
      </c>
      <c r="H506" s="257" t="str">
        <f t="shared" si="55"/>
        <v/>
      </c>
    </row>
    <row r="507" spans="1:8" x14ac:dyDescent="0.25">
      <c r="A507" s="254" t="str">
        <f t="shared" ca="1" si="56"/>
        <v/>
      </c>
      <c r="B507" s="255"/>
      <c r="C507" s="256"/>
      <c r="D507" s="257" t="str">
        <f t="shared" si="52"/>
        <v/>
      </c>
      <c r="E507" s="253"/>
      <c r="F507" s="257" t="str">
        <f t="shared" si="53"/>
        <v/>
      </c>
      <c r="G507" s="257" t="str">
        <f t="shared" si="54"/>
        <v/>
      </c>
      <c r="H507" s="257" t="str">
        <f t="shared" si="55"/>
        <v/>
      </c>
    </row>
    <row r="508" spans="1:8" x14ac:dyDescent="0.25">
      <c r="A508" s="254" t="str">
        <f t="shared" ca="1" si="56"/>
        <v/>
      </c>
      <c r="B508" s="255"/>
      <c r="C508" s="256"/>
      <c r="D508" s="257" t="str">
        <f t="shared" si="52"/>
        <v/>
      </c>
      <c r="E508" s="253"/>
      <c r="F508" s="257" t="str">
        <f t="shared" si="53"/>
        <v/>
      </c>
      <c r="G508" s="257" t="str">
        <f t="shared" si="54"/>
        <v/>
      </c>
      <c r="H508" s="257" t="str">
        <f t="shared" si="55"/>
        <v/>
      </c>
    </row>
    <row r="509" spans="1:8" x14ac:dyDescent="0.25">
      <c r="A509" s="254" t="str">
        <f t="shared" ca="1" si="56"/>
        <v/>
      </c>
      <c r="B509" s="255"/>
      <c r="C509" s="256"/>
      <c r="D509" s="257" t="str">
        <f t="shared" si="52"/>
        <v/>
      </c>
      <c r="E509" s="253"/>
      <c r="F509" s="257" t="str">
        <f t="shared" si="53"/>
        <v/>
      </c>
      <c r="G509" s="257" t="str">
        <f t="shared" si="54"/>
        <v/>
      </c>
      <c r="H509" s="257" t="str">
        <f t="shared" si="55"/>
        <v/>
      </c>
    </row>
    <row r="510" spans="1:8" x14ac:dyDescent="0.25">
      <c r="A510" s="254" t="str">
        <f t="shared" ca="1" si="56"/>
        <v/>
      </c>
      <c r="B510" s="255"/>
      <c r="C510" s="256"/>
      <c r="D510" s="257" t="str">
        <f t="shared" si="52"/>
        <v/>
      </c>
      <c r="E510" s="253"/>
      <c r="F510" s="257" t="str">
        <f t="shared" si="53"/>
        <v/>
      </c>
      <c r="G510" s="257" t="str">
        <f t="shared" si="54"/>
        <v/>
      </c>
      <c r="H510" s="257" t="str">
        <f t="shared" si="55"/>
        <v/>
      </c>
    </row>
    <row r="511" spans="1:8" x14ac:dyDescent="0.25">
      <c r="A511" s="254" t="str">
        <f t="shared" ca="1" si="56"/>
        <v/>
      </c>
      <c r="B511" s="255"/>
      <c r="C511" s="256"/>
      <c r="D511" s="257" t="str">
        <f t="shared" si="52"/>
        <v/>
      </c>
      <c r="E511" s="253"/>
      <c r="F511" s="257" t="str">
        <f t="shared" si="53"/>
        <v/>
      </c>
      <c r="G511" s="257" t="str">
        <f t="shared" si="54"/>
        <v/>
      </c>
      <c r="H511" s="257" t="str">
        <f t="shared" si="55"/>
        <v/>
      </c>
    </row>
    <row r="512" spans="1:8" x14ac:dyDescent="0.25">
      <c r="A512" s="254" t="str">
        <f t="shared" ca="1" si="56"/>
        <v/>
      </c>
      <c r="B512" s="255"/>
      <c r="C512" s="256"/>
      <c r="D512" s="257" t="str">
        <f t="shared" si="52"/>
        <v/>
      </c>
      <c r="E512" s="253"/>
      <c r="F512" s="257" t="str">
        <f t="shared" si="53"/>
        <v/>
      </c>
      <c r="G512" s="257" t="str">
        <f t="shared" si="54"/>
        <v/>
      </c>
      <c r="H512" s="257" t="str">
        <f t="shared" si="55"/>
        <v/>
      </c>
    </row>
    <row r="513" spans="1:8" x14ac:dyDescent="0.25">
      <c r="A513" s="254" t="str">
        <f t="shared" ca="1" si="56"/>
        <v/>
      </c>
      <c r="B513" s="255"/>
      <c r="C513" s="256"/>
      <c r="D513" s="257" t="str">
        <f t="shared" si="52"/>
        <v/>
      </c>
      <c r="E513" s="253"/>
      <c r="F513" s="257" t="str">
        <f t="shared" si="53"/>
        <v/>
      </c>
      <c r="G513" s="257" t="str">
        <f t="shared" si="54"/>
        <v/>
      </c>
      <c r="H513" s="257" t="str">
        <f t="shared" si="55"/>
        <v/>
      </c>
    </row>
    <row r="514" spans="1:8" x14ac:dyDescent="0.25">
      <c r="A514" s="254" t="str">
        <f t="shared" ca="1" si="56"/>
        <v/>
      </c>
      <c r="B514" s="255"/>
      <c r="C514" s="256"/>
      <c r="D514" s="257" t="str">
        <f t="shared" si="52"/>
        <v/>
      </c>
      <c r="E514" s="253"/>
      <c r="F514" s="257" t="str">
        <f t="shared" si="53"/>
        <v/>
      </c>
      <c r="G514" s="257" t="str">
        <f t="shared" si="54"/>
        <v/>
      </c>
      <c r="H514" s="257" t="str">
        <f t="shared" si="55"/>
        <v/>
      </c>
    </row>
    <row r="515" spans="1:8" x14ac:dyDescent="0.25">
      <c r="A515" s="254" t="str">
        <f t="shared" ca="1" si="56"/>
        <v/>
      </c>
      <c r="B515" s="255"/>
      <c r="C515" s="256"/>
      <c r="D515" s="257" t="str">
        <f t="shared" si="52"/>
        <v/>
      </c>
      <c r="E515" s="253"/>
      <c r="F515" s="257" t="str">
        <f t="shared" si="53"/>
        <v/>
      </c>
      <c r="G515" s="257" t="str">
        <f t="shared" si="54"/>
        <v/>
      </c>
      <c r="H515" s="257" t="str">
        <f t="shared" si="55"/>
        <v/>
      </c>
    </row>
    <row r="516" spans="1:8" x14ac:dyDescent="0.25">
      <c r="A516" s="254" t="str">
        <f t="shared" ca="1" si="56"/>
        <v/>
      </c>
      <c r="B516" s="255"/>
      <c r="C516" s="256"/>
      <c r="D516" s="257" t="str">
        <f t="shared" si="52"/>
        <v/>
      </c>
      <c r="E516" s="253"/>
      <c r="F516" s="257" t="str">
        <f t="shared" si="53"/>
        <v/>
      </c>
      <c r="G516" s="257" t="str">
        <f t="shared" si="54"/>
        <v/>
      </c>
      <c r="H516" s="257" t="str">
        <f t="shared" si="55"/>
        <v/>
      </c>
    </row>
    <row r="517" spans="1:8" x14ac:dyDescent="0.25">
      <c r="A517" s="254" t="str">
        <f t="shared" ca="1" si="56"/>
        <v/>
      </c>
      <c r="B517" s="255"/>
      <c r="C517" s="256"/>
      <c r="D517" s="257" t="str">
        <f t="shared" si="52"/>
        <v/>
      </c>
      <c r="E517" s="253"/>
      <c r="F517" s="257" t="str">
        <f t="shared" si="53"/>
        <v/>
      </c>
      <c r="G517" s="257" t="str">
        <f t="shared" si="54"/>
        <v/>
      </c>
      <c r="H517" s="257" t="str">
        <f t="shared" si="55"/>
        <v/>
      </c>
    </row>
    <row r="518" spans="1:8" x14ac:dyDescent="0.25">
      <c r="A518" s="254" t="str">
        <f t="shared" ca="1" si="56"/>
        <v/>
      </c>
      <c r="B518" s="255"/>
      <c r="C518" s="256"/>
      <c r="D518" s="257" t="str">
        <f t="shared" si="52"/>
        <v/>
      </c>
      <c r="E518" s="253"/>
      <c r="F518" s="257" t="str">
        <f t="shared" si="53"/>
        <v/>
      </c>
      <c r="G518" s="257" t="str">
        <f t="shared" si="54"/>
        <v/>
      </c>
      <c r="H518" s="257" t="str">
        <f t="shared" si="55"/>
        <v/>
      </c>
    </row>
    <row r="519" spans="1:8" x14ac:dyDescent="0.25">
      <c r="A519" s="254" t="str">
        <f t="shared" ca="1" si="56"/>
        <v/>
      </c>
      <c r="B519" s="255"/>
      <c r="C519" s="256"/>
      <c r="D519" s="257" t="str">
        <f t="shared" si="52"/>
        <v/>
      </c>
      <c r="E519" s="253"/>
      <c r="F519" s="257" t="str">
        <f t="shared" si="53"/>
        <v/>
      </c>
      <c r="G519" s="257" t="str">
        <f t="shared" si="54"/>
        <v/>
      </c>
      <c r="H519" s="257" t="str">
        <f t="shared" si="55"/>
        <v/>
      </c>
    </row>
    <row r="520" spans="1:8" x14ac:dyDescent="0.25">
      <c r="A520" s="254" t="str">
        <f t="shared" ca="1" si="56"/>
        <v/>
      </c>
      <c r="B520" s="255"/>
      <c r="C520" s="256"/>
      <c r="D520" s="257" t="str">
        <f t="shared" si="52"/>
        <v/>
      </c>
      <c r="E520" s="253"/>
      <c r="F520" s="257" t="str">
        <f t="shared" si="53"/>
        <v/>
      </c>
      <c r="G520" s="257" t="str">
        <f t="shared" si="54"/>
        <v/>
      </c>
      <c r="H520" s="257" t="str">
        <f t="shared" si="55"/>
        <v/>
      </c>
    </row>
    <row r="521" spans="1:8" x14ac:dyDescent="0.25">
      <c r="A521" s="254" t="str">
        <f t="shared" ca="1" si="56"/>
        <v/>
      </c>
      <c r="B521" s="255"/>
      <c r="C521" s="256"/>
      <c r="D521" s="257" t="str">
        <f t="shared" si="52"/>
        <v/>
      </c>
      <c r="E521" s="253"/>
      <c r="F521" s="257" t="str">
        <f t="shared" si="53"/>
        <v/>
      </c>
      <c r="G521" s="257" t="str">
        <f t="shared" si="54"/>
        <v/>
      </c>
      <c r="H521" s="257" t="str">
        <f t="shared" si="55"/>
        <v/>
      </c>
    </row>
    <row r="522" spans="1:8" x14ac:dyDescent="0.25">
      <c r="A522" s="254" t="str">
        <f t="shared" ca="1" si="56"/>
        <v/>
      </c>
      <c r="B522" s="255"/>
      <c r="C522" s="256"/>
      <c r="D522" s="257" t="str">
        <f t="shared" si="52"/>
        <v/>
      </c>
      <c r="E522" s="253"/>
      <c r="F522" s="257" t="str">
        <f t="shared" si="53"/>
        <v/>
      </c>
      <c r="G522" s="257" t="str">
        <f t="shared" si="54"/>
        <v/>
      </c>
      <c r="H522" s="257" t="str">
        <f t="shared" si="55"/>
        <v/>
      </c>
    </row>
    <row r="523" spans="1:8" x14ac:dyDescent="0.25">
      <c r="A523" s="254" t="str">
        <f t="shared" ca="1" si="56"/>
        <v/>
      </c>
      <c r="B523" s="255"/>
      <c r="C523" s="256"/>
      <c r="D523" s="257" t="str">
        <f t="shared" si="52"/>
        <v/>
      </c>
      <c r="E523" s="253"/>
      <c r="F523" s="257" t="str">
        <f t="shared" si="53"/>
        <v/>
      </c>
      <c r="G523" s="257" t="str">
        <f t="shared" si="54"/>
        <v/>
      </c>
      <c r="H523" s="257" t="str">
        <f t="shared" si="55"/>
        <v/>
      </c>
    </row>
    <row r="524" spans="1:8" x14ac:dyDescent="0.25">
      <c r="A524" s="254" t="str">
        <f t="shared" ca="1" si="56"/>
        <v/>
      </c>
      <c r="B524" s="255"/>
      <c r="C524" s="256"/>
      <c r="D524" s="257" t="str">
        <f t="shared" si="52"/>
        <v/>
      </c>
      <c r="E524" s="253"/>
      <c r="F524" s="257" t="str">
        <f t="shared" si="53"/>
        <v/>
      </c>
      <c r="G524" s="257" t="str">
        <f t="shared" si="54"/>
        <v/>
      </c>
      <c r="H524" s="257" t="str">
        <f t="shared" si="55"/>
        <v/>
      </c>
    </row>
    <row r="525" spans="1:8" x14ac:dyDescent="0.25">
      <c r="A525" s="254" t="str">
        <f t="shared" ca="1" si="56"/>
        <v/>
      </c>
      <c r="B525" s="255"/>
      <c r="C525" s="256"/>
      <c r="D525" s="257" t="str">
        <f t="shared" si="52"/>
        <v/>
      </c>
      <c r="E525" s="253"/>
      <c r="F525" s="257" t="str">
        <f t="shared" si="53"/>
        <v/>
      </c>
      <c r="G525" s="257" t="str">
        <f t="shared" si="54"/>
        <v/>
      </c>
      <c r="H525" s="257" t="str">
        <f t="shared" si="55"/>
        <v/>
      </c>
    </row>
    <row r="526" spans="1:8" x14ac:dyDescent="0.25">
      <c r="A526" s="254" t="str">
        <f t="shared" ca="1" si="56"/>
        <v/>
      </c>
      <c r="B526" s="255"/>
      <c r="C526" s="256"/>
      <c r="D526" s="257" t="str">
        <f t="shared" si="52"/>
        <v/>
      </c>
      <c r="E526" s="253"/>
      <c r="F526" s="257" t="str">
        <f t="shared" si="53"/>
        <v/>
      </c>
      <c r="G526" s="257" t="str">
        <f t="shared" si="54"/>
        <v/>
      </c>
      <c r="H526" s="257" t="str">
        <f t="shared" si="55"/>
        <v/>
      </c>
    </row>
    <row r="527" spans="1:8" x14ac:dyDescent="0.25">
      <c r="A527" s="254" t="str">
        <f t="shared" ca="1" si="56"/>
        <v/>
      </c>
      <c r="B527" s="255"/>
      <c r="C527" s="256"/>
      <c r="D527" s="257" t="str">
        <f t="shared" si="52"/>
        <v/>
      </c>
      <c r="E527" s="253"/>
      <c r="F527" s="257" t="str">
        <f t="shared" si="53"/>
        <v/>
      </c>
      <c r="G527" s="257" t="str">
        <f t="shared" si="54"/>
        <v/>
      </c>
      <c r="H527" s="257" t="str">
        <f t="shared" si="55"/>
        <v/>
      </c>
    </row>
    <row r="528" spans="1:8" x14ac:dyDescent="0.25">
      <c r="A528" s="254" t="str">
        <f t="shared" ca="1" si="56"/>
        <v/>
      </c>
      <c r="B528" s="255"/>
      <c r="C528" s="256"/>
      <c r="D528" s="257" t="str">
        <f t="shared" si="52"/>
        <v/>
      </c>
      <c r="E528" s="253"/>
      <c r="F528" s="257" t="str">
        <f t="shared" si="53"/>
        <v/>
      </c>
      <c r="G528" s="257" t="str">
        <f t="shared" si="54"/>
        <v/>
      </c>
      <c r="H528" s="257" t="str">
        <f t="shared" si="55"/>
        <v/>
      </c>
    </row>
    <row r="529" spans="1:8" x14ac:dyDescent="0.25">
      <c r="A529" s="254" t="str">
        <f t="shared" ca="1" si="56"/>
        <v/>
      </c>
      <c r="B529" s="255"/>
      <c r="C529" s="256"/>
      <c r="D529" s="257" t="str">
        <f t="shared" si="52"/>
        <v/>
      </c>
      <c r="E529" s="253"/>
      <c r="F529" s="257" t="str">
        <f t="shared" si="53"/>
        <v/>
      </c>
      <c r="G529" s="257" t="str">
        <f t="shared" si="54"/>
        <v/>
      </c>
      <c r="H529" s="257" t="str">
        <f t="shared" si="55"/>
        <v/>
      </c>
    </row>
    <row r="530" spans="1:8" x14ac:dyDescent="0.25">
      <c r="A530" s="254" t="str">
        <f t="shared" ca="1" si="56"/>
        <v/>
      </c>
      <c r="B530" s="255"/>
      <c r="C530" s="256"/>
      <c r="D530" s="257" t="str">
        <f t="shared" si="52"/>
        <v/>
      </c>
      <c r="E530" s="253"/>
      <c r="F530" s="257" t="str">
        <f t="shared" si="53"/>
        <v/>
      </c>
      <c r="G530" s="257" t="str">
        <f t="shared" si="54"/>
        <v/>
      </c>
      <c r="H530" s="257" t="str">
        <f t="shared" si="55"/>
        <v/>
      </c>
    </row>
    <row r="531" spans="1:8" x14ac:dyDescent="0.25">
      <c r="A531" s="254" t="str">
        <f t="shared" ca="1" si="56"/>
        <v/>
      </c>
      <c r="B531" s="255"/>
      <c r="C531" s="256"/>
      <c r="D531" s="257" t="str">
        <f t="shared" ref="D531:D594" si="57">IF(B531="","",ROUND((B531-B530)*$H$9*G530,2))</f>
        <v/>
      </c>
      <c r="E531" s="253"/>
      <c r="F531" s="257" t="str">
        <f t="shared" ref="F531:F594" si="58">IF(B531="","",IF(C531&gt;F530+D531,0,F530+D531-C531))</f>
        <v/>
      </c>
      <c r="G531" s="257" t="str">
        <f t="shared" ref="G531:G594" si="59">IF(B531="","",IF(C531&gt;D531+F530,G530+F530+D531-C531,G530))</f>
        <v/>
      </c>
      <c r="H531" s="257" t="str">
        <f t="shared" ref="H531:H594" si="60">IF(B531="","",G531+F531)</f>
        <v/>
      </c>
    </row>
    <row r="532" spans="1:8" x14ac:dyDescent="0.25">
      <c r="A532" s="254" t="str">
        <f t="shared" ca="1" si="56"/>
        <v/>
      </c>
      <c r="B532" s="255"/>
      <c r="C532" s="256"/>
      <c r="D532" s="257" t="str">
        <f t="shared" si="57"/>
        <v/>
      </c>
      <c r="E532" s="253"/>
      <c r="F532" s="257" t="str">
        <f t="shared" si="58"/>
        <v/>
      </c>
      <c r="G532" s="257" t="str">
        <f t="shared" si="59"/>
        <v/>
      </c>
      <c r="H532" s="257" t="str">
        <f t="shared" si="60"/>
        <v/>
      </c>
    </row>
    <row r="533" spans="1:8" x14ac:dyDescent="0.25">
      <c r="A533" s="254" t="str">
        <f t="shared" ca="1" si="56"/>
        <v/>
      </c>
      <c r="B533" s="255"/>
      <c r="C533" s="256"/>
      <c r="D533" s="257" t="str">
        <f t="shared" si="57"/>
        <v/>
      </c>
      <c r="E533" s="253"/>
      <c r="F533" s="257" t="str">
        <f t="shared" si="58"/>
        <v/>
      </c>
      <c r="G533" s="257" t="str">
        <f t="shared" si="59"/>
        <v/>
      </c>
      <c r="H533" s="257" t="str">
        <f t="shared" si="60"/>
        <v/>
      </c>
    </row>
    <row r="534" spans="1:8" x14ac:dyDescent="0.25">
      <c r="A534" s="254" t="str">
        <f t="shared" ca="1" si="56"/>
        <v/>
      </c>
      <c r="B534" s="255"/>
      <c r="C534" s="256"/>
      <c r="D534" s="257" t="str">
        <f t="shared" si="57"/>
        <v/>
      </c>
      <c r="E534" s="253"/>
      <c r="F534" s="257" t="str">
        <f t="shared" si="58"/>
        <v/>
      </c>
      <c r="G534" s="257" t="str">
        <f t="shared" si="59"/>
        <v/>
      </c>
      <c r="H534" s="257" t="str">
        <f t="shared" si="60"/>
        <v/>
      </c>
    </row>
    <row r="535" spans="1:8" x14ac:dyDescent="0.25">
      <c r="A535" s="254" t="str">
        <f t="shared" ca="1" si="56"/>
        <v/>
      </c>
      <c r="B535" s="255"/>
      <c r="C535" s="256"/>
      <c r="D535" s="257" t="str">
        <f t="shared" si="57"/>
        <v/>
      </c>
      <c r="E535" s="253"/>
      <c r="F535" s="257" t="str">
        <f t="shared" si="58"/>
        <v/>
      </c>
      <c r="G535" s="257" t="str">
        <f t="shared" si="59"/>
        <v/>
      </c>
      <c r="H535" s="257" t="str">
        <f t="shared" si="60"/>
        <v/>
      </c>
    </row>
    <row r="536" spans="1:8" x14ac:dyDescent="0.25">
      <c r="A536" s="254" t="str">
        <f t="shared" ca="1" si="56"/>
        <v/>
      </c>
      <c r="B536" s="255"/>
      <c r="C536" s="256"/>
      <c r="D536" s="257" t="str">
        <f t="shared" si="57"/>
        <v/>
      </c>
      <c r="E536" s="253"/>
      <c r="F536" s="257" t="str">
        <f t="shared" si="58"/>
        <v/>
      </c>
      <c r="G536" s="257" t="str">
        <f t="shared" si="59"/>
        <v/>
      </c>
      <c r="H536" s="257" t="str">
        <f t="shared" si="60"/>
        <v/>
      </c>
    </row>
    <row r="537" spans="1:8" x14ac:dyDescent="0.25">
      <c r="A537" s="254" t="str">
        <f t="shared" ca="1" si="56"/>
        <v/>
      </c>
      <c r="B537" s="255"/>
      <c r="C537" s="256"/>
      <c r="D537" s="257" t="str">
        <f t="shared" si="57"/>
        <v/>
      </c>
      <c r="E537" s="253"/>
      <c r="F537" s="257" t="str">
        <f t="shared" si="58"/>
        <v/>
      </c>
      <c r="G537" s="257" t="str">
        <f t="shared" si="59"/>
        <v/>
      </c>
      <c r="H537" s="257" t="str">
        <f t="shared" si="60"/>
        <v/>
      </c>
    </row>
    <row r="538" spans="1:8" x14ac:dyDescent="0.25">
      <c r="A538" s="254" t="str">
        <f t="shared" ca="1" si="56"/>
        <v/>
      </c>
      <c r="B538" s="255"/>
      <c r="C538" s="256"/>
      <c r="D538" s="257" t="str">
        <f t="shared" si="57"/>
        <v/>
      </c>
      <c r="E538" s="253"/>
      <c r="F538" s="257" t="str">
        <f t="shared" si="58"/>
        <v/>
      </c>
      <c r="G538" s="257" t="str">
        <f t="shared" si="59"/>
        <v/>
      </c>
      <c r="H538" s="257" t="str">
        <f t="shared" si="60"/>
        <v/>
      </c>
    </row>
    <row r="539" spans="1:8" x14ac:dyDescent="0.25">
      <c r="A539" s="254" t="str">
        <f t="shared" ca="1" si="56"/>
        <v/>
      </c>
      <c r="B539" s="255"/>
      <c r="C539" s="256"/>
      <c r="D539" s="257" t="str">
        <f t="shared" si="57"/>
        <v/>
      </c>
      <c r="E539" s="253"/>
      <c r="F539" s="257" t="str">
        <f t="shared" si="58"/>
        <v/>
      </c>
      <c r="G539" s="257" t="str">
        <f t="shared" si="59"/>
        <v/>
      </c>
      <c r="H539" s="257" t="str">
        <f t="shared" si="60"/>
        <v/>
      </c>
    </row>
    <row r="540" spans="1:8" x14ac:dyDescent="0.25">
      <c r="A540" s="254" t="str">
        <f t="shared" ca="1" si="56"/>
        <v/>
      </c>
      <c r="B540" s="255"/>
      <c r="C540" s="256"/>
      <c r="D540" s="257" t="str">
        <f t="shared" si="57"/>
        <v/>
      </c>
      <c r="E540" s="253"/>
      <c r="F540" s="257" t="str">
        <f t="shared" si="58"/>
        <v/>
      </c>
      <c r="G540" s="257" t="str">
        <f t="shared" si="59"/>
        <v/>
      </c>
      <c r="H540" s="257" t="str">
        <f t="shared" si="60"/>
        <v/>
      </c>
    </row>
    <row r="541" spans="1:8" x14ac:dyDescent="0.25">
      <c r="A541" s="254" t="str">
        <f t="shared" ca="1" si="56"/>
        <v/>
      </c>
      <c r="B541" s="255"/>
      <c r="C541" s="256"/>
      <c r="D541" s="257" t="str">
        <f t="shared" si="57"/>
        <v/>
      </c>
      <c r="E541" s="253"/>
      <c r="F541" s="257" t="str">
        <f t="shared" si="58"/>
        <v/>
      </c>
      <c r="G541" s="257" t="str">
        <f t="shared" si="59"/>
        <v/>
      </c>
      <c r="H541" s="257" t="str">
        <f t="shared" si="60"/>
        <v/>
      </c>
    </row>
    <row r="542" spans="1:8" x14ac:dyDescent="0.25">
      <c r="A542" s="254" t="str">
        <f t="shared" ca="1" si="56"/>
        <v/>
      </c>
      <c r="B542" s="255"/>
      <c r="C542" s="256"/>
      <c r="D542" s="257" t="str">
        <f t="shared" si="57"/>
        <v/>
      </c>
      <c r="E542" s="253"/>
      <c r="F542" s="257" t="str">
        <f t="shared" si="58"/>
        <v/>
      </c>
      <c r="G542" s="257" t="str">
        <f t="shared" si="59"/>
        <v/>
      </c>
      <c r="H542" s="257" t="str">
        <f t="shared" si="60"/>
        <v/>
      </c>
    </row>
    <row r="543" spans="1:8" x14ac:dyDescent="0.25">
      <c r="A543" s="254" t="str">
        <f t="shared" ca="1" si="56"/>
        <v/>
      </c>
      <c r="B543" s="255"/>
      <c r="C543" s="256"/>
      <c r="D543" s="257" t="str">
        <f t="shared" si="57"/>
        <v/>
      </c>
      <c r="E543" s="253"/>
      <c r="F543" s="257" t="str">
        <f t="shared" si="58"/>
        <v/>
      </c>
      <c r="G543" s="257" t="str">
        <f t="shared" si="59"/>
        <v/>
      </c>
      <c r="H543" s="257" t="str">
        <f t="shared" si="60"/>
        <v/>
      </c>
    </row>
    <row r="544" spans="1:8" x14ac:dyDescent="0.25">
      <c r="A544" s="254" t="str">
        <f t="shared" ca="1" si="56"/>
        <v/>
      </c>
      <c r="B544" s="255"/>
      <c r="C544" s="256"/>
      <c r="D544" s="257" t="str">
        <f t="shared" si="57"/>
        <v/>
      </c>
      <c r="E544" s="253"/>
      <c r="F544" s="257" t="str">
        <f t="shared" si="58"/>
        <v/>
      </c>
      <c r="G544" s="257" t="str">
        <f t="shared" si="59"/>
        <v/>
      </c>
      <c r="H544" s="257" t="str">
        <f t="shared" si="60"/>
        <v/>
      </c>
    </row>
    <row r="545" spans="1:8" x14ac:dyDescent="0.25">
      <c r="A545" s="254" t="str">
        <f t="shared" ca="1" si="56"/>
        <v/>
      </c>
      <c r="B545" s="255"/>
      <c r="C545" s="256"/>
      <c r="D545" s="257" t="str">
        <f t="shared" si="57"/>
        <v/>
      </c>
      <c r="E545" s="253"/>
      <c r="F545" s="257" t="str">
        <f t="shared" si="58"/>
        <v/>
      </c>
      <c r="G545" s="257" t="str">
        <f t="shared" si="59"/>
        <v/>
      </c>
      <c r="H545" s="257" t="str">
        <f t="shared" si="60"/>
        <v/>
      </c>
    </row>
    <row r="546" spans="1:8" x14ac:dyDescent="0.25">
      <c r="A546" s="254" t="str">
        <f t="shared" ca="1" si="56"/>
        <v/>
      </c>
      <c r="B546" s="255"/>
      <c r="C546" s="256"/>
      <c r="D546" s="257" t="str">
        <f t="shared" si="57"/>
        <v/>
      </c>
      <c r="E546" s="253"/>
      <c r="F546" s="257" t="str">
        <f t="shared" si="58"/>
        <v/>
      </c>
      <c r="G546" s="257" t="str">
        <f t="shared" si="59"/>
        <v/>
      </c>
      <c r="H546" s="257" t="str">
        <f t="shared" si="60"/>
        <v/>
      </c>
    </row>
    <row r="547" spans="1:8" x14ac:dyDescent="0.25">
      <c r="A547" s="254" t="str">
        <f t="shared" ca="1" si="56"/>
        <v/>
      </c>
      <c r="B547" s="255"/>
      <c r="C547" s="256"/>
      <c r="D547" s="257" t="str">
        <f t="shared" si="57"/>
        <v/>
      </c>
      <c r="E547" s="253"/>
      <c r="F547" s="257" t="str">
        <f t="shared" si="58"/>
        <v/>
      </c>
      <c r="G547" s="257" t="str">
        <f t="shared" si="59"/>
        <v/>
      </c>
      <c r="H547" s="257" t="str">
        <f t="shared" si="60"/>
        <v/>
      </c>
    </row>
    <row r="548" spans="1:8" x14ac:dyDescent="0.25">
      <c r="A548" s="254" t="str">
        <f t="shared" ca="1" si="56"/>
        <v/>
      </c>
      <c r="B548" s="255"/>
      <c r="C548" s="256"/>
      <c r="D548" s="257" t="str">
        <f t="shared" si="57"/>
        <v/>
      </c>
      <c r="E548" s="253"/>
      <c r="F548" s="257" t="str">
        <f t="shared" si="58"/>
        <v/>
      </c>
      <c r="G548" s="257" t="str">
        <f t="shared" si="59"/>
        <v/>
      </c>
      <c r="H548" s="257" t="str">
        <f t="shared" si="60"/>
        <v/>
      </c>
    </row>
    <row r="549" spans="1:8" x14ac:dyDescent="0.25">
      <c r="A549" s="254" t="str">
        <f t="shared" ca="1" si="56"/>
        <v/>
      </c>
      <c r="B549" s="255"/>
      <c r="C549" s="256"/>
      <c r="D549" s="257" t="str">
        <f t="shared" si="57"/>
        <v/>
      </c>
      <c r="E549" s="253"/>
      <c r="F549" s="257" t="str">
        <f t="shared" si="58"/>
        <v/>
      </c>
      <c r="G549" s="257" t="str">
        <f t="shared" si="59"/>
        <v/>
      </c>
      <c r="H549" s="257" t="str">
        <f t="shared" si="60"/>
        <v/>
      </c>
    </row>
    <row r="550" spans="1:8" x14ac:dyDescent="0.25">
      <c r="A550" s="254" t="str">
        <f t="shared" ca="1" si="56"/>
        <v/>
      </c>
      <c r="B550" s="255"/>
      <c r="C550" s="256"/>
      <c r="D550" s="257" t="str">
        <f t="shared" si="57"/>
        <v/>
      </c>
      <c r="E550" s="253"/>
      <c r="F550" s="257" t="str">
        <f t="shared" si="58"/>
        <v/>
      </c>
      <c r="G550" s="257" t="str">
        <f t="shared" si="59"/>
        <v/>
      </c>
      <c r="H550" s="257" t="str">
        <f t="shared" si="60"/>
        <v/>
      </c>
    </row>
    <row r="551" spans="1:8" x14ac:dyDescent="0.25">
      <c r="A551" s="254" t="str">
        <f t="shared" ca="1" si="56"/>
        <v/>
      </c>
      <c r="B551" s="255"/>
      <c r="C551" s="256"/>
      <c r="D551" s="257" t="str">
        <f t="shared" si="57"/>
        <v/>
      </c>
      <c r="E551" s="253"/>
      <c r="F551" s="257" t="str">
        <f t="shared" si="58"/>
        <v/>
      </c>
      <c r="G551" s="257" t="str">
        <f t="shared" si="59"/>
        <v/>
      </c>
      <c r="H551" s="257" t="str">
        <f t="shared" si="60"/>
        <v/>
      </c>
    </row>
    <row r="552" spans="1:8" x14ac:dyDescent="0.25">
      <c r="A552" s="254" t="str">
        <f t="shared" ca="1" si="56"/>
        <v/>
      </c>
      <c r="B552" s="255"/>
      <c r="C552" s="256"/>
      <c r="D552" s="257" t="str">
        <f t="shared" si="57"/>
        <v/>
      </c>
      <c r="E552" s="253"/>
      <c r="F552" s="257" t="str">
        <f t="shared" si="58"/>
        <v/>
      </c>
      <c r="G552" s="257" t="str">
        <f t="shared" si="59"/>
        <v/>
      </c>
      <c r="H552" s="257" t="str">
        <f t="shared" si="60"/>
        <v/>
      </c>
    </row>
    <row r="553" spans="1:8" x14ac:dyDescent="0.25">
      <c r="A553" s="254" t="str">
        <f t="shared" ref="A553:A616" ca="1" si="61">IF(OR(H552&lt;=0,H552=""),"",OFFSET(A553,-1,0,1,1)+1)</f>
        <v/>
      </c>
      <c r="B553" s="255"/>
      <c r="C553" s="256"/>
      <c r="D553" s="257" t="str">
        <f t="shared" si="57"/>
        <v/>
      </c>
      <c r="E553" s="253"/>
      <c r="F553" s="257" t="str">
        <f t="shared" si="58"/>
        <v/>
      </c>
      <c r="G553" s="257" t="str">
        <f t="shared" si="59"/>
        <v/>
      </c>
      <c r="H553" s="257" t="str">
        <f t="shared" si="60"/>
        <v/>
      </c>
    </row>
    <row r="554" spans="1:8" x14ac:dyDescent="0.25">
      <c r="A554" s="254" t="str">
        <f t="shared" ca="1" si="61"/>
        <v/>
      </c>
      <c r="B554" s="255"/>
      <c r="C554" s="256"/>
      <c r="D554" s="257" t="str">
        <f t="shared" si="57"/>
        <v/>
      </c>
      <c r="E554" s="253"/>
      <c r="F554" s="257" t="str">
        <f t="shared" si="58"/>
        <v/>
      </c>
      <c r="G554" s="257" t="str">
        <f t="shared" si="59"/>
        <v/>
      </c>
      <c r="H554" s="257" t="str">
        <f t="shared" si="60"/>
        <v/>
      </c>
    </row>
    <row r="555" spans="1:8" x14ac:dyDescent="0.25">
      <c r="A555" s="254" t="str">
        <f t="shared" ca="1" si="61"/>
        <v/>
      </c>
      <c r="B555" s="255"/>
      <c r="C555" s="256"/>
      <c r="D555" s="257" t="str">
        <f t="shared" si="57"/>
        <v/>
      </c>
      <c r="E555" s="253"/>
      <c r="F555" s="257" t="str">
        <f t="shared" si="58"/>
        <v/>
      </c>
      <c r="G555" s="257" t="str">
        <f t="shared" si="59"/>
        <v/>
      </c>
      <c r="H555" s="257" t="str">
        <f t="shared" si="60"/>
        <v/>
      </c>
    </row>
    <row r="556" spans="1:8" x14ac:dyDescent="0.25">
      <c r="A556" s="254" t="str">
        <f t="shared" ca="1" si="61"/>
        <v/>
      </c>
      <c r="B556" s="255"/>
      <c r="C556" s="256"/>
      <c r="D556" s="257" t="str">
        <f t="shared" si="57"/>
        <v/>
      </c>
      <c r="E556" s="253"/>
      <c r="F556" s="257" t="str">
        <f t="shared" si="58"/>
        <v/>
      </c>
      <c r="G556" s="257" t="str">
        <f t="shared" si="59"/>
        <v/>
      </c>
      <c r="H556" s="257" t="str">
        <f t="shared" si="60"/>
        <v/>
      </c>
    </row>
    <row r="557" spans="1:8" x14ac:dyDescent="0.25">
      <c r="A557" s="254" t="str">
        <f t="shared" ca="1" si="61"/>
        <v/>
      </c>
      <c r="B557" s="255"/>
      <c r="C557" s="256"/>
      <c r="D557" s="257" t="str">
        <f t="shared" si="57"/>
        <v/>
      </c>
      <c r="E557" s="253"/>
      <c r="F557" s="257" t="str">
        <f t="shared" si="58"/>
        <v/>
      </c>
      <c r="G557" s="257" t="str">
        <f t="shared" si="59"/>
        <v/>
      </c>
      <c r="H557" s="257" t="str">
        <f t="shared" si="60"/>
        <v/>
      </c>
    </row>
    <row r="558" spans="1:8" x14ac:dyDescent="0.25">
      <c r="A558" s="254" t="str">
        <f t="shared" ca="1" si="61"/>
        <v/>
      </c>
      <c r="B558" s="255"/>
      <c r="C558" s="256"/>
      <c r="D558" s="257" t="str">
        <f t="shared" si="57"/>
        <v/>
      </c>
      <c r="E558" s="253"/>
      <c r="F558" s="257" t="str">
        <f t="shared" si="58"/>
        <v/>
      </c>
      <c r="G558" s="257" t="str">
        <f t="shared" si="59"/>
        <v/>
      </c>
      <c r="H558" s="257" t="str">
        <f t="shared" si="60"/>
        <v/>
      </c>
    </row>
    <row r="559" spans="1:8" x14ac:dyDescent="0.25">
      <c r="A559" s="254" t="str">
        <f t="shared" ca="1" si="61"/>
        <v/>
      </c>
      <c r="B559" s="255"/>
      <c r="C559" s="256"/>
      <c r="D559" s="257" t="str">
        <f t="shared" si="57"/>
        <v/>
      </c>
      <c r="E559" s="253"/>
      <c r="F559" s="257" t="str">
        <f t="shared" si="58"/>
        <v/>
      </c>
      <c r="G559" s="257" t="str">
        <f t="shared" si="59"/>
        <v/>
      </c>
      <c r="H559" s="257" t="str">
        <f t="shared" si="60"/>
        <v/>
      </c>
    </row>
    <row r="560" spans="1:8" x14ac:dyDescent="0.25">
      <c r="A560" s="254" t="str">
        <f t="shared" ca="1" si="61"/>
        <v/>
      </c>
      <c r="B560" s="255"/>
      <c r="C560" s="256"/>
      <c r="D560" s="257" t="str">
        <f t="shared" si="57"/>
        <v/>
      </c>
      <c r="E560" s="253"/>
      <c r="F560" s="257" t="str">
        <f t="shared" si="58"/>
        <v/>
      </c>
      <c r="G560" s="257" t="str">
        <f t="shared" si="59"/>
        <v/>
      </c>
      <c r="H560" s="257" t="str">
        <f t="shared" si="60"/>
        <v/>
      </c>
    </row>
    <row r="561" spans="1:8" x14ac:dyDescent="0.25">
      <c r="A561" s="254" t="str">
        <f t="shared" ca="1" si="61"/>
        <v/>
      </c>
      <c r="B561" s="255"/>
      <c r="C561" s="256"/>
      <c r="D561" s="257" t="str">
        <f t="shared" si="57"/>
        <v/>
      </c>
      <c r="E561" s="253"/>
      <c r="F561" s="257" t="str">
        <f t="shared" si="58"/>
        <v/>
      </c>
      <c r="G561" s="257" t="str">
        <f t="shared" si="59"/>
        <v/>
      </c>
      <c r="H561" s="257" t="str">
        <f t="shared" si="60"/>
        <v/>
      </c>
    </row>
    <row r="562" spans="1:8" x14ac:dyDescent="0.25">
      <c r="A562" s="254" t="str">
        <f t="shared" ca="1" si="61"/>
        <v/>
      </c>
      <c r="B562" s="255"/>
      <c r="C562" s="256"/>
      <c r="D562" s="257" t="str">
        <f t="shared" si="57"/>
        <v/>
      </c>
      <c r="E562" s="253"/>
      <c r="F562" s="257" t="str">
        <f t="shared" si="58"/>
        <v/>
      </c>
      <c r="G562" s="257" t="str">
        <f t="shared" si="59"/>
        <v/>
      </c>
      <c r="H562" s="257" t="str">
        <f t="shared" si="60"/>
        <v/>
      </c>
    </row>
    <row r="563" spans="1:8" x14ac:dyDescent="0.25">
      <c r="A563" s="254" t="str">
        <f t="shared" ca="1" si="61"/>
        <v/>
      </c>
      <c r="B563" s="255"/>
      <c r="C563" s="256"/>
      <c r="D563" s="257" t="str">
        <f t="shared" si="57"/>
        <v/>
      </c>
      <c r="E563" s="253"/>
      <c r="F563" s="257" t="str">
        <f t="shared" si="58"/>
        <v/>
      </c>
      <c r="G563" s="257" t="str">
        <f t="shared" si="59"/>
        <v/>
      </c>
      <c r="H563" s="257" t="str">
        <f t="shared" si="60"/>
        <v/>
      </c>
    </row>
    <row r="564" spans="1:8" x14ac:dyDescent="0.25">
      <c r="A564" s="254" t="str">
        <f t="shared" ca="1" si="61"/>
        <v/>
      </c>
      <c r="B564" s="255"/>
      <c r="C564" s="256"/>
      <c r="D564" s="257" t="str">
        <f t="shared" si="57"/>
        <v/>
      </c>
      <c r="E564" s="253"/>
      <c r="F564" s="257" t="str">
        <f t="shared" si="58"/>
        <v/>
      </c>
      <c r="G564" s="257" t="str">
        <f t="shared" si="59"/>
        <v/>
      </c>
      <c r="H564" s="257" t="str">
        <f t="shared" si="60"/>
        <v/>
      </c>
    </row>
    <row r="565" spans="1:8" x14ac:dyDescent="0.25">
      <c r="A565" s="254" t="str">
        <f t="shared" ca="1" si="61"/>
        <v/>
      </c>
      <c r="B565" s="255"/>
      <c r="C565" s="256"/>
      <c r="D565" s="257" t="str">
        <f t="shared" si="57"/>
        <v/>
      </c>
      <c r="E565" s="253"/>
      <c r="F565" s="257" t="str">
        <f t="shared" si="58"/>
        <v/>
      </c>
      <c r="G565" s="257" t="str">
        <f t="shared" si="59"/>
        <v/>
      </c>
      <c r="H565" s="257" t="str">
        <f t="shared" si="60"/>
        <v/>
      </c>
    </row>
    <row r="566" spans="1:8" x14ac:dyDescent="0.25">
      <c r="A566" s="254" t="str">
        <f t="shared" ca="1" si="61"/>
        <v/>
      </c>
      <c r="B566" s="255"/>
      <c r="C566" s="256"/>
      <c r="D566" s="257" t="str">
        <f t="shared" si="57"/>
        <v/>
      </c>
      <c r="E566" s="253"/>
      <c r="F566" s="257" t="str">
        <f t="shared" si="58"/>
        <v/>
      </c>
      <c r="G566" s="257" t="str">
        <f t="shared" si="59"/>
        <v/>
      </c>
      <c r="H566" s="257" t="str">
        <f t="shared" si="60"/>
        <v/>
      </c>
    </row>
    <row r="567" spans="1:8" x14ac:dyDescent="0.25">
      <c r="A567" s="254" t="str">
        <f t="shared" ca="1" si="61"/>
        <v/>
      </c>
      <c r="B567" s="255"/>
      <c r="C567" s="256"/>
      <c r="D567" s="257" t="str">
        <f t="shared" si="57"/>
        <v/>
      </c>
      <c r="E567" s="253"/>
      <c r="F567" s="257" t="str">
        <f t="shared" si="58"/>
        <v/>
      </c>
      <c r="G567" s="257" t="str">
        <f t="shared" si="59"/>
        <v/>
      </c>
      <c r="H567" s="257" t="str">
        <f t="shared" si="60"/>
        <v/>
      </c>
    </row>
    <row r="568" spans="1:8" x14ac:dyDescent="0.25">
      <c r="A568" s="254" t="str">
        <f t="shared" ca="1" si="61"/>
        <v/>
      </c>
      <c r="B568" s="255"/>
      <c r="C568" s="256"/>
      <c r="D568" s="257" t="str">
        <f t="shared" si="57"/>
        <v/>
      </c>
      <c r="E568" s="253"/>
      <c r="F568" s="257" t="str">
        <f t="shared" si="58"/>
        <v/>
      </c>
      <c r="G568" s="257" t="str">
        <f t="shared" si="59"/>
        <v/>
      </c>
      <c r="H568" s="257" t="str">
        <f t="shared" si="60"/>
        <v/>
      </c>
    </row>
    <row r="569" spans="1:8" x14ac:dyDescent="0.25">
      <c r="A569" s="254" t="str">
        <f t="shared" ca="1" si="61"/>
        <v/>
      </c>
      <c r="B569" s="255"/>
      <c r="C569" s="256"/>
      <c r="D569" s="257" t="str">
        <f t="shared" si="57"/>
        <v/>
      </c>
      <c r="E569" s="253"/>
      <c r="F569" s="257" t="str">
        <f t="shared" si="58"/>
        <v/>
      </c>
      <c r="G569" s="257" t="str">
        <f t="shared" si="59"/>
        <v/>
      </c>
      <c r="H569" s="257" t="str">
        <f t="shared" si="60"/>
        <v/>
      </c>
    </row>
    <row r="570" spans="1:8" x14ac:dyDescent="0.25">
      <c r="A570" s="254" t="str">
        <f t="shared" ca="1" si="61"/>
        <v/>
      </c>
      <c r="B570" s="255"/>
      <c r="C570" s="256"/>
      <c r="D570" s="257" t="str">
        <f t="shared" si="57"/>
        <v/>
      </c>
      <c r="E570" s="253"/>
      <c r="F570" s="257" t="str">
        <f t="shared" si="58"/>
        <v/>
      </c>
      <c r="G570" s="257" t="str">
        <f t="shared" si="59"/>
        <v/>
      </c>
      <c r="H570" s="257" t="str">
        <f t="shared" si="60"/>
        <v/>
      </c>
    </row>
    <row r="571" spans="1:8" x14ac:dyDescent="0.25">
      <c r="A571" s="254" t="str">
        <f t="shared" ca="1" si="61"/>
        <v/>
      </c>
      <c r="B571" s="255"/>
      <c r="C571" s="256"/>
      <c r="D571" s="257" t="str">
        <f t="shared" si="57"/>
        <v/>
      </c>
      <c r="E571" s="253"/>
      <c r="F571" s="257" t="str">
        <f t="shared" si="58"/>
        <v/>
      </c>
      <c r="G571" s="257" t="str">
        <f t="shared" si="59"/>
        <v/>
      </c>
      <c r="H571" s="257" t="str">
        <f t="shared" si="60"/>
        <v/>
      </c>
    </row>
    <row r="572" spans="1:8" x14ac:dyDescent="0.25">
      <c r="A572" s="254" t="str">
        <f t="shared" ca="1" si="61"/>
        <v/>
      </c>
      <c r="B572" s="255"/>
      <c r="C572" s="256"/>
      <c r="D572" s="257" t="str">
        <f t="shared" si="57"/>
        <v/>
      </c>
      <c r="E572" s="253"/>
      <c r="F572" s="257" t="str">
        <f t="shared" si="58"/>
        <v/>
      </c>
      <c r="G572" s="257" t="str">
        <f t="shared" si="59"/>
        <v/>
      </c>
      <c r="H572" s="257" t="str">
        <f t="shared" si="60"/>
        <v/>
      </c>
    </row>
    <row r="573" spans="1:8" x14ac:dyDescent="0.25">
      <c r="A573" s="254" t="str">
        <f t="shared" ca="1" si="61"/>
        <v/>
      </c>
      <c r="B573" s="255"/>
      <c r="C573" s="256"/>
      <c r="D573" s="257" t="str">
        <f t="shared" si="57"/>
        <v/>
      </c>
      <c r="E573" s="253"/>
      <c r="F573" s="257" t="str">
        <f t="shared" si="58"/>
        <v/>
      </c>
      <c r="G573" s="257" t="str">
        <f t="shared" si="59"/>
        <v/>
      </c>
      <c r="H573" s="257" t="str">
        <f t="shared" si="60"/>
        <v/>
      </c>
    </row>
    <row r="574" spans="1:8" x14ac:dyDescent="0.25">
      <c r="A574" s="254" t="str">
        <f t="shared" ca="1" si="61"/>
        <v/>
      </c>
      <c r="B574" s="255"/>
      <c r="C574" s="256"/>
      <c r="D574" s="257" t="str">
        <f t="shared" si="57"/>
        <v/>
      </c>
      <c r="E574" s="253"/>
      <c r="F574" s="257" t="str">
        <f t="shared" si="58"/>
        <v/>
      </c>
      <c r="G574" s="257" t="str">
        <f t="shared" si="59"/>
        <v/>
      </c>
      <c r="H574" s="257" t="str">
        <f t="shared" si="60"/>
        <v/>
      </c>
    </row>
    <row r="575" spans="1:8" x14ac:dyDescent="0.25">
      <c r="A575" s="254" t="str">
        <f t="shared" ca="1" si="61"/>
        <v/>
      </c>
      <c r="B575" s="255"/>
      <c r="C575" s="256"/>
      <c r="D575" s="257" t="str">
        <f t="shared" si="57"/>
        <v/>
      </c>
      <c r="E575" s="253"/>
      <c r="F575" s="257" t="str">
        <f t="shared" si="58"/>
        <v/>
      </c>
      <c r="G575" s="257" t="str">
        <f t="shared" si="59"/>
        <v/>
      </c>
      <c r="H575" s="257" t="str">
        <f t="shared" si="60"/>
        <v/>
      </c>
    </row>
    <row r="576" spans="1:8" x14ac:dyDescent="0.25">
      <c r="A576" s="254" t="str">
        <f t="shared" ca="1" si="61"/>
        <v/>
      </c>
      <c r="B576" s="255"/>
      <c r="C576" s="256"/>
      <c r="D576" s="257" t="str">
        <f t="shared" si="57"/>
        <v/>
      </c>
      <c r="E576" s="253"/>
      <c r="F576" s="257" t="str">
        <f t="shared" si="58"/>
        <v/>
      </c>
      <c r="G576" s="257" t="str">
        <f t="shared" si="59"/>
        <v/>
      </c>
      <c r="H576" s="257" t="str">
        <f t="shared" si="60"/>
        <v/>
      </c>
    </row>
    <row r="577" spans="1:8" x14ac:dyDescent="0.25">
      <c r="A577" s="254" t="str">
        <f t="shared" ca="1" si="61"/>
        <v/>
      </c>
      <c r="B577" s="255"/>
      <c r="C577" s="256"/>
      <c r="D577" s="257" t="str">
        <f t="shared" si="57"/>
        <v/>
      </c>
      <c r="E577" s="253"/>
      <c r="F577" s="257" t="str">
        <f t="shared" si="58"/>
        <v/>
      </c>
      <c r="G577" s="257" t="str">
        <f t="shared" si="59"/>
        <v/>
      </c>
      <c r="H577" s="257" t="str">
        <f t="shared" si="60"/>
        <v/>
      </c>
    </row>
    <row r="578" spans="1:8" x14ac:dyDescent="0.25">
      <c r="A578" s="254" t="str">
        <f t="shared" ca="1" si="61"/>
        <v/>
      </c>
      <c r="B578" s="255"/>
      <c r="C578" s="256"/>
      <c r="D578" s="257" t="str">
        <f t="shared" si="57"/>
        <v/>
      </c>
      <c r="E578" s="253"/>
      <c r="F578" s="257" t="str">
        <f t="shared" si="58"/>
        <v/>
      </c>
      <c r="G578" s="257" t="str">
        <f t="shared" si="59"/>
        <v/>
      </c>
      <c r="H578" s="257" t="str">
        <f t="shared" si="60"/>
        <v/>
      </c>
    </row>
    <row r="579" spans="1:8" x14ac:dyDescent="0.25">
      <c r="A579" s="254" t="str">
        <f t="shared" ca="1" si="61"/>
        <v/>
      </c>
      <c r="B579" s="255"/>
      <c r="C579" s="256"/>
      <c r="D579" s="257" t="str">
        <f t="shared" si="57"/>
        <v/>
      </c>
      <c r="E579" s="253"/>
      <c r="F579" s="257" t="str">
        <f t="shared" si="58"/>
        <v/>
      </c>
      <c r="G579" s="257" t="str">
        <f t="shared" si="59"/>
        <v/>
      </c>
      <c r="H579" s="257" t="str">
        <f t="shared" si="60"/>
        <v/>
      </c>
    </row>
    <row r="580" spans="1:8" x14ac:dyDescent="0.25">
      <c r="A580" s="254" t="str">
        <f t="shared" ca="1" si="61"/>
        <v/>
      </c>
      <c r="B580" s="255"/>
      <c r="C580" s="256"/>
      <c r="D580" s="257" t="str">
        <f t="shared" si="57"/>
        <v/>
      </c>
      <c r="E580" s="253"/>
      <c r="F580" s="257" t="str">
        <f t="shared" si="58"/>
        <v/>
      </c>
      <c r="G580" s="257" t="str">
        <f t="shared" si="59"/>
        <v/>
      </c>
      <c r="H580" s="257" t="str">
        <f t="shared" si="60"/>
        <v/>
      </c>
    </row>
    <row r="581" spans="1:8" x14ac:dyDescent="0.25">
      <c r="A581" s="254" t="str">
        <f t="shared" ca="1" si="61"/>
        <v/>
      </c>
      <c r="B581" s="255"/>
      <c r="C581" s="256"/>
      <c r="D581" s="257" t="str">
        <f t="shared" si="57"/>
        <v/>
      </c>
      <c r="E581" s="253"/>
      <c r="F581" s="257" t="str">
        <f t="shared" si="58"/>
        <v/>
      </c>
      <c r="G581" s="257" t="str">
        <f t="shared" si="59"/>
        <v/>
      </c>
      <c r="H581" s="257" t="str">
        <f t="shared" si="60"/>
        <v/>
      </c>
    </row>
    <row r="582" spans="1:8" x14ac:dyDescent="0.25">
      <c r="A582" s="254" t="str">
        <f t="shared" ca="1" si="61"/>
        <v/>
      </c>
      <c r="B582" s="255"/>
      <c r="C582" s="256"/>
      <c r="D582" s="257" t="str">
        <f t="shared" si="57"/>
        <v/>
      </c>
      <c r="E582" s="253"/>
      <c r="F582" s="257" t="str">
        <f t="shared" si="58"/>
        <v/>
      </c>
      <c r="G582" s="257" t="str">
        <f t="shared" si="59"/>
        <v/>
      </c>
      <c r="H582" s="257" t="str">
        <f t="shared" si="60"/>
        <v/>
      </c>
    </row>
    <row r="583" spans="1:8" x14ac:dyDescent="0.25">
      <c r="A583" s="254" t="str">
        <f t="shared" ca="1" si="61"/>
        <v/>
      </c>
      <c r="B583" s="255"/>
      <c r="C583" s="256"/>
      <c r="D583" s="257" t="str">
        <f t="shared" si="57"/>
        <v/>
      </c>
      <c r="E583" s="253"/>
      <c r="F583" s="257" t="str">
        <f t="shared" si="58"/>
        <v/>
      </c>
      <c r="G583" s="257" t="str">
        <f t="shared" si="59"/>
        <v/>
      </c>
      <c r="H583" s="257" t="str">
        <f t="shared" si="60"/>
        <v/>
      </c>
    </row>
    <row r="584" spans="1:8" x14ac:dyDescent="0.25">
      <c r="A584" s="254" t="str">
        <f t="shared" ca="1" si="61"/>
        <v/>
      </c>
      <c r="B584" s="255"/>
      <c r="C584" s="256"/>
      <c r="D584" s="257" t="str">
        <f t="shared" si="57"/>
        <v/>
      </c>
      <c r="E584" s="253"/>
      <c r="F584" s="257" t="str">
        <f t="shared" si="58"/>
        <v/>
      </c>
      <c r="G584" s="257" t="str">
        <f t="shared" si="59"/>
        <v/>
      </c>
      <c r="H584" s="257" t="str">
        <f t="shared" si="60"/>
        <v/>
      </c>
    </row>
    <row r="585" spans="1:8" x14ac:dyDescent="0.25">
      <c r="A585" s="254" t="str">
        <f t="shared" ca="1" si="61"/>
        <v/>
      </c>
      <c r="B585" s="255"/>
      <c r="C585" s="256"/>
      <c r="D585" s="257" t="str">
        <f t="shared" si="57"/>
        <v/>
      </c>
      <c r="E585" s="253"/>
      <c r="F585" s="257" t="str">
        <f t="shared" si="58"/>
        <v/>
      </c>
      <c r="G585" s="257" t="str">
        <f t="shared" si="59"/>
        <v/>
      </c>
      <c r="H585" s="257" t="str">
        <f t="shared" si="60"/>
        <v/>
      </c>
    </row>
    <row r="586" spans="1:8" x14ac:dyDescent="0.25">
      <c r="A586" s="254" t="str">
        <f t="shared" ca="1" si="61"/>
        <v/>
      </c>
      <c r="B586" s="255"/>
      <c r="C586" s="256"/>
      <c r="D586" s="257" t="str">
        <f t="shared" si="57"/>
        <v/>
      </c>
      <c r="E586" s="253"/>
      <c r="F586" s="257" t="str">
        <f t="shared" si="58"/>
        <v/>
      </c>
      <c r="G586" s="257" t="str">
        <f t="shared" si="59"/>
        <v/>
      </c>
      <c r="H586" s="257" t="str">
        <f t="shared" si="60"/>
        <v/>
      </c>
    </row>
    <row r="587" spans="1:8" x14ac:dyDescent="0.25">
      <c r="A587" s="254" t="str">
        <f t="shared" ca="1" si="61"/>
        <v/>
      </c>
      <c r="B587" s="255"/>
      <c r="C587" s="256"/>
      <c r="D587" s="257" t="str">
        <f t="shared" si="57"/>
        <v/>
      </c>
      <c r="E587" s="253"/>
      <c r="F587" s="257" t="str">
        <f t="shared" si="58"/>
        <v/>
      </c>
      <c r="G587" s="257" t="str">
        <f t="shared" si="59"/>
        <v/>
      </c>
      <c r="H587" s="257" t="str">
        <f t="shared" si="60"/>
        <v/>
      </c>
    </row>
    <row r="588" spans="1:8" x14ac:dyDescent="0.25">
      <c r="A588" s="254" t="str">
        <f t="shared" ca="1" si="61"/>
        <v/>
      </c>
      <c r="B588" s="255"/>
      <c r="C588" s="256"/>
      <c r="D588" s="257" t="str">
        <f t="shared" si="57"/>
        <v/>
      </c>
      <c r="E588" s="253"/>
      <c r="F588" s="257" t="str">
        <f t="shared" si="58"/>
        <v/>
      </c>
      <c r="G588" s="257" t="str">
        <f t="shared" si="59"/>
        <v/>
      </c>
      <c r="H588" s="257" t="str">
        <f t="shared" si="60"/>
        <v/>
      </c>
    </row>
    <row r="589" spans="1:8" x14ac:dyDescent="0.25">
      <c r="A589" s="254" t="str">
        <f t="shared" ca="1" si="61"/>
        <v/>
      </c>
      <c r="B589" s="255"/>
      <c r="C589" s="256"/>
      <c r="D589" s="257" t="str">
        <f t="shared" si="57"/>
        <v/>
      </c>
      <c r="E589" s="253"/>
      <c r="F589" s="257" t="str">
        <f t="shared" si="58"/>
        <v/>
      </c>
      <c r="G589" s="257" t="str">
        <f t="shared" si="59"/>
        <v/>
      </c>
      <c r="H589" s="257" t="str">
        <f t="shared" si="60"/>
        <v/>
      </c>
    </row>
    <row r="590" spans="1:8" x14ac:dyDescent="0.25">
      <c r="A590" s="254" t="str">
        <f t="shared" ca="1" si="61"/>
        <v/>
      </c>
      <c r="B590" s="255"/>
      <c r="C590" s="256"/>
      <c r="D590" s="257" t="str">
        <f t="shared" si="57"/>
        <v/>
      </c>
      <c r="E590" s="253"/>
      <c r="F590" s="257" t="str">
        <f t="shared" si="58"/>
        <v/>
      </c>
      <c r="G590" s="257" t="str">
        <f t="shared" si="59"/>
        <v/>
      </c>
      <c r="H590" s="257" t="str">
        <f t="shared" si="60"/>
        <v/>
      </c>
    </row>
    <row r="591" spans="1:8" x14ac:dyDescent="0.25">
      <c r="A591" s="254" t="str">
        <f t="shared" ca="1" si="61"/>
        <v/>
      </c>
      <c r="B591" s="255"/>
      <c r="C591" s="256"/>
      <c r="D591" s="257" t="str">
        <f t="shared" si="57"/>
        <v/>
      </c>
      <c r="E591" s="253"/>
      <c r="F591" s="257" t="str">
        <f t="shared" si="58"/>
        <v/>
      </c>
      <c r="G591" s="257" t="str">
        <f t="shared" si="59"/>
        <v/>
      </c>
      <c r="H591" s="257" t="str">
        <f t="shared" si="60"/>
        <v/>
      </c>
    </row>
    <row r="592" spans="1:8" x14ac:dyDescent="0.25">
      <c r="A592" s="254" t="str">
        <f t="shared" ca="1" si="61"/>
        <v/>
      </c>
      <c r="B592" s="255"/>
      <c r="C592" s="256"/>
      <c r="D592" s="257" t="str">
        <f t="shared" si="57"/>
        <v/>
      </c>
      <c r="E592" s="253"/>
      <c r="F592" s="257" t="str">
        <f t="shared" si="58"/>
        <v/>
      </c>
      <c r="G592" s="257" t="str">
        <f t="shared" si="59"/>
        <v/>
      </c>
      <c r="H592" s="257" t="str">
        <f t="shared" si="60"/>
        <v/>
      </c>
    </row>
    <row r="593" spans="1:8" x14ac:dyDescent="0.25">
      <c r="A593" s="254" t="str">
        <f t="shared" ca="1" si="61"/>
        <v/>
      </c>
      <c r="B593" s="255"/>
      <c r="C593" s="256"/>
      <c r="D593" s="257" t="str">
        <f t="shared" si="57"/>
        <v/>
      </c>
      <c r="E593" s="253"/>
      <c r="F593" s="257" t="str">
        <f t="shared" si="58"/>
        <v/>
      </c>
      <c r="G593" s="257" t="str">
        <f t="shared" si="59"/>
        <v/>
      </c>
      <c r="H593" s="257" t="str">
        <f t="shared" si="60"/>
        <v/>
      </c>
    </row>
    <row r="594" spans="1:8" x14ac:dyDescent="0.25">
      <c r="A594" s="254" t="str">
        <f t="shared" ca="1" si="61"/>
        <v/>
      </c>
      <c r="B594" s="255"/>
      <c r="C594" s="256"/>
      <c r="D594" s="257" t="str">
        <f t="shared" si="57"/>
        <v/>
      </c>
      <c r="E594" s="253"/>
      <c r="F594" s="257" t="str">
        <f t="shared" si="58"/>
        <v/>
      </c>
      <c r="G594" s="257" t="str">
        <f t="shared" si="59"/>
        <v/>
      </c>
      <c r="H594" s="257" t="str">
        <f t="shared" si="60"/>
        <v/>
      </c>
    </row>
    <row r="595" spans="1:8" x14ac:dyDescent="0.25">
      <c r="A595" s="254" t="str">
        <f t="shared" ca="1" si="61"/>
        <v/>
      </c>
      <c r="B595" s="255"/>
      <c r="C595" s="256"/>
      <c r="D595" s="257" t="str">
        <f t="shared" ref="D595:D658" si="62">IF(B595="","",ROUND((B595-B594)*$H$9*G594,2))</f>
        <v/>
      </c>
      <c r="E595" s="253"/>
      <c r="F595" s="257" t="str">
        <f t="shared" ref="F595:F658" si="63">IF(B595="","",IF(C595&gt;F594+D595,0,F594+D595-C595))</f>
        <v/>
      </c>
      <c r="G595" s="257" t="str">
        <f t="shared" ref="G595:G658" si="64">IF(B595="","",IF(C595&gt;D595+F594,G594+F594+D595-C595,G594))</f>
        <v/>
      </c>
      <c r="H595" s="257" t="str">
        <f t="shared" ref="H595:H658" si="65">IF(B595="","",G595+F595)</f>
        <v/>
      </c>
    </row>
    <row r="596" spans="1:8" x14ac:dyDescent="0.25">
      <c r="A596" s="254" t="str">
        <f t="shared" ca="1" si="61"/>
        <v/>
      </c>
      <c r="B596" s="255"/>
      <c r="C596" s="256"/>
      <c r="D596" s="257" t="str">
        <f t="shared" si="62"/>
        <v/>
      </c>
      <c r="E596" s="253"/>
      <c r="F596" s="257" t="str">
        <f t="shared" si="63"/>
        <v/>
      </c>
      <c r="G596" s="257" t="str">
        <f t="shared" si="64"/>
        <v/>
      </c>
      <c r="H596" s="257" t="str">
        <f t="shared" si="65"/>
        <v/>
      </c>
    </row>
    <row r="597" spans="1:8" x14ac:dyDescent="0.25">
      <c r="A597" s="254" t="str">
        <f t="shared" ca="1" si="61"/>
        <v/>
      </c>
      <c r="B597" s="255"/>
      <c r="C597" s="256"/>
      <c r="D597" s="257" t="str">
        <f t="shared" si="62"/>
        <v/>
      </c>
      <c r="E597" s="253"/>
      <c r="F597" s="257" t="str">
        <f t="shared" si="63"/>
        <v/>
      </c>
      <c r="G597" s="257" t="str">
        <f t="shared" si="64"/>
        <v/>
      </c>
      <c r="H597" s="257" t="str">
        <f t="shared" si="65"/>
        <v/>
      </c>
    </row>
    <row r="598" spans="1:8" x14ac:dyDescent="0.25">
      <c r="A598" s="254" t="str">
        <f t="shared" ca="1" si="61"/>
        <v/>
      </c>
      <c r="B598" s="255"/>
      <c r="C598" s="256"/>
      <c r="D598" s="257" t="str">
        <f t="shared" si="62"/>
        <v/>
      </c>
      <c r="E598" s="253"/>
      <c r="F598" s="257" t="str">
        <f t="shared" si="63"/>
        <v/>
      </c>
      <c r="G598" s="257" t="str">
        <f t="shared" si="64"/>
        <v/>
      </c>
      <c r="H598" s="257" t="str">
        <f t="shared" si="65"/>
        <v/>
      </c>
    </row>
    <row r="599" spans="1:8" x14ac:dyDescent="0.25">
      <c r="A599" s="254" t="str">
        <f t="shared" ca="1" si="61"/>
        <v/>
      </c>
      <c r="B599" s="255"/>
      <c r="C599" s="256"/>
      <c r="D599" s="257" t="str">
        <f t="shared" si="62"/>
        <v/>
      </c>
      <c r="E599" s="253"/>
      <c r="F599" s="257" t="str">
        <f t="shared" si="63"/>
        <v/>
      </c>
      <c r="G599" s="257" t="str">
        <f t="shared" si="64"/>
        <v/>
      </c>
      <c r="H599" s="257" t="str">
        <f t="shared" si="65"/>
        <v/>
      </c>
    </row>
    <row r="600" spans="1:8" x14ac:dyDescent="0.25">
      <c r="A600" s="254" t="str">
        <f t="shared" ca="1" si="61"/>
        <v/>
      </c>
      <c r="B600" s="255"/>
      <c r="C600" s="256"/>
      <c r="D600" s="257" t="str">
        <f t="shared" si="62"/>
        <v/>
      </c>
      <c r="E600" s="253"/>
      <c r="F600" s="257" t="str">
        <f t="shared" si="63"/>
        <v/>
      </c>
      <c r="G600" s="257" t="str">
        <f t="shared" si="64"/>
        <v/>
      </c>
      <c r="H600" s="257" t="str">
        <f t="shared" si="65"/>
        <v/>
      </c>
    </row>
    <row r="601" spans="1:8" x14ac:dyDescent="0.25">
      <c r="A601" s="254" t="str">
        <f t="shared" ca="1" si="61"/>
        <v/>
      </c>
      <c r="B601" s="255"/>
      <c r="C601" s="256"/>
      <c r="D601" s="257" t="str">
        <f t="shared" si="62"/>
        <v/>
      </c>
      <c r="E601" s="253"/>
      <c r="F601" s="257" t="str">
        <f t="shared" si="63"/>
        <v/>
      </c>
      <c r="G601" s="257" t="str">
        <f t="shared" si="64"/>
        <v/>
      </c>
      <c r="H601" s="257" t="str">
        <f t="shared" si="65"/>
        <v/>
      </c>
    </row>
    <row r="602" spans="1:8" x14ac:dyDescent="0.25">
      <c r="A602" s="254" t="str">
        <f t="shared" ca="1" si="61"/>
        <v/>
      </c>
      <c r="B602" s="255"/>
      <c r="C602" s="256"/>
      <c r="D602" s="257" t="str">
        <f t="shared" si="62"/>
        <v/>
      </c>
      <c r="E602" s="253"/>
      <c r="F602" s="257" t="str">
        <f t="shared" si="63"/>
        <v/>
      </c>
      <c r="G602" s="257" t="str">
        <f t="shared" si="64"/>
        <v/>
      </c>
      <c r="H602" s="257" t="str">
        <f t="shared" si="65"/>
        <v/>
      </c>
    </row>
    <row r="603" spans="1:8" x14ac:dyDescent="0.25">
      <c r="A603" s="254" t="str">
        <f t="shared" ca="1" si="61"/>
        <v/>
      </c>
      <c r="B603" s="255"/>
      <c r="C603" s="256"/>
      <c r="D603" s="257" t="str">
        <f t="shared" si="62"/>
        <v/>
      </c>
      <c r="E603" s="253"/>
      <c r="F603" s="257" t="str">
        <f t="shared" si="63"/>
        <v/>
      </c>
      <c r="G603" s="257" t="str">
        <f t="shared" si="64"/>
        <v/>
      </c>
      <c r="H603" s="257" t="str">
        <f t="shared" si="65"/>
        <v/>
      </c>
    </row>
    <row r="604" spans="1:8" x14ac:dyDescent="0.25">
      <c r="A604" s="254" t="str">
        <f t="shared" ca="1" si="61"/>
        <v/>
      </c>
      <c r="B604" s="255"/>
      <c r="C604" s="256"/>
      <c r="D604" s="257" t="str">
        <f t="shared" si="62"/>
        <v/>
      </c>
      <c r="E604" s="253"/>
      <c r="F604" s="257" t="str">
        <f t="shared" si="63"/>
        <v/>
      </c>
      <c r="G604" s="257" t="str">
        <f t="shared" si="64"/>
        <v/>
      </c>
      <c r="H604" s="257" t="str">
        <f t="shared" si="65"/>
        <v/>
      </c>
    </row>
    <row r="605" spans="1:8" x14ac:dyDescent="0.25">
      <c r="A605" s="254" t="str">
        <f t="shared" ca="1" si="61"/>
        <v/>
      </c>
      <c r="B605" s="255"/>
      <c r="C605" s="256"/>
      <c r="D605" s="257" t="str">
        <f t="shared" si="62"/>
        <v/>
      </c>
      <c r="E605" s="253"/>
      <c r="F605" s="257" t="str">
        <f t="shared" si="63"/>
        <v/>
      </c>
      <c r="G605" s="257" t="str">
        <f t="shared" si="64"/>
        <v/>
      </c>
      <c r="H605" s="257" t="str">
        <f t="shared" si="65"/>
        <v/>
      </c>
    </row>
    <row r="606" spans="1:8" x14ac:dyDescent="0.25">
      <c r="A606" s="254" t="str">
        <f t="shared" ca="1" si="61"/>
        <v/>
      </c>
      <c r="B606" s="255"/>
      <c r="C606" s="256"/>
      <c r="D606" s="257" t="str">
        <f t="shared" si="62"/>
        <v/>
      </c>
      <c r="E606" s="253"/>
      <c r="F606" s="257" t="str">
        <f t="shared" si="63"/>
        <v/>
      </c>
      <c r="G606" s="257" t="str">
        <f t="shared" si="64"/>
        <v/>
      </c>
      <c r="H606" s="257" t="str">
        <f t="shared" si="65"/>
        <v/>
      </c>
    </row>
    <row r="607" spans="1:8" x14ac:dyDescent="0.25">
      <c r="A607" s="254" t="str">
        <f t="shared" ca="1" si="61"/>
        <v/>
      </c>
      <c r="B607" s="255"/>
      <c r="C607" s="256"/>
      <c r="D607" s="257" t="str">
        <f t="shared" si="62"/>
        <v/>
      </c>
      <c r="E607" s="253"/>
      <c r="F607" s="257" t="str">
        <f t="shared" si="63"/>
        <v/>
      </c>
      <c r="G607" s="257" t="str">
        <f t="shared" si="64"/>
        <v/>
      </c>
      <c r="H607" s="257" t="str">
        <f t="shared" si="65"/>
        <v/>
      </c>
    </row>
    <row r="608" spans="1:8" x14ac:dyDescent="0.25">
      <c r="A608" s="254" t="str">
        <f t="shared" ca="1" si="61"/>
        <v/>
      </c>
      <c r="B608" s="255"/>
      <c r="C608" s="256"/>
      <c r="D608" s="257" t="str">
        <f t="shared" si="62"/>
        <v/>
      </c>
      <c r="E608" s="253"/>
      <c r="F608" s="257" t="str">
        <f t="shared" si="63"/>
        <v/>
      </c>
      <c r="G608" s="257" t="str">
        <f t="shared" si="64"/>
        <v/>
      </c>
      <c r="H608" s="257" t="str">
        <f t="shared" si="65"/>
        <v/>
      </c>
    </row>
    <row r="609" spans="1:8" x14ac:dyDescent="0.25">
      <c r="A609" s="254" t="str">
        <f t="shared" ca="1" si="61"/>
        <v/>
      </c>
      <c r="B609" s="255"/>
      <c r="C609" s="256"/>
      <c r="D609" s="257" t="str">
        <f t="shared" si="62"/>
        <v/>
      </c>
      <c r="E609" s="253"/>
      <c r="F609" s="257" t="str">
        <f t="shared" si="63"/>
        <v/>
      </c>
      <c r="G609" s="257" t="str">
        <f t="shared" si="64"/>
        <v/>
      </c>
      <c r="H609" s="257" t="str">
        <f t="shared" si="65"/>
        <v/>
      </c>
    </row>
    <row r="610" spans="1:8" x14ac:dyDescent="0.25">
      <c r="A610" s="254" t="str">
        <f t="shared" ca="1" si="61"/>
        <v/>
      </c>
      <c r="B610" s="255"/>
      <c r="C610" s="256"/>
      <c r="D610" s="257" t="str">
        <f t="shared" si="62"/>
        <v/>
      </c>
      <c r="E610" s="253"/>
      <c r="F610" s="257" t="str">
        <f t="shared" si="63"/>
        <v/>
      </c>
      <c r="G610" s="257" t="str">
        <f t="shared" si="64"/>
        <v/>
      </c>
      <c r="H610" s="257" t="str">
        <f t="shared" si="65"/>
        <v/>
      </c>
    </row>
    <row r="611" spans="1:8" x14ac:dyDescent="0.25">
      <c r="A611" s="254" t="str">
        <f t="shared" ca="1" si="61"/>
        <v/>
      </c>
      <c r="B611" s="255"/>
      <c r="C611" s="256"/>
      <c r="D611" s="257" t="str">
        <f t="shared" si="62"/>
        <v/>
      </c>
      <c r="E611" s="253"/>
      <c r="F611" s="257" t="str">
        <f t="shared" si="63"/>
        <v/>
      </c>
      <c r="G611" s="257" t="str">
        <f t="shared" si="64"/>
        <v/>
      </c>
      <c r="H611" s="257" t="str">
        <f t="shared" si="65"/>
        <v/>
      </c>
    </row>
    <row r="612" spans="1:8" x14ac:dyDescent="0.25">
      <c r="A612" s="254" t="str">
        <f t="shared" ca="1" si="61"/>
        <v/>
      </c>
      <c r="B612" s="255"/>
      <c r="C612" s="256"/>
      <c r="D612" s="257" t="str">
        <f t="shared" si="62"/>
        <v/>
      </c>
      <c r="E612" s="253"/>
      <c r="F612" s="257" t="str">
        <f t="shared" si="63"/>
        <v/>
      </c>
      <c r="G612" s="257" t="str">
        <f t="shared" si="64"/>
        <v/>
      </c>
      <c r="H612" s="257" t="str">
        <f t="shared" si="65"/>
        <v/>
      </c>
    </row>
    <row r="613" spans="1:8" x14ac:dyDescent="0.25">
      <c r="A613" s="254" t="str">
        <f t="shared" ca="1" si="61"/>
        <v/>
      </c>
      <c r="B613" s="255"/>
      <c r="C613" s="256"/>
      <c r="D613" s="257" t="str">
        <f t="shared" si="62"/>
        <v/>
      </c>
      <c r="E613" s="253"/>
      <c r="F613" s="257" t="str">
        <f t="shared" si="63"/>
        <v/>
      </c>
      <c r="G613" s="257" t="str">
        <f t="shared" si="64"/>
        <v/>
      </c>
      <c r="H613" s="257" t="str">
        <f t="shared" si="65"/>
        <v/>
      </c>
    </row>
    <row r="614" spans="1:8" x14ac:dyDescent="0.25">
      <c r="A614" s="254" t="str">
        <f t="shared" ca="1" si="61"/>
        <v/>
      </c>
      <c r="B614" s="255"/>
      <c r="C614" s="256"/>
      <c r="D614" s="257" t="str">
        <f t="shared" si="62"/>
        <v/>
      </c>
      <c r="E614" s="253"/>
      <c r="F614" s="257" t="str">
        <f t="shared" si="63"/>
        <v/>
      </c>
      <c r="G614" s="257" t="str">
        <f t="shared" si="64"/>
        <v/>
      </c>
      <c r="H614" s="257" t="str">
        <f t="shared" si="65"/>
        <v/>
      </c>
    </row>
    <row r="615" spans="1:8" x14ac:dyDescent="0.25">
      <c r="A615" s="254" t="str">
        <f t="shared" ca="1" si="61"/>
        <v/>
      </c>
      <c r="B615" s="255"/>
      <c r="C615" s="256"/>
      <c r="D615" s="257" t="str">
        <f t="shared" si="62"/>
        <v/>
      </c>
      <c r="E615" s="253"/>
      <c r="F615" s="257" t="str">
        <f t="shared" si="63"/>
        <v/>
      </c>
      <c r="G615" s="257" t="str">
        <f t="shared" si="64"/>
        <v/>
      </c>
      <c r="H615" s="257" t="str">
        <f t="shared" si="65"/>
        <v/>
      </c>
    </row>
    <row r="616" spans="1:8" x14ac:dyDescent="0.25">
      <c r="A616" s="254" t="str">
        <f t="shared" ca="1" si="61"/>
        <v/>
      </c>
      <c r="B616" s="255"/>
      <c r="C616" s="256"/>
      <c r="D616" s="257" t="str">
        <f t="shared" si="62"/>
        <v/>
      </c>
      <c r="E616" s="253"/>
      <c r="F616" s="257" t="str">
        <f t="shared" si="63"/>
        <v/>
      </c>
      <c r="G616" s="257" t="str">
        <f t="shared" si="64"/>
        <v/>
      </c>
      <c r="H616" s="257" t="str">
        <f t="shared" si="65"/>
        <v/>
      </c>
    </row>
    <row r="617" spans="1:8" x14ac:dyDescent="0.25">
      <c r="A617" s="254" t="str">
        <f t="shared" ref="A617:A680" ca="1" si="66">IF(OR(H616&lt;=0,H616=""),"",OFFSET(A617,-1,0,1,1)+1)</f>
        <v/>
      </c>
      <c r="B617" s="255"/>
      <c r="C617" s="256"/>
      <c r="D617" s="257" t="str">
        <f t="shared" si="62"/>
        <v/>
      </c>
      <c r="E617" s="253"/>
      <c r="F617" s="257" t="str">
        <f t="shared" si="63"/>
        <v/>
      </c>
      <c r="G617" s="257" t="str">
        <f t="shared" si="64"/>
        <v/>
      </c>
      <c r="H617" s="257" t="str">
        <f t="shared" si="65"/>
        <v/>
      </c>
    </row>
    <row r="618" spans="1:8" x14ac:dyDescent="0.25">
      <c r="A618" s="254" t="str">
        <f t="shared" ca="1" si="66"/>
        <v/>
      </c>
      <c r="B618" s="255"/>
      <c r="C618" s="256"/>
      <c r="D618" s="257" t="str">
        <f t="shared" si="62"/>
        <v/>
      </c>
      <c r="E618" s="253"/>
      <c r="F618" s="257" t="str">
        <f t="shared" si="63"/>
        <v/>
      </c>
      <c r="G618" s="257" t="str">
        <f t="shared" si="64"/>
        <v/>
      </c>
      <c r="H618" s="257" t="str">
        <f t="shared" si="65"/>
        <v/>
      </c>
    </row>
    <row r="619" spans="1:8" x14ac:dyDescent="0.25">
      <c r="A619" s="254" t="str">
        <f t="shared" ca="1" si="66"/>
        <v/>
      </c>
      <c r="B619" s="255"/>
      <c r="C619" s="256"/>
      <c r="D619" s="257" t="str">
        <f t="shared" si="62"/>
        <v/>
      </c>
      <c r="E619" s="253"/>
      <c r="F619" s="257" t="str">
        <f t="shared" si="63"/>
        <v/>
      </c>
      <c r="G619" s="257" t="str">
        <f t="shared" si="64"/>
        <v/>
      </c>
      <c r="H619" s="257" t="str">
        <f t="shared" si="65"/>
        <v/>
      </c>
    </row>
    <row r="620" spans="1:8" x14ac:dyDescent="0.25">
      <c r="A620" s="254" t="str">
        <f t="shared" ca="1" si="66"/>
        <v/>
      </c>
      <c r="B620" s="255"/>
      <c r="C620" s="256"/>
      <c r="D620" s="257" t="str">
        <f t="shared" si="62"/>
        <v/>
      </c>
      <c r="E620" s="253"/>
      <c r="F620" s="257" t="str">
        <f t="shared" si="63"/>
        <v/>
      </c>
      <c r="G620" s="257" t="str">
        <f t="shared" si="64"/>
        <v/>
      </c>
      <c r="H620" s="257" t="str">
        <f t="shared" si="65"/>
        <v/>
      </c>
    </row>
    <row r="621" spans="1:8" x14ac:dyDescent="0.25">
      <c r="A621" s="254" t="str">
        <f t="shared" ca="1" si="66"/>
        <v/>
      </c>
      <c r="B621" s="255"/>
      <c r="C621" s="256"/>
      <c r="D621" s="257" t="str">
        <f t="shared" si="62"/>
        <v/>
      </c>
      <c r="E621" s="253"/>
      <c r="F621" s="257" t="str">
        <f t="shared" si="63"/>
        <v/>
      </c>
      <c r="G621" s="257" t="str">
        <f t="shared" si="64"/>
        <v/>
      </c>
      <c r="H621" s="257" t="str">
        <f t="shared" si="65"/>
        <v/>
      </c>
    </row>
    <row r="622" spans="1:8" x14ac:dyDescent="0.25">
      <c r="A622" s="254" t="str">
        <f t="shared" ca="1" si="66"/>
        <v/>
      </c>
      <c r="B622" s="255"/>
      <c r="C622" s="256"/>
      <c r="D622" s="257" t="str">
        <f t="shared" si="62"/>
        <v/>
      </c>
      <c r="E622" s="253"/>
      <c r="F622" s="257" t="str">
        <f t="shared" si="63"/>
        <v/>
      </c>
      <c r="G622" s="257" t="str">
        <f t="shared" si="64"/>
        <v/>
      </c>
      <c r="H622" s="257" t="str">
        <f t="shared" si="65"/>
        <v/>
      </c>
    </row>
    <row r="623" spans="1:8" x14ac:dyDescent="0.25">
      <c r="A623" s="254" t="str">
        <f t="shared" ca="1" si="66"/>
        <v/>
      </c>
      <c r="B623" s="255"/>
      <c r="C623" s="256"/>
      <c r="D623" s="257" t="str">
        <f t="shared" si="62"/>
        <v/>
      </c>
      <c r="E623" s="253"/>
      <c r="F623" s="257" t="str">
        <f t="shared" si="63"/>
        <v/>
      </c>
      <c r="G623" s="257" t="str">
        <f t="shared" si="64"/>
        <v/>
      </c>
      <c r="H623" s="257" t="str">
        <f t="shared" si="65"/>
        <v/>
      </c>
    </row>
    <row r="624" spans="1:8" x14ac:dyDescent="0.25">
      <c r="A624" s="254" t="str">
        <f t="shared" ca="1" si="66"/>
        <v/>
      </c>
      <c r="B624" s="255"/>
      <c r="C624" s="256"/>
      <c r="D624" s="257" t="str">
        <f t="shared" si="62"/>
        <v/>
      </c>
      <c r="E624" s="253"/>
      <c r="F624" s="257" t="str">
        <f t="shared" si="63"/>
        <v/>
      </c>
      <c r="G624" s="257" t="str">
        <f t="shared" si="64"/>
        <v/>
      </c>
      <c r="H624" s="257" t="str">
        <f t="shared" si="65"/>
        <v/>
      </c>
    </row>
    <row r="625" spans="1:8" x14ac:dyDescent="0.25">
      <c r="A625" s="254" t="str">
        <f t="shared" ca="1" si="66"/>
        <v/>
      </c>
      <c r="B625" s="255"/>
      <c r="C625" s="256"/>
      <c r="D625" s="257" t="str">
        <f t="shared" si="62"/>
        <v/>
      </c>
      <c r="E625" s="253"/>
      <c r="F625" s="257" t="str">
        <f t="shared" si="63"/>
        <v/>
      </c>
      <c r="G625" s="257" t="str">
        <f t="shared" si="64"/>
        <v/>
      </c>
      <c r="H625" s="257" t="str">
        <f t="shared" si="65"/>
        <v/>
      </c>
    </row>
    <row r="626" spans="1:8" x14ac:dyDescent="0.25">
      <c r="A626" s="254" t="str">
        <f t="shared" ca="1" si="66"/>
        <v/>
      </c>
      <c r="B626" s="255"/>
      <c r="C626" s="256"/>
      <c r="D626" s="257" t="str">
        <f t="shared" si="62"/>
        <v/>
      </c>
      <c r="E626" s="253"/>
      <c r="F626" s="257" t="str">
        <f t="shared" si="63"/>
        <v/>
      </c>
      <c r="G626" s="257" t="str">
        <f t="shared" si="64"/>
        <v/>
      </c>
      <c r="H626" s="257" t="str">
        <f t="shared" si="65"/>
        <v/>
      </c>
    </row>
    <row r="627" spans="1:8" x14ac:dyDescent="0.25">
      <c r="A627" s="254" t="str">
        <f t="shared" ca="1" si="66"/>
        <v/>
      </c>
      <c r="B627" s="255"/>
      <c r="C627" s="256"/>
      <c r="D627" s="257" t="str">
        <f t="shared" si="62"/>
        <v/>
      </c>
      <c r="E627" s="253"/>
      <c r="F627" s="257" t="str">
        <f t="shared" si="63"/>
        <v/>
      </c>
      <c r="G627" s="257" t="str">
        <f t="shared" si="64"/>
        <v/>
      </c>
      <c r="H627" s="257" t="str">
        <f t="shared" si="65"/>
        <v/>
      </c>
    </row>
    <row r="628" spans="1:8" x14ac:dyDescent="0.25">
      <c r="A628" s="254" t="str">
        <f t="shared" ca="1" si="66"/>
        <v/>
      </c>
      <c r="B628" s="255"/>
      <c r="C628" s="256"/>
      <c r="D628" s="257" t="str">
        <f t="shared" si="62"/>
        <v/>
      </c>
      <c r="E628" s="253"/>
      <c r="F628" s="257" t="str">
        <f t="shared" si="63"/>
        <v/>
      </c>
      <c r="G628" s="257" t="str">
        <f t="shared" si="64"/>
        <v/>
      </c>
      <c r="H628" s="257" t="str">
        <f t="shared" si="65"/>
        <v/>
      </c>
    </row>
    <row r="629" spans="1:8" x14ac:dyDescent="0.25">
      <c r="A629" s="254" t="str">
        <f t="shared" ca="1" si="66"/>
        <v/>
      </c>
      <c r="B629" s="255"/>
      <c r="C629" s="256"/>
      <c r="D629" s="257" t="str">
        <f t="shared" si="62"/>
        <v/>
      </c>
      <c r="E629" s="253"/>
      <c r="F629" s="257" t="str">
        <f t="shared" si="63"/>
        <v/>
      </c>
      <c r="G629" s="257" t="str">
        <f t="shared" si="64"/>
        <v/>
      </c>
      <c r="H629" s="257" t="str">
        <f t="shared" si="65"/>
        <v/>
      </c>
    </row>
    <row r="630" spans="1:8" x14ac:dyDescent="0.25">
      <c r="A630" s="254" t="str">
        <f t="shared" ca="1" si="66"/>
        <v/>
      </c>
      <c r="B630" s="255"/>
      <c r="C630" s="256"/>
      <c r="D630" s="257" t="str">
        <f t="shared" si="62"/>
        <v/>
      </c>
      <c r="E630" s="253"/>
      <c r="F630" s="257" t="str">
        <f t="shared" si="63"/>
        <v/>
      </c>
      <c r="G630" s="257" t="str">
        <f t="shared" si="64"/>
        <v/>
      </c>
      <c r="H630" s="257" t="str">
        <f t="shared" si="65"/>
        <v/>
      </c>
    </row>
    <row r="631" spans="1:8" x14ac:dyDescent="0.25">
      <c r="A631" s="254" t="str">
        <f t="shared" ca="1" si="66"/>
        <v/>
      </c>
      <c r="B631" s="255"/>
      <c r="C631" s="256"/>
      <c r="D631" s="257" t="str">
        <f t="shared" si="62"/>
        <v/>
      </c>
      <c r="E631" s="253"/>
      <c r="F631" s="257" t="str">
        <f t="shared" si="63"/>
        <v/>
      </c>
      <c r="G631" s="257" t="str">
        <f t="shared" si="64"/>
        <v/>
      </c>
      <c r="H631" s="257" t="str">
        <f t="shared" si="65"/>
        <v/>
      </c>
    </row>
    <row r="632" spans="1:8" x14ac:dyDescent="0.25">
      <c r="A632" s="254" t="str">
        <f t="shared" ca="1" si="66"/>
        <v/>
      </c>
      <c r="B632" s="255"/>
      <c r="C632" s="256"/>
      <c r="D632" s="257" t="str">
        <f t="shared" si="62"/>
        <v/>
      </c>
      <c r="E632" s="253"/>
      <c r="F632" s="257" t="str">
        <f t="shared" si="63"/>
        <v/>
      </c>
      <c r="G632" s="257" t="str">
        <f t="shared" si="64"/>
        <v/>
      </c>
      <c r="H632" s="257" t="str">
        <f t="shared" si="65"/>
        <v/>
      </c>
    </row>
    <row r="633" spans="1:8" x14ac:dyDescent="0.25">
      <c r="A633" s="254" t="str">
        <f t="shared" ca="1" si="66"/>
        <v/>
      </c>
      <c r="B633" s="255"/>
      <c r="C633" s="256"/>
      <c r="D633" s="257" t="str">
        <f t="shared" si="62"/>
        <v/>
      </c>
      <c r="E633" s="253"/>
      <c r="F633" s="257" t="str">
        <f t="shared" si="63"/>
        <v/>
      </c>
      <c r="G633" s="257" t="str">
        <f t="shared" si="64"/>
        <v/>
      </c>
      <c r="H633" s="257" t="str">
        <f t="shared" si="65"/>
        <v/>
      </c>
    </row>
    <row r="634" spans="1:8" x14ac:dyDescent="0.25">
      <c r="A634" s="254" t="str">
        <f t="shared" ca="1" si="66"/>
        <v/>
      </c>
      <c r="B634" s="255"/>
      <c r="C634" s="256"/>
      <c r="D634" s="257" t="str">
        <f t="shared" si="62"/>
        <v/>
      </c>
      <c r="E634" s="253"/>
      <c r="F634" s="257" t="str">
        <f t="shared" si="63"/>
        <v/>
      </c>
      <c r="G634" s="257" t="str">
        <f t="shared" si="64"/>
        <v/>
      </c>
      <c r="H634" s="257" t="str">
        <f t="shared" si="65"/>
        <v/>
      </c>
    </row>
    <row r="635" spans="1:8" x14ac:dyDescent="0.25">
      <c r="A635" s="254" t="str">
        <f t="shared" ca="1" si="66"/>
        <v/>
      </c>
      <c r="B635" s="255"/>
      <c r="C635" s="256"/>
      <c r="D635" s="257" t="str">
        <f t="shared" si="62"/>
        <v/>
      </c>
      <c r="E635" s="253"/>
      <c r="F635" s="257" t="str">
        <f t="shared" si="63"/>
        <v/>
      </c>
      <c r="G635" s="257" t="str">
        <f t="shared" si="64"/>
        <v/>
      </c>
      <c r="H635" s="257" t="str">
        <f t="shared" si="65"/>
        <v/>
      </c>
    </row>
    <row r="636" spans="1:8" x14ac:dyDescent="0.25">
      <c r="A636" s="254" t="str">
        <f t="shared" ca="1" si="66"/>
        <v/>
      </c>
      <c r="B636" s="255"/>
      <c r="C636" s="256"/>
      <c r="D636" s="257" t="str">
        <f t="shared" si="62"/>
        <v/>
      </c>
      <c r="E636" s="253"/>
      <c r="F636" s="257" t="str">
        <f t="shared" si="63"/>
        <v/>
      </c>
      <c r="G636" s="257" t="str">
        <f t="shared" si="64"/>
        <v/>
      </c>
      <c r="H636" s="257" t="str">
        <f t="shared" si="65"/>
        <v/>
      </c>
    </row>
    <row r="637" spans="1:8" x14ac:dyDescent="0.25">
      <c r="A637" s="254" t="str">
        <f t="shared" ca="1" si="66"/>
        <v/>
      </c>
      <c r="B637" s="255"/>
      <c r="C637" s="256"/>
      <c r="D637" s="257" t="str">
        <f t="shared" si="62"/>
        <v/>
      </c>
      <c r="E637" s="253"/>
      <c r="F637" s="257" t="str">
        <f t="shared" si="63"/>
        <v/>
      </c>
      <c r="G637" s="257" t="str">
        <f t="shared" si="64"/>
        <v/>
      </c>
      <c r="H637" s="257" t="str">
        <f t="shared" si="65"/>
        <v/>
      </c>
    </row>
    <row r="638" spans="1:8" x14ac:dyDescent="0.25">
      <c r="A638" s="254" t="str">
        <f t="shared" ca="1" si="66"/>
        <v/>
      </c>
      <c r="B638" s="255"/>
      <c r="C638" s="256"/>
      <c r="D638" s="257" t="str">
        <f t="shared" si="62"/>
        <v/>
      </c>
      <c r="E638" s="253"/>
      <c r="F638" s="257" t="str">
        <f t="shared" si="63"/>
        <v/>
      </c>
      <c r="G638" s="257" t="str">
        <f t="shared" si="64"/>
        <v/>
      </c>
      <c r="H638" s="257" t="str">
        <f t="shared" si="65"/>
        <v/>
      </c>
    </row>
    <row r="639" spans="1:8" x14ac:dyDescent="0.25">
      <c r="A639" s="254" t="str">
        <f t="shared" ca="1" si="66"/>
        <v/>
      </c>
      <c r="B639" s="255"/>
      <c r="C639" s="256"/>
      <c r="D639" s="257" t="str">
        <f t="shared" si="62"/>
        <v/>
      </c>
      <c r="E639" s="253"/>
      <c r="F639" s="257" t="str">
        <f t="shared" si="63"/>
        <v/>
      </c>
      <c r="G639" s="257" t="str">
        <f t="shared" si="64"/>
        <v/>
      </c>
      <c r="H639" s="257" t="str">
        <f t="shared" si="65"/>
        <v/>
      </c>
    </row>
    <row r="640" spans="1:8" x14ac:dyDescent="0.25">
      <c r="A640" s="254" t="str">
        <f t="shared" ca="1" si="66"/>
        <v/>
      </c>
      <c r="B640" s="255"/>
      <c r="C640" s="256"/>
      <c r="D640" s="257" t="str">
        <f t="shared" si="62"/>
        <v/>
      </c>
      <c r="E640" s="253"/>
      <c r="F640" s="257" t="str">
        <f t="shared" si="63"/>
        <v/>
      </c>
      <c r="G640" s="257" t="str">
        <f t="shared" si="64"/>
        <v/>
      </c>
      <c r="H640" s="257" t="str">
        <f t="shared" si="65"/>
        <v/>
      </c>
    </row>
    <row r="641" spans="1:8" x14ac:dyDescent="0.25">
      <c r="A641" s="254" t="str">
        <f t="shared" ca="1" si="66"/>
        <v/>
      </c>
      <c r="B641" s="255"/>
      <c r="C641" s="256"/>
      <c r="D641" s="257" t="str">
        <f t="shared" si="62"/>
        <v/>
      </c>
      <c r="E641" s="253"/>
      <c r="F641" s="257" t="str">
        <f t="shared" si="63"/>
        <v/>
      </c>
      <c r="G641" s="257" t="str">
        <f t="shared" si="64"/>
        <v/>
      </c>
      <c r="H641" s="257" t="str">
        <f t="shared" si="65"/>
        <v/>
      </c>
    </row>
    <row r="642" spans="1:8" x14ac:dyDescent="0.25">
      <c r="A642" s="254" t="str">
        <f t="shared" ca="1" si="66"/>
        <v/>
      </c>
      <c r="B642" s="255"/>
      <c r="C642" s="256"/>
      <c r="D642" s="257" t="str">
        <f t="shared" si="62"/>
        <v/>
      </c>
      <c r="E642" s="253"/>
      <c r="F642" s="257" t="str">
        <f t="shared" si="63"/>
        <v/>
      </c>
      <c r="G642" s="257" t="str">
        <f t="shared" si="64"/>
        <v/>
      </c>
      <c r="H642" s="257" t="str">
        <f t="shared" si="65"/>
        <v/>
      </c>
    </row>
    <row r="643" spans="1:8" x14ac:dyDescent="0.25">
      <c r="A643" s="254" t="str">
        <f t="shared" ca="1" si="66"/>
        <v/>
      </c>
      <c r="B643" s="255"/>
      <c r="C643" s="256"/>
      <c r="D643" s="257" t="str">
        <f t="shared" si="62"/>
        <v/>
      </c>
      <c r="E643" s="253"/>
      <c r="F643" s="257" t="str">
        <f t="shared" si="63"/>
        <v/>
      </c>
      <c r="G643" s="257" t="str">
        <f t="shared" si="64"/>
        <v/>
      </c>
      <c r="H643" s="257" t="str">
        <f t="shared" si="65"/>
        <v/>
      </c>
    </row>
    <row r="644" spans="1:8" x14ac:dyDescent="0.25">
      <c r="A644" s="254" t="str">
        <f t="shared" ca="1" si="66"/>
        <v/>
      </c>
      <c r="B644" s="255"/>
      <c r="C644" s="256"/>
      <c r="D644" s="257" t="str">
        <f t="shared" si="62"/>
        <v/>
      </c>
      <c r="E644" s="253"/>
      <c r="F644" s="257" t="str">
        <f t="shared" si="63"/>
        <v/>
      </c>
      <c r="G644" s="257" t="str">
        <f t="shared" si="64"/>
        <v/>
      </c>
      <c r="H644" s="257" t="str">
        <f t="shared" si="65"/>
        <v/>
      </c>
    </row>
    <row r="645" spans="1:8" x14ac:dyDescent="0.25">
      <c r="A645" s="254" t="str">
        <f t="shared" ca="1" si="66"/>
        <v/>
      </c>
      <c r="B645" s="255"/>
      <c r="C645" s="256"/>
      <c r="D645" s="257" t="str">
        <f t="shared" si="62"/>
        <v/>
      </c>
      <c r="E645" s="253"/>
      <c r="F645" s="257" t="str">
        <f t="shared" si="63"/>
        <v/>
      </c>
      <c r="G645" s="257" t="str">
        <f t="shared" si="64"/>
        <v/>
      </c>
      <c r="H645" s="257" t="str">
        <f t="shared" si="65"/>
        <v/>
      </c>
    </row>
    <row r="646" spans="1:8" x14ac:dyDescent="0.25">
      <c r="A646" s="254" t="str">
        <f t="shared" ca="1" si="66"/>
        <v/>
      </c>
      <c r="B646" s="255"/>
      <c r="C646" s="256"/>
      <c r="D646" s="257" t="str">
        <f t="shared" si="62"/>
        <v/>
      </c>
      <c r="E646" s="253"/>
      <c r="F646" s="257" t="str">
        <f t="shared" si="63"/>
        <v/>
      </c>
      <c r="G646" s="257" t="str">
        <f t="shared" si="64"/>
        <v/>
      </c>
      <c r="H646" s="257" t="str">
        <f t="shared" si="65"/>
        <v/>
      </c>
    </row>
    <row r="647" spans="1:8" x14ac:dyDescent="0.25">
      <c r="A647" s="254" t="str">
        <f t="shared" ca="1" si="66"/>
        <v/>
      </c>
      <c r="B647" s="255"/>
      <c r="C647" s="256"/>
      <c r="D647" s="257" t="str">
        <f t="shared" si="62"/>
        <v/>
      </c>
      <c r="E647" s="253"/>
      <c r="F647" s="257" t="str">
        <f t="shared" si="63"/>
        <v/>
      </c>
      <c r="G647" s="257" t="str">
        <f t="shared" si="64"/>
        <v/>
      </c>
      <c r="H647" s="257" t="str">
        <f t="shared" si="65"/>
        <v/>
      </c>
    </row>
    <row r="648" spans="1:8" x14ac:dyDescent="0.25">
      <c r="A648" s="254" t="str">
        <f t="shared" ca="1" si="66"/>
        <v/>
      </c>
      <c r="B648" s="255"/>
      <c r="C648" s="256"/>
      <c r="D648" s="257" t="str">
        <f t="shared" si="62"/>
        <v/>
      </c>
      <c r="E648" s="253"/>
      <c r="F648" s="257" t="str">
        <f t="shared" si="63"/>
        <v/>
      </c>
      <c r="G648" s="257" t="str">
        <f t="shared" si="64"/>
        <v/>
      </c>
      <c r="H648" s="257" t="str">
        <f t="shared" si="65"/>
        <v/>
      </c>
    </row>
    <row r="649" spans="1:8" x14ac:dyDescent="0.25">
      <c r="A649" s="254" t="str">
        <f t="shared" ca="1" si="66"/>
        <v/>
      </c>
      <c r="B649" s="255"/>
      <c r="C649" s="256"/>
      <c r="D649" s="257" t="str">
        <f t="shared" si="62"/>
        <v/>
      </c>
      <c r="E649" s="253"/>
      <c r="F649" s="257" t="str">
        <f t="shared" si="63"/>
        <v/>
      </c>
      <c r="G649" s="257" t="str">
        <f t="shared" si="64"/>
        <v/>
      </c>
      <c r="H649" s="257" t="str">
        <f t="shared" si="65"/>
        <v/>
      </c>
    </row>
    <row r="650" spans="1:8" x14ac:dyDescent="0.25">
      <c r="A650" s="254" t="str">
        <f t="shared" ca="1" si="66"/>
        <v/>
      </c>
      <c r="B650" s="255"/>
      <c r="C650" s="256"/>
      <c r="D650" s="257" t="str">
        <f t="shared" si="62"/>
        <v/>
      </c>
      <c r="E650" s="253"/>
      <c r="F650" s="257" t="str">
        <f t="shared" si="63"/>
        <v/>
      </c>
      <c r="G650" s="257" t="str">
        <f t="shared" si="64"/>
        <v/>
      </c>
      <c r="H650" s="257" t="str">
        <f t="shared" si="65"/>
        <v/>
      </c>
    </row>
    <row r="651" spans="1:8" x14ac:dyDescent="0.25">
      <c r="A651" s="254" t="str">
        <f t="shared" ca="1" si="66"/>
        <v/>
      </c>
      <c r="B651" s="255"/>
      <c r="C651" s="256"/>
      <c r="D651" s="257" t="str">
        <f t="shared" si="62"/>
        <v/>
      </c>
      <c r="E651" s="253"/>
      <c r="F651" s="257" t="str">
        <f t="shared" si="63"/>
        <v/>
      </c>
      <c r="G651" s="257" t="str">
        <f t="shared" si="64"/>
        <v/>
      </c>
      <c r="H651" s="257" t="str">
        <f t="shared" si="65"/>
        <v/>
      </c>
    </row>
    <row r="652" spans="1:8" x14ac:dyDescent="0.25">
      <c r="A652" s="254" t="str">
        <f t="shared" ca="1" si="66"/>
        <v/>
      </c>
      <c r="B652" s="255"/>
      <c r="C652" s="256"/>
      <c r="D652" s="257" t="str">
        <f t="shared" si="62"/>
        <v/>
      </c>
      <c r="E652" s="253"/>
      <c r="F652" s="257" t="str">
        <f t="shared" si="63"/>
        <v/>
      </c>
      <c r="G652" s="257" t="str">
        <f t="shared" si="64"/>
        <v/>
      </c>
      <c r="H652" s="257" t="str">
        <f t="shared" si="65"/>
        <v/>
      </c>
    </row>
    <row r="653" spans="1:8" x14ac:dyDescent="0.25">
      <c r="A653" s="254" t="str">
        <f t="shared" ca="1" si="66"/>
        <v/>
      </c>
      <c r="B653" s="255"/>
      <c r="C653" s="256"/>
      <c r="D653" s="257" t="str">
        <f t="shared" si="62"/>
        <v/>
      </c>
      <c r="E653" s="253"/>
      <c r="F653" s="257" t="str">
        <f t="shared" si="63"/>
        <v/>
      </c>
      <c r="G653" s="257" t="str">
        <f t="shared" si="64"/>
        <v/>
      </c>
      <c r="H653" s="257" t="str">
        <f t="shared" si="65"/>
        <v/>
      </c>
    </row>
    <row r="654" spans="1:8" x14ac:dyDescent="0.25">
      <c r="A654" s="254" t="str">
        <f t="shared" ca="1" si="66"/>
        <v/>
      </c>
      <c r="B654" s="255"/>
      <c r="C654" s="256"/>
      <c r="D654" s="257" t="str">
        <f t="shared" si="62"/>
        <v/>
      </c>
      <c r="E654" s="253"/>
      <c r="F654" s="257" t="str">
        <f t="shared" si="63"/>
        <v/>
      </c>
      <c r="G654" s="257" t="str">
        <f t="shared" si="64"/>
        <v/>
      </c>
      <c r="H654" s="257" t="str">
        <f t="shared" si="65"/>
        <v/>
      </c>
    </row>
    <row r="655" spans="1:8" x14ac:dyDescent="0.25">
      <c r="A655" s="254" t="str">
        <f t="shared" ca="1" si="66"/>
        <v/>
      </c>
      <c r="B655" s="255"/>
      <c r="C655" s="256"/>
      <c r="D655" s="257" t="str">
        <f t="shared" si="62"/>
        <v/>
      </c>
      <c r="E655" s="253"/>
      <c r="F655" s="257" t="str">
        <f t="shared" si="63"/>
        <v/>
      </c>
      <c r="G655" s="257" t="str">
        <f t="shared" si="64"/>
        <v/>
      </c>
      <c r="H655" s="257" t="str">
        <f t="shared" si="65"/>
        <v/>
      </c>
    </row>
    <row r="656" spans="1:8" x14ac:dyDescent="0.25">
      <c r="A656" s="254" t="str">
        <f t="shared" ca="1" si="66"/>
        <v/>
      </c>
      <c r="B656" s="255"/>
      <c r="C656" s="256"/>
      <c r="D656" s="257" t="str">
        <f t="shared" si="62"/>
        <v/>
      </c>
      <c r="E656" s="253"/>
      <c r="F656" s="257" t="str">
        <f t="shared" si="63"/>
        <v/>
      </c>
      <c r="G656" s="257" t="str">
        <f t="shared" si="64"/>
        <v/>
      </c>
      <c r="H656" s="257" t="str">
        <f t="shared" si="65"/>
        <v/>
      </c>
    </row>
    <row r="657" spans="1:8" x14ac:dyDescent="0.25">
      <c r="A657" s="254" t="str">
        <f t="shared" ca="1" si="66"/>
        <v/>
      </c>
      <c r="B657" s="255"/>
      <c r="C657" s="256"/>
      <c r="D657" s="257" t="str">
        <f t="shared" si="62"/>
        <v/>
      </c>
      <c r="E657" s="253"/>
      <c r="F657" s="257" t="str">
        <f t="shared" si="63"/>
        <v/>
      </c>
      <c r="G657" s="257" t="str">
        <f t="shared" si="64"/>
        <v/>
      </c>
      <c r="H657" s="257" t="str">
        <f t="shared" si="65"/>
        <v/>
      </c>
    </row>
    <row r="658" spans="1:8" x14ac:dyDescent="0.25">
      <c r="A658" s="254" t="str">
        <f t="shared" ca="1" si="66"/>
        <v/>
      </c>
      <c r="B658" s="255"/>
      <c r="C658" s="256"/>
      <c r="D658" s="257" t="str">
        <f t="shared" si="62"/>
        <v/>
      </c>
      <c r="E658" s="253"/>
      <c r="F658" s="257" t="str">
        <f t="shared" si="63"/>
        <v/>
      </c>
      <c r="G658" s="257" t="str">
        <f t="shared" si="64"/>
        <v/>
      </c>
      <c r="H658" s="257" t="str">
        <f t="shared" si="65"/>
        <v/>
      </c>
    </row>
    <row r="659" spans="1:8" x14ac:dyDescent="0.25">
      <c r="A659" s="254" t="str">
        <f t="shared" ca="1" si="66"/>
        <v/>
      </c>
      <c r="B659" s="255"/>
      <c r="C659" s="256"/>
      <c r="D659" s="257" t="str">
        <f t="shared" ref="D659:D722" si="67">IF(B659="","",ROUND((B659-B658)*$H$9*G658,2))</f>
        <v/>
      </c>
      <c r="E659" s="253"/>
      <c r="F659" s="257" t="str">
        <f t="shared" ref="F659:F722" si="68">IF(B659="","",IF(C659&gt;F658+D659,0,F658+D659-C659))</f>
        <v/>
      </c>
      <c r="G659" s="257" t="str">
        <f t="shared" ref="G659:G722" si="69">IF(B659="","",IF(C659&gt;D659+F658,G658+F658+D659-C659,G658))</f>
        <v/>
      </c>
      <c r="H659" s="257" t="str">
        <f t="shared" ref="H659:H722" si="70">IF(B659="","",G659+F659)</f>
        <v/>
      </c>
    </row>
    <row r="660" spans="1:8" x14ac:dyDescent="0.25">
      <c r="A660" s="254" t="str">
        <f t="shared" ca="1" si="66"/>
        <v/>
      </c>
      <c r="B660" s="255"/>
      <c r="C660" s="256"/>
      <c r="D660" s="257" t="str">
        <f t="shared" si="67"/>
        <v/>
      </c>
      <c r="E660" s="253"/>
      <c r="F660" s="257" t="str">
        <f t="shared" si="68"/>
        <v/>
      </c>
      <c r="G660" s="257" t="str">
        <f t="shared" si="69"/>
        <v/>
      </c>
      <c r="H660" s="257" t="str">
        <f t="shared" si="70"/>
        <v/>
      </c>
    </row>
    <row r="661" spans="1:8" x14ac:dyDescent="0.25">
      <c r="A661" s="254" t="str">
        <f t="shared" ca="1" si="66"/>
        <v/>
      </c>
      <c r="B661" s="255"/>
      <c r="C661" s="256"/>
      <c r="D661" s="257" t="str">
        <f t="shared" si="67"/>
        <v/>
      </c>
      <c r="E661" s="253"/>
      <c r="F661" s="257" t="str">
        <f t="shared" si="68"/>
        <v/>
      </c>
      <c r="G661" s="257" t="str">
        <f t="shared" si="69"/>
        <v/>
      </c>
      <c r="H661" s="257" t="str">
        <f t="shared" si="70"/>
        <v/>
      </c>
    </row>
    <row r="662" spans="1:8" x14ac:dyDescent="0.25">
      <c r="A662" s="254" t="str">
        <f t="shared" ca="1" si="66"/>
        <v/>
      </c>
      <c r="B662" s="255"/>
      <c r="C662" s="256"/>
      <c r="D662" s="257" t="str">
        <f t="shared" si="67"/>
        <v/>
      </c>
      <c r="E662" s="253"/>
      <c r="F662" s="257" t="str">
        <f t="shared" si="68"/>
        <v/>
      </c>
      <c r="G662" s="257" t="str">
        <f t="shared" si="69"/>
        <v/>
      </c>
      <c r="H662" s="257" t="str">
        <f t="shared" si="70"/>
        <v/>
      </c>
    </row>
    <row r="663" spans="1:8" x14ac:dyDescent="0.25">
      <c r="A663" s="254" t="str">
        <f t="shared" ca="1" si="66"/>
        <v/>
      </c>
      <c r="B663" s="255"/>
      <c r="C663" s="256"/>
      <c r="D663" s="257" t="str">
        <f t="shared" si="67"/>
        <v/>
      </c>
      <c r="E663" s="253"/>
      <c r="F663" s="257" t="str">
        <f t="shared" si="68"/>
        <v/>
      </c>
      <c r="G663" s="257" t="str">
        <f t="shared" si="69"/>
        <v/>
      </c>
      <c r="H663" s="257" t="str">
        <f t="shared" si="70"/>
        <v/>
      </c>
    </row>
    <row r="664" spans="1:8" x14ac:dyDescent="0.25">
      <c r="A664" s="254" t="str">
        <f t="shared" ca="1" si="66"/>
        <v/>
      </c>
      <c r="B664" s="255"/>
      <c r="C664" s="256"/>
      <c r="D664" s="257" t="str">
        <f t="shared" si="67"/>
        <v/>
      </c>
      <c r="E664" s="253"/>
      <c r="F664" s="257" t="str">
        <f t="shared" si="68"/>
        <v/>
      </c>
      <c r="G664" s="257" t="str">
        <f t="shared" si="69"/>
        <v/>
      </c>
      <c r="H664" s="257" t="str">
        <f t="shared" si="70"/>
        <v/>
      </c>
    </row>
    <row r="665" spans="1:8" x14ac:dyDescent="0.25">
      <c r="A665" s="254" t="str">
        <f t="shared" ca="1" si="66"/>
        <v/>
      </c>
      <c r="B665" s="255"/>
      <c r="C665" s="256"/>
      <c r="D665" s="257" t="str">
        <f t="shared" si="67"/>
        <v/>
      </c>
      <c r="E665" s="253"/>
      <c r="F665" s="257" t="str">
        <f t="shared" si="68"/>
        <v/>
      </c>
      <c r="G665" s="257" t="str">
        <f t="shared" si="69"/>
        <v/>
      </c>
      <c r="H665" s="257" t="str">
        <f t="shared" si="70"/>
        <v/>
      </c>
    </row>
    <row r="666" spans="1:8" x14ac:dyDescent="0.25">
      <c r="A666" s="254" t="str">
        <f t="shared" ca="1" si="66"/>
        <v/>
      </c>
      <c r="B666" s="255"/>
      <c r="C666" s="256"/>
      <c r="D666" s="257" t="str">
        <f t="shared" si="67"/>
        <v/>
      </c>
      <c r="E666" s="253"/>
      <c r="F666" s="257" t="str">
        <f t="shared" si="68"/>
        <v/>
      </c>
      <c r="G666" s="257" t="str">
        <f t="shared" si="69"/>
        <v/>
      </c>
      <c r="H666" s="257" t="str">
        <f t="shared" si="70"/>
        <v/>
      </c>
    </row>
    <row r="667" spans="1:8" x14ac:dyDescent="0.25">
      <c r="A667" s="254" t="str">
        <f t="shared" ca="1" si="66"/>
        <v/>
      </c>
      <c r="B667" s="255"/>
      <c r="C667" s="256"/>
      <c r="D667" s="257" t="str">
        <f t="shared" si="67"/>
        <v/>
      </c>
      <c r="E667" s="253"/>
      <c r="F667" s="257" t="str">
        <f t="shared" si="68"/>
        <v/>
      </c>
      <c r="G667" s="257" t="str">
        <f t="shared" si="69"/>
        <v/>
      </c>
      <c r="H667" s="257" t="str">
        <f t="shared" si="70"/>
        <v/>
      </c>
    </row>
    <row r="668" spans="1:8" x14ac:dyDescent="0.25">
      <c r="A668" s="254" t="str">
        <f t="shared" ca="1" si="66"/>
        <v/>
      </c>
      <c r="B668" s="255"/>
      <c r="C668" s="256"/>
      <c r="D668" s="257" t="str">
        <f t="shared" si="67"/>
        <v/>
      </c>
      <c r="E668" s="253"/>
      <c r="F668" s="257" t="str">
        <f t="shared" si="68"/>
        <v/>
      </c>
      <c r="G668" s="257" t="str">
        <f t="shared" si="69"/>
        <v/>
      </c>
      <c r="H668" s="257" t="str">
        <f t="shared" si="70"/>
        <v/>
      </c>
    </row>
    <row r="669" spans="1:8" x14ac:dyDescent="0.25">
      <c r="A669" s="254" t="str">
        <f t="shared" ca="1" si="66"/>
        <v/>
      </c>
      <c r="B669" s="255"/>
      <c r="C669" s="256"/>
      <c r="D669" s="257" t="str">
        <f t="shared" si="67"/>
        <v/>
      </c>
      <c r="E669" s="253"/>
      <c r="F669" s="257" t="str">
        <f t="shared" si="68"/>
        <v/>
      </c>
      <c r="G669" s="257" t="str">
        <f t="shared" si="69"/>
        <v/>
      </c>
      <c r="H669" s="257" t="str">
        <f t="shared" si="70"/>
        <v/>
      </c>
    </row>
    <row r="670" spans="1:8" x14ac:dyDescent="0.25">
      <c r="A670" s="254" t="str">
        <f t="shared" ca="1" si="66"/>
        <v/>
      </c>
      <c r="B670" s="255"/>
      <c r="C670" s="256"/>
      <c r="D670" s="257" t="str">
        <f t="shared" si="67"/>
        <v/>
      </c>
      <c r="E670" s="253"/>
      <c r="F670" s="257" t="str">
        <f t="shared" si="68"/>
        <v/>
      </c>
      <c r="G670" s="257" t="str">
        <f t="shared" si="69"/>
        <v/>
      </c>
      <c r="H670" s="257" t="str">
        <f t="shared" si="70"/>
        <v/>
      </c>
    </row>
    <row r="671" spans="1:8" x14ac:dyDescent="0.25">
      <c r="A671" s="254" t="str">
        <f t="shared" ca="1" si="66"/>
        <v/>
      </c>
      <c r="B671" s="255"/>
      <c r="C671" s="256"/>
      <c r="D671" s="257" t="str">
        <f t="shared" si="67"/>
        <v/>
      </c>
      <c r="E671" s="253"/>
      <c r="F671" s="257" t="str">
        <f t="shared" si="68"/>
        <v/>
      </c>
      <c r="G671" s="257" t="str">
        <f t="shared" si="69"/>
        <v/>
      </c>
      <c r="H671" s="257" t="str">
        <f t="shared" si="70"/>
        <v/>
      </c>
    </row>
    <row r="672" spans="1:8" x14ac:dyDescent="0.25">
      <c r="A672" s="254" t="str">
        <f t="shared" ca="1" si="66"/>
        <v/>
      </c>
      <c r="B672" s="255"/>
      <c r="C672" s="256"/>
      <c r="D672" s="257" t="str">
        <f t="shared" si="67"/>
        <v/>
      </c>
      <c r="E672" s="253"/>
      <c r="F672" s="257" t="str">
        <f t="shared" si="68"/>
        <v/>
      </c>
      <c r="G672" s="257" t="str">
        <f t="shared" si="69"/>
        <v/>
      </c>
      <c r="H672" s="257" t="str">
        <f t="shared" si="70"/>
        <v/>
      </c>
    </row>
    <row r="673" spans="1:8" x14ac:dyDescent="0.25">
      <c r="A673" s="254" t="str">
        <f t="shared" ca="1" si="66"/>
        <v/>
      </c>
      <c r="B673" s="255"/>
      <c r="C673" s="256"/>
      <c r="D673" s="257" t="str">
        <f t="shared" si="67"/>
        <v/>
      </c>
      <c r="E673" s="253"/>
      <c r="F673" s="257" t="str">
        <f t="shared" si="68"/>
        <v/>
      </c>
      <c r="G673" s="257" t="str">
        <f t="shared" si="69"/>
        <v/>
      </c>
      <c r="H673" s="257" t="str">
        <f t="shared" si="70"/>
        <v/>
      </c>
    </row>
    <row r="674" spans="1:8" x14ac:dyDescent="0.25">
      <c r="A674" s="254" t="str">
        <f t="shared" ca="1" si="66"/>
        <v/>
      </c>
      <c r="B674" s="255"/>
      <c r="C674" s="256"/>
      <c r="D674" s="257" t="str">
        <f t="shared" si="67"/>
        <v/>
      </c>
      <c r="E674" s="253"/>
      <c r="F674" s="257" t="str">
        <f t="shared" si="68"/>
        <v/>
      </c>
      <c r="G674" s="257" t="str">
        <f t="shared" si="69"/>
        <v/>
      </c>
      <c r="H674" s="257" t="str">
        <f t="shared" si="70"/>
        <v/>
      </c>
    </row>
    <row r="675" spans="1:8" x14ac:dyDescent="0.25">
      <c r="A675" s="254" t="str">
        <f t="shared" ca="1" si="66"/>
        <v/>
      </c>
      <c r="B675" s="255"/>
      <c r="C675" s="256"/>
      <c r="D675" s="257" t="str">
        <f t="shared" si="67"/>
        <v/>
      </c>
      <c r="E675" s="253"/>
      <c r="F675" s="257" t="str">
        <f t="shared" si="68"/>
        <v/>
      </c>
      <c r="G675" s="257" t="str">
        <f t="shared" si="69"/>
        <v/>
      </c>
      <c r="H675" s="257" t="str">
        <f t="shared" si="70"/>
        <v/>
      </c>
    </row>
    <row r="676" spans="1:8" x14ac:dyDescent="0.25">
      <c r="A676" s="254" t="str">
        <f t="shared" ca="1" si="66"/>
        <v/>
      </c>
      <c r="B676" s="255"/>
      <c r="C676" s="256"/>
      <c r="D676" s="257" t="str">
        <f t="shared" si="67"/>
        <v/>
      </c>
      <c r="E676" s="253"/>
      <c r="F676" s="257" t="str">
        <f t="shared" si="68"/>
        <v/>
      </c>
      <c r="G676" s="257" t="str">
        <f t="shared" si="69"/>
        <v/>
      </c>
      <c r="H676" s="257" t="str">
        <f t="shared" si="70"/>
        <v/>
      </c>
    </row>
    <row r="677" spans="1:8" x14ac:dyDescent="0.25">
      <c r="A677" s="254" t="str">
        <f t="shared" ca="1" si="66"/>
        <v/>
      </c>
      <c r="B677" s="255"/>
      <c r="C677" s="256"/>
      <c r="D677" s="257" t="str">
        <f t="shared" si="67"/>
        <v/>
      </c>
      <c r="E677" s="253"/>
      <c r="F677" s="257" t="str">
        <f t="shared" si="68"/>
        <v/>
      </c>
      <c r="G677" s="257" t="str">
        <f t="shared" si="69"/>
        <v/>
      </c>
      <c r="H677" s="257" t="str">
        <f t="shared" si="70"/>
        <v/>
      </c>
    </row>
    <row r="678" spans="1:8" x14ac:dyDescent="0.25">
      <c r="A678" s="254" t="str">
        <f t="shared" ca="1" si="66"/>
        <v/>
      </c>
      <c r="B678" s="255"/>
      <c r="C678" s="256"/>
      <c r="D678" s="257" t="str">
        <f t="shared" si="67"/>
        <v/>
      </c>
      <c r="E678" s="253"/>
      <c r="F678" s="257" t="str">
        <f t="shared" si="68"/>
        <v/>
      </c>
      <c r="G678" s="257" t="str">
        <f t="shared" si="69"/>
        <v/>
      </c>
      <c r="H678" s="257" t="str">
        <f t="shared" si="70"/>
        <v/>
      </c>
    </row>
    <row r="679" spans="1:8" x14ac:dyDescent="0.25">
      <c r="A679" s="254" t="str">
        <f t="shared" ca="1" si="66"/>
        <v/>
      </c>
      <c r="B679" s="255"/>
      <c r="C679" s="256"/>
      <c r="D679" s="257" t="str">
        <f t="shared" si="67"/>
        <v/>
      </c>
      <c r="E679" s="253"/>
      <c r="F679" s="257" t="str">
        <f t="shared" si="68"/>
        <v/>
      </c>
      <c r="G679" s="257" t="str">
        <f t="shared" si="69"/>
        <v/>
      </c>
      <c r="H679" s="257" t="str">
        <f t="shared" si="70"/>
        <v/>
      </c>
    </row>
    <row r="680" spans="1:8" x14ac:dyDescent="0.25">
      <c r="A680" s="254" t="str">
        <f t="shared" ca="1" si="66"/>
        <v/>
      </c>
      <c r="B680" s="255"/>
      <c r="C680" s="256"/>
      <c r="D680" s="257" t="str">
        <f t="shared" si="67"/>
        <v/>
      </c>
      <c r="E680" s="253"/>
      <c r="F680" s="257" t="str">
        <f t="shared" si="68"/>
        <v/>
      </c>
      <c r="G680" s="257" t="str">
        <f t="shared" si="69"/>
        <v/>
      </c>
      <c r="H680" s="257" t="str">
        <f t="shared" si="70"/>
        <v/>
      </c>
    </row>
    <row r="681" spans="1:8" x14ac:dyDescent="0.25">
      <c r="A681" s="254" t="str">
        <f t="shared" ref="A681:A744" ca="1" si="71">IF(OR(H680&lt;=0,H680=""),"",OFFSET(A681,-1,0,1,1)+1)</f>
        <v/>
      </c>
      <c r="B681" s="255"/>
      <c r="C681" s="256"/>
      <c r="D681" s="257" t="str">
        <f t="shared" si="67"/>
        <v/>
      </c>
      <c r="E681" s="253"/>
      <c r="F681" s="257" t="str">
        <f t="shared" si="68"/>
        <v/>
      </c>
      <c r="G681" s="257" t="str">
        <f t="shared" si="69"/>
        <v/>
      </c>
      <c r="H681" s="257" t="str">
        <f t="shared" si="70"/>
        <v/>
      </c>
    </row>
    <row r="682" spans="1:8" x14ac:dyDescent="0.25">
      <c r="A682" s="254" t="str">
        <f t="shared" ca="1" si="71"/>
        <v/>
      </c>
      <c r="B682" s="255"/>
      <c r="C682" s="256"/>
      <c r="D682" s="257" t="str">
        <f t="shared" si="67"/>
        <v/>
      </c>
      <c r="E682" s="253"/>
      <c r="F682" s="257" t="str">
        <f t="shared" si="68"/>
        <v/>
      </c>
      <c r="G682" s="257" t="str">
        <f t="shared" si="69"/>
        <v/>
      </c>
      <c r="H682" s="257" t="str">
        <f t="shared" si="70"/>
        <v/>
      </c>
    </row>
    <row r="683" spans="1:8" x14ac:dyDescent="0.25">
      <c r="A683" s="254" t="str">
        <f t="shared" ca="1" si="71"/>
        <v/>
      </c>
      <c r="B683" s="255"/>
      <c r="C683" s="256"/>
      <c r="D683" s="257" t="str">
        <f t="shared" si="67"/>
        <v/>
      </c>
      <c r="E683" s="253"/>
      <c r="F683" s="257" t="str">
        <f t="shared" si="68"/>
        <v/>
      </c>
      <c r="G683" s="257" t="str">
        <f t="shared" si="69"/>
        <v/>
      </c>
      <c r="H683" s="257" t="str">
        <f t="shared" si="70"/>
        <v/>
      </c>
    </row>
    <row r="684" spans="1:8" x14ac:dyDescent="0.25">
      <c r="A684" s="254" t="str">
        <f t="shared" ca="1" si="71"/>
        <v/>
      </c>
      <c r="B684" s="255"/>
      <c r="C684" s="256"/>
      <c r="D684" s="257" t="str">
        <f t="shared" si="67"/>
        <v/>
      </c>
      <c r="E684" s="253"/>
      <c r="F684" s="257" t="str">
        <f t="shared" si="68"/>
        <v/>
      </c>
      <c r="G684" s="257" t="str">
        <f t="shared" si="69"/>
        <v/>
      </c>
      <c r="H684" s="257" t="str">
        <f t="shared" si="70"/>
        <v/>
      </c>
    </row>
    <row r="685" spans="1:8" x14ac:dyDescent="0.25">
      <c r="A685" s="254" t="str">
        <f t="shared" ca="1" si="71"/>
        <v/>
      </c>
      <c r="B685" s="255"/>
      <c r="C685" s="256"/>
      <c r="D685" s="257" t="str">
        <f t="shared" si="67"/>
        <v/>
      </c>
      <c r="E685" s="253"/>
      <c r="F685" s="257" t="str">
        <f t="shared" si="68"/>
        <v/>
      </c>
      <c r="G685" s="257" t="str">
        <f t="shared" si="69"/>
        <v/>
      </c>
      <c r="H685" s="257" t="str">
        <f t="shared" si="70"/>
        <v/>
      </c>
    </row>
    <row r="686" spans="1:8" x14ac:dyDescent="0.25">
      <c r="A686" s="254" t="str">
        <f t="shared" ca="1" si="71"/>
        <v/>
      </c>
      <c r="B686" s="255"/>
      <c r="C686" s="256"/>
      <c r="D686" s="257" t="str">
        <f t="shared" si="67"/>
        <v/>
      </c>
      <c r="E686" s="253"/>
      <c r="F686" s="257" t="str">
        <f t="shared" si="68"/>
        <v/>
      </c>
      <c r="G686" s="257" t="str">
        <f t="shared" si="69"/>
        <v/>
      </c>
      <c r="H686" s="257" t="str">
        <f t="shared" si="70"/>
        <v/>
      </c>
    </row>
    <row r="687" spans="1:8" x14ac:dyDescent="0.25">
      <c r="A687" s="254" t="str">
        <f t="shared" ca="1" si="71"/>
        <v/>
      </c>
      <c r="B687" s="255"/>
      <c r="C687" s="256"/>
      <c r="D687" s="257" t="str">
        <f t="shared" si="67"/>
        <v/>
      </c>
      <c r="E687" s="253"/>
      <c r="F687" s="257" t="str">
        <f t="shared" si="68"/>
        <v/>
      </c>
      <c r="G687" s="257" t="str">
        <f t="shared" si="69"/>
        <v/>
      </c>
      <c r="H687" s="257" t="str">
        <f t="shared" si="70"/>
        <v/>
      </c>
    </row>
    <row r="688" spans="1:8" x14ac:dyDescent="0.25">
      <c r="A688" s="254" t="str">
        <f t="shared" ca="1" si="71"/>
        <v/>
      </c>
      <c r="B688" s="255"/>
      <c r="C688" s="256"/>
      <c r="D688" s="257" t="str">
        <f t="shared" si="67"/>
        <v/>
      </c>
      <c r="E688" s="253"/>
      <c r="F688" s="257" t="str">
        <f t="shared" si="68"/>
        <v/>
      </c>
      <c r="G688" s="257" t="str">
        <f t="shared" si="69"/>
        <v/>
      </c>
      <c r="H688" s="257" t="str">
        <f t="shared" si="70"/>
        <v/>
      </c>
    </row>
    <row r="689" spans="1:8" x14ac:dyDescent="0.25">
      <c r="A689" s="254" t="str">
        <f t="shared" ca="1" si="71"/>
        <v/>
      </c>
      <c r="B689" s="255"/>
      <c r="C689" s="256"/>
      <c r="D689" s="257" t="str">
        <f t="shared" si="67"/>
        <v/>
      </c>
      <c r="E689" s="253"/>
      <c r="F689" s="257" t="str">
        <f t="shared" si="68"/>
        <v/>
      </c>
      <c r="G689" s="257" t="str">
        <f t="shared" si="69"/>
        <v/>
      </c>
      <c r="H689" s="257" t="str">
        <f t="shared" si="70"/>
        <v/>
      </c>
    </row>
    <row r="690" spans="1:8" x14ac:dyDescent="0.25">
      <c r="A690" s="254" t="str">
        <f t="shared" ca="1" si="71"/>
        <v/>
      </c>
      <c r="B690" s="255"/>
      <c r="C690" s="256"/>
      <c r="D690" s="257" t="str">
        <f t="shared" si="67"/>
        <v/>
      </c>
      <c r="E690" s="253"/>
      <c r="F690" s="257" t="str">
        <f t="shared" si="68"/>
        <v/>
      </c>
      <c r="G690" s="257" t="str">
        <f t="shared" si="69"/>
        <v/>
      </c>
      <c r="H690" s="257" t="str">
        <f t="shared" si="70"/>
        <v/>
      </c>
    </row>
    <row r="691" spans="1:8" x14ac:dyDescent="0.25">
      <c r="A691" s="254" t="str">
        <f t="shared" ca="1" si="71"/>
        <v/>
      </c>
      <c r="B691" s="255"/>
      <c r="C691" s="256"/>
      <c r="D691" s="257" t="str">
        <f t="shared" si="67"/>
        <v/>
      </c>
      <c r="E691" s="253"/>
      <c r="F691" s="257" t="str">
        <f t="shared" si="68"/>
        <v/>
      </c>
      <c r="G691" s="257" t="str">
        <f t="shared" si="69"/>
        <v/>
      </c>
      <c r="H691" s="257" t="str">
        <f t="shared" si="70"/>
        <v/>
      </c>
    </row>
    <row r="692" spans="1:8" x14ac:dyDescent="0.25">
      <c r="A692" s="254" t="str">
        <f t="shared" ca="1" si="71"/>
        <v/>
      </c>
      <c r="B692" s="255"/>
      <c r="C692" s="256"/>
      <c r="D692" s="257" t="str">
        <f t="shared" si="67"/>
        <v/>
      </c>
      <c r="E692" s="253"/>
      <c r="F692" s="257" t="str">
        <f t="shared" si="68"/>
        <v/>
      </c>
      <c r="G692" s="257" t="str">
        <f t="shared" si="69"/>
        <v/>
      </c>
      <c r="H692" s="257" t="str">
        <f t="shared" si="70"/>
        <v/>
      </c>
    </row>
    <row r="693" spans="1:8" x14ac:dyDescent="0.25">
      <c r="A693" s="254" t="str">
        <f t="shared" ca="1" si="71"/>
        <v/>
      </c>
      <c r="B693" s="255"/>
      <c r="C693" s="256"/>
      <c r="D693" s="257" t="str">
        <f t="shared" si="67"/>
        <v/>
      </c>
      <c r="E693" s="253"/>
      <c r="F693" s="257" t="str">
        <f t="shared" si="68"/>
        <v/>
      </c>
      <c r="G693" s="257" t="str">
        <f t="shared" si="69"/>
        <v/>
      </c>
      <c r="H693" s="257" t="str">
        <f t="shared" si="70"/>
        <v/>
      </c>
    </row>
    <row r="694" spans="1:8" x14ac:dyDescent="0.25">
      <c r="A694" s="254" t="str">
        <f t="shared" ca="1" si="71"/>
        <v/>
      </c>
      <c r="B694" s="255"/>
      <c r="C694" s="256"/>
      <c r="D694" s="257" t="str">
        <f t="shared" si="67"/>
        <v/>
      </c>
      <c r="E694" s="253"/>
      <c r="F694" s="257" t="str">
        <f t="shared" si="68"/>
        <v/>
      </c>
      <c r="G694" s="257" t="str">
        <f t="shared" si="69"/>
        <v/>
      </c>
      <c r="H694" s="257" t="str">
        <f t="shared" si="70"/>
        <v/>
      </c>
    </row>
    <row r="695" spans="1:8" x14ac:dyDescent="0.25">
      <c r="A695" s="254" t="str">
        <f t="shared" ca="1" si="71"/>
        <v/>
      </c>
      <c r="B695" s="255"/>
      <c r="C695" s="256"/>
      <c r="D695" s="257" t="str">
        <f t="shared" si="67"/>
        <v/>
      </c>
      <c r="E695" s="253"/>
      <c r="F695" s="257" t="str">
        <f t="shared" si="68"/>
        <v/>
      </c>
      <c r="G695" s="257" t="str">
        <f t="shared" si="69"/>
        <v/>
      </c>
      <c r="H695" s="257" t="str">
        <f t="shared" si="70"/>
        <v/>
      </c>
    </row>
    <row r="696" spans="1:8" x14ac:dyDescent="0.25">
      <c r="A696" s="254" t="str">
        <f t="shared" ca="1" si="71"/>
        <v/>
      </c>
      <c r="B696" s="255"/>
      <c r="C696" s="256"/>
      <c r="D696" s="257" t="str">
        <f t="shared" si="67"/>
        <v/>
      </c>
      <c r="E696" s="253"/>
      <c r="F696" s="257" t="str">
        <f t="shared" si="68"/>
        <v/>
      </c>
      <c r="G696" s="257" t="str">
        <f t="shared" si="69"/>
        <v/>
      </c>
      <c r="H696" s="257" t="str">
        <f t="shared" si="70"/>
        <v/>
      </c>
    </row>
    <row r="697" spans="1:8" x14ac:dyDescent="0.25">
      <c r="A697" s="254" t="str">
        <f t="shared" ca="1" si="71"/>
        <v/>
      </c>
      <c r="B697" s="255"/>
      <c r="C697" s="256"/>
      <c r="D697" s="257" t="str">
        <f t="shared" si="67"/>
        <v/>
      </c>
      <c r="E697" s="253"/>
      <c r="F697" s="257" t="str">
        <f t="shared" si="68"/>
        <v/>
      </c>
      <c r="G697" s="257" t="str">
        <f t="shared" si="69"/>
        <v/>
      </c>
      <c r="H697" s="257" t="str">
        <f t="shared" si="70"/>
        <v/>
      </c>
    </row>
    <row r="698" spans="1:8" x14ac:dyDescent="0.25">
      <c r="A698" s="254" t="str">
        <f t="shared" ca="1" si="71"/>
        <v/>
      </c>
      <c r="B698" s="255"/>
      <c r="C698" s="256"/>
      <c r="D698" s="257" t="str">
        <f t="shared" si="67"/>
        <v/>
      </c>
      <c r="E698" s="253"/>
      <c r="F698" s="257" t="str">
        <f t="shared" si="68"/>
        <v/>
      </c>
      <c r="G698" s="257" t="str">
        <f t="shared" si="69"/>
        <v/>
      </c>
      <c r="H698" s="257" t="str">
        <f t="shared" si="70"/>
        <v/>
      </c>
    </row>
    <row r="699" spans="1:8" x14ac:dyDescent="0.25">
      <c r="A699" s="254" t="str">
        <f t="shared" ca="1" si="71"/>
        <v/>
      </c>
      <c r="B699" s="255"/>
      <c r="C699" s="256"/>
      <c r="D699" s="257" t="str">
        <f t="shared" si="67"/>
        <v/>
      </c>
      <c r="E699" s="253"/>
      <c r="F699" s="257" t="str">
        <f t="shared" si="68"/>
        <v/>
      </c>
      <c r="G699" s="257" t="str">
        <f t="shared" si="69"/>
        <v/>
      </c>
      <c r="H699" s="257" t="str">
        <f t="shared" si="70"/>
        <v/>
      </c>
    </row>
    <row r="700" spans="1:8" x14ac:dyDescent="0.25">
      <c r="A700" s="254" t="str">
        <f t="shared" ca="1" si="71"/>
        <v/>
      </c>
      <c r="B700" s="255"/>
      <c r="C700" s="256"/>
      <c r="D700" s="257" t="str">
        <f t="shared" si="67"/>
        <v/>
      </c>
      <c r="E700" s="253"/>
      <c r="F700" s="257" t="str">
        <f t="shared" si="68"/>
        <v/>
      </c>
      <c r="G700" s="257" t="str">
        <f t="shared" si="69"/>
        <v/>
      </c>
      <c r="H700" s="257" t="str">
        <f t="shared" si="70"/>
        <v/>
      </c>
    </row>
    <row r="701" spans="1:8" x14ac:dyDescent="0.25">
      <c r="A701" s="254" t="str">
        <f t="shared" ca="1" si="71"/>
        <v/>
      </c>
      <c r="B701" s="255"/>
      <c r="C701" s="256"/>
      <c r="D701" s="257" t="str">
        <f t="shared" si="67"/>
        <v/>
      </c>
      <c r="E701" s="253"/>
      <c r="F701" s="257" t="str">
        <f t="shared" si="68"/>
        <v/>
      </c>
      <c r="G701" s="257" t="str">
        <f t="shared" si="69"/>
        <v/>
      </c>
      <c r="H701" s="257" t="str">
        <f t="shared" si="70"/>
        <v/>
      </c>
    </row>
    <row r="702" spans="1:8" x14ac:dyDescent="0.25">
      <c r="A702" s="254" t="str">
        <f t="shared" ca="1" si="71"/>
        <v/>
      </c>
      <c r="B702" s="255"/>
      <c r="C702" s="256"/>
      <c r="D702" s="257" t="str">
        <f t="shared" si="67"/>
        <v/>
      </c>
      <c r="E702" s="253"/>
      <c r="F702" s="257" t="str">
        <f t="shared" si="68"/>
        <v/>
      </c>
      <c r="G702" s="257" t="str">
        <f t="shared" si="69"/>
        <v/>
      </c>
      <c r="H702" s="257" t="str">
        <f t="shared" si="70"/>
        <v/>
      </c>
    </row>
    <row r="703" spans="1:8" x14ac:dyDescent="0.25">
      <c r="A703" s="254" t="str">
        <f t="shared" ca="1" si="71"/>
        <v/>
      </c>
      <c r="B703" s="255"/>
      <c r="C703" s="256"/>
      <c r="D703" s="257" t="str">
        <f t="shared" si="67"/>
        <v/>
      </c>
      <c r="E703" s="253"/>
      <c r="F703" s="257" t="str">
        <f t="shared" si="68"/>
        <v/>
      </c>
      <c r="G703" s="257" t="str">
        <f t="shared" si="69"/>
        <v/>
      </c>
      <c r="H703" s="257" t="str">
        <f t="shared" si="70"/>
        <v/>
      </c>
    </row>
    <row r="704" spans="1:8" x14ac:dyDescent="0.25">
      <c r="A704" s="254" t="str">
        <f t="shared" ca="1" si="71"/>
        <v/>
      </c>
      <c r="B704" s="255"/>
      <c r="C704" s="256"/>
      <c r="D704" s="257" t="str">
        <f t="shared" si="67"/>
        <v/>
      </c>
      <c r="E704" s="253"/>
      <c r="F704" s="257" t="str">
        <f t="shared" si="68"/>
        <v/>
      </c>
      <c r="G704" s="257" t="str">
        <f t="shared" si="69"/>
        <v/>
      </c>
      <c r="H704" s="257" t="str">
        <f t="shared" si="70"/>
        <v/>
      </c>
    </row>
    <row r="705" spans="1:8" x14ac:dyDescent="0.25">
      <c r="A705" s="254" t="str">
        <f t="shared" ca="1" si="71"/>
        <v/>
      </c>
      <c r="B705" s="255"/>
      <c r="C705" s="256"/>
      <c r="D705" s="257" t="str">
        <f t="shared" si="67"/>
        <v/>
      </c>
      <c r="E705" s="253"/>
      <c r="F705" s="257" t="str">
        <f t="shared" si="68"/>
        <v/>
      </c>
      <c r="G705" s="257" t="str">
        <f t="shared" si="69"/>
        <v/>
      </c>
      <c r="H705" s="257" t="str">
        <f t="shared" si="70"/>
        <v/>
      </c>
    </row>
    <row r="706" spans="1:8" x14ac:dyDescent="0.25">
      <c r="A706" s="254" t="str">
        <f t="shared" ca="1" si="71"/>
        <v/>
      </c>
      <c r="B706" s="255"/>
      <c r="C706" s="256"/>
      <c r="D706" s="257" t="str">
        <f t="shared" si="67"/>
        <v/>
      </c>
      <c r="E706" s="253"/>
      <c r="F706" s="257" t="str">
        <f t="shared" si="68"/>
        <v/>
      </c>
      <c r="G706" s="257" t="str">
        <f t="shared" si="69"/>
        <v/>
      </c>
      <c r="H706" s="257" t="str">
        <f t="shared" si="70"/>
        <v/>
      </c>
    </row>
    <row r="707" spans="1:8" x14ac:dyDescent="0.25">
      <c r="A707" s="254" t="str">
        <f t="shared" ca="1" si="71"/>
        <v/>
      </c>
      <c r="B707" s="255"/>
      <c r="C707" s="256"/>
      <c r="D707" s="257" t="str">
        <f t="shared" si="67"/>
        <v/>
      </c>
      <c r="E707" s="253"/>
      <c r="F707" s="257" t="str">
        <f t="shared" si="68"/>
        <v/>
      </c>
      <c r="G707" s="257" t="str">
        <f t="shared" si="69"/>
        <v/>
      </c>
      <c r="H707" s="257" t="str">
        <f t="shared" si="70"/>
        <v/>
      </c>
    </row>
    <row r="708" spans="1:8" x14ac:dyDescent="0.25">
      <c r="A708" s="254" t="str">
        <f t="shared" ca="1" si="71"/>
        <v/>
      </c>
      <c r="B708" s="255"/>
      <c r="C708" s="256"/>
      <c r="D708" s="257" t="str">
        <f t="shared" si="67"/>
        <v/>
      </c>
      <c r="E708" s="253"/>
      <c r="F708" s="257" t="str">
        <f t="shared" si="68"/>
        <v/>
      </c>
      <c r="G708" s="257" t="str">
        <f t="shared" si="69"/>
        <v/>
      </c>
      <c r="H708" s="257" t="str">
        <f t="shared" si="70"/>
        <v/>
      </c>
    </row>
    <row r="709" spans="1:8" x14ac:dyDescent="0.25">
      <c r="A709" s="254" t="str">
        <f t="shared" ca="1" si="71"/>
        <v/>
      </c>
      <c r="B709" s="255"/>
      <c r="C709" s="256"/>
      <c r="D709" s="257" t="str">
        <f t="shared" si="67"/>
        <v/>
      </c>
      <c r="E709" s="253"/>
      <c r="F709" s="257" t="str">
        <f t="shared" si="68"/>
        <v/>
      </c>
      <c r="G709" s="257" t="str">
        <f t="shared" si="69"/>
        <v/>
      </c>
      <c r="H709" s="257" t="str">
        <f t="shared" si="70"/>
        <v/>
      </c>
    </row>
    <row r="710" spans="1:8" x14ac:dyDescent="0.25">
      <c r="A710" s="254" t="str">
        <f t="shared" ca="1" si="71"/>
        <v/>
      </c>
      <c r="B710" s="255"/>
      <c r="C710" s="256"/>
      <c r="D710" s="257" t="str">
        <f t="shared" si="67"/>
        <v/>
      </c>
      <c r="E710" s="253"/>
      <c r="F710" s="257" t="str">
        <f t="shared" si="68"/>
        <v/>
      </c>
      <c r="G710" s="257" t="str">
        <f t="shared" si="69"/>
        <v/>
      </c>
      <c r="H710" s="257" t="str">
        <f t="shared" si="70"/>
        <v/>
      </c>
    </row>
    <row r="711" spans="1:8" x14ac:dyDescent="0.25">
      <c r="A711" s="254" t="str">
        <f t="shared" ca="1" si="71"/>
        <v/>
      </c>
      <c r="B711" s="255"/>
      <c r="C711" s="256"/>
      <c r="D711" s="257" t="str">
        <f t="shared" si="67"/>
        <v/>
      </c>
      <c r="E711" s="253"/>
      <c r="F711" s="257" t="str">
        <f t="shared" si="68"/>
        <v/>
      </c>
      <c r="G711" s="257" t="str">
        <f t="shared" si="69"/>
        <v/>
      </c>
      <c r="H711" s="257" t="str">
        <f t="shared" si="70"/>
        <v/>
      </c>
    </row>
    <row r="712" spans="1:8" x14ac:dyDescent="0.25">
      <c r="A712" s="254" t="str">
        <f t="shared" ca="1" si="71"/>
        <v/>
      </c>
      <c r="B712" s="255"/>
      <c r="C712" s="256"/>
      <c r="D712" s="257" t="str">
        <f t="shared" si="67"/>
        <v/>
      </c>
      <c r="E712" s="253"/>
      <c r="F712" s="257" t="str">
        <f t="shared" si="68"/>
        <v/>
      </c>
      <c r="G712" s="257" t="str">
        <f t="shared" si="69"/>
        <v/>
      </c>
      <c r="H712" s="257" t="str">
        <f t="shared" si="70"/>
        <v/>
      </c>
    </row>
    <row r="713" spans="1:8" x14ac:dyDescent="0.25">
      <c r="A713" s="254" t="str">
        <f t="shared" ca="1" si="71"/>
        <v/>
      </c>
      <c r="B713" s="255"/>
      <c r="C713" s="256"/>
      <c r="D713" s="257" t="str">
        <f t="shared" si="67"/>
        <v/>
      </c>
      <c r="E713" s="253"/>
      <c r="F713" s="257" t="str">
        <f t="shared" si="68"/>
        <v/>
      </c>
      <c r="G713" s="257" t="str">
        <f t="shared" si="69"/>
        <v/>
      </c>
      <c r="H713" s="257" t="str">
        <f t="shared" si="70"/>
        <v/>
      </c>
    </row>
    <row r="714" spans="1:8" x14ac:dyDescent="0.25">
      <c r="A714" s="254" t="str">
        <f t="shared" ca="1" si="71"/>
        <v/>
      </c>
      <c r="B714" s="255"/>
      <c r="C714" s="256"/>
      <c r="D714" s="257" t="str">
        <f t="shared" si="67"/>
        <v/>
      </c>
      <c r="E714" s="253"/>
      <c r="F714" s="257" t="str">
        <f t="shared" si="68"/>
        <v/>
      </c>
      <c r="G714" s="257" t="str">
        <f t="shared" si="69"/>
        <v/>
      </c>
      <c r="H714" s="257" t="str">
        <f t="shared" si="70"/>
        <v/>
      </c>
    </row>
    <row r="715" spans="1:8" x14ac:dyDescent="0.25">
      <c r="A715" s="254" t="str">
        <f t="shared" ca="1" si="71"/>
        <v/>
      </c>
      <c r="B715" s="255"/>
      <c r="C715" s="256"/>
      <c r="D715" s="257" t="str">
        <f t="shared" si="67"/>
        <v/>
      </c>
      <c r="E715" s="253"/>
      <c r="F715" s="257" t="str">
        <f t="shared" si="68"/>
        <v/>
      </c>
      <c r="G715" s="257" t="str">
        <f t="shared" si="69"/>
        <v/>
      </c>
      <c r="H715" s="257" t="str">
        <f t="shared" si="70"/>
        <v/>
      </c>
    </row>
    <row r="716" spans="1:8" x14ac:dyDescent="0.25">
      <c r="A716" s="254" t="str">
        <f t="shared" ca="1" si="71"/>
        <v/>
      </c>
      <c r="B716" s="255"/>
      <c r="C716" s="256"/>
      <c r="D716" s="257" t="str">
        <f t="shared" si="67"/>
        <v/>
      </c>
      <c r="E716" s="253"/>
      <c r="F716" s="257" t="str">
        <f t="shared" si="68"/>
        <v/>
      </c>
      <c r="G716" s="257" t="str">
        <f t="shared" si="69"/>
        <v/>
      </c>
      <c r="H716" s="257" t="str">
        <f t="shared" si="70"/>
        <v/>
      </c>
    </row>
    <row r="717" spans="1:8" x14ac:dyDescent="0.25">
      <c r="A717" s="254" t="str">
        <f t="shared" ca="1" si="71"/>
        <v/>
      </c>
      <c r="B717" s="255"/>
      <c r="C717" s="256"/>
      <c r="D717" s="257" t="str">
        <f t="shared" si="67"/>
        <v/>
      </c>
      <c r="E717" s="253"/>
      <c r="F717" s="257" t="str">
        <f t="shared" si="68"/>
        <v/>
      </c>
      <c r="G717" s="257" t="str">
        <f t="shared" si="69"/>
        <v/>
      </c>
      <c r="H717" s="257" t="str">
        <f t="shared" si="70"/>
        <v/>
      </c>
    </row>
    <row r="718" spans="1:8" x14ac:dyDescent="0.25">
      <c r="A718" s="254" t="str">
        <f t="shared" ca="1" si="71"/>
        <v/>
      </c>
      <c r="B718" s="255"/>
      <c r="C718" s="256"/>
      <c r="D718" s="257" t="str">
        <f t="shared" si="67"/>
        <v/>
      </c>
      <c r="E718" s="253"/>
      <c r="F718" s="257" t="str">
        <f t="shared" si="68"/>
        <v/>
      </c>
      <c r="G718" s="257" t="str">
        <f t="shared" si="69"/>
        <v/>
      </c>
      <c r="H718" s="257" t="str">
        <f t="shared" si="70"/>
        <v/>
      </c>
    </row>
    <row r="719" spans="1:8" x14ac:dyDescent="0.25">
      <c r="A719" s="254" t="str">
        <f t="shared" ca="1" si="71"/>
        <v/>
      </c>
      <c r="B719" s="255"/>
      <c r="C719" s="256"/>
      <c r="D719" s="257" t="str">
        <f t="shared" si="67"/>
        <v/>
      </c>
      <c r="E719" s="253"/>
      <c r="F719" s="257" t="str">
        <f t="shared" si="68"/>
        <v/>
      </c>
      <c r="G719" s="257" t="str">
        <f t="shared" si="69"/>
        <v/>
      </c>
      <c r="H719" s="257" t="str">
        <f t="shared" si="70"/>
        <v/>
      </c>
    </row>
    <row r="720" spans="1:8" x14ac:dyDescent="0.25">
      <c r="A720" s="254" t="str">
        <f t="shared" ca="1" si="71"/>
        <v/>
      </c>
      <c r="B720" s="255"/>
      <c r="C720" s="256"/>
      <c r="D720" s="257" t="str">
        <f t="shared" si="67"/>
        <v/>
      </c>
      <c r="E720" s="253"/>
      <c r="F720" s="257" t="str">
        <f t="shared" si="68"/>
        <v/>
      </c>
      <c r="G720" s="257" t="str">
        <f t="shared" si="69"/>
        <v/>
      </c>
      <c r="H720" s="257" t="str">
        <f t="shared" si="70"/>
        <v/>
      </c>
    </row>
    <row r="721" spans="1:8" x14ac:dyDescent="0.25">
      <c r="A721" s="254" t="str">
        <f t="shared" ca="1" si="71"/>
        <v/>
      </c>
      <c r="B721" s="255"/>
      <c r="C721" s="256"/>
      <c r="D721" s="257" t="str">
        <f t="shared" si="67"/>
        <v/>
      </c>
      <c r="E721" s="253"/>
      <c r="F721" s="257" t="str">
        <f t="shared" si="68"/>
        <v/>
      </c>
      <c r="G721" s="257" t="str">
        <f t="shared" si="69"/>
        <v/>
      </c>
      <c r="H721" s="257" t="str">
        <f t="shared" si="70"/>
        <v/>
      </c>
    </row>
    <row r="722" spans="1:8" x14ac:dyDescent="0.25">
      <c r="A722" s="254" t="str">
        <f t="shared" ca="1" si="71"/>
        <v/>
      </c>
      <c r="B722" s="255"/>
      <c r="C722" s="256"/>
      <c r="D722" s="257" t="str">
        <f t="shared" si="67"/>
        <v/>
      </c>
      <c r="E722" s="253"/>
      <c r="F722" s="257" t="str">
        <f t="shared" si="68"/>
        <v/>
      </c>
      <c r="G722" s="257" t="str">
        <f t="shared" si="69"/>
        <v/>
      </c>
      <c r="H722" s="257" t="str">
        <f t="shared" si="70"/>
        <v/>
      </c>
    </row>
    <row r="723" spans="1:8" x14ac:dyDescent="0.25">
      <c r="A723" s="254" t="str">
        <f t="shared" ca="1" si="71"/>
        <v/>
      </c>
      <c r="B723" s="255"/>
      <c r="C723" s="256"/>
      <c r="D723" s="257" t="str">
        <f t="shared" ref="D723:D786" si="72">IF(B723="","",ROUND((B723-B722)*$H$9*G722,2))</f>
        <v/>
      </c>
      <c r="E723" s="253"/>
      <c r="F723" s="257" t="str">
        <f t="shared" ref="F723:F786" si="73">IF(B723="","",IF(C723&gt;F722+D723,0,F722+D723-C723))</f>
        <v/>
      </c>
      <c r="G723" s="257" t="str">
        <f t="shared" ref="G723:G786" si="74">IF(B723="","",IF(C723&gt;D723+F722,G722+F722+D723-C723,G722))</f>
        <v/>
      </c>
      <c r="H723" s="257" t="str">
        <f t="shared" ref="H723:H786" si="75">IF(B723="","",G723+F723)</f>
        <v/>
      </c>
    </row>
    <row r="724" spans="1:8" x14ac:dyDescent="0.25">
      <c r="A724" s="254" t="str">
        <f t="shared" ca="1" si="71"/>
        <v/>
      </c>
      <c r="B724" s="255"/>
      <c r="C724" s="256"/>
      <c r="D724" s="257" t="str">
        <f t="shared" si="72"/>
        <v/>
      </c>
      <c r="E724" s="253"/>
      <c r="F724" s="257" t="str">
        <f t="shared" si="73"/>
        <v/>
      </c>
      <c r="G724" s="257" t="str">
        <f t="shared" si="74"/>
        <v/>
      </c>
      <c r="H724" s="257" t="str">
        <f t="shared" si="75"/>
        <v/>
      </c>
    </row>
    <row r="725" spans="1:8" x14ac:dyDescent="0.25">
      <c r="A725" s="254" t="str">
        <f t="shared" ca="1" si="71"/>
        <v/>
      </c>
      <c r="B725" s="255"/>
      <c r="C725" s="256"/>
      <c r="D725" s="257" t="str">
        <f t="shared" si="72"/>
        <v/>
      </c>
      <c r="E725" s="253"/>
      <c r="F725" s="257" t="str">
        <f t="shared" si="73"/>
        <v/>
      </c>
      <c r="G725" s="257" t="str">
        <f t="shared" si="74"/>
        <v/>
      </c>
      <c r="H725" s="257" t="str">
        <f t="shared" si="75"/>
        <v/>
      </c>
    </row>
    <row r="726" spans="1:8" x14ac:dyDescent="0.25">
      <c r="A726" s="254" t="str">
        <f t="shared" ca="1" si="71"/>
        <v/>
      </c>
      <c r="B726" s="255"/>
      <c r="C726" s="256"/>
      <c r="D726" s="257" t="str">
        <f t="shared" si="72"/>
        <v/>
      </c>
      <c r="E726" s="253"/>
      <c r="F726" s="257" t="str">
        <f t="shared" si="73"/>
        <v/>
      </c>
      <c r="G726" s="257" t="str">
        <f t="shared" si="74"/>
        <v/>
      </c>
      <c r="H726" s="257" t="str">
        <f t="shared" si="75"/>
        <v/>
      </c>
    </row>
    <row r="727" spans="1:8" x14ac:dyDescent="0.25">
      <c r="A727" s="254" t="str">
        <f t="shared" ca="1" si="71"/>
        <v/>
      </c>
      <c r="B727" s="255"/>
      <c r="C727" s="256"/>
      <c r="D727" s="257" t="str">
        <f t="shared" si="72"/>
        <v/>
      </c>
      <c r="E727" s="253"/>
      <c r="F727" s="257" t="str">
        <f t="shared" si="73"/>
        <v/>
      </c>
      <c r="G727" s="257" t="str">
        <f t="shared" si="74"/>
        <v/>
      </c>
      <c r="H727" s="257" t="str">
        <f t="shared" si="75"/>
        <v/>
      </c>
    </row>
    <row r="728" spans="1:8" x14ac:dyDescent="0.25">
      <c r="A728" s="254" t="str">
        <f t="shared" ca="1" si="71"/>
        <v/>
      </c>
      <c r="B728" s="255"/>
      <c r="C728" s="256"/>
      <c r="D728" s="257" t="str">
        <f t="shared" si="72"/>
        <v/>
      </c>
      <c r="E728" s="253"/>
      <c r="F728" s="257" t="str">
        <f t="shared" si="73"/>
        <v/>
      </c>
      <c r="G728" s="257" t="str">
        <f t="shared" si="74"/>
        <v/>
      </c>
      <c r="H728" s="257" t="str">
        <f t="shared" si="75"/>
        <v/>
      </c>
    </row>
    <row r="729" spans="1:8" x14ac:dyDescent="0.25">
      <c r="A729" s="254" t="str">
        <f t="shared" ca="1" si="71"/>
        <v/>
      </c>
      <c r="B729" s="255"/>
      <c r="C729" s="256"/>
      <c r="D729" s="257" t="str">
        <f t="shared" si="72"/>
        <v/>
      </c>
      <c r="E729" s="253"/>
      <c r="F729" s="257" t="str">
        <f t="shared" si="73"/>
        <v/>
      </c>
      <c r="G729" s="257" t="str">
        <f t="shared" si="74"/>
        <v/>
      </c>
      <c r="H729" s="257" t="str">
        <f t="shared" si="75"/>
        <v/>
      </c>
    </row>
    <row r="730" spans="1:8" x14ac:dyDescent="0.25">
      <c r="A730" s="254" t="str">
        <f t="shared" ca="1" si="71"/>
        <v/>
      </c>
      <c r="B730" s="255"/>
      <c r="C730" s="256"/>
      <c r="D730" s="257" t="str">
        <f t="shared" si="72"/>
        <v/>
      </c>
      <c r="E730" s="253"/>
      <c r="F730" s="257" t="str">
        <f t="shared" si="73"/>
        <v/>
      </c>
      <c r="G730" s="257" t="str">
        <f t="shared" si="74"/>
        <v/>
      </c>
      <c r="H730" s="257" t="str">
        <f t="shared" si="75"/>
        <v/>
      </c>
    </row>
    <row r="731" spans="1:8" x14ac:dyDescent="0.25">
      <c r="A731" s="254" t="str">
        <f t="shared" ca="1" si="71"/>
        <v/>
      </c>
      <c r="B731" s="255"/>
      <c r="C731" s="256"/>
      <c r="D731" s="257" t="str">
        <f t="shared" si="72"/>
        <v/>
      </c>
      <c r="E731" s="253"/>
      <c r="F731" s="257" t="str">
        <f t="shared" si="73"/>
        <v/>
      </c>
      <c r="G731" s="257" t="str">
        <f t="shared" si="74"/>
        <v/>
      </c>
      <c r="H731" s="257" t="str">
        <f t="shared" si="75"/>
        <v/>
      </c>
    </row>
    <row r="732" spans="1:8" x14ac:dyDescent="0.25">
      <c r="A732" s="254" t="str">
        <f t="shared" ca="1" si="71"/>
        <v/>
      </c>
      <c r="B732" s="255"/>
      <c r="C732" s="256"/>
      <c r="D732" s="257" t="str">
        <f t="shared" si="72"/>
        <v/>
      </c>
      <c r="E732" s="253"/>
      <c r="F732" s="257" t="str">
        <f t="shared" si="73"/>
        <v/>
      </c>
      <c r="G732" s="257" t="str">
        <f t="shared" si="74"/>
        <v/>
      </c>
      <c r="H732" s="257" t="str">
        <f t="shared" si="75"/>
        <v/>
      </c>
    </row>
    <row r="733" spans="1:8" x14ac:dyDescent="0.25">
      <c r="A733" s="254" t="str">
        <f t="shared" ca="1" si="71"/>
        <v/>
      </c>
      <c r="B733" s="255"/>
      <c r="C733" s="256"/>
      <c r="D733" s="257" t="str">
        <f t="shared" si="72"/>
        <v/>
      </c>
      <c r="E733" s="253"/>
      <c r="F733" s="257" t="str">
        <f t="shared" si="73"/>
        <v/>
      </c>
      <c r="G733" s="257" t="str">
        <f t="shared" si="74"/>
        <v/>
      </c>
      <c r="H733" s="257" t="str">
        <f t="shared" si="75"/>
        <v/>
      </c>
    </row>
    <row r="734" spans="1:8" x14ac:dyDescent="0.25">
      <c r="A734" s="254" t="str">
        <f t="shared" ca="1" si="71"/>
        <v/>
      </c>
      <c r="B734" s="255"/>
      <c r="C734" s="256"/>
      <c r="D734" s="257" t="str">
        <f t="shared" si="72"/>
        <v/>
      </c>
      <c r="E734" s="253"/>
      <c r="F734" s="257" t="str">
        <f t="shared" si="73"/>
        <v/>
      </c>
      <c r="G734" s="257" t="str">
        <f t="shared" si="74"/>
        <v/>
      </c>
      <c r="H734" s="257" t="str">
        <f t="shared" si="75"/>
        <v/>
      </c>
    </row>
    <row r="735" spans="1:8" x14ac:dyDescent="0.25">
      <c r="A735" s="254" t="str">
        <f t="shared" ca="1" si="71"/>
        <v/>
      </c>
      <c r="B735" s="255"/>
      <c r="C735" s="256"/>
      <c r="D735" s="257" t="str">
        <f t="shared" si="72"/>
        <v/>
      </c>
      <c r="E735" s="253"/>
      <c r="F735" s="257" t="str">
        <f t="shared" si="73"/>
        <v/>
      </c>
      <c r="G735" s="257" t="str">
        <f t="shared" si="74"/>
        <v/>
      </c>
      <c r="H735" s="257" t="str">
        <f t="shared" si="75"/>
        <v/>
      </c>
    </row>
    <row r="736" spans="1:8" x14ac:dyDescent="0.25">
      <c r="A736" s="254" t="str">
        <f t="shared" ca="1" si="71"/>
        <v/>
      </c>
      <c r="B736" s="255"/>
      <c r="C736" s="256"/>
      <c r="D736" s="257" t="str">
        <f t="shared" si="72"/>
        <v/>
      </c>
      <c r="E736" s="253"/>
      <c r="F736" s="257" t="str">
        <f t="shared" si="73"/>
        <v/>
      </c>
      <c r="G736" s="257" t="str">
        <f t="shared" si="74"/>
        <v/>
      </c>
      <c r="H736" s="257" t="str">
        <f t="shared" si="75"/>
        <v/>
      </c>
    </row>
    <row r="737" spans="1:8" x14ac:dyDescent="0.25">
      <c r="A737" s="254" t="str">
        <f t="shared" ca="1" si="71"/>
        <v/>
      </c>
      <c r="B737" s="255"/>
      <c r="C737" s="256"/>
      <c r="D737" s="257" t="str">
        <f t="shared" si="72"/>
        <v/>
      </c>
      <c r="E737" s="253"/>
      <c r="F737" s="257" t="str">
        <f t="shared" si="73"/>
        <v/>
      </c>
      <c r="G737" s="257" t="str">
        <f t="shared" si="74"/>
        <v/>
      </c>
      <c r="H737" s="257" t="str">
        <f t="shared" si="75"/>
        <v/>
      </c>
    </row>
    <row r="738" spans="1:8" x14ac:dyDescent="0.25">
      <c r="A738" s="254" t="str">
        <f t="shared" ca="1" si="71"/>
        <v/>
      </c>
      <c r="B738" s="255"/>
      <c r="C738" s="256"/>
      <c r="D738" s="257" t="str">
        <f t="shared" si="72"/>
        <v/>
      </c>
      <c r="E738" s="253"/>
      <c r="F738" s="257" t="str">
        <f t="shared" si="73"/>
        <v/>
      </c>
      <c r="G738" s="257" t="str">
        <f t="shared" si="74"/>
        <v/>
      </c>
      <c r="H738" s="257" t="str">
        <f t="shared" si="75"/>
        <v/>
      </c>
    </row>
    <row r="739" spans="1:8" x14ac:dyDescent="0.25">
      <c r="A739" s="254" t="str">
        <f t="shared" ca="1" si="71"/>
        <v/>
      </c>
      <c r="B739" s="255"/>
      <c r="C739" s="256"/>
      <c r="D739" s="257" t="str">
        <f t="shared" si="72"/>
        <v/>
      </c>
      <c r="E739" s="253"/>
      <c r="F739" s="257" t="str">
        <f t="shared" si="73"/>
        <v/>
      </c>
      <c r="G739" s="257" t="str">
        <f t="shared" si="74"/>
        <v/>
      </c>
      <c r="H739" s="257" t="str">
        <f t="shared" si="75"/>
        <v/>
      </c>
    </row>
    <row r="740" spans="1:8" x14ac:dyDescent="0.25">
      <c r="A740" s="254" t="str">
        <f t="shared" ca="1" si="71"/>
        <v/>
      </c>
      <c r="B740" s="255"/>
      <c r="C740" s="256"/>
      <c r="D740" s="257" t="str">
        <f t="shared" si="72"/>
        <v/>
      </c>
      <c r="E740" s="253"/>
      <c r="F740" s="257" t="str">
        <f t="shared" si="73"/>
        <v/>
      </c>
      <c r="G740" s="257" t="str">
        <f t="shared" si="74"/>
        <v/>
      </c>
      <c r="H740" s="257" t="str">
        <f t="shared" si="75"/>
        <v/>
      </c>
    </row>
    <row r="741" spans="1:8" x14ac:dyDescent="0.25">
      <c r="A741" s="254" t="str">
        <f t="shared" ca="1" si="71"/>
        <v/>
      </c>
      <c r="B741" s="255"/>
      <c r="C741" s="256"/>
      <c r="D741" s="257" t="str">
        <f t="shared" si="72"/>
        <v/>
      </c>
      <c r="E741" s="253"/>
      <c r="F741" s="257" t="str">
        <f t="shared" si="73"/>
        <v/>
      </c>
      <c r="G741" s="257" t="str">
        <f t="shared" si="74"/>
        <v/>
      </c>
      <c r="H741" s="257" t="str">
        <f t="shared" si="75"/>
        <v/>
      </c>
    </row>
    <row r="742" spans="1:8" x14ac:dyDescent="0.25">
      <c r="A742" s="254" t="str">
        <f t="shared" ca="1" si="71"/>
        <v/>
      </c>
      <c r="B742" s="255"/>
      <c r="C742" s="256"/>
      <c r="D742" s="257" t="str">
        <f t="shared" si="72"/>
        <v/>
      </c>
      <c r="E742" s="253"/>
      <c r="F742" s="257" t="str">
        <f t="shared" si="73"/>
        <v/>
      </c>
      <c r="G742" s="257" t="str">
        <f t="shared" si="74"/>
        <v/>
      </c>
      <c r="H742" s="257" t="str">
        <f t="shared" si="75"/>
        <v/>
      </c>
    </row>
    <row r="743" spans="1:8" x14ac:dyDescent="0.25">
      <c r="A743" s="254" t="str">
        <f t="shared" ca="1" si="71"/>
        <v/>
      </c>
      <c r="B743" s="255"/>
      <c r="C743" s="256"/>
      <c r="D743" s="257" t="str">
        <f t="shared" si="72"/>
        <v/>
      </c>
      <c r="E743" s="253"/>
      <c r="F743" s="257" t="str">
        <f t="shared" si="73"/>
        <v/>
      </c>
      <c r="G743" s="257" t="str">
        <f t="shared" si="74"/>
        <v/>
      </c>
      <c r="H743" s="257" t="str">
        <f t="shared" si="75"/>
        <v/>
      </c>
    </row>
    <row r="744" spans="1:8" x14ac:dyDescent="0.25">
      <c r="A744" s="254" t="str">
        <f t="shared" ca="1" si="71"/>
        <v/>
      </c>
      <c r="B744" s="255"/>
      <c r="C744" s="256"/>
      <c r="D744" s="257" t="str">
        <f t="shared" si="72"/>
        <v/>
      </c>
      <c r="E744" s="253"/>
      <c r="F744" s="257" t="str">
        <f t="shared" si="73"/>
        <v/>
      </c>
      <c r="G744" s="257" t="str">
        <f t="shared" si="74"/>
        <v/>
      </c>
      <c r="H744" s="257" t="str">
        <f t="shared" si="75"/>
        <v/>
      </c>
    </row>
    <row r="745" spans="1:8" x14ac:dyDescent="0.25">
      <c r="A745" s="254" t="str">
        <f t="shared" ref="A745:A798" ca="1" si="76">IF(OR(H744&lt;=0,H744=""),"",OFFSET(A745,-1,0,1,1)+1)</f>
        <v/>
      </c>
      <c r="B745" s="255"/>
      <c r="C745" s="256"/>
      <c r="D745" s="257" t="str">
        <f t="shared" si="72"/>
        <v/>
      </c>
      <c r="E745" s="253"/>
      <c r="F745" s="257" t="str">
        <f t="shared" si="73"/>
        <v/>
      </c>
      <c r="G745" s="257" t="str">
        <f t="shared" si="74"/>
        <v/>
      </c>
      <c r="H745" s="257" t="str">
        <f t="shared" si="75"/>
        <v/>
      </c>
    </row>
    <row r="746" spans="1:8" x14ac:dyDescent="0.25">
      <c r="A746" s="254" t="str">
        <f t="shared" ca="1" si="76"/>
        <v/>
      </c>
      <c r="B746" s="255"/>
      <c r="C746" s="256"/>
      <c r="D746" s="257" t="str">
        <f t="shared" si="72"/>
        <v/>
      </c>
      <c r="E746" s="253"/>
      <c r="F746" s="257" t="str">
        <f t="shared" si="73"/>
        <v/>
      </c>
      <c r="G746" s="257" t="str">
        <f t="shared" si="74"/>
        <v/>
      </c>
      <c r="H746" s="257" t="str">
        <f t="shared" si="75"/>
        <v/>
      </c>
    </row>
    <row r="747" spans="1:8" x14ac:dyDescent="0.25">
      <c r="A747" s="254" t="str">
        <f t="shared" ca="1" si="76"/>
        <v/>
      </c>
      <c r="B747" s="255"/>
      <c r="C747" s="256"/>
      <c r="D747" s="257" t="str">
        <f t="shared" si="72"/>
        <v/>
      </c>
      <c r="E747" s="253"/>
      <c r="F747" s="257" t="str">
        <f t="shared" si="73"/>
        <v/>
      </c>
      <c r="G747" s="257" t="str">
        <f t="shared" si="74"/>
        <v/>
      </c>
      <c r="H747" s="257" t="str">
        <f t="shared" si="75"/>
        <v/>
      </c>
    </row>
    <row r="748" spans="1:8" x14ac:dyDescent="0.25">
      <c r="A748" s="254" t="str">
        <f t="shared" ca="1" si="76"/>
        <v/>
      </c>
      <c r="B748" s="255"/>
      <c r="C748" s="256"/>
      <c r="D748" s="257" t="str">
        <f t="shared" si="72"/>
        <v/>
      </c>
      <c r="E748" s="253"/>
      <c r="F748" s="257" t="str">
        <f t="shared" si="73"/>
        <v/>
      </c>
      <c r="G748" s="257" t="str">
        <f t="shared" si="74"/>
        <v/>
      </c>
      <c r="H748" s="257" t="str">
        <f t="shared" si="75"/>
        <v/>
      </c>
    </row>
    <row r="749" spans="1:8" x14ac:dyDescent="0.25">
      <c r="A749" s="254" t="str">
        <f t="shared" ca="1" si="76"/>
        <v/>
      </c>
      <c r="B749" s="255"/>
      <c r="C749" s="256"/>
      <c r="D749" s="257" t="str">
        <f t="shared" si="72"/>
        <v/>
      </c>
      <c r="E749" s="253"/>
      <c r="F749" s="257" t="str">
        <f t="shared" si="73"/>
        <v/>
      </c>
      <c r="G749" s="257" t="str">
        <f t="shared" si="74"/>
        <v/>
      </c>
      <c r="H749" s="257" t="str">
        <f t="shared" si="75"/>
        <v/>
      </c>
    </row>
    <row r="750" spans="1:8" x14ac:dyDescent="0.25">
      <c r="A750" s="254" t="str">
        <f t="shared" ca="1" si="76"/>
        <v/>
      </c>
      <c r="B750" s="255"/>
      <c r="C750" s="256"/>
      <c r="D750" s="257" t="str">
        <f t="shared" si="72"/>
        <v/>
      </c>
      <c r="E750" s="253"/>
      <c r="F750" s="257" t="str">
        <f t="shared" si="73"/>
        <v/>
      </c>
      <c r="G750" s="257" t="str">
        <f t="shared" si="74"/>
        <v/>
      </c>
      <c r="H750" s="257" t="str">
        <f t="shared" si="75"/>
        <v/>
      </c>
    </row>
    <row r="751" spans="1:8" x14ac:dyDescent="0.25">
      <c r="A751" s="254" t="str">
        <f t="shared" ca="1" si="76"/>
        <v/>
      </c>
      <c r="B751" s="255"/>
      <c r="C751" s="256"/>
      <c r="D751" s="257" t="str">
        <f t="shared" si="72"/>
        <v/>
      </c>
      <c r="E751" s="253"/>
      <c r="F751" s="257" t="str">
        <f t="shared" si="73"/>
        <v/>
      </c>
      <c r="G751" s="257" t="str">
        <f t="shared" si="74"/>
        <v/>
      </c>
      <c r="H751" s="257" t="str">
        <f t="shared" si="75"/>
        <v/>
      </c>
    </row>
    <row r="752" spans="1:8" x14ac:dyDescent="0.25">
      <c r="A752" s="254" t="str">
        <f t="shared" ca="1" si="76"/>
        <v/>
      </c>
      <c r="B752" s="255"/>
      <c r="C752" s="256"/>
      <c r="D752" s="257" t="str">
        <f t="shared" si="72"/>
        <v/>
      </c>
      <c r="E752" s="253"/>
      <c r="F752" s="257" t="str">
        <f t="shared" si="73"/>
        <v/>
      </c>
      <c r="G752" s="257" t="str">
        <f t="shared" si="74"/>
        <v/>
      </c>
      <c r="H752" s="257" t="str">
        <f t="shared" si="75"/>
        <v/>
      </c>
    </row>
    <row r="753" spans="1:8" x14ac:dyDescent="0.25">
      <c r="A753" s="254" t="str">
        <f t="shared" ca="1" si="76"/>
        <v/>
      </c>
      <c r="B753" s="255"/>
      <c r="C753" s="256"/>
      <c r="D753" s="257" t="str">
        <f t="shared" si="72"/>
        <v/>
      </c>
      <c r="E753" s="253"/>
      <c r="F753" s="257" t="str">
        <f t="shared" si="73"/>
        <v/>
      </c>
      <c r="G753" s="257" t="str">
        <f t="shared" si="74"/>
        <v/>
      </c>
      <c r="H753" s="257" t="str">
        <f t="shared" si="75"/>
        <v/>
      </c>
    </row>
    <row r="754" spans="1:8" x14ac:dyDescent="0.25">
      <c r="A754" s="254" t="str">
        <f t="shared" ca="1" si="76"/>
        <v/>
      </c>
      <c r="B754" s="255"/>
      <c r="C754" s="256"/>
      <c r="D754" s="257" t="str">
        <f t="shared" si="72"/>
        <v/>
      </c>
      <c r="E754" s="253"/>
      <c r="F754" s="257" t="str">
        <f t="shared" si="73"/>
        <v/>
      </c>
      <c r="G754" s="257" t="str">
        <f t="shared" si="74"/>
        <v/>
      </c>
      <c r="H754" s="257" t="str">
        <f t="shared" si="75"/>
        <v/>
      </c>
    </row>
    <row r="755" spans="1:8" x14ac:dyDescent="0.25">
      <c r="A755" s="254" t="str">
        <f t="shared" ca="1" si="76"/>
        <v/>
      </c>
      <c r="B755" s="255"/>
      <c r="C755" s="256"/>
      <c r="D755" s="257" t="str">
        <f t="shared" si="72"/>
        <v/>
      </c>
      <c r="E755" s="253"/>
      <c r="F755" s="257" t="str">
        <f t="shared" si="73"/>
        <v/>
      </c>
      <c r="G755" s="257" t="str">
        <f t="shared" si="74"/>
        <v/>
      </c>
      <c r="H755" s="257" t="str">
        <f t="shared" si="75"/>
        <v/>
      </c>
    </row>
    <row r="756" spans="1:8" x14ac:dyDescent="0.25">
      <c r="A756" s="254" t="str">
        <f t="shared" ca="1" si="76"/>
        <v/>
      </c>
      <c r="B756" s="255"/>
      <c r="C756" s="256"/>
      <c r="D756" s="257" t="str">
        <f t="shared" si="72"/>
        <v/>
      </c>
      <c r="E756" s="253"/>
      <c r="F756" s="257" t="str">
        <f t="shared" si="73"/>
        <v/>
      </c>
      <c r="G756" s="257" t="str">
        <f t="shared" si="74"/>
        <v/>
      </c>
      <c r="H756" s="257" t="str">
        <f t="shared" si="75"/>
        <v/>
      </c>
    </row>
    <row r="757" spans="1:8" x14ac:dyDescent="0.25">
      <c r="A757" s="254" t="str">
        <f t="shared" ca="1" si="76"/>
        <v/>
      </c>
      <c r="B757" s="255"/>
      <c r="C757" s="256"/>
      <c r="D757" s="257" t="str">
        <f t="shared" si="72"/>
        <v/>
      </c>
      <c r="E757" s="253"/>
      <c r="F757" s="257" t="str">
        <f t="shared" si="73"/>
        <v/>
      </c>
      <c r="G757" s="257" t="str">
        <f t="shared" si="74"/>
        <v/>
      </c>
      <c r="H757" s="257" t="str">
        <f t="shared" si="75"/>
        <v/>
      </c>
    </row>
    <row r="758" spans="1:8" x14ac:dyDescent="0.25">
      <c r="A758" s="254" t="str">
        <f t="shared" ca="1" si="76"/>
        <v/>
      </c>
      <c r="B758" s="255"/>
      <c r="C758" s="256"/>
      <c r="D758" s="257" t="str">
        <f t="shared" si="72"/>
        <v/>
      </c>
      <c r="E758" s="253"/>
      <c r="F758" s="257" t="str">
        <f t="shared" si="73"/>
        <v/>
      </c>
      <c r="G758" s="257" t="str">
        <f t="shared" si="74"/>
        <v/>
      </c>
      <c r="H758" s="257" t="str">
        <f t="shared" si="75"/>
        <v/>
      </c>
    </row>
    <row r="759" spans="1:8" x14ac:dyDescent="0.25">
      <c r="A759" s="254" t="str">
        <f t="shared" ca="1" si="76"/>
        <v/>
      </c>
      <c r="B759" s="255"/>
      <c r="C759" s="256"/>
      <c r="D759" s="257" t="str">
        <f t="shared" si="72"/>
        <v/>
      </c>
      <c r="E759" s="253"/>
      <c r="F759" s="257" t="str">
        <f t="shared" si="73"/>
        <v/>
      </c>
      <c r="G759" s="257" t="str">
        <f t="shared" si="74"/>
        <v/>
      </c>
      <c r="H759" s="257" t="str">
        <f t="shared" si="75"/>
        <v/>
      </c>
    </row>
    <row r="760" spans="1:8" x14ac:dyDescent="0.25">
      <c r="A760" s="254" t="str">
        <f t="shared" ca="1" si="76"/>
        <v/>
      </c>
      <c r="B760" s="255"/>
      <c r="C760" s="256"/>
      <c r="D760" s="257" t="str">
        <f t="shared" si="72"/>
        <v/>
      </c>
      <c r="E760" s="253"/>
      <c r="F760" s="257" t="str">
        <f t="shared" si="73"/>
        <v/>
      </c>
      <c r="G760" s="257" t="str">
        <f t="shared" si="74"/>
        <v/>
      </c>
      <c r="H760" s="257" t="str">
        <f t="shared" si="75"/>
        <v/>
      </c>
    </row>
    <row r="761" spans="1:8" x14ac:dyDescent="0.25">
      <c r="A761" s="254" t="str">
        <f t="shared" ca="1" si="76"/>
        <v/>
      </c>
      <c r="B761" s="255"/>
      <c r="C761" s="256"/>
      <c r="D761" s="257" t="str">
        <f t="shared" si="72"/>
        <v/>
      </c>
      <c r="E761" s="253"/>
      <c r="F761" s="257" t="str">
        <f t="shared" si="73"/>
        <v/>
      </c>
      <c r="G761" s="257" t="str">
        <f t="shared" si="74"/>
        <v/>
      </c>
      <c r="H761" s="257" t="str">
        <f t="shared" si="75"/>
        <v/>
      </c>
    </row>
    <row r="762" spans="1:8" x14ac:dyDescent="0.25">
      <c r="A762" s="254" t="str">
        <f t="shared" ca="1" si="76"/>
        <v/>
      </c>
      <c r="B762" s="255"/>
      <c r="C762" s="256"/>
      <c r="D762" s="257" t="str">
        <f t="shared" si="72"/>
        <v/>
      </c>
      <c r="E762" s="253"/>
      <c r="F762" s="257" t="str">
        <f t="shared" si="73"/>
        <v/>
      </c>
      <c r="G762" s="257" t="str">
        <f t="shared" si="74"/>
        <v/>
      </c>
      <c r="H762" s="257" t="str">
        <f t="shared" si="75"/>
        <v/>
      </c>
    </row>
    <row r="763" spans="1:8" x14ac:dyDescent="0.25">
      <c r="A763" s="254" t="str">
        <f t="shared" ca="1" si="76"/>
        <v/>
      </c>
      <c r="B763" s="255"/>
      <c r="C763" s="256"/>
      <c r="D763" s="257" t="str">
        <f t="shared" si="72"/>
        <v/>
      </c>
      <c r="E763" s="253"/>
      <c r="F763" s="257" t="str">
        <f t="shared" si="73"/>
        <v/>
      </c>
      <c r="G763" s="257" t="str">
        <f t="shared" si="74"/>
        <v/>
      </c>
      <c r="H763" s="257" t="str">
        <f t="shared" si="75"/>
        <v/>
      </c>
    </row>
    <row r="764" spans="1:8" x14ac:dyDescent="0.25">
      <c r="A764" s="254" t="str">
        <f t="shared" ca="1" si="76"/>
        <v/>
      </c>
      <c r="B764" s="255"/>
      <c r="C764" s="256"/>
      <c r="D764" s="257" t="str">
        <f t="shared" si="72"/>
        <v/>
      </c>
      <c r="E764" s="253"/>
      <c r="F764" s="257" t="str">
        <f t="shared" si="73"/>
        <v/>
      </c>
      <c r="G764" s="257" t="str">
        <f t="shared" si="74"/>
        <v/>
      </c>
      <c r="H764" s="257" t="str">
        <f t="shared" si="75"/>
        <v/>
      </c>
    </row>
    <row r="765" spans="1:8" x14ac:dyDescent="0.25">
      <c r="A765" s="254" t="str">
        <f t="shared" ca="1" si="76"/>
        <v/>
      </c>
      <c r="B765" s="255"/>
      <c r="C765" s="256"/>
      <c r="D765" s="257" t="str">
        <f t="shared" si="72"/>
        <v/>
      </c>
      <c r="E765" s="253"/>
      <c r="F765" s="257" t="str">
        <f t="shared" si="73"/>
        <v/>
      </c>
      <c r="G765" s="257" t="str">
        <f t="shared" si="74"/>
        <v/>
      </c>
      <c r="H765" s="257" t="str">
        <f t="shared" si="75"/>
        <v/>
      </c>
    </row>
    <row r="766" spans="1:8" x14ac:dyDescent="0.25">
      <c r="A766" s="254" t="str">
        <f t="shared" ca="1" si="76"/>
        <v/>
      </c>
      <c r="B766" s="255"/>
      <c r="C766" s="256"/>
      <c r="D766" s="257" t="str">
        <f t="shared" si="72"/>
        <v/>
      </c>
      <c r="E766" s="253"/>
      <c r="F766" s="257" t="str">
        <f t="shared" si="73"/>
        <v/>
      </c>
      <c r="G766" s="257" t="str">
        <f t="shared" si="74"/>
        <v/>
      </c>
      <c r="H766" s="257" t="str">
        <f t="shared" si="75"/>
        <v/>
      </c>
    </row>
    <row r="767" spans="1:8" x14ac:dyDescent="0.25">
      <c r="A767" s="254" t="str">
        <f t="shared" ca="1" si="76"/>
        <v/>
      </c>
      <c r="B767" s="255"/>
      <c r="C767" s="256"/>
      <c r="D767" s="257" t="str">
        <f t="shared" si="72"/>
        <v/>
      </c>
      <c r="E767" s="253"/>
      <c r="F767" s="257" t="str">
        <f t="shared" si="73"/>
        <v/>
      </c>
      <c r="G767" s="257" t="str">
        <f t="shared" si="74"/>
        <v/>
      </c>
      <c r="H767" s="257" t="str">
        <f t="shared" si="75"/>
        <v/>
      </c>
    </row>
    <row r="768" spans="1:8" x14ac:dyDescent="0.25">
      <c r="A768" s="254" t="str">
        <f t="shared" ca="1" si="76"/>
        <v/>
      </c>
      <c r="B768" s="255"/>
      <c r="C768" s="256"/>
      <c r="D768" s="257" t="str">
        <f t="shared" si="72"/>
        <v/>
      </c>
      <c r="E768" s="253"/>
      <c r="F768" s="257" t="str">
        <f t="shared" si="73"/>
        <v/>
      </c>
      <c r="G768" s="257" t="str">
        <f t="shared" si="74"/>
        <v/>
      </c>
      <c r="H768" s="257" t="str">
        <f t="shared" si="75"/>
        <v/>
      </c>
    </row>
    <row r="769" spans="1:8" x14ac:dyDescent="0.25">
      <c r="A769" s="254" t="str">
        <f t="shared" ca="1" si="76"/>
        <v/>
      </c>
      <c r="B769" s="255"/>
      <c r="C769" s="256"/>
      <c r="D769" s="257" t="str">
        <f t="shared" si="72"/>
        <v/>
      </c>
      <c r="E769" s="253"/>
      <c r="F769" s="257" t="str">
        <f t="shared" si="73"/>
        <v/>
      </c>
      <c r="G769" s="257" t="str">
        <f t="shared" si="74"/>
        <v/>
      </c>
      <c r="H769" s="257" t="str">
        <f t="shared" si="75"/>
        <v/>
      </c>
    </row>
    <row r="770" spans="1:8" x14ac:dyDescent="0.25">
      <c r="A770" s="254" t="str">
        <f t="shared" ca="1" si="76"/>
        <v/>
      </c>
      <c r="B770" s="255"/>
      <c r="C770" s="256"/>
      <c r="D770" s="257" t="str">
        <f t="shared" si="72"/>
        <v/>
      </c>
      <c r="E770" s="253"/>
      <c r="F770" s="257" t="str">
        <f t="shared" si="73"/>
        <v/>
      </c>
      <c r="G770" s="257" t="str">
        <f t="shared" si="74"/>
        <v/>
      </c>
      <c r="H770" s="257" t="str">
        <f t="shared" si="75"/>
        <v/>
      </c>
    </row>
    <row r="771" spans="1:8" x14ac:dyDescent="0.25">
      <c r="A771" s="254" t="str">
        <f t="shared" ca="1" si="76"/>
        <v/>
      </c>
      <c r="B771" s="255"/>
      <c r="C771" s="256"/>
      <c r="D771" s="257" t="str">
        <f t="shared" si="72"/>
        <v/>
      </c>
      <c r="E771" s="253"/>
      <c r="F771" s="257" t="str">
        <f t="shared" si="73"/>
        <v/>
      </c>
      <c r="G771" s="257" t="str">
        <f t="shared" si="74"/>
        <v/>
      </c>
      <c r="H771" s="257" t="str">
        <f t="shared" si="75"/>
        <v/>
      </c>
    </row>
    <row r="772" spans="1:8" x14ac:dyDescent="0.25">
      <c r="A772" s="254" t="str">
        <f t="shared" ca="1" si="76"/>
        <v/>
      </c>
      <c r="B772" s="255"/>
      <c r="C772" s="256"/>
      <c r="D772" s="257" t="str">
        <f t="shared" si="72"/>
        <v/>
      </c>
      <c r="E772" s="253"/>
      <c r="F772" s="257" t="str">
        <f t="shared" si="73"/>
        <v/>
      </c>
      <c r="G772" s="257" t="str">
        <f t="shared" si="74"/>
        <v/>
      </c>
      <c r="H772" s="257" t="str">
        <f t="shared" si="75"/>
        <v/>
      </c>
    </row>
    <row r="773" spans="1:8" x14ac:dyDescent="0.25">
      <c r="A773" s="254" t="str">
        <f t="shared" ca="1" si="76"/>
        <v/>
      </c>
      <c r="B773" s="255"/>
      <c r="C773" s="256"/>
      <c r="D773" s="257" t="str">
        <f t="shared" si="72"/>
        <v/>
      </c>
      <c r="E773" s="253"/>
      <c r="F773" s="257" t="str">
        <f t="shared" si="73"/>
        <v/>
      </c>
      <c r="G773" s="257" t="str">
        <f t="shared" si="74"/>
        <v/>
      </c>
      <c r="H773" s="257" t="str">
        <f t="shared" si="75"/>
        <v/>
      </c>
    </row>
    <row r="774" spans="1:8" x14ac:dyDescent="0.25">
      <c r="A774" s="254" t="str">
        <f t="shared" ca="1" si="76"/>
        <v/>
      </c>
      <c r="B774" s="255"/>
      <c r="C774" s="256"/>
      <c r="D774" s="257" t="str">
        <f t="shared" si="72"/>
        <v/>
      </c>
      <c r="E774" s="253"/>
      <c r="F774" s="257" t="str">
        <f t="shared" si="73"/>
        <v/>
      </c>
      <c r="G774" s="257" t="str">
        <f t="shared" si="74"/>
        <v/>
      </c>
      <c r="H774" s="257" t="str">
        <f t="shared" si="75"/>
        <v/>
      </c>
    </row>
    <row r="775" spans="1:8" x14ac:dyDescent="0.25">
      <c r="A775" s="254" t="str">
        <f t="shared" ca="1" si="76"/>
        <v/>
      </c>
      <c r="B775" s="255"/>
      <c r="C775" s="256"/>
      <c r="D775" s="257" t="str">
        <f t="shared" si="72"/>
        <v/>
      </c>
      <c r="E775" s="253"/>
      <c r="F775" s="257" t="str">
        <f t="shared" si="73"/>
        <v/>
      </c>
      <c r="G775" s="257" t="str">
        <f t="shared" si="74"/>
        <v/>
      </c>
      <c r="H775" s="257" t="str">
        <f t="shared" si="75"/>
        <v/>
      </c>
    </row>
    <row r="776" spans="1:8" x14ac:dyDescent="0.25">
      <c r="A776" s="254" t="str">
        <f t="shared" ca="1" si="76"/>
        <v/>
      </c>
      <c r="B776" s="255"/>
      <c r="C776" s="256"/>
      <c r="D776" s="257" t="str">
        <f t="shared" si="72"/>
        <v/>
      </c>
      <c r="E776" s="253"/>
      <c r="F776" s="257" t="str">
        <f t="shared" si="73"/>
        <v/>
      </c>
      <c r="G776" s="257" t="str">
        <f t="shared" si="74"/>
        <v/>
      </c>
      <c r="H776" s="257" t="str">
        <f t="shared" si="75"/>
        <v/>
      </c>
    </row>
    <row r="777" spans="1:8" x14ac:dyDescent="0.25">
      <c r="A777" s="254" t="str">
        <f t="shared" ca="1" si="76"/>
        <v/>
      </c>
      <c r="B777" s="255"/>
      <c r="C777" s="256"/>
      <c r="D777" s="257" t="str">
        <f t="shared" si="72"/>
        <v/>
      </c>
      <c r="E777" s="253"/>
      <c r="F777" s="257" t="str">
        <f t="shared" si="73"/>
        <v/>
      </c>
      <c r="G777" s="257" t="str">
        <f t="shared" si="74"/>
        <v/>
      </c>
      <c r="H777" s="257" t="str">
        <f t="shared" si="75"/>
        <v/>
      </c>
    </row>
    <row r="778" spans="1:8" x14ac:dyDescent="0.25">
      <c r="A778" s="254" t="str">
        <f t="shared" ca="1" si="76"/>
        <v/>
      </c>
      <c r="B778" s="255"/>
      <c r="C778" s="256"/>
      <c r="D778" s="257" t="str">
        <f t="shared" si="72"/>
        <v/>
      </c>
      <c r="E778" s="253"/>
      <c r="F778" s="257" t="str">
        <f t="shared" si="73"/>
        <v/>
      </c>
      <c r="G778" s="257" t="str">
        <f t="shared" si="74"/>
        <v/>
      </c>
      <c r="H778" s="257" t="str">
        <f t="shared" si="75"/>
        <v/>
      </c>
    </row>
    <row r="779" spans="1:8" x14ac:dyDescent="0.25">
      <c r="A779" s="254" t="str">
        <f t="shared" ca="1" si="76"/>
        <v/>
      </c>
      <c r="B779" s="255"/>
      <c r="C779" s="256"/>
      <c r="D779" s="257" t="str">
        <f t="shared" si="72"/>
        <v/>
      </c>
      <c r="E779" s="253"/>
      <c r="F779" s="257" t="str">
        <f t="shared" si="73"/>
        <v/>
      </c>
      <c r="G779" s="257" t="str">
        <f t="shared" si="74"/>
        <v/>
      </c>
      <c r="H779" s="257" t="str">
        <f t="shared" si="75"/>
        <v/>
      </c>
    </row>
    <row r="780" spans="1:8" x14ac:dyDescent="0.25">
      <c r="A780" s="254" t="str">
        <f t="shared" ca="1" si="76"/>
        <v/>
      </c>
      <c r="B780" s="255"/>
      <c r="C780" s="256"/>
      <c r="D780" s="257" t="str">
        <f t="shared" si="72"/>
        <v/>
      </c>
      <c r="E780" s="253"/>
      <c r="F780" s="257" t="str">
        <f t="shared" si="73"/>
        <v/>
      </c>
      <c r="G780" s="257" t="str">
        <f t="shared" si="74"/>
        <v/>
      </c>
      <c r="H780" s="257" t="str">
        <f t="shared" si="75"/>
        <v/>
      </c>
    </row>
    <row r="781" spans="1:8" x14ac:dyDescent="0.25">
      <c r="A781" s="254" t="str">
        <f t="shared" ca="1" si="76"/>
        <v/>
      </c>
      <c r="B781" s="255"/>
      <c r="C781" s="256"/>
      <c r="D781" s="257" t="str">
        <f t="shared" si="72"/>
        <v/>
      </c>
      <c r="E781" s="253"/>
      <c r="F781" s="257" t="str">
        <f t="shared" si="73"/>
        <v/>
      </c>
      <c r="G781" s="257" t="str">
        <f t="shared" si="74"/>
        <v/>
      </c>
      <c r="H781" s="257" t="str">
        <f t="shared" si="75"/>
        <v/>
      </c>
    </row>
    <row r="782" spans="1:8" x14ac:dyDescent="0.25">
      <c r="A782" s="254" t="str">
        <f t="shared" ca="1" si="76"/>
        <v/>
      </c>
      <c r="B782" s="255"/>
      <c r="C782" s="256"/>
      <c r="D782" s="257" t="str">
        <f t="shared" si="72"/>
        <v/>
      </c>
      <c r="E782" s="253"/>
      <c r="F782" s="257" t="str">
        <f t="shared" si="73"/>
        <v/>
      </c>
      <c r="G782" s="257" t="str">
        <f t="shared" si="74"/>
        <v/>
      </c>
      <c r="H782" s="257" t="str">
        <f t="shared" si="75"/>
        <v/>
      </c>
    </row>
    <row r="783" spans="1:8" x14ac:dyDescent="0.25">
      <c r="A783" s="254" t="str">
        <f t="shared" ca="1" si="76"/>
        <v/>
      </c>
      <c r="B783" s="255"/>
      <c r="C783" s="256"/>
      <c r="D783" s="257" t="str">
        <f t="shared" si="72"/>
        <v/>
      </c>
      <c r="E783" s="253"/>
      <c r="F783" s="257" t="str">
        <f t="shared" si="73"/>
        <v/>
      </c>
      <c r="G783" s="257" t="str">
        <f t="shared" si="74"/>
        <v/>
      </c>
      <c r="H783" s="257" t="str">
        <f t="shared" si="75"/>
        <v/>
      </c>
    </row>
    <row r="784" spans="1:8" x14ac:dyDescent="0.25">
      <c r="A784" s="254" t="str">
        <f t="shared" ca="1" si="76"/>
        <v/>
      </c>
      <c r="B784" s="255"/>
      <c r="C784" s="256"/>
      <c r="D784" s="257" t="str">
        <f t="shared" si="72"/>
        <v/>
      </c>
      <c r="E784" s="253"/>
      <c r="F784" s="257" t="str">
        <f t="shared" si="73"/>
        <v/>
      </c>
      <c r="G784" s="257" t="str">
        <f t="shared" si="74"/>
        <v/>
      </c>
      <c r="H784" s="257" t="str">
        <f t="shared" si="75"/>
        <v/>
      </c>
    </row>
    <row r="785" spans="1:8" x14ac:dyDescent="0.25">
      <c r="A785" s="254" t="str">
        <f t="shared" ca="1" si="76"/>
        <v/>
      </c>
      <c r="B785" s="255"/>
      <c r="C785" s="256"/>
      <c r="D785" s="257" t="str">
        <f t="shared" si="72"/>
        <v/>
      </c>
      <c r="E785" s="253"/>
      <c r="F785" s="257" t="str">
        <f t="shared" si="73"/>
        <v/>
      </c>
      <c r="G785" s="257" t="str">
        <f t="shared" si="74"/>
        <v/>
      </c>
      <c r="H785" s="257" t="str">
        <f t="shared" si="75"/>
        <v/>
      </c>
    </row>
    <row r="786" spans="1:8" x14ac:dyDescent="0.25">
      <c r="A786" s="254" t="str">
        <f t="shared" ca="1" si="76"/>
        <v/>
      </c>
      <c r="B786" s="255"/>
      <c r="C786" s="256"/>
      <c r="D786" s="257" t="str">
        <f t="shared" si="72"/>
        <v/>
      </c>
      <c r="E786" s="253"/>
      <c r="F786" s="257" t="str">
        <f t="shared" si="73"/>
        <v/>
      </c>
      <c r="G786" s="257" t="str">
        <f t="shared" si="74"/>
        <v/>
      </c>
      <c r="H786" s="257" t="str">
        <f t="shared" si="75"/>
        <v/>
      </c>
    </row>
    <row r="787" spans="1:8" x14ac:dyDescent="0.25">
      <c r="A787" s="254" t="str">
        <f t="shared" ca="1" si="76"/>
        <v/>
      </c>
      <c r="B787" s="255"/>
      <c r="C787" s="256"/>
      <c r="D787" s="257" t="str">
        <f t="shared" ref="D787:D798" si="77">IF(B787="","",ROUND((B787-B786)*$H$9*G786,2))</f>
        <v/>
      </c>
      <c r="E787" s="253"/>
      <c r="F787" s="257" t="str">
        <f t="shared" ref="F787:F798" si="78">IF(B787="","",IF(C787&gt;F786+D787,0,F786+D787-C787))</f>
        <v/>
      </c>
      <c r="G787" s="257" t="str">
        <f t="shared" ref="G787:G798" si="79">IF(B787="","",IF(C787&gt;D787+F786,G786+F786+D787-C787,G786))</f>
        <v/>
      </c>
      <c r="H787" s="257" t="str">
        <f t="shared" ref="H787:H798" si="80">IF(B787="","",G787+F787)</f>
        <v/>
      </c>
    </row>
    <row r="788" spans="1:8" x14ac:dyDescent="0.25">
      <c r="A788" s="254" t="str">
        <f t="shared" ca="1" si="76"/>
        <v/>
      </c>
      <c r="B788" s="255"/>
      <c r="C788" s="256"/>
      <c r="D788" s="257" t="str">
        <f t="shared" si="77"/>
        <v/>
      </c>
      <c r="E788" s="253"/>
      <c r="F788" s="257" t="str">
        <f t="shared" si="78"/>
        <v/>
      </c>
      <c r="G788" s="257" t="str">
        <f t="shared" si="79"/>
        <v/>
      </c>
      <c r="H788" s="257" t="str">
        <f t="shared" si="80"/>
        <v/>
      </c>
    </row>
    <row r="789" spans="1:8" x14ac:dyDescent="0.25">
      <c r="A789" s="254" t="str">
        <f t="shared" ca="1" si="76"/>
        <v/>
      </c>
      <c r="B789" s="255"/>
      <c r="C789" s="256"/>
      <c r="D789" s="257" t="str">
        <f t="shared" si="77"/>
        <v/>
      </c>
      <c r="E789" s="253"/>
      <c r="F789" s="257" t="str">
        <f t="shared" si="78"/>
        <v/>
      </c>
      <c r="G789" s="257" t="str">
        <f t="shared" si="79"/>
        <v/>
      </c>
      <c r="H789" s="257" t="str">
        <f t="shared" si="80"/>
        <v/>
      </c>
    </row>
    <row r="790" spans="1:8" x14ac:dyDescent="0.25">
      <c r="A790" s="254" t="str">
        <f t="shared" ca="1" si="76"/>
        <v/>
      </c>
      <c r="B790" s="255"/>
      <c r="C790" s="256"/>
      <c r="D790" s="257" t="str">
        <f t="shared" si="77"/>
        <v/>
      </c>
      <c r="E790" s="253"/>
      <c r="F790" s="257" t="str">
        <f t="shared" si="78"/>
        <v/>
      </c>
      <c r="G790" s="257" t="str">
        <f t="shared" si="79"/>
        <v/>
      </c>
      <c r="H790" s="257" t="str">
        <f t="shared" si="80"/>
        <v/>
      </c>
    </row>
    <row r="791" spans="1:8" x14ac:dyDescent="0.25">
      <c r="A791" s="254" t="str">
        <f t="shared" ca="1" si="76"/>
        <v/>
      </c>
      <c r="B791" s="255"/>
      <c r="C791" s="256"/>
      <c r="D791" s="257" t="str">
        <f t="shared" si="77"/>
        <v/>
      </c>
      <c r="E791" s="253"/>
      <c r="F791" s="257" t="str">
        <f t="shared" si="78"/>
        <v/>
      </c>
      <c r="G791" s="257" t="str">
        <f t="shared" si="79"/>
        <v/>
      </c>
      <c r="H791" s="257" t="str">
        <f t="shared" si="80"/>
        <v/>
      </c>
    </row>
    <row r="792" spans="1:8" x14ac:dyDescent="0.25">
      <c r="A792" s="254" t="str">
        <f t="shared" ca="1" si="76"/>
        <v/>
      </c>
      <c r="B792" s="255"/>
      <c r="C792" s="256"/>
      <c r="D792" s="257" t="str">
        <f t="shared" si="77"/>
        <v/>
      </c>
      <c r="E792" s="253"/>
      <c r="F792" s="257" t="str">
        <f t="shared" si="78"/>
        <v/>
      </c>
      <c r="G792" s="257" t="str">
        <f t="shared" si="79"/>
        <v/>
      </c>
      <c r="H792" s="257" t="str">
        <f t="shared" si="80"/>
        <v/>
      </c>
    </row>
    <row r="793" spans="1:8" x14ac:dyDescent="0.25">
      <c r="A793" s="254" t="str">
        <f t="shared" ca="1" si="76"/>
        <v/>
      </c>
      <c r="B793" s="255"/>
      <c r="C793" s="256"/>
      <c r="D793" s="257" t="str">
        <f t="shared" si="77"/>
        <v/>
      </c>
      <c r="E793" s="253"/>
      <c r="F793" s="257" t="str">
        <f t="shared" si="78"/>
        <v/>
      </c>
      <c r="G793" s="257" t="str">
        <f t="shared" si="79"/>
        <v/>
      </c>
      <c r="H793" s="257" t="str">
        <f t="shared" si="80"/>
        <v/>
      </c>
    </row>
    <row r="794" spans="1:8" x14ac:dyDescent="0.25">
      <c r="A794" s="254" t="str">
        <f t="shared" ca="1" si="76"/>
        <v/>
      </c>
      <c r="B794" s="255"/>
      <c r="C794" s="256"/>
      <c r="D794" s="257" t="str">
        <f t="shared" si="77"/>
        <v/>
      </c>
      <c r="E794" s="253"/>
      <c r="F794" s="257" t="str">
        <f t="shared" si="78"/>
        <v/>
      </c>
      <c r="G794" s="257" t="str">
        <f t="shared" si="79"/>
        <v/>
      </c>
      <c r="H794" s="257" t="str">
        <f t="shared" si="80"/>
        <v/>
      </c>
    </row>
    <row r="795" spans="1:8" x14ac:dyDescent="0.25">
      <c r="A795" s="254" t="str">
        <f t="shared" ca="1" si="76"/>
        <v/>
      </c>
      <c r="B795" s="255"/>
      <c r="C795" s="256"/>
      <c r="D795" s="257" t="str">
        <f t="shared" si="77"/>
        <v/>
      </c>
      <c r="E795" s="253"/>
      <c r="F795" s="257" t="str">
        <f t="shared" si="78"/>
        <v/>
      </c>
      <c r="G795" s="257" t="str">
        <f t="shared" si="79"/>
        <v/>
      </c>
      <c r="H795" s="257" t="str">
        <f t="shared" si="80"/>
        <v/>
      </c>
    </row>
    <row r="796" spans="1:8" x14ac:dyDescent="0.25">
      <c r="A796" s="254" t="str">
        <f t="shared" ca="1" si="76"/>
        <v/>
      </c>
      <c r="B796" s="255"/>
      <c r="C796" s="256"/>
      <c r="D796" s="257" t="str">
        <f t="shared" si="77"/>
        <v/>
      </c>
      <c r="E796" s="253"/>
      <c r="F796" s="257" t="str">
        <f t="shared" si="78"/>
        <v/>
      </c>
      <c r="G796" s="257" t="str">
        <f t="shared" si="79"/>
        <v/>
      </c>
      <c r="H796" s="257" t="str">
        <f t="shared" si="80"/>
        <v/>
      </c>
    </row>
    <row r="797" spans="1:8" x14ac:dyDescent="0.25">
      <c r="A797" s="254" t="str">
        <f t="shared" ca="1" si="76"/>
        <v/>
      </c>
      <c r="B797" s="255"/>
      <c r="C797" s="256"/>
      <c r="D797" s="257" t="str">
        <f t="shared" si="77"/>
        <v/>
      </c>
      <c r="E797" s="253"/>
      <c r="F797" s="257" t="str">
        <f t="shared" si="78"/>
        <v/>
      </c>
      <c r="G797" s="257" t="str">
        <f t="shared" si="79"/>
        <v/>
      </c>
      <c r="H797" s="257" t="str">
        <f t="shared" si="80"/>
        <v/>
      </c>
    </row>
    <row r="798" spans="1:8" x14ac:dyDescent="0.25">
      <c r="A798" s="254" t="str">
        <f t="shared" ca="1" si="76"/>
        <v/>
      </c>
      <c r="B798" s="255"/>
      <c r="C798" s="256"/>
      <c r="D798" s="257" t="str">
        <f t="shared" si="77"/>
        <v/>
      </c>
      <c r="E798" s="253"/>
      <c r="F798" s="257" t="str">
        <f t="shared" si="78"/>
        <v/>
      </c>
      <c r="G798" s="257" t="str">
        <f t="shared" si="79"/>
        <v/>
      </c>
      <c r="H798" s="257" t="str">
        <f t="shared" si="80"/>
        <v/>
      </c>
    </row>
    <row r="799" spans="1:8" x14ac:dyDescent="0.25">
      <c r="A799" s="264" t="s">
        <v>355</v>
      </c>
      <c r="B799" s="264"/>
      <c r="C799" s="264"/>
      <c r="D799" s="265"/>
      <c r="E799" s="265"/>
      <c r="F799" s="265"/>
      <c r="G799" s="265"/>
      <c r="H799" s="265"/>
    </row>
  </sheetData>
  <mergeCells count="3">
    <mergeCell ref="K2:K15"/>
    <mergeCell ref="C4:D4"/>
    <mergeCell ref="A16:D16"/>
  </mergeCells>
  <hyperlinks>
    <hyperlink ref="A2" r:id="rId1" xr:uid="{E0ED4271-D47E-4A17-BACE-30C48FAD6150}"/>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62F08-3FE0-43E0-ADEE-DED95D66146D}">
  <sheetPr codeName="Sheet20">
    <tabColor rgb="FF0070C0"/>
  </sheetPr>
  <dimension ref="A1:EA799"/>
  <sheetViews>
    <sheetView showGridLines="0" zoomScale="80" zoomScaleNormal="80" workbookViewId="0">
      <selection activeCell="D11" sqref="D11"/>
    </sheetView>
  </sheetViews>
  <sheetFormatPr defaultColWidth="8.5546875" defaultRowHeight="13.2" x14ac:dyDescent="0.25"/>
  <cols>
    <col min="1" max="1" width="5.33203125" style="220" customWidth="1"/>
    <col min="2" max="2" width="10.88671875" style="220" customWidth="1"/>
    <col min="3" max="3" width="11.33203125" style="220" customWidth="1"/>
    <col min="4" max="4" width="19" style="220" customWidth="1"/>
    <col min="5" max="5" width="10.88671875" style="220" customWidth="1"/>
    <col min="6" max="6" width="10" style="220" customWidth="1"/>
    <col min="7" max="7" width="12.44140625" style="220" customWidth="1"/>
    <col min="8" max="8" width="14.6640625" style="220" customWidth="1"/>
    <col min="9" max="10" width="10.5546875" style="220" customWidth="1"/>
    <col min="11" max="11" width="48.109375" style="220" customWidth="1"/>
    <col min="12" max="12" width="13.88671875" style="220" customWidth="1"/>
    <col min="13" max="14" width="11" style="220" customWidth="1"/>
    <col min="15" max="131" width="10.5546875" style="220" bestFit="1" customWidth="1"/>
    <col min="132" max="16384" width="8.5546875" style="220"/>
  </cols>
  <sheetData>
    <row r="1" spans="1:11" ht="30" customHeight="1" x14ac:dyDescent="0.4">
      <c r="A1" s="217" t="s">
        <v>313</v>
      </c>
      <c r="B1" s="218"/>
      <c r="C1" s="218"/>
      <c r="D1" s="218"/>
      <c r="E1" s="218"/>
      <c r="F1" s="218"/>
      <c r="G1" s="219"/>
      <c r="H1" s="219"/>
      <c r="K1" s="221" t="s">
        <v>314</v>
      </c>
    </row>
    <row r="2" spans="1:11" ht="12.75" customHeight="1" x14ac:dyDescent="0.25">
      <c r="A2" s="222" t="s">
        <v>315</v>
      </c>
      <c r="H2" s="223" t="str">
        <f ca="1">"© 2008-" &amp; YEAR(TODAY()) &amp; " Vertex42 LLC"</f>
        <v>© 2008-2024 Vertex42 LLC</v>
      </c>
      <c r="K2" s="1785" t="s">
        <v>316</v>
      </c>
    </row>
    <row r="3" spans="1:11" x14ac:dyDescent="0.25">
      <c r="A3" s="222"/>
      <c r="H3" s="223"/>
      <c r="K3" s="1786"/>
    </row>
    <row r="4" spans="1:11" ht="15.6" x14ac:dyDescent="0.3">
      <c r="B4" s="224" t="s">
        <v>317</v>
      </c>
      <c r="C4" s="1787"/>
      <c r="D4" s="1787"/>
      <c r="H4" s="225" t="s">
        <v>318</v>
      </c>
      <c r="K4" s="1786"/>
    </row>
    <row r="5" spans="1:11" x14ac:dyDescent="0.25">
      <c r="C5" s="220" t="s">
        <v>319</v>
      </c>
      <c r="H5" s="226" t="s">
        <v>320</v>
      </c>
      <c r="K5" s="1786"/>
    </row>
    <row r="6" spans="1:11" x14ac:dyDescent="0.25">
      <c r="C6" s="227" t="s">
        <v>321</v>
      </c>
      <c r="H6" s="226" t="s">
        <v>321</v>
      </c>
      <c r="K6" s="1786"/>
    </row>
    <row r="7" spans="1:11" x14ac:dyDescent="0.25">
      <c r="K7" s="1786"/>
    </row>
    <row r="8" spans="1:11" ht="13.8" x14ac:dyDescent="0.25">
      <c r="A8" s="228" t="s">
        <v>322</v>
      </c>
      <c r="B8" s="229"/>
      <c r="C8" s="229"/>
      <c r="D8" s="229"/>
      <c r="E8" s="230" t="s">
        <v>323</v>
      </c>
      <c r="F8" s="228" t="s">
        <v>324</v>
      </c>
      <c r="G8" s="231"/>
      <c r="H8" s="231"/>
      <c r="K8" s="1786"/>
    </row>
    <row r="9" spans="1:11" ht="15" customHeight="1" x14ac:dyDescent="0.25">
      <c r="A9" s="232"/>
      <c r="B9" s="232"/>
      <c r="C9" s="233" t="s">
        <v>325</v>
      </c>
      <c r="D9" s="887">
        <f>'Sources and Uses'!J3*1000</f>
        <v>1300500</v>
      </c>
      <c r="F9" s="232"/>
      <c r="G9" s="233" t="s">
        <v>326</v>
      </c>
      <c r="H9" s="235">
        <f>D10/D12</f>
        <v>2.2222222222222223E-4</v>
      </c>
      <c r="K9" s="1786"/>
    </row>
    <row r="10" spans="1:11" ht="15" customHeight="1" x14ac:dyDescent="0.25">
      <c r="A10" s="232"/>
      <c r="B10" s="232"/>
      <c r="C10" s="233" t="s">
        <v>328</v>
      </c>
      <c r="D10" s="1363">
        <v>0.08</v>
      </c>
      <c r="F10" s="232"/>
      <c r="G10" s="233" t="s">
        <v>331</v>
      </c>
      <c r="H10" s="233">
        <f>5*12</f>
        <v>60</v>
      </c>
      <c r="K10" s="1786"/>
    </row>
    <row r="11" spans="1:11" ht="15" customHeight="1" x14ac:dyDescent="0.25">
      <c r="A11" s="232"/>
      <c r="B11" s="232"/>
      <c r="C11" s="233" t="s">
        <v>332</v>
      </c>
      <c r="D11" s="238">
        <v>44931</v>
      </c>
      <c r="F11" s="232"/>
      <c r="G11" s="233" t="s">
        <v>333</v>
      </c>
      <c r="H11" s="888">
        <f ca="1">SUM(C19:C798)</f>
        <v>1597883.9375135757</v>
      </c>
      <c r="K11" s="1786"/>
    </row>
    <row r="12" spans="1:11" ht="15" customHeight="1" x14ac:dyDescent="0.25">
      <c r="A12" s="232"/>
      <c r="B12" s="232"/>
      <c r="C12" s="233" t="s">
        <v>334</v>
      </c>
      <c r="D12" s="239">
        <v>360</v>
      </c>
      <c r="F12" s="232"/>
      <c r="G12" s="233" t="s">
        <v>335</v>
      </c>
      <c r="H12" s="888">
        <f ca="1">SUM(D18:D798)</f>
        <v>287849.56000000017</v>
      </c>
      <c r="K12" s="1786"/>
    </row>
    <row r="13" spans="1:11" ht="15" customHeight="1" x14ac:dyDescent="0.25">
      <c r="G13" s="220" t="s">
        <v>337</v>
      </c>
      <c r="H13" s="220">
        <v>120</v>
      </c>
      <c r="K13" s="1786"/>
    </row>
    <row r="14" spans="1:11" ht="15" x14ac:dyDescent="0.25">
      <c r="C14" s="240" t="s">
        <v>336</v>
      </c>
      <c r="D14" s="241">
        <f>PMT(D10/12,H10,D9,0,1)</f>
        <v>-26194.818647763565</v>
      </c>
      <c r="K14" s="1786"/>
    </row>
    <row r="15" spans="1:11" x14ac:dyDescent="0.25">
      <c r="K15" s="1786"/>
    </row>
    <row r="16" spans="1:11" ht="15.6" x14ac:dyDescent="0.3">
      <c r="A16" s="1788" t="s">
        <v>338</v>
      </c>
      <c r="B16" s="1788"/>
      <c r="C16" s="1788"/>
      <c r="D16" s="1788"/>
      <c r="E16" s="242"/>
      <c r="F16" s="242"/>
      <c r="G16" s="242"/>
      <c r="H16" s="223" t="s">
        <v>339</v>
      </c>
      <c r="K16" s="243" t="s">
        <v>340</v>
      </c>
    </row>
    <row r="17" spans="1:131" ht="30" customHeight="1" thickBot="1" x14ac:dyDescent="0.3">
      <c r="A17" s="244" t="s">
        <v>341</v>
      </c>
      <c r="B17" s="245" t="s">
        <v>342</v>
      </c>
      <c r="C17" s="245" t="s">
        <v>343</v>
      </c>
      <c r="D17" s="245" t="s">
        <v>344</v>
      </c>
      <c r="E17" s="245" t="s">
        <v>1198</v>
      </c>
      <c r="F17" s="245" t="s">
        <v>345</v>
      </c>
      <c r="G17" s="245" t="s">
        <v>346</v>
      </c>
      <c r="H17" s="245" t="s">
        <v>347</v>
      </c>
      <c r="K17" s="246"/>
      <c r="M17" s="247"/>
    </row>
    <row r="18" spans="1:131" x14ac:dyDescent="0.25">
      <c r="A18" s="1302"/>
      <c r="B18" s="1303">
        <f>D11-1</f>
        <v>44930</v>
      </c>
      <c r="C18" s="1304" t="s">
        <v>348</v>
      </c>
      <c r="D18" s="1304" t="s">
        <v>348</v>
      </c>
      <c r="E18" s="1305"/>
      <c r="F18" s="1306">
        <v>0</v>
      </c>
      <c r="G18" s="1307">
        <f>$D$9</f>
        <v>1300500</v>
      </c>
      <c r="H18" s="1307">
        <f>F18+G18</f>
        <v>1300500</v>
      </c>
      <c r="I18" s="253"/>
      <c r="J18" s="253"/>
      <c r="L18" s="220">
        <v>2021</v>
      </c>
      <c r="M18" s="220">
        <f t="shared" ref="M18:W18" si="0">L18+1</f>
        <v>2022</v>
      </c>
      <c r="N18" s="220">
        <f t="shared" si="0"/>
        <v>2023</v>
      </c>
      <c r="O18" s="220">
        <f t="shared" si="0"/>
        <v>2024</v>
      </c>
      <c r="P18" s="220">
        <f t="shared" si="0"/>
        <v>2025</v>
      </c>
      <c r="Q18" s="220">
        <f t="shared" si="0"/>
        <v>2026</v>
      </c>
      <c r="R18" s="220">
        <f t="shared" si="0"/>
        <v>2027</v>
      </c>
      <c r="S18" s="220">
        <f t="shared" si="0"/>
        <v>2028</v>
      </c>
      <c r="T18" s="220">
        <f t="shared" si="0"/>
        <v>2029</v>
      </c>
      <c r="U18" s="220">
        <f t="shared" si="0"/>
        <v>2030</v>
      </c>
      <c r="V18" s="220">
        <f t="shared" si="0"/>
        <v>2031</v>
      </c>
      <c r="W18" s="220">
        <f t="shared" si="0"/>
        <v>2032</v>
      </c>
    </row>
    <row r="19" spans="1:131" x14ac:dyDescent="0.25">
      <c r="A19" s="254">
        <v>1</v>
      </c>
      <c r="B19" s="255">
        <f t="shared" ref="B19:B82" si="1">IF(A19&lt;$H$10+1,DATE(YEAR(B18),MONTH(B18)+1,1),"")</f>
        <v>44958</v>
      </c>
      <c r="C19" s="256">
        <f>-D14</f>
        <v>26194.818647763565</v>
      </c>
      <c r="D19" s="257">
        <f t="shared" ref="D19:D82" si="2">IF(B19="","",ROUND((B19-B18)*$H$9*G18,2))</f>
        <v>8092</v>
      </c>
      <c r="E19" s="253">
        <f t="shared" ref="E19" si="3">IF(B19="","",C19-D19)</f>
        <v>18102.818647763565</v>
      </c>
      <c r="F19" s="257">
        <f t="shared" ref="F19:F82" si="4">IF(B19="","",IF(C19&gt;F18+D19,0,F18+D19-C19))</f>
        <v>0</v>
      </c>
      <c r="G19" s="257">
        <f t="shared" ref="G19:G82" si="5">IF(B19="","",IF(C19&gt;D19+F18,G18+F18+D19-C19,G18))</f>
        <v>1282397.1813522365</v>
      </c>
      <c r="H19" s="257">
        <f t="shared" ref="H19:H82" si="6">IF(B19="","",G19+F19)</f>
        <v>1282397.1813522365</v>
      </c>
      <c r="I19" s="220">
        <f t="shared" ref="I19:I82" si="7">YEAR(B19)</f>
        <v>2023</v>
      </c>
      <c r="K19" s="226" t="s">
        <v>349</v>
      </c>
      <c r="L19" s="260">
        <v>0</v>
      </c>
      <c r="M19" s="258">
        <f t="shared" ref="M19:W19" si="8">L23</f>
        <v>1300500</v>
      </c>
      <c r="N19" s="258">
        <f ca="1">M23</f>
        <v>1300500</v>
      </c>
      <c r="O19" s="258">
        <f t="shared" ca="1" si="8"/>
        <v>1101321.9048746007</v>
      </c>
      <c r="P19" s="258">
        <f t="shared" ca="1" si="8"/>
        <v>867993.31110143778</v>
      </c>
      <c r="Q19" s="258">
        <f t="shared" ca="1" si="8"/>
        <v>614768.25732827489</v>
      </c>
      <c r="R19" s="258">
        <f t="shared" ca="1" si="8"/>
        <v>340222.85355511203</v>
      </c>
      <c r="S19" s="258">
        <f t="shared" ca="1" si="8"/>
        <v>42562.049781949201</v>
      </c>
      <c r="T19" s="258">
        <f t="shared" ca="1" si="8"/>
        <v>0</v>
      </c>
      <c r="U19" s="258">
        <f t="shared" ca="1" si="8"/>
        <v>0</v>
      </c>
      <c r="V19" s="258">
        <f t="shared" ca="1" si="8"/>
        <v>0</v>
      </c>
      <c r="W19" s="258">
        <f t="shared" ca="1" si="8"/>
        <v>0</v>
      </c>
    </row>
    <row r="20" spans="1:131" x14ac:dyDescent="0.25">
      <c r="A20" s="254">
        <f t="shared" ref="A20:A36" ca="1" si="9">IF(OR(H19&lt;=0,H19=""),"",OFFSET(A20,-1,0,1,1)+1)</f>
        <v>2</v>
      </c>
      <c r="B20" s="255">
        <f t="shared" ca="1" si="1"/>
        <v>44986</v>
      </c>
      <c r="C20" s="256">
        <f ca="1">IF(A20&lt;$H$10,C19,IF(A20=$H$10,D20+G19,""))</f>
        <v>26194.818647763565</v>
      </c>
      <c r="D20" s="257">
        <f ca="1">IF(B20="","",ROUND((B20-B19)*$H$9*G19,2))</f>
        <v>7979.36</v>
      </c>
      <c r="E20" s="253">
        <f ca="1">IF(B20="","",C20-D20)</f>
        <v>18215.458647763564</v>
      </c>
      <c r="F20" s="257">
        <f t="shared" ca="1" si="4"/>
        <v>0</v>
      </c>
      <c r="G20" s="257">
        <f t="shared" ca="1" si="5"/>
        <v>1264181.7227044732</v>
      </c>
      <c r="H20" s="257">
        <f t="shared" ca="1" si="6"/>
        <v>1264181.7227044732</v>
      </c>
      <c r="I20" s="220">
        <f t="shared" ca="1" si="7"/>
        <v>2023</v>
      </c>
      <c r="K20" s="226" t="s">
        <v>343</v>
      </c>
      <c r="L20" s="259">
        <f ca="1">SUMIF($I$19:$I$138,L18,$C$19:$C$138)</f>
        <v>0</v>
      </c>
      <c r="M20" s="259">
        <f t="shared" ref="M20:W20" ca="1" si="10">IF(M18=YEAR($D$11)+$H$10/12,L23+M21,IF(M19&lt;SUMIF($I$19:$I$138,M18,$C$19:$C$138),M19+M21,SUMIF($I$19:$I$138,M18,$C$19:$C$138)))</f>
        <v>0</v>
      </c>
      <c r="N20" s="259">
        <f t="shared" ca="1" si="10"/>
        <v>288143.00512539927</v>
      </c>
      <c r="O20" s="259">
        <f t="shared" ca="1" si="10"/>
        <v>314337.82377316285</v>
      </c>
      <c r="P20" s="259">
        <f t="shared" ca="1" si="10"/>
        <v>314337.82377316285</v>
      </c>
      <c r="Q20" s="259">
        <f t="shared" ca="1" si="10"/>
        <v>314337.82377316285</v>
      </c>
      <c r="R20" s="259">
        <f t="shared" ca="1" si="10"/>
        <v>314337.82377316285</v>
      </c>
      <c r="S20" s="259">
        <f t="shared" ca="1" si="10"/>
        <v>42855.2597819492</v>
      </c>
      <c r="T20" s="259">
        <f t="shared" ca="1" si="10"/>
        <v>0</v>
      </c>
      <c r="U20" s="259">
        <f t="shared" ca="1" si="10"/>
        <v>0</v>
      </c>
      <c r="V20" s="259">
        <f t="shared" ca="1" si="10"/>
        <v>0</v>
      </c>
      <c r="W20" s="259">
        <f t="shared" ca="1" si="10"/>
        <v>0</v>
      </c>
    </row>
    <row r="21" spans="1:131" x14ac:dyDescent="0.25">
      <c r="A21" s="254">
        <f t="shared" ca="1" si="9"/>
        <v>3</v>
      </c>
      <c r="B21" s="255">
        <f t="shared" ca="1" si="1"/>
        <v>45017</v>
      </c>
      <c r="C21" s="256">
        <f ca="1">IF(A21&lt;$H$13,C20,IF(A21=$H$13,D21+G20,""))</f>
        <v>26194.818647763565</v>
      </c>
      <c r="D21" s="257">
        <f t="shared" ca="1" si="2"/>
        <v>8708.81</v>
      </c>
      <c r="E21" s="253">
        <f t="shared" ref="E21:E84" ca="1" si="11">IF(B21="","",C21-D21)</f>
        <v>17486.008647763563</v>
      </c>
      <c r="F21" s="257">
        <f t="shared" ca="1" si="4"/>
        <v>0</v>
      </c>
      <c r="G21" s="257">
        <f t="shared" ca="1" si="5"/>
        <v>1246695.7140567098</v>
      </c>
      <c r="H21" s="257">
        <f t="shared" ca="1" si="6"/>
        <v>1246695.7140567098</v>
      </c>
      <c r="I21" s="220">
        <f t="shared" ca="1" si="7"/>
        <v>2023</v>
      </c>
      <c r="K21" s="226" t="s">
        <v>350</v>
      </c>
      <c r="L21" s="260">
        <f ca="1">SUMIF($I$19:$I$138,L18,$D$19:$D$138)</f>
        <v>0</v>
      </c>
      <c r="M21" s="260">
        <f t="shared" ref="M21:W21" ca="1" si="12">IF(SUMIF($I$19:$I$138,M18,$D$19:$D$138)&gt;0,SUMIF($I$19:$I$138,M18,$D$19:$D$138),0)</f>
        <v>0</v>
      </c>
      <c r="N21" s="260">
        <f t="shared" ca="1" si="12"/>
        <v>88964.91</v>
      </c>
      <c r="O21" s="260">
        <f t="shared" ca="1" si="12"/>
        <v>81009.23</v>
      </c>
      <c r="P21" s="260">
        <f t="shared" ca="1" si="12"/>
        <v>61112.76999999999</v>
      </c>
      <c r="Q21" s="260">
        <f t="shared" ca="1" si="12"/>
        <v>39792.42</v>
      </c>
      <c r="R21" s="260">
        <f t="shared" ca="1" si="12"/>
        <v>16677.02</v>
      </c>
      <c r="S21" s="260">
        <f t="shared" ca="1" si="12"/>
        <v>293.20999999999998</v>
      </c>
      <c r="T21" s="260">
        <f t="shared" ca="1" si="12"/>
        <v>0</v>
      </c>
      <c r="U21" s="260">
        <f t="shared" ca="1" si="12"/>
        <v>0</v>
      </c>
      <c r="V21" s="260">
        <f t="shared" ca="1" si="12"/>
        <v>0</v>
      </c>
      <c r="W21" s="260">
        <f t="shared" ca="1" si="12"/>
        <v>0</v>
      </c>
    </row>
    <row r="22" spans="1:131" x14ac:dyDescent="0.25">
      <c r="A22" s="254">
        <f t="shared" ca="1" si="9"/>
        <v>4</v>
      </c>
      <c r="B22" s="255">
        <f t="shared" ca="1" si="1"/>
        <v>45047</v>
      </c>
      <c r="C22" s="256">
        <f t="shared" ref="C22:C85" ca="1" si="13">IF(A22&lt;$H$13,C21,IF(A22=$H$13,D22+G21,""))</f>
        <v>26194.818647763565</v>
      </c>
      <c r="D22" s="257">
        <f t="shared" ca="1" si="2"/>
        <v>8311.2999999999993</v>
      </c>
      <c r="E22" s="253">
        <f t="shared" ca="1" si="11"/>
        <v>17883.518647763565</v>
      </c>
      <c r="F22" s="257">
        <f t="shared" ca="1" si="4"/>
        <v>0</v>
      </c>
      <c r="G22" s="257">
        <f t="shared" ca="1" si="5"/>
        <v>1228812.1954089464</v>
      </c>
      <c r="H22" s="257">
        <f t="shared" ca="1" si="6"/>
        <v>1228812.1954089464</v>
      </c>
      <c r="I22" s="220">
        <f t="shared" ca="1" si="7"/>
        <v>2023</v>
      </c>
      <c r="K22" s="226" t="s">
        <v>532</v>
      </c>
      <c r="L22" s="258">
        <f t="shared" ref="L22:W22" ca="1" si="14">L20-L21</f>
        <v>0</v>
      </c>
      <c r="M22" s="258">
        <f t="shared" ca="1" si="14"/>
        <v>0</v>
      </c>
      <c r="N22" s="258">
        <f t="shared" ca="1" si="14"/>
        <v>199178.09512539927</v>
      </c>
      <c r="O22" s="258">
        <f t="shared" ca="1" si="14"/>
        <v>233328.59377316287</v>
      </c>
      <c r="P22" s="258">
        <f t="shared" ca="1" si="14"/>
        <v>253225.05377316286</v>
      </c>
      <c r="Q22" s="258">
        <f t="shared" ca="1" si="14"/>
        <v>274545.40377316286</v>
      </c>
      <c r="R22" s="258">
        <f t="shared" ca="1" si="14"/>
        <v>297660.80377316283</v>
      </c>
      <c r="S22" s="258">
        <f t="shared" ca="1" si="14"/>
        <v>42562.049781949201</v>
      </c>
      <c r="T22" s="258">
        <f t="shared" ca="1" si="14"/>
        <v>0</v>
      </c>
      <c r="U22" s="258">
        <f t="shared" ca="1" si="14"/>
        <v>0</v>
      </c>
      <c r="V22" s="258">
        <f t="shared" ca="1" si="14"/>
        <v>0</v>
      </c>
      <c r="W22" s="258">
        <f t="shared" ca="1" si="14"/>
        <v>0</v>
      </c>
    </row>
    <row r="23" spans="1:131" x14ac:dyDescent="0.25">
      <c r="A23" s="254">
        <f t="shared" ca="1" si="9"/>
        <v>5</v>
      </c>
      <c r="B23" s="255">
        <f t="shared" ca="1" si="1"/>
        <v>45078</v>
      </c>
      <c r="C23" s="256">
        <f t="shared" ca="1" si="13"/>
        <v>26194.818647763565</v>
      </c>
      <c r="D23" s="257">
        <f t="shared" ca="1" si="2"/>
        <v>8465.15</v>
      </c>
      <c r="E23" s="253">
        <f t="shared" ca="1" si="11"/>
        <v>17729.668647763567</v>
      </c>
      <c r="F23" s="257">
        <f t="shared" ca="1" si="4"/>
        <v>0</v>
      </c>
      <c r="G23" s="257">
        <f t="shared" ca="1" si="5"/>
        <v>1211082.5267611828</v>
      </c>
      <c r="H23" s="257">
        <f t="shared" ca="1" si="6"/>
        <v>1211082.5267611828</v>
      </c>
      <c r="I23" s="220">
        <f t="shared" ca="1" si="7"/>
        <v>2023</v>
      </c>
      <c r="J23" s="253">
        <f ca="1">SUM(C19:C23)</f>
        <v>130974.09323881782</v>
      </c>
      <c r="K23" s="226" t="s">
        <v>353</v>
      </c>
      <c r="L23" s="258">
        <f>G18</f>
        <v>1300500</v>
      </c>
      <c r="M23" s="258">
        <f ca="1">M19-M22</f>
        <v>1300500</v>
      </c>
      <c r="N23" s="258">
        <f t="shared" ref="N23:W23" ca="1" si="15">N19-N22</f>
        <v>1101321.9048746007</v>
      </c>
      <c r="O23" s="258">
        <f t="shared" ca="1" si="15"/>
        <v>867993.31110143778</v>
      </c>
      <c r="P23" s="258">
        <f t="shared" ca="1" si="15"/>
        <v>614768.25732827489</v>
      </c>
      <c r="Q23" s="258">
        <f t="shared" ca="1" si="15"/>
        <v>340222.85355511203</v>
      </c>
      <c r="R23" s="258">
        <f t="shared" ca="1" si="15"/>
        <v>42562.049781949201</v>
      </c>
      <c r="S23" s="258">
        <f t="shared" ca="1" si="15"/>
        <v>0</v>
      </c>
      <c r="T23" s="258">
        <f t="shared" ca="1" si="15"/>
        <v>0</v>
      </c>
      <c r="U23" s="258">
        <f t="shared" ca="1" si="15"/>
        <v>0</v>
      </c>
      <c r="V23" s="258">
        <f t="shared" ca="1" si="15"/>
        <v>0</v>
      </c>
      <c r="W23" s="258">
        <f t="shared" ca="1" si="15"/>
        <v>0</v>
      </c>
    </row>
    <row r="24" spans="1:131" x14ac:dyDescent="0.25">
      <c r="A24" s="254">
        <f t="shared" ca="1" si="9"/>
        <v>6</v>
      </c>
      <c r="B24" s="255">
        <f t="shared" ca="1" si="1"/>
        <v>45108</v>
      </c>
      <c r="C24" s="256">
        <f t="shared" ca="1" si="13"/>
        <v>26194.818647763565</v>
      </c>
      <c r="D24" s="257">
        <f t="shared" ca="1" si="2"/>
        <v>8073.88</v>
      </c>
      <c r="E24" s="253">
        <f t="shared" ca="1" si="11"/>
        <v>18120.938647763563</v>
      </c>
      <c r="F24" s="257">
        <f t="shared" ca="1" si="4"/>
        <v>0</v>
      </c>
      <c r="G24" s="257">
        <f t="shared" ca="1" si="5"/>
        <v>1192961.5881134192</v>
      </c>
      <c r="H24" s="257">
        <f t="shared" ca="1" si="6"/>
        <v>1192961.5881134192</v>
      </c>
      <c r="I24" s="220">
        <f t="shared" ca="1" si="7"/>
        <v>2023</v>
      </c>
      <c r="K24" s="261" t="s">
        <v>354</v>
      </c>
      <c r="L24" s="262">
        <v>0</v>
      </c>
      <c r="M24" s="262">
        <v>0</v>
      </c>
      <c r="N24" s="262">
        <v>0</v>
      </c>
      <c r="O24" s="262">
        <v>0</v>
      </c>
      <c r="P24" s="262">
        <v>0</v>
      </c>
      <c r="Q24" s="262">
        <v>0</v>
      </c>
      <c r="R24" s="262"/>
    </row>
    <row r="25" spans="1:131" x14ac:dyDescent="0.25">
      <c r="A25" s="254">
        <f t="shared" ca="1" si="9"/>
        <v>7</v>
      </c>
      <c r="B25" s="255">
        <f t="shared" ca="1" si="1"/>
        <v>45139</v>
      </c>
      <c r="C25" s="256">
        <f t="shared" ca="1" si="13"/>
        <v>26194.818647763565</v>
      </c>
      <c r="D25" s="257">
        <f t="shared" ca="1" si="2"/>
        <v>8218.18</v>
      </c>
      <c r="E25" s="253">
        <f t="shared" ca="1" si="11"/>
        <v>17976.638647763564</v>
      </c>
      <c r="F25" s="257">
        <f t="shared" ca="1" si="4"/>
        <v>0</v>
      </c>
      <c r="G25" s="257">
        <f t="shared" ca="1" si="5"/>
        <v>1174984.9494656557</v>
      </c>
      <c r="H25" s="257">
        <f t="shared" ca="1" si="6"/>
        <v>1174984.9494656557</v>
      </c>
      <c r="I25" s="220">
        <f t="shared" ca="1" si="7"/>
        <v>2023</v>
      </c>
      <c r="K25" s="892"/>
      <c r="L25" s="220">
        <v>-24.029650617966269</v>
      </c>
      <c r="M25" s="220">
        <v>-56.235717621653464</v>
      </c>
      <c r="N25" s="220">
        <v>-31.512220076247672</v>
      </c>
      <c r="O25" s="220">
        <v>-6.6508553360682754</v>
      </c>
    </row>
    <row r="26" spans="1:131" x14ac:dyDescent="0.25">
      <c r="A26" s="254">
        <f t="shared" ca="1" si="9"/>
        <v>8</v>
      </c>
      <c r="B26" s="255">
        <f t="shared" ca="1" si="1"/>
        <v>45170</v>
      </c>
      <c r="C26" s="256">
        <f t="shared" ca="1" si="13"/>
        <v>26194.818647763565</v>
      </c>
      <c r="D26" s="257">
        <f t="shared" ca="1" si="2"/>
        <v>8094.34</v>
      </c>
      <c r="E26" s="253">
        <f t="shared" ca="1" si="11"/>
        <v>18100.478647763564</v>
      </c>
      <c r="F26" s="257">
        <f t="shared" ca="1" si="4"/>
        <v>0</v>
      </c>
      <c r="G26" s="257">
        <f t="shared" ca="1" si="5"/>
        <v>1156884.4708178923</v>
      </c>
      <c r="H26" s="257">
        <f t="shared" ca="1" si="6"/>
        <v>1156884.4708178923</v>
      </c>
      <c r="I26" s="220">
        <f t="shared" ca="1" si="7"/>
        <v>2023</v>
      </c>
      <c r="K26" s="263"/>
    </row>
    <row r="27" spans="1:131" x14ac:dyDescent="0.25">
      <c r="A27" s="254">
        <f t="shared" ca="1" si="9"/>
        <v>9</v>
      </c>
      <c r="B27" s="255">
        <f t="shared" ca="1" si="1"/>
        <v>45200</v>
      </c>
      <c r="C27" s="256">
        <f t="shared" ca="1" si="13"/>
        <v>26194.818647763565</v>
      </c>
      <c r="D27" s="257">
        <f t="shared" ca="1" si="2"/>
        <v>7712.56</v>
      </c>
      <c r="E27" s="253">
        <f t="shared" ca="1" si="11"/>
        <v>18482.258647763563</v>
      </c>
      <c r="F27" s="257">
        <f t="shared" ca="1" si="4"/>
        <v>0</v>
      </c>
      <c r="G27" s="257">
        <f t="shared" ca="1" si="5"/>
        <v>1138402.2121701289</v>
      </c>
      <c r="H27" s="257">
        <f t="shared" ca="1" si="6"/>
        <v>1138402.2121701289</v>
      </c>
      <c r="I27" s="220">
        <f t="shared" ca="1" si="7"/>
        <v>2023</v>
      </c>
    </row>
    <row r="28" spans="1:131" x14ac:dyDescent="0.25">
      <c r="A28" s="254">
        <f t="shared" ca="1" si="9"/>
        <v>10</v>
      </c>
      <c r="B28" s="255">
        <f t="shared" ca="1" si="1"/>
        <v>45231</v>
      </c>
      <c r="C28" s="256">
        <f t="shared" ca="1" si="13"/>
        <v>26194.818647763565</v>
      </c>
      <c r="D28" s="257">
        <f t="shared" ca="1" si="2"/>
        <v>7842.33</v>
      </c>
      <c r="E28" s="253">
        <f t="shared" ca="1" si="11"/>
        <v>18352.488647763566</v>
      </c>
      <c r="F28" s="257">
        <f t="shared" ca="1" si="4"/>
        <v>0</v>
      </c>
      <c r="G28" s="257">
        <f t="shared" ca="1" si="5"/>
        <v>1120049.7235223656</v>
      </c>
      <c r="H28" s="257">
        <f t="shared" ca="1" si="6"/>
        <v>1120049.7235223656</v>
      </c>
      <c r="I28" s="220">
        <f t="shared" ca="1" si="7"/>
        <v>2023</v>
      </c>
    </row>
    <row r="29" spans="1:131" x14ac:dyDescent="0.25">
      <c r="A29" s="254">
        <f t="shared" ca="1" si="9"/>
        <v>11</v>
      </c>
      <c r="B29" s="255">
        <f t="shared" ca="1" si="1"/>
        <v>45261</v>
      </c>
      <c r="C29" s="256">
        <f t="shared" ca="1" si="13"/>
        <v>26194.818647763565</v>
      </c>
      <c r="D29" s="257">
        <f t="shared" ca="1" si="2"/>
        <v>7467</v>
      </c>
      <c r="E29" s="253">
        <f t="shared" ca="1" si="11"/>
        <v>18727.818647763565</v>
      </c>
      <c r="F29" s="257">
        <f t="shared" ca="1" si="4"/>
        <v>0</v>
      </c>
      <c r="G29" s="257">
        <f t="shared" ca="1" si="5"/>
        <v>1101321.9048746021</v>
      </c>
      <c r="H29" s="257">
        <f t="shared" ca="1" si="6"/>
        <v>1101321.9048746021</v>
      </c>
      <c r="I29" s="220">
        <f t="shared" ca="1" si="7"/>
        <v>2023</v>
      </c>
      <c r="L29" s="220">
        <v>1</v>
      </c>
      <c r="M29" s="220">
        <v>2</v>
      </c>
      <c r="N29" s="220">
        <v>3</v>
      </c>
      <c r="O29" s="220">
        <v>4</v>
      </c>
      <c r="P29" s="220">
        <v>5</v>
      </c>
      <c r="Q29" s="220">
        <v>6</v>
      </c>
      <c r="R29" s="220">
        <v>7</v>
      </c>
      <c r="S29" s="220">
        <v>8</v>
      </c>
      <c r="T29" s="220">
        <v>9</v>
      </c>
      <c r="U29" s="220">
        <v>10</v>
      </c>
      <c r="V29" s="220">
        <v>11</v>
      </c>
      <c r="W29" s="220">
        <v>12</v>
      </c>
      <c r="X29" s="220">
        <v>13</v>
      </c>
      <c r="Y29" s="220">
        <v>14</v>
      </c>
      <c r="Z29" s="220">
        <v>15</v>
      </c>
      <c r="AA29" s="220">
        <v>16</v>
      </c>
      <c r="AB29" s="220">
        <v>17</v>
      </c>
      <c r="AC29" s="220">
        <v>18</v>
      </c>
      <c r="AD29" s="220">
        <v>19</v>
      </c>
      <c r="AE29" s="220">
        <v>20</v>
      </c>
      <c r="AF29" s="220">
        <v>21</v>
      </c>
      <c r="AG29" s="220">
        <v>22</v>
      </c>
      <c r="AH29" s="220">
        <v>23</v>
      </c>
      <c r="AI29" s="220">
        <v>24</v>
      </c>
      <c r="AJ29" s="220">
        <v>25</v>
      </c>
      <c r="AK29" s="220">
        <v>26</v>
      </c>
      <c r="AL29" s="220">
        <v>27</v>
      </c>
      <c r="AM29" s="220">
        <v>28</v>
      </c>
      <c r="AN29" s="220">
        <v>29</v>
      </c>
      <c r="AO29" s="220">
        <v>30</v>
      </c>
      <c r="AP29" s="220">
        <v>31</v>
      </c>
      <c r="AQ29" s="220">
        <v>32</v>
      </c>
      <c r="AR29" s="220">
        <v>33</v>
      </c>
      <c r="AS29" s="220">
        <v>34</v>
      </c>
      <c r="AT29" s="220">
        <v>35</v>
      </c>
      <c r="AU29" s="220">
        <v>36</v>
      </c>
      <c r="AV29" s="220">
        <v>37</v>
      </c>
      <c r="AW29" s="220">
        <v>38</v>
      </c>
      <c r="AX29" s="220">
        <v>39</v>
      </c>
      <c r="AY29" s="220">
        <v>40</v>
      </c>
      <c r="AZ29" s="220">
        <v>41</v>
      </c>
      <c r="BA29" s="220">
        <v>42</v>
      </c>
      <c r="BB29" s="220">
        <v>43</v>
      </c>
      <c r="BC29" s="220">
        <v>44</v>
      </c>
      <c r="BD29" s="220">
        <v>45</v>
      </c>
      <c r="BE29" s="220">
        <v>46</v>
      </c>
      <c r="BF29" s="220">
        <v>47</v>
      </c>
      <c r="BG29" s="220">
        <v>48</v>
      </c>
      <c r="BH29" s="220">
        <v>49</v>
      </c>
      <c r="BI29" s="220">
        <v>50</v>
      </c>
      <c r="BJ29" s="220">
        <v>51</v>
      </c>
      <c r="BK29" s="220">
        <v>52</v>
      </c>
      <c r="BL29" s="220">
        <v>53</v>
      </c>
      <c r="BM29" s="220">
        <v>54</v>
      </c>
      <c r="BN29" s="220">
        <v>55</v>
      </c>
      <c r="BO29" s="220">
        <v>56</v>
      </c>
      <c r="BP29" s="220">
        <v>57</v>
      </c>
      <c r="BQ29" s="220">
        <v>58</v>
      </c>
      <c r="BR29" s="220">
        <v>59</v>
      </c>
      <c r="BS29" s="220">
        <v>60</v>
      </c>
      <c r="BT29" s="220">
        <v>61</v>
      </c>
      <c r="BU29" s="220">
        <v>62</v>
      </c>
      <c r="BV29" s="220">
        <v>63</v>
      </c>
      <c r="BW29" s="220">
        <v>64</v>
      </c>
      <c r="BX29" s="220">
        <v>65</v>
      </c>
      <c r="BY29" s="220">
        <v>66</v>
      </c>
      <c r="BZ29" s="220">
        <v>67</v>
      </c>
      <c r="CA29" s="220">
        <v>68</v>
      </c>
      <c r="CB29" s="220">
        <v>69</v>
      </c>
      <c r="CC29" s="220">
        <v>70</v>
      </c>
      <c r="CD29" s="220">
        <v>71</v>
      </c>
      <c r="CE29" s="220">
        <v>72</v>
      </c>
      <c r="CF29" s="220">
        <v>73</v>
      </c>
      <c r="CG29" s="220">
        <v>74</v>
      </c>
      <c r="CH29" s="220">
        <v>75</v>
      </c>
      <c r="CI29" s="220">
        <v>76</v>
      </c>
      <c r="CJ29" s="220">
        <v>77</v>
      </c>
      <c r="CK29" s="220">
        <v>78</v>
      </c>
      <c r="CL29" s="220">
        <v>79</v>
      </c>
      <c r="CM29" s="220">
        <v>80</v>
      </c>
      <c r="CN29" s="220">
        <v>81</v>
      </c>
      <c r="CO29" s="220">
        <v>82</v>
      </c>
      <c r="CP29" s="220">
        <v>83</v>
      </c>
      <c r="CQ29" s="220">
        <v>84</v>
      </c>
      <c r="CR29" s="220">
        <v>85</v>
      </c>
      <c r="CS29" s="220">
        <v>86</v>
      </c>
      <c r="CT29" s="220">
        <v>87</v>
      </c>
      <c r="CU29" s="220">
        <v>88</v>
      </c>
      <c r="CV29" s="220">
        <v>89</v>
      </c>
      <c r="CW29" s="220">
        <v>90</v>
      </c>
      <c r="CX29" s="220">
        <v>91</v>
      </c>
      <c r="CY29" s="220">
        <v>92</v>
      </c>
      <c r="CZ29" s="220">
        <v>93</v>
      </c>
      <c r="DA29" s="220">
        <v>94</v>
      </c>
      <c r="DB29" s="220">
        <v>95</v>
      </c>
      <c r="DC29" s="220">
        <v>96</v>
      </c>
      <c r="DD29" s="220">
        <v>97</v>
      </c>
      <c r="DE29" s="220">
        <v>98</v>
      </c>
      <c r="DF29" s="220">
        <v>99</v>
      </c>
      <c r="DG29" s="220">
        <v>100</v>
      </c>
      <c r="DH29" s="220">
        <v>101</v>
      </c>
      <c r="DI29" s="220">
        <v>102</v>
      </c>
      <c r="DJ29" s="220">
        <v>103</v>
      </c>
      <c r="DK29" s="220">
        <v>104</v>
      </c>
      <c r="DL29" s="220">
        <v>105</v>
      </c>
      <c r="DM29" s="220">
        <v>106</v>
      </c>
      <c r="DN29" s="220">
        <v>107</v>
      </c>
      <c r="DO29" s="220">
        <v>108</v>
      </c>
      <c r="DP29" s="220">
        <v>109</v>
      </c>
      <c r="DQ29" s="220">
        <v>110</v>
      </c>
      <c r="DR29" s="220">
        <v>111</v>
      </c>
      <c r="DS29" s="220">
        <v>112</v>
      </c>
      <c r="DT29" s="220">
        <v>113</v>
      </c>
      <c r="DU29" s="220">
        <v>114</v>
      </c>
      <c r="DV29" s="220">
        <v>115</v>
      </c>
      <c r="DW29" s="220">
        <v>116</v>
      </c>
      <c r="DX29" s="220">
        <v>117</v>
      </c>
      <c r="DY29" s="220">
        <v>118</v>
      </c>
      <c r="DZ29" s="220">
        <v>119</v>
      </c>
      <c r="EA29" s="220">
        <v>120</v>
      </c>
    </row>
    <row r="30" spans="1:131" x14ac:dyDescent="0.25">
      <c r="A30" s="254">
        <f t="shared" ca="1" si="9"/>
        <v>12</v>
      </c>
      <c r="B30" s="255">
        <f t="shared" ca="1" si="1"/>
        <v>45292</v>
      </c>
      <c r="C30" s="256">
        <f t="shared" ca="1" si="13"/>
        <v>26194.818647763565</v>
      </c>
      <c r="D30" s="257">
        <f t="shared" ca="1" si="2"/>
        <v>7586.88</v>
      </c>
      <c r="E30" s="253">
        <f t="shared" ca="1" si="11"/>
        <v>18607.938647763563</v>
      </c>
      <c r="F30" s="257">
        <f t="shared" ca="1" si="4"/>
        <v>0</v>
      </c>
      <c r="G30" s="257">
        <f t="shared" ca="1" si="5"/>
        <v>1082713.9662268385</v>
      </c>
      <c r="H30" s="257">
        <f t="shared" ca="1" si="6"/>
        <v>1082713.9662268385</v>
      </c>
      <c r="I30" s="220">
        <f t="shared" ca="1" si="7"/>
        <v>2024</v>
      </c>
      <c r="K30" s="220" t="s">
        <v>378</v>
      </c>
      <c r="L30" s="1392">
        <f t="array" ref="L30:EA30">TRANSPOSE(E19:E138)</f>
        <v>18102.818647763565</v>
      </c>
      <c r="M30" s="1392">
        <f ca="1"/>
        <v>18215.458647763564</v>
      </c>
      <c r="N30" s="1392">
        <f ca="1"/>
        <v>17486.008647763563</v>
      </c>
      <c r="O30" s="1392">
        <f ca="1"/>
        <v>17883.518647763565</v>
      </c>
      <c r="P30" s="1392">
        <f ca="1"/>
        <v>17729.668647763567</v>
      </c>
      <c r="Q30" s="1392">
        <f ca="1"/>
        <v>18120.938647763563</v>
      </c>
      <c r="R30" s="1392">
        <f ca="1"/>
        <v>17976.638647763564</v>
      </c>
      <c r="S30" s="1392">
        <f ca="1"/>
        <v>18100.478647763564</v>
      </c>
      <c r="T30" s="1392">
        <f ca="1"/>
        <v>18482.258647763563</v>
      </c>
      <c r="U30" s="1392">
        <f ca="1"/>
        <v>18352.488647763566</v>
      </c>
      <c r="V30" s="1392">
        <f ca="1"/>
        <v>18727.818647763565</v>
      </c>
      <c r="W30" s="1392">
        <f ca="1"/>
        <v>18607.938647763563</v>
      </c>
      <c r="X30" s="1392">
        <f ca="1"/>
        <v>18736.118647763564</v>
      </c>
      <c r="Y30" s="1392">
        <f ca="1"/>
        <v>19338.068647763565</v>
      </c>
      <c r="Z30" s="1392">
        <f ca="1"/>
        <v>18998.408647763565</v>
      </c>
      <c r="AA30" s="1392">
        <f ca="1"/>
        <v>19357.208647763564</v>
      </c>
      <c r="AB30" s="1392">
        <f ca="1"/>
        <v>19262.638647763564</v>
      </c>
      <c r="AC30" s="1392">
        <f ca="1"/>
        <v>19614.678647763565</v>
      </c>
      <c r="AD30" s="1392">
        <f ca="1"/>
        <v>19530.458647763564</v>
      </c>
      <c r="AE30" s="1392">
        <f ca="1"/>
        <v>19664.998647763565</v>
      </c>
      <c r="AF30" s="1392">
        <f ca="1"/>
        <v>20006.738647763566</v>
      </c>
      <c r="AG30" s="1392">
        <f ca="1"/>
        <v>19938.298647763564</v>
      </c>
      <c r="AH30" s="1392">
        <f ca="1"/>
        <v>20273.038647763566</v>
      </c>
      <c r="AI30" s="1392">
        <f ca="1"/>
        <v>20215.308647763566</v>
      </c>
      <c r="AJ30" s="1392">
        <f ca="1"/>
        <v>20354.568647763565</v>
      </c>
      <c r="AK30" s="1392">
        <f ca="1"/>
        <v>21046.408647763565</v>
      </c>
      <c r="AL30" s="1392">
        <f ca="1"/>
        <v>20639.778647763564</v>
      </c>
      <c r="AM30" s="1392">
        <f ca="1"/>
        <v>20956.568647763565</v>
      </c>
      <c r="AN30" s="1392">
        <f ca="1"/>
        <v>20926.328647763563</v>
      </c>
      <c r="AO30" s="1392">
        <f ca="1"/>
        <v>21235.788647763566</v>
      </c>
      <c r="AP30" s="1392">
        <f ca="1"/>
        <v>21216.778647763564</v>
      </c>
      <c r="AQ30" s="1392">
        <f ca="1"/>
        <v>21362.938647763563</v>
      </c>
      <c r="AR30" s="1392">
        <f ca="1"/>
        <v>21661.228647763564</v>
      </c>
      <c r="AS30" s="1392">
        <f ca="1"/>
        <v>21659.328647763563</v>
      </c>
      <c r="AT30" s="1392">
        <f ca="1"/>
        <v>21950.028647763564</v>
      </c>
      <c r="AU30" s="1392">
        <f ca="1"/>
        <v>21959.748647763565</v>
      </c>
      <c r="AV30" s="1392">
        <f ca="1"/>
        <v>22111.028647763564</v>
      </c>
      <c r="AW30" s="1392">
        <f ca="1"/>
        <v>22643.808647763566</v>
      </c>
      <c r="AX30" s="1392">
        <f ca="1"/>
        <v>22419.338647763565</v>
      </c>
      <c r="AY30" s="1392">
        <f ca="1"/>
        <v>22690.588647763565</v>
      </c>
      <c r="AZ30" s="1392">
        <f ca="1"/>
        <v>22730.098647763563</v>
      </c>
      <c r="BA30" s="1392">
        <f ca="1"/>
        <v>22993.398647763563</v>
      </c>
      <c r="BB30" s="1392">
        <f ca="1"/>
        <v>23045.078647763563</v>
      </c>
      <c r="BC30" s="1392">
        <f ca="1"/>
        <v>23203.838647763565</v>
      </c>
      <c r="BD30" s="1392">
        <f ca="1"/>
        <v>23455.008647763563</v>
      </c>
      <c r="BE30" s="1392">
        <f ca="1"/>
        <v>23525.258647763563</v>
      </c>
      <c r="BF30" s="1392">
        <f ca="1"/>
        <v>23768.208647763564</v>
      </c>
      <c r="BG30" s="1392">
        <f ca="1"/>
        <v>23851.058647763566</v>
      </c>
      <c r="BH30" s="1392">
        <f ca="1"/>
        <v>24015.368647763564</v>
      </c>
      <c r="BI30" s="1392">
        <f ca="1"/>
        <v>24375.708647763564</v>
      </c>
      <c r="BJ30" s="1392">
        <f ca="1"/>
        <v>24348.728647763564</v>
      </c>
      <c r="BK30" s="1392">
        <f ca="1"/>
        <v>24570.608647763565</v>
      </c>
      <c r="BL30" s="1392">
        <f ca="1"/>
        <v>24685.728647763564</v>
      </c>
      <c r="BM30" s="1392">
        <f ca="1"/>
        <v>24898.978647763564</v>
      </c>
      <c r="BN30" s="1392">
        <f ca="1"/>
        <v>25027.308647763566</v>
      </c>
      <c r="BO30" s="1392">
        <f ca="1"/>
        <v>25199.718647763566</v>
      </c>
      <c r="BP30" s="1392">
        <f ca="1"/>
        <v>25399.818647763565</v>
      </c>
      <c r="BQ30" s="1392">
        <f ca="1"/>
        <v>25548.298647763564</v>
      </c>
      <c r="BR30" s="1392">
        <f ca="1"/>
        <v>25739.478647763564</v>
      </c>
      <c r="BS30" s="1392">
        <f ca="1"/>
        <v>25901.608647763565</v>
      </c>
      <c r="BT30" s="1392" t="str">
        <f ca="1"/>
        <v/>
      </c>
      <c r="BU30" s="1392" t="str">
        <f ca="1"/>
        <v/>
      </c>
      <c r="BV30" s="1392" t="str">
        <f ca="1"/>
        <v/>
      </c>
      <c r="BW30" s="1392" t="str">
        <f ca="1"/>
        <v/>
      </c>
      <c r="BX30" s="1392" t="str">
        <f ca="1"/>
        <v/>
      </c>
      <c r="BY30" s="1392" t="str">
        <f ca="1"/>
        <v/>
      </c>
      <c r="BZ30" s="1392" t="str">
        <f ca="1"/>
        <v/>
      </c>
      <c r="CA30" s="1392" t="str">
        <f ca="1"/>
        <v/>
      </c>
      <c r="CB30" s="1392" t="str">
        <f ca="1"/>
        <v/>
      </c>
      <c r="CC30" s="1392" t="str">
        <f ca="1"/>
        <v/>
      </c>
      <c r="CD30" s="1392" t="str">
        <f ca="1"/>
        <v/>
      </c>
      <c r="CE30" s="1392" t="str">
        <f ca="1"/>
        <v/>
      </c>
      <c r="CF30" s="1392" t="str">
        <f ca="1"/>
        <v/>
      </c>
      <c r="CG30" s="1392" t="str">
        <f ca="1"/>
        <v/>
      </c>
      <c r="CH30" s="1392" t="str">
        <f ca="1"/>
        <v/>
      </c>
      <c r="CI30" s="1392" t="str">
        <f ca="1"/>
        <v/>
      </c>
      <c r="CJ30" s="1392" t="str">
        <f ca="1"/>
        <v/>
      </c>
      <c r="CK30" s="1392" t="str">
        <f ca="1"/>
        <v/>
      </c>
      <c r="CL30" s="1392" t="str">
        <f ca="1"/>
        <v/>
      </c>
      <c r="CM30" s="1392" t="str">
        <f ca="1"/>
        <v/>
      </c>
      <c r="CN30" s="1392" t="str">
        <f ca="1"/>
        <v/>
      </c>
      <c r="CO30" s="1392" t="str">
        <f ca="1"/>
        <v/>
      </c>
      <c r="CP30" s="1392" t="str">
        <f ca="1"/>
        <v/>
      </c>
      <c r="CQ30" s="1392" t="str">
        <f ca="1"/>
        <v/>
      </c>
      <c r="CR30" s="1392" t="str">
        <f ca="1"/>
        <v/>
      </c>
      <c r="CS30" s="1392" t="str">
        <f ca="1"/>
        <v/>
      </c>
      <c r="CT30" s="1392" t="str">
        <f ca="1"/>
        <v/>
      </c>
      <c r="CU30" s="1392" t="str">
        <f ca="1"/>
        <v/>
      </c>
      <c r="CV30" s="1392" t="str">
        <f ca="1"/>
        <v/>
      </c>
      <c r="CW30" s="1392" t="str">
        <f ca="1"/>
        <v/>
      </c>
      <c r="CX30" s="1392" t="str">
        <f ca="1"/>
        <v/>
      </c>
      <c r="CY30" s="1392" t="str">
        <f ca="1"/>
        <v/>
      </c>
      <c r="CZ30" s="1392" t="str">
        <f ca="1"/>
        <v/>
      </c>
      <c r="DA30" s="1392" t="str">
        <f ca="1"/>
        <v/>
      </c>
      <c r="DB30" s="1392" t="str">
        <f ca="1"/>
        <v/>
      </c>
      <c r="DC30" s="1392" t="str">
        <f ca="1"/>
        <v/>
      </c>
      <c r="DD30" s="1392" t="str">
        <f ca="1"/>
        <v/>
      </c>
      <c r="DE30" s="1392" t="str">
        <f ca="1"/>
        <v/>
      </c>
      <c r="DF30" s="1392" t="str">
        <f ca="1"/>
        <v/>
      </c>
      <c r="DG30" s="1392" t="str">
        <f ca="1"/>
        <v/>
      </c>
      <c r="DH30" s="1392" t="str">
        <f ca="1"/>
        <v/>
      </c>
      <c r="DI30" s="1392" t="str">
        <f ca="1"/>
        <v/>
      </c>
      <c r="DJ30" s="1392" t="str">
        <f ca="1"/>
        <v/>
      </c>
      <c r="DK30" s="1392" t="str">
        <f ca="1"/>
        <v/>
      </c>
      <c r="DL30" s="1392" t="str">
        <f ca="1"/>
        <v/>
      </c>
      <c r="DM30" s="1392" t="str">
        <f ca="1"/>
        <v/>
      </c>
      <c r="DN30" s="1392" t="str">
        <f ca="1"/>
        <v/>
      </c>
      <c r="DO30" s="1392" t="str">
        <f ca="1"/>
        <v/>
      </c>
      <c r="DP30" s="1392" t="str">
        <f ca="1"/>
        <v/>
      </c>
      <c r="DQ30" s="1392" t="str">
        <f ca="1"/>
        <v/>
      </c>
      <c r="DR30" s="1392" t="str">
        <f ca="1"/>
        <v/>
      </c>
      <c r="DS30" s="1392" t="str">
        <f ca="1"/>
        <v/>
      </c>
      <c r="DT30" s="1392" t="str">
        <f ca="1"/>
        <v/>
      </c>
      <c r="DU30" s="1392" t="str">
        <f ca="1"/>
        <v/>
      </c>
      <c r="DV30" s="1392" t="str">
        <f ca="1"/>
        <v/>
      </c>
      <c r="DW30" s="1392" t="str">
        <f ca="1"/>
        <v/>
      </c>
      <c r="DX30" s="1392" t="str">
        <f ca="1"/>
        <v/>
      </c>
      <c r="DY30" s="1392" t="str">
        <f ca="1"/>
        <v/>
      </c>
      <c r="DZ30" s="1392" t="str">
        <f ca="1"/>
        <v/>
      </c>
      <c r="EA30" s="1392" t="str">
        <f ca="1"/>
        <v/>
      </c>
    </row>
    <row r="31" spans="1:131" x14ac:dyDescent="0.25">
      <c r="A31" s="254">
        <f t="shared" ca="1" si="9"/>
        <v>13</v>
      </c>
      <c r="B31" s="255">
        <f t="shared" ca="1" si="1"/>
        <v>45323</v>
      </c>
      <c r="C31" s="256">
        <f t="shared" ca="1" si="13"/>
        <v>26194.818647763565</v>
      </c>
      <c r="D31" s="257">
        <f t="shared" ca="1" si="2"/>
        <v>7458.7</v>
      </c>
      <c r="E31" s="253">
        <f t="shared" ca="1" si="11"/>
        <v>18736.118647763564</v>
      </c>
      <c r="F31" s="257">
        <f t="shared" ca="1" si="4"/>
        <v>0</v>
      </c>
      <c r="G31" s="257">
        <f t="shared" ca="1" si="5"/>
        <v>1063977.847579075</v>
      </c>
      <c r="H31" s="257">
        <f t="shared" ca="1" si="6"/>
        <v>1063977.847579075</v>
      </c>
      <c r="I31" s="220">
        <f t="shared" ca="1" si="7"/>
        <v>2024</v>
      </c>
      <c r="K31" s="220" t="s">
        <v>379</v>
      </c>
      <c r="L31" s="220">
        <f t="array" ref="L31:EA31">TRANSPOSE(D19:D138)</f>
        <v>8092</v>
      </c>
      <c r="M31" s="220">
        <f ca="1"/>
        <v>7979.36</v>
      </c>
      <c r="N31" s="220">
        <f ca="1"/>
        <v>8708.81</v>
      </c>
      <c r="O31" s="220">
        <f ca="1"/>
        <v>8311.2999999999993</v>
      </c>
      <c r="P31" s="220">
        <f ca="1"/>
        <v>8465.15</v>
      </c>
      <c r="Q31" s="220">
        <f ca="1"/>
        <v>8073.88</v>
      </c>
      <c r="R31" s="220">
        <f ca="1"/>
        <v>8218.18</v>
      </c>
      <c r="S31" s="220">
        <f ca="1"/>
        <v>8094.34</v>
      </c>
      <c r="T31" s="220">
        <f ca="1"/>
        <v>7712.56</v>
      </c>
      <c r="U31" s="220">
        <f ca="1"/>
        <v>7842.33</v>
      </c>
      <c r="V31" s="220">
        <f ca="1"/>
        <v>7467</v>
      </c>
      <c r="W31" s="220">
        <f ca="1"/>
        <v>7586.88</v>
      </c>
      <c r="X31" s="220">
        <f ca="1"/>
        <v>7458.7</v>
      </c>
      <c r="Y31" s="220">
        <f ca="1"/>
        <v>6856.75</v>
      </c>
      <c r="Z31" s="220">
        <f ca="1"/>
        <v>7196.41</v>
      </c>
      <c r="AA31" s="220">
        <f ca="1"/>
        <v>6837.61</v>
      </c>
      <c r="AB31" s="220">
        <f ca="1"/>
        <v>6932.18</v>
      </c>
      <c r="AC31" s="220">
        <f ca="1"/>
        <v>6580.14</v>
      </c>
      <c r="AD31" s="220">
        <f ca="1"/>
        <v>6664.36</v>
      </c>
      <c r="AE31" s="220">
        <f ca="1"/>
        <v>6529.82</v>
      </c>
      <c r="AF31" s="220">
        <f ca="1"/>
        <v>6188.08</v>
      </c>
      <c r="AG31" s="220">
        <f ca="1"/>
        <v>6256.52</v>
      </c>
      <c r="AH31" s="220">
        <f ca="1"/>
        <v>5921.78</v>
      </c>
      <c r="AI31" s="220">
        <f ca="1"/>
        <v>5979.51</v>
      </c>
      <c r="AJ31" s="220">
        <f ca="1"/>
        <v>5840.25</v>
      </c>
      <c r="AK31" s="220">
        <f ca="1"/>
        <v>5148.41</v>
      </c>
      <c r="AL31" s="220">
        <f ca="1"/>
        <v>5555.04</v>
      </c>
      <c r="AM31" s="220">
        <f ca="1"/>
        <v>5238.25</v>
      </c>
      <c r="AN31" s="220">
        <f ca="1"/>
        <v>5268.49</v>
      </c>
      <c r="AO31" s="220">
        <f ca="1"/>
        <v>4959.03</v>
      </c>
      <c r="AP31" s="220">
        <f ca="1"/>
        <v>4978.04</v>
      </c>
      <c r="AQ31" s="220">
        <f ca="1"/>
        <v>4831.88</v>
      </c>
      <c r="AR31" s="220">
        <f ca="1"/>
        <v>4533.59</v>
      </c>
      <c r="AS31" s="220">
        <f ca="1"/>
        <v>4535.49</v>
      </c>
      <c r="AT31" s="220">
        <f ca="1"/>
        <v>4244.79</v>
      </c>
      <c r="AU31" s="220">
        <f ca="1"/>
        <v>4235.07</v>
      </c>
      <c r="AV31" s="220">
        <f ca="1"/>
        <v>4083.79</v>
      </c>
      <c r="AW31" s="220">
        <f ca="1"/>
        <v>3551.01</v>
      </c>
      <c r="AX31" s="220">
        <f ca="1"/>
        <v>3775.48</v>
      </c>
      <c r="AY31" s="220">
        <f ca="1"/>
        <v>3504.23</v>
      </c>
      <c r="AZ31" s="220">
        <f ca="1"/>
        <v>3464.72</v>
      </c>
      <c r="BA31" s="220">
        <f ca="1"/>
        <v>3201.42</v>
      </c>
      <c r="BB31" s="220">
        <f ca="1"/>
        <v>3149.74</v>
      </c>
      <c r="BC31" s="220">
        <f ca="1"/>
        <v>2990.98</v>
      </c>
      <c r="BD31" s="220">
        <f ca="1"/>
        <v>2739.81</v>
      </c>
      <c r="BE31" s="220">
        <f ca="1"/>
        <v>2669.56</v>
      </c>
      <c r="BF31" s="220">
        <f ca="1"/>
        <v>2426.61</v>
      </c>
      <c r="BG31" s="220">
        <f ca="1"/>
        <v>2343.7600000000002</v>
      </c>
      <c r="BH31" s="220">
        <f ca="1"/>
        <v>2179.4499999999998</v>
      </c>
      <c r="BI31" s="220">
        <f ca="1"/>
        <v>1819.11</v>
      </c>
      <c r="BJ31" s="220">
        <f ca="1"/>
        <v>1846.09</v>
      </c>
      <c r="BK31" s="220">
        <f ca="1"/>
        <v>1624.21</v>
      </c>
      <c r="BL31" s="220">
        <f ca="1"/>
        <v>1509.09</v>
      </c>
      <c r="BM31" s="220">
        <f ca="1"/>
        <v>1295.8399999999999</v>
      </c>
      <c r="BN31" s="220">
        <f ca="1"/>
        <v>1167.51</v>
      </c>
      <c r="BO31" s="220">
        <f ca="1"/>
        <v>995.1</v>
      </c>
      <c r="BP31" s="220">
        <f ca="1"/>
        <v>795</v>
      </c>
      <c r="BQ31" s="220">
        <f ca="1"/>
        <v>646.52</v>
      </c>
      <c r="BR31" s="220">
        <f ca="1"/>
        <v>455.34</v>
      </c>
      <c r="BS31" s="220">
        <f ca="1"/>
        <v>293.20999999999998</v>
      </c>
      <c r="BT31" s="220" t="str">
        <f ca="1"/>
        <v/>
      </c>
      <c r="BU31" s="220" t="str">
        <f ca="1"/>
        <v/>
      </c>
      <c r="BV31" s="220" t="str">
        <f ca="1"/>
        <v/>
      </c>
      <c r="BW31" s="220" t="str">
        <f ca="1"/>
        <v/>
      </c>
      <c r="BX31" s="220" t="str">
        <f ca="1"/>
        <v/>
      </c>
      <c r="BY31" s="220" t="str">
        <f ca="1"/>
        <v/>
      </c>
      <c r="BZ31" s="220" t="str">
        <f ca="1"/>
        <v/>
      </c>
      <c r="CA31" s="220" t="str">
        <f ca="1"/>
        <v/>
      </c>
      <c r="CB31" s="220" t="str">
        <f ca="1"/>
        <v/>
      </c>
      <c r="CC31" s="220" t="str">
        <f ca="1"/>
        <v/>
      </c>
      <c r="CD31" s="220" t="str">
        <f ca="1"/>
        <v/>
      </c>
      <c r="CE31" s="220" t="str">
        <f ca="1"/>
        <v/>
      </c>
      <c r="CF31" s="220" t="str">
        <f ca="1"/>
        <v/>
      </c>
      <c r="CG31" s="220" t="str">
        <f ca="1"/>
        <v/>
      </c>
      <c r="CH31" s="220" t="str">
        <f ca="1"/>
        <v/>
      </c>
      <c r="CI31" s="220" t="str">
        <f ca="1"/>
        <v/>
      </c>
      <c r="CJ31" s="220" t="str">
        <f ca="1"/>
        <v/>
      </c>
      <c r="CK31" s="220" t="str">
        <f ca="1"/>
        <v/>
      </c>
      <c r="CL31" s="220" t="str">
        <f ca="1"/>
        <v/>
      </c>
      <c r="CM31" s="220" t="str">
        <f ca="1"/>
        <v/>
      </c>
      <c r="CN31" s="220" t="str">
        <f ca="1"/>
        <v/>
      </c>
      <c r="CO31" s="220" t="str">
        <f ca="1"/>
        <v/>
      </c>
      <c r="CP31" s="220" t="str">
        <f ca="1"/>
        <v/>
      </c>
      <c r="CQ31" s="220" t="str">
        <f ca="1"/>
        <v/>
      </c>
      <c r="CR31" s="220" t="str">
        <f ca="1"/>
        <v/>
      </c>
      <c r="CS31" s="220" t="str">
        <f ca="1"/>
        <v/>
      </c>
      <c r="CT31" s="220" t="str">
        <f ca="1"/>
        <v/>
      </c>
      <c r="CU31" s="220" t="str">
        <f ca="1"/>
        <v/>
      </c>
      <c r="CV31" s="220" t="str">
        <f ca="1"/>
        <v/>
      </c>
      <c r="CW31" s="220" t="str">
        <f ca="1"/>
        <v/>
      </c>
      <c r="CX31" s="220" t="str">
        <f ca="1"/>
        <v/>
      </c>
      <c r="CY31" s="220" t="str">
        <f ca="1"/>
        <v/>
      </c>
      <c r="CZ31" s="220" t="str">
        <f ca="1"/>
        <v/>
      </c>
      <c r="DA31" s="220" t="str">
        <f ca="1"/>
        <v/>
      </c>
      <c r="DB31" s="220" t="str">
        <f ca="1"/>
        <v/>
      </c>
      <c r="DC31" s="220" t="str">
        <f ca="1"/>
        <v/>
      </c>
      <c r="DD31" s="220" t="str">
        <f ca="1"/>
        <v/>
      </c>
      <c r="DE31" s="220" t="str">
        <f ca="1"/>
        <v/>
      </c>
      <c r="DF31" s="220" t="str">
        <f ca="1"/>
        <v/>
      </c>
      <c r="DG31" s="220" t="str">
        <f ca="1"/>
        <v/>
      </c>
      <c r="DH31" s="220" t="str">
        <f ca="1"/>
        <v/>
      </c>
      <c r="DI31" s="220" t="str">
        <f ca="1"/>
        <v/>
      </c>
      <c r="DJ31" s="220" t="str">
        <f ca="1"/>
        <v/>
      </c>
      <c r="DK31" s="220" t="str">
        <f ca="1"/>
        <v/>
      </c>
      <c r="DL31" s="220" t="str">
        <f ca="1"/>
        <v/>
      </c>
      <c r="DM31" s="220" t="str">
        <f ca="1"/>
        <v/>
      </c>
      <c r="DN31" s="220" t="str">
        <f ca="1"/>
        <v/>
      </c>
      <c r="DO31" s="220" t="str">
        <f ca="1"/>
        <v/>
      </c>
      <c r="DP31" s="220" t="str">
        <f ca="1"/>
        <v/>
      </c>
      <c r="DQ31" s="220" t="str">
        <f ca="1"/>
        <v/>
      </c>
      <c r="DR31" s="220" t="str">
        <f ca="1"/>
        <v/>
      </c>
      <c r="DS31" s="220" t="str">
        <f ca="1"/>
        <v/>
      </c>
      <c r="DT31" s="220" t="str">
        <f ca="1"/>
        <v/>
      </c>
      <c r="DU31" s="220" t="str">
        <f ca="1"/>
        <v/>
      </c>
      <c r="DV31" s="220" t="str">
        <f ca="1"/>
        <v/>
      </c>
      <c r="DW31" s="220" t="str">
        <f ca="1"/>
        <v/>
      </c>
      <c r="DX31" s="220" t="str">
        <f ca="1"/>
        <v/>
      </c>
      <c r="DY31" s="220" t="str">
        <f ca="1"/>
        <v/>
      </c>
      <c r="DZ31" s="220" t="str">
        <f ca="1"/>
        <v/>
      </c>
      <c r="EA31" s="220" t="str">
        <f ca="1"/>
        <v/>
      </c>
    </row>
    <row r="32" spans="1:131" x14ac:dyDescent="0.25">
      <c r="A32" s="254">
        <f t="shared" ca="1" si="9"/>
        <v>14</v>
      </c>
      <c r="B32" s="255">
        <f t="shared" ca="1" si="1"/>
        <v>45352</v>
      </c>
      <c r="C32" s="256">
        <f t="shared" ca="1" si="13"/>
        <v>26194.818647763565</v>
      </c>
      <c r="D32" s="257">
        <f t="shared" ca="1" si="2"/>
        <v>6856.75</v>
      </c>
      <c r="E32" s="253">
        <f t="shared" ca="1" si="11"/>
        <v>19338.068647763565</v>
      </c>
      <c r="F32" s="257">
        <f t="shared" ca="1" si="4"/>
        <v>0</v>
      </c>
      <c r="G32" s="257">
        <f t="shared" ca="1" si="5"/>
        <v>1044639.7789313114</v>
      </c>
      <c r="H32" s="257">
        <f t="shared" ca="1" si="6"/>
        <v>1044639.7789313114</v>
      </c>
      <c r="I32" s="220">
        <f t="shared" ca="1" si="7"/>
        <v>2024</v>
      </c>
      <c r="N32" s="220">
        <f ca="1">N31+'HEC Seller Debt'!M31</f>
        <v>8711.23</v>
      </c>
    </row>
    <row r="33" spans="1:16" x14ac:dyDescent="0.25">
      <c r="A33" s="254">
        <f t="shared" ca="1" si="9"/>
        <v>15</v>
      </c>
      <c r="B33" s="255">
        <f t="shared" ca="1" si="1"/>
        <v>45383</v>
      </c>
      <c r="C33" s="256">
        <f t="shared" ca="1" si="13"/>
        <v>26194.818647763565</v>
      </c>
      <c r="D33" s="257">
        <f t="shared" ca="1" si="2"/>
        <v>7196.41</v>
      </c>
      <c r="E33" s="253">
        <f t="shared" ca="1" si="11"/>
        <v>18998.408647763565</v>
      </c>
      <c r="F33" s="257">
        <f t="shared" ca="1" si="4"/>
        <v>0</v>
      </c>
      <c r="G33" s="257">
        <f t="shared" ca="1" si="5"/>
        <v>1025641.3702835479</v>
      </c>
      <c r="H33" s="257">
        <f t="shared" ca="1" si="6"/>
        <v>1025641.3702835479</v>
      </c>
      <c r="I33" s="220">
        <f t="shared" ca="1" si="7"/>
        <v>2024</v>
      </c>
      <c r="M33" s="220" t="s">
        <v>1261</v>
      </c>
      <c r="N33" s="220">
        <v>12473.44</v>
      </c>
      <c r="P33" s="220" t="s">
        <v>1264</v>
      </c>
    </row>
    <row r="34" spans="1:16" x14ac:dyDescent="0.25">
      <c r="A34" s="254">
        <f t="shared" ca="1" si="9"/>
        <v>16</v>
      </c>
      <c r="B34" s="255">
        <f t="shared" ca="1" si="1"/>
        <v>45413</v>
      </c>
      <c r="C34" s="256">
        <f t="shared" ca="1" si="13"/>
        <v>26194.818647763565</v>
      </c>
      <c r="D34" s="257">
        <f t="shared" ca="1" si="2"/>
        <v>6837.61</v>
      </c>
      <c r="E34" s="253">
        <f t="shared" ca="1" si="11"/>
        <v>19357.208647763564</v>
      </c>
      <c r="F34" s="257">
        <f t="shared" ca="1" si="4"/>
        <v>0</v>
      </c>
      <c r="G34" s="257">
        <f t="shared" ca="1" si="5"/>
        <v>1006284.1616357843</v>
      </c>
      <c r="H34" s="257">
        <f t="shared" ca="1" si="6"/>
        <v>1006284.1616357843</v>
      </c>
      <c r="I34" s="220">
        <f t="shared" ca="1" si="7"/>
        <v>2024</v>
      </c>
      <c r="M34" s="220" t="s">
        <v>1262</v>
      </c>
      <c r="N34" s="220">
        <v>11324</v>
      </c>
    </row>
    <row r="35" spans="1:16" x14ac:dyDescent="0.25">
      <c r="A35" s="254">
        <f t="shared" ca="1" si="9"/>
        <v>17</v>
      </c>
      <c r="B35" s="255">
        <f t="shared" ca="1" si="1"/>
        <v>45444</v>
      </c>
      <c r="C35" s="256">
        <f t="shared" ca="1" si="13"/>
        <v>26194.818647763565</v>
      </c>
      <c r="D35" s="257">
        <f t="shared" ca="1" si="2"/>
        <v>6932.18</v>
      </c>
      <c r="E35" s="253">
        <f t="shared" ca="1" si="11"/>
        <v>19262.638647763564</v>
      </c>
      <c r="F35" s="257">
        <f t="shared" ca="1" si="4"/>
        <v>0</v>
      </c>
      <c r="G35" s="257">
        <f t="shared" ca="1" si="5"/>
        <v>987021.52298802079</v>
      </c>
      <c r="H35" s="257">
        <f t="shared" ca="1" si="6"/>
        <v>987021.52298802079</v>
      </c>
      <c r="I35" s="220">
        <f t="shared" ca="1" si="7"/>
        <v>2024</v>
      </c>
      <c r="J35" s="253">
        <f ca="1">SUM(C24:C35)</f>
        <v>314337.82377316285</v>
      </c>
    </row>
    <row r="36" spans="1:16" x14ac:dyDescent="0.25">
      <c r="A36" s="254">
        <f t="shared" ca="1" si="9"/>
        <v>18</v>
      </c>
      <c r="B36" s="255">
        <f t="shared" ca="1" si="1"/>
        <v>45474</v>
      </c>
      <c r="C36" s="256">
        <f t="shared" ca="1" si="13"/>
        <v>26194.818647763565</v>
      </c>
      <c r="D36" s="257">
        <f t="shared" ca="1" si="2"/>
        <v>6580.14</v>
      </c>
      <c r="E36" s="253">
        <f t="shared" ca="1" si="11"/>
        <v>19614.678647763565</v>
      </c>
      <c r="F36" s="257">
        <f t="shared" ca="1" si="4"/>
        <v>0</v>
      </c>
      <c r="G36" s="257">
        <f t="shared" ca="1" si="5"/>
        <v>967406.84434025723</v>
      </c>
      <c r="H36" s="257">
        <f t="shared" ca="1" si="6"/>
        <v>967406.84434025723</v>
      </c>
      <c r="I36" s="220">
        <f t="shared" ca="1" si="7"/>
        <v>2024</v>
      </c>
      <c r="M36" s="220" t="s">
        <v>1263</v>
      </c>
    </row>
    <row r="37" spans="1:16" x14ac:dyDescent="0.25">
      <c r="A37" s="254">
        <v>19</v>
      </c>
      <c r="B37" s="255">
        <f t="shared" ca="1" si="1"/>
        <v>45505</v>
      </c>
      <c r="C37" s="256">
        <f t="shared" ca="1" si="13"/>
        <v>26194.818647763565</v>
      </c>
      <c r="D37" s="257">
        <f t="shared" ca="1" si="2"/>
        <v>6664.36</v>
      </c>
      <c r="E37" s="253">
        <f t="shared" ca="1" si="11"/>
        <v>19530.458647763564</v>
      </c>
      <c r="F37" s="257">
        <f t="shared" ca="1" si="4"/>
        <v>0</v>
      </c>
      <c r="G37" s="257">
        <f t="shared" ca="1" si="5"/>
        <v>947876.38569249364</v>
      </c>
      <c r="H37" s="257">
        <f t="shared" ca="1" si="6"/>
        <v>947876.38569249364</v>
      </c>
      <c r="I37" s="220">
        <f t="shared" ca="1" si="7"/>
        <v>2024</v>
      </c>
      <c r="M37" s="220" t="s">
        <v>1262</v>
      </c>
    </row>
    <row r="38" spans="1:16" x14ac:dyDescent="0.25">
      <c r="A38" s="254">
        <f ca="1">IF(OR(H37&lt;=0,H37=""),"",OFFSET(A38,-1,0,1,1)+1)</f>
        <v>20</v>
      </c>
      <c r="B38" s="255">
        <f t="shared" ca="1" si="1"/>
        <v>45536</v>
      </c>
      <c r="C38" s="256">
        <f t="shared" ca="1" si="13"/>
        <v>26194.818647763565</v>
      </c>
      <c r="D38" s="257">
        <f t="shared" ca="1" si="2"/>
        <v>6529.82</v>
      </c>
      <c r="E38" s="253">
        <f t="shared" ca="1" si="11"/>
        <v>19664.998647763565</v>
      </c>
      <c r="F38" s="257">
        <f t="shared" ca="1" si="4"/>
        <v>0</v>
      </c>
      <c r="G38" s="257">
        <f t="shared" ca="1" si="5"/>
        <v>928211.38704473001</v>
      </c>
      <c r="H38" s="257">
        <f t="shared" ca="1" si="6"/>
        <v>928211.38704473001</v>
      </c>
      <c r="I38" s="220">
        <f t="shared" ca="1" si="7"/>
        <v>2024</v>
      </c>
    </row>
    <row r="39" spans="1:16" x14ac:dyDescent="0.25">
      <c r="A39" s="254">
        <f ca="1">IF(OR(H38&lt;=0,H38=""),"",OFFSET(A39,-1,0,1,1)+1)</f>
        <v>21</v>
      </c>
      <c r="B39" s="255">
        <f t="shared" ca="1" si="1"/>
        <v>45566</v>
      </c>
      <c r="C39" s="256">
        <f t="shared" ca="1" si="13"/>
        <v>26194.818647763565</v>
      </c>
      <c r="D39" s="257">
        <f t="shared" ca="1" si="2"/>
        <v>6188.08</v>
      </c>
      <c r="E39" s="253">
        <f t="shared" ca="1" si="11"/>
        <v>20006.738647763566</v>
      </c>
      <c r="F39" s="257">
        <f t="shared" ca="1" si="4"/>
        <v>0</v>
      </c>
      <c r="G39" s="257">
        <f t="shared" ca="1" si="5"/>
        <v>908204.6483969664</v>
      </c>
      <c r="H39" s="257">
        <f t="shared" ca="1" si="6"/>
        <v>908204.6483969664</v>
      </c>
      <c r="I39" s="220">
        <f t="shared" ca="1" si="7"/>
        <v>2024</v>
      </c>
    </row>
    <row r="40" spans="1:16" x14ac:dyDescent="0.25">
      <c r="A40" s="254">
        <v>22</v>
      </c>
      <c r="B40" s="255">
        <f t="shared" ca="1" si="1"/>
        <v>45597</v>
      </c>
      <c r="C40" s="256">
        <f t="shared" ca="1" si="13"/>
        <v>26194.818647763565</v>
      </c>
      <c r="D40" s="257">
        <f t="shared" ca="1" si="2"/>
        <v>6256.52</v>
      </c>
      <c r="E40" s="253">
        <f t="shared" ca="1" si="11"/>
        <v>19938.298647763564</v>
      </c>
      <c r="F40" s="257">
        <f t="shared" ca="1" si="4"/>
        <v>0</v>
      </c>
      <c r="G40" s="257">
        <f t="shared" ca="1" si="5"/>
        <v>888266.34974920284</v>
      </c>
      <c r="H40" s="257">
        <f t="shared" ca="1" si="6"/>
        <v>888266.34974920284</v>
      </c>
      <c r="I40" s="220">
        <f t="shared" ca="1" si="7"/>
        <v>2024</v>
      </c>
    </row>
    <row r="41" spans="1:16" x14ac:dyDescent="0.25">
      <c r="A41" s="254">
        <f t="shared" ref="A41:A104" ca="1" si="16">IF(OR(H40&lt;=0,H40=""),"",OFFSET(A41,-1,0,1,1)+1)</f>
        <v>23</v>
      </c>
      <c r="B41" s="255">
        <f t="shared" ca="1" si="1"/>
        <v>45627</v>
      </c>
      <c r="C41" s="256">
        <f t="shared" ca="1" si="13"/>
        <v>26194.818647763565</v>
      </c>
      <c r="D41" s="257">
        <f t="shared" ca="1" si="2"/>
        <v>5921.78</v>
      </c>
      <c r="E41" s="253">
        <f t="shared" ca="1" si="11"/>
        <v>20273.038647763566</v>
      </c>
      <c r="F41" s="257">
        <f t="shared" ca="1" si="4"/>
        <v>0</v>
      </c>
      <c r="G41" s="257">
        <f t="shared" ca="1" si="5"/>
        <v>867993.31110143929</v>
      </c>
      <c r="H41" s="257">
        <f t="shared" ca="1" si="6"/>
        <v>867993.31110143929</v>
      </c>
      <c r="I41" s="220">
        <f t="shared" ca="1" si="7"/>
        <v>2024</v>
      </c>
    </row>
    <row r="42" spans="1:16" x14ac:dyDescent="0.25">
      <c r="A42" s="254">
        <f t="shared" ca="1" si="16"/>
        <v>24</v>
      </c>
      <c r="B42" s="255">
        <f t="shared" ca="1" si="1"/>
        <v>45658</v>
      </c>
      <c r="C42" s="256">
        <f t="shared" ca="1" si="13"/>
        <v>26194.818647763565</v>
      </c>
      <c r="D42" s="257">
        <f t="shared" ca="1" si="2"/>
        <v>5979.51</v>
      </c>
      <c r="E42" s="253">
        <f t="shared" ca="1" si="11"/>
        <v>20215.308647763566</v>
      </c>
      <c r="F42" s="257">
        <f t="shared" ca="1" si="4"/>
        <v>0</v>
      </c>
      <c r="G42" s="257">
        <f t="shared" ca="1" si="5"/>
        <v>847778.00245367573</v>
      </c>
      <c r="H42" s="257">
        <f t="shared" ca="1" si="6"/>
        <v>847778.00245367573</v>
      </c>
      <c r="I42" s="220">
        <f t="shared" ca="1" si="7"/>
        <v>2025</v>
      </c>
    </row>
    <row r="43" spans="1:16" x14ac:dyDescent="0.25">
      <c r="A43" s="254">
        <f t="shared" ca="1" si="16"/>
        <v>25</v>
      </c>
      <c r="B43" s="255">
        <f t="shared" ca="1" si="1"/>
        <v>45689</v>
      </c>
      <c r="C43" s="256">
        <f t="shared" ca="1" si="13"/>
        <v>26194.818647763565</v>
      </c>
      <c r="D43" s="257">
        <f t="shared" ca="1" si="2"/>
        <v>5840.25</v>
      </c>
      <c r="E43" s="253">
        <f t="shared" ca="1" si="11"/>
        <v>20354.568647763565</v>
      </c>
      <c r="F43" s="257">
        <f t="shared" ca="1" si="4"/>
        <v>0</v>
      </c>
      <c r="G43" s="257">
        <f t="shared" ca="1" si="5"/>
        <v>827423.43380591215</v>
      </c>
      <c r="H43" s="257">
        <f t="shared" ca="1" si="6"/>
        <v>827423.43380591215</v>
      </c>
      <c r="I43" s="220">
        <f t="shared" ca="1" si="7"/>
        <v>2025</v>
      </c>
    </row>
    <row r="44" spans="1:16" x14ac:dyDescent="0.25">
      <c r="A44" s="254">
        <f t="shared" ca="1" si="16"/>
        <v>26</v>
      </c>
      <c r="B44" s="255">
        <f t="shared" ca="1" si="1"/>
        <v>45717</v>
      </c>
      <c r="C44" s="256">
        <f t="shared" ca="1" si="13"/>
        <v>26194.818647763565</v>
      </c>
      <c r="D44" s="257">
        <f t="shared" ca="1" si="2"/>
        <v>5148.41</v>
      </c>
      <c r="E44" s="253">
        <f t="shared" ca="1" si="11"/>
        <v>21046.408647763565</v>
      </c>
      <c r="F44" s="257">
        <f t="shared" ca="1" si="4"/>
        <v>0</v>
      </c>
      <c r="G44" s="257">
        <f t="shared" ca="1" si="5"/>
        <v>806377.02515814861</v>
      </c>
      <c r="H44" s="257">
        <f t="shared" ca="1" si="6"/>
        <v>806377.02515814861</v>
      </c>
      <c r="I44" s="220">
        <f t="shared" ca="1" si="7"/>
        <v>2025</v>
      </c>
    </row>
    <row r="45" spans="1:16" x14ac:dyDescent="0.25">
      <c r="A45" s="254">
        <f t="shared" ca="1" si="16"/>
        <v>27</v>
      </c>
      <c r="B45" s="255">
        <f t="shared" ca="1" si="1"/>
        <v>45748</v>
      </c>
      <c r="C45" s="256">
        <f t="shared" ca="1" si="13"/>
        <v>26194.818647763565</v>
      </c>
      <c r="D45" s="257">
        <f t="shared" ca="1" si="2"/>
        <v>5555.04</v>
      </c>
      <c r="E45" s="253">
        <f t="shared" ca="1" si="11"/>
        <v>20639.778647763564</v>
      </c>
      <c r="F45" s="257">
        <f t="shared" ca="1" si="4"/>
        <v>0</v>
      </c>
      <c r="G45" s="257">
        <f t="shared" ca="1" si="5"/>
        <v>785737.24651038507</v>
      </c>
      <c r="H45" s="257">
        <f t="shared" ca="1" si="6"/>
        <v>785737.24651038507</v>
      </c>
      <c r="I45" s="220">
        <f t="shared" ca="1" si="7"/>
        <v>2025</v>
      </c>
    </row>
    <row r="46" spans="1:16" x14ac:dyDescent="0.25">
      <c r="A46" s="254">
        <f t="shared" ca="1" si="16"/>
        <v>28</v>
      </c>
      <c r="B46" s="255">
        <f t="shared" ca="1" si="1"/>
        <v>45778</v>
      </c>
      <c r="C46" s="256">
        <f t="shared" ca="1" si="13"/>
        <v>26194.818647763565</v>
      </c>
      <c r="D46" s="257">
        <f t="shared" ca="1" si="2"/>
        <v>5238.25</v>
      </c>
      <c r="E46" s="253">
        <f t="shared" ca="1" si="11"/>
        <v>20956.568647763565</v>
      </c>
      <c r="F46" s="257">
        <f t="shared" ca="1" si="4"/>
        <v>0</v>
      </c>
      <c r="G46" s="257">
        <f t="shared" ca="1" si="5"/>
        <v>764780.67786262149</v>
      </c>
      <c r="H46" s="257">
        <f t="shared" ca="1" si="6"/>
        <v>764780.67786262149</v>
      </c>
      <c r="I46" s="220">
        <f t="shared" ca="1" si="7"/>
        <v>2025</v>
      </c>
    </row>
    <row r="47" spans="1:16" x14ac:dyDescent="0.25">
      <c r="A47" s="254">
        <f t="shared" ca="1" si="16"/>
        <v>29</v>
      </c>
      <c r="B47" s="255">
        <f t="shared" ca="1" si="1"/>
        <v>45809</v>
      </c>
      <c r="C47" s="256">
        <f t="shared" ca="1" si="13"/>
        <v>26194.818647763565</v>
      </c>
      <c r="D47" s="257">
        <f t="shared" ca="1" si="2"/>
        <v>5268.49</v>
      </c>
      <c r="E47" s="253">
        <f t="shared" ca="1" si="11"/>
        <v>20926.328647763563</v>
      </c>
      <c r="F47" s="257">
        <f t="shared" ca="1" si="4"/>
        <v>0</v>
      </c>
      <c r="G47" s="257">
        <f t="shared" ca="1" si="5"/>
        <v>743854.34921485791</v>
      </c>
      <c r="H47" s="257">
        <f t="shared" ca="1" si="6"/>
        <v>743854.34921485791</v>
      </c>
      <c r="I47" s="220">
        <f t="shared" ca="1" si="7"/>
        <v>2025</v>
      </c>
      <c r="J47" s="253">
        <f ca="1">SUM(C36:C47)</f>
        <v>314337.82377316285</v>
      </c>
    </row>
    <row r="48" spans="1:16" x14ac:dyDescent="0.25">
      <c r="A48" s="254">
        <f t="shared" ca="1" si="16"/>
        <v>30</v>
      </c>
      <c r="B48" s="255">
        <f t="shared" ca="1" si="1"/>
        <v>45839</v>
      </c>
      <c r="C48" s="256">
        <f t="shared" ca="1" si="13"/>
        <v>26194.818647763565</v>
      </c>
      <c r="D48" s="257">
        <f t="shared" ca="1" si="2"/>
        <v>4959.03</v>
      </c>
      <c r="E48" s="253">
        <f t="shared" ca="1" si="11"/>
        <v>21235.788647763566</v>
      </c>
      <c r="F48" s="257">
        <f t="shared" ca="1" si="4"/>
        <v>0</v>
      </c>
      <c r="G48" s="257">
        <f t="shared" ca="1" si="5"/>
        <v>722618.56056709436</v>
      </c>
      <c r="H48" s="257">
        <f t="shared" ca="1" si="6"/>
        <v>722618.56056709436</v>
      </c>
      <c r="I48" s="220">
        <f t="shared" ca="1" si="7"/>
        <v>2025</v>
      </c>
    </row>
    <row r="49" spans="1:12" x14ac:dyDescent="0.25">
      <c r="A49" s="254">
        <f t="shared" ca="1" si="16"/>
        <v>31</v>
      </c>
      <c r="B49" s="255">
        <f t="shared" ca="1" si="1"/>
        <v>45870</v>
      </c>
      <c r="C49" s="256">
        <f t="shared" ca="1" si="13"/>
        <v>26194.818647763565</v>
      </c>
      <c r="D49" s="257">
        <f t="shared" ca="1" si="2"/>
        <v>4978.04</v>
      </c>
      <c r="E49" s="253">
        <f t="shared" ca="1" si="11"/>
        <v>21216.778647763564</v>
      </c>
      <c r="F49" s="257">
        <f t="shared" ca="1" si="4"/>
        <v>0</v>
      </c>
      <c r="G49" s="257">
        <f t="shared" ca="1" si="5"/>
        <v>701401.78191933082</v>
      </c>
      <c r="H49" s="257">
        <f t="shared" ca="1" si="6"/>
        <v>701401.78191933082</v>
      </c>
      <c r="I49" s="220">
        <f t="shared" ca="1" si="7"/>
        <v>2025</v>
      </c>
    </row>
    <row r="50" spans="1:12" x14ac:dyDescent="0.25">
      <c r="A50" s="254">
        <f t="shared" ca="1" si="16"/>
        <v>32</v>
      </c>
      <c r="B50" s="255">
        <f t="shared" ca="1" si="1"/>
        <v>45901</v>
      </c>
      <c r="C50" s="256">
        <f t="shared" ca="1" si="13"/>
        <v>26194.818647763565</v>
      </c>
      <c r="D50" s="257">
        <f t="shared" ca="1" si="2"/>
        <v>4831.88</v>
      </c>
      <c r="E50" s="253">
        <f t="shared" ca="1" si="11"/>
        <v>21362.938647763563</v>
      </c>
      <c r="F50" s="257">
        <f t="shared" ca="1" si="4"/>
        <v>0</v>
      </c>
      <c r="G50" s="257">
        <f t="shared" ca="1" si="5"/>
        <v>680038.84327156725</v>
      </c>
      <c r="H50" s="257">
        <f t="shared" ca="1" si="6"/>
        <v>680038.84327156725</v>
      </c>
      <c r="I50" s="220">
        <f t="shared" ca="1" si="7"/>
        <v>2025</v>
      </c>
    </row>
    <row r="51" spans="1:12" x14ac:dyDescent="0.25">
      <c r="A51" s="254">
        <f t="shared" ca="1" si="16"/>
        <v>33</v>
      </c>
      <c r="B51" s="255">
        <f t="shared" ca="1" si="1"/>
        <v>45931</v>
      </c>
      <c r="C51" s="256">
        <f t="shared" ca="1" si="13"/>
        <v>26194.818647763565</v>
      </c>
      <c r="D51" s="257">
        <f t="shared" ca="1" si="2"/>
        <v>4533.59</v>
      </c>
      <c r="E51" s="253">
        <f t="shared" ca="1" si="11"/>
        <v>21661.228647763564</v>
      </c>
      <c r="F51" s="257">
        <f t="shared" ca="1" si="4"/>
        <v>0</v>
      </c>
      <c r="G51" s="257">
        <f t="shared" ca="1" si="5"/>
        <v>658377.61462380365</v>
      </c>
      <c r="H51" s="257">
        <f t="shared" ca="1" si="6"/>
        <v>658377.61462380365</v>
      </c>
      <c r="I51" s="220">
        <f t="shared" ca="1" si="7"/>
        <v>2025</v>
      </c>
    </row>
    <row r="52" spans="1:12" x14ac:dyDescent="0.25">
      <c r="A52" s="254">
        <f t="shared" ca="1" si="16"/>
        <v>34</v>
      </c>
      <c r="B52" s="255">
        <f t="shared" ca="1" si="1"/>
        <v>45962</v>
      </c>
      <c r="C52" s="256">
        <f t="shared" ca="1" si="13"/>
        <v>26194.818647763565</v>
      </c>
      <c r="D52" s="257">
        <f t="shared" ca="1" si="2"/>
        <v>4535.49</v>
      </c>
      <c r="E52" s="253">
        <f t="shared" ca="1" si="11"/>
        <v>21659.328647763563</v>
      </c>
      <c r="F52" s="257">
        <f t="shared" ca="1" si="4"/>
        <v>0</v>
      </c>
      <c r="G52" s="257">
        <f t="shared" ca="1" si="5"/>
        <v>636718.28597604006</v>
      </c>
      <c r="H52" s="257">
        <f t="shared" ca="1" si="6"/>
        <v>636718.28597604006</v>
      </c>
      <c r="I52" s="220">
        <f t="shared" ca="1" si="7"/>
        <v>2025</v>
      </c>
    </row>
    <row r="53" spans="1:12" x14ac:dyDescent="0.25">
      <c r="A53" s="254">
        <f t="shared" ca="1" si="16"/>
        <v>35</v>
      </c>
      <c r="B53" s="255">
        <f t="shared" ca="1" si="1"/>
        <v>45992</v>
      </c>
      <c r="C53" s="256">
        <f t="shared" ca="1" si="13"/>
        <v>26194.818647763565</v>
      </c>
      <c r="D53" s="257">
        <f t="shared" ca="1" si="2"/>
        <v>4244.79</v>
      </c>
      <c r="E53" s="253">
        <f t="shared" ca="1" si="11"/>
        <v>21950.028647763564</v>
      </c>
      <c r="F53" s="257">
        <f t="shared" ca="1" si="4"/>
        <v>0</v>
      </c>
      <c r="G53" s="257">
        <f t="shared" ca="1" si="5"/>
        <v>614768.25732827652</v>
      </c>
      <c r="H53" s="257">
        <f t="shared" ca="1" si="6"/>
        <v>614768.25732827652</v>
      </c>
      <c r="I53" s="220">
        <f t="shared" ca="1" si="7"/>
        <v>2025</v>
      </c>
    </row>
    <row r="54" spans="1:12" x14ac:dyDescent="0.25">
      <c r="A54" s="254">
        <f t="shared" ca="1" si="16"/>
        <v>36</v>
      </c>
      <c r="B54" s="255">
        <f t="shared" ca="1" si="1"/>
        <v>46023</v>
      </c>
      <c r="C54" s="256">
        <f t="shared" ca="1" si="13"/>
        <v>26194.818647763565</v>
      </c>
      <c r="D54" s="257">
        <f t="shared" ca="1" si="2"/>
        <v>4235.07</v>
      </c>
      <c r="E54" s="253">
        <f t="shared" ca="1" si="11"/>
        <v>21959.748647763565</v>
      </c>
      <c r="F54" s="257">
        <f t="shared" ca="1" si="4"/>
        <v>0</v>
      </c>
      <c r="G54" s="257">
        <f t="shared" ca="1" si="5"/>
        <v>592808.5086805129</v>
      </c>
      <c r="H54" s="257">
        <f t="shared" ca="1" si="6"/>
        <v>592808.5086805129</v>
      </c>
      <c r="I54" s="220">
        <f t="shared" ca="1" si="7"/>
        <v>2026</v>
      </c>
      <c r="J54" s="253">
        <f ca="1">SUM(C48:C54)</f>
        <v>183363.73053434497</v>
      </c>
    </row>
    <row r="55" spans="1:12" x14ac:dyDescent="0.25">
      <c r="A55" s="254">
        <f t="shared" ca="1" si="16"/>
        <v>37</v>
      </c>
      <c r="B55" s="255">
        <f t="shared" ca="1" si="1"/>
        <v>46054</v>
      </c>
      <c r="C55" s="256">
        <f t="shared" ca="1" si="13"/>
        <v>26194.818647763565</v>
      </c>
      <c r="D55" s="257">
        <f t="shared" ca="1" si="2"/>
        <v>4083.79</v>
      </c>
      <c r="E55" s="253">
        <f t="shared" ca="1" si="11"/>
        <v>22111.028647763564</v>
      </c>
      <c r="F55" s="257">
        <f t="shared" ca="1" si="4"/>
        <v>0</v>
      </c>
      <c r="G55" s="257">
        <f t="shared" ca="1" si="5"/>
        <v>570697.48003274936</v>
      </c>
      <c r="H55" s="257">
        <f t="shared" ca="1" si="6"/>
        <v>570697.48003274936</v>
      </c>
      <c r="I55" s="220">
        <f t="shared" ca="1" si="7"/>
        <v>2026</v>
      </c>
    </row>
    <row r="56" spans="1:12" x14ac:dyDescent="0.25">
      <c r="A56" s="254">
        <f t="shared" ca="1" si="16"/>
        <v>38</v>
      </c>
      <c r="B56" s="255">
        <f t="shared" ca="1" si="1"/>
        <v>46082</v>
      </c>
      <c r="C56" s="256">
        <f t="shared" ca="1" si="13"/>
        <v>26194.818647763565</v>
      </c>
      <c r="D56" s="257">
        <f t="shared" ca="1" si="2"/>
        <v>3551.01</v>
      </c>
      <c r="E56" s="253">
        <f t="shared" ca="1" si="11"/>
        <v>22643.808647763566</v>
      </c>
      <c r="F56" s="257">
        <f t="shared" ca="1" si="4"/>
        <v>0</v>
      </c>
      <c r="G56" s="257">
        <f t="shared" ca="1" si="5"/>
        <v>548053.67138498579</v>
      </c>
      <c r="H56" s="257">
        <f t="shared" ca="1" si="6"/>
        <v>548053.67138498579</v>
      </c>
      <c r="I56" s="220">
        <f t="shared" ca="1" si="7"/>
        <v>2026</v>
      </c>
    </row>
    <row r="57" spans="1:12" x14ac:dyDescent="0.25">
      <c r="A57" s="254">
        <f t="shared" ca="1" si="16"/>
        <v>39</v>
      </c>
      <c r="B57" s="255">
        <f t="shared" ca="1" si="1"/>
        <v>46113</v>
      </c>
      <c r="C57" s="256">
        <f t="shared" ca="1" si="13"/>
        <v>26194.818647763565</v>
      </c>
      <c r="D57" s="257">
        <f t="shared" ca="1" si="2"/>
        <v>3775.48</v>
      </c>
      <c r="E57" s="253">
        <f t="shared" ca="1" si="11"/>
        <v>22419.338647763565</v>
      </c>
      <c r="F57" s="257">
        <f t="shared" ca="1" si="4"/>
        <v>0</v>
      </c>
      <c r="G57" s="257">
        <f t="shared" ca="1" si="5"/>
        <v>525634.3327372222</v>
      </c>
      <c r="H57" s="257">
        <f t="shared" ca="1" si="6"/>
        <v>525634.3327372222</v>
      </c>
      <c r="I57" s="220">
        <f t="shared" ca="1" si="7"/>
        <v>2026</v>
      </c>
    </row>
    <row r="58" spans="1:12" x14ac:dyDescent="0.25">
      <c r="A58" s="254">
        <f t="shared" ca="1" si="16"/>
        <v>40</v>
      </c>
      <c r="B58" s="255">
        <f t="shared" ca="1" si="1"/>
        <v>46143</v>
      </c>
      <c r="C58" s="256">
        <f t="shared" ca="1" si="13"/>
        <v>26194.818647763565</v>
      </c>
      <c r="D58" s="257">
        <f t="shared" ca="1" si="2"/>
        <v>3504.23</v>
      </c>
      <c r="E58" s="253">
        <f t="shared" ca="1" si="11"/>
        <v>22690.588647763565</v>
      </c>
      <c r="F58" s="257">
        <f t="shared" ca="1" si="4"/>
        <v>0</v>
      </c>
      <c r="G58" s="257">
        <f t="shared" ca="1" si="5"/>
        <v>502943.7440894586</v>
      </c>
      <c r="H58" s="257">
        <f t="shared" ca="1" si="6"/>
        <v>502943.7440894586</v>
      </c>
      <c r="I58" s="220">
        <f t="shared" ca="1" si="7"/>
        <v>2026</v>
      </c>
    </row>
    <row r="59" spans="1:12" x14ac:dyDescent="0.25">
      <c r="A59" s="254">
        <f t="shared" ca="1" si="16"/>
        <v>41</v>
      </c>
      <c r="B59" s="255">
        <f t="shared" ca="1" si="1"/>
        <v>46174</v>
      </c>
      <c r="C59" s="256">
        <f t="shared" ca="1" si="13"/>
        <v>26194.818647763565</v>
      </c>
      <c r="D59" s="257">
        <f t="shared" ca="1" si="2"/>
        <v>3464.72</v>
      </c>
      <c r="E59" s="253">
        <f t="shared" ca="1" si="11"/>
        <v>22730.098647763563</v>
      </c>
      <c r="F59" s="257">
        <f t="shared" ca="1" si="4"/>
        <v>0</v>
      </c>
      <c r="G59" s="257">
        <f t="shared" ca="1" si="5"/>
        <v>480213.645441695</v>
      </c>
      <c r="H59" s="257">
        <f t="shared" ca="1" si="6"/>
        <v>480213.645441695</v>
      </c>
      <c r="I59" s="220">
        <f t="shared" ca="1" si="7"/>
        <v>2026</v>
      </c>
    </row>
    <row r="60" spans="1:12" x14ac:dyDescent="0.25">
      <c r="A60" s="254">
        <f t="shared" ca="1" si="16"/>
        <v>42</v>
      </c>
      <c r="B60" s="255">
        <f t="shared" ca="1" si="1"/>
        <v>46204</v>
      </c>
      <c r="C60" s="256">
        <f t="shared" ca="1" si="13"/>
        <v>26194.818647763565</v>
      </c>
      <c r="D60" s="257">
        <f t="shared" ca="1" si="2"/>
        <v>3201.42</v>
      </c>
      <c r="E60" s="253">
        <f t="shared" ca="1" si="11"/>
        <v>22993.398647763563</v>
      </c>
      <c r="F60" s="257">
        <f t="shared" ca="1" si="4"/>
        <v>0</v>
      </c>
      <c r="G60" s="257">
        <f t="shared" ca="1" si="5"/>
        <v>457220.24679393141</v>
      </c>
      <c r="H60" s="257">
        <f t="shared" ca="1" si="6"/>
        <v>457220.24679393141</v>
      </c>
      <c r="I60" s="220">
        <f t="shared" ca="1" si="7"/>
        <v>2026</v>
      </c>
    </row>
    <row r="61" spans="1:12" x14ac:dyDescent="0.25">
      <c r="A61" s="254">
        <f t="shared" ca="1" si="16"/>
        <v>43</v>
      </c>
      <c r="B61" s="255">
        <f t="shared" ca="1" si="1"/>
        <v>46235</v>
      </c>
      <c r="C61" s="256">
        <f t="shared" ca="1" si="13"/>
        <v>26194.818647763565</v>
      </c>
      <c r="D61" s="257">
        <f t="shared" ca="1" si="2"/>
        <v>3149.74</v>
      </c>
      <c r="E61" s="253">
        <f t="shared" ca="1" si="11"/>
        <v>23045.078647763563</v>
      </c>
      <c r="F61" s="257">
        <f t="shared" ca="1" si="4"/>
        <v>0</v>
      </c>
      <c r="G61" s="257">
        <f t="shared" ca="1" si="5"/>
        <v>434175.16814616782</v>
      </c>
      <c r="H61" s="257">
        <f t="shared" ca="1" si="6"/>
        <v>434175.16814616782</v>
      </c>
      <c r="I61" s="220">
        <f t="shared" ca="1" si="7"/>
        <v>2026</v>
      </c>
    </row>
    <row r="62" spans="1:12" x14ac:dyDescent="0.25">
      <c r="A62" s="254">
        <f t="shared" ca="1" si="16"/>
        <v>44</v>
      </c>
      <c r="B62" s="255">
        <f t="shared" ca="1" si="1"/>
        <v>46266</v>
      </c>
      <c r="C62" s="256">
        <f t="shared" ca="1" si="13"/>
        <v>26194.818647763565</v>
      </c>
      <c r="D62" s="257">
        <f t="shared" ca="1" si="2"/>
        <v>2990.98</v>
      </c>
      <c r="E62" s="253">
        <f t="shared" ca="1" si="11"/>
        <v>23203.838647763565</v>
      </c>
      <c r="F62" s="257">
        <f t="shared" ca="1" si="4"/>
        <v>0</v>
      </c>
      <c r="G62" s="257">
        <f t="shared" ca="1" si="5"/>
        <v>410971.32949840423</v>
      </c>
      <c r="H62" s="257">
        <f t="shared" ca="1" si="6"/>
        <v>410971.32949840423</v>
      </c>
      <c r="I62" s="220">
        <f t="shared" ca="1" si="7"/>
        <v>2026</v>
      </c>
    </row>
    <row r="63" spans="1:12" x14ac:dyDescent="0.25">
      <c r="A63" s="254">
        <f t="shared" ca="1" si="16"/>
        <v>45</v>
      </c>
      <c r="B63" s="255">
        <f t="shared" ca="1" si="1"/>
        <v>46296</v>
      </c>
      <c r="C63" s="256">
        <f t="shared" ca="1" si="13"/>
        <v>26194.818647763565</v>
      </c>
      <c r="D63" s="257">
        <f t="shared" ca="1" si="2"/>
        <v>2739.81</v>
      </c>
      <c r="E63" s="253">
        <f t="shared" ca="1" si="11"/>
        <v>23455.008647763563</v>
      </c>
      <c r="F63" s="257">
        <f t="shared" ca="1" si="4"/>
        <v>0</v>
      </c>
      <c r="G63" s="257">
        <f t="shared" ca="1" si="5"/>
        <v>387516.32085064065</v>
      </c>
      <c r="H63" s="257">
        <f t="shared" ca="1" si="6"/>
        <v>387516.32085064065</v>
      </c>
      <c r="I63" s="220">
        <f t="shared" ca="1" si="7"/>
        <v>2026</v>
      </c>
      <c r="K63" s="253"/>
    </row>
    <row r="64" spans="1:12" x14ac:dyDescent="0.25">
      <c r="A64" s="254">
        <f t="shared" ca="1" si="16"/>
        <v>46</v>
      </c>
      <c r="B64" s="255">
        <f t="shared" ca="1" si="1"/>
        <v>46327</v>
      </c>
      <c r="C64" s="256">
        <f t="shared" ca="1" si="13"/>
        <v>26194.818647763565</v>
      </c>
      <c r="D64" s="257">
        <f t="shared" ca="1" si="2"/>
        <v>2669.56</v>
      </c>
      <c r="E64" s="253">
        <f t="shared" ca="1" si="11"/>
        <v>23525.258647763563</v>
      </c>
      <c r="F64" s="257">
        <f t="shared" ca="1" si="4"/>
        <v>0</v>
      </c>
      <c r="G64" s="257">
        <f t="shared" ca="1" si="5"/>
        <v>363991.06220287707</v>
      </c>
      <c r="H64" s="257">
        <f t="shared" ca="1" si="6"/>
        <v>363991.06220287707</v>
      </c>
      <c r="I64" s="220">
        <f t="shared" ca="1" si="7"/>
        <v>2026</v>
      </c>
      <c r="K64" s="260">
        <f t="shared" ref="K64:K127" ca="1" si="17">HLOOKUP(I64,$L$18:$W$24,7,0)/12</f>
        <v>0</v>
      </c>
      <c r="L64" s="253">
        <f ca="1">G62-G68</f>
        <v>142990.61188658146</v>
      </c>
    </row>
    <row r="65" spans="1:13" x14ac:dyDescent="0.25">
      <c r="A65" s="254">
        <f t="shared" ca="1" si="16"/>
        <v>47</v>
      </c>
      <c r="B65" s="255">
        <f t="shared" ca="1" si="1"/>
        <v>46357</v>
      </c>
      <c r="C65" s="256">
        <f t="shared" ca="1" si="13"/>
        <v>26194.818647763565</v>
      </c>
      <c r="D65" s="257">
        <f t="shared" ca="1" si="2"/>
        <v>2426.61</v>
      </c>
      <c r="E65" s="253">
        <f t="shared" ca="1" si="11"/>
        <v>23768.208647763564</v>
      </c>
      <c r="F65" s="257">
        <f t="shared" ca="1" si="4"/>
        <v>0</v>
      </c>
      <c r="G65" s="257">
        <f t="shared" ca="1" si="5"/>
        <v>340222.85355511348</v>
      </c>
      <c r="H65" s="257">
        <f t="shared" ca="1" si="6"/>
        <v>340222.85355511348</v>
      </c>
      <c r="I65" s="220">
        <f t="shared" ca="1" si="7"/>
        <v>2026</v>
      </c>
      <c r="K65" s="260">
        <f t="shared" ca="1" si="17"/>
        <v>0</v>
      </c>
    </row>
    <row r="66" spans="1:13" x14ac:dyDescent="0.25">
      <c r="A66" s="254">
        <f t="shared" ca="1" si="16"/>
        <v>48</v>
      </c>
      <c r="B66" s="255">
        <f t="shared" ca="1" si="1"/>
        <v>46388</v>
      </c>
      <c r="C66" s="256">
        <f t="shared" ca="1" si="13"/>
        <v>26194.818647763565</v>
      </c>
      <c r="D66" s="257">
        <f t="shared" ca="1" si="2"/>
        <v>2343.7600000000002</v>
      </c>
      <c r="E66" s="253">
        <f t="shared" ca="1" si="11"/>
        <v>23851.058647763566</v>
      </c>
      <c r="F66" s="257">
        <f t="shared" ca="1" si="4"/>
        <v>0</v>
      </c>
      <c r="G66" s="257">
        <f t="shared" ca="1" si="5"/>
        <v>316371.79490734992</v>
      </c>
      <c r="H66" s="257">
        <f t="shared" ca="1" si="6"/>
        <v>316371.79490734992</v>
      </c>
      <c r="I66" s="220">
        <f t="shared" ca="1" si="7"/>
        <v>2027</v>
      </c>
      <c r="K66" s="260">
        <f t="shared" ca="1" si="17"/>
        <v>0</v>
      </c>
    </row>
    <row r="67" spans="1:13" x14ac:dyDescent="0.25">
      <c r="A67" s="254">
        <f t="shared" ca="1" si="16"/>
        <v>49</v>
      </c>
      <c r="B67" s="255">
        <f t="shared" ca="1" si="1"/>
        <v>46419</v>
      </c>
      <c r="C67" s="256">
        <f t="shared" ca="1" si="13"/>
        <v>26194.818647763565</v>
      </c>
      <c r="D67" s="257">
        <f t="shared" ca="1" si="2"/>
        <v>2179.4499999999998</v>
      </c>
      <c r="E67" s="253">
        <f t="shared" ca="1" si="11"/>
        <v>24015.368647763564</v>
      </c>
      <c r="F67" s="257">
        <f t="shared" ca="1" si="4"/>
        <v>0</v>
      </c>
      <c r="G67" s="257">
        <f t="shared" ca="1" si="5"/>
        <v>292356.42625958635</v>
      </c>
      <c r="H67" s="257">
        <f t="shared" ca="1" si="6"/>
        <v>292356.42625958635</v>
      </c>
      <c r="I67" s="220">
        <f t="shared" ca="1" si="7"/>
        <v>2027</v>
      </c>
      <c r="K67" s="260">
        <f t="shared" ca="1" si="17"/>
        <v>0</v>
      </c>
    </row>
    <row r="68" spans="1:13" x14ac:dyDescent="0.25">
      <c r="A68" s="254">
        <f t="shared" ca="1" si="16"/>
        <v>50</v>
      </c>
      <c r="B68" s="255">
        <f t="shared" ca="1" si="1"/>
        <v>46447</v>
      </c>
      <c r="C68" s="256">
        <f t="shared" ca="1" si="13"/>
        <v>26194.818647763565</v>
      </c>
      <c r="D68" s="257">
        <f t="shared" ca="1" si="2"/>
        <v>1819.11</v>
      </c>
      <c r="E68" s="253">
        <f t="shared" ca="1" si="11"/>
        <v>24375.708647763564</v>
      </c>
      <c r="F68" s="257">
        <f t="shared" ca="1" si="4"/>
        <v>0</v>
      </c>
      <c r="G68" s="257">
        <f t="shared" ca="1" si="5"/>
        <v>267980.71761182277</v>
      </c>
      <c r="H68" s="257">
        <f t="shared" ca="1" si="6"/>
        <v>267980.71761182277</v>
      </c>
      <c r="I68" s="220">
        <f t="shared" ca="1" si="7"/>
        <v>2027</v>
      </c>
      <c r="K68" s="260">
        <f t="shared" ca="1" si="17"/>
        <v>0</v>
      </c>
      <c r="L68" s="253">
        <f ca="1">G68-G74</f>
        <v>148731.07188658143</v>
      </c>
      <c r="M68" s="247">
        <f ca="1">L22-L64</f>
        <v>-142990.61188658146</v>
      </c>
    </row>
    <row r="69" spans="1:13" x14ac:dyDescent="0.25">
      <c r="A69" s="254">
        <f t="shared" ca="1" si="16"/>
        <v>51</v>
      </c>
      <c r="B69" s="255">
        <f t="shared" ca="1" si="1"/>
        <v>46478</v>
      </c>
      <c r="C69" s="256">
        <f t="shared" ca="1" si="13"/>
        <v>26194.818647763565</v>
      </c>
      <c r="D69" s="257">
        <f t="shared" ca="1" si="2"/>
        <v>1846.09</v>
      </c>
      <c r="E69" s="253">
        <f t="shared" ca="1" si="11"/>
        <v>24348.728647763564</v>
      </c>
      <c r="F69" s="257">
        <f t="shared" ca="1" si="4"/>
        <v>0</v>
      </c>
      <c r="G69" s="257">
        <f t="shared" ca="1" si="5"/>
        <v>243631.98896405922</v>
      </c>
      <c r="H69" s="257">
        <f t="shared" ca="1" si="6"/>
        <v>243631.98896405922</v>
      </c>
      <c r="I69" s="220">
        <f t="shared" ca="1" si="7"/>
        <v>2027</v>
      </c>
      <c r="K69" s="260">
        <f t="shared" ca="1" si="17"/>
        <v>0</v>
      </c>
      <c r="L69" s="253">
        <f ca="1">L68+L64</f>
        <v>291721.68377316289</v>
      </c>
    </row>
    <row r="70" spans="1:13" x14ac:dyDescent="0.25">
      <c r="A70" s="254">
        <f t="shared" ca="1" si="16"/>
        <v>52</v>
      </c>
      <c r="B70" s="255">
        <f t="shared" ca="1" si="1"/>
        <v>46508</v>
      </c>
      <c r="C70" s="256">
        <f t="shared" ca="1" si="13"/>
        <v>26194.818647763565</v>
      </c>
      <c r="D70" s="257">
        <f t="shared" ca="1" si="2"/>
        <v>1624.21</v>
      </c>
      <c r="E70" s="253">
        <f t="shared" ca="1" si="11"/>
        <v>24570.608647763565</v>
      </c>
      <c r="F70" s="257">
        <f t="shared" ca="1" si="4"/>
        <v>0</v>
      </c>
      <c r="G70" s="257">
        <f t="shared" ca="1" si="5"/>
        <v>219061.38031629563</v>
      </c>
      <c r="H70" s="257">
        <f t="shared" ca="1" si="6"/>
        <v>219061.38031629563</v>
      </c>
      <c r="I70" s="220">
        <f t="shared" ca="1" si="7"/>
        <v>2027</v>
      </c>
      <c r="K70" s="260">
        <f t="shared" ca="1" si="17"/>
        <v>0</v>
      </c>
    </row>
    <row r="71" spans="1:13" x14ac:dyDescent="0.25">
      <c r="A71" s="254">
        <f t="shared" ca="1" si="16"/>
        <v>53</v>
      </c>
      <c r="B71" s="255">
        <f t="shared" ca="1" si="1"/>
        <v>46539</v>
      </c>
      <c r="C71" s="256">
        <f t="shared" ca="1" si="13"/>
        <v>26194.818647763565</v>
      </c>
      <c r="D71" s="257">
        <f t="shared" ca="1" si="2"/>
        <v>1509.09</v>
      </c>
      <c r="E71" s="253">
        <f t="shared" ca="1" si="11"/>
        <v>24685.728647763564</v>
      </c>
      <c r="F71" s="257">
        <f t="shared" ca="1" si="4"/>
        <v>0</v>
      </c>
      <c r="G71" s="257">
        <f t="shared" ca="1" si="5"/>
        <v>194375.65166853205</v>
      </c>
      <c r="H71" s="257">
        <f t="shared" ca="1" si="6"/>
        <v>194375.65166853205</v>
      </c>
      <c r="I71" s="220">
        <f t="shared" ca="1" si="7"/>
        <v>2027</v>
      </c>
      <c r="K71" s="260">
        <f t="shared" ca="1" si="17"/>
        <v>0</v>
      </c>
    </row>
    <row r="72" spans="1:13" x14ac:dyDescent="0.25">
      <c r="A72" s="254">
        <f t="shared" ca="1" si="16"/>
        <v>54</v>
      </c>
      <c r="B72" s="255">
        <f t="shared" ca="1" si="1"/>
        <v>46569</v>
      </c>
      <c r="C72" s="256">
        <f t="shared" ca="1" si="13"/>
        <v>26194.818647763565</v>
      </c>
      <c r="D72" s="257">
        <f t="shared" ca="1" si="2"/>
        <v>1295.8399999999999</v>
      </c>
      <c r="E72" s="253">
        <f t="shared" ca="1" si="11"/>
        <v>24898.978647763564</v>
      </c>
      <c r="F72" s="257">
        <f t="shared" ca="1" si="4"/>
        <v>0</v>
      </c>
      <c r="G72" s="257">
        <f t="shared" ca="1" si="5"/>
        <v>169476.67302076847</v>
      </c>
      <c r="H72" s="257">
        <f t="shared" ca="1" si="6"/>
        <v>169476.67302076847</v>
      </c>
      <c r="I72" s="220">
        <f t="shared" ca="1" si="7"/>
        <v>2027</v>
      </c>
      <c r="K72" s="260">
        <f t="shared" ca="1" si="17"/>
        <v>0</v>
      </c>
    </row>
    <row r="73" spans="1:13" x14ac:dyDescent="0.25">
      <c r="A73" s="254">
        <f t="shared" ca="1" si="16"/>
        <v>55</v>
      </c>
      <c r="B73" s="255">
        <f t="shared" ca="1" si="1"/>
        <v>46600</v>
      </c>
      <c r="C73" s="256">
        <f t="shared" ca="1" si="13"/>
        <v>26194.818647763565</v>
      </c>
      <c r="D73" s="257">
        <f t="shared" ca="1" si="2"/>
        <v>1167.51</v>
      </c>
      <c r="E73" s="253">
        <f t="shared" ca="1" si="11"/>
        <v>25027.308647763566</v>
      </c>
      <c r="F73" s="257">
        <f t="shared" ca="1" si="4"/>
        <v>0</v>
      </c>
      <c r="G73" s="257">
        <f t="shared" ca="1" si="5"/>
        <v>144449.36437300491</v>
      </c>
      <c r="H73" s="257">
        <f t="shared" ca="1" si="6"/>
        <v>144449.36437300491</v>
      </c>
      <c r="I73" s="220">
        <f t="shared" ca="1" si="7"/>
        <v>2027</v>
      </c>
      <c r="K73" s="260">
        <f t="shared" ca="1" si="17"/>
        <v>0</v>
      </c>
    </row>
    <row r="74" spans="1:13" x14ac:dyDescent="0.25">
      <c r="A74" s="254">
        <f t="shared" ca="1" si="16"/>
        <v>56</v>
      </c>
      <c r="B74" s="255">
        <f t="shared" ca="1" si="1"/>
        <v>46631</v>
      </c>
      <c r="C74" s="256">
        <f t="shared" ca="1" si="13"/>
        <v>26194.818647763565</v>
      </c>
      <c r="D74" s="257">
        <f t="shared" ca="1" si="2"/>
        <v>995.1</v>
      </c>
      <c r="E74" s="253">
        <f t="shared" ca="1" si="11"/>
        <v>25199.718647763566</v>
      </c>
      <c r="F74" s="257">
        <f t="shared" ca="1" si="4"/>
        <v>0</v>
      </c>
      <c r="G74" s="257">
        <f t="shared" ca="1" si="5"/>
        <v>119249.64572524135</v>
      </c>
      <c r="H74" s="257">
        <f t="shared" ca="1" si="6"/>
        <v>119249.64572524135</v>
      </c>
      <c r="I74" s="220">
        <f t="shared" ca="1" si="7"/>
        <v>2027</v>
      </c>
      <c r="K74" s="260">
        <f t="shared" ca="1" si="17"/>
        <v>0</v>
      </c>
    </row>
    <row r="75" spans="1:13" x14ac:dyDescent="0.25">
      <c r="A75" s="254">
        <f t="shared" ca="1" si="16"/>
        <v>57</v>
      </c>
      <c r="B75" s="255">
        <f t="shared" ca="1" si="1"/>
        <v>46661</v>
      </c>
      <c r="C75" s="256">
        <f t="shared" ca="1" si="13"/>
        <v>26194.818647763565</v>
      </c>
      <c r="D75" s="257">
        <f t="shared" ca="1" si="2"/>
        <v>795</v>
      </c>
      <c r="E75" s="253">
        <f t="shared" ca="1" si="11"/>
        <v>25399.818647763565</v>
      </c>
      <c r="F75" s="257">
        <f t="shared" ca="1" si="4"/>
        <v>0</v>
      </c>
      <c r="G75" s="257">
        <f t="shared" ca="1" si="5"/>
        <v>93849.827077477792</v>
      </c>
      <c r="H75" s="257">
        <f t="shared" ca="1" si="6"/>
        <v>93849.827077477792</v>
      </c>
      <c r="I75" s="220">
        <f t="shared" ca="1" si="7"/>
        <v>2027</v>
      </c>
      <c r="K75" s="260">
        <f t="shared" ca="1" si="17"/>
        <v>0</v>
      </c>
    </row>
    <row r="76" spans="1:13" x14ac:dyDescent="0.25">
      <c r="A76" s="254">
        <f t="shared" ca="1" si="16"/>
        <v>58</v>
      </c>
      <c r="B76" s="255">
        <f t="shared" ca="1" si="1"/>
        <v>46692</v>
      </c>
      <c r="C76" s="256">
        <f t="shared" ca="1" si="13"/>
        <v>26194.818647763565</v>
      </c>
      <c r="D76" s="257">
        <f t="shared" ca="1" si="2"/>
        <v>646.52</v>
      </c>
      <c r="E76" s="253">
        <f t="shared" ca="1" si="11"/>
        <v>25548.298647763564</v>
      </c>
      <c r="F76" s="257">
        <f t="shared" ca="1" si="4"/>
        <v>0</v>
      </c>
      <c r="G76" s="257">
        <f t="shared" ca="1" si="5"/>
        <v>68301.528429714235</v>
      </c>
      <c r="H76" s="257">
        <f t="shared" ca="1" si="6"/>
        <v>68301.528429714235</v>
      </c>
      <c r="I76" s="220">
        <f t="shared" ca="1" si="7"/>
        <v>2027</v>
      </c>
      <c r="K76" s="260">
        <f t="shared" ca="1" si="17"/>
        <v>0</v>
      </c>
    </row>
    <row r="77" spans="1:13" x14ac:dyDescent="0.25">
      <c r="A77" s="254">
        <f t="shared" ca="1" si="16"/>
        <v>59</v>
      </c>
      <c r="B77" s="255">
        <f t="shared" ca="1" si="1"/>
        <v>46722</v>
      </c>
      <c r="C77" s="256">
        <f t="shared" ca="1" si="13"/>
        <v>26194.818647763565</v>
      </c>
      <c r="D77" s="257">
        <f t="shared" ca="1" si="2"/>
        <v>455.34</v>
      </c>
      <c r="E77" s="253">
        <f t="shared" ca="1" si="11"/>
        <v>25739.478647763564</v>
      </c>
      <c r="F77" s="257">
        <f t="shared" ca="1" si="4"/>
        <v>0</v>
      </c>
      <c r="G77" s="257">
        <f t="shared" ca="1" si="5"/>
        <v>42562.049781950671</v>
      </c>
      <c r="H77" s="257">
        <f t="shared" ca="1" si="6"/>
        <v>42562.049781950671</v>
      </c>
      <c r="I77" s="220">
        <f t="shared" ca="1" si="7"/>
        <v>2027</v>
      </c>
      <c r="K77" s="260">
        <f t="shared" ca="1" si="17"/>
        <v>0</v>
      </c>
    </row>
    <row r="78" spans="1:13" x14ac:dyDescent="0.25">
      <c r="A78" s="254">
        <f t="shared" ca="1" si="16"/>
        <v>60</v>
      </c>
      <c r="B78" s="255">
        <f t="shared" ca="1" si="1"/>
        <v>46753</v>
      </c>
      <c r="C78" s="256">
        <f t="shared" ca="1" si="13"/>
        <v>26194.818647763565</v>
      </c>
      <c r="D78" s="257">
        <f t="shared" ca="1" si="2"/>
        <v>293.20999999999998</v>
      </c>
      <c r="E78" s="253">
        <f t="shared" ca="1" si="11"/>
        <v>25901.608647763565</v>
      </c>
      <c r="F78" s="257">
        <f t="shared" ca="1" si="4"/>
        <v>0</v>
      </c>
      <c r="G78" s="257">
        <f t="shared" ca="1" si="5"/>
        <v>16660.441134187105</v>
      </c>
      <c r="H78" s="257">
        <f t="shared" ca="1" si="6"/>
        <v>16660.441134187105</v>
      </c>
      <c r="I78" s="220">
        <f t="shared" ca="1" si="7"/>
        <v>2028</v>
      </c>
      <c r="K78" s="260">
        <f t="shared" ca="1" si="17"/>
        <v>0</v>
      </c>
    </row>
    <row r="79" spans="1:13" x14ac:dyDescent="0.25">
      <c r="A79" s="254">
        <f t="shared" ca="1" si="16"/>
        <v>61</v>
      </c>
      <c r="B79" s="255" t="str">
        <f t="shared" ca="1" si="1"/>
        <v/>
      </c>
      <c r="C79" s="256">
        <f t="shared" ca="1" si="13"/>
        <v>26194.818647763565</v>
      </c>
      <c r="D79" s="257" t="str">
        <f t="shared" ca="1" si="2"/>
        <v/>
      </c>
      <c r="E79" s="253" t="str">
        <f t="shared" ca="1" si="11"/>
        <v/>
      </c>
      <c r="F79" s="257" t="str">
        <f t="shared" ca="1" si="4"/>
        <v/>
      </c>
      <c r="G79" s="257" t="str">
        <f t="shared" ca="1" si="5"/>
        <v/>
      </c>
      <c r="H79" s="257" t="str">
        <f t="shared" ca="1" si="6"/>
        <v/>
      </c>
      <c r="I79" s="220" t="e">
        <f t="shared" ca="1" si="7"/>
        <v>#VALUE!</v>
      </c>
      <c r="K79" s="260" t="e">
        <f t="shared" ca="1" si="17"/>
        <v>#VALUE!</v>
      </c>
    </row>
    <row r="80" spans="1:13" x14ac:dyDescent="0.25">
      <c r="A80" s="254" t="str">
        <f t="shared" ca="1" si="16"/>
        <v/>
      </c>
      <c r="B80" s="255" t="str">
        <f t="shared" ca="1" si="1"/>
        <v/>
      </c>
      <c r="C80" s="256" t="str">
        <f t="shared" ca="1" si="13"/>
        <v/>
      </c>
      <c r="D80" s="257" t="str">
        <f t="shared" ca="1" si="2"/>
        <v/>
      </c>
      <c r="E80" s="253" t="str">
        <f t="shared" ca="1" si="11"/>
        <v/>
      </c>
      <c r="F80" s="257" t="str">
        <f t="shared" ca="1" si="4"/>
        <v/>
      </c>
      <c r="G80" s="257" t="str">
        <f t="shared" ca="1" si="5"/>
        <v/>
      </c>
      <c r="H80" s="257" t="str">
        <f t="shared" ca="1" si="6"/>
        <v/>
      </c>
      <c r="I80" s="220" t="e">
        <f t="shared" ca="1" si="7"/>
        <v>#VALUE!</v>
      </c>
      <c r="K80" s="260" t="e">
        <f t="shared" ca="1" si="17"/>
        <v>#VALUE!</v>
      </c>
    </row>
    <row r="81" spans="1:11" x14ac:dyDescent="0.25">
      <c r="A81" s="254" t="str">
        <f t="shared" ca="1" si="16"/>
        <v/>
      </c>
      <c r="B81" s="255" t="str">
        <f t="shared" ca="1" si="1"/>
        <v/>
      </c>
      <c r="C81" s="256" t="str">
        <f t="shared" ca="1" si="13"/>
        <v/>
      </c>
      <c r="D81" s="257" t="str">
        <f t="shared" ca="1" si="2"/>
        <v/>
      </c>
      <c r="E81" s="253" t="str">
        <f t="shared" ca="1" si="11"/>
        <v/>
      </c>
      <c r="F81" s="257" t="str">
        <f t="shared" ca="1" si="4"/>
        <v/>
      </c>
      <c r="G81" s="257" t="str">
        <f t="shared" ca="1" si="5"/>
        <v/>
      </c>
      <c r="H81" s="257" t="str">
        <f t="shared" ca="1" si="6"/>
        <v/>
      </c>
      <c r="I81" s="220" t="e">
        <f t="shared" ca="1" si="7"/>
        <v>#VALUE!</v>
      </c>
      <c r="K81" s="260" t="e">
        <f t="shared" ca="1" si="17"/>
        <v>#VALUE!</v>
      </c>
    </row>
    <row r="82" spans="1:11" x14ac:dyDescent="0.25">
      <c r="A82" s="254" t="str">
        <f t="shared" ca="1" si="16"/>
        <v/>
      </c>
      <c r="B82" s="255" t="str">
        <f t="shared" ca="1" si="1"/>
        <v/>
      </c>
      <c r="C82" s="256" t="str">
        <f t="shared" ca="1" si="13"/>
        <v/>
      </c>
      <c r="D82" s="257" t="str">
        <f t="shared" ca="1" si="2"/>
        <v/>
      </c>
      <c r="E82" s="253" t="str">
        <f t="shared" ca="1" si="11"/>
        <v/>
      </c>
      <c r="F82" s="257" t="str">
        <f t="shared" ca="1" si="4"/>
        <v/>
      </c>
      <c r="G82" s="257" t="str">
        <f t="shared" ca="1" si="5"/>
        <v/>
      </c>
      <c r="H82" s="257" t="str">
        <f t="shared" ca="1" si="6"/>
        <v/>
      </c>
      <c r="I82" s="220" t="e">
        <f t="shared" ca="1" si="7"/>
        <v>#VALUE!</v>
      </c>
      <c r="K82" s="260" t="e">
        <f t="shared" ca="1" si="17"/>
        <v>#VALUE!</v>
      </c>
    </row>
    <row r="83" spans="1:11" x14ac:dyDescent="0.25">
      <c r="A83" s="254" t="str">
        <f t="shared" ca="1" si="16"/>
        <v/>
      </c>
      <c r="B83" s="255" t="str">
        <f t="shared" ref="B83:B138" ca="1" si="18">IF(A83&lt;$H$10+1,DATE(YEAR(B82),MONTH(B82)+1,1),"")</f>
        <v/>
      </c>
      <c r="C83" s="256" t="str">
        <f t="shared" ca="1" si="13"/>
        <v/>
      </c>
      <c r="D83" s="257" t="str">
        <f t="shared" ref="D83:D146" ca="1" si="19">IF(B83="","",ROUND((B83-B82)*$H$9*G82,2))</f>
        <v/>
      </c>
      <c r="E83" s="253" t="str">
        <f t="shared" ca="1" si="11"/>
        <v/>
      </c>
      <c r="F83" s="257" t="str">
        <f t="shared" ref="F83:F146" ca="1" si="20">IF(B83="","",IF(C83&gt;F82+D83,0,F82+D83-C83))</f>
        <v/>
      </c>
      <c r="G83" s="257" t="str">
        <f t="shared" ref="G83:G146" ca="1" si="21">IF(B83="","",IF(C83&gt;D83+F82,G82+F82+D83-C83,G82))</f>
        <v/>
      </c>
      <c r="H83" s="257" t="str">
        <f t="shared" ref="H83:H146" ca="1" si="22">IF(B83="","",G83+F83)</f>
        <v/>
      </c>
      <c r="I83" s="220" t="e">
        <f t="shared" ref="I83:I138" ca="1" si="23">YEAR(B83)</f>
        <v>#VALUE!</v>
      </c>
      <c r="K83" s="260" t="e">
        <f t="shared" ca="1" si="17"/>
        <v>#VALUE!</v>
      </c>
    </row>
    <row r="84" spans="1:11" x14ac:dyDescent="0.25">
      <c r="A84" s="254" t="str">
        <f t="shared" ca="1" si="16"/>
        <v/>
      </c>
      <c r="B84" s="255" t="str">
        <f t="shared" ca="1" si="18"/>
        <v/>
      </c>
      <c r="C84" s="256" t="str">
        <f t="shared" ca="1" si="13"/>
        <v/>
      </c>
      <c r="D84" s="257" t="str">
        <f t="shared" ca="1" si="19"/>
        <v/>
      </c>
      <c r="E84" s="253" t="str">
        <f t="shared" ca="1" si="11"/>
        <v/>
      </c>
      <c r="F84" s="257" t="str">
        <f t="shared" ca="1" si="20"/>
        <v/>
      </c>
      <c r="G84" s="257" t="str">
        <f t="shared" ca="1" si="21"/>
        <v/>
      </c>
      <c r="H84" s="257" t="str">
        <f t="shared" ca="1" si="22"/>
        <v/>
      </c>
      <c r="I84" s="220" t="e">
        <f t="shared" ca="1" si="23"/>
        <v>#VALUE!</v>
      </c>
      <c r="K84" s="260" t="e">
        <f t="shared" ca="1" si="17"/>
        <v>#VALUE!</v>
      </c>
    </row>
    <row r="85" spans="1:11" x14ac:dyDescent="0.25">
      <c r="A85" s="254" t="str">
        <f t="shared" ca="1" si="16"/>
        <v/>
      </c>
      <c r="B85" s="255" t="str">
        <f t="shared" ca="1" si="18"/>
        <v/>
      </c>
      <c r="C85" s="256" t="str">
        <f t="shared" ca="1" si="13"/>
        <v/>
      </c>
      <c r="D85" s="257" t="str">
        <f t="shared" ca="1" si="19"/>
        <v/>
      </c>
      <c r="E85" s="253" t="str">
        <f t="shared" ref="E85:E138" ca="1" si="24">IF(B85="","",C85-D85)</f>
        <v/>
      </c>
      <c r="F85" s="257" t="str">
        <f t="shared" ca="1" si="20"/>
        <v/>
      </c>
      <c r="G85" s="257" t="str">
        <f t="shared" ca="1" si="21"/>
        <v/>
      </c>
      <c r="H85" s="257" t="str">
        <f t="shared" ca="1" si="22"/>
        <v/>
      </c>
      <c r="I85" s="220" t="e">
        <f t="shared" ca="1" si="23"/>
        <v>#VALUE!</v>
      </c>
      <c r="K85" s="260" t="e">
        <f t="shared" ca="1" si="17"/>
        <v>#VALUE!</v>
      </c>
    </row>
    <row r="86" spans="1:11" x14ac:dyDescent="0.25">
      <c r="A86" s="254" t="str">
        <f t="shared" ca="1" si="16"/>
        <v/>
      </c>
      <c r="B86" s="255" t="str">
        <f t="shared" ca="1" si="18"/>
        <v/>
      </c>
      <c r="C86" s="256" t="str">
        <f t="shared" ref="C86:C138" ca="1" si="25">IF(A86&lt;$H$13,C85,IF(A86=$H$13,D86+G85,""))</f>
        <v/>
      </c>
      <c r="D86" s="257" t="str">
        <f t="shared" ca="1" si="19"/>
        <v/>
      </c>
      <c r="E86" s="253" t="str">
        <f t="shared" ca="1" si="24"/>
        <v/>
      </c>
      <c r="F86" s="257" t="str">
        <f t="shared" ca="1" si="20"/>
        <v/>
      </c>
      <c r="G86" s="257" t="str">
        <f t="shared" ca="1" si="21"/>
        <v/>
      </c>
      <c r="H86" s="257" t="str">
        <f t="shared" ca="1" si="22"/>
        <v/>
      </c>
      <c r="I86" s="220" t="e">
        <f t="shared" ca="1" si="23"/>
        <v>#VALUE!</v>
      </c>
      <c r="K86" s="260" t="e">
        <f t="shared" ca="1" si="17"/>
        <v>#VALUE!</v>
      </c>
    </row>
    <row r="87" spans="1:11" x14ac:dyDescent="0.25">
      <c r="A87" s="254" t="str">
        <f t="shared" ca="1" si="16"/>
        <v/>
      </c>
      <c r="B87" s="255" t="str">
        <f t="shared" ca="1" si="18"/>
        <v/>
      </c>
      <c r="C87" s="256" t="str">
        <f t="shared" ca="1" si="25"/>
        <v/>
      </c>
      <c r="D87" s="257" t="str">
        <f t="shared" ca="1" si="19"/>
        <v/>
      </c>
      <c r="E87" s="253" t="str">
        <f t="shared" ca="1" si="24"/>
        <v/>
      </c>
      <c r="F87" s="257" t="str">
        <f t="shared" ca="1" si="20"/>
        <v/>
      </c>
      <c r="G87" s="257" t="str">
        <f t="shared" ca="1" si="21"/>
        <v/>
      </c>
      <c r="H87" s="257" t="str">
        <f t="shared" ca="1" si="22"/>
        <v/>
      </c>
      <c r="I87" s="220" t="e">
        <f t="shared" ca="1" si="23"/>
        <v>#VALUE!</v>
      </c>
      <c r="K87" s="260" t="e">
        <f t="shared" ca="1" si="17"/>
        <v>#VALUE!</v>
      </c>
    </row>
    <row r="88" spans="1:11" x14ac:dyDescent="0.25">
      <c r="A88" s="254" t="str">
        <f t="shared" ca="1" si="16"/>
        <v/>
      </c>
      <c r="B88" s="255" t="str">
        <f t="shared" ca="1" si="18"/>
        <v/>
      </c>
      <c r="C88" s="256" t="str">
        <f t="shared" ca="1" si="25"/>
        <v/>
      </c>
      <c r="D88" s="257" t="str">
        <f t="shared" ca="1" si="19"/>
        <v/>
      </c>
      <c r="E88" s="253" t="str">
        <f t="shared" ca="1" si="24"/>
        <v/>
      </c>
      <c r="F88" s="257" t="str">
        <f t="shared" ca="1" si="20"/>
        <v/>
      </c>
      <c r="G88" s="257" t="str">
        <f t="shared" ca="1" si="21"/>
        <v/>
      </c>
      <c r="H88" s="257" t="str">
        <f t="shared" ca="1" si="22"/>
        <v/>
      </c>
      <c r="I88" s="220" t="e">
        <f t="shared" ca="1" si="23"/>
        <v>#VALUE!</v>
      </c>
      <c r="K88" s="260" t="e">
        <f t="shared" ca="1" si="17"/>
        <v>#VALUE!</v>
      </c>
    </row>
    <row r="89" spans="1:11" x14ac:dyDescent="0.25">
      <c r="A89" s="254" t="str">
        <f t="shared" ca="1" si="16"/>
        <v/>
      </c>
      <c r="B89" s="255" t="str">
        <f t="shared" ca="1" si="18"/>
        <v/>
      </c>
      <c r="C89" s="256" t="str">
        <f t="shared" ca="1" si="25"/>
        <v/>
      </c>
      <c r="D89" s="257" t="str">
        <f t="shared" ca="1" si="19"/>
        <v/>
      </c>
      <c r="E89" s="253" t="str">
        <f t="shared" ca="1" si="24"/>
        <v/>
      </c>
      <c r="F89" s="257" t="str">
        <f t="shared" ca="1" si="20"/>
        <v/>
      </c>
      <c r="G89" s="257" t="str">
        <f t="shared" ca="1" si="21"/>
        <v/>
      </c>
      <c r="H89" s="257" t="str">
        <f t="shared" ca="1" si="22"/>
        <v/>
      </c>
      <c r="I89" s="220" t="e">
        <f t="shared" ca="1" si="23"/>
        <v>#VALUE!</v>
      </c>
      <c r="K89" s="260" t="e">
        <f t="shared" ca="1" si="17"/>
        <v>#VALUE!</v>
      </c>
    </row>
    <row r="90" spans="1:11" x14ac:dyDescent="0.25">
      <c r="A90" s="254" t="str">
        <f t="shared" ca="1" si="16"/>
        <v/>
      </c>
      <c r="B90" s="255" t="str">
        <f t="shared" ca="1" si="18"/>
        <v/>
      </c>
      <c r="C90" s="256" t="str">
        <f t="shared" ca="1" si="25"/>
        <v/>
      </c>
      <c r="D90" s="257" t="str">
        <f t="shared" ca="1" si="19"/>
        <v/>
      </c>
      <c r="E90" s="253" t="str">
        <f t="shared" ca="1" si="24"/>
        <v/>
      </c>
      <c r="F90" s="257" t="str">
        <f t="shared" ca="1" si="20"/>
        <v/>
      </c>
      <c r="G90" s="257" t="str">
        <f t="shared" ca="1" si="21"/>
        <v/>
      </c>
      <c r="H90" s="257" t="str">
        <f t="shared" ca="1" si="22"/>
        <v/>
      </c>
      <c r="I90" s="220" t="e">
        <f t="shared" ca="1" si="23"/>
        <v>#VALUE!</v>
      </c>
      <c r="K90" s="260" t="e">
        <f t="shared" ca="1" si="17"/>
        <v>#VALUE!</v>
      </c>
    </row>
    <row r="91" spans="1:11" x14ac:dyDescent="0.25">
      <c r="A91" s="254" t="str">
        <f t="shared" ca="1" si="16"/>
        <v/>
      </c>
      <c r="B91" s="255" t="str">
        <f t="shared" ca="1" si="18"/>
        <v/>
      </c>
      <c r="C91" s="256" t="str">
        <f t="shared" ca="1" si="25"/>
        <v/>
      </c>
      <c r="D91" s="257" t="str">
        <f t="shared" ca="1" si="19"/>
        <v/>
      </c>
      <c r="E91" s="253" t="str">
        <f t="shared" ca="1" si="24"/>
        <v/>
      </c>
      <c r="F91" s="257" t="str">
        <f t="shared" ca="1" si="20"/>
        <v/>
      </c>
      <c r="G91" s="257" t="str">
        <f t="shared" ca="1" si="21"/>
        <v/>
      </c>
      <c r="H91" s="257" t="str">
        <f t="shared" ca="1" si="22"/>
        <v/>
      </c>
      <c r="I91" s="220" t="e">
        <f t="shared" ca="1" si="23"/>
        <v>#VALUE!</v>
      </c>
      <c r="K91" s="260" t="e">
        <f t="shared" ca="1" si="17"/>
        <v>#VALUE!</v>
      </c>
    </row>
    <row r="92" spans="1:11" x14ac:dyDescent="0.25">
      <c r="A92" s="254" t="str">
        <f t="shared" ca="1" si="16"/>
        <v/>
      </c>
      <c r="B92" s="255" t="str">
        <f t="shared" ca="1" si="18"/>
        <v/>
      </c>
      <c r="C92" s="256" t="str">
        <f t="shared" ca="1" si="25"/>
        <v/>
      </c>
      <c r="D92" s="257" t="str">
        <f t="shared" ca="1" si="19"/>
        <v/>
      </c>
      <c r="E92" s="253" t="str">
        <f t="shared" ca="1" si="24"/>
        <v/>
      </c>
      <c r="F92" s="257" t="str">
        <f t="shared" ca="1" si="20"/>
        <v/>
      </c>
      <c r="G92" s="257" t="str">
        <f t="shared" ca="1" si="21"/>
        <v/>
      </c>
      <c r="H92" s="257" t="str">
        <f t="shared" ca="1" si="22"/>
        <v/>
      </c>
      <c r="I92" s="220" t="e">
        <f t="shared" ca="1" si="23"/>
        <v>#VALUE!</v>
      </c>
      <c r="K92" s="260" t="e">
        <f t="shared" ca="1" si="17"/>
        <v>#VALUE!</v>
      </c>
    </row>
    <row r="93" spans="1:11" x14ac:dyDescent="0.25">
      <c r="A93" s="254" t="str">
        <f t="shared" ca="1" si="16"/>
        <v/>
      </c>
      <c r="B93" s="255" t="str">
        <f t="shared" ca="1" si="18"/>
        <v/>
      </c>
      <c r="C93" s="256" t="str">
        <f t="shared" ca="1" si="25"/>
        <v/>
      </c>
      <c r="D93" s="257" t="str">
        <f t="shared" ca="1" si="19"/>
        <v/>
      </c>
      <c r="E93" s="253" t="str">
        <f t="shared" ca="1" si="24"/>
        <v/>
      </c>
      <c r="F93" s="257" t="str">
        <f t="shared" ca="1" si="20"/>
        <v/>
      </c>
      <c r="G93" s="257" t="str">
        <f t="shared" ca="1" si="21"/>
        <v/>
      </c>
      <c r="H93" s="257" t="str">
        <f t="shared" ca="1" si="22"/>
        <v/>
      </c>
      <c r="I93" s="220" t="e">
        <f t="shared" ca="1" si="23"/>
        <v>#VALUE!</v>
      </c>
      <c r="K93" s="260" t="e">
        <f t="shared" ca="1" si="17"/>
        <v>#VALUE!</v>
      </c>
    </row>
    <row r="94" spans="1:11" x14ac:dyDescent="0.25">
      <c r="A94" s="254" t="str">
        <f t="shared" ca="1" si="16"/>
        <v/>
      </c>
      <c r="B94" s="255" t="str">
        <f t="shared" ca="1" si="18"/>
        <v/>
      </c>
      <c r="C94" s="256" t="str">
        <f t="shared" ca="1" si="25"/>
        <v/>
      </c>
      <c r="D94" s="257" t="str">
        <f t="shared" ca="1" si="19"/>
        <v/>
      </c>
      <c r="E94" s="253" t="str">
        <f t="shared" ca="1" si="24"/>
        <v/>
      </c>
      <c r="F94" s="257" t="str">
        <f t="shared" ca="1" si="20"/>
        <v/>
      </c>
      <c r="G94" s="257" t="str">
        <f t="shared" ca="1" si="21"/>
        <v/>
      </c>
      <c r="H94" s="257" t="str">
        <f t="shared" ca="1" si="22"/>
        <v/>
      </c>
      <c r="I94" s="220" t="e">
        <f t="shared" ca="1" si="23"/>
        <v>#VALUE!</v>
      </c>
      <c r="K94" s="260" t="e">
        <f t="shared" ca="1" si="17"/>
        <v>#VALUE!</v>
      </c>
    </row>
    <row r="95" spans="1:11" x14ac:dyDescent="0.25">
      <c r="A95" s="254" t="str">
        <f t="shared" ca="1" si="16"/>
        <v/>
      </c>
      <c r="B95" s="255" t="str">
        <f t="shared" ca="1" si="18"/>
        <v/>
      </c>
      <c r="C95" s="256" t="str">
        <f t="shared" ca="1" si="25"/>
        <v/>
      </c>
      <c r="D95" s="257" t="str">
        <f t="shared" ca="1" si="19"/>
        <v/>
      </c>
      <c r="E95" s="253" t="str">
        <f t="shared" ca="1" si="24"/>
        <v/>
      </c>
      <c r="F95" s="257" t="str">
        <f t="shared" ca="1" si="20"/>
        <v/>
      </c>
      <c r="G95" s="257" t="str">
        <f t="shared" ca="1" si="21"/>
        <v/>
      </c>
      <c r="H95" s="257" t="str">
        <f t="shared" ca="1" si="22"/>
        <v/>
      </c>
      <c r="I95" s="220" t="e">
        <f t="shared" ca="1" si="23"/>
        <v>#VALUE!</v>
      </c>
      <c r="K95" s="260" t="e">
        <f t="shared" ca="1" si="17"/>
        <v>#VALUE!</v>
      </c>
    </row>
    <row r="96" spans="1:11" x14ac:dyDescent="0.25">
      <c r="A96" s="254" t="str">
        <f t="shared" ca="1" si="16"/>
        <v/>
      </c>
      <c r="B96" s="255" t="str">
        <f t="shared" ca="1" si="18"/>
        <v/>
      </c>
      <c r="C96" s="256" t="str">
        <f t="shared" ca="1" si="25"/>
        <v/>
      </c>
      <c r="D96" s="257" t="str">
        <f t="shared" ca="1" si="19"/>
        <v/>
      </c>
      <c r="E96" s="253" t="str">
        <f t="shared" ca="1" si="24"/>
        <v/>
      </c>
      <c r="F96" s="257" t="str">
        <f t="shared" ca="1" si="20"/>
        <v/>
      </c>
      <c r="G96" s="257" t="str">
        <f t="shared" ca="1" si="21"/>
        <v/>
      </c>
      <c r="H96" s="257" t="str">
        <f t="shared" ca="1" si="22"/>
        <v/>
      </c>
      <c r="I96" s="220" t="e">
        <f t="shared" ca="1" si="23"/>
        <v>#VALUE!</v>
      </c>
      <c r="K96" s="260" t="e">
        <f t="shared" ca="1" si="17"/>
        <v>#VALUE!</v>
      </c>
    </row>
    <row r="97" spans="1:11" x14ac:dyDescent="0.25">
      <c r="A97" s="254" t="str">
        <f t="shared" ca="1" si="16"/>
        <v/>
      </c>
      <c r="B97" s="255" t="str">
        <f t="shared" ca="1" si="18"/>
        <v/>
      </c>
      <c r="C97" s="256" t="str">
        <f t="shared" ca="1" si="25"/>
        <v/>
      </c>
      <c r="D97" s="257" t="str">
        <f t="shared" ca="1" si="19"/>
        <v/>
      </c>
      <c r="E97" s="253" t="str">
        <f t="shared" ca="1" si="24"/>
        <v/>
      </c>
      <c r="F97" s="257" t="str">
        <f t="shared" ca="1" si="20"/>
        <v/>
      </c>
      <c r="G97" s="257" t="str">
        <f t="shared" ca="1" si="21"/>
        <v/>
      </c>
      <c r="H97" s="257" t="str">
        <f t="shared" ca="1" si="22"/>
        <v/>
      </c>
      <c r="I97" s="220" t="e">
        <f t="shared" ca="1" si="23"/>
        <v>#VALUE!</v>
      </c>
      <c r="K97" s="260" t="e">
        <f t="shared" ca="1" si="17"/>
        <v>#VALUE!</v>
      </c>
    </row>
    <row r="98" spans="1:11" x14ac:dyDescent="0.25">
      <c r="A98" s="254" t="str">
        <f t="shared" ca="1" si="16"/>
        <v/>
      </c>
      <c r="B98" s="255" t="str">
        <f t="shared" ca="1" si="18"/>
        <v/>
      </c>
      <c r="C98" s="256" t="str">
        <f t="shared" ca="1" si="25"/>
        <v/>
      </c>
      <c r="D98" s="257" t="str">
        <f t="shared" ca="1" si="19"/>
        <v/>
      </c>
      <c r="E98" s="253" t="str">
        <f t="shared" ca="1" si="24"/>
        <v/>
      </c>
      <c r="F98" s="257" t="str">
        <f t="shared" ca="1" si="20"/>
        <v/>
      </c>
      <c r="G98" s="257" t="str">
        <f t="shared" ca="1" si="21"/>
        <v/>
      </c>
      <c r="H98" s="257" t="str">
        <f t="shared" ca="1" si="22"/>
        <v/>
      </c>
      <c r="I98" s="220" t="e">
        <f t="shared" ca="1" si="23"/>
        <v>#VALUE!</v>
      </c>
      <c r="K98" s="260" t="e">
        <f t="shared" ca="1" si="17"/>
        <v>#VALUE!</v>
      </c>
    </row>
    <row r="99" spans="1:11" x14ac:dyDescent="0.25">
      <c r="A99" s="254" t="str">
        <f t="shared" ca="1" si="16"/>
        <v/>
      </c>
      <c r="B99" s="255" t="str">
        <f t="shared" ca="1" si="18"/>
        <v/>
      </c>
      <c r="C99" s="256" t="str">
        <f t="shared" ca="1" si="25"/>
        <v/>
      </c>
      <c r="D99" s="257" t="str">
        <f t="shared" ca="1" si="19"/>
        <v/>
      </c>
      <c r="E99" s="253" t="str">
        <f t="shared" ca="1" si="24"/>
        <v/>
      </c>
      <c r="F99" s="257" t="str">
        <f t="shared" ca="1" si="20"/>
        <v/>
      </c>
      <c r="G99" s="257" t="str">
        <f t="shared" ca="1" si="21"/>
        <v/>
      </c>
      <c r="H99" s="257" t="str">
        <f t="shared" ca="1" si="22"/>
        <v/>
      </c>
      <c r="I99" s="220" t="e">
        <f t="shared" ca="1" si="23"/>
        <v>#VALUE!</v>
      </c>
      <c r="K99" s="260" t="e">
        <f t="shared" ca="1" si="17"/>
        <v>#VALUE!</v>
      </c>
    </row>
    <row r="100" spans="1:11" x14ac:dyDescent="0.25">
      <c r="A100" s="254" t="str">
        <f t="shared" ca="1" si="16"/>
        <v/>
      </c>
      <c r="B100" s="255" t="str">
        <f t="shared" ca="1" si="18"/>
        <v/>
      </c>
      <c r="C100" s="256" t="str">
        <f t="shared" ca="1" si="25"/>
        <v/>
      </c>
      <c r="D100" s="257" t="str">
        <f t="shared" ca="1" si="19"/>
        <v/>
      </c>
      <c r="E100" s="253" t="str">
        <f t="shared" ca="1" si="24"/>
        <v/>
      </c>
      <c r="F100" s="257" t="str">
        <f t="shared" ca="1" si="20"/>
        <v/>
      </c>
      <c r="G100" s="257" t="str">
        <f t="shared" ca="1" si="21"/>
        <v/>
      </c>
      <c r="H100" s="257" t="str">
        <f t="shared" ca="1" si="22"/>
        <v/>
      </c>
      <c r="I100" s="220" t="e">
        <f t="shared" ca="1" si="23"/>
        <v>#VALUE!</v>
      </c>
      <c r="K100" s="260" t="e">
        <f t="shared" ca="1" si="17"/>
        <v>#VALUE!</v>
      </c>
    </row>
    <row r="101" spans="1:11" x14ac:dyDescent="0.25">
      <c r="A101" s="254" t="str">
        <f t="shared" ca="1" si="16"/>
        <v/>
      </c>
      <c r="B101" s="255" t="str">
        <f t="shared" ca="1" si="18"/>
        <v/>
      </c>
      <c r="C101" s="256" t="str">
        <f t="shared" ca="1" si="25"/>
        <v/>
      </c>
      <c r="D101" s="257" t="str">
        <f t="shared" ca="1" si="19"/>
        <v/>
      </c>
      <c r="E101" s="253" t="str">
        <f t="shared" ca="1" si="24"/>
        <v/>
      </c>
      <c r="F101" s="257" t="str">
        <f t="shared" ca="1" si="20"/>
        <v/>
      </c>
      <c r="G101" s="257" t="str">
        <f t="shared" ca="1" si="21"/>
        <v/>
      </c>
      <c r="H101" s="257" t="str">
        <f t="shared" ca="1" si="22"/>
        <v/>
      </c>
      <c r="I101" s="220" t="e">
        <f t="shared" ca="1" si="23"/>
        <v>#VALUE!</v>
      </c>
      <c r="K101" s="260" t="e">
        <f t="shared" ca="1" si="17"/>
        <v>#VALUE!</v>
      </c>
    </row>
    <row r="102" spans="1:11" x14ac:dyDescent="0.25">
      <c r="A102" s="254" t="str">
        <f t="shared" ca="1" si="16"/>
        <v/>
      </c>
      <c r="B102" s="255" t="str">
        <f t="shared" ca="1" si="18"/>
        <v/>
      </c>
      <c r="C102" s="256" t="str">
        <f t="shared" ca="1" si="25"/>
        <v/>
      </c>
      <c r="D102" s="257" t="str">
        <f t="shared" ca="1" si="19"/>
        <v/>
      </c>
      <c r="E102" s="253" t="str">
        <f t="shared" ca="1" si="24"/>
        <v/>
      </c>
      <c r="F102" s="257" t="str">
        <f t="shared" ca="1" si="20"/>
        <v/>
      </c>
      <c r="G102" s="257" t="str">
        <f t="shared" ca="1" si="21"/>
        <v/>
      </c>
      <c r="H102" s="257" t="str">
        <f t="shared" ca="1" si="22"/>
        <v/>
      </c>
      <c r="I102" s="220" t="e">
        <f t="shared" ca="1" si="23"/>
        <v>#VALUE!</v>
      </c>
      <c r="K102" s="260" t="e">
        <f t="shared" ca="1" si="17"/>
        <v>#VALUE!</v>
      </c>
    </row>
    <row r="103" spans="1:11" x14ac:dyDescent="0.25">
      <c r="A103" s="254" t="str">
        <f t="shared" ca="1" si="16"/>
        <v/>
      </c>
      <c r="B103" s="255" t="str">
        <f t="shared" ca="1" si="18"/>
        <v/>
      </c>
      <c r="C103" s="256" t="str">
        <f t="shared" ca="1" si="25"/>
        <v/>
      </c>
      <c r="D103" s="257" t="str">
        <f t="shared" ca="1" si="19"/>
        <v/>
      </c>
      <c r="E103" s="253" t="str">
        <f t="shared" ca="1" si="24"/>
        <v/>
      </c>
      <c r="F103" s="257" t="str">
        <f t="shared" ca="1" si="20"/>
        <v/>
      </c>
      <c r="G103" s="257" t="str">
        <f t="shared" ca="1" si="21"/>
        <v/>
      </c>
      <c r="H103" s="257" t="str">
        <f t="shared" ca="1" si="22"/>
        <v/>
      </c>
      <c r="I103" s="220" t="e">
        <f t="shared" ca="1" si="23"/>
        <v>#VALUE!</v>
      </c>
      <c r="K103" s="260" t="e">
        <f t="shared" ca="1" si="17"/>
        <v>#VALUE!</v>
      </c>
    </row>
    <row r="104" spans="1:11" x14ac:dyDescent="0.25">
      <c r="A104" s="254" t="str">
        <f t="shared" ca="1" si="16"/>
        <v/>
      </c>
      <c r="B104" s="255" t="str">
        <f t="shared" ca="1" si="18"/>
        <v/>
      </c>
      <c r="C104" s="256" t="str">
        <f t="shared" ca="1" si="25"/>
        <v/>
      </c>
      <c r="D104" s="257" t="str">
        <f t="shared" ca="1" si="19"/>
        <v/>
      </c>
      <c r="E104" s="253" t="str">
        <f t="shared" ca="1" si="24"/>
        <v/>
      </c>
      <c r="F104" s="257" t="str">
        <f t="shared" ca="1" si="20"/>
        <v/>
      </c>
      <c r="G104" s="257" t="str">
        <f t="shared" ca="1" si="21"/>
        <v/>
      </c>
      <c r="H104" s="257" t="str">
        <f t="shared" ca="1" si="22"/>
        <v/>
      </c>
      <c r="I104" s="220" t="e">
        <f t="shared" ca="1" si="23"/>
        <v>#VALUE!</v>
      </c>
      <c r="K104" s="260" t="e">
        <f t="shared" ca="1" si="17"/>
        <v>#VALUE!</v>
      </c>
    </row>
    <row r="105" spans="1:11" x14ac:dyDescent="0.25">
      <c r="A105" s="254" t="str">
        <f t="shared" ref="A105:A168" ca="1" si="26">IF(OR(H104&lt;=0,H104=""),"",OFFSET(A105,-1,0,1,1)+1)</f>
        <v/>
      </c>
      <c r="B105" s="255" t="str">
        <f t="shared" ca="1" si="18"/>
        <v/>
      </c>
      <c r="C105" s="256" t="str">
        <f t="shared" ca="1" si="25"/>
        <v/>
      </c>
      <c r="D105" s="257" t="str">
        <f t="shared" ca="1" si="19"/>
        <v/>
      </c>
      <c r="E105" s="253" t="str">
        <f t="shared" ca="1" si="24"/>
        <v/>
      </c>
      <c r="F105" s="257" t="str">
        <f t="shared" ca="1" si="20"/>
        <v/>
      </c>
      <c r="G105" s="257" t="str">
        <f t="shared" ca="1" si="21"/>
        <v/>
      </c>
      <c r="H105" s="257" t="str">
        <f t="shared" ca="1" si="22"/>
        <v/>
      </c>
      <c r="I105" s="220" t="e">
        <f t="shared" ca="1" si="23"/>
        <v>#VALUE!</v>
      </c>
      <c r="K105" s="260" t="e">
        <f t="shared" ca="1" si="17"/>
        <v>#VALUE!</v>
      </c>
    </row>
    <row r="106" spans="1:11" x14ac:dyDescent="0.25">
      <c r="A106" s="254" t="str">
        <f t="shared" ca="1" si="26"/>
        <v/>
      </c>
      <c r="B106" s="255" t="str">
        <f t="shared" ca="1" si="18"/>
        <v/>
      </c>
      <c r="C106" s="256" t="str">
        <f t="shared" ca="1" si="25"/>
        <v/>
      </c>
      <c r="D106" s="257" t="str">
        <f t="shared" ca="1" si="19"/>
        <v/>
      </c>
      <c r="E106" s="253" t="str">
        <f t="shared" ca="1" si="24"/>
        <v/>
      </c>
      <c r="F106" s="257" t="str">
        <f t="shared" ca="1" si="20"/>
        <v/>
      </c>
      <c r="G106" s="257" t="str">
        <f t="shared" ca="1" si="21"/>
        <v/>
      </c>
      <c r="H106" s="257" t="str">
        <f t="shared" ca="1" si="22"/>
        <v/>
      </c>
      <c r="I106" s="220" t="e">
        <f t="shared" ca="1" si="23"/>
        <v>#VALUE!</v>
      </c>
      <c r="K106" s="260" t="e">
        <f t="shared" ca="1" si="17"/>
        <v>#VALUE!</v>
      </c>
    </row>
    <row r="107" spans="1:11" x14ac:dyDescent="0.25">
      <c r="A107" s="254" t="str">
        <f t="shared" ca="1" si="26"/>
        <v/>
      </c>
      <c r="B107" s="255" t="str">
        <f t="shared" ca="1" si="18"/>
        <v/>
      </c>
      <c r="C107" s="256" t="str">
        <f t="shared" ca="1" si="25"/>
        <v/>
      </c>
      <c r="D107" s="257" t="str">
        <f t="shared" ca="1" si="19"/>
        <v/>
      </c>
      <c r="E107" s="253" t="str">
        <f t="shared" ca="1" si="24"/>
        <v/>
      </c>
      <c r="F107" s="257" t="str">
        <f t="shared" ca="1" si="20"/>
        <v/>
      </c>
      <c r="G107" s="257" t="str">
        <f t="shared" ca="1" si="21"/>
        <v/>
      </c>
      <c r="H107" s="257" t="str">
        <f t="shared" ca="1" si="22"/>
        <v/>
      </c>
      <c r="I107" s="220" t="e">
        <f t="shared" ca="1" si="23"/>
        <v>#VALUE!</v>
      </c>
      <c r="K107" s="260" t="e">
        <f t="shared" ca="1" si="17"/>
        <v>#VALUE!</v>
      </c>
    </row>
    <row r="108" spans="1:11" x14ac:dyDescent="0.25">
      <c r="A108" s="254" t="str">
        <f t="shared" ca="1" si="26"/>
        <v/>
      </c>
      <c r="B108" s="255" t="str">
        <f t="shared" ca="1" si="18"/>
        <v/>
      </c>
      <c r="C108" s="256" t="str">
        <f t="shared" ca="1" si="25"/>
        <v/>
      </c>
      <c r="D108" s="257" t="str">
        <f t="shared" ca="1" si="19"/>
        <v/>
      </c>
      <c r="E108" s="253" t="str">
        <f t="shared" ca="1" si="24"/>
        <v/>
      </c>
      <c r="F108" s="257" t="str">
        <f t="shared" ca="1" si="20"/>
        <v/>
      </c>
      <c r="G108" s="257" t="str">
        <f t="shared" ca="1" si="21"/>
        <v/>
      </c>
      <c r="H108" s="257" t="str">
        <f t="shared" ca="1" si="22"/>
        <v/>
      </c>
      <c r="I108" s="220" t="e">
        <f t="shared" ca="1" si="23"/>
        <v>#VALUE!</v>
      </c>
      <c r="K108" s="260" t="e">
        <f t="shared" ca="1" si="17"/>
        <v>#VALUE!</v>
      </c>
    </row>
    <row r="109" spans="1:11" x14ac:dyDescent="0.25">
      <c r="A109" s="254" t="str">
        <f t="shared" ca="1" si="26"/>
        <v/>
      </c>
      <c r="B109" s="255" t="str">
        <f t="shared" ca="1" si="18"/>
        <v/>
      </c>
      <c r="C109" s="256" t="str">
        <f t="shared" ca="1" si="25"/>
        <v/>
      </c>
      <c r="D109" s="257" t="str">
        <f t="shared" ca="1" si="19"/>
        <v/>
      </c>
      <c r="E109" s="253" t="str">
        <f t="shared" ca="1" si="24"/>
        <v/>
      </c>
      <c r="F109" s="257" t="str">
        <f t="shared" ca="1" si="20"/>
        <v/>
      </c>
      <c r="G109" s="257" t="str">
        <f t="shared" ca="1" si="21"/>
        <v/>
      </c>
      <c r="H109" s="257" t="str">
        <f t="shared" ca="1" si="22"/>
        <v/>
      </c>
      <c r="I109" s="220" t="e">
        <f t="shared" ca="1" si="23"/>
        <v>#VALUE!</v>
      </c>
      <c r="K109" s="260" t="e">
        <f t="shared" ca="1" si="17"/>
        <v>#VALUE!</v>
      </c>
    </row>
    <row r="110" spans="1:11" x14ac:dyDescent="0.25">
      <c r="A110" s="254" t="str">
        <f t="shared" ca="1" si="26"/>
        <v/>
      </c>
      <c r="B110" s="255" t="str">
        <f t="shared" ca="1" si="18"/>
        <v/>
      </c>
      <c r="C110" s="256" t="str">
        <f t="shared" ca="1" si="25"/>
        <v/>
      </c>
      <c r="D110" s="257" t="str">
        <f t="shared" ca="1" si="19"/>
        <v/>
      </c>
      <c r="E110" s="253" t="str">
        <f t="shared" ca="1" si="24"/>
        <v/>
      </c>
      <c r="F110" s="257" t="str">
        <f t="shared" ca="1" si="20"/>
        <v/>
      </c>
      <c r="G110" s="257" t="str">
        <f t="shared" ca="1" si="21"/>
        <v/>
      </c>
      <c r="H110" s="257" t="str">
        <f t="shared" ca="1" si="22"/>
        <v/>
      </c>
      <c r="I110" s="220" t="e">
        <f t="shared" ca="1" si="23"/>
        <v>#VALUE!</v>
      </c>
      <c r="K110" s="260" t="e">
        <f t="shared" ca="1" si="17"/>
        <v>#VALUE!</v>
      </c>
    </row>
    <row r="111" spans="1:11" x14ac:dyDescent="0.25">
      <c r="A111" s="254" t="str">
        <f t="shared" ca="1" si="26"/>
        <v/>
      </c>
      <c r="B111" s="255" t="str">
        <f t="shared" ca="1" si="18"/>
        <v/>
      </c>
      <c r="C111" s="256" t="str">
        <f t="shared" ca="1" si="25"/>
        <v/>
      </c>
      <c r="D111" s="257" t="str">
        <f t="shared" ca="1" si="19"/>
        <v/>
      </c>
      <c r="E111" s="253" t="str">
        <f t="shared" ca="1" si="24"/>
        <v/>
      </c>
      <c r="F111" s="257" t="str">
        <f t="shared" ca="1" si="20"/>
        <v/>
      </c>
      <c r="G111" s="257" t="str">
        <f t="shared" ca="1" si="21"/>
        <v/>
      </c>
      <c r="H111" s="257" t="str">
        <f t="shared" ca="1" si="22"/>
        <v/>
      </c>
      <c r="I111" s="220" t="e">
        <f t="shared" ca="1" si="23"/>
        <v>#VALUE!</v>
      </c>
      <c r="K111" s="260" t="e">
        <f t="shared" ca="1" si="17"/>
        <v>#VALUE!</v>
      </c>
    </row>
    <row r="112" spans="1:11" x14ac:dyDescent="0.25">
      <c r="A112" s="254" t="str">
        <f t="shared" ca="1" si="26"/>
        <v/>
      </c>
      <c r="B112" s="255" t="str">
        <f t="shared" ca="1" si="18"/>
        <v/>
      </c>
      <c r="C112" s="256" t="str">
        <f t="shared" ca="1" si="25"/>
        <v/>
      </c>
      <c r="D112" s="257" t="str">
        <f t="shared" ca="1" si="19"/>
        <v/>
      </c>
      <c r="E112" s="253" t="str">
        <f t="shared" ca="1" si="24"/>
        <v/>
      </c>
      <c r="F112" s="257" t="str">
        <f t="shared" ca="1" si="20"/>
        <v/>
      </c>
      <c r="G112" s="257" t="str">
        <f t="shared" ca="1" si="21"/>
        <v/>
      </c>
      <c r="H112" s="257" t="str">
        <f t="shared" ca="1" si="22"/>
        <v/>
      </c>
      <c r="I112" s="220" t="e">
        <f t="shared" ca="1" si="23"/>
        <v>#VALUE!</v>
      </c>
      <c r="K112" s="260" t="e">
        <f t="shared" ca="1" si="17"/>
        <v>#VALUE!</v>
      </c>
    </row>
    <row r="113" spans="1:11" x14ac:dyDescent="0.25">
      <c r="A113" s="254" t="str">
        <f t="shared" ca="1" si="26"/>
        <v/>
      </c>
      <c r="B113" s="255" t="str">
        <f t="shared" ca="1" si="18"/>
        <v/>
      </c>
      <c r="C113" s="256" t="str">
        <f t="shared" ca="1" si="25"/>
        <v/>
      </c>
      <c r="D113" s="257" t="str">
        <f t="shared" ca="1" si="19"/>
        <v/>
      </c>
      <c r="E113" s="253" t="str">
        <f t="shared" ca="1" si="24"/>
        <v/>
      </c>
      <c r="F113" s="257" t="str">
        <f t="shared" ca="1" si="20"/>
        <v/>
      </c>
      <c r="G113" s="257" t="str">
        <f t="shared" ca="1" si="21"/>
        <v/>
      </c>
      <c r="H113" s="257" t="str">
        <f t="shared" ca="1" si="22"/>
        <v/>
      </c>
      <c r="I113" s="220" t="e">
        <f t="shared" ca="1" si="23"/>
        <v>#VALUE!</v>
      </c>
      <c r="K113" s="260" t="e">
        <f t="shared" ca="1" si="17"/>
        <v>#VALUE!</v>
      </c>
    </row>
    <row r="114" spans="1:11" x14ac:dyDescent="0.25">
      <c r="A114" s="254" t="str">
        <f t="shared" ca="1" si="26"/>
        <v/>
      </c>
      <c r="B114" s="255" t="str">
        <f t="shared" ca="1" si="18"/>
        <v/>
      </c>
      <c r="C114" s="256" t="str">
        <f t="shared" ca="1" si="25"/>
        <v/>
      </c>
      <c r="D114" s="257" t="str">
        <f t="shared" ca="1" si="19"/>
        <v/>
      </c>
      <c r="E114" s="253" t="str">
        <f t="shared" ca="1" si="24"/>
        <v/>
      </c>
      <c r="F114" s="257" t="str">
        <f t="shared" ca="1" si="20"/>
        <v/>
      </c>
      <c r="G114" s="257" t="str">
        <f t="shared" ca="1" si="21"/>
        <v/>
      </c>
      <c r="H114" s="257" t="str">
        <f t="shared" ca="1" si="22"/>
        <v/>
      </c>
      <c r="I114" s="220" t="e">
        <f t="shared" ca="1" si="23"/>
        <v>#VALUE!</v>
      </c>
      <c r="K114" s="260" t="e">
        <f t="shared" ca="1" si="17"/>
        <v>#VALUE!</v>
      </c>
    </row>
    <row r="115" spans="1:11" x14ac:dyDescent="0.25">
      <c r="A115" s="254" t="str">
        <f t="shared" ca="1" si="26"/>
        <v/>
      </c>
      <c r="B115" s="255" t="str">
        <f t="shared" ca="1" si="18"/>
        <v/>
      </c>
      <c r="C115" s="256" t="str">
        <f t="shared" ca="1" si="25"/>
        <v/>
      </c>
      <c r="D115" s="257" t="str">
        <f t="shared" ca="1" si="19"/>
        <v/>
      </c>
      <c r="E115" s="253" t="str">
        <f t="shared" ca="1" si="24"/>
        <v/>
      </c>
      <c r="F115" s="257" t="str">
        <f t="shared" ca="1" si="20"/>
        <v/>
      </c>
      <c r="G115" s="257" t="str">
        <f t="shared" ca="1" si="21"/>
        <v/>
      </c>
      <c r="H115" s="257" t="str">
        <f t="shared" ca="1" si="22"/>
        <v/>
      </c>
      <c r="I115" s="220" t="e">
        <f t="shared" ca="1" si="23"/>
        <v>#VALUE!</v>
      </c>
      <c r="K115" s="260" t="e">
        <f t="shared" ca="1" si="17"/>
        <v>#VALUE!</v>
      </c>
    </row>
    <row r="116" spans="1:11" x14ac:dyDescent="0.25">
      <c r="A116" s="254" t="str">
        <f t="shared" ca="1" si="26"/>
        <v/>
      </c>
      <c r="B116" s="255" t="str">
        <f t="shared" ca="1" si="18"/>
        <v/>
      </c>
      <c r="C116" s="256" t="str">
        <f t="shared" ca="1" si="25"/>
        <v/>
      </c>
      <c r="D116" s="257" t="str">
        <f t="shared" ca="1" si="19"/>
        <v/>
      </c>
      <c r="E116" s="253" t="str">
        <f t="shared" ca="1" si="24"/>
        <v/>
      </c>
      <c r="F116" s="257" t="str">
        <f t="shared" ca="1" si="20"/>
        <v/>
      </c>
      <c r="G116" s="257" t="str">
        <f t="shared" ca="1" si="21"/>
        <v/>
      </c>
      <c r="H116" s="257" t="str">
        <f t="shared" ca="1" si="22"/>
        <v/>
      </c>
      <c r="I116" s="220" t="e">
        <f t="shared" ca="1" si="23"/>
        <v>#VALUE!</v>
      </c>
      <c r="K116" s="260" t="e">
        <f t="shared" ca="1" si="17"/>
        <v>#VALUE!</v>
      </c>
    </row>
    <row r="117" spans="1:11" x14ac:dyDescent="0.25">
      <c r="A117" s="254" t="str">
        <f t="shared" ca="1" si="26"/>
        <v/>
      </c>
      <c r="B117" s="255" t="str">
        <f t="shared" ca="1" si="18"/>
        <v/>
      </c>
      <c r="C117" s="256" t="str">
        <f t="shared" ca="1" si="25"/>
        <v/>
      </c>
      <c r="D117" s="257" t="str">
        <f t="shared" ca="1" si="19"/>
        <v/>
      </c>
      <c r="E117" s="253" t="str">
        <f t="shared" ca="1" si="24"/>
        <v/>
      </c>
      <c r="F117" s="257" t="str">
        <f t="shared" ca="1" si="20"/>
        <v/>
      </c>
      <c r="G117" s="257" t="str">
        <f t="shared" ca="1" si="21"/>
        <v/>
      </c>
      <c r="H117" s="257" t="str">
        <f t="shared" ca="1" si="22"/>
        <v/>
      </c>
      <c r="I117" s="220" t="e">
        <f t="shared" ca="1" si="23"/>
        <v>#VALUE!</v>
      </c>
      <c r="K117" s="260" t="e">
        <f t="shared" ca="1" si="17"/>
        <v>#VALUE!</v>
      </c>
    </row>
    <row r="118" spans="1:11" x14ac:dyDescent="0.25">
      <c r="A118" s="254" t="str">
        <f t="shared" ca="1" si="26"/>
        <v/>
      </c>
      <c r="B118" s="255" t="str">
        <f t="shared" ca="1" si="18"/>
        <v/>
      </c>
      <c r="C118" s="256" t="str">
        <f t="shared" ca="1" si="25"/>
        <v/>
      </c>
      <c r="D118" s="257" t="str">
        <f t="shared" ca="1" si="19"/>
        <v/>
      </c>
      <c r="E118" s="253" t="str">
        <f t="shared" ca="1" si="24"/>
        <v/>
      </c>
      <c r="F118" s="257" t="str">
        <f t="shared" ca="1" si="20"/>
        <v/>
      </c>
      <c r="G118" s="257" t="str">
        <f t="shared" ca="1" si="21"/>
        <v/>
      </c>
      <c r="H118" s="257" t="str">
        <f t="shared" ca="1" si="22"/>
        <v/>
      </c>
      <c r="I118" s="220" t="e">
        <f t="shared" ca="1" si="23"/>
        <v>#VALUE!</v>
      </c>
      <c r="K118" s="260" t="e">
        <f t="shared" ca="1" si="17"/>
        <v>#VALUE!</v>
      </c>
    </row>
    <row r="119" spans="1:11" x14ac:dyDescent="0.25">
      <c r="A119" s="254" t="str">
        <f t="shared" ca="1" si="26"/>
        <v/>
      </c>
      <c r="B119" s="255" t="str">
        <f t="shared" ca="1" si="18"/>
        <v/>
      </c>
      <c r="C119" s="256" t="str">
        <f t="shared" ca="1" si="25"/>
        <v/>
      </c>
      <c r="D119" s="257" t="str">
        <f t="shared" ca="1" si="19"/>
        <v/>
      </c>
      <c r="E119" s="253" t="str">
        <f t="shared" ca="1" si="24"/>
        <v/>
      </c>
      <c r="F119" s="257" t="str">
        <f t="shared" ca="1" si="20"/>
        <v/>
      </c>
      <c r="G119" s="257" t="str">
        <f t="shared" ca="1" si="21"/>
        <v/>
      </c>
      <c r="H119" s="257" t="str">
        <f t="shared" ca="1" si="22"/>
        <v/>
      </c>
      <c r="I119" s="220" t="e">
        <f t="shared" ca="1" si="23"/>
        <v>#VALUE!</v>
      </c>
      <c r="K119" s="260" t="e">
        <f t="shared" ca="1" si="17"/>
        <v>#VALUE!</v>
      </c>
    </row>
    <row r="120" spans="1:11" x14ac:dyDescent="0.25">
      <c r="A120" s="254" t="str">
        <f t="shared" ca="1" si="26"/>
        <v/>
      </c>
      <c r="B120" s="255" t="str">
        <f t="shared" ca="1" si="18"/>
        <v/>
      </c>
      <c r="C120" s="256" t="str">
        <f t="shared" ca="1" si="25"/>
        <v/>
      </c>
      <c r="D120" s="257" t="str">
        <f t="shared" ca="1" si="19"/>
        <v/>
      </c>
      <c r="E120" s="253" t="str">
        <f t="shared" ca="1" si="24"/>
        <v/>
      </c>
      <c r="F120" s="257" t="str">
        <f t="shared" ca="1" si="20"/>
        <v/>
      </c>
      <c r="G120" s="257" t="str">
        <f t="shared" ca="1" si="21"/>
        <v/>
      </c>
      <c r="H120" s="257" t="str">
        <f t="shared" ca="1" si="22"/>
        <v/>
      </c>
      <c r="I120" s="220" t="e">
        <f t="shared" ca="1" si="23"/>
        <v>#VALUE!</v>
      </c>
      <c r="K120" s="260" t="e">
        <f t="shared" ca="1" si="17"/>
        <v>#VALUE!</v>
      </c>
    </row>
    <row r="121" spans="1:11" x14ac:dyDescent="0.25">
      <c r="A121" s="254" t="str">
        <f t="shared" ca="1" si="26"/>
        <v/>
      </c>
      <c r="B121" s="255" t="str">
        <f t="shared" ca="1" si="18"/>
        <v/>
      </c>
      <c r="C121" s="256" t="str">
        <f t="shared" ca="1" si="25"/>
        <v/>
      </c>
      <c r="D121" s="257" t="str">
        <f t="shared" ca="1" si="19"/>
        <v/>
      </c>
      <c r="E121" s="253" t="str">
        <f t="shared" ca="1" si="24"/>
        <v/>
      </c>
      <c r="F121" s="257" t="str">
        <f t="shared" ca="1" si="20"/>
        <v/>
      </c>
      <c r="G121" s="257" t="str">
        <f t="shared" ca="1" si="21"/>
        <v/>
      </c>
      <c r="H121" s="257" t="str">
        <f t="shared" ca="1" si="22"/>
        <v/>
      </c>
      <c r="I121" s="220" t="e">
        <f t="shared" ca="1" si="23"/>
        <v>#VALUE!</v>
      </c>
      <c r="K121" s="260" t="e">
        <f t="shared" ca="1" si="17"/>
        <v>#VALUE!</v>
      </c>
    </row>
    <row r="122" spans="1:11" x14ac:dyDescent="0.25">
      <c r="A122" s="254" t="str">
        <f t="shared" ca="1" si="26"/>
        <v/>
      </c>
      <c r="B122" s="255" t="str">
        <f t="shared" ca="1" si="18"/>
        <v/>
      </c>
      <c r="C122" s="256" t="str">
        <f t="shared" ca="1" si="25"/>
        <v/>
      </c>
      <c r="D122" s="257" t="str">
        <f t="shared" ca="1" si="19"/>
        <v/>
      </c>
      <c r="E122" s="253" t="str">
        <f t="shared" ca="1" si="24"/>
        <v/>
      </c>
      <c r="F122" s="257" t="str">
        <f t="shared" ca="1" si="20"/>
        <v/>
      </c>
      <c r="G122" s="257" t="str">
        <f t="shared" ca="1" si="21"/>
        <v/>
      </c>
      <c r="H122" s="257" t="str">
        <f t="shared" ca="1" si="22"/>
        <v/>
      </c>
      <c r="I122" s="220" t="e">
        <f t="shared" ca="1" si="23"/>
        <v>#VALUE!</v>
      </c>
      <c r="K122" s="260" t="e">
        <f t="shared" ca="1" si="17"/>
        <v>#VALUE!</v>
      </c>
    </row>
    <row r="123" spans="1:11" x14ac:dyDescent="0.25">
      <c r="A123" s="254" t="str">
        <f t="shared" ca="1" si="26"/>
        <v/>
      </c>
      <c r="B123" s="255" t="str">
        <f t="shared" ca="1" si="18"/>
        <v/>
      </c>
      <c r="C123" s="256" t="str">
        <f t="shared" ca="1" si="25"/>
        <v/>
      </c>
      <c r="D123" s="257" t="str">
        <f t="shared" ca="1" si="19"/>
        <v/>
      </c>
      <c r="E123" s="253" t="str">
        <f t="shared" ca="1" si="24"/>
        <v/>
      </c>
      <c r="F123" s="257" t="str">
        <f t="shared" ca="1" si="20"/>
        <v/>
      </c>
      <c r="G123" s="257" t="str">
        <f t="shared" ca="1" si="21"/>
        <v/>
      </c>
      <c r="H123" s="257" t="str">
        <f t="shared" ca="1" si="22"/>
        <v/>
      </c>
      <c r="I123" s="220" t="e">
        <f t="shared" ca="1" si="23"/>
        <v>#VALUE!</v>
      </c>
      <c r="K123" s="260" t="e">
        <f t="shared" ca="1" si="17"/>
        <v>#VALUE!</v>
      </c>
    </row>
    <row r="124" spans="1:11" x14ac:dyDescent="0.25">
      <c r="A124" s="254" t="str">
        <f t="shared" ca="1" si="26"/>
        <v/>
      </c>
      <c r="B124" s="255" t="str">
        <f t="shared" ca="1" si="18"/>
        <v/>
      </c>
      <c r="C124" s="256" t="str">
        <f t="shared" ca="1" si="25"/>
        <v/>
      </c>
      <c r="D124" s="257" t="str">
        <f t="shared" ca="1" si="19"/>
        <v/>
      </c>
      <c r="E124" s="253" t="str">
        <f t="shared" ca="1" si="24"/>
        <v/>
      </c>
      <c r="F124" s="257" t="str">
        <f t="shared" ca="1" si="20"/>
        <v/>
      </c>
      <c r="G124" s="257" t="str">
        <f t="shared" ca="1" si="21"/>
        <v/>
      </c>
      <c r="H124" s="257" t="str">
        <f t="shared" ca="1" si="22"/>
        <v/>
      </c>
      <c r="I124" s="220" t="e">
        <f t="shared" ca="1" si="23"/>
        <v>#VALUE!</v>
      </c>
      <c r="K124" s="260" t="e">
        <f t="shared" ca="1" si="17"/>
        <v>#VALUE!</v>
      </c>
    </row>
    <row r="125" spans="1:11" x14ac:dyDescent="0.25">
      <c r="A125" s="254" t="str">
        <f t="shared" ca="1" si="26"/>
        <v/>
      </c>
      <c r="B125" s="255" t="str">
        <f t="shared" ca="1" si="18"/>
        <v/>
      </c>
      <c r="C125" s="256" t="str">
        <f t="shared" ca="1" si="25"/>
        <v/>
      </c>
      <c r="D125" s="257" t="str">
        <f t="shared" ca="1" si="19"/>
        <v/>
      </c>
      <c r="E125" s="253" t="str">
        <f t="shared" ca="1" si="24"/>
        <v/>
      </c>
      <c r="F125" s="257" t="str">
        <f t="shared" ca="1" si="20"/>
        <v/>
      </c>
      <c r="G125" s="257" t="str">
        <f t="shared" ca="1" si="21"/>
        <v/>
      </c>
      <c r="H125" s="257" t="str">
        <f t="shared" ca="1" si="22"/>
        <v/>
      </c>
      <c r="I125" s="220" t="e">
        <f t="shared" ca="1" si="23"/>
        <v>#VALUE!</v>
      </c>
      <c r="K125" s="260" t="e">
        <f t="shared" ca="1" si="17"/>
        <v>#VALUE!</v>
      </c>
    </row>
    <row r="126" spans="1:11" x14ac:dyDescent="0.25">
      <c r="A126" s="254" t="str">
        <f t="shared" ca="1" si="26"/>
        <v/>
      </c>
      <c r="B126" s="255" t="str">
        <f t="shared" ca="1" si="18"/>
        <v/>
      </c>
      <c r="C126" s="256" t="str">
        <f t="shared" ca="1" si="25"/>
        <v/>
      </c>
      <c r="D126" s="257" t="str">
        <f t="shared" ca="1" si="19"/>
        <v/>
      </c>
      <c r="E126" s="253" t="str">
        <f t="shared" ca="1" si="24"/>
        <v/>
      </c>
      <c r="F126" s="257" t="str">
        <f t="shared" ca="1" si="20"/>
        <v/>
      </c>
      <c r="G126" s="257" t="str">
        <f t="shared" ca="1" si="21"/>
        <v/>
      </c>
      <c r="H126" s="257" t="str">
        <f t="shared" ca="1" si="22"/>
        <v/>
      </c>
      <c r="I126" s="220" t="e">
        <f t="shared" ca="1" si="23"/>
        <v>#VALUE!</v>
      </c>
      <c r="K126" s="260" t="e">
        <f t="shared" ca="1" si="17"/>
        <v>#VALUE!</v>
      </c>
    </row>
    <row r="127" spans="1:11" x14ac:dyDescent="0.25">
      <c r="A127" s="254" t="str">
        <f t="shared" ca="1" si="26"/>
        <v/>
      </c>
      <c r="B127" s="255" t="str">
        <f t="shared" ca="1" si="18"/>
        <v/>
      </c>
      <c r="C127" s="256" t="str">
        <f t="shared" ca="1" si="25"/>
        <v/>
      </c>
      <c r="D127" s="257" t="str">
        <f t="shared" ca="1" si="19"/>
        <v/>
      </c>
      <c r="E127" s="253" t="str">
        <f t="shared" ca="1" si="24"/>
        <v/>
      </c>
      <c r="F127" s="257" t="str">
        <f t="shared" ca="1" si="20"/>
        <v/>
      </c>
      <c r="G127" s="257" t="str">
        <f t="shared" ca="1" si="21"/>
        <v/>
      </c>
      <c r="H127" s="257" t="str">
        <f t="shared" ca="1" si="22"/>
        <v/>
      </c>
      <c r="I127" s="220" t="e">
        <f t="shared" ca="1" si="23"/>
        <v>#VALUE!</v>
      </c>
      <c r="K127" s="260" t="e">
        <f t="shared" ca="1" si="17"/>
        <v>#VALUE!</v>
      </c>
    </row>
    <row r="128" spans="1:11" x14ac:dyDescent="0.25">
      <c r="A128" s="254" t="str">
        <f t="shared" ca="1" si="26"/>
        <v/>
      </c>
      <c r="B128" s="255" t="str">
        <f t="shared" ca="1" si="18"/>
        <v/>
      </c>
      <c r="C128" s="256" t="str">
        <f t="shared" ca="1" si="25"/>
        <v/>
      </c>
      <c r="D128" s="257" t="str">
        <f t="shared" ca="1" si="19"/>
        <v/>
      </c>
      <c r="E128" s="253" t="str">
        <f t="shared" ca="1" si="24"/>
        <v/>
      </c>
      <c r="F128" s="257" t="str">
        <f t="shared" ca="1" si="20"/>
        <v/>
      </c>
      <c r="G128" s="257" t="str">
        <f t="shared" ca="1" si="21"/>
        <v/>
      </c>
      <c r="H128" s="257" t="str">
        <f t="shared" ca="1" si="22"/>
        <v/>
      </c>
      <c r="I128" s="220" t="e">
        <f t="shared" ca="1" si="23"/>
        <v>#VALUE!</v>
      </c>
      <c r="K128" s="260" t="e">
        <f t="shared" ref="K128:K138" ca="1" si="27">HLOOKUP(I128,$L$18:$W$24,7,0)/12</f>
        <v>#VALUE!</v>
      </c>
    </row>
    <row r="129" spans="1:11" x14ac:dyDescent="0.25">
      <c r="A129" s="254" t="str">
        <f t="shared" ca="1" si="26"/>
        <v/>
      </c>
      <c r="B129" s="255" t="str">
        <f t="shared" ca="1" si="18"/>
        <v/>
      </c>
      <c r="C129" s="256" t="str">
        <f t="shared" ca="1" si="25"/>
        <v/>
      </c>
      <c r="D129" s="257" t="str">
        <f t="shared" ca="1" si="19"/>
        <v/>
      </c>
      <c r="E129" s="253" t="str">
        <f t="shared" ca="1" si="24"/>
        <v/>
      </c>
      <c r="F129" s="257" t="str">
        <f t="shared" ca="1" si="20"/>
        <v/>
      </c>
      <c r="G129" s="257" t="str">
        <f t="shared" ca="1" si="21"/>
        <v/>
      </c>
      <c r="H129" s="257" t="str">
        <f t="shared" ca="1" si="22"/>
        <v/>
      </c>
      <c r="I129" s="220" t="e">
        <f t="shared" ca="1" si="23"/>
        <v>#VALUE!</v>
      </c>
      <c r="K129" s="260" t="e">
        <f t="shared" ca="1" si="27"/>
        <v>#VALUE!</v>
      </c>
    </row>
    <row r="130" spans="1:11" x14ac:dyDescent="0.25">
      <c r="A130" s="254" t="str">
        <f t="shared" ca="1" si="26"/>
        <v/>
      </c>
      <c r="B130" s="255" t="str">
        <f t="shared" ca="1" si="18"/>
        <v/>
      </c>
      <c r="C130" s="256" t="str">
        <f t="shared" ca="1" si="25"/>
        <v/>
      </c>
      <c r="D130" s="257" t="str">
        <f t="shared" ca="1" si="19"/>
        <v/>
      </c>
      <c r="E130" s="253" t="str">
        <f t="shared" ca="1" si="24"/>
        <v/>
      </c>
      <c r="F130" s="257" t="str">
        <f t="shared" ca="1" si="20"/>
        <v/>
      </c>
      <c r="G130" s="257" t="str">
        <f t="shared" ca="1" si="21"/>
        <v/>
      </c>
      <c r="H130" s="257" t="str">
        <f t="shared" ca="1" si="22"/>
        <v/>
      </c>
      <c r="I130" s="220" t="e">
        <f t="shared" ca="1" si="23"/>
        <v>#VALUE!</v>
      </c>
      <c r="K130" s="260" t="e">
        <f t="shared" ca="1" si="27"/>
        <v>#VALUE!</v>
      </c>
    </row>
    <row r="131" spans="1:11" x14ac:dyDescent="0.25">
      <c r="A131" s="254" t="str">
        <f t="shared" ca="1" si="26"/>
        <v/>
      </c>
      <c r="B131" s="255" t="str">
        <f t="shared" ca="1" si="18"/>
        <v/>
      </c>
      <c r="C131" s="256" t="str">
        <f t="shared" ca="1" si="25"/>
        <v/>
      </c>
      <c r="D131" s="257" t="str">
        <f t="shared" ca="1" si="19"/>
        <v/>
      </c>
      <c r="E131" s="253" t="str">
        <f t="shared" ca="1" si="24"/>
        <v/>
      </c>
      <c r="F131" s="257" t="str">
        <f t="shared" ca="1" si="20"/>
        <v/>
      </c>
      <c r="G131" s="257" t="str">
        <f t="shared" ca="1" si="21"/>
        <v/>
      </c>
      <c r="H131" s="257" t="str">
        <f t="shared" ca="1" si="22"/>
        <v/>
      </c>
      <c r="I131" s="220" t="e">
        <f t="shared" ca="1" si="23"/>
        <v>#VALUE!</v>
      </c>
      <c r="K131" s="260" t="e">
        <f t="shared" ca="1" si="27"/>
        <v>#VALUE!</v>
      </c>
    </row>
    <row r="132" spans="1:11" x14ac:dyDescent="0.25">
      <c r="A132" s="254" t="str">
        <f t="shared" ca="1" si="26"/>
        <v/>
      </c>
      <c r="B132" s="255" t="str">
        <f t="shared" ca="1" si="18"/>
        <v/>
      </c>
      <c r="C132" s="256" t="str">
        <f t="shared" ca="1" si="25"/>
        <v/>
      </c>
      <c r="D132" s="257" t="str">
        <f t="shared" ca="1" si="19"/>
        <v/>
      </c>
      <c r="E132" s="253" t="str">
        <f t="shared" ca="1" si="24"/>
        <v/>
      </c>
      <c r="F132" s="257" t="str">
        <f t="shared" ca="1" si="20"/>
        <v/>
      </c>
      <c r="G132" s="257" t="str">
        <f t="shared" ca="1" si="21"/>
        <v/>
      </c>
      <c r="H132" s="257" t="str">
        <f t="shared" ca="1" si="22"/>
        <v/>
      </c>
      <c r="I132" s="220" t="e">
        <f t="shared" ca="1" si="23"/>
        <v>#VALUE!</v>
      </c>
      <c r="K132" s="260" t="e">
        <f t="shared" ca="1" si="27"/>
        <v>#VALUE!</v>
      </c>
    </row>
    <row r="133" spans="1:11" x14ac:dyDescent="0.25">
      <c r="A133" s="254" t="str">
        <f t="shared" ca="1" si="26"/>
        <v/>
      </c>
      <c r="B133" s="255" t="str">
        <f t="shared" ca="1" si="18"/>
        <v/>
      </c>
      <c r="C133" s="256" t="str">
        <f t="shared" ca="1" si="25"/>
        <v/>
      </c>
      <c r="D133" s="257" t="str">
        <f t="shared" ca="1" si="19"/>
        <v/>
      </c>
      <c r="E133" s="253" t="str">
        <f t="shared" ca="1" si="24"/>
        <v/>
      </c>
      <c r="F133" s="257" t="str">
        <f t="shared" ca="1" si="20"/>
        <v/>
      </c>
      <c r="G133" s="257" t="str">
        <f t="shared" ca="1" si="21"/>
        <v/>
      </c>
      <c r="H133" s="257" t="str">
        <f t="shared" ca="1" si="22"/>
        <v/>
      </c>
      <c r="I133" s="220" t="e">
        <f t="shared" ca="1" si="23"/>
        <v>#VALUE!</v>
      </c>
      <c r="K133" s="260" t="e">
        <f t="shared" ca="1" si="27"/>
        <v>#VALUE!</v>
      </c>
    </row>
    <row r="134" spans="1:11" x14ac:dyDescent="0.25">
      <c r="A134" s="254" t="str">
        <f t="shared" ca="1" si="26"/>
        <v/>
      </c>
      <c r="B134" s="255" t="str">
        <f t="shared" ca="1" si="18"/>
        <v/>
      </c>
      <c r="C134" s="256" t="str">
        <f t="shared" ca="1" si="25"/>
        <v/>
      </c>
      <c r="D134" s="257" t="str">
        <f t="shared" ca="1" si="19"/>
        <v/>
      </c>
      <c r="E134" s="253" t="str">
        <f t="shared" ca="1" si="24"/>
        <v/>
      </c>
      <c r="F134" s="257" t="str">
        <f t="shared" ca="1" si="20"/>
        <v/>
      </c>
      <c r="G134" s="257" t="str">
        <f t="shared" ca="1" si="21"/>
        <v/>
      </c>
      <c r="H134" s="257" t="str">
        <f t="shared" ca="1" si="22"/>
        <v/>
      </c>
      <c r="I134" s="220" t="e">
        <f t="shared" ca="1" si="23"/>
        <v>#VALUE!</v>
      </c>
      <c r="K134" s="260" t="e">
        <f t="shared" ca="1" si="27"/>
        <v>#VALUE!</v>
      </c>
    </row>
    <row r="135" spans="1:11" x14ac:dyDescent="0.25">
      <c r="A135" s="254" t="str">
        <f t="shared" ca="1" si="26"/>
        <v/>
      </c>
      <c r="B135" s="255" t="str">
        <f t="shared" ca="1" si="18"/>
        <v/>
      </c>
      <c r="C135" s="256" t="str">
        <f t="shared" ca="1" si="25"/>
        <v/>
      </c>
      <c r="D135" s="257" t="str">
        <f t="shared" ca="1" si="19"/>
        <v/>
      </c>
      <c r="E135" s="253" t="str">
        <f t="shared" ca="1" si="24"/>
        <v/>
      </c>
      <c r="F135" s="257" t="str">
        <f t="shared" ca="1" si="20"/>
        <v/>
      </c>
      <c r="G135" s="257" t="str">
        <f t="shared" ca="1" si="21"/>
        <v/>
      </c>
      <c r="H135" s="257" t="str">
        <f t="shared" ca="1" si="22"/>
        <v/>
      </c>
      <c r="I135" s="220" t="e">
        <f t="shared" ca="1" si="23"/>
        <v>#VALUE!</v>
      </c>
      <c r="K135" s="260" t="e">
        <f t="shared" ca="1" si="27"/>
        <v>#VALUE!</v>
      </c>
    </row>
    <row r="136" spans="1:11" x14ac:dyDescent="0.25">
      <c r="A136" s="254" t="str">
        <f t="shared" ca="1" si="26"/>
        <v/>
      </c>
      <c r="B136" s="255" t="str">
        <f t="shared" ca="1" si="18"/>
        <v/>
      </c>
      <c r="C136" s="256" t="str">
        <f t="shared" ca="1" si="25"/>
        <v/>
      </c>
      <c r="D136" s="257" t="str">
        <f t="shared" ca="1" si="19"/>
        <v/>
      </c>
      <c r="E136" s="253" t="str">
        <f t="shared" ca="1" si="24"/>
        <v/>
      </c>
      <c r="F136" s="257" t="str">
        <f t="shared" ca="1" si="20"/>
        <v/>
      </c>
      <c r="G136" s="257" t="str">
        <f t="shared" ca="1" si="21"/>
        <v/>
      </c>
      <c r="H136" s="257" t="str">
        <f t="shared" ca="1" si="22"/>
        <v/>
      </c>
      <c r="I136" s="220" t="e">
        <f t="shared" ca="1" si="23"/>
        <v>#VALUE!</v>
      </c>
      <c r="K136" s="260" t="e">
        <f t="shared" ca="1" si="27"/>
        <v>#VALUE!</v>
      </c>
    </row>
    <row r="137" spans="1:11" x14ac:dyDescent="0.25">
      <c r="A137" s="254" t="str">
        <f t="shared" ca="1" si="26"/>
        <v/>
      </c>
      <c r="B137" s="255" t="str">
        <f t="shared" ca="1" si="18"/>
        <v/>
      </c>
      <c r="C137" s="256" t="str">
        <f t="shared" ca="1" si="25"/>
        <v/>
      </c>
      <c r="D137" s="257" t="str">
        <f t="shared" ca="1" si="19"/>
        <v/>
      </c>
      <c r="E137" s="253" t="str">
        <f t="shared" ca="1" si="24"/>
        <v/>
      </c>
      <c r="F137" s="257" t="str">
        <f t="shared" ca="1" si="20"/>
        <v/>
      </c>
      <c r="G137" s="257" t="str">
        <f t="shared" ca="1" si="21"/>
        <v/>
      </c>
      <c r="H137" s="257" t="str">
        <f t="shared" ca="1" si="22"/>
        <v/>
      </c>
      <c r="I137" s="220" t="e">
        <f t="shared" ca="1" si="23"/>
        <v>#VALUE!</v>
      </c>
      <c r="K137" s="260" t="e">
        <f t="shared" ca="1" si="27"/>
        <v>#VALUE!</v>
      </c>
    </row>
    <row r="138" spans="1:11" x14ac:dyDescent="0.25">
      <c r="A138" s="254" t="str">
        <f t="shared" ca="1" si="26"/>
        <v/>
      </c>
      <c r="B138" s="255" t="str">
        <f t="shared" ca="1" si="18"/>
        <v/>
      </c>
      <c r="C138" s="256" t="str">
        <f t="shared" ca="1" si="25"/>
        <v/>
      </c>
      <c r="D138" s="257" t="str">
        <f t="shared" ca="1" si="19"/>
        <v/>
      </c>
      <c r="E138" s="253" t="str">
        <f t="shared" ca="1" si="24"/>
        <v/>
      </c>
      <c r="F138" s="257" t="str">
        <f t="shared" ca="1" si="20"/>
        <v/>
      </c>
      <c r="G138" s="257" t="str">
        <f t="shared" ca="1" si="21"/>
        <v/>
      </c>
      <c r="H138" s="257" t="str">
        <f t="shared" ca="1" si="22"/>
        <v/>
      </c>
      <c r="I138" s="220" t="e">
        <f t="shared" ca="1" si="23"/>
        <v>#VALUE!</v>
      </c>
      <c r="K138" s="260" t="e">
        <f t="shared" ca="1" si="27"/>
        <v>#VALUE!</v>
      </c>
    </row>
    <row r="139" spans="1:11" x14ac:dyDescent="0.25">
      <c r="A139" s="254" t="str">
        <f t="shared" ca="1" si="26"/>
        <v/>
      </c>
      <c r="B139" s="255"/>
      <c r="C139" s="256"/>
      <c r="D139" s="257" t="str">
        <f t="shared" si="19"/>
        <v/>
      </c>
      <c r="E139" s="253"/>
      <c r="F139" s="257" t="str">
        <f t="shared" si="20"/>
        <v/>
      </c>
      <c r="G139" s="257" t="str">
        <f t="shared" si="21"/>
        <v/>
      </c>
      <c r="H139" s="257" t="str">
        <f t="shared" si="22"/>
        <v/>
      </c>
    </row>
    <row r="140" spans="1:11" x14ac:dyDescent="0.25">
      <c r="A140" s="254" t="str">
        <f t="shared" ca="1" si="26"/>
        <v/>
      </c>
      <c r="B140" s="255"/>
      <c r="C140" s="256"/>
      <c r="D140" s="257" t="str">
        <f t="shared" si="19"/>
        <v/>
      </c>
      <c r="E140" s="253"/>
      <c r="F140" s="257" t="str">
        <f t="shared" si="20"/>
        <v/>
      </c>
      <c r="G140" s="257" t="str">
        <f t="shared" si="21"/>
        <v/>
      </c>
      <c r="H140" s="257" t="str">
        <f t="shared" si="22"/>
        <v/>
      </c>
    </row>
    <row r="141" spans="1:11" x14ac:dyDescent="0.25">
      <c r="A141" s="254" t="str">
        <f t="shared" ca="1" si="26"/>
        <v/>
      </c>
      <c r="B141" s="255"/>
      <c r="C141" s="256"/>
      <c r="D141" s="257" t="str">
        <f t="shared" si="19"/>
        <v/>
      </c>
      <c r="E141" s="253"/>
      <c r="F141" s="257" t="str">
        <f t="shared" si="20"/>
        <v/>
      </c>
      <c r="G141" s="257" t="str">
        <f t="shared" si="21"/>
        <v/>
      </c>
      <c r="H141" s="257" t="str">
        <f t="shared" si="22"/>
        <v/>
      </c>
    </row>
    <row r="142" spans="1:11" x14ac:dyDescent="0.25">
      <c r="A142" s="254" t="str">
        <f t="shared" ca="1" si="26"/>
        <v/>
      </c>
      <c r="B142" s="255"/>
      <c r="C142" s="256"/>
      <c r="D142" s="257" t="str">
        <f t="shared" si="19"/>
        <v/>
      </c>
      <c r="E142" s="253"/>
      <c r="F142" s="257" t="str">
        <f t="shared" si="20"/>
        <v/>
      </c>
      <c r="G142" s="257" t="str">
        <f t="shared" si="21"/>
        <v/>
      </c>
      <c r="H142" s="257" t="str">
        <f t="shared" si="22"/>
        <v/>
      </c>
    </row>
    <row r="143" spans="1:11" x14ac:dyDescent="0.25">
      <c r="A143" s="254" t="str">
        <f t="shared" ca="1" si="26"/>
        <v/>
      </c>
      <c r="B143" s="255"/>
      <c r="C143" s="256"/>
      <c r="D143" s="257" t="str">
        <f t="shared" si="19"/>
        <v/>
      </c>
      <c r="E143" s="253"/>
      <c r="F143" s="257" t="str">
        <f t="shared" si="20"/>
        <v/>
      </c>
      <c r="G143" s="257" t="str">
        <f t="shared" si="21"/>
        <v/>
      </c>
      <c r="H143" s="257" t="str">
        <f t="shared" si="22"/>
        <v/>
      </c>
    </row>
    <row r="144" spans="1:11" x14ac:dyDescent="0.25">
      <c r="A144" s="254" t="str">
        <f t="shared" ca="1" si="26"/>
        <v/>
      </c>
      <c r="B144" s="255"/>
      <c r="C144" s="256"/>
      <c r="D144" s="257" t="str">
        <f t="shared" si="19"/>
        <v/>
      </c>
      <c r="E144" s="253"/>
      <c r="F144" s="257" t="str">
        <f t="shared" si="20"/>
        <v/>
      </c>
      <c r="G144" s="257" t="str">
        <f t="shared" si="21"/>
        <v/>
      </c>
      <c r="H144" s="257" t="str">
        <f t="shared" si="22"/>
        <v/>
      </c>
    </row>
    <row r="145" spans="1:8" x14ac:dyDescent="0.25">
      <c r="A145" s="254" t="str">
        <f t="shared" ca="1" si="26"/>
        <v/>
      </c>
      <c r="B145" s="255"/>
      <c r="C145" s="256"/>
      <c r="D145" s="257" t="str">
        <f t="shared" si="19"/>
        <v/>
      </c>
      <c r="E145" s="253"/>
      <c r="F145" s="257" t="str">
        <f t="shared" si="20"/>
        <v/>
      </c>
      <c r="G145" s="257" t="str">
        <f t="shared" si="21"/>
        <v/>
      </c>
      <c r="H145" s="257" t="str">
        <f t="shared" si="22"/>
        <v/>
      </c>
    </row>
    <row r="146" spans="1:8" x14ac:dyDescent="0.25">
      <c r="A146" s="254" t="str">
        <f t="shared" ca="1" si="26"/>
        <v/>
      </c>
      <c r="B146" s="255"/>
      <c r="C146" s="256"/>
      <c r="D146" s="257" t="str">
        <f t="shared" si="19"/>
        <v/>
      </c>
      <c r="E146" s="253"/>
      <c r="F146" s="257" t="str">
        <f t="shared" si="20"/>
        <v/>
      </c>
      <c r="G146" s="257" t="str">
        <f t="shared" si="21"/>
        <v/>
      </c>
      <c r="H146" s="257" t="str">
        <f t="shared" si="22"/>
        <v/>
      </c>
    </row>
    <row r="147" spans="1:8" x14ac:dyDescent="0.25">
      <c r="A147" s="254" t="str">
        <f t="shared" ca="1" si="26"/>
        <v/>
      </c>
      <c r="B147" s="255"/>
      <c r="C147" s="256"/>
      <c r="D147" s="257" t="str">
        <f t="shared" ref="D147:D210" si="28">IF(B147="","",ROUND((B147-B146)*$H$9*G146,2))</f>
        <v/>
      </c>
      <c r="E147" s="253"/>
      <c r="F147" s="257" t="str">
        <f t="shared" ref="F147:F210" si="29">IF(B147="","",IF(C147&gt;F146+D147,0,F146+D147-C147))</f>
        <v/>
      </c>
      <c r="G147" s="257" t="str">
        <f t="shared" ref="G147:G210" si="30">IF(B147="","",IF(C147&gt;D147+F146,G146+F146+D147-C147,G146))</f>
        <v/>
      </c>
      <c r="H147" s="257" t="str">
        <f t="shared" ref="H147:H210" si="31">IF(B147="","",G147+F147)</f>
        <v/>
      </c>
    </row>
    <row r="148" spans="1:8" x14ac:dyDescent="0.25">
      <c r="A148" s="254" t="str">
        <f t="shared" ca="1" si="26"/>
        <v/>
      </c>
      <c r="B148" s="255"/>
      <c r="C148" s="256"/>
      <c r="D148" s="257" t="str">
        <f t="shared" si="28"/>
        <v/>
      </c>
      <c r="E148" s="253"/>
      <c r="F148" s="257" t="str">
        <f t="shared" si="29"/>
        <v/>
      </c>
      <c r="G148" s="257" t="str">
        <f t="shared" si="30"/>
        <v/>
      </c>
      <c r="H148" s="257" t="str">
        <f t="shared" si="31"/>
        <v/>
      </c>
    </row>
    <row r="149" spans="1:8" x14ac:dyDescent="0.25">
      <c r="A149" s="254" t="str">
        <f t="shared" ca="1" si="26"/>
        <v/>
      </c>
      <c r="B149" s="255"/>
      <c r="C149" s="256"/>
      <c r="D149" s="257" t="str">
        <f t="shared" si="28"/>
        <v/>
      </c>
      <c r="E149" s="253"/>
      <c r="F149" s="257" t="str">
        <f t="shared" si="29"/>
        <v/>
      </c>
      <c r="G149" s="257" t="str">
        <f t="shared" si="30"/>
        <v/>
      </c>
      <c r="H149" s="257" t="str">
        <f t="shared" si="31"/>
        <v/>
      </c>
    </row>
    <row r="150" spans="1:8" x14ac:dyDescent="0.25">
      <c r="A150" s="254" t="str">
        <f t="shared" ca="1" si="26"/>
        <v/>
      </c>
      <c r="B150" s="255"/>
      <c r="C150" s="256"/>
      <c r="D150" s="257" t="str">
        <f t="shared" si="28"/>
        <v/>
      </c>
      <c r="E150" s="253"/>
      <c r="F150" s="257" t="str">
        <f t="shared" si="29"/>
        <v/>
      </c>
      <c r="G150" s="257" t="str">
        <f t="shared" si="30"/>
        <v/>
      </c>
      <c r="H150" s="257" t="str">
        <f t="shared" si="31"/>
        <v/>
      </c>
    </row>
    <row r="151" spans="1:8" x14ac:dyDescent="0.25">
      <c r="A151" s="254" t="str">
        <f t="shared" ca="1" si="26"/>
        <v/>
      </c>
      <c r="B151" s="255"/>
      <c r="C151" s="256"/>
      <c r="D151" s="257" t="str">
        <f t="shared" si="28"/>
        <v/>
      </c>
      <c r="E151" s="253"/>
      <c r="F151" s="257" t="str">
        <f t="shared" si="29"/>
        <v/>
      </c>
      <c r="G151" s="257" t="str">
        <f t="shared" si="30"/>
        <v/>
      </c>
      <c r="H151" s="257" t="str">
        <f t="shared" si="31"/>
        <v/>
      </c>
    </row>
    <row r="152" spans="1:8" x14ac:dyDescent="0.25">
      <c r="A152" s="254" t="str">
        <f t="shared" ca="1" si="26"/>
        <v/>
      </c>
      <c r="B152" s="255"/>
      <c r="C152" s="256"/>
      <c r="D152" s="257" t="str">
        <f t="shared" si="28"/>
        <v/>
      </c>
      <c r="E152" s="253"/>
      <c r="F152" s="257" t="str">
        <f t="shared" si="29"/>
        <v/>
      </c>
      <c r="G152" s="257" t="str">
        <f t="shared" si="30"/>
        <v/>
      </c>
      <c r="H152" s="257" t="str">
        <f t="shared" si="31"/>
        <v/>
      </c>
    </row>
    <row r="153" spans="1:8" x14ac:dyDescent="0.25">
      <c r="A153" s="254" t="str">
        <f t="shared" ca="1" si="26"/>
        <v/>
      </c>
      <c r="B153" s="255"/>
      <c r="C153" s="256"/>
      <c r="D153" s="257" t="str">
        <f t="shared" si="28"/>
        <v/>
      </c>
      <c r="E153" s="253"/>
      <c r="F153" s="257" t="str">
        <f t="shared" si="29"/>
        <v/>
      </c>
      <c r="G153" s="257" t="str">
        <f t="shared" si="30"/>
        <v/>
      </c>
      <c r="H153" s="257" t="str">
        <f t="shared" si="31"/>
        <v/>
      </c>
    </row>
    <row r="154" spans="1:8" x14ac:dyDescent="0.25">
      <c r="A154" s="254" t="str">
        <f t="shared" ca="1" si="26"/>
        <v/>
      </c>
      <c r="B154" s="255"/>
      <c r="C154" s="256"/>
      <c r="D154" s="257" t="str">
        <f t="shared" si="28"/>
        <v/>
      </c>
      <c r="E154" s="253"/>
      <c r="F154" s="257" t="str">
        <f t="shared" si="29"/>
        <v/>
      </c>
      <c r="G154" s="257" t="str">
        <f t="shared" si="30"/>
        <v/>
      </c>
      <c r="H154" s="257" t="str">
        <f t="shared" si="31"/>
        <v/>
      </c>
    </row>
    <row r="155" spans="1:8" x14ac:dyDescent="0.25">
      <c r="A155" s="254" t="str">
        <f t="shared" ca="1" si="26"/>
        <v/>
      </c>
      <c r="B155" s="255"/>
      <c r="C155" s="256"/>
      <c r="D155" s="257" t="str">
        <f t="shared" si="28"/>
        <v/>
      </c>
      <c r="E155" s="253"/>
      <c r="F155" s="257" t="str">
        <f t="shared" si="29"/>
        <v/>
      </c>
      <c r="G155" s="257" t="str">
        <f t="shared" si="30"/>
        <v/>
      </c>
      <c r="H155" s="257" t="str">
        <f t="shared" si="31"/>
        <v/>
      </c>
    </row>
    <row r="156" spans="1:8" x14ac:dyDescent="0.25">
      <c r="A156" s="254" t="str">
        <f t="shared" ca="1" si="26"/>
        <v/>
      </c>
      <c r="B156" s="255"/>
      <c r="C156" s="256"/>
      <c r="D156" s="257" t="str">
        <f t="shared" si="28"/>
        <v/>
      </c>
      <c r="E156" s="253"/>
      <c r="F156" s="257" t="str">
        <f t="shared" si="29"/>
        <v/>
      </c>
      <c r="G156" s="257" t="str">
        <f t="shared" si="30"/>
        <v/>
      </c>
      <c r="H156" s="257" t="str">
        <f t="shared" si="31"/>
        <v/>
      </c>
    </row>
    <row r="157" spans="1:8" x14ac:dyDescent="0.25">
      <c r="A157" s="254" t="str">
        <f t="shared" ca="1" si="26"/>
        <v/>
      </c>
      <c r="B157" s="255"/>
      <c r="C157" s="256"/>
      <c r="D157" s="257" t="str">
        <f t="shared" si="28"/>
        <v/>
      </c>
      <c r="E157" s="253"/>
      <c r="F157" s="257" t="str">
        <f t="shared" si="29"/>
        <v/>
      </c>
      <c r="G157" s="257" t="str">
        <f t="shared" si="30"/>
        <v/>
      </c>
      <c r="H157" s="257" t="str">
        <f t="shared" si="31"/>
        <v/>
      </c>
    </row>
    <row r="158" spans="1:8" x14ac:dyDescent="0.25">
      <c r="A158" s="254" t="str">
        <f t="shared" ca="1" si="26"/>
        <v/>
      </c>
      <c r="B158" s="255"/>
      <c r="C158" s="256"/>
      <c r="D158" s="257" t="str">
        <f t="shared" si="28"/>
        <v/>
      </c>
      <c r="E158" s="253"/>
      <c r="F158" s="257" t="str">
        <f t="shared" si="29"/>
        <v/>
      </c>
      <c r="G158" s="257" t="str">
        <f t="shared" si="30"/>
        <v/>
      </c>
      <c r="H158" s="257" t="str">
        <f t="shared" si="31"/>
        <v/>
      </c>
    </row>
    <row r="159" spans="1:8" x14ac:dyDescent="0.25">
      <c r="A159" s="254" t="str">
        <f t="shared" ca="1" si="26"/>
        <v/>
      </c>
      <c r="B159" s="255"/>
      <c r="C159" s="256"/>
      <c r="D159" s="257" t="str">
        <f t="shared" si="28"/>
        <v/>
      </c>
      <c r="E159" s="253"/>
      <c r="F159" s="257" t="str">
        <f t="shared" si="29"/>
        <v/>
      </c>
      <c r="G159" s="257" t="str">
        <f t="shared" si="30"/>
        <v/>
      </c>
      <c r="H159" s="257" t="str">
        <f t="shared" si="31"/>
        <v/>
      </c>
    </row>
    <row r="160" spans="1:8" x14ac:dyDescent="0.25">
      <c r="A160" s="254" t="str">
        <f t="shared" ca="1" si="26"/>
        <v/>
      </c>
      <c r="B160" s="255"/>
      <c r="C160" s="256"/>
      <c r="D160" s="257" t="str">
        <f t="shared" si="28"/>
        <v/>
      </c>
      <c r="E160" s="253"/>
      <c r="F160" s="257" t="str">
        <f t="shared" si="29"/>
        <v/>
      </c>
      <c r="G160" s="257" t="str">
        <f t="shared" si="30"/>
        <v/>
      </c>
      <c r="H160" s="257" t="str">
        <f t="shared" si="31"/>
        <v/>
      </c>
    </row>
    <row r="161" spans="1:8" x14ac:dyDescent="0.25">
      <c r="A161" s="254" t="str">
        <f t="shared" ca="1" si="26"/>
        <v/>
      </c>
      <c r="B161" s="255"/>
      <c r="C161" s="256"/>
      <c r="D161" s="257" t="str">
        <f t="shared" si="28"/>
        <v/>
      </c>
      <c r="E161" s="253"/>
      <c r="F161" s="257" t="str">
        <f t="shared" si="29"/>
        <v/>
      </c>
      <c r="G161" s="257" t="str">
        <f t="shared" si="30"/>
        <v/>
      </c>
      <c r="H161" s="257" t="str">
        <f t="shared" si="31"/>
        <v/>
      </c>
    </row>
    <row r="162" spans="1:8" x14ac:dyDescent="0.25">
      <c r="A162" s="254" t="str">
        <f t="shared" ca="1" si="26"/>
        <v/>
      </c>
      <c r="B162" s="255"/>
      <c r="C162" s="256"/>
      <c r="D162" s="257" t="str">
        <f t="shared" si="28"/>
        <v/>
      </c>
      <c r="E162" s="253"/>
      <c r="F162" s="257" t="str">
        <f t="shared" si="29"/>
        <v/>
      </c>
      <c r="G162" s="257" t="str">
        <f t="shared" si="30"/>
        <v/>
      </c>
      <c r="H162" s="257" t="str">
        <f t="shared" si="31"/>
        <v/>
      </c>
    </row>
    <row r="163" spans="1:8" x14ac:dyDescent="0.25">
      <c r="A163" s="254" t="str">
        <f t="shared" ca="1" si="26"/>
        <v/>
      </c>
      <c r="B163" s="255"/>
      <c r="C163" s="256"/>
      <c r="D163" s="257" t="str">
        <f t="shared" si="28"/>
        <v/>
      </c>
      <c r="E163" s="253"/>
      <c r="F163" s="257" t="str">
        <f t="shared" si="29"/>
        <v/>
      </c>
      <c r="G163" s="257" t="str">
        <f t="shared" si="30"/>
        <v/>
      </c>
      <c r="H163" s="257" t="str">
        <f t="shared" si="31"/>
        <v/>
      </c>
    </row>
    <row r="164" spans="1:8" x14ac:dyDescent="0.25">
      <c r="A164" s="254" t="str">
        <f t="shared" ca="1" si="26"/>
        <v/>
      </c>
      <c r="B164" s="255"/>
      <c r="C164" s="256"/>
      <c r="D164" s="257" t="str">
        <f t="shared" si="28"/>
        <v/>
      </c>
      <c r="E164" s="253"/>
      <c r="F164" s="257" t="str">
        <f t="shared" si="29"/>
        <v/>
      </c>
      <c r="G164" s="257" t="str">
        <f t="shared" si="30"/>
        <v/>
      </c>
      <c r="H164" s="257" t="str">
        <f t="shared" si="31"/>
        <v/>
      </c>
    </row>
    <row r="165" spans="1:8" x14ac:dyDescent="0.25">
      <c r="A165" s="254" t="str">
        <f t="shared" ca="1" si="26"/>
        <v/>
      </c>
      <c r="B165" s="255"/>
      <c r="C165" s="256"/>
      <c r="D165" s="257" t="str">
        <f t="shared" si="28"/>
        <v/>
      </c>
      <c r="E165" s="253"/>
      <c r="F165" s="257" t="str">
        <f t="shared" si="29"/>
        <v/>
      </c>
      <c r="G165" s="257" t="str">
        <f t="shared" si="30"/>
        <v/>
      </c>
      <c r="H165" s="257" t="str">
        <f t="shared" si="31"/>
        <v/>
      </c>
    </row>
    <row r="166" spans="1:8" x14ac:dyDescent="0.25">
      <c r="A166" s="254" t="str">
        <f t="shared" ca="1" si="26"/>
        <v/>
      </c>
      <c r="B166" s="255"/>
      <c r="C166" s="256"/>
      <c r="D166" s="257" t="str">
        <f t="shared" si="28"/>
        <v/>
      </c>
      <c r="E166" s="253"/>
      <c r="F166" s="257" t="str">
        <f t="shared" si="29"/>
        <v/>
      </c>
      <c r="G166" s="257" t="str">
        <f t="shared" si="30"/>
        <v/>
      </c>
      <c r="H166" s="257" t="str">
        <f t="shared" si="31"/>
        <v/>
      </c>
    </row>
    <row r="167" spans="1:8" x14ac:dyDescent="0.25">
      <c r="A167" s="254" t="str">
        <f t="shared" ca="1" si="26"/>
        <v/>
      </c>
      <c r="B167" s="255"/>
      <c r="C167" s="256"/>
      <c r="D167" s="257" t="str">
        <f t="shared" si="28"/>
        <v/>
      </c>
      <c r="E167" s="253"/>
      <c r="F167" s="257" t="str">
        <f t="shared" si="29"/>
        <v/>
      </c>
      <c r="G167" s="257" t="str">
        <f t="shared" si="30"/>
        <v/>
      </c>
      <c r="H167" s="257" t="str">
        <f t="shared" si="31"/>
        <v/>
      </c>
    </row>
    <row r="168" spans="1:8" x14ac:dyDescent="0.25">
      <c r="A168" s="254" t="str">
        <f t="shared" ca="1" si="26"/>
        <v/>
      </c>
      <c r="B168" s="255"/>
      <c r="C168" s="256"/>
      <c r="D168" s="257" t="str">
        <f t="shared" si="28"/>
        <v/>
      </c>
      <c r="E168" s="253"/>
      <c r="F168" s="257" t="str">
        <f t="shared" si="29"/>
        <v/>
      </c>
      <c r="G168" s="257" t="str">
        <f t="shared" si="30"/>
        <v/>
      </c>
      <c r="H168" s="257" t="str">
        <f t="shared" si="31"/>
        <v/>
      </c>
    </row>
    <row r="169" spans="1:8" x14ac:dyDescent="0.25">
      <c r="A169" s="254" t="str">
        <f t="shared" ref="A169:A232" ca="1" si="32">IF(OR(H168&lt;=0,H168=""),"",OFFSET(A169,-1,0,1,1)+1)</f>
        <v/>
      </c>
      <c r="B169" s="255"/>
      <c r="C169" s="256"/>
      <c r="D169" s="257" t="str">
        <f t="shared" si="28"/>
        <v/>
      </c>
      <c r="E169" s="253"/>
      <c r="F169" s="257" t="str">
        <f t="shared" si="29"/>
        <v/>
      </c>
      <c r="G169" s="257" t="str">
        <f t="shared" si="30"/>
        <v/>
      </c>
      <c r="H169" s="257" t="str">
        <f t="shared" si="31"/>
        <v/>
      </c>
    </row>
    <row r="170" spans="1:8" x14ac:dyDescent="0.25">
      <c r="A170" s="254" t="str">
        <f t="shared" ca="1" si="32"/>
        <v/>
      </c>
      <c r="B170" s="255"/>
      <c r="C170" s="256"/>
      <c r="D170" s="257" t="str">
        <f t="shared" si="28"/>
        <v/>
      </c>
      <c r="E170" s="253"/>
      <c r="F170" s="257" t="str">
        <f t="shared" si="29"/>
        <v/>
      </c>
      <c r="G170" s="257" t="str">
        <f t="shared" si="30"/>
        <v/>
      </c>
      <c r="H170" s="257" t="str">
        <f t="shared" si="31"/>
        <v/>
      </c>
    </row>
    <row r="171" spans="1:8" x14ac:dyDescent="0.25">
      <c r="A171" s="254" t="str">
        <f t="shared" ca="1" si="32"/>
        <v/>
      </c>
      <c r="B171" s="255"/>
      <c r="C171" s="256"/>
      <c r="D171" s="257" t="str">
        <f t="shared" si="28"/>
        <v/>
      </c>
      <c r="E171" s="253"/>
      <c r="F171" s="257" t="str">
        <f t="shared" si="29"/>
        <v/>
      </c>
      <c r="G171" s="257" t="str">
        <f t="shared" si="30"/>
        <v/>
      </c>
      <c r="H171" s="257" t="str">
        <f t="shared" si="31"/>
        <v/>
      </c>
    </row>
    <row r="172" spans="1:8" x14ac:dyDescent="0.25">
      <c r="A172" s="254" t="str">
        <f t="shared" ca="1" si="32"/>
        <v/>
      </c>
      <c r="B172" s="255"/>
      <c r="C172" s="256"/>
      <c r="D172" s="257" t="str">
        <f t="shared" si="28"/>
        <v/>
      </c>
      <c r="E172" s="253"/>
      <c r="F172" s="257" t="str">
        <f t="shared" si="29"/>
        <v/>
      </c>
      <c r="G172" s="257" t="str">
        <f t="shared" si="30"/>
        <v/>
      </c>
      <c r="H172" s="257" t="str">
        <f t="shared" si="31"/>
        <v/>
      </c>
    </row>
    <row r="173" spans="1:8" x14ac:dyDescent="0.25">
      <c r="A173" s="254" t="str">
        <f t="shared" ca="1" si="32"/>
        <v/>
      </c>
      <c r="B173" s="255"/>
      <c r="C173" s="256"/>
      <c r="D173" s="257" t="str">
        <f t="shared" si="28"/>
        <v/>
      </c>
      <c r="E173" s="253"/>
      <c r="F173" s="257" t="str">
        <f t="shared" si="29"/>
        <v/>
      </c>
      <c r="G173" s="257" t="str">
        <f t="shared" si="30"/>
        <v/>
      </c>
      <c r="H173" s="257" t="str">
        <f t="shared" si="31"/>
        <v/>
      </c>
    </row>
    <row r="174" spans="1:8" x14ac:dyDescent="0.25">
      <c r="A174" s="254" t="str">
        <f t="shared" ca="1" si="32"/>
        <v/>
      </c>
      <c r="B174" s="255"/>
      <c r="C174" s="256"/>
      <c r="D174" s="257" t="str">
        <f t="shared" si="28"/>
        <v/>
      </c>
      <c r="E174" s="253"/>
      <c r="F174" s="257" t="str">
        <f t="shared" si="29"/>
        <v/>
      </c>
      <c r="G174" s="257" t="str">
        <f t="shared" si="30"/>
        <v/>
      </c>
      <c r="H174" s="257" t="str">
        <f t="shared" si="31"/>
        <v/>
      </c>
    </row>
    <row r="175" spans="1:8" x14ac:dyDescent="0.25">
      <c r="A175" s="254" t="str">
        <f t="shared" ca="1" si="32"/>
        <v/>
      </c>
      <c r="B175" s="255"/>
      <c r="C175" s="256"/>
      <c r="D175" s="257" t="str">
        <f t="shared" si="28"/>
        <v/>
      </c>
      <c r="E175" s="253"/>
      <c r="F175" s="257" t="str">
        <f t="shared" si="29"/>
        <v/>
      </c>
      <c r="G175" s="257" t="str">
        <f t="shared" si="30"/>
        <v/>
      </c>
      <c r="H175" s="257" t="str">
        <f t="shared" si="31"/>
        <v/>
      </c>
    </row>
    <row r="176" spans="1:8" x14ac:dyDescent="0.25">
      <c r="A176" s="254" t="str">
        <f t="shared" ca="1" si="32"/>
        <v/>
      </c>
      <c r="B176" s="255"/>
      <c r="C176" s="256"/>
      <c r="D176" s="257" t="str">
        <f t="shared" si="28"/>
        <v/>
      </c>
      <c r="E176" s="253"/>
      <c r="F176" s="257" t="str">
        <f t="shared" si="29"/>
        <v/>
      </c>
      <c r="G176" s="257" t="str">
        <f t="shared" si="30"/>
        <v/>
      </c>
      <c r="H176" s="257" t="str">
        <f t="shared" si="31"/>
        <v/>
      </c>
    </row>
    <row r="177" spans="1:8" x14ac:dyDescent="0.25">
      <c r="A177" s="254" t="str">
        <f t="shared" ca="1" si="32"/>
        <v/>
      </c>
      <c r="B177" s="255"/>
      <c r="C177" s="256"/>
      <c r="D177" s="257" t="str">
        <f t="shared" si="28"/>
        <v/>
      </c>
      <c r="E177" s="253"/>
      <c r="F177" s="257" t="str">
        <f t="shared" si="29"/>
        <v/>
      </c>
      <c r="G177" s="257" t="str">
        <f t="shared" si="30"/>
        <v/>
      </c>
      <c r="H177" s="257" t="str">
        <f t="shared" si="31"/>
        <v/>
      </c>
    </row>
    <row r="178" spans="1:8" x14ac:dyDescent="0.25">
      <c r="A178" s="254" t="str">
        <f t="shared" ca="1" si="32"/>
        <v/>
      </c>
      <c r="B178" s="255"/>
      <c r="C178" s="256"/>
      <c r="D178" s="257" t="str">
        <f t="shared" si="28"/>
        <v/>
      </c>
      <c r="E178" s="253"/>
      <c r="F178" s="257" t="str">
        <f t="shared" si="29"/>
        <v/>
      </c>
      <c r="G178" s="257" t="str">
        <f t="shared" si="30"/>
        <v/>
      </c>
      <c r="H178" s="257" t="str">
        <f t="shared" si="31"/>
        <v/>
      </c>
    </row>
    <row r="179" spans="1:8" x14ac:dyDescent="0.25">
      <c r="A179" s="254" t="str">
        <f t="shared" ca="1" si="32"/>
        <v/>
      </c>
      <c r="B179" s="255"/>
      <c r="C179" s="256"/>
      <c r="D179" s="257" t="str">
        <f t="shared" si="28"/>
        <v/>
      </c>
      <c r="E179" s="253"/>
      <c r="F179" s="257" t="str">
        <f t="shared" si="29"/>
        <v/>
      </c>
      <c r="G179" s="257" t="str">
        <f t="shared" si="30"/>
        <v/>
      </c>
      <c r="H179" s="257" t="str">
        <f t="shared" si="31"/>
        <v/>
      </c>
    </row>
    <row r="180" spans="1:8" x14ac:dyDescent="0.25">
      <c r="A180" s="254" t="str">
        <f t="shared" ca="1" si="32"/>
        <v/>
      </c>
      <c r="B180" s="255"/>
      <c r="C180" s="256"/>
      <c r="D180" s="257" t="str">
        <f t="shared" si="28"/>
        <v/>
      </c>
      <c r="E180" s="253"/>
      <c r="F180" s="257" t="str">
        <f t="shared" si="29"/>
        <v/>
      </c>
      <c r="G180" s="257" t="str">
        <f t="shared" si="30"/>
        <v/>
      </c>
      <c r="H180" s="257" t="str">
        <f t="shared" si="31"/>
        <v/>
      </c>
    </row>
    <row r="181" spans="1:8" x14ac:dyDescent="0.25">
      <c r="A181" s="254" t="str">
        <f t="shared" ca="1" si="32"/>
        <v/>
      </c>
      <c r="B181" s="255"/>
      <c r="C181" s="256"/>
      <c r="D181" s="257" t="str">
        <f t="shared" si="28"/>
        <v/>
      </c>
      <c r="E181" s="253"/>
      <c r="F181" s="257" t="str">
        <f t="shared" si="29"/>
        <v/>
      </c>
      <c r="G181" s="257" t="str">
        <f t="shared" si="30"/>
        <v/>
      </c>
      <c r="H181" s="257" t="str">
        <f t="shared" si="31"/>
        <v/>
      </c>
    </row>
    <row r="182" spans="1:8" x14ac:dyDescent="0.25">
      <c r="A182" s="254" t="str">
        <f t="shared" ca="1" si="32"/>
        <v/>
      </c>
      <c r="B182" s="255"/>
      <c r="C182" s="256"/>
      <c r="D182" s="257" t="str">
        <f t="shared" si="28"/>
        <v/>
      </c>
      <c r="E182" s="253"/>
      <c r="F182" s="257" t="str">
        <f t="shared" si="29"/>
        <v/>
      </c>
      <c r="G182" s="257" t="str">
        <f t="shared" si="30"/>
        <v/>
      </c>
      <c r="H182" s="257" t="str">
        <f t="shared" si="31"/>
        <v/>
      </c>
    </row>
    <row r="183" spans="1:8" x14ac:dyDescent="0.25">
      <c r="A183" s="254" t="str">
        <f t="shared" ca="1" si="32"/>
        <v/>
      </c>
      <c r="B183" s="255"/>
      <c r="C183" s="256"/>
      <c r="D183" s="257" t="str">
        <f t="shared" si="28"/>
        <v/>
      </c>
      <c r="E183" s="253"/>
      <c r="F183" s="257" t="str">
        <f t="shared" si="29"/>
        <v/>
      </c>
      <c r="G183" s="257" t="str">
        <f t="shared" si="30"/>
        <v/>
      </c>
      <c r="H183" s="257" t="str">
        <f t="shared" si="31"/>
        <v/>
      </c>
    </row>
    <row r="184" spans="1:8" x14ac:dyDescent="0.25">
      <c r="A184" s="254" t="str">
        <f t="shared" ca="1" si="32"/>
        <v/>
      </c>
      <c r="B184" s="255"/>
      <c r="C184" s="256"/>
      <c r="D184" s="257" t="str">
        <f t="shared" si="28"/>
        <v/>
      </c>
      <c r="E184" s="253"/>
      <c r="F184" s="257" t="str">
        <f t="shared" si="29"/>
        <v/>
      </c>
      <c r="G184" s="257" t="str">
        <f t="shared" si="30"/>
        <v/>
      </c>
      <c r="H184" s="257" t="str">
        <f t="shared" si="31"/>
        <v/>
      </c>
    </row>
    <row r="185" spans="1:8" x14ac:dyDescent="0.25">
      <c r="A185" s="254" t="str">
        <f t="shared" ca="1" si="32"/>
        <v/>
      </c>
      <c r="B185" s="255"/>
      <c r="C185" s="256"/>
      <c r="D185" s="257" t="str">
        <f t="shared" si="28"/>
        <v/>
      </c>
      <c r="E185" s="253"/>
      <c r="F185" s="257" t="str">
        <f t="shared" si="29"/>
        <v/>
      </c>
      <c r="G185" s="257" t="str">
        <f t="shared" si="30"/>
        <v/>
      </c>
      <c r="H185" s="257" t="str">
        <f t="shared" si="31"/>
        <v/>
      </c>
    </row>
    <row r="186" spans="1:8" x14ac:dyDescent="0.25">
      <c r="A186" s="254" t="str">
        <f t="shared" ca="1" si="32"/>
        <v/>
      </c>
      <c r="B186" s="255"/>
      <c r="C186" s="256"/>
      <c r="D186" s="257" t="str">
        <f t="shared" si="28"/>
        <v/>
      </c>
      <c r="E186" s="253"/>
      <c r="F186" s="257" t="str">
        <f t="shared" si="29"/>
        <v/>
      </c>
      <c r="G186" s="257" t="str">
        <f t="shared" si="30"/>
        <v/>
      </c>
      <c r="H186" s="257" t="str">
        <f t="shared" si="31"/>
        <v/>
      </c>
    </row>
    <row r="187" spans="1:8" x14ac:dyDescent="0.25">
      <c r="A187" s="254" t="str">
        <f t="shared" ca="1" si="32"/>
        <v/>
      </c>
      <c r="B187" s="255"/>
      <c r="C187" s="256"/>
      <c r="D187" s="257" t="str">
        <f t="shared" si="28"/>
        <v/>
      </c>
      <c r="E187" s="253"/>
      <c r="F187" s="257" t="str">
        <f t="shared" si="29"/>
        <v/>
      </c>
      <c r="G187" s="257" t="str">
        <f t="shared" si="30"/>
        <v/>
      </c>
      <c r="H187" s="257" t="str">
        <f t="shared" si="31"/>
        <v/>
      </c>
    </row>
    <row r="188" spans="1:8" x14ac:dyDescent="0.25">
      <c r="A188" s="254" t="str">
        <f t="shared" ca="1" si="32"/>
        <v/>
      </c>
      <c r="B188" s="255"/>
      <c r="C188" s="256"/>
      <c r="D188" s="257" t="str">
        <f t="shared" si="28"/>
        <v/>
      </c>
      <c r="E188" s="253"/>
      <c r="F188" s="257" t="str">
        <f t="shared" si="29"/>
        <v/>
      </c>
      <c r="G188" s="257" t="str">
        <f t="shared" si="30"/>
        <v/>
      </c>
      <c r="H188" s="257" t="str">
        <f t="shared" si="31"/>
        <v/>
      </c>
    </row>
    <row r="189" spans="1:8" x14ac:dyDescent="0.25">
      <c r="A189" s="254" t="str">
        <f t="shared" ca="1" si="32"/>
        <v/>
      </c>
      <c r="B189" s="255"/>
      <c r="C189" s="256"/>
      <c r="D189" s="257" t="str">
        <f t="shared" si="28"/>
        <v/>
      </c>
      <c r="E189" s="253"/>
      <c r="F189" s="257" t="str">
        <f t="shared" si="29"/>
        <v/>
      </c>
      <c r="G189" s="257" t="str">
        <f t="shared" si="30"/>
        <v/>
      </c>
      <c r="H189" s="257" t="str">
        <f t="shared" si="31"/>
        <v/>
      </c>
    </row>
    <row r="190" spans="1:8" x14ac:dyDescent="0.25">
      <c r="A190" s="254" t="str">
        <f t="shared" ca="1" si="32"/>
        <v/>
      </c>
      <c r="B190" s="255"/>
      <c r="C190" s="256"/>
      <c r="D190" s="257" t="str">
        <f t="shared" si="28"/>
        <v/>
      </c>
      <c r="E190" s="253"/>
      <c r="F190" s="257" t="str">
        <f t="shared" si="29"/>
        <v/>
      </c>
      <c r="G190" s="257" t="str">
        <f t="shared" si="30"/>
        <v/>
      </c>
      <c r="H190" s="257" t="str">
        <f t="shared" si="31"/>
        <v/>
      </c>
    </row>
    <row r="191" spans="1:8" x14ac:dyDescent="0.25">
      <c r="A191" s="254" t="str">
        <f t="shared" ca="1" si="32"/>
        <v/>
      </c>
      <c r="B191" s="255"/>
      <c r="C191" s="256"/>
      <c r="D191" s="257" t="str">
        <f t="shared" si="28"/>
        <v/>
      </c>
      <c r="E191" s="253"/>
      <c r="F191" s="257" t="str">
        <f t="shared" si="29"/>
        <v/>
      </c>
      <c r="G191" s="257" t="str">
        <f t="shared" si="30"/>
        <v/>
      </c>
      <c r="H191" s="257" t="str">
        <f t="shared" si="31"/>
        <v/>
      </c>
    </row>
    <row r="192" spans="1:8" x14ac:dyDescent="0.25">
      <c r="A192" s="254" t="str">
        <f t="shared" ca="1" si="32"/>
        <v/>
      </c>
      <c r="B192" s="255"/>
      <c r="C192" s="256"/>
      <c r="D192" s="257" t="str">
        <f t="shared" si="28"/>
        <v/>
      </c>
      <c r="E192" s="253"/>
      <c r="F192" s="257" t="str">
        <f t="shared" si="29"/>
        <v/>
      </c>
      <c r="G192" s="257" t="str">
        <f t="shared" si="30"/>
        <v/>
      </c>
      <c r="H192" s="257" t="str">
        <f t="shared" si="31"/>
        <v/>
      </c>
    </row>
    <row r="193" spans="1:8" x14ac:dyDescent="0.25">
      <c r="A193" s="254" t="str">
        <f t="shared" ca="1" si="32"/>
        <v/>
      </c>
      <c r="B193" s="255"/>
      <c r="C193" s="256"/>
      <c r="D193" s="257" t="str">
        <f t="shared" si="28"/>
        <v/>
      </c>
      <c r="E193" s="253"/>
      <c r="F193" s="257" t="str">
        <f t="shared" si="29"/>
        <v/>
      </c>
      <c r="G193" s="257" t="str">
        <f t="shared" si="30"/>
        <v/>
      </c>
      <c r="H193" s="257" t="str">
        <f t="shared" si="31"/>
        <v/>
      </c>
    </row>
    <row r="194" spans="1:8" x14ac:dyDescent="0.25">
      <c r="A194" s="254" t="str">
        <f t="shared" ca="1" si="32"/>
        <v/>
      </c>
      <c r="B194" s="255"/>
      <c r="C194" s="256"/>
      <c r="D194" s="257" t="str">
        <f t="shared" si="28"/>
        <v/>
      </c>
      <c r="E194" s="253"/>
      <c r="F194" s="257" t="str">
        <f t="shared" si="29"/>
        <v/>
      </c>
      <c r="G194" s="257" t="str">
        <f t="shared" si="30"/>
        <v/>
      </c>
      <c r="H194" s="257" t="str">
        <f t="shared" si="31"/>
        <v/>
      </c>
    </row>
    <row r="195" spans="1:8" x14ac:dyDescent="0.25">
      <c r="A195" s="254" t="str">
        <f t="shared" ca="1" si="32"/>
        <v/>
      </c>
      <c r="B195" s="255"/>
      <c r="C195" s="256"/>
      <c r="D195" s="257" t="str">
        <f t="shared" si="28"/>
        <v/>
      </c>
      <c r="E195" s="253"/>
      <c r="F195" s="257" t="str">
        <f t="shared" si="29"/>
        <v/>
      </c>
      <c r="G195" s="257" t="str">
        <f t="shared" si="30"/>
        <v/>
      </c>
      <c r="H195" s="257" t="str">
        <f t="shared" si="31"/>
        <v/>
      </c>
    </row>
    <row r="196" spans="1:8" x14ac:dyDescent="0.25">
      <c r="A196" s="254" t="str">
        <f t="shared" ca="1" si="32"/>
        <v/>
      </c>
      <c r="B196" s="255"/>
      <c r="C196" s="256"/>
      <c r="D196" s="257" t="str">
        <f t="shared" si="28"/>
        <v/>
      </c>
      <c r="E196" s="253"/>
      <c r="F196" s="257" t="str">
        <f t="shared" si="29"/>
        <v/>
      </c>
      <c r="G196" s="257" t="str">
        <f t="shared" si="30"/>
        <v/>
      </c>
      <c r="H196" s="257" t="str">
        <f t="shared" si="31"/>
        <v/>
      </c>
    </row>
    <row r="197" spans="1:8" x14ac:dyDescent="0.25">
      <c r="A197" s="254" t="str">
        <f t="shared" ca="1" si="32"/>
        <v/>
      </c>
      <c r="B197" s="255"/>
      <c r="C197" s="256"/>
      <c r="D197" s="257" t="str">
        <f t="shared" si="28"/>
        <v/>
      </c>
      <c r="E197" s="253"/>
      <c r="F197" s="257" t="str">
        <f t="shared" si="29"/>
        <v/>
      </c>
      <c r="G197" s="257" t="str">
        <f t="shared" si="30"/>
        <v/>
      </c>
      <c r="H197" s="257" t="str">
        <f t="shared" si="31"/>
        <v/>
      </c>
    </row>
    <row r="198" spans="1:8" x14ac:dyDescent="0.25">
      <c r="A198" s="254" t="str">
        <f t="shared" ca="1" si="32"/>
        <v/>
      </c>
      <c r="B198" s="255"/>
      <c r="C198" s="256"/>
      <c r="D198" s="257" t="str">
        <f t="shared" si="28"/>
        <v/>
      </c>
      <c r="E198" s="253"/>
      <c r="F198" s="257" t="str">
        <f t="shared" si="29"/>
        <v/>
      </c>
      <c r="G198" s="257" t="str">
        <f t="shared" si="30"/>
        <v/>
      </c>
      <c r="H198" s="257" t="str">
        <f t="shared" si="31"/>
        <v/>
      </c>
    </row>
    <row r="199" spans="1:8" x14ac:dyDescent="0.25">
      <c r="A199" s="254" t="str">
        <f t="shared" ca="1" si="32"/>
        <v/>
      </c>
      <c r="B199" s="255"/>
      <c r="C199" s="256"/>
      <c r="D199" s="257" t="str">
        <f t="shared" si="28"/>
        <v/>
      </c>
      <c r="E199" s="253"/>
      <c r="F199" s="257" t="str">
        <f t="shared" si="29"/>
        <v/>
      </c>
      <c r="G199" s="257" t="str">
        <f t="shared" si="30"/>
        <v/>
      </c>
      <c r="H199" s="257" t="str">
        <f t="shared" si="31"/>
        <v/>
      </c>
    </row>
    <row r="200" spans="1:8" x14ac:dyDescent="0.25">
      <c r="A200" s="254" t="str">
        <f t="shared" ca="1" si="32"/>
        <v/>
      </c>
      <c r="B200" s="255"/>
      <c r="C200" s="256"/>
      <c r="D200" s="257" t="str">
        <f t="shared" si="28"/>
        <v/>
      </c>
      <c r="E200" s="253"/>
      <c r="F200" s="257" t="str">
        <f t="shared" si="29"/>
        <v/>
      </c>
      <c r="G200" s="257" t="str">
        <f t="shared" si="30"/>
        <v/>
      </c>
      <c r="H200" s="257" t="str">
        <f t="shared" si="31"/>
        <v/>
      </c>
    </row>
    <row r="201" spans="1:8" x14ac:dyDescent="0.25">
      <c r="A201" s="254" t="str">
        <f t="shared" ca="1" si="32"/>
        <v/>
      </c>
      <c r="B201" s="255"/>
      <c r="C201" s="256"/>
      <c r="D201" s="257" t="str">
        <f t="shared" si="28"/>
        <v/>
      </c>
      <c r="E201" s="253"/>
      <c r="F201" s="257" t="str">
        <f t="shared" si="29"/>
        <v/>
      </c>
      <c r="G201" s="257" t="str">
        <f t="shared" si="30"/>
        <v/>
      </c>
      <c r="H201" s="257" t="str">
        <f t="shared" si="31"/>
        <v/>
      </c>
    </row>
    <row r="202" spans="1:8" x14ac:dyDescent="0.25">
      <c r="A202" s="254" t="str">
        <f t="shared" ca="1" si="32"/>
        <v/>
      </c>
      <c r="B202" s="255"/>
      <c r="C202" s="256"/>
      <c r="D202" s="257" t="str">
        <f t="shared" si="28"/>
        <v/>
      </c>
      <c r="E202" s="253"/>
      <c r="F202" s="257" t="str">
        <f t="shared" si="29"/>
        <v/>
      </c>
      <c r="G202" s="257" t="str">
        <f t="shared" si="30"/>
        <v/>
      </c>
      <c r="H202" s="257" t="str">
        <f t="shared" si="31"/>
        <v/>
      </c>
    </row>
    <row r="203" spans="1:8" x14ac:dyDescent="0.25">
      <c r="A203" s="254" t="str">
        <f t="shared" ca="1" si="32"/>
        <v/>
      </c>
      <c r="B203" s="255"/>
      <c r="C203" s="256"/>
      <c r="D203" s="257" t="str">
        <f t="shared" si="28"/>
        <v/>
      </c>
      <c r="E203" s="253"/>
      <c r="F203" s="257" t="str">
        <f t="shared" si="29"/>
        <v/>
      </c>
      <c r="G203" s="257" t="str">
        <f t="shared" si="30"/>
        <v/>
      </c>
      <c r="H203" s="257" t="str">
        <f t="shared" si="31"/>
        <v/>
      </c>
    </row>
    <row r="204" spans="1:8" x14ac:dyDescent="0.25">
      <c r="A204" s="254" t="str">
        <f t="shared" ca="1" si="32"/>
        <v/>
      </c>
      <c r="B204" s="255"/>
      <c r="C204" s="256"/>
      <c r="D204" s="257" t="str">
        <f t="shared" si="28"/>
        <v/>
      </c>
      <c r="E204" s="253"/>
      <c r="F204" s="257" t="str">
        <f t="shared" si="29"/>
        <v/>
      </c>
      <c r="G204" s="257" t="str">
        <f t="shared" si="30"/>
        <v/>
      </c>
      <c r="H204" s="257" t="str">
        <f t="shared" si="31"/>
        <v/>
      </c>
    </row>
    <row r="205" spans="1:8" x14ac:dyDescent="0.25">
      <c r="A205" s="254" t="str">
        <f t="shared" ca="1" si="32"/>
        <v/>
      </c>
      <c r="B205" s="255"/>
      <c r="C205" s="256"/>
      <c r="D205" s="257" t="str">
        <f t="shared" si="28"/>
        <v/>
      </c>
      <c r="E205" s="253"/>
      <c r="F205" s="257" t="str">
        <f t="shared" si="29"/>
        <v/>
      </c>
      <c r="G205" s="257" t="str">
        <f t="shared" si="30"/>
        <v/>
      </c>
      <c r="H205" s="257" t="str">
        <f t="shared" si="31"/>
        <v/>
      </c>
    </row>
    <row r="206" spans="1:8" x14ac:dyDescent="0.25">
      <c r="A206" s="254" t="str">
        <f t="shared" ca="1" si="32"/>
        <v/>
      </c>
      <c r="B206" s="255"/>
      <c r="C206" s="256"/>
      <c r="D206" s="257" t="str">
        <f t="shared" si="28"/>
        <v/>
      </c>
      <c r="E206" s="253"/>
      <c r="F206" s="257" t="str">
        <f t="shared" si="29"/>
        <v/>
      </c>
      <c r="G206" s="257" t="str">
        <f t="shared" si="30"/>
        <v/>
      </c>
      <c r="H206" s="257" t="str">
        <f t="shared" si="31"/>
        <v/>
      </c>
    </row>
    <row r="207" spans="1:8" x14ac:dyDescent="0.25">
      <c r="A207" s="254" t="str">
        <f t="shared" ca="1" si="32"/>
        <v/>
      </c>
      <c r="B207" s="255"/>
      <c r="C207" s="256"/>
      <c r="D207" s="257" t="str">
        <f t="shared" si="28"/>
        <v/>
      </c>
      <c r="E207" s="253"/>
      <c r="F207" s="257" t="str">
        <f t="shared" si="29"/>
        <v/>
      </c>
      <c r="G207" s="257" t="str">
        <f t="shared" si="30"/>
        <v/>
      </c>
      <c r="H207" s="257" t="str">
        <f t="shared" si="31"/>
        <v/>
      </c>
    </row>
    <row r="208" spans="1:8" x14ac:dyDescent="0.25">
      <c r="A208" s="254" t="str">
        <f t="shared" ca="1" si="32"/>
        <v/>
      </c>
      <c r="B208" s="255"/>
      <c r="C208" s="256"/>
      <c r="D208" s="257" t="str">
        <f t="shared" si="28"/>
        <v/>
      </c>
      <c r="E208" s="253"/>
      <c r="F208" s="257" t="str">
        <f t="shared" si="29"/>
        <v/>
      </c>
      <c r="G208" s="257" t="str">
        <f t="shared" si="30"/>
        <v/>
      </c>
      <c r="H208" s="257" t="str">
        <f t="shared" si="31"/>
        <v/>
      </c>
    </row>
    <row r="209" spans="1:8" x14ac:dyDescent="0.25">
      <c r="A209" s="254" t="str">
        <f t="shared" ca="1" si="32"/>
        <v/>
      </c>
      <c r="B209" s="255"/>
      <c r="C209" s="256"/>
      <c r="D209" s="257" t="str">
        <f t="shared" si="28"/>
        <v/>
      </c>
      <c r="E209" s="253"/>
      <c r="F209" s="257" t="str">
        <f t="shared" si="29"/>
        <v/>
      </c>
      <c r="G209" s="257" t="str">
        <f t="shared" si="30"/>
        <v/>
      </c>
      <c r="H209" s="257" t="str">
        <f t="shared" si="31"/>
        <v/>
      </c>
    </row>
    <row r="210" spans="1:8" x14ac:dyDescent="0.25">
      <c r="A210" s="254" t="str">
        <f t="shared" ca="1" si="32"/>
        <v/>
      </c>
      <c r="B210" s="255"/>
      <c r="C210" s="256"/>
      <c r="D210" s="257" t="str">
        <f t="shared" si="28"/>
        <v/>
      </c>
      <c r="E210" s="253"/>
      <c r="F210" s="257" t="str">
        <f t="shared" si="29"/>
        <v/>
      </c>
      <c r="G210" s="257" t="str">
        <f t="shared" si="30"/>
        <v/>
      </c>
      <c r="H210" s="257" t="str">
        <f t="shared" si="31"/>
        <v/>
      </c>
    </row>
    <row r="211" spans="1:8" x14ac:dyDescent="0.25">
      <c r="A211" s="254" t="str">
        <f t="shared" ca="1" si="32"/>
        <v/>
      </c>
      <c r="B211" s="255"/>
      <c r="C211" s="256"/>
      <c r="D211" s="257" t="str">
        <f t="shared" ref="D211:D274" si="33">IF(B211="","",ROUND((B211-B210)*$H$9*G210,2))</f>
        <v/>
      </c>
      <c r="E211" s="253"/>
      <c r="F211" s="257" t="str">
        <f t="shared" ref="F211:F274" si="34">IF(B211="","",IF(C211&gt;F210+D211,0,F210+D211-C211))</f>
        <v/>
      </c>
      <c r="G211" s="257" t="str">
        <f t="shared" ref="G211:G274" si="35">IF(B211="","",IF(C211&gt;D211+F210,G210+F210+D211-C211,G210))</f>
        <v/>
      </c>
      <c r="H211" s="257" t="str">
        <f t="shared" ref="H211:H274" si="36">IF(B211="","",G211+F211)</f>
        <v/>
      </c>
    </row>
    <row r="212" spans="1:8" x14ac:dyDescent="0.25">
      <c r="A212" s="254" t="str">
        <f t="shared" ca="1" si="32"/>
        <v/>
      </c>
      <c r="B212" s="255"/>
      <c r="C212" s="256"/>
      <c r="D212" s="257" t="str">
        <f t="shared" si="33"/>
        <v/>
      </c>
      <c r="E212" s="253"/>
      <c r="F212" s="257" t="str">
        <f t="shared" si="34"/>
        <v/>
      </c>
      <c r="G212" s="257" t="str">
        <f t="shared" si="35"/>
        <v/>
      </c>
      <c r="H212" s="257" t="str">
        <f t="shared" si="36"/>
        <v/>
      </c>
    </row>
    <row r="213" spans="1:8" x14ac:dyDescent="0.25">
      <c r="A213" s="254" t="str">
        <f t="shared" ca="1" si="32"/>
        <v/>
      </c>
      <c r="B213" s="255"/>
      <c r="C213" s="256"/>
      <c r="D213" s="257" t="str">
        <f t="shared" si="33"/>
        <v/>
      </c>
      <c r="E213" s="253"/>
      <c r="F213" s="257" t="str">
        <f t="shared" si="34"/>
        <v/>
      </c>
      <c r="G213" s="257" t="str">
        <f t="shared" si="35"/>
        <v/>
      </c>
      <c r="H213" s="257" t="str">
        <f t="shared" si="36"/>
        <v/>
      </c>
    </row>
    <row r="214" spans="1:8" x14ac:dyDescent="0.25">
      <c r="A214" s="254" t="str">
        <f t="shared" ca="1" si="32"/>
        <v/>
      </c>
      <c r="B214" s="255"/>
      <c r="C214" s="256"/>
      <c r="D214" s="257" t="str">
        <f t="shared" si="33"/>
        <v/>
      </c>
      <c r="E214" s="253"/>
      <c r="F214" s="257" t="str">
        <f t="shared" si="34"/>
        <v/>
      </c>
      <c r="G214" s="257" t="str">
        <f t="shared" si="35"/>
        <v/>
      </c>
      <c r="H214" s="257" t="str">
        <f t="shared" si="36"/>
        <v/>
      </c>
    </row>
    <row r="215" spans="1:8" x14ac:dyDescent="0.25">
      <c r="A215" s="254" t="str">
        <f t="shared" ca="1" si="32"/>
        <v/>
      </c>
      <c r="B215" s="255"/>
      <c r="C215" s="256"/>
      <c r="D215" s="257" t="str">
        <f t="shared" si="33"/>
        <v/>
      </c>
      <c r="E215" s="253"/>
      <c r="F215" s="257" t="str">
        <f t="shared" si="34"/>
        <v/>
      </c>
      <c r="G215" s="257" t="str">
        <f t="shared" si="35"/>
        <v/>
      </c>
      <c r="H215" s="257" t="str">
        <f t="shared" si="36"/>
        <v/>
      </c>
    </row>
    <row r="216" spans="1:8" x14ac:dyDescent="0.25">
      <c r="A216" s="254" t="str">
        <f t="shared" ca="1" si="32"/>
        <v/>
      </c>
      <c r="B216" s="255"/>
      <c r="C216" s="256"/>
      <c r="D216" s="257" t="str">
        <f t="shared" si="33"/>
        <v/>
      </c>
      <c r="E216" s="253"/>
      <c r="F216" s="257" t="str">
        <f t="shared" si="34"/>
        <v/>
      </c>
      <c r="G216" s="257" t="str">
        <f t="shared" si="35"/>
        <v/>
      </c>
      <c r="H216" s="257" t="str">
        <f t="shared" si="36"/>
        <v/>
      </c>
    </row>
    <row r="217" spans="1:8" x14ac:dyDescent="0.25">
      <c r="A217" s="254" t="str">
        <f t="shared" ca="1" si="32"/>
        <v/>
      </c>
      <c r="B217" s="255"/>
      <c r="C217" s="256"/>
      <c r="D217" s="257" t="str">
        <f t="shared" si="33"/>
        <v/>
      </c>
      <c r="E217" s="253"/>
      <c r="F217" s="257" t="str">
        <f t="shared" si="34"/>
        <v/>
      </c>
      <c r="G217" s="257" t="str">
        <f t="shared" si="35"/>
        <v/>
      </c>
      <c r="H217" s="257" t="str">
        <f t="shared" si="36"/>
        <v/>
      </c>
    </row>
    <row r="218" spans="1:8" x14ac:dyDescent="0.25">
      <c r="A218" s="254" t="str">
        <f t="shared" ca="1" si="32"/>
        <v/>
      </c>
      <c r="B218" s="255"/>
      <c r="C218" s="256"/>
      <c r="D218" s="257" t="str">
        <f t="shared" si="33"/>
        <v/>
      </c>
      <c r="E218" s="253"/>
      <c r="F218" s="257" t="str">
        <f t="shared" si="34"/>
        <v/>
      </c>
      <c r="G218" s="257" t="str">
        <f t="shared" si="35"/>
        <v/>
      </c>
      <c r="H218" s="257" t="str">
        <f t="shared" si="36"/>
        <v/>
      </c>
    </row>
    <row r="219" spans="1:8" x14ac:dyDescent="0.25">
      <c r="A219" s="254" t="str">
        <f t="shared" ca="1" si="32"/>
        <v/>
      </c>
      <c r="B219" s="255"/>
      <c r="C219" s="256"/>
      <c r="D219" s="257" t="str">
        <f t="shared" si="33"/>
        <v/>
      </c>
      <c r="E219" s="253"/>
      <c r="F219" s="257" t="str">
        <f t="shared" si="34"/>
        <v/>
      </c>
      <c r="G219" s="257" t="str">
        <f t="shared" si="35"/>
        <v/>
      </c>
      <c r="H219" s="257" t="str">
        <f t="shared" si="36"/>
        <v/>
      </c>
    </row>
    <row r="220" spans="1:8" x14ac:dyDescent="0.25">
      <c r="A220" s="254" t="str">
        <f t="shared" ca="1" si="32"/>
        <v/>
      </c>
      <c r="B220" s="255"/>
      <c r="C220" s="256"/>
      <c r="D220" s="257" t="str">
        <f t="shared" si="33"/>
        <v/>
      </c>
      <c r="E220" s="253"/>
      <c r="F220" s="257" t="str">
        <f t="shared" si="34"/>
        <v/>
      </c>
      <c r="G220" s="257" t="str">
        <f t="shared" si="35"/>
        <v/>
      </c>
      <c r="H220" s="257" t="str">
        <f t="shared" si="36"/>
        <v/>
      </c>
    </row>
    <row r="221" spans="1:8" x14ac:dyDescent="0.25">
      <c r="A221" s="254" t="str">
        <f t="shared" ca="1" si="32"/>
        <v/>
      </c>
      <c r="B221" s="255"/>
      <c r="C221" s="256"/>
      <c r="D221" s="257" t="str">
        <f t="shared" si="33"/>
        <v/>
      </c>
      <c r="E221" s="253"/>
      <c r="F221" s="257" t="str">
        <f t="shared" si="34"/>
        <v/>
      </c>
      <c r="G221" s="257" t="str">
        <f t="shared" si="35"/>
        <v/>
      </c>
      <c r="H221" s="257" t="str">
        <f t="shared" si="36"/>
        <v/>
      </c>
    </row>
    <row r="222" spans="1:8" x14ac:dyDescent="0.25">
      <c r="A222" s="254" t="str">
        <f t="shared" ca="1" si="32"/>
        <v/>
      </c>
      <c r="B222" s="255"/>
      <c r="C222" s="256"/>
      <c r="D222" s="257" t="str">
        <f t="shared" si="33"/>
        <v/>
      </c>
      <c r="E222" s="253"/>
      <c r="F222" s="257" t="str">
        <f t="shared" si="34"/>
        <v/>
      </c>
      <c r="G222" s="257" t="str">
        <f t="shared" si="35"/>
        <v/>
      </c>
      <c r="H222" s="257" t="str">
        <f t="shared" si="36"/>
        <v/>
      </c>
    </row>
    <row r="223" spans="1:8" x14ac:dyDescent="0.25">
      <c r="A223" s="254" t="str">
        <f t="shared" ca="1" si="32"/>
        <v/>
      </c>
      <c r="B223" s="255"/>
      <c r="C223" s="256"/>
      <c r="D223" s="257" t="str">
        <f t="shared" si="33"/>
        <v/>
      </c>
      <c r="E223" s="253"/>
      <c r="F223" s="257" t="str">
        <f t="shared" si="34"/>
        <v/>
      </c>
      <c r="G223" s="257" t="str">
        <f t="shared" si="35"/>
        <v/>
      </c>
      <c r="H223" s="257" t="str">
        <f t="shared" si="36"/>
        <v/>
      </c>
    </row>
    <row r="224" spans="1:8" x14ac:dyDescent="0.25">
      <c r="A224" s="254" t="str">
        <f t="shared" ca="1" si="32"/>
        <v/>
      </c>
      <c r="B224" s="255"/>
      <c r="C224" s="256"/>
      <c r="D224" s="257" t="str">
        <f t="shared" si="33"/>
        <v/>
      </c>
      <c r="E224" s="253"/>
      <c r="F224" s="257" t="str">
        <f t="shared" si="34"/>
        <v/>
      </c>
      <c r="G224" s="257" t="str">
        <f t="shared" si="35"/>
        <v/>
      </c>
      <c r="H224" s="257" t="str">
        <f t="shared" si="36"/>
        <v/>
      </c>
    </row>
    <row r="225" spans="1:8" x14ac:dyDescent="0.25">
      <c r="A225" s="254" t="str">
        <f t="shared" ca="1" si="32"/>
        <v/>
      </c>
      <c r="B225" s="255"/>
      <c r="C225" s="256"/>
      <c r="D225" s="257" t="str">
        <f t="shared" si="33"/>
        <v/>
      </c>
      <c r="E225" s="253"/>
      <c r="F225" s="257" t="str">
        <f t="shared" si="34"/>
        <v/>
      </c>
      <c r="G225" s="257" t="str">
        <f t="shared" si="35"/>
        <v/>
      </c>
      <c r="H225" s="257" t="str">
        <f t="shared" si="36"/>
        <v/>
      </c>
    </row>
    <row r="226" spans="1:8" x14ac:dyDescent="0.25">
      <c r="A226" s="254" t="str">
        <f t="shared" ca="1" si="32"/>
        <v/>
      </c>
      <c r="B226" s="255"/>
      <c r="C226" s="256"/>
      <c r="D226" s="257" t="str">
        <f t="shared" si="33"/>
        <v/>
      </c>
      <c r="E226" s="253"/>
      <c r="F226" s="257" t="str">
        <f t="shared" si="34"/>
        <v/>
      </c>
      <c r="G226" s="257" t="str">
        <f t="shared" si="35"/>
        <v/>
      </c>
      <c r="H226" s="257" t="str">
        <f t="shared" si="36"/>
        <v/>
      </c>
    </row>
    <row r="227" spans="1:8" x14ac:dyDescent="0.25">
      <c r="A227" s="254" t="str">
        <f t="shared" ca="1" si="32"/>
        <v/>
      </c>
      <c r="B227" s="255"/>
      <c r="C227" s="256"/>
      <c r="D227" s="257" t="str">
        <f t="shared" si="33"/>
        <v/>
      </c>
      <c r="E227" s="253"/>
      <c r="F227" s="257" t="str">
        <f t="shared" si="34"/>
        <v/>
      </c>
      <c r="G227" s="257" t="str">
        <f t="shared" si="35"/>
        <v/>
      </c>
      <c r="H227" s="257" t="str">
        <f t="shared" si="36"/>
        <v/>
      </c>
    </row>
    <row r="228" spans="1:8" x14ac:dyDescent="0.25">
      <c r="A228" s="254" t="str">
        <f t="shared" ca="1" si="32"/>
        <v/>
      </c>
      <c r="B228" s="255"/>
      <c r="C228" s="256"/>
      <c r="D228" s="257" t="str">
        <f t="shared" si="33"/>
        <v/>
      </c>
      <c r="E228" s="253"/>
      <c r="F228" s="257" t="str">
        <f t="shared" si="34"/>
        <v/>
      </c>
      <c r="G228" s="257" t="str">
        <f t="shared" si="35"/>
        <v/>
      </c>
      <c r="H228" s="257" t="str">
        <f t="shared" si="36"/>
        <v/>
      </c>
    </row>
    <row r="229" spans="1:8" x14ac:dyDescent="0.25">
      <c r="A229" s="254" t="str">
        <f t="shared" ca="1" si="32"/>
        <v/>
      </c>
      <c r="B229" s="255"/>
      <c r="C229" s="256"/>
      <c r="D229" s="257" t="str">
        <f t="shared" si="33"/>
        <v/>
      </c>
      <c r="E229" s="253"/>
      <c r="F229" s="257" t="str">
        <f t="shared" si="34"/>
        <v/>
      </c>
      <c r="G229" s="257" t="str">
        <f t="shared" si="35"/>
        <v/>
      </c>
      <c r="H229" s="257" t="str">
        <f t="shared" si="36"/>
        <v/>
      </c>
    </row>
    <row r="230" spans="1:8" x14ac:dyDescent="0.25">
      <c r="A230" s="254" t="str">
        <f t="shared" ca="1" si="32"/>
        <v/>
      </c>
      <c r="B230" s="255"/>
      <c r="C230" s="256"/>
      <c r="D230" s="257" t="str">
        <f t="shared" si="33"/>
        <v/>
      </c>
      <c r="E230" s="253"/>
      <c r="F230" s="257" t="str">
        <f t="shared" si="34"/>
        <v/>
      </c>
      <c r="G230" s="257" t="str">
        <f t="shared" si="35"/>
        <v/>
      </c>
      <c r="H230" s="257" t="str">
        <f t="shared" si="36"/>
        <v/>
      </c>
    </row>
    <row r="231" spans="1:8" x14ac:dyDescent="0.25">
      <c r="A231" s="254" t="str">
        <f t="shared" ca="1" si="32"/>
        <v/>
      </c>
      <c r="B231" s="255"/>
      <c r="C231" s="256"/>
      <c r="D231" s="257" t="str">
        <f t="shared" si="33"/>
        <v/>
      </c>
      <c r="E231" s="253"/>
      <c r="F231" s="257" t="str">
        <f t="shared" si="34"/>
        <v/>
      </c>
      <c r="G231" s="257" t="str">
        <f t="shared" si="35"/>
        <v/>
      </c>
      <c r="H231" s="257" t="str">
        <f t="shared" si="36"/>
        <v/>
      </c>
    </row>
    <row r="232" spans="1:8" x14ac:dyDescent="0.25">
      <c r="A232" s="254" t="str">
        <f t="shared" ca="1" si="32"/>
        <v/>
      </c>
      <c r="B232" s="255"/>
      <c r="C232" s="256"/>
      <c r="D232" s="257" t="str">
        <f t="shared" si="33"/>
        <v/>
      </c>
      <c r="E232" s="253"/>
      <c r="F232" s="257" t="str">
        <f t="shared" si="34"/>
        <v/>
      </c>
      <c r="G232" s="257" t="str">
        <f t="shared" si="35"/>
        <v/>
      </c>
      <c r="H232" s="257" t="str">
        <f t="shared" si="36"/>
        <v/>
      </c>
    </row>
    <row r="233" spans="1:8" x14ac:dyDescent="0.25">
      <c r="A233" s="254" t="str">
        <f t="shared" ref="A233:A296" ca="1" si="37">IF(OR(H232&lt;=0,H232=""),"",OFFSET(A233,-1,0,1,1)+1)</f>
        <v/>
      </c>
      <c r="B233" s="255"/>
      <c r="C233" s="256"/>
      <c r="D233" s="257" t="str">
        <f t="shared" si="33"/>
        <v/>
      </c>
      <c r="E233" s="253"/>
      <c r="F233" s="257" t="str">
        <f t="shared" si="34"/>
        <v/>
      </c>
      <c r="G233" s="257" t="str">
        <f t="shared" si="35"/>
        <v/>
      </c>
      <c r="H233" s="257" t="str">
        <f t="shared" si="36"/>
        <v/>
      </c>
    </row>
    <row r="234" spans="1:8" x14ac:dyDescent="0.25">
      <c r="A234" s="254" t="str">
        <f t="shared" ca="1" si="37"/>
        <v/>
      </c>
      <c r="B234" s="255"/>
      <c r="C234" s="256"/>
      <c r="D234" s="257" t="str">
        <f t="shared" si="33"/>
        <v/>
      </c>
      <c r="E234" s="253"/>
      <c r="F234" s="257" t="str">
        <f t="shared" si="34"/>
        <v/>
      </c>
      <c r="G234" s="257" t="str">
        <f t="shared" si="35"/>
        <v/>
      </c>
      <c r="H234" s="257" t="str">
        <f t="shared" si="36"/>
        <v/>
      </c>
    </row>
    <row r="235" spans="1:8" x14ac:dyDescent="0.25">
      <c r="A235" s="254" t="str">
        <f t="shared" ca="1" si="37"/>
        <v/>
      </c>
      <c r="B235" s="255"/>
      <c r="C235" s="256"/>
      <c r="D235" s="257" t="str">
        <f t="shared" si="33"/>
        <v/>
      </c>
      <c r="E235" s="253"/>
      <c r="F235" s="257" t="str">
        <f t="shared" si="34"/>
        <v/>
      </c>
      <c r="G235" s="257" t="str">
        <f t="shared" si="35"/>
        <v/>
      </c>
      <c r="H235" s="257" t="str">
        <f t="shared" si="36"/>
        <v/>
      </c>
    </row>
    <row r="236" spans="1:8" x14ac:dyDescent="0.25">
      <c r="A236" s="254" t="str">
        <f t="shared" ca="1" si="37"/>
        <v/>
      </c>
      <c r="B236" s="255"/>
      <c r="C236" s="256"/>
      <c r="D236" s="257" t="str">
        <f t="shared" si="33"/>
        <v/>
      </c>
      <c r="E236" s="253"/>
      <c r="F236" s="257" t="str">
        <f t="shared" si="34"/>
        <v/>
      </c>
      <c r="G236" s="257" t="str">
        <f t="shared" si="35"/>
        <v/>
      </c>
      <c r="H236" s="257" t="str">
        <f t="shared" si="36"/>
        <v/>
      </c>
    </row>
    <row r="237" spans="1:8" x14ac:dyDescent="0.25">
      <c r="A237" s="254" t="str">
        <f t="shared" ca="1" si="37"/>
        <v/>
      </c>
      <c r="B237" s="255"/>
      <c r="C237" s="256"/>
      <c r="D237" s="257" t="str">
        <f t="shared" si="33"/>
        <v/>
      </c>
      <c r="E237" s="253"/>
      <c r="F237" s="257" t="str">
        <f t="shared" si="34"/>
        <v/>
      </c>
      <c r="G237" s="257" t="str">
        <f t="shared" si="35"/>
        <v/>
      </c>
      <c r="H237" s="257" t="str">
        <f t="shared" si="36"/>
        <v/>
      </c>
    </row>
    <row r="238" spans="1:8" x14ac:dyDescent="0.25">
      <c r="A238" s="254" t="str">
        <f t="shared" ca="1" si="37"/>
        <v/>
      </c>
      <c r="B238" s="255"/>
      <c r="C238" s="256"/>
      <c r="D238" s="257" t="str">
        <f t="shared" si="33"/>
        <v/>
      </c>
      <c r="E238" s="253"/>
      <c r="F238" s="257" t="str">
        <f t="shared" si="34"/>
        <v/>
      </c>
      <c r="G238" s="257" t="str">
        <f t="shared" si="35"/>
        <v/>
      </c>
      <c r="H238" s="257" t="str">
        <f t="shared" si="36"/>
        <v/>
      </c>
    </row>
    <row r="239" spans="1:8" x14ac:dyDescent="0.25">
      <c r="A239" s="254" t="str">
        <f t="shared" ca="1" si="37"/>
        <v/>
      </c>
      <c r="B239" s="255"/>
      <c r="C239" s="256"/>
      <c r="D239" s="257" t="str">
        <f t="shared" si="33"/>
        <v/>
      </c>
      <c r="E239" s="253"/>
      <c r="F239" s="257" t="str">
        <f t="shared" si="34"/>
        <v/>
      </c>
      <c r="G239" s="257" t="str">
        <f t="shared" si="35"/>
        <v/>
      </c>
      <c r="H239" s="257" t="str">
        <f t="shared" si="36"/>
        <v/>
      </c>
    </row>
    <row r="240" spans="1:8" x14ac:dyDescent="0.25">
      <c r="A240" s="254" t="str">
        <f t="shared" ca="1" si="37"/>
        <v/>
      </c>
      <c r="B240" s="255"/>
      <c r="C240" s="256"/>
      <c r="D240" s="257" t="str">
        <f t="shared" si="33"/>
        <v/>
      </c>
      <c r="E240" s="253"/>
      <c r="F240" s="257" t="str">
        <f t="shared" si="34"/>
        <v/>
      </c>
      <c r="G240" s="257" t="str">
        <f t="shared" si="35"/>
        <v/>
      </c>
      <c r="H240" s="257" t="str">
        <f t="shared" si="36"/>
        <v/>
      </c>
    </row>
    <row r="241" spans="1:8" x14ac:dyDescent="0.25">
      <c r="A241" s="254" t="str">
        <f t="shared" ca="1" si="37"/>
        <v/>
      </c>
      <c r="B241" s="255"/>
      <c r="C241" s="256"/>
      <c r="D241" s="257" t="str">
        <f t="shared" si="33"/>
        <v/>
      </c>
      <c r="E241" s="253"/>
      <c r="F241" s="257" t="str">
        <f t="shared" si="34"/>
        <v/>
      </c>
      <c r="G241" s="257" t="str">
        <f t="shared" si="35"/>
        <v/>
      </c>
      <c r="H241" s="257" t="str">
        <f t="shared" si="36"/>
        <v/>
      </c>
    </row>
    <row r="242" spans="1:8" x14ac:dyDescent="0.25">
      <c r="A242" s="254" t="str">
        <f t="shared" ca="1" si="37"/>
        <v/>
      </c>
      <c r="B242" s="255"/>
      <c r="C242" s="256"/>
      <c r="D242" s="257" t="str">
        <f t="shared" si="33"/>
        <v/>
      </c>
      <c r="E242" s="253"/>
      <c r="F242" s="257" t="str">
        <f t="shared" si="34"/>
        <v/>
      </c>
      <c r="G242" s="257" t="str">
        <f t="shared" si="35"/>
        <v/>
      </c>
      <c r="H242" s="257" t="str">
        <f t="shared" si="36"/>
        <v/>
      </c>
    </row>
    <row r="243" spans="1:8" x14ac:dyDescent="0.25">
      <c r="A243" s="254" t="str">
        <f t="shared" ca="1" si="37"/>
        <v/>
      </c>
      <c r="B243" s="255"/>
      <c r="C243" s="256"/>
      <c r="D243" s="257" t="str">
        <f t="shared" si="33"/>
        <v/>
      </c>
      <c r="E243" s="253"/>
      <c r="F243" s="257" t="str">
        <f t="shared" si="34"/>
        <v/>
      </c>
      <c r="G243" s="257" t="str">
        <f t="shared" si="35"/>
        <v/>
      </c>
      <c r="H243" s="257" t="str">
        <f t="shared" si="36"/>
        <v/>
      </c>
    </row>
    <row r="244" spans="1:8" x14ac:dyDescent="0.25">
      <c r="A244" s="254" t="str">
        <f t="shared" ca="1" si="37"/>
        <v/>
      </c>
      <c r="B244" s="255"/>
      <c r="C244" s="256"/>
      <c r="D244" s="257" t="str">
        <f t="shared" si="33"/>
        <v/>
      </c>
      <c r="E244" s="253"/>
      <c r="F244" s="257" t="str">
        <f t="shared" si="34"/>
        <v/>
      </c>
      <c r="G244" s="257" t="str">
        <f t="shared" si="35"/>
        <v/>
      </c>
      <c r="H244" s="257" t="str">
        <f t="shared" si="36"/>
        <v/>
      </c>
    </row>
    <row r="245" spans="1:8" x14ac:dyDescent="0.25">
      <c r="A245" s="254" t="str">
        <f t="shared" ca="1" si="37"/>
        <v/>
      </c>
      <c r="B245" s="255"/>
      <c r="C245" s="256"/>
      <c r="D245" s="257" t="str">
        <f t="shared" si="33"/>
        <v/>
      </c>
      <c r="E245" s="253"/>
      <c r="F245" s="257" t="str">
        <f t="shared" si="34"/>
        <v/>
      </c>
      <c r="G245" s="257" t="str">
        <f t="shared" si="35"/>
        <v/>
      </c>
      <c r="H245" s="257" t="str">
        <f t="shared" si="36"/>
        <v/>
      </c>
    </row>
    <row r="246" spans="1:8" x14ac:dyDescent="0.25">
      <c r="A246" s="254" t="str">
        <f t="shared" ca="1" si="37"/>
        <v/>
      </c>
      <c r="B246" s="255"/>
      <c r="C246" s="256"/>
      <c r="D246" s="257" t="str">
        <f t="shared" si="33"/>
        <v/>
      </c>
      <c r="E246" s="253"/>
      <c r="F246" s="257" t="str">
        <f t="shared" si="34"/>
        <v/>
      </c>
      <c r="G246" s="257" t="str">
        <f t="shared" si="35"/>
        <v/>
      </c>
      <c r="H246" s="257" t="str">
        <f t="shared" si="36"/>
        <v/>
      </c>
    </row>
    <row r="247" spans="1:8" x14ac:dyDescent="0.25">
      <c r="A247" s="254" t="str">
        <f t="shared" ca="1" si="37"/>
        <v/>
      </c>
      <c r="B247" s="255"/>
      <c r="C247" s="256"/>
      <c r="D247" s="257" t="str">
        <f t="shared" si="33"/>
        <v/>
      </c>
      <c r="E247" s="253"/>
      <c r="F247" s="257" t="str">
        <f t="shared" si="34"/>
        <v/>
      </c>
      <c r="G247" s="257" t="str">
        <f t="shared" si="35"/>
        <v/>
      </c>
      <c r="H247" s="257" t="str">
        <f t="shared" si="36"/>
        <v/>
      </c>
    </row>
    <row r="248" spans="1:8" x14ac:dyDescent="0.25">
      <c r="A248" s="254" t="str">
        <f t="shared" ca="1" si="37"/>
        <v/>
      </c>
      <c r="B248" s="255"/>
      <c r="C248" s="256"/>
      <c r="D248" s="257" t="str">
        <f t="shared" si="33"/>
        <v/>
      </c>
      <c r="E248" s="253"/>
      <c r="F248" s="257" t="str">
        <f t="shared" si="34"/>
        <v/>
      </c>
      <c r="G248" s="257" t="str">
        <f t="shared" si="35"/>
        <v/>
      </c>
      <c r="H248" s="257" t="str">
        <f t="shared" si="36"/>
        <v/>
      </c>
    </row>
    <row r="249" spans="1:8" x14ac:dyDescent="0.25">
      <c r="A249" s="254" t="str">
        <f t="shared" ca="1" si="37"/>
        <v/>
      </c>
      <c r="B249" s="255"/>
      <c r="C249" s="256"/>
      <c r="D249" s="257" t="str">
        <f t="shared" si="33"/>
        <v/>
      </c>
      <c r="E249" s="253"/>
      <c r="F249" s="257" t="str">
        <f t="shared" si="34"/>
        <v/>
      </c>
      <c r="G249" s="257" t="str">
        <f t="shared" si="35"/>
        <v/>
      </c>
      <c r="H249" s="257" t="str">
        <f t="shared" si="36"/>
        <v/>
      </c>
    </row>
    <row r="250" spans="1:8" x14ac:dyDescent="0.25">
      <c r="A250" s="254" t="str">
        <f t="shared" ca="1" si="37"/>
        <v/>
      </c>
      <c r="B250" s="255"/>
      <c r="C250" s="256"/>
      <c r="D250" s="257" t="str">
        <f t="shared" si="33"/>
        <v/>
      </c>
      <c r="E250" s="253"/>
      <c r="F250" s="257" t="str">
        <f t="shared" si="34"/>
        <v/>
      </c>
      <c r="G250" s="257" t="str">
        <f t="shared" si="35"/>
        <v/>
      </c>
      <c r="H250" s="257" t="str">
        <f t="shared" si="36"/>
        <v/>
      </c>
    </row>
    <row r="251" spans="1:8" x14ac:dyDescent="0.25">
      <c r="A251" s="254" t="str">
        <f t="shared" ca="1" si="37"/>
        <v/>
      </c>
      <c r="B251" s="255"/>
      <c r="C251" s="256"/>
      <c r="D251" s="257" t="str">
        <f t="shared" si="33"/>
        <v/>
      </c>
      <c r="E251" s="253"/>
      <c r="F251" s="257" t="str">
        <f t="shared" si="34"/>
        <v/>
      </c>
      <c r="G251" s="257" t="str">
        <f t="shared" si="35"/>
        <v/>
      </c>
      <c r="H251" s="257" t="str">
        <f t="shared" si="36"/>
        <v/>
      </c>
    </row>
    <row r="252" spans="1:8" x14ac:dyDescent="0.25">
      <c r="A252" s="254" t="str">
        <f t="shared" ca="1" si="37"/>
        <v/>
      </c>
      <c r="B252" s="255"/>
      <c r="C252" s="256"/>
      <c r="D252" s="257" t="str">
        <f t="shared" si="33"/>
        <v/>
      </c>
      <c r="E252" s="253"/>
      <c r="F252" s="257" t="str">
        <f t="shared" si="34"/>
        <v/>
      </c>
      <c r="G252" s="257" t="str">
        <f t="shared" si="35"/>
        <v/>
      </c>
      <c r="H252" s="257" t="str">
        <f t="shared" si="36"/>
        <v/>
      </c>
    </row>
    <row r="253" spans="1:8" x14ac:dyDescent="0.25">
      <c r="A253" s="254" t="str">
        <f t="shared" ca="1" si="37"/>
        <v/>
      </c>
      <c r="B253" s="255"/>
      <c r="C253" s="256"/>
      <c r="D253" s="257" t="str">
        <f t="shared" si="33"/>
        <v/>
      </c>
      <c r="E253" s="253"/>
      <c r="F253" s="257" t="str">
        <f t="shared" si="34"/>
        <v/>
      </c>
      <c r="G253" s="257" t="str">
        <f t="shared" si="35"/>
        <v/>
      </c>
      <c r="H253" s="257" t="str">
        <f t="shared" si="36"/>
        <v/>
      </c>
    </row>
    <row r="254" spans="1:8" x14ac:dyDescent="0.25">
      <c r="A254" s="254" t="str">
        <f t="shared" ca="1" si="37"/>
        <v/>
      </c>
      <c r="B254" s="255"/>
      <c r="C254" s="256"/>
      <c r="D254" s="257" t="str">
        <f t="shared" si="33"/>
        <v/>
      </c>
      <c r="E254" s="253"/>
      <c r="F254" s="257" t="str">
        <f t="shared" si="34"/>
        <v/>
      </c>
      <c r="G254" s="257" t="str">
        <f t="shared" si="35"/>
        <v/>
      </c>
      <c r="H254" s="257" t="str">
        <f t="shared" si="36"/>
        <v/>
      </c>
    </row>
    <row r="255" spans="1:8" x14ac:dyDescent="0.25">
      <c r="A255" s="254" t="str">
        <f t="shared" ca="1" si="37"/>
        <v/>
      </c>
      <c r="B255" s="255"/>
      <c r="C255" s="256"/>
      <c r="D255" s="257" t="str">
        <f t="shared" si="33"/>
        <v/>
      </c>
      <c r="E255" s="253"/>
      <c r="F255" s="257" t="str">
        <f t="shared" si="34"/>
        <v/>
      </c>
      <c r="G255" s="257" t="str">
        <f t="shared" si="35"/>
        <v/>
      </c>
      <c r="H255" s="257" t="str">
        <f t="shared" si="36"/>
        <v/>
      </c>
    </row>
    <row r="256" spans="1:8" x14ac:dyDescent="0.25">
      <c r="A256" s="254" t="str">
        <f t="shared" ca="1" si="37"/>
        <v/>
      </c>
      <c r="B256" s="255"/>
      <c r="C256" s="256"/>
      <c r="D256" s="257" t="str">
        <f t="shared" si="33"/>
        <v/>
      </c>
      <c r="E256" s="253"/>
      <c r="F256" s="257" t="str">
        <f t="shared" si="34"/>
        <v/>
      </c>
      <c r="G256" s="257" t="str">
        <f t="shared" si="35"/>
        <v/>
      </c>
      <c r="H256" s="257" t="str">
        <f t="shared" si="36"/>
        <v/>
      </c>
    </row>
    <row r="257" spans="1:8" x14ac:dyDescent="0.25">
      <c r="A257" s="254" t="str">
        <f t="shared" ca="1" si="37"/>
        <v/>
      </c>
      <c r="B257" s="255"/>
      <c r="C257" s="256"/>
      <c r="D257" s="257" t="str">
        <f t="shared" si="33"/>
        <v/>
      </c>
      <c r="E257" s="253"/>
      <c r="F257" s="257" t="str">
        <f t="shared" si="34"/>
        <v/>
      </c>
      <c r="G257" s="257" t="str">
        <f t="shared" si="35"/>
        <v/>
      </c>
      <c r="H257" s="257" t="str">
        <f t="shared" si="36"/>
        <v/>
      </c>
    </row>
    <row r="258" spans="1:8" x14ac:dyDescent="0.25">
      <c r="A258" s="254" t="str">
        <f t="shared" ca="1" si="37"/>
        <v/>
      </c>
      <c r="B258" s="255"/>
      <c r="C258" s="256"/>
      <c r="D258" s="257" t="str">
        <f t="shared" si="33"/>
        <v/>
      </c>
      <c r="E258" s="253"/>
      <c r="F258" s="257" t="str">
        <f t="shared" si="34"/>
        <v/>
      </c>
      <c r="G258" s="257" t="str">
        <f t="shared" si="35"/>
        <v/>
      </c>
      <c r="H258" s="257" t="str">
        <f t="shared" si="36"/>
        <v/>
      </c>
    </row>
    <row r="259" spans="1:8" x14ac:dyDescent="0.25">
      <c r="A259" s="254" t="str">
        <f t="shared" ca="1" si="37"/>
        <v/>
      </c>
      <c r="B259" s="255"/>
      <c r="C259" s="256"/>
      <c r="D259" s="257" t="str">
        <f t="shared" si="33"/>
        <v/>
      </c>
      <c r="E259" s="253"/>
      <c r="F259" s="257" t="str">
        <f t="shared" si="34"/>
        <v/>
      </c>
      <c r="G259" s="257" t="str">
        <f t="shared" si="35"/>
        <v/>
      </c>
      <c r="H259" s="257" t="str">
        <f t="shared" si="36"/>
        <v/>
      </c>
    </row>
    <row r="260" spans="1:8" x14ac:dyDescent="0.25">
      <c r="A260" s="254" t="str">
        <f t="shared" ca="1" si="37"/>
        <v/>
      </c>
      <c r="B260" s="255"/>
      <c r="C260" s="256"/>
      <c r="D260" s="257" t="str">
        <f t="shared" si="33"/>
        <v/>
      </c>
      <c r="E260" s="253"/>
      <c r="F260" s="257" t="str">
        <f t="shared" si="34"/>
        <v/>
      </c>
      <c r="G260" s="257" t="str">
        <f t="shared" si="35"/>
        <v/>
      </c>
      <c r="H260" s="257" t="str">
        <f t="shared" si="36"/>
        <v/>
      </c>
    </row>
    <row r="261" spans="1:8" x14ac:dyDescent="0.25">
      <c r="A261" s="254" t="str">
        <f t="shared" ca="1" si="37"/>
        <v/>
      </c>
      <c r="B261" s="255"/>
      <c r="C261" s="256"/>
      <c r="D261" s="257" t="str">
        <f t="shared" si="33"/>
        <v/>
      </c>
      <c r="E261" s="253"/>
      <c r="F261" s="257" t="str">
        <f t="shared" si="34"/>
        <v/>
      </c>
      <c r="G261" s="257" t="str">
        <f t="shared" si="35"/>
        <v/>
      </c>
      <c r="H261" s="257" t="str">
        <f t="shared" si="36"/>
        <v/>
      </c>
    </row>
    <row r="262" spans="1:8" x14ac:dyDescent="0.25">
      <c r="A262" s="254" t="str">
        <f t="shared" ca="1" si="37"/>
        <v/>
      </c>
      <c r="B262" s="255"/>
      <c r="C262" s="256"/>
      <c r="D262" s="257" t="str">
        <f t="shared" si="33"/>
        <v/>
      </c>
      <c r="E262" s="253"/>
      <c r="F262" s="257" t="str">
        <f t="shared" si="34"/>
        <v/>
      </c>
      <c r="G262" s="257" t="str">
        <f t="shared" si="35"/>
        <v/>
      </c>
      <c r="H262" s="257" t="str">
        <f t="shared" si="36"/>
        <v/>
      </c>
    </row>
    <row r="263" spans="1:8" x14ac:dyDescent="0.25">
      <c r="A263" s="254" t="str">
        <f t="shared" ca="1" si="37"/>
        <v/>
      </c>
      <c r="B263" s="255"/>
      <c r="C263" s="256"/>
      <c r="D263" s="257" t="str">
        <f t="shared" si="33"/>
        <v/>
      </c>
      <c r="E263" s="253"/>
      <c r="F263" s="257" t="str">
        <f t="shared" si="34"/>
        <v/>
      </c>
      <c r="G263" s="257" t="str">
        <f t="shared" si="35"/>
        <v/>
      </c>
      <c r="H263" s="257" t="str">
        <f t="shared" si="36"/>
        <v/>
      </c>
    </row>
    <row r="264" spans="1:8" x14ac:dyDescent="0.25">
      <c r="A264" s="254" t="str">
        <f t="shared" ca="1" si="37"/>
        <v/>
      </c>
      <c r="B264" s="255"/>
      <c r="C264" s="256"/>
      <c r="D264" s="257" t="str">
        <f t="shared" si="33"/>
        <v/>
      </c>
      <c r="E264" s="253"/>
      <c r="F264" s="257" t="str">
        <f t="shared" si="34"/>
        <v/>
      </c>
      <c r="G264" s="257" t="str">
        <f t="shared" si="35"/>
        <v/>
      </c>
      <c r="H264" s="257" t="str">
        <f t="shared" si="36"/>
        <v/>
      </c>
    </row>
    <row r="265" spans="1:8" x14ac:dyDescent="0.25">
      <c r="A265" s="254" t="str">
        <f t="shared" ca="1" si="37"/>
        <v/>
      </c>
      <c r="B265" s="255"/>
      <c r="C265" s="256"/>
      <c r="D265" s="257" t="str">
        <f t="shared" si="33"/>
        <v/>
      </c>
      <c r="E265" s="253"/>
      <c r="F265" s="257" t="str">
        <f t="shared" si="34"/>
        <v/>
      </c>
      <c r="G265" s="257" t="str">
        <f t="shared" si="35"/>
        <v/>
      </c>
      <c r="H265" s="257" t="str">
        <f t="shared" si="36"/>
        <v/>
      </c>
    </row>
    <row r="266" spans="1:8" x14ac:dyDescent="0.25">
      <c r="A266" s="254" t="str">
        <f t="shared" ca="1" si="37"/>
        <v/>
      </c>
      <c r="B266" s="255"/>
      <c r="C266" s="256"/>
      <c r="D266" s="257" t="str">
        <f t="shared" si="33"/>
        <v/>
      </c>
      <c r="E266" s="253"/>
      <c r="F266" s="257" t="str">
        <f t="shared" si="34"/>
        <v/>
      </c>
      <c r="G266" s="257" t="str">
        <f t="shared" si="35"/>
        <v/>
      </c>
      <c r="H266" s="257" t="str">
        <f t="shared" si="36"/>
        <v/>
      </c>
    </row>
    <row r="267" spans="1:8" x14ac:dyDescent="0.25">
      <c r="A267" s="254" t="str">
        <f t="shared" ca="1" si="37"/>
        <v/>
      </c>
      <c r="B267" s="255"/>
      <c r="C267" s="256"/>
      <c r="D267" s="257" t="str">
        <f t="shared" si="33"/>
        <v/>
      </c>
      <c r="E267" s="253"/>
      <c r="F267" s="257" t="str">
        <f t="shared" si="34"/>
        <v/>
      </c>
      <c r="G267" s="257" t="str">
        <f t="shared" si="35"/>
        <v/>
      </c>
      <c r="H267" s="257" t="str">
        <f t="shared" si="36"/>
        <v/>
      </c>
    </row>
    <row r="268" spans="1:8" x14ac:dyDescent="0.25">
      <c r="A268" s="254" t="str">
        <f t="shared" ca="1" si="37"/>
        <v/>
      </c>
      <c r="B268" s="255"/>
      <c r="C268" s="256"/>
      <c r="D268" s="257" t="str">
        <f t="shared" si="33"/>
        <v/>
      </c>
      <c r="E268" s="253"/>
      <c r="F268" s="257" t="str">
        <f t="shared" si="34"/>
        <v/>
      </c>
      <c r="G268" s="257" t="str">
        <f t="shared" si="35"/>
        <v/>
      </c>
      <c r="H268" s="257" t="str">
        <f t="shared" si="36"/>
        <v/>
      </c>
    </row>
    <row r="269" spans="1:8" x14ac:dyDescent="0.25">
      <c r="A269" s="254" t="str">
        <f t="shared" ca="1" si="37"/>
        <v/>
      </c>
      <c r="B269" s="255"/>
      <c r="C269" s="256"/>
      <c r="D269" s="257" t="str">
        <f t="shared" si="33"/>
        <v/>
      </c>
      <c r="E269" s="253"/>
      <c r="F269" s="257" t="str">
        <f t="shared" si="34"/>
        <v/>
      </c>
      <c r="G269" s="257" t="str">
        <f t="shared" si="35"/>
        <v/>
      </c>
      <c r="H269" s="257" t="str">
        <f t="shared" si="36"/>
        <v/>
      </c>
    </row>
    <row r="270" spans="1:8" x14ac:dyDescent="0.25">
      <c r="A270" s="254" t="str">
        <f t="shared" ca="1" si="37"/>
        <v/>
      </c>
      <c r="B270" s="255"/>
      <c r="C270" s="256"/>
      <c r="D270" s="257" t="str">
        <f t="shared" si="33"/>
        <v/>
      </c>
      <c r="E270" s="253"/>
      <c r="F270" s="257" t="str">
        <f t="shared" si="34"/>
        <v/>
      </c>
      <c r="G270" s="257" t="str">
        <f t="shared" si="35"/>
        <v/>
      </c>
      <c r="H270" s="257" t="str">
        <f t="shared" si="36"/>
        <v/>
      </c>
    </row>
    <row r="271" spans="1:8" x14ac:dyDescent="0.25">
      <c r="A271" s="254" t="str">
        <f t="shared" ca="1" si="37"/>
        <v/>
      </c>
      <c r="B271" s="255"/>
      <c r="C271" s="256"/>
      <c r="D271" s="257" t="str">
        <f t="shared" si="33"/>
        <v/>
      </c>
      <c r="E271" s="253"/>
      <c r="F271" s="257" t="str">
        <f t="shared" si="34"/>
        <v/>
      </c>
      <c r="G271" s="257" t="str">
        <f t="shared" si="35"/>
        <v/>
      </c>
      <c r="H271" s="257" t="str">
        <f t="shared" si="36"/>
        <v/>
      </c>
    </row>
    <row r="272" spans="1:8" x14ac:dyDescent="0.25">
      <c r="A272" s="254" t="str">
        <f t="shared" ca="1" si="37"/>
        <v/>
      </c>
      <c r="B272" s="255"/>
      <c r="C272" s="256"/>
      <c r="D272" s="257" t="str">
        <f t="shared" si="33"/>
        <v/>
      </c>
      <c r="E272" s="253"/>
      <c r="F272" s="257" t="str">
        <f t="shared" si="34"/>
        <v/>
      </c>
      <c r="G272" s="257" t="str">
        <f t="shared" si="35"/>
        <v/>
      </c>
      <c r="H272" s="257" t="str">
        <f t="shared" si="36"/>
        <v/>
      </c>
    </row>
    <row r="273" spans="1:8" x14ac:dyDescent="0.25">
      <c r="A273" s="254" t="str">
        <f t="shared" ca="1" si="37"/>
        <v/>
      </c>
      <c r="B273" s="255"/>
      <c r="C273" s="256"/>
      <c r="D273" s="257" t="str">
        <f t="shared" si="33"/>
        <v/>
      </c>
      <c r="E273" s="253"/>
      <c r="F273" s="257" t="str">
        <f t="shared" si="34"/>
        <v/>
      </c>
      <c r="G273" s="257" t="str">
        <f t="shared" si="35"/>
        <v/>
      </c>
      <c r="H273" s="257" t="str">
        <f t="shared" si="36"/>
        <v/>
      </c>
    </row>
    <row r="274" spans="1:8" x14ac:dyDescent="0.25">
      <c r="A274" s="254" t="str">
        <f t="shared" ca="1" si="37"/>
        <v/>
      </c>
      <c r="B274" s="255"/>
      <c r="C274" s="256"/>
      <c r="D274" s="257" t="str">
        <f t="shared" si="33"/>
        <v/>
      </c>
      <c r="E274" s="253"/>
      <c r="F274" s="257" t="str">
        <f t="shared" si="34"/>
        <v/>
      </c>
      <c r="G274" s="257" t="str">
        <f t="shared" si="35"/>
        <v/>
      </c>
      <c r="H274" s="257" t="str">
        <f t="shared" si="36"/>
        <v/>
      </c>
    </row>
    <row r="275" spans="1:8" x14ac:dyDescent="0.25">
      <c r="A275" s="254" t="str">
        <f t="shared" ca="1" si="37"/>
        <v/>
      </c>
      <c r="B275" s="255"/>
      <c r="C275" s="256"/>
      <c r="D275" s="257" t="str">
        <f t="shared" ref="D275:D338" si="38">IF(B275="","",ROUND((B275-B274)*$H$9*G274,2))</f>
        <v/>
      </c>
      <c r="E275" s="253"/>
      <c r="F275" s="257" t="str">
        <f t="shared" ref="F275:F338" si="39">IF(B275="","",IF(C275&gt;F274+D275,0,F274+D275-C275))</f>
        <v/>
      </c>
      <c r="G275" s="257" t="str">
        <f t="shared" ref="G275:G338" si="40">IF(B275="","",IF(C275&gt;D275+F274,G274+F274+D275-C275,G274))</f>
        <v/>
      </c>
      <c r="H275" s="257" t="str">
        <f t="shared" ref="H275:H338" si="41">IF(B275="","",G275+F275)</f>
        <v/>
      </c>
    </row>
    <row r="276" spans="1:8" x14ac:dyDescent="0.25">
      <c r="A276" s="254" t="str">
        <f t="shared" ca="1" si="37"/>
        <v/>
      </c>
      <c r="B276" s="255"/>
      <c r="C276" s="256"/>
      <c r="D276" s="257" t="str">
        <f t="shared" si="38"/>
        <v/>
      </c>
      <c r="E276" s="253"/>
      <c r="F276" s="257" t="str">
        <f t="shared" si="39"/>
        <v/>
      </c>
      <c r="G276" s="257" t="str">
        <f t="shared" si="40"/>
        <v/>
      </c>
      <c r="H276" s="257" t="str">
        <f t="shared" si="41"/>
        <v/>
      </c>
    </row>
    <row r="277" spans="1:8" x14ac:dyDescent="0.25">
      <c r="A277" s="254" t="str">
        <f t="shared" ca="1" si="37"/>
        <v/>
      </c>
      <c r="B277" s="255"/>
      <c r="C277" s="256"/>
      <c r="D277" s="257" t="str">
        <f t="shared" si="38"/>
        <v/>
      </c>
      <c r="E277" s="253"/>
      <c r="F277" s="257" t="str">
        <f t="shared" si="39"/>
        <v/>
      </c>
      <c r="G277" s="257" t="str">
        <f t="shared" si="40"/>
        <v/>
      </c>
      <c r="H277" s="257" t="str">
        <f t="shared" si="41"/>
        <v/>
      </c>
    </row>
    <row r="278" spans="1:8" x14ac:dyDescent="0.25">
      <c r="A278" s="254" t="str">
        <f t="shared" ca="1" si="37"/>
        <v/>
      </c>
      <c r="B278" s="255"/>
      <c r="C278" s="256"/>
      <c r="D278" s="257" t="str">
        <f t="shared" si="38"/>
        <v/>
      </c>
      <c r="E278" s="253"/>
      <c r="F278" s="257" t="str">
        <f t="shared" si="39"/>
        <v/>
      </c>
      <c r="G278" s="257" t="str">
        <f t="shared" si="40"/>
        <v/>
      </c>
      <c r="H278" s="257" t="str">
        <f t="shared" si="41"/>
        <v/>
      </c>
    </row>
    <row r="279" spans="1:8" x14ac:dyDescent="0.25">
      <c r="A279" s="254" t="str">
        <f t="shared" ca="1" si="37"/>
        <v/>
      </c>
      <c r="B279" s="255"/>
      <c r="C279" s="256"/>
      <c r="D279" s="257" t="str">
        <f t="shared" si="38"/>
        <v/>
      </c>
      <c r="E279" s="253"/>
      <c r="F279" s="257" t="str">
        <f t="shared" si="39"/>
        <v/>
      </c>
      <c r="G279" s="257" t="str">
        <f t="shared" si="40"/>
        <v/>
      </c>
      <c r="H279" s="257" t="str">
        <f t="shared" si="41"/>
        <v/>
      </c>
    </row>
    <row r="280" spans="1:8" x14ac:dyDescent="0.25">
      <c r="A280" s="254" t="str">
        <f t="shared" ca="1" si="37"/>
        <v/>
      </c>
      <c r="B280" s="255"/>
      <c r="C280" s="256"/>
      <c r="D280" s="257" t="str">
        <f t="shared" si="38"/>
        <v/>
      </c>
      <c r="E280" s="253"/>
      <c r="F280" s="257" t="str">
        <f t="shared" si="39"/>
        <v/>
      </c>
      <c r="G280" s="257" t="str">
        <f t="shared" si="40"/>
        <v/>
      </c>
      <c r="H280" s="257" t="str">
        <f t="shared" si="41"/>
        <v/>
      </c>
    </row>
    <row r="281" spans="1:8" x14ac:dyDescent="0.25">
      <c r="A281" s="254" t="str">
        <f t="shared" ca="1" si="37"/>
        <v/>
      </c>
      <c r="B281" s="255"/>
      <c r="C281" s="256"/>
      <c r="D281" s="257" t="str">
        <f t="shared" si="38"/>
        <v/>
      </c>
      <c r="E281" s="253"/>
      <c r="F281" s="257" t="str">
        <f t="shared" si="39"/>
        <v/>
      </c>
      <c r="G281" s="257" t="str">
        <f t="shared" si="40"/>
        <v/>
      </c>
      <c r="H281" s="257" t="str">
        <f t="shared" si="41"/>
        <v/>
      </c>
    </row>
    <row r="282" spans="1:8" x14ac:dyDescent="0.25">
      <c r="A282" s="254" t="str">
        <f t="shared" ca="1" si="37"/>
        <v/>
      </c>
      <c r="B282" s="255"/>
      <c r="C282" s="256"/>
      <c r="D282" s="257" t="str">
        <f t="shared" si="38"/>
        <v/>
      </c>
      <c r="E282" s="253"/>
      <c r="F282" s="257" t="str">
        <f t="shared" si="39"/>
        <v/>
      </c>
      <c r="G282" s="257" t="str">
        <f t="shared" si="40"/>
        <v/>
      </c>
      <c r="H282" s="257" t="str">
        <f t="shared" si="41"/>
        <v/>
      </c>
    </row>
    <row r="283" spans="1:8" x14ac:dyDescent="0.25">
      <c r="A283" s="254" t="str">
        <f t="shared" ca="1" si="37"/>
        <v/>
      </c>
      <c r="B283" s="255"/>
      <c r="C283" s="256"/>
      <c r="D283" s="257" t="str">
        <f t="shared" si="38"/>
        <v/>
      </c>
      <c r="E283" s="253"/>
      <c r="F283" s="257" t="str">
        <f t="shared" si="39"/>
        <v/>
      </c>
      <c r="G283" s="257" t="str">
        <f t="shared" si="40"/>
        <v/>
      </c>
      <c r="H283" s="257" t="str">
        <f t="shared" si="41"/>
        <v/>
      </c>
    </row>
    <row r="284" spans="1:8" x14ac:dyDescent="0.25">
      <c r="A284" s="254" t="str">
        <f t="shared" ca="1" si="37"/>
        <v/>
      </c>
      <c r="B284" s="255"/>
      <c r="C284" s="256"/>
      <c r="D284" s="257" t="str">
        <f t="shared" si="38"/>
        <v/>
      </c>
      <c r="E284" s="253"/>
      <c r="F284" s="257" t="str">
        <f t="shared" si="39"/>
        <v/>
      </c>
      <c r="G284" s="257" t="str">
        <f t="shared" si="40"/>
        <v/>
      </c>
      <c r="H284" s="257" t="str">
        <f t="shared" si="41"/>
        <v/>
      </c>
    </row>
    <row r="285" spans="1:8" x14ac:dyDescent="0.25">
      <c r="A285" s="254" t="str">
        <f t="shared" ca="1" si="37"/>
        <v/>
      </c>
      <c r="B285" s="255"/>
      <c r="C285" s="256"/>
      <c r="D285" s="257" t="str">
        <f t="shared" si="38"/>
        <v/>
      </c>
      <c r="E285" s="253"/>
      <c r="F285" s="257" t="str">
        <f t="shared" si="39"/>
        <v/>
      </c>
      <c r="G285" s="257" t="str">
        <f t="shared" si="40"/>
        <v/>
      </c>
      <c r="H285" s="257" t="str">
        <f t="shared" si="41"/>
        <v/>
      </c>
    </row>
    <row r="286" spans="1:8" x14ac:dyDescent="0.25">
      <c r="A286" s="254" t="str">
        <f t="shared" ca="1" si="37"/>
        <v/>
      </c>
      <c r="B286" s="255"/>
      <c r="C286" s="256"/>
      <c r="D286" s="257" t="str">
        <f t="shared" si="38"/>
        <v/>
      </c>
      <c r="E286" s="253"/>
      <c r="F286" s="257" t="str">
        <f t="shared" si="39"/>
        <v/>
      </c>
      <c r="G286" s="257" t="str">
        <f t="shared" si="40"/>
        <v/>
      </c>
      <c r="H286" s="257" t="str">
        <f t="shared" si="41"/>
        <v/>
      </c>
    </row>
    <row r="287" spans="1:8" x14ac:dyDescent="0.25">
      <c r="A287" s="254" t="str">
        <f t="shared" ca="1" si="37"/>
        <v/>
      </c>
      <c r="B287" s="255"/>
      <c r="C287" s="256"/>
      <c r="D287" s="257" t="str">
        <f t="shared" si="38"/>
        <v/>
      </c>
      <c r="E287" s="253"/>
      <c r="F287" s="257" t="str">
        <f t="shared" si="39"/>
        <v/>
      </c>
      <c r="G287" s="257" t="str">
        <f t="shared" si="40"/>
        <v/>
      </c>
      <c r="H287" s="257" t="str">
        <f t="shared" si="41"/>
        <v/>
      </c>
    </row>
    <row r="288" spans="1:8" x14ac:dyDescent="0.25">
      <c r="A288" s="254" t="str">
        <f t="shared" ca="1" si="37"/>
        <v/>
      </c>
      <c r="B288" s="255"/>
      <c r="C288" s="256"/>
      <c r="D288" s="257" t="str">
        <f t="shared" si="38"/>
        <v/>
      </c>
      <c r="E288" s="253"/>
      <c r="F288" s="257" t="str">
        <f t="shared" si="39"/>
        <v/>
      </c>
      <c r="G288" s="257" t="str">
        <f t="shared" si="40"/>
        <v/>
      </c>
      <c r="H288" s="257" t="str">
        <f t="shared" si="41"/>
        <v/>
      </c>
    </row>
    <row r="289" spans="1:8" x14ac:dyDescent="0.25">
      <c r="A289" s="254" t="str">
        <f t="shared" ca="1" si="37"/>
        <v/>
      </c>
      <c r="B289" s="255"/>
      <c r="C289" s="256"/>
      <c r="D289" s="257" t="str">
        <f t="shared" si="38"/>
        <v/>
      </c>
      <c r="E289" s="253"/>
      <c r="F289" s="257" t="str">
        <f t="shared" si="39"/>
        <v/>
      </c>
      <c r="G289" s="257" t="str">
        <f t="shared" si="40"/>
        <v/>
      </c>
      <c r="H289" s="257" t="str">
        <f t="shared" si="41"/>
        <v/>
      </c>
    </row>
    <row r="290" spans="1:8" x14ac:dyDescent="0.25">
      <c r="A290" s="254" t="str">
        <f t="shared" ca="1" si="37"/>
        <v/>
      </c>
      <c r="B290" s="255"/>
      <c r="C290" s="256"/>
      <c r="D290" s="257" t="str">
        <f t="shared" si="38"/>
        <v/>
      </c>
      <c r="E290" s="253"/>
      <c r="F290" s="257" t="str">
        <f t="shared" si="39"/>
        <v/>
      </c>
      <c r="G290" s="257" t="str">
        <f t="shared" si="40"/>
        <v/>
      </c>
      <c r="H290" s="257" t="str">
        <f t="shared" si="41"/>
        <v/>
      </c>
    </row>
    <row r="291" spans="1:8" x14ac:dyDescent="0.25">
      <c r="A291" s="254" t="str">
        <f t="shared" ca="1" si="37"/>
        <v/>
      </c>
      <c r="B291" s="255"/>
      <c r="C291" s="256"/>
      <c r="D291" s="257" t="str">
        <f t="shared" si="38"/>
        <v/>
      </c>
      <c r="E291" s="253"/>
      <c r="F291" s="257" t="str">
        <f t="shared" si="39"/>
        <v/>
      </c>
      <c r="G291" s="257" t="str">
        <f t="shared" si="40"/>
        <v/>
      </c>
      <c r="H291" s="257" t="str">
        <f t="shared" si="41"/>
        <v/>
      </c>
    </row>
    <row r="292" spans="1:8" x14ac:dyDescent="0.25">
      <c r="A292" s="254" t="str">
        <f t="shared" ca="1" si="37"/>
        <v/>
      </c>
      <c r="B292" s="255"/>
      <c r="C292" s="256"/>
      <c r="D292" s="257" t="str">
        <f t="shared" si="38"/>
        <v/>
      </c>
      <c r="E292" s="253"/>
      <c r="F292" s="257" t="str">
        <f t="shared" si="39"/>
        <v/>
      </c>
      <c r="G292" s="257" t="str">
        <f t="shared" si="40"/>
        <v/>
      </c>
      <c r="H292" s="257" t="str">
        <f t="shared" si="41"/>
        <v/>
      </c>
    </row>
    <row r="293" spans="1:8" x14ac:dyDescent="0.25">
      <c r="A293" s="254" t="str">
        <f t="shared" ca="1" si="37"/>
        <v/>
      </c>
      <c r="B293" s="255"/>
      <c r="C293" s="256"/>
      <c r="D293" s="257" t="str">
        <f t="shared" si="38"/>
        <v/>
      </c>
      <c r="E293" s="253"/>
      <c r="F293" s="257" t="str">
        <f t="shared" si="39"/>
        <v/>
      </c>
      <c r="G293" s="257" t="str">
        <f t="shared" si="40"/>
        <v/>
      </c>
      <c r="H293" s="257" t="str">
        <f t="shared" si="41"/>
        <v/>
      </c>
    </row>
    <row r="294" spans="1:8" x14ac:dyDescent="0.25">
      <c r="A294" s="254" t="str">
        <f t="shared" ca="1" si="37"/>
        <v/>
      </c>
      <c r="B294" s="255"/>
      <c r="C294" s="256"/>
      <c r="D294" s="257" t="str">
        <f t="shared" si="38"/>
        <v/>
      </c>
      <c r="E294" s="253"/>
      <c r="F294" s="257" t="str">
        <f t="shared" si="39"/>
        <v/>
      </c>
      <c r="G294" s="257" t="str">
        <f t="shared" si="40"/>
        <v/>
      </c>
      <c r="H294" s="257" t="str">
        <f t="shared" si="41"/>
        <v/>
      </c>
    </row>
    <row r="295" spans="1:8" x14ac:dyDescent="0.25">
      <c r="A295" s="254" t="str">
        <f t="shared" ca="1" si="37"/>
        <v/>
      </c>
      <c r="B295" s="255"/>
      <c r="C295" s="256"/>
      <c r="D295" s="257" t="str">
        <f t="shared" si="38"/>
        <v/>
      </c>
      <c r="E295" s="253"/>
      <c r="F295" s="257" t="str">
        <f t="shared" si="39"/>
        <v/>
      </c>
      <c r="G295" s="257" t="str">
        <f t="shared" si="40"/>
        <v/>
      </c>
      <c r="H295" s="257" t="str">
        <f t="shared" si="41"/>
        <v/>
      </c>
    </row>
    <row r="296" spans="1:8" x14ac:dyDescent="0.25">
      <c r="A296" s="254" t="str">
        <f t="shared" ca="1" si="37"/>
        <v/>
      </c>
      <c r="B296" s="255"/>
      <c r="C296" s="256"/>
      <c r="D296" s="257" t="str">
        <f t="shared" si="38"/>
        <v/>
      </c>
      <c r="E296" s="253"/>
      <c r="F296" s="257" t="str">
        <f t="shared" si="39"/>
        <v/>
      </c>
      <c r="G296" s="257" t="str">
        <f t="shared" si="40"/>
        <v/>
      </c>
      <c r="H296" s="257" t="str">
        <f t="shared" si="41"/>
        <v/>
      </c>
    </row>
    <row r="297" spans="1:8" x14ac:dyDescent="0.25">
      <c r="A297" s="254" t="str">
        <f t="shared" ref="A297:A360" ca="1" si="42">IF(OR(H296&lt;=0,H296=""),"",OFFSET(A297,-1,0,1,1)+1)</f>
        <v/>
      </c>
      <c r="B297" s="255"/>
      <c r="C297" s="256"/>
      <c r="D297" s="257" t="str">
        <f t="shared" si="38"/>
        <v/>
      </c>
      <c r="E297" s="253"/>
      <c r="F297" s="257" t="str">
        <f t="shared" si="39"/>
        <v/>
      </c>
      <c r="G297" s="257" t="str">
        <f t="shared" si="40"/>
        <v/>
      </c>
      <c r="H297" s="257" t="str">
        <f t="shared" si="41"/>
        <v/>
      </c>
    </row>
    <row r="298" spans="1:8" x14ac:dyDescent="0.25">
      <c r="A298" s="254" t="str">
        <f t="shared" ca="1" si="42"/>
        <v/>
      </c>
      <c r="B298" s="255"/>
      <c r="C298" s="256"/>
      <c r="D298" s="257" t="str">
        <f t="shared" si="38"/>
        <v/>
      </c>
      <c r="E298" s="253"/>
      <c r="F298" s="257" t="str">
        <f t="shared" si="39"/>
        <v/>
      </c>
      <c r="G298" s="257" t="str">
        <f t="shared" si="40"/>
        <v/>
      </c>
      <c r="H298" s="257" t="str">
        <f t="shared" si="41"/>
        <v/>
      </c>
    </row>
    <row r="299" spans="1:8" x14ac:dyDescent="0.25">
      <c r="A299" s="254" t="str">
        <f t="shared" ca="1" si="42"/>
        <v/>
      </c>
      <c r="B299" s="255"/>
      <c r="C299" s="256"/>
      <c r="D299" s="257" t="str">
        <f t="shared" si="38"/>
        <v/>
      </c>
      <c r="E299" s="253"/>
      <c r="F299" s="257" t="str">
        <f t="shared" si="39"/>
        <v/>
      </c>
      <c r="G299" s="257" t="str">
        <f t="shared" si="40"/>
        <v/>
      </c>
      <c r="H299" s="257" t="str">
        <f t="shared" si="41"/>
        <v/>
      </c>
    </row>
    <row r="300" spans="1:8" x14ac:dyDescent="0.25">
      <c r="A300" s="254" t="str">
        <f t="shared" ca="1" si="42"/>
        <v/>
      </c>
      <c r="B300" s="255"/>
      <c r="C300" s="256"/>
      <c r="D300" s="257" t="str">
        <f t="shared" si="38"/>
        <v/>
      </c>
      <c r="E300" s="253"/>
      <c r="F300" s="257" t="str">
        <f t="shared" si="39"/>
        <v/>
      </c>
      <c r="G300" s="257" t="str">
        <f t="shared" si="40"/>
        <v/>
      </c>
      <c r="H300" s="257" t="str">
        <f t="shared" si="41"/>
        <v/>
      </c>
    </row>
    <row r="301" spans="1:8" x14ac:dyDescent="0.25">
      <c r="A301" s="254" t="str">
        <f t="shared" ca="1" si="42"/>
        <v/>
      </c>
      <c r="B301" s="255"/>
      <c r="C301" s="256"/>
      <c r="D301" s="257" t="str">
        <f t="shared" si="38"/>
        <v/>
      </c>
      <c r="E301" s="253"/>
      <c r="F301" s="257" t="str">
        <f t="shared" si="39"/>
        <v/>
      </c>
      <c r="G301" s="257" t="str">
        <f t="shared" si="40"/>
        <v/>
      </c>
      <c r="H301" s="257" t="str">
        <f t="shared" si="41"/>
        <v/>
      </c>
    </row>
    <row r="302" spans="1:8" x14ac:dyDescent="0.25">
      <c r="A302" s="254" t="str">
        <f t="shared" ca="1" si="42"/>
        <v/>
      </c>
      <c r="B302" s="255"/>
      <c r="C302" s="256"/>
      <c r="D302" s="257" t="str">
        <f t="shared" si="38"/>
        <v/>
      </c>
      <c r="E302" s="253"/>
      <c r="F302" s="257" t="str">
        <f t="shared" si="39"/>
        <v/>
      </c>
      <c r="G302" s="257" t="str">
        <f t="shared" si="40"/>
        <v/>
      </c>
      <c r="H302" s="257" t="str">
        <f t="shared" si="41"/>
        <v/>
      </c>
    </row>
    <row r="303" spans="1:8" x14ac:dyDescent="0.25">
      <c r="A303" s="254" t="str">
        <f t="shared" ca="1" si="42"/>
        <v/>
      </c>
      <c r="B303" s="255"/>
      <c r="C303" s="256"/>
      <c r="D303" s="257" t="str">
        <f t="shared" si="38"/>
        <v/>
      </c>
      <c r="E303" s="253"/>
      <c r="F303" s="257" t="str">
        <f t="shared" si="39"/>
        <v/>
      </c>
      <c r="G303" s="257" t="str">
        <f t="shared" si="40"/>
        <v/>
      </c>
      <c r="H303" s="257" t="str">
        <f t="shared" si="41"/>
        <v/>
      </c>
    </row>
    <row r="304" spans="1:8" x14ac:dyDescent="0.25">
      <c r="A304" s="254" t="str">
        <f t="shared" ca="1" si="42"/>
        <v/>
      </c>
      <c r="B304" s="255"/>
      <c r="C304" s="256"/>
      <c r="D304" s="257" t="str">
        <f t="shared" si="38"/>
        <v/>
      </c>
      <c r="E304" s="253"/>
      <c r="F304" s="257" t="str">
        <f t="shared" si="39"/>
        <v/>
      </c>
      <c r="G304" s="257" t="str">
        <f t="shared" si="40"/>
        <v/>
      </c>
      <c r="H304" s="257" t="str">
        <f t="shared" si="41"/>
        <v/>
      </c>
    </row>
    <row r="305" spans="1:8" x14ac:dyDescent="0.25">
      <c r="A305" s="254" t="str">
        <f t="shared" ca="1" si="42"/>
        <v/>
      </c>
      <c r="B305" s="255"/>
      <c r="C305" s="256"/>
      <c r="D305" s="257" t="str">
        <f t="shared" si="38"/>
        <v/>
      </c>
      <c r="E305" s="253"/>
      <c r="F305" s="257" t="str">
        <f t="shared" si="39"/>
        <v/>
      </c>
      <c r="G305" s="257" t="str">
        <f t="shared" si="40"/>
        <v/>
      </c>
      <c r="H305" s="257" t="str">
        <f t="shared" si="41"/>
        <v/>
      </c>
    </row>
    <row r="306" spans="1:8" x14ac:dyDescent="0.25">
      <c r="A306" s="254" t="str">
        <f t="shared" ca="1" si="42"/>
        <v/>
      </c>
      <c r="B306" s="255"/>
      <c r="C306" s="256"/>
      <c r="D306" s="257" t="str">
        <f t="shared" si="38"/>
        <v/>
      </c>
      <c r="E306" s="253"/>
      <c r="F306" s="257" t="str">
        <f t="shared" si="39"/>
        <v/>
      </c>
      <c r="G306" s="257" t="str">
        <f t="shared" si="40"/>
        <v/>
      </c>
      <c r="H306" s="257" t="str">
        <f t="shared" si="41"/>
        <v/>
      </c>
    </row>
    <row r="307" spans="1:8" x14ac:dyDescent="0.25">
      <c r="A307" s="254" t="str">
        <f t="shared" ca="1" si="42"/>
        <v/>
      </c>
      <c r="B307" s="255"/>
      <c r="C307" s="256"/>
      <c r="D307" s="257" t="str">
        <f t="shared" si="38"/>
        <v/>
      </c>
      <c r="E307" s="253"/>
      <c r="F307" s="257" t="str">
        <f t="shared" si="39"/>
        <v/>
      </c>
      <c r="G307" s="257" t="str">
        <f t="shared" si="40"/>
        <v/>
      </c>
      <c r="H307" s="257" t="str">
        <f t="shared" si="41"/>
        <v/>
      </c>
    </row>
    <row r="308" spans="1:8" x14ac:dyDescent="0.25">
      <c r="A308" s="254" t="str">
        <f t="shared" ca="1" si="42"/>
        <v/>
      </c>
      <c r="B308" s="255"/>
      <c r="C308" s="256"/>
      <c r="D308" s="257" t="str">
        <f t="shared" si="38"/>
        <v/>
      </c>
      <c r="E308" s="253"/>
      <c r="F308" s="257" t="str">
        <f t="shared" si="39"/>
        <v/>
      </c>
      <c r="G308" s="257" t="str">
        <f t="shared" si="40"/>
        <v/>
      </c>
      <c r="H308" s="257" t="str">
        <f t="shared" si="41"/>
        <v/>
      </c>
    </row>
    <row r="309" spans="1:8" x14ac:dyDescent="0.25">
      <c r="A309" s="254" t="str">
        <f t="shared" ca="1" si="42"/>
        <v/>
      </c>
      <c r="B309" s="255"/>
      <c r="C309" s="256"/>
      <c r="D309" s="257" t="str">
        <f t="shared" si="38"/>
        <v/>
      </c>
      <c r="E309" s="253"/>
      <c r="F309" s="257" t="str">
        <f t="shared" si="39"/>
        <v/>
      </c>
      <c r="G309" s="257" t="str">
        <f t="shared" si="40"/>
        <v/>
      </c>
      <c r="H309" s="257" t="str">
        <f t="shared" si="41"/>
        <v/>
      </c>
    </row>
    <row r="310" spans="1:8" x14ac:dyDescent="0.25">
      <c r="A310" s="254" t="str">
        <f t="shared" ca="1" si="42"/>
        <v/>
      </c>
      <c r="B310" s="255"/>
      <c r="C310" s="256"/>
      <c r="D310" s="257" t="str">
        <f t="shared" si="38"/>
        <v/>
      </c>
      <c r="E310" s="253"/>
      <c r="F310" s="257" t="str">
        <f t="shared" si="39"/>
        <v/>
      </c>
      <c r="G310" s="257" t="str">
        <f t="shared" si="40"/>
        <v/>
      </c>
      <c r="H310" s="257" t="str">
        <f t="shared" si="41"/>
        <v/>
      </c>
    </row>
    <row r="311" spans="1:8" x14ac:dyDescent="0.25">
      <c r="A311" s="254" t="str">
        <f t="shared" ca="1" si="42"/>
        <v/>
      </c>
      <c r="B311" s="255"/>
      <c r="C311" s="256"/>
      <c r="D311" s="257" t="str">
        <f t="shared" si="38"/>
        <v/>
      </c>
      <c r="E311" s="253"/>
      <c r="F311" s="257" t="str">
        <f t="shared" si="39"/>
        <v/>
      </c>
      <c r="G311" s="257" t="str">
        <f t="shared" si="40"/>
        <v/>
      </c>
      <c r="H311" s="257" t="str">
        <f t="shared" si="41"/>
        <v/>
      </c>
    </row>
    <row r="312" spans="1:8" x14ac:dyDescent="0.25">
      <c r="A312" s="254" t="str">
        <f t="shared" ca="1" si="42"/>
        <v/>
      </c>
      <c r="B312" s="255"/>
      <c r="C312" s="256"/>
      <c r="D312" s="257" t="str">
        <f t="shared" si="38"/>
        <v/>
      </c>
      <c r="E312" s="253"/>
      <c r="F312" s="257" t="str">
        <f t="shared" si="39"/>
        <v/>
      </c>
      <c r="G312" s="257" t="str">
        <f t="shared" si="40"/>
        <v/>
      </c>
      <c r="H312" s="257" t="str">
        <f t="shared" si="41"/>
        <v/>
      </c>
    </row>
    <row r="313" spans="1:8" x14ac:dyDescent="0.25">
      <c r="A313" s="254" t="str">
        <f t="shared" ca="1" si="42"/>
        <v/>
      </c>
      <c r="B313" s="255"/>
      <c r="C313" s="256"/>
      <c r="D313" s="257" t="str">
        <f t="shared" si="38"/>
        <v/>
      </c>
      <c r="E313" s="253"/>
      <c r="F313" s="257" t="str">
        <f t="shared" si="39"/>
        <v/>
      </c>
      <c r="G313" s="257" t="str">
        <f t="shared" si="40"/>
        <v/>
      </c>
      <c r="H313" s="257" t="str">
        <f t="shared" si="41"/>
        <v/>
      </c>
    </row>
    <row r="314" spans="1:8" x14ac:dyDescent="0.25">
      <c r="A314" s="254" t="str">
        <f t="shared" ca="1" si="42"/>
        <v/>
      </c>
      <c r="B314" s="255"/>
      <c r="C314" s="256"/>
      <c r="D314" s="257" t="str">
        <f t="shared" si="38"/>
        <v/>
      </c>
      <c r="E314" s="253"/>
      <c r="F314" s="257" t="str">
        <f t="shared" si="39"/>
        <v/>
      </c>
      <c r="G314" s="257" t="str">
        <f t="shared" si="40"/>
        <v/>
      </c>
      <c r="H314" s="257" t="str">
        <f t="shared" si="41"/>
        <v/>
      </c>
    </row>
    <row r="315" spans="1:8" x14ac:dyDescent="0.25">
      <c r="A315" s="254" t="str">
        <f t="shared" ca="1" si="42"/>
        <v/>
      </c>
      <c r="B315" s="255"/>
      <c r="C315" s="256"/>
      <c r="D315" s="257" t="str">
        <f t="shared" si="38"/>
        <v/>
      </c>
      <c r="E315" s="253"/>
      <c r="F315" s="257" t="str">
        <f t="shared" si="39"/>
        <v/>
      </c>
      <c r="G315" s="257" t="str">
        <f t="shared" si="40"/>
        <v/>
      </c>
      <c r="H315" s="257" t="str">
        <f t="shared" si="41"/>
        <v/>
      </c>
    </row>
    <row r="316" spans="1:8" x14ac:dyDescent="0.25">
      <c r="A316" s="254" t="str">
        <f t="shared" ca="1" si="42"/>
        <v/>
      </c>
      <c r="B316" s="255"/>
      <c r="C316" s="256"/>
      <c r="D316" s="257" t="str">
        <f t="shared" si="38"/>
        <v/>
      </c>
      <c r="E316" s="253"/>
      <c r="F316" s="257" t="str">
        <f t="shared" si="39"/>
        <v/>
      </c>
      <c r="G316" s="257" t="str">
        <f t="shared" si="40"/>
        <v/>
      </c>
      <c r="H316" s="257" t="str">
        <f t="shared" si="41"/>
        <v/>
      </c>
    </row>
    <row r="317" spans="1:8" x14ac:dyDescent="0.25">
      <c r="A317" s="254" t="str">
        <f t="shared" ca="1" si="42"/>
        <v/>
      </c>
      <c r="B317" s="255"/>
      <c r="C317" s="256"/>
      <c r="D317" s="257" t="str">
        <f t="shared" si="38"/>
        <v/>
      </c>
      <c r="E317" s="253"/>
      <c r="F317" s="257" t="str">
        <f t="shared" si="39"/>
        <v/>
      </c>
      <c r="G317" s="257" t="str">
        <f t="shared" si="40"/>
        <v/>
      </c>
      <c r="H317" s="257" t="str">
        <f t="shared" si="41"/>
        <v/>
      </c>
    </row>
    <row r="318" spans="1:8" x14ac:dyDescent="0.25">
      <c r="A318" s="254" t="str">
        <f t="shared" ca="1" si="42"/>
        <v/>
      </c>
      <c r="B318" s="255"/>
      <c r="C318" s="256"/>
      <c r="D318" s="257" t="str">
        <f t="shared" si="38"/>
        <v/>
      </c>
      <c r="E318" s="253"/>
      <c r="F318" s="257" t="str">
        <f t="shared" si="39"/>
        <v/>
      </c>
      <c r="G318" s="257" t="str">
        <f t="shared" si="40"/>
        <v/>
      </c>
      <c r="H318" s="257" t="str">
        <f t="shared" si="41"/>
        <v/>
      </c>
    </row>
    <row r="319" spans="1:8" x14ac:dyDescent="0.25">
      <c r="A319" s="254" t="str">
        <f t="shared" ca="1" si="42"/>
        <v/>
      </c>
      <c r="B319" s="255"/>
      <c r="C319" s="256"/>
      <c r="D319" s="257" t="str">
        <f t="shared" si="38"/>
        <v/>
      </c>
      <c r="E319" s="253"/>
      <c r="F319" s="257" t="str">
        <f t="shared" si="39"/>
        <v/>
      </c>
      <c r="G319" s="257" t="str">
        <f t="shared" si="40"/>
        <v/>
      </c>
      <c r="H319" s="257" t="str">
        <f t="shared" si="41"/>
        <v/>
      </c>
    </row>
    <row r="320" spans="1:8" x14ac:dyDescent="0.25">
      <c r="A320" s="254" t="str">
        <f t="shared" ca="1" si="42"/>
        <v/>
      </c>
      <c r="B320" s="255"/>
      <c r="C320" s="256"/>
      <c r="D320" s="257" t="str">
        <f t="shared" si="38"/>
        <v/>
      </c>
      <c r="E320" s="253"/>
      <c r="F320" s="257" t="str">
        <f t="shared" si="39"/>
        <v/>
      </c>
      <c r="G320" s="257" t="str">
        <f t="shared" si="40"/>
        <v/>
      </c>
      <c r="H320" s="257" t="str">
        <f t="shared" si="41"/>
        <v/>
      </c>
    </row>
    <row r="321" spans="1:8" x14ac:dyDescent="0.25">
      <c r="A321" s="254" t="str">
        <f t="shared" ca="1" si="42"/>
        <v/>
      </c>
      <c r="B321" s="255"/>
      <c r="C321" s="256"/>
      <c r="D321" s="257" t="str">
        <f t="shared" si="38"/>
        <v/>
      </c>
      <c r="E321" s="253"/>
      <c r="F321" s="257" t="str">
        <f t="shared" si="39"/>
        <v/>
      </c>
      <c r="G321" s="257" t="str">
        <f t="shared" si="40"/>
        <v/>
      </c>
      <c r="H321" s="257" t="str">
        <f t="shared" si="41"/>
        <v/>
      </c>
    </row>
    <row r="322" spans="1:8" x14ac:dyDescent="0.25">
      <c r="A322" s="254" t="str">
        <f t="shared" ca="1" si="42"/>
        <v/>
      </c>
      <c r="B322" s="255"/>
      <c r="C322" s="256"/>
      <c r="D322" s="257" t="str">
        <f t="shared" si="38"/>
        <v/>
      </c>
      <c r="E322" s="253"/>
      <c r="F322" s="257" t="str">
        <f t="shared" si="39"/>
        <v/>
      </c>
      <c r="G322" s="257" t="str">
        <f t="shared" si="40"/>
        <v/>
      </c>
      <c r="H322" s="257" t="str">
        <f t="shared" si="41"/>
        <v/>
      </c>
    </row>
    <row r="323" spans="1:8" x14ac:dyDescent="0.25">
      <c r="A323" s="254" t="str">
        <f t="shared" ca="1" si="42"/>
        <v/>
      </c>
      <c r="B323" s="255"/>
      <c r="C323" s="256"/>
      <c r="D323" s="257" t="str">
        <f t="shared" si="38"/>
        <v/>
      </c>
      <c r="E323" s="253"/>
      <c r="F323" s="257" t="str">
        <f t="shared" si="39"/>
        <v/>
      </c>
      <c r="G323" s="257" t="str">
        <f t="shared" si="40"/>
        <v/>
      </c>
      <c r="H323" s="257" t="str">
        <f t="shared" si="41"/>
        <v/>
      </c>
    </row>
    <row r="324" spans="1:8" x14ac:dyDescent="0.25">
      <c r="A324" s="254" t="str">
        <f t="shared" ca="1" si="42"/>
        <v/>
      </c>
      <c r="B324" s="255"/>
      <c r="C324" s="256"/>
      <c r="D324" s="257" t="str">
        <f t="shared" si="38"/>
        <v/>
      </c>
      <c r="E324" s="253"/>
      <c r="F324" s="257" t="str">
        <f t="shared" si="39"/>
        <v/>
      </c>
      <c r="G324" s="257" t="str">
        <f t="shared" si="40"/>
        <v/>
      </c>
      <c r="H324" s="257" t="str">
        <f t="shared" si="41"/>
        <v/>
      </c>
    </row>
    <row r="325" spans="1:8" x14ac:dyDescent="0.25">
      <c r="A325" s="254" t="str">
        <f t="shared" ca="1" si="42"/>
        <v/>
      </c>
      <c r="B325" s="255"/>
      <c r="C325" s="256"/>
      <c r="D325" s="257" t="str">
        <f t="shared" si="38"/>
        <v/>
      </c>
      <c r="E325" s="253"/>
      <c r="F325" s="257" t="str">
        <f t="shared" si="39"/>
        <v/>
      </c>
      <c r="G325" s="257" t="str">
        <f t="shared" si="40"/>
        <v/>
      </c>
      <c r="H325" s="257" t="str">
        <f t="shared" si="41"/>
        <v/>
      </c>
    </row>
    <row r="326" spans="1:8" x14ac:dyDescent="0.25">
      <c r="A326" s="254" t="str">
        <f t="shared" ca="1" si="42"/>
        <v/>
      </c>
      <c r="B326" s="255"/>
      <c r="C326" s="256"/>
      <c r="D326" s="257" t="str">
        <f t="shared" si="38"/>
        <v/>
      </c>
      <c r="E326" s="253"/>
      <c r="F326" s="257" t="str">
        <f t="shared" si="39"/>
        <v/>
      </c>
      <c r="G326" s="257" t="str">
        <f t="shared" si="40"/>
        <v/>
      </c>
      <c r="H326" s="257" t="str">
        <f t="shared" si="41"/>
        <v/>
      </c>
    </row>
    <row r="327" spans="1:8" x14ac:dyDescent="0.25">
      <c r="A327" s="254" t="str">
        <f t="shared" ca="1" si="42"/>
        <v/>
      </c>
      <c r="B327" s="255"/>
      <c r="C327" s="256"/>
      <c r="D327" s="257" t="str">
        <f t="shared" si="38"/>
        <v/>
      </c>
      <c r="E327" s="253"/>
      <c r="F327" s="257" t="str">
        <f t="shared" si="39"/>
        <v/>
      </c>
      <c r="G327" s="257" t="str">
        <f t="shared" si="40"/>
        <v/>
      </c>
      <c r="H327" s="257" t="str">
        <f t="shared" si="41"/>
        <v/>
      </c>
    </row>
    <row r="328" spans="1:8" x14ac:dyDescent="0.25">
      <c r="A328" s="254" t="str">
        <f t="shared" ca="1" si="42"/>
        <v/>
      </c>
      <c r="B328" s="255"/>
      <c r="C328" s="256"/>
      <c r="D328" s="257" t="str">
        <f t="shared" si="38"/>
        <v/>
      </c>
      <c r="E328" s="253"/>
      <c r="F328" s="257" t="str">
        <f t="shared" si="39"/>
        <v/>
      </c>
      <c r="G328" s="257" t="str">
        <f t="shared" si="40"/>
        <v/>
      </c>
      <c r="H328" s="257" t="str">
        <f t="shared" si="41"/>
        <v/>
      </c>
    </row>
    <row r="329" spans="1:8" x14ac:dyDescent="0.25">
      <c r="A329" s="254" t="str">
        <f t="shared" ca="1" si="42"/>
        <v/>
      </c>
      <c r="B329" s="255"/>
      <c r="C329" s="256"/>
      <c r="D329" s="257" t="str">
        <f t="shared" si="38"/>
        <v/>
      </c>
      <c r="E329" s="253"/>
      <c r="F329" s="257" t="str">
        <f t="shared" si="39"/>
        <v/>
      </c>
      <c r="G329" s="257" t="str">
        <f t="shared" si="40"/>
        <v/>
      </c>
      <c r="H329" s="257" t="str">
        <f t="shared" si="41"/>
        <v/>
      </c>
    </row>
    <row r="330" spans="1:8" x14ac:dyDescent="0.25">
      <c r="A330" s="254" t="str">
        <f t="shared" ca="1" si="42"/>
        <v/>
      </c>
      <c r="B330" s="255"/>
      <c r="C330" s="256"/>
      <c r="D330" s="257" t="str">
        <f t="shared" si="38"/>
        <v/>
      </c>
      <c r="E330" s="253"/>
      <c r="F330" s="257" t="str">
        <f t="shared" si="39"/>
        <v/>
      </c>
      <c r="G330" s="257" t="str">
        <f t="shared" si="40"/>
        <v/>
      </c>
      <c r="H330" s="257" t="str">
        <f t="shared" si="41"/>
        <v/>
      </c>
    </row>
    <row r="331" spans="1:8" x14ac:dyDescent="0.25">
      <c r="A331" s="254" t="str">
        <f t="shared" ca="1" si="42"/>
        <v/>
      </c>
      <c r="B331" s="255"/>
      <c r="C331" s="256"/>
      <c r="D331" s="257" t="str">
        <f t="shared" si="38"/>
        <v/>
      </c>
      <c r="E331" s="253"/>
      <c r="F331" s="257" t="str">
        <f t="shared" si="39"/>
        <v/>
      </c>
      <c r="G331" s="257" t="str">
        <f t="shared" si="40"/>
        <v/>
      </c>
      <c r="H331" s="257" t="str">
        <f t="shared" si="41"/>
        <v/>
      </c>
    </row>
    <row r="332" spans="1:8" x14ac:dyDescent="0.25">
      <c r="A332" s="254" t="str">
        <f t="shared" ca="1" si="42"/>
        <v/>
      </c>
      <c r="B332" s="255"/>
      <c r="C332" s="256"/>
      <c r="D332" s="257" t="str">
        <f t="shared" si="38"/>
        <v/>
      </c>
      <c r="E332" s="253"/>
      <c r="F332" s="257" t="str">
        <f t="shared" si="39"/>
        <v/>
      </c>
      <c r="G332" s="257" t="str">
        <f t="shared" si="40"/>
        <v/>
      </c>
      <c r="H332" s="257" t="str">
        <f t="shared" si="41"/>
        <v/>
      </c>
    </row>
    <row r="333" spans="1:8" x14ac:dyDescent="0.25">
      <c r="A333" s="254" t="str">
        <f t="shared" ca="1" si="42"/>
        <v/>
      </c>
      <c r="B333" s="255"/>
      <c r="C333" s="256"/>
      <c r="D333" s="257" t="str">
        <f t="shared" si="38"/>
        <v/>
      </c>
      <c r="E333" s="253"/>
      <c r="F333" s="257" t="str">
        <f t="shared" si="39"/>
        <v/>
      </c>
      <c r="G333" s="257" t="str">
        <f t="shared" si="40"/>
        <v/>
      </c>
      <c r="H333" s="257" t="str">
        <f t="shared" si="41"/>
        <v/>
      </c>
    </row>
    <row r="334" spans="1:8" x14ac:dyDescent="0.25">
      <c r="A334" s="254" t="str">
        <f t="shared" ca="1" si="42"/>
        <v/>
      </c>
      <c r="B334" s="255"/>
      <c r="C334" s="256"/>
      <c r="D334" s="257" t="str">
        <f t="shared" si="38"/>
        <v/>
      </c>
      <c r="E334" s="253"/>
      <c r="F334" s="257" t="str">
        <f t="shared" si="39"/>
        <v/>
      </c>
      <c r="G334" s="257" t="str">
        <f t="shared" si="40"/>
        <v/>
      </c>
      <c r="H334" s="257" t="str">
        <f t="shared" si="41"/>
        <v/>
      </c>
    </row>
    <row r="335" spans="1:8" x14ac:dyDescent="0.25">
      <c r="A335" s="254" t="str">
        <f t="shared" ca="1" si="42"/>
        <v/>
      </c>
      <c r="B335" s="255"/>
      <c r="C335" s="256"/>
      <c r="D335" s="257" t="str">
        <f t="shared" si="38"/>
        <v/>
      </c>
      <c r="E335" s="253"/>
      <c r="F335" s="257" t="str">
        <f t="shared" si="39"/>
        <v/>
      </c>
      <c r="G335" s="257" t="str">
        <f t="shared" si="40"/>
        <v/>
      </c>
      <c r="H335" s="257" t="str">
        <f t="shared" si="41"/>
        <v/>
      </c>
    </row>
    <row r="336" spans="1:8" x14ac:dyDescent="0.25">
      <c r="A336" s="254" t="str">
        <f t="shared" ca="1" si="42"/>
        <v/>
      </c>
      <c r="B336" s="255"/>
      <c r="C336" s="256"/>
      <c r="D336" s="257" t="str">
        <f t="shared" si="38"/>
        <v/>
      </c>
      <c r="E336" s="253"/>
      <c r="F336" s="257" t="str">
        <f t="shared" si="39"/>
        <v/>
      </c>
      <c r="G336" s="257" t="str">
        <f t="shared" si="40"/>
        <v/>
      </c>
      <c r="H336" s="257" t="str">
        <f t="shared" si="41"/>
        <v/>
      </c>
    </row>
    <row r="337" spans="1:8" x14ac:dyDescent="0.25">
      <c r="A337" s="254" t="str">
        <f t="shared" ca="1" si="42"/>
        <v/>
      </c>
      <c r="B337" s="255"/>
      <c r="C337" s="256"/>
      <c r="D337" s="257" t="str">
        <f t="shared" si="38"/>
        <v/>
      </c>
      <c r="E337" s="253"/>
      <c r="F337" s="257" t="str">
        <f t="shared" si="39"/>
        <v/>
      </c>
      <c r="G337" s="257" t="str">
        <f t="shared" si="40"/>
        <v/>
      </c>
      <c r="H337" s="257" t="str">
        <f t="shared" si="41"/>
        <v/>
      </c>
    </row>
    <row r="338" spans="1:8" x14ac:dyDescent="0.25">
      <c r="A338" s="254" t="str">
        <f t="shared" ca="1" si="42"/>
        <v/>
      </c>
      <c r="B338" s="255"/>
      <c r="C338" s="256"/>
      <c r="D338" s="257" t="str">
        <f t="shared" si="38"/>
        <v/>
      </c>
      <c r="E338" s="253"/>
      <c r="F338" s="257" t="str">
        <f t="shared" si="39"/>
        <v/>
      </c>
      <c r="G338" s="257" t="str">
        <f t="shared" si="40"/>
        <v/>
      </c>
      <c r="H338" s="257" t="str">
        <f t="shared" si="41"/>
        <v/>
      </c>
    </row>
    <row r="339" spans="1:8" x14ac:dyDescent="0.25">
      <c r="A339" s="254" t="str">
        <f t="shared" ca="1" si="42"/>
        <v/>
      </c>
      <c r="B339" s="255"/>
      <c r="C339" s="256"/>
      <c r="D339" s="257" t="str">
        <f t="shared" ref="D339:D402" si="43">IF(B339="","",ROUND((B339-B338)*$H$9*G338,2))</f>
        <v/>
      </c>
      <c r="E339" s="253"/>
      <c r="F339" s="257" t="str">
        <f t="shared" ref="F339:F402" si="44">IF(B339="","",IF(C339&gt;F338+D339,0,F338+D339-C339))</f>
        <v/>
      </c>
      <c r="G339" s="257" t="str">
        <f t="shared" ref="G339:G402" si="45">IF(B339="","",IF(C339&gt;D339+F338,G338+F338+D339-C339,G338))</f>
        <v/>
      </c>
      <c r="H339" s="257" t="str">
        <f t="shared" ref="H339:H402" si="46">IF(B339="","",G339+F339)</f>
        <v/>
      </c>
    </row>
    <row r="340" spans="1:8" x14ac:dyDescent="0.25">
      <c r="A340" s="254" t="str">
        <f t="shared" ca="1" si="42"/>
        <v/>
      </c>
      <c r="B340" s="255"/>
      <c r="C340" s="256"/>
      <c r="D340" s="257" t="str">
        <f t="shared" si="43"/>
        <v/>
      </c>
      <c r="E340" s="253"/>
      <c r="F340" s="257" t="str">
        <f t="shared" si="44"/>
        <v/>
      </c>
      <c r="G340" s="257" t="str">
        <f t="shared" si="45"/>
        <v/>
      </c>
      <c r="H340" s="257" t="str">
        <f t="shared" si="46"/>
        <v/>
      </c>
    </row>
    <row r="341" spans="1:8" x14ac:dyDescent="0.25">
      <c r="A341" s="254" t="str">
        <f t="shared" ca="1" si="42"/>
        <v/>
      </c>
      <c r="B341" s="255"/>
      <c r="C341" s="256"/>
      <c r="D341" s="257" t="str">
        <f t="shared" si="43"/>
        <v/>
      </c>
      <c r="E341" s="253"/>
      <c r="F341" s="257" t="str">
        <f t="shared" si="44"/>
        <v/>
      </c>
      <c r="G341" s="257" t="str">
        <f t="shared" si="45"/>
        <v/>
      </c>
      <c r="H341" s="257" t="str">
        <f t="shared" si="46"/>
        <v/>
      </c>
    </row>
    <row r="342" spans="1:8" x14ac:dyDescent="0.25">
      <c r="A342" s="254" t="str">
        <f t="shared" ca="1" si="42"/>
        <v/>
      </c>
      <c r="B342" s="255"/>
      <c r="C342" s="256"/>
      <c r="D342" s="257" t="str">
        <f t="shared" si="43"/>
        <v/>
      </c>
      <c r="E342" s="253"/>
      <c r="F342" s="257" t="str">
        <f t="shared" si="44"/>
        <v/>
      </c>
      <c r="G342" s="257" t="str">
        <f t="shared" si="45"/>
        <v/>
      </c>
      <c r="H342" s="257" t="str">
        <f t="shared" si="46"/>
        <v/>
      </c>
    </row>
    <row r="343" spans="1:8" x14ac:dyDescent="0.25">
      <c r="A343" s="254" t="str">
        <f t="shared" ca="1" si="42"/>
        <v/>
      </c>
      <c r="B343" s="255"/>
      <c r="C343" s="256"/>
      <c r="D343" s="257" t="str">
        <f t="shared" si="43"/>
        <v/>
      </c>
      <c r="E343" s="253"/>
      <c r="F343" s="257" t="str">
        <f t="shared" si="44"/>
        <v/>
      </c>
      <c r="G343" s="257" t="str">
        <f t="shared" si="45"/>
        <v/>
      </c>
      <c r="H343" s="257" t="str">
        <f t="shared" si="46"/>
        <v/>
      </c>
    </row>
    <row r="344" spans="1:8" x14ac:dyDescent="0.25">
      <c r="A344" s="254" t="str">
        <f t="shared" ca="1" si="42"/>
        <v/>
      </c>
      <c r="B344" s="255"/>
      <c r="C344" s="256"/>
      <c r="D344" s="257" t="str">
        <f t="shared" si="43"/>
        <v/>
      </c>
      <c r="E344" s="253"/>
      <c r="F344" s="257" t="str">
        <f t="shared" si="44"/>
        <v/>
      </c>
      <c r="G344" s="257" t="str">
        <f t="shared" si="45"/>
        <v/>
      </c>
      <c r="H344" s="257" t="str">
        <f t="shared" si="46"/>
        <v/>
      </c>
    </row>
    <row r="345" spans="1:8" x14ac:dyDescent="0.25">
      <c r="A345" s="254" t="str">
        <f t="shared" ca="1" si="42"/>
        <v/>
      </c>
      <c r="B345" s="255"/>
      <c r="C345" s="256"/>
      <c r="D345" s="257" t="str">
        <f t="shared" si="43"/>
        <v/>
      </c>
      <c r="E345" s="253"/>
      <c r="F345" s="257" t="str">
        <f t="shared" si="44"/>
        <v/>
      </c>
      <c r="G345" s="257" t="str">
        <f t="shared" si="45"/>
        <v/>
      </c>
      <c r="H345" s="257" t="str">
        <f t="shared" si="46"/>
        <v/>
      </c>
    </row>
    <row r="346" spans="1:8" x14ac:dyDescent="0.25">
      <c r="A346" s="254" t="str">
        <f t="shared" ca="1" si="42"/>
        <v/>
      </c>
      <c r="B346" s="255"/>
      <c r="C346" s="256"/>
      <c r="D346" s="257" t="str">
        <f t="shared" si="43"/>
        <v/>
      </c>
      <c r="E346" s="253"/>
      <c r="F346" s="257" t="str">
        <f t="shared" si="44"/>
        <v/>
      </c>
      <c r="G346" s="257" t="str">
        <f t="shared" si="45"/>
        <v/>
      </c>
      <c r="H346" s="257" t="str">
        <f t="shared" si="46"/>
        <v/>
      </c>
    </row>
    <row r="347" spans="1:8" x14ac:dyDescent="0.25">
      <c r="A347" s="254" t="str">
        <f t="shared" ca="1" si="42"/>
        <v/>
      </c>
      <c r="B347" s="255"/>
      <c r="C347" s="256"/>
      <c r="D347" s="257" t="str">
        <f t="shared" si="43"/>
        <v/>
      </c>
      <c r="E347" s="253"/>
      <c r="F347" s="257" t="str">
        <f t="shared" si="44"/>
        <v/>
      </c>
      <c r="G347" s="257" t="str">
        <f t="shared" si="45"/>
        <v/>
      </c>
      <c r="H347" s="257" t="str">
        <f t="shared" si="46"/>
        <v/>
      </c>
    </row>
    <row r="348" spans="1:8" x14ac:dyDescent="0.25">
      <c r="A348" s="254" t="str">
        <f t="shared" ca="1" si="42"/>
        <v/>
      </c>
      <c r="B348" s="255"/>
      <c r="C348" s="256"/>
      <c r="D348" s="257" t="str">
        <f t="shared" si="43"/>
        <v/>
      </c>
      <c r="E348" s="253"/>
      <c r="F348" s="257" t="str">
        <f t="shared" si="44"/>
        <v/>
      </c>
      <c r="G348" s="257" t="str">
        <f t="shared" si="45"/>
        <v/>
      </c>
      <c r="H348" s="257" t="str">
        <f t="shared" si="46"/>
        <v/>
      </c>
    </row>
    <row r="349" spans="1:8" x14ac:dyDescent="0.25">
      <c r="A349" s="254" t="str">
        <f t="shared" ca="1" si="42"/>
        <v/>
      </c>
      <c r="B349" s="255"/>
      <c r="C349" s="256"/>
      <c r="D349" s="257" t="str">
        <f t="shared" si="43"/>
        <v/>
      </c>
      <c r="E349" s="253"/>
      <c r="F349" s="257" t="str">
        <f t="shared" si="44"/>
        <v/>
      </c>
      <c r="G349" s="257" t="str">
        <f t="shared" si="45"/>
        <v/>
      </c>
      <c r="H349" s="257" t="str">
        <f t="shared" si="46"/>
        <v/>
      </c>
    </row>
    <row r="350" spans="1:8" x14ac:dyDescent="0.25">
      <c r="A350" s="254" t="str">
        <f t="shared" ca="1" si="42"/>
        <v/>
      </c>
      <c r="B350" s="255"/>
      <c r="C350" s="256"/>
      <c r="D350" s="257" t="str">
        <f t="shared" si="43"/>
        <v/>
      </c>
      <c r="E350" s="253"/>
      <c r="F350" s="257" t="str">
        <f t="shared" si="44"/>
        <v/>
      </c>
      <c r="G350" s="257" t="str">
        <f t="shared" si="45"/>
        <v/>
      </c>
      <c r="H350" s="257" t="str">
        <f t="shared" si="46"/>
        <v/>
      </c>
    </row>
    <row r="351" spans="1:8" x14ac:dyDescent="0.25">
      <c r="A351" s="254" t="str">
        <f t="shared" ca="1" si="42"/>
        <v/>
      </c>
      <c r="B351" s="255"/>
      <c r="C351" s="256"/>
      <c r="D351" s="257" t="str">
        <f t="shared" si="43"/>
        <v/>
      </c>
      <c r="E351" s="253"/>
      <c r="F351" s="257" t="str">
        <f t="shared" si="44"/>
        <v/>
      </c>
      <c r="G351" s="257" t="str">
        <f t="shared" si="45"/>
        <v/>
      </c>
      <c r="H351" s="257" t="str">
        <f t="shared" si="46"/>
        <v/>
      </c>
    </row>
    <row r="352" spans="1:8" x14ac:dyDescent="0.25">
      <c r="A352" s="254" t="str">
        <f t="shared" ca="1" si="42"/>
        <v/>
      </c>
      <c r="B352" s="255"/>
      <c r="C352" s="256"/>
      <c r="D352" s="257" t="str">
        <f t="shared" si="43"/>
        <v/>
      </c>
      <c r="E352" s="253"/>
      <c r="F352" s="257" t="str">
        <f t="shared" si="44"/>
        <v/>
      </c>
      <c r="G352" s="257" t="str">
        <f t="shared" si="45"/>
        <v/>
      </c>
      <c r="H352" s="257" t="str">
        <f t="shared" si="46"/>
        <v/>
      </c>
    </row>
    <row r="353" spans="1:8" x14ac:dyDescent="0.25">
      <c r="A353" s="254" t="str">
        <f t="shared" ca="1" si="42"/>
        <v/>
      </c>
      <c r="B353" s="255"/>
      <c r="C353" s="256"/>
      <c r="D353" s="257" t="str">
        <f t="shared" si="43"/>
        <v/>
      </c>
      <c r="E353" s="253"/>
      <c r="F353" s="257" t="str">
        <f t="shared" si="44"/>
        <v/>
      </c>
      <c r="G353" s="257" t="str">
        <f t="shared" si="45"/>
        <v/>
      </c>
      <c r="H353" s="257" t="str">
        <f t="shared" si="46"/>
        <v/>
      </c>
    </row>
    <row r="354" spans="1:8" x14ac:dyDescent="0.25">
      <c r="A354" s="254" t="str">
        <f t="shared" ca="1" si="42"/>
        <v/>
      </c>
      <c r="B354" s="255"/>
      <c r="C354" s="256"/>
      <c r="D354" s="257" t="str">
        <f t="shared" si="43"/>
        <v/>
      </c>
      <c r="E354" s="253"/>
      <c r="F354" s="257" t="str">
        <f t="shared" si="44"/>
        <v/>
      </c>
      <c r="G354" s="257" t="str">
        <f t="shared" si="45"/>
        <v/>
      </c>
      <c r="H354" s="257" t="str">
        <f t="shared" si="46"/>
        <v/>
      </c>
    </row>
    <row r="355" spans="1:8" x14ac:dyDescent="0.25">
      <c r="A355" s="254" t="str">
        <f t="shared" ca="1" si="42"/>
        <v/>
      </c>
      <c r="B355" s="255"/>
      <c r="C355" s="256"/>
      <c r="D355" s="257" t="str">
        <f t="shared" si="43"/>
        <v/>
      </c>
      <c r="E355" s="253"/>
      <c r="F355" s="257" t="str">
        <f t="shared" si="44"/>
        <v/>
      </c>
      <c r="G355" s="257" t="str">
        <f t="shared" si="45"/>
        <v/>
      </c>
      <c r="H355" s="257" t="str">
        <f t="shared" si="46"/>
        <v/>
      </c>
    </row>
    <row r="356" spans="1:8" x14ac:dyDescent="0.25">
      <c r="A356" s="254" t="str">
        <f t="shared" ca="1" si="42"/>
        <v/>
      </c>
      <c r="B356" s="255"/>
      <c r="C356" s="256"/>
      <c r="D356" s="257" t="str">
        <f t="shared" si="43"/>
        <v/>
      </c>
      <c r="E356" s="253"/>
      <c r="F356" s="257" t="str">
        <f t="shared" si="44"/>
        <v/>
      </c>
      <c r="G356" s="257" t="str">
        <f t="shared" si="45"/>
        <v/>
      </c>
      <c r="H356" s="257" t="str">
        <f t="shared" si="46"/>
        <v/>
      </c>
    </row>
    <row r="357" spans="1:8" x14ac:dyDescent="0.25">
      <c r="A357" s="254" t="str">
        <f t="shared" ca="1" si="42"/>
        <v/>
      </c>
      <c r="B357" s="255"/>
      <c r="C357" s="256"/>
      <c r="D357" s="257" t="str">
        <f t="shared" si="43"/>
        <v/>
      </c>
      <c r="E357" s="253"/>
      <c r="F357" s="257" t="str">
        <f t="shared" si="44"/>
        <v/>
      </c>
      <c r="G357" s="257" t="str">
        <f t="shared" si="45"/>
        <v/>
      </c>
      <c r="H357" s="257" t="str">
        <f t="shared" si="46"/>
        <v/>
      </c>
    </row>
    <row r="358" spans="1:8" x14ac:dyDescent="0.25">
      <c r="A358" s="254" t="str">
        <f t="shared" ca="1" si="42"/>
        <v/>
      </c>
      <c r="B358" s="255"/>
      <c r="C358" s="256"/>
      <c r="D358" s="257" t="str">
        <f t="shared" si="43"/>
        <v/>
      </c>
      <c r="E358" s="253"/>
      <c r="F358" s="257" t="str">
        <f t="shared" si="44"/>
        <v/>
      </c>
      <c r="G358" s="257" t="str">
        <f t="shared" si="45"/>
        <v/>
      </c>
      <c r="H358" s="257" t="str">
        <f t="shared" si="46"/>
        <v/>
      </c>
    </row>
    <row r="359" spans="1:8" x14ac:dyDescent="0.25">
      <c r="A359" s="254" t="str">
        <f t="shared" ca="1" si="42"/>
        <v/>
      </c>
      <c r="B359" s="255"/>
      <c r="C359" s="256"/>
      <c r="D359" s="257" t="str">
        <f t="shared" si="43"/>
        <v/>
      </c>
      <c r="E359" s="253"/>
      <c r="F359" s="257" t="str">
        <f t="shared" si="44"/>
        <v/>
      </c>
      <c r="G359" s="257" t="str">
        <f t="shared" si="45"/>
        <v/>
      </c>
      <c r="H359" s="257" t="str">
        <f t="shared" si="46"/>
        <v/>
      </c>
    </row>
    <row r="360" spans="1:8" x14ac:dyDescent="0.25">
      <c r="A360" s="254" t="str">
        <f t="shared" ca="1" si="42"/>
        <v/>
      </c>
      <c r="B360" s="255"/>
      <c r="C360" s="256"/>
      <c r="D360" s="257" t="str">
        <f t="shared" si="43"/>
        <v/>
      </c>
      <c r="E360" s="253"/>
      <c r="F360" s="257" t="str">
        <f t="shared" si="44"/>
        <v/>
      </c>
      <c r="G360" s="257" t="str">
        <f t="shared" si="45"/>
        <v/>
      </c>
      <c r="H360" s="257" t="str">
        <f t="shared" si="46"/>
        <v/>
      </c>
    </row>
    <row r="361" spans="1:8" x14ac:dyDescent="0.25">
      <c r="A361" s="254" t="str">
        <f t="shared" ref="A361:A424" ca="1" si="47">IF(OR(H360&lt;=0,H360=""),"",OFFSET(A361,-1,0,1,1)+1)</f>
        <v/>
      </c>
      <c r="B361" s="255"/>
      <c r="C361" s="256"/>
      <c r="D361" s="257" t="str">
        <f t="shared" si="43"/>
        <v/>
      </c>
      <c r="E361" s="253"/>
      <c r="F361" s="257" t="str">
        <f t="shared" si="44"/>
        <v/>
      </c>
      <c r="G361" s="257" t="str">
        <f t="shared" si="45"/>
        <v/>
      </c>
      <c r="H361" s="257" t="str">
        <f t="shared" si="46"/>
        <v/>
      </c>
    </row>
    <row r="362" spans="1:8" x14ac:dyDescent="0.25">
      <c r="A362" s="254" t="str">
        <f t="shared" ca="1" si="47"/>
        <v/>
      </c>
      <c r="B362" s="255"/>
      <c r="C362" s="256"/>
      <c r="D362" s="257" t="str">
        <f t="shared" si="43"/>
        <v/>
      </c>
      <c r="E362" s="253"/>
      <c r="F362" s="257" t="str">
        <f t="shared" si="44"/>
        <v/>
      </c>
      <c r="G362" s="257" t="str">
        <f t="shared" si="45"/>
        <v/>
      </c>
      <c r="H362" s="257" t="str">
        <f t="shared" si="46"/>
        <v/>
      </c>
    </row>
    <row r="363" spans="1:8" x14ac:dyDescent="0.25">
      <c r="A363" s="254" t="str">
        <f t="shared" ca="1" si="47"/>
        <v/>
      </c>
      <c r="B363" s="255"/>
      <c r="C363" s="256"/>
      <c r="D363" s="257" t="str">
        <f t="shared" si="43"/>
        <v/>
      </c>
      <c r="E363" s="253"/>
      <c r="F363" s="257" t="str">
        <f t="shared" si="44"/>
        <v/>
      </c>
      <c r="G363" s="257" t="str">
        <f t="shared" si="45"/>
        <v/>
      </c>
      <c r="H363" s="257" t="str">
        <f t="shared" si="46"/>
        <v/>
      </c>
    </row>
    <row r="364" spans="1:8" x14ac:dyDescent="0.25">
      <c r="A364" s="254" t="str">
        <f t="shared" ca="1" si="47"/>
        <v/>
      </c>
      <c r="B364" s="255"/>
      <c r="C364" s="256"/>
      <c r="D364" s="257" t="str">
        <f t="shared" si="43"/>
        <v/>
      </c>
      <c r="E364" s="253"/>
      <c r="F364" s="257" t="str">
        <f t="shared" si="44"/>
        <v/>
      </c>
      <c r="G364" s="257" t="str">
        <f t="shared" si="45"/>
        <v/>
      </c>
      <c r="H364" s="257" t="str">
        <f t="shared" si="46"/>
        <v/>
      </c>
    </row>
    <row r="365" spans="1:8" x14ac:dyDescent="0.25">
      <c r="A365" s="254" t="str">
        <f t="shared" ca="1" si="47"/>
        <v/>
      </c>
      <c r="B365" s="255"/>
      <c r="C365" s="256"/>
      <c r="D365" s="257" t="str">
        <f t="shared" si="43"/>
        <v/>
      </c>
      <c r="E365" s="253"/>
      <c r="F365" s="257" t="str">
        <f t="shared" si="44"/>
        <v/>
      </c>
      <c r="G365" s="257" t="str">
        <f t="shared" si="45"/>
        <v/>
      </c>
      <c r="H365" s="257" t="str">
        <f t="shared" si="46"/>
        <v/>
      </c>
    </row>
    <row r="366" spans="1:8" x14ac:dyDescent="0.25">
      <c r="A366" s="254" t="str">
        <f t="shared" ca="1" si="47"/>
        <v/>
      </c>
      <c r="B366" s="255"/>
      <c r="C366" s="256"/>
      <c r="D366" s="257" t="str">
        <f t="shared" si="43"/>
        <v/>
      </c>
      <c r="E366" s="253"/>
      <c r="F366" s="257" t="str">
        <f t="shared" si="44"/>
        <v/>
      </c>
      <c r="G366" s="257" t="str">
        <f t="shared" si="45"/>
        <v/>
      </c>
      <c r="H366" s="257" t="str">
        <f t="shared" si="46"/>
        <v/>
      </c>
    </row>
    <row r="367" spans="1:8" x14ac:dyDescent="0.25">
      <c r="A367" s="254" t="str">
        <f t="shared" ca="1" si="47"/>
        <v/>
      </c>
      <c r="B367" s="255"/>
      <c r="C367" s="256"/>
      <c r="D367" s="257" t="str">
        <f t="shared" si="43"/>
        <v/>
      </c>
      <c r="E367" s="253"/>
      <c r="F367" s="257" t="str">
        <f t="shared" si="44"/>
        <v/>
      </c>
      <c r="G367" s="257" t="str">
        <f t="shared" si="45"/>
        <v/>
      </c>
      <c r="H367" s="257" t="str">
        <f t="shared" si="46"/>
        <v/>
      </c>
    </row>
    <row r="368" spans="1:8" x14ac:dyDescent="0.25">
      <c r="A368" s="254" t="str">
        <f t="shared" ca="1" si="47"/>
        <v/>
      </c>
      <c r="B368" s="255"/>
      <c r="C368" s="256"/>
      <c r="D368" s="257" t="str">
        <f t="shared" si="43"/>
        <v/>
      </c>
      <c r="E368" s="253"/>
      <c r="F368" s="257" t="str">
        <f t="shared" si="44"/>
        <v/>
      </c>
      <c r="G368" s="257" t="str">
        <f t="shared" si="45"/>
        <v/>
      </c>
      <c r="H368" s="257" t="str">
        <f t="shared" si="46"/>
        <v/>
      </c>
    </row>
    <row r="369" spans="1:8" x14ac:dyDescent="0.25">
      <c r="A369" s="254" t="str">
        <f t="shared" ca="1" si="47"/>
        <v/>
      </c>
      <c r="B369" s="255"/>
      <c r="C369" s="256"/>
      <c r="D369" s="257" t="str">
        <f t="shared" si="43"/>
        <v/>
      </c>
      <c r="E369" s="253"/>
      <c r="F369" s="257" t="str">
        <f t="shared" si="44"/>
        <v/>
      </c>
      <c r="G369" s="257" t="str">
        <f t="shared" si="45"/>
        <v/>
      </c>
      <c r="H369" s="257" t="str">
        <f t="shared" si="46"/>
        <v/>
      </c>
    </row>
    <row r="370" spans="1:8" x14ac:dyDescent="0.25">
      <c r="A370" s="254" t="str">
        <f t="shared" ca="1" si="47"/>
        <v/>
      </c>
      <c r="B370" s="255"/>
      <c r="C370" s="256"/>
      <c r="D370" s="257" t="str">
        <f t="shared" si="43"/>
        <v/>
      </c>
      <c r="E370" s="253"/>
      <c r="F370" s="257" t="str">
        <f t="shared" si="44"/>
        <v/>
      </c>
      <c r="G370" s="257" t="str">
        <f t="shared" si="45"/>
        <v/>
      </c>
      <c r="H370" s="257" t="str">
        <f t="shared" si="46"/>
        <v/>
      </c>
    </row>
    <row r="371" spans="1:8" x14ac:dyDescent="0.25">
      <c r="A371" s="254" t="str">
        <f t="shared" ca="1" si="47"/>
        <v/>
      </c>
      <c r="B371" s="255"/>
      <c r="C371" s="256"/>
      <c r="D371" s="257" t="str">
        <f t="shared" si="43"/>
        <v/>
      </c>
      <c r="E371" s="253"/>
      <c r="F371" s="257" t="str">
        <f t="shared" si="44"/>
        <v/>
      </c>
      <c r="G371" s="257" t="str">
        <f t="shared" si="45"/>
        <v/>
      </c>
      <c r="H371" s="257" t="str">
        <f t="shared" si="46"/>
        <v/>
      </c>
    </row>
    <row r="372" spans="1:8" x14ac:dyDescent="0.25">
      <c r="A372" s="254" t="str">
        <f t="shared" ca="1" si="47"/>
        <v/>
      </c>
      <c r="B372" s="255"/>
      <c r="C372" s="256"/>
      <c r="D372" s="257" t="str">
        <f t="shared" si="43"/>
        <v/>
      </c>
      <c r="E372" s="253"/>
      <c r="F372" s="257" t="str">
        <f t="shared" si="44"/>
        <v/>
      </c>
      <c r="G372" s="257" t="str">
        <f t="shared" si="45"/>
        <v/>
      </c>
      <c r="H372" s="257" t="str">
        <f t="shared" si="46"/>
        <v/>
      </c>
    </row>
    <row r="373" spans="1:8" x14ac:dyDescent="0.25">
      <c r="A373" s="254" t="str">
        <f t="shared" ca="1" si="47"/>
        <v/>
      </c>
      <c r="B373" s="255"/>
      <c r="C373" s="256"/>
      <c r="D373" s="257" t="str">
        <f t="shared" si="43"/>
        <v/>
      </c>
      <c r="E373" s="253"/>
      <c r="F373" s="257" t="str">
        <f t="shared" si="44"/>
        <v/>
      </c>
      <c r="G373" s="257" t="str">
        <f t="shared" si="45"/>
        <v/>
      </c>
      <c r="H373" s="257" t="str">
        <f t="shared" si="46"/>
        <v/>
      </c>
    </row>
    <row r="374" spans="1:8" x14ac:dyDescent="0.25">
      <c r="A374" s="254" t="str">
        <f t="shared" ca="1" si="47"/>
        <v/>
      </c>
      <c r="B374" s="255"/>
      <c r="C374" s="256"/>
      <c r="D374" s="257" t="str">
        <f t="shared" si="43"/>
        <v/>
      </c>
      <c r="E374" s="253"/>
      <c r="F374" s="257" t="str">
        <f t="shared" si="44"/>
        <v/>
      </c>
      <c r="G374" s="257" t="str">
        <f t="shared" si="45"/>
        <v/>
      </c>
      <c r="H374" s="257" t="str">
        <f t="shared" si="46"/>
        <v/>
      </c>
    </row>
    <row r="375" spans="1:8" x14ac:dyDescent="0.25">
      <c r="A375" s="254" t="str">
        <f t="shared" ca="1" si="47"/>
        <v/>
      </c>
      <c r="B375" s="255"/>
      <c r="C375" s="256"/>
      <c r="D375" s="257" t="str">
        <f t="shared" si="43"/>
        <v/>
      </c>
      <c r="E375" s="253"/>
      <c r="F375" s="257" t="str">
        <f t="shared" si="44"/>
        <v/>
      </c>
      <c r="G375" s="257" t="str">
        <f t="shared" si="45"/>
        <v/>
      </c>
      <c r="H375" s="257" t="str">
        <f t="shared" si="46"/>
        <v/>
      </c>
    </row>
    <row r="376" spans="1:8" x14ac:dyDescent="0.25">
      <c r="A376" s="254" t="str">
        <f t="shared" ca="1" si="47"/>
        <v/>
      </c>
      <c r="B376" s="255"/>
      <c r="C376" s="256"/>
      <c r="D376" s="257" t="str">
        <f t="shared" si="43"/>
        <v/>
      </c>
      <c r="E376" s="253"/>
      <c r="F376" s="257" t="str">
        <f t="shared" si="44"/>
        <v/>
      </c>
      <c r="G376" s="257" t="str">
        <f t="shared" si="45"/>
        <v/>
      </c>
      <c r="H376" s="257" t="str">
        <f t="shared" si="46"/>
        <v/>
      </c>
    </row>
    <row r="377" spans="1:8" x14ac:dyDescent="0.25">
      <c r="A377" s="254" t="str">
        <f t="shared" ca="1" si="47"/>
        <v/>
      </c>
      <c r="B377" s="255"/>
      <c r="C377" s="256"/>
      <c r="D377" s="257" t="str">
        <f t="shared" si="43"/>
        <v/>
      </c>
      <c r="E377" s="253"/>
      <c r="F377" s="257" t="str">
        <f t="shared" si="44"/>
        <v/>
      </c>
      <c r="G377" s="257" t="str">
        <f t="shared" si="45"/>
        <v/>
      </c>
      <c r="H377" s="257" t="str">
        <f t="shared" si="46"/>
        <v/>
      </c>
    </row>
    <row r="378" spans="1:8" x14ac:dyDescent="0.25">
      <c r="A378" s="254" t="str">
        <f t="shared" ca="1" si="47"/>
        <v/>
      </c>
      <c r="B378" s="255"/>
      <c r="C378" s="256"/>
      <c r="D378" s="257" t="str">
        <f t="shared" si="43"/>
        <v/>
      </c>
      <c r="E378" s="253"/>
      <c r="F378" s="257" t="str">
        <f t="shared" si="44"/>
        <v/>
      </c>
      <c r="G378" s="257" t="str">
        <f t="shared" si="45"/>
        <v/>
      </c>
      <c r="H378" s="257" t="str">
        <f t="shared" si="46"/>
        <v/>
      </c>
    </row>
    <row r="379" spans="1:8" x14ac:dyDescent="0.25">
      <c r="A379" s="254" t="str">
        <f t="shared" ca="1" si="47"/>
        <v/>
      </c>
      <c r="B379" s="255"/>
      <c r="C379" s="256"/>
      <c r="D379" s="257" t="str">
        <f t="shared" si="43"/>
        <v/>
      </c>
      <c r="E379" s="253"/>
      <c r="F379" s="257" t="str">
        <f t="shared" si="44"/>
        <v/>
      </c>
      <c r="G379" s="257" t="str">
        <f t="shared" si="45"/>
        <v/>
      </c>
      <c r="H379" s="257" t="str">
        <f t="shared" si="46"/>
        <v/>
      </c>
    </row>
    <row r="380" spans="1:8" x14ac:dyDescent="0.25">
      <c r="A380" s="254" t="str">
        <f t="shared" ca="1" si="47"/>
        <v/>
      </c>
      <c r="B380" s="255"/>
      <c r="C380" s="256"/>
      <c r="D380" s="257" t="str">
        <f t="shared" si="43"/>
        <v/>
      </c>
      <c r="E380" s="253"/>
      <c r="F380" s="257" t="str">
        <f t="shared" si="44"/>
        <v/>
      </c>
      <c r="G380" s="257" t="str">
        <f t="shared" si="45"/>
        <v/>
      </c>
      <c r="H380" s="257" t="str">
        <f t="shared" si="46"/>
        <v/>
      </c>
    </row>
    <row r="381" spans="1:8" x14ac:dyDescent="0.25">
      <c r="A381" s="254" t="str">
        <f t="shared" ca="1" si="47"/>
        <v/>
      </c>
      <c r="B381" s="255"/>
      <c r="C381" s="256"/>
      <c r="D381" s="257" t="str">
        <f t="shared" si="43"/>
        <v/>
      </c>
      <c r="E381" s="253"/>
      <c r="F381" s="257" t="str">
        <f t="shared" si="44"/>
        <v/>
      </c>
      <c r="G381" s="257" t="str">
        <f t="shared" si="45"/>
        <v/>
      </c>
      <c r="H381" s="257" t="str">
        <f t="shared" si="46"/>
        <v/>
      </c>
    </row>
    <row r="382" spans="1:8" x14ac:dyDescent="0.25">
      <c r="A382" s="254" t="str">
        <f t="shared" ca="1" si="47"/>
        <v/>
      </c>
      <c r="B382" s="255"/>
      <c r="C382" s="256"/>
      <c r="D382" s="257" t="str">
        <f t="shared" si="43"/>
        <v/>
      </c>
      <c r="E382" s="253"/>
      <c r="F382" s="257" t="str">
        <f t="shared" si="44"/>
        <v/>
      </c>
      <c r="G382" s="257" t="str">
        <f t="shared" si="45"/>
        <v/>
      </c>
      <c r="H382" s="257" t="str">
        <f t="shared" si="46"/>
        <v/>
      </c>
    </row>
    <row r="383" spans="1:8" x14ac:dyDescent="0.25">
      <c r="A383" s="254" t="str">
        <f t="shared" ca="1" si="47"/>
        <v/>
      </c>
      <c r="B383" s="255"/>
      <c r="C383" s="256"/>
      <c r="D383" s="257" t="str">
        <f t="shared" si="43"/>
        <v/>
      </c>
      <c r="E383" s="253"/>
      <c r="F383" s="257" t="str">
        <f t="shared" si="44"/>
        <v/>
      </c>
      <c r="G383" s="257" t="str">
        <f t="shared" si="45"/>
        <v/>
      </c>
      <c r="H383" s="257" t="str">
        <f t="shared" si="46"/>
        <v/>
      </c>
    </row>
    <row r="384" spans="1:8" x14ac:dyDescent="0.25">
      <c r="A384" s="254" t="str">
        <f t="shared" ca="1" si="47"/>
        <v/>
      </c>
      <c r="B384" s="255"/>
      <c r="C384" s="256"/>
      <c r="D384" s="257" t="str">
        <f t="shared" si="43"/>
        <v/>
      </c>
      <c r="E384" s="253"/>
      <c r="F384" s="257" t="str">
        <f t="shared" si="44"/>
        <v/>
      </c>
      <c r="G384" s="257" t="str">
        <f t="shared" si="45"/>
        <v/>
      </c>
      <c r="H384" s="257" t="str">
        <f t="shared" si="46"/>
        <v/>
      </c>
    </row>
    <row r="385" spans="1:8" x14ac:dyDescent="0.25">
      <c r="A385" s="254" t="str">
        <f t="shared" ca="1" si="47"/>
        <v/>
      </c>
      <c r="B385" s="255"/>
      <c r="C385" s="256"/>
      <c r="D385" s="257" t="str">
        <f t="shared" si="43"/>
        <v/>
      </c>
      <c r="E385" s="253"/>
      <c r="F385" s="257" t="str">
        <f t="shared" si="44"/>
        <v/>
      </c>
      <c r="G385" s="257" t="str">
        <f t="shared" si="45"/>
        <v/>
      </c>
      <c r="H385" s="257" t="str">
        <f t="shared" si="46"/>
        <v/>
      </c>
    </row>
    <row r="386" spans="1:8" x14ac:dyDescent="0.25">
      <c r="A386" s="254" t="str">
        <f t="shared" ca="1" si="47"/>
        <v/>
      </c>
      <c r="B386" s="255"/>
      <c r="C386" s="256"/>
      <c r="D386" s="257" t="str">
        <f t="shared" si="43"/>
        <v/>
      </c>
      <c r="E386" s="253"/>
      <c r="F386" s="257" t="str">
        <f t="shared" si="44"/>
        <v/>
      </c>
      <c r="G386" s="257" t="str">
        <f t="shared" si="45"/>
        <v/>
      </c>
      <c r="H386" s="257" t="str">
        <f t="shared" si="46"/>
        <v/>
      </c>
    </row>
    <row r="387" spans="1:8" x14ac:dyDescent="0.25">
      <c r="A387" s="254" t="str">
        <f t="shared" ca="1" si="47"/>
        <v/>
      </c>
      <c r="B387" s="255"/>
      <c r="C387" s="256"/>
      <c r="D387" s="257" t="str">
        <f t="shared" si="43"/>
        <v/>
      </c>
      <c r="E387" s="253"/>
      <c r="F387" s="257" t="str">
        <f t="shared" si="44"/>
        <v/>
      </c>
      <c r="G387" s="257" t="str">
        <f t="shared" si="45"/>
        <v/>
      </c>
      <c r="H387" s="257" t="str">
        <f t="shared" si="46"/>
        <v/>
      </c>
    </row>
    <row r="388" spans="1:8" x14ac:dyDescent="0.25">
      <c r="A388" s="254" t="str">
        <f t="shared" ca="1" si="47"/>
        <v/>
      </c>
      <c r="B388" s="255"/>
      <c r="C388" s="256"/>
      <c r="D388" s="257" t="str">
        <f t="shared" si="43"/>
        <v/>
      </c>
      <c r="E388" s="253"/>
      <c r="F388" s="257" t="str">
        <f t="shared" si="44"/>
        <v/>
      </c>
      <c r="G388" s="257" t="str">
        <f t="shared" si="45"/>
        <v/>
      </c>
      <c r="H388" s="257" t="str">
        <f t="shared" si="46"/>
        <v/>
      </c>
    </row>
    <row r="389" spans="1:8" x14ac:dyDescent="0.25">
      <c r="A389" s="254" t="str">
        <f t="shared" ca="1" si="47"/>
        <v/>
      </c>
      <c r="B389" s="255"/>
      <c r="C389" s="256"/>
      <c r="D389" s="257" t="str">
        <f t="shared" si="43"/>
        <v/>
      </c>
      <c r="E389" s="253"/>
      <c r="F389" s="257" t="str">
        <f t="shared" si="44"/>
        <v/>
      </c>
      <c r="G389" s="257" t="str">
        <f t="shared" si="45"/>
        <v/>
      </c>
      <c r="H389" s="257" t="str">
        <f t="shared" si="46"/>
        <v/>
      </c>
    </row>
    <row r="390" spans="1:8" x14ac:dyDescent="0.25">
      <c r="A390" s="254" t="str">
        <f t="shared" ca="1" si="47"/>
        <v/>
      </c>
      <c r="B390" s="255"/>
      <c r="C390" s="256"/>
      <c r="D390" s="257" t="str">
        <f t="shared" si="43"/>
        <v/>
      </c>
      <c r="E390" s="253"/>
      <c r="F390" s="257" t="str">
        <f t="shared" si="44"/>
        <v/>
      </c>
      <c r="G390" s="257" t="str">
        <f t="shared" si="45"/>
        <v/>
      </c>
      <c r="H390" s="257" t="str">
        <f t="shared" si="46"/>
        <v/>
      </c>
    </row>
    <row r="391" spans="1:8" x14ac:dyDescent="0.25">
      <c r="A391" s="254" t="str">
        <f t="shared" ca="1" si="47"/>
        <v/>
      </c>
      <c r="B391" s="255"/>
      <c r="C391" s="256"/>
      <c r="D391" s="257" t="str">
        <f t="shared" si="43"/>
        <v/>
      </c>
      <c r="E391" s="253"/>
      <c r="F391" s="257" t="str">
        <f t="shared" si="44"/>
        <v/>
      </c>
      <c r="G391" s="257" t="str">
        <f t="shared" si="45"/>
        <v/>
      </c>
      <c r="H391" s="257" t="str">
        <f t="shared" si="46"/>
        <v/>
      </c>
    </row>
    <row r="392" spans="1:8" x14ac:dyDescent="0.25">
      <c r="A392" s="254" t="str">
        <f t="shared" ca="1" si="47"/>
        <v/>
      </c>
      <c r="B392" s="255"/>
      <c r="C392" s="256"/>
      <c r="D392" s="257" t="str">
        <f t="shared" si="43"/>
        <v/>
      </c>
      <c r="E392" s="253"/>
      <c r="F392" s="257" t="str">
        <f t="shared" si="44"/>
        <v/>
      </c>
      <c r="G392" s="257" t="str">
        <f t="shared" si="45"/>
        <v/>
      </c>
      <c r="H392" s="257" t="str">
        <f t="shared" si="46"/>
        <v/>
      </c>
    </row>
    <row r="393" spans="1:8" x14ac:dyDescent="0.25">
      <c r="A393" s="254" t="str">
        <f t="shared" ca="1" si="47"/>
        <v/>
      </c>
      <c r="B393" s="255"/>
      <c r="C393" s="256"/>
      <c r="D393" s="257" t="str">
        <f t="shared" si="43"/>
        <v/>
      </c>
      <c r="E393" s="253"/>
      <c r="F393" s="257" t="str">
        <f t="shared" si="44"/>
        <v/>
      </c>
      <c r="G393" s="257" t="str">
        <f t="shared" si="45"/>
        <v/>
      </c>
      <c r="H393" s="257" t="str">
        <f t="shared" si="46"/>
        <v/>
      </c>
    </row>
    <row r="394" spans="1:8" x14ac:dyDescent="0.25">
      <c r="A394" s="254" t="str">
        <f t="shared" ca="1" si="47"/>
        <v/>
      </c>
      <c r="B394" s="255"/>
      <c r="C394" s="256"/>
      <c r="D394" s="257" t="str">
        <f t="shared" si="43"/>
        <v/>
      </c>
      <c r="E394" s="253"/>
      <c r="F394" s="257" t="str">
        <f t="shared" si="44"/>
        <v/>
      </c>
      <c r="G394" s="257" t="str">
        <f t="shared" si="45"/>
        <v/>
      </c>
      <c r="H394" s="257" t="str">
        <f t="shared" si="46"/>
        <v/>
      </c>
    </row>
    <row r="395" spans="1:8" x14ac:dyDescent="0.25">
      <c r="A395" s="254" t="str">
        <f t="shared" ca="1" si="47"/>
        <v/>
      </c>
      <c r="B395" s="255"/>
      <c r="C395" s="256"/>
      <c r="D395" s="257" t="str">
        <f t="shared" si="43"/>
        <v/>
      </c>
      <c r="E395" s="253"/>
      <c r="F395" s="257" t="str">
        <f t="shared" si="44"/>
        <v/>
      </c>
      <c r="G395" s="257" t="str">
        <f t="shared" si="45"/>
        <v/>
      </c>
      <c r="H395" s="257" t="str">
        <f t="shared" si="46"/>
        <v/>
      </c>
    </row>
    <row r="396" spans="1:8" x14ac:dyDescent="0.25">
      <c r="A396" s="254" t="str">
        <f t="shared" ca="1" si="47"/>
        <v/>
      </c>
      <c r="B396" s="255"/>
      <c r="C396" s="256"/>
      <c r="D396" s="257" t="str">
        <f t="shared" si="43"/>
        <v/>
      </c>
      <c r="E396" s="253"/>
      <c r="F396" s="257" t="str">
        <f t="shared" si="44"/>
        <v/>
      </c>
      <c r="G396" s="257" t="str">
        <f t="shared" si="45"/>
        <v/>
      </c>
      <c r="H396" s="257" t="str">
        <f t="shared" si="46"/>
        <v/>
      </c>
    </row>
    <row r="397" spans="1:8" x14ac:dyDescent="0.25">
      <c r="A397" s="254" t="str">
        <f t="shared" ca="1" si="47"/>
        <v/>
      </c>
      <c r="B397" s="255"/>
      <c r="C397" s="256"/>
      <c r="D397" s="257" t="str">
        <f t="shared" si="43"/>
        <v/>
      </c>
      <c r="E397" s="253"/>
      <c r="F397" s="257" t="str">
        <f t="shared" si="44"/>
        <v/>
      </c>
      <c r="G397" s="257" t="str">
        <f t="shared" si="45"/>
        <v/>
      </c>
      <c r="H397" s="257" t="str">
        <f t="shared" si="46"/>
        <v/>
      </c>
    </row>
    <row r="398" spans="1:8" x14ac:dyDescent="0.25">
      <c r="A398" s="254" t="str">
        <f t="shared" ca="1" si="47"/>
        <v/>
      </c>
      <c r="B398" s="255"/>
      <c r="C398" s="256"/>
      <c r="D398" s="257" t="str">
        <f t="shared" si="43"/>
        <v/>
      </c>
      <c r="E398" s="253"/>
      <c r="F398" s="257" t="str">
        <f t="shared" si="44"/>
        <v/>
      </c>
      <c r="G398" s="257" t="str">
        <f t="shared" si="45"/>
        <v/>
      </c>
      <c r="H398" s="257" t="str">
        <f t="shared" si="46"/>
        <v/>
      </c>
    </row>
    <row r="399" spans="1:8" x14ac:dyDescent="0.25">
      <c r="A399" s="254" t="str">
        <f t="shared" ca="1" si="47"/>
        <v/>
      </c>
      <c r="B399" s="255"/>
      <c r="C399" s="256"/>
      <c r="D399" s="257" t="str">
        <f t="shared" si="43"/>
        <v/>
      </c>
      <c r="E399" s="253"/>
      <c r="F399" s="257" t="str">
        <f t="shared" si="44"/>
        <v/>
      </c>
      <c r="G399" s="257" t="str">
        <f t="shared" si="45"/>
        <v/>
      </c>
      <c r="H399" s="257" t="str">
        <f t="shared" si="46"/>
        <v/>
      </c>
    </row>
    <row r="400" spans="1:8" x14ac:dyDescent="0.25">
      <c r="A400" s="254" t="str">
        <f t="shared" ca="1" si="47"/>
        <v/>
      </c>
      <c r="B400" s="255"/>
      <c r="C400" s="256"/>
      <c r="D400" s="257" t="str">
        <f t="shared" si="43"/>
        <v/>
      </c>
      <c r="E400" s="253"/>
      <c r="F400" s="257" t="str">
        <f t="shared" si="44"/>
        <v/>
      </c>
      <c r="G400" s="257" t="str">
        <f t="shared" si="45"/>
        <v/>
      </c>
      <c r="H400" s="257" t="str">
        <f t="shared" si="46"/>
        <v/>
      </c>
    </row>
    <row r="401" spans="1:8" x14ac:dyDescent="0.25">
      <c r="A401" s="254" t="str">
        <f t="shared" ca="1" si="47"/>
        <v/>
      </c>
      <c r="B401" s="255"/>
      <c r="C401" s="256"/>
      <c r="D401" s="257" t="str">
        <f t="shared" si="43"/>
        <v/>
      </c>
      <c r="E401" s="253"/>
      <c r="F401" s="257" t="str">
        <f t="shared" si="44"/>
        <v/>
      </c>
      <c r="G401" s="257" t="str">
        <f t="shared" si="45"/>
        <v/>
      </c>
      <c r="H401" s="257" t="str">
        <f t="shared" si="46"/>
        <v/>
      </c>
    </row>
    <row r="402" spans="1:8" x14ac:dyDescent="0.25">
      <c r="A402" s="254" t="str">
        <f t="shared" ca="1" si="47"/>
        <v/>
      </c>
      <c r="B402" s="255"/>
      <c r="C402" s="256"/>
      <c r="D402" s="257" t="str">
        <f t="shared" si="43"/>
        <v/>
      </c>
      <c r="E402" s="253"/>
      <c r="F402" s="257" t="str">
        <f t="shared" si="44"/>
        <v/>
      </c>
      <c r="G402" s="257" t="str">
        <f t="shared" si="45"/>
        <v/>
      </c>
      <c r="H402" s="257" t="str">
        <f t="shared" si="46"/>
        <v/>
      </c>
    </row>
    <row r="403" spans="1:8" x14ac:dyDescent="0.25">
      <c r="A403" s="254" t="str">
        <f t="shared" ca="1" si="47"/>
        <v/>
      </c>
      <c r="B403" s="255"/>
      <c r="C403" s="256"/>
      <c r="D403" s="257" t="str">
        <f t="shared" ref="D403:D466" si="48">IF(B403="","",ROUND((B403-B402)*$H$9*G402,2))</f>
        <v/>
      </c>
      <c r="E403" s="253"/>
      <c r="F403" s="257" t="str">
        <f t="shared" ref="F403:F466" si="49">IF(B403="","",IF(C403&gt;F402+D403,0,F402+D403-C403))</f>
        <v/>
      </c>
      <c r="G403" s="257" t="str">
        <f t="shared" ref="G403:G466" si="50">IF(B403="","",IF(C403&gt;D403+F402,G402+F402+D403-C403,G402))</f>
        <v/>
      </c>
      <c r="H403" s="257" t="str">
        <f t="shared" ref="H403:H466" si="51">IF(B403="","",G403+F403)</f>
        <v/>
      </c>
    </row>
    <row r="404" spans="1:8" x14ac:dyDescent="0.25">
      <c r="A404" s="254" t="str">
        <f t="shared" ca="1" si="47"/>
        <v/>
      </c>
      <c r="B404" s="255"/>
      <c r="C404" s="256"/>
      <c r="D404" s="257" t="str">
        <f t="shared" si="48"/>
        <v/>
      </c>
      <c r="E404" s="253"/>
      <c r="F404" s="257" t="str">
        <f t="shared" si="49"/>
        <v/>
      </c>
      <c r="G404" s="257" t="str">
        <f t="shared" si="50"/>
        <v/>
      </c>
      <c r="H404" s="257" t="str">
        <f t="shared" si="51"/>
        <v/>
      </c>
    </row>
    <row r="405" spans="1:8" x14ac:dyDescent="0.25">
      <c r="A405" s="254" t="str">
        <f t="shared" ca="1" si="47"/>
        <v/>
      </c>
      <c r="B405" s="255"/>
      <c r="C405" s="256"/>
      <c r="D405" s="257" t="str">
        <f t="shared" si="48"/>
        <v/>
      </c>
      <c r="E405" s="253"/>
      <c r="F405" s="257" t="str">
        <f t="shared" si="49"/>
        <v/>
      </c>
      <c r="G405" s="257" t="str">
        <f t="shared" si="50"/>
        <v/>
      </c>
      <c r="H405" s="257" t="str">
        <f t="shared" si="51"/>
        <v/>
      </c>
    </row>
    <row r="406" spans="1:8" x14ac:dyDescent="0.25">
      <c r="A406" s="254" t="str">
        <f t="shared" ca="1" si="47"/>
        <v/>
      </c>
      <c r="B406" s="255"/>
      <c r="C406" s="256"/>
      <c r="D406" s="257" t="str">
        <f t="shared" si="48"/>
        <v/>
      </c>
      <c r="E406" s="253"/>
      <c r="F406" s="257" t="str">
        <f t="shared" si="49"/>
        <v/>
      </c>
      <c r="G406" s="257" t="str">
        <f t="shared" si="50"/>
        <v/>
      </c>
      <c r="H406" s="257" t="str">
        <f t="shared" si="51"/>
        <v/>
      </c>
    </row>
    <row r="407" spans="1:8" x14ac:dyDescent="0.25">
      <c r="A407" s="254" t="str">
        <f t="shared" ca="1" si="47"/>
        <v/>
      </c>
      <c r="B407" s="255"/>
      <c r="C407" s="256"/>
      <c r="D407" s="257" t="str">
        <f t="shared" si="48"/>
        <v/>
      </c>
      <c r="E407" s="253"/>
      <c r="F407" s="257" t="str">
        <f t="shared" si="49"/>
        <v/>
      </c>
      <c r="G407" s="257" t="str">
        <f t="shared" si="50"/>
        <v/>
      </c>
      <c r="H407" s="257" t="str">
        <f t="shared" si="51"/>
        <v/>
      </c>
    </row>
    <row r="408" spans="1:8" x14ac:dyDescent="0.25">
      <c r="A408" s="254" t="str">
        <f t="shared" ca="1" si="47"/>
        <v/>
      </c>
      <c r="B408" s="255"/>
      <c r="C408" s="256"/>
      <c r="D408" s="257" t="str">
        <f t="shared" si="48"/>
        <v/>
      </c>
      <c r="E408" s="253"/>
      <c r="F408" s="257" t="str">
        <f t="shared" si="49"/>
        <v/>
      </c>
      <c r="G408" s="257" t="str">
        <f t="shared" si="50"/>
        <v/>
      </c>
      <c r="H408" s="257" t="str">
        <f t="shared" si="51"/>
        <v/>
      </c>
    </row>
    <row r="409" spans="1:8" x14ac:dyDescent="0.25">
      <c r="A409" s="254" t="str">
        <f t="shared" ca="1" si="47"/>
        <v/>
      </c>
      <c r="B409" s="255"/>
      <c r="C409" s="256"/>
      <c r="D409" s="257" t="str">
        <f t="shared" si="48"/>
        <v/>
      </c>
      <c r="E409" s="253"/>
      <c r="F409" s="257" t="str">
        <f t="shared" si="49"/>
        <v/>
      </c>
      <c r="G409" s="257" t="str">
        <f t="shared" si="50"/>
        <v/>
      </c>
      <c r="H409" s="257" t="str">
        <f t="shared" si="51"/>
        <v/>
      </c>
    </row>
    <row r="410" spans="1:8" x14ac:dyDescent="0.25">
      <c r="A410" s="254" t="str">
        <f t="shared" ca="1" si="47"/>
        <v/>
      </c>
      <c r="B410" s="255"/>
      <c r="C410" s="256"/>
      <c r="D410" s="257" t="str">
        <f t="shared" si="48"/>
        <v/>
      </c>
      <c r="E410" s="253"/>
      <c r="F410" s="257" t="str">
        <f t="shared" si="49"/>
        <v/>
      </c>
      <c r="G410" s="257" t="str">
        <f t="shared" si="50"/>
        <v/>
      </c>
      <c r="H410" s="257" t="str">
        <f t="shared" si="51"/>
        <v/>
      </c>
    </row>
    <row r="411" spans="1:8" x14ac:dyDescent="0.25">
      <c r="A411" s="254" t="str">
        <f t="shared" ca="1" si="47"/>
        <v/>
      </c>
      <c r="B411" s="255"/>
      <c r="C411" s="256"/>
      <c r="D411" s="257" t="str">
        <f t="shared" si="48"/>
        <v/>
      </c>
      <c r="E411" s="253"/>
      <c r="F411" s="257" t="str">
        <f t="shared" si="49"/>
        <v/>
      </c>
      <c r="G411" s="257" t="str">
        <f t="shared" si="50"/>
        <v/>
      </c>
      <c r="H411" s="257" t="str">
        <f t="shared" si="51"/>
        <v/>
      </c>
    </row>
    <row r="412" spans="1:8" x14ac:dyDescent="0.25">
      <c r="A412" s="254" t="str">
        <f t="shared" ca="1" si="47"/>
        <v/>
      </c>
      <c r="B412" s="255"/>
      <c r="C412" s="256"/>
      <c r="D412" s="257" t="str">
        <f t="shared" si="48"/>
        <v/>
      </c>
      <c r="E412" s="253"/>
      <c r="F412" s="257" t="str">
        <f t="shared" si="49"/>
        <v/>
      </c>
      <c r="G412" s="257" t="str">
        <f t="shared" si="50"/>
        <v/>
      </c>
      <c r="H412" s="257" t="str">
        <f t="shared" si="51"/>
        <v/>
      </c>
    </row>
    <row r="413" spans="1:8" x14ac:dyDescent="0.25">
      <c r="A413" s="254" t="str">
        <f t="shared" ca="1" si="47"/>
        <v/>
      </c>
      <c r="B413" s="255"/>
      <c r="C413" s="256"/>
      <c r="D413" s="257" t="str">
        <f t="shared" si="48"/>
        <v/>
      </c>
      <c r="E413" s="253"/>
      <c r="F413" s="257" t="str">
        <f t="shared" si="49"/>
        <v/>
      </c>
      <c r="G413" s="257" t="str">
        <f t="shared" si="50"/>
        <v/>
      </c>
      <c r="H413" s="257" t="str">
        <f t="shared" si="51"/>
        <v/>
      </c>
    </row>
    <row r="414" spans="1:8" x14ac:dyDescent="0.25">
      <c r="A414" s="254" t="str">
        <f t="shared" ca="1" si="47"/>
        <v/>
      </c>
      <c r="B414" s="255"/>
      <c r="C414" s="256"/>
      <c r="D414" s="257" t="str">
        <f t="shared" si="48"/>
        <v/>
      </c>
      <c r="E414" s="253"/>
      <c r="F414" s="257" t="str">
        <f t="shared" si="49"/>
        <v/>
      </c>
      <c r="G414" s="257" t="str">
        <f t="shared" si="50"/>
        <v/>
      </c>
      <c r="H414" s="257" t="str">
        <f t="shared" si="51"/>
        <v/>
      </c>
    </row>
    <row r="415" spans="1:8" x14ac:dyDescent="0.25">
      <c r="A415" s="254" t="str">
        <f t="shared" ca="1" si="47"/>
        <v/>
      </c>
      <c r="B415" s="255"/>
      <c r="C415" s="256"/>
      <c r="D415" s="257" t="str">
        <f t="shared" si="48"/>
        <v/>
      </c>
      <c r="E415" s="253"/>
      <c r="F415" s="257" t="str">
        <f t="shared" si="49"/>
        <v/>
      </c>
      <c r="G415" s="257" t="str">
        <f t="shared" si="50"/>
        <v/>
      </c>
      <c r="H415" s="257" t="str">
        <f t="shared" si="51"/>
        <v/>
      </c>
    </row>
    <row r="416" spans="1:8" x14ac:dyDescent="0.25">
      <c r="A416" s="254" t="str">
        <f t="shared" ca="1" si="47"/>
        <v/>
      </c>
      <c r="B416" s="255"/>
      <c r="C416" s="256"/>
      <c r="D416" s="257" t="str">
        <f t="shared" si="48"/>
        <v/>
      </c>
      <c r="E416" s="253"/>
      <c r="F416" s="257" t="str">
        <f t="shared" si="49"/>
        <v/>
      </c>
      <c r="G416" s="257" t="str">
        <f t="shared" si="50"/>
        <v/>
      </c>
      <c r="H416" s="257" t="str">
        <f t="shared" si="51"/>
        <v/>
      </c>
    </row>
    <row r="417" spans="1:8" x14ac:dyDescent="0.25">
      <c r="A417" s="254" t="str">
        <f t="shared" ca="1" si="47"/>
        <v/>
      </c>
      <c r="B417" s="255"/>
      <c r="C417" s="256"/>
      <c r="D417" s="257" t="str">
        <f t="shared" si="48"/>
        <v/>
      </c>
      <c r="E417" s="253"/>
      <c r="F417" s="257" t="str">
        <f t="shared" si="49"/>
        <v/>
      </c>
      <c r="G417" s="257" t="str">
        <f t="shared" si="50"/>
        <v/>
      </c>
      <c r="H417" s="257" t="str">
        <f t="shared" si="51"/>
        <v/>
      </c>
    </row>
    <row r="418" spans="1:8" x14ac:dyDescent="0.25">
      <c r="A418" s="254" t="str">
        <f t="shared" ca="1" si="47"/>
        <v/>
      </c>
      <c r="B418" s="255"/>
      <c r="C418" s="256"/>
      <c r="D418" s="257" t="str">
        <f t="shared" si="48"/>
        <v/>
      </c>
      <c r="E418" s="253"/>
      <c r="F418" s="257" t="str">
        <f t="shared" si="49"/>
        <v/>
      </c>
      <c r="G418" s="257" t="str">
        <f t="shared" si="50"/>
        <v/>
      </c>
      <c r="H418" s="257" t="str">
        <f t="shared" si="51"/>
        <v/>
      </c>
    </row>
    <row r="419" spans="1:8" x14ac:dyDescent="0.25">
      <c r="A419" s="254" t="str">
        <f t="shared" ca="1" si="47"/>
        <v/>
      </c>
      <c r="B419" s="255"/>
      <c r="C419" s="256"/>
      <c r="D419" s="257" t="str">
        <f t="shared" si="48"/>
        <v/>
      </c>
      <c r="E419" s="253"/>
      <c r="F419" s="257" t="str">
        <f t="shared" si="49"/>
        <v/>
      </c>
      <c r="G419" s="257" t="str">
        <f t="shared" si="50"/>
        <v/>
      </c>
      <c r="H419" s="257" t="str">
        <f t="shared" si="51"/>
        <v/>
      </c>
    </row>
    <row r="420" spans="1:8" x14ac:dyDescent="0.25">
      <c r="A420" s="254" t="str">
        <f t="shared" ca="1" si="47"/>
        <v/>
      </c>
      <c r="B420" s="255"/>
      <c r="C420" s="256"/>
      <c r="D420" s="257" t="str">
        <f t="shared" si="48"/>
        <v/>
      </c>
      <c r="E420" s="253"/>
      <c r="F420" s="257" t="str">
        <f t="shared" si="49"/>
        <v/>
      </c>
      <c r="G420" s="257" t="str">
        <f t="shared" si="50"/>
        <v/>
      </c>
      <c r="H420" s="257" t="str">
        <f t="shared" si="51"/>
        <v/>
      </c>
    </row>
    <row r="421" spans="1:8" x14ac:dyDescent="0.25">
      <c r="A421" s="254" t="str">
        <f t="shared" ca="1" si="47"/>
        <v/>
      </c>
      <c r="B421" s="255"/>
      <c r="C421" s="256"/>
      <c r="D421" s="257" t="str">
        <f t="shared" si="48"/>
        <v/>
      </c>
      <c r="E421" s="253"/>
      <c r="F421" s="257" t="str">
        <f t="shared" si="49"/>
        <v/>
      </c>
      <c r="G421" s="257" t="str">
        <f t="shared" si="50"/>
        <v/>
      </c>
      <c r="H421" s="257" t="str">
        <f t="shared" si="51"/>
        <v/>
      </c>
    </row>
    <row r="422" spans="1:8" x14ac:dyDescent="0.25">
      <c r="A422" s="254" t="str">
        <f t="shared" ca="1" si="47"/>
        <v/>
      </c>
      <c r="B422" s="255"/>
      <c r="C422" s="256"/>
      <c r="D422" s="257" t="str">
        <f t="shared" si="48"/>
        <v/>
      </c>
      <c r="E422" s="253"/>
      <c r="F422" s="257" t="str">
        <f t="shared" si="49"/>
        <v/>
      </c>
      <c r="G422" s="257" t="str">
        <f t="shared" si="50"/>
        <v/>
      </c>
      <c r="H422" s="257" t="str">
        <f t="shared" si="51"/>
        <v/>
      </c>
    </row>
    <row r="423" spans="1:8" x14ac:dyDescent="0.25">
      <c r="A423" s="254" t="str">
        <f t="shared" ca="1" si="47"/>
        <v/>
      </c>
      <c r="B423" s="255"/>
      <c r="C423" s="256"/>
      <c r="D423" s="257" t="str">
        <f t="shared" si="48"/>
        <v/>
      </c>
      <c r="E423" s="253"/>
      <c r="F423" s="257" t="str">
        <f t="shared" si="49"/>
        <v/>
      </c>
      <c r="G423" s="257" t="str">
        <f t="shared" si="50"/>
        <v/>
      </c>
      <c r="H423" s="257" t="str">
        <f t="shared" si="51"/>
        <v/>
      </c>
    </row>
    <row r="424" spans="1:8" x14ac:dyDescent="0.25">
      <c r="A424" s="254" t="str">
        <f t="shared" ca="1" si="47"/>
        <v/>
      </c>
      <c r="B424" s="255"/>
      <c r="C424" s="256"/>
      <c r="D424" s="257" t="str">
        <f t="shared" si="48"/>
        <v/>
      </c>
      <c r="E424" s="253"/>
      <c r="F424" s="257" t="str">
        <f t="shared" si="49"/>
        <v/>
      </c>
      <c r="G424" s="257" t="str">
        <f t="shared" si="50"/>
        <v/>
      </c>
      <c r="H424" s="257" t="str">
        <f t="shared" si="51"/>
        <v/>
      </c>
    </row>
    <row r="425" spans="1:8" x14ac:dyDescent="0.25">
      <c r="A425" s="254" t="str">
        <f t="shared" ref="A425:A488" ca="1" si="52">IF(OR(H424&lt;=0,H424=""),"",OFFSET(A425,-1,0,1,1)+1)</f>
        <v/>
      </c>
      <c r="B425" s="255"/>
      <c r="C425" s="256"/>
      <c r="D425" s="257" t="str">
        <f t="shared" si="48"/>
        <v/>
      </c>
      <c r="E425" s="253"/>
      <c r="F425" s="257" t="str">
        <f t="shared" si="49"/>
        <v/>
      </c>
      <c r="G425" s="257" t="str">
        <f t="shared" si="50"/>
        <v/>
      </c>
      <c r="H425" s="257" t="str">
        <f t="shared" si="51"/>
        <v/>
      </c>
    </row>
    <row r="426" spans="1:8" x14ac:dyDescent="0.25">
      <c r="A426" s="254" t="str">
        <f t="shared" ca="1" si="52"/>
        <v/>
      </c>
      <c r="B426" s="255"/>
      <c r="C426" s="256"/>
      <c r="D426" s="257" t="str">
        <f t="shared" si="48"/>
        <v/>
      </c>
      <c r="E426" s="253"/>
      <c r="F426" s="257" t="str">
        <f t="shared" si="49"/>
        <v/>
      </c>
      <c r="G426" s="257" t="str">
        <f t="shared" si="50"/>
        <v/>
      </c>
      <c r="H426" s="257" t="str">
        <f t="shared" si="51"/>
        <v/>
      </c>
    </row>
    <row r="427" spans="1:8" x14ac:dyDescent="0.25">
      <c r="A427" s="254" t="str">
        <f t="shared" ca="1" si="52"/>
        <v/>
      </c>
      <c r="B427" s="255"/>
      <c r="C427" s="256"/>
      <c r="D427" s="257" t="str">
        <f t="shared" si="48"/>
        <v/>
      </c>
      <c r="E427" s="253"/>
      <c r="F427" s="257" t="str">
        <f t="shared" si="49"/>
        <v/>
      </c>
      <c r="G427" s="257" t="str">
        <f t="shared" si="50"/>
        <v/>
      </c>
      <c r="H427" s="257" t="str">
        <f t="shared" si="51"/>
        <v/>
      </c>
    </row>
    <row r="428" spans="1:8" x14ac:dyDescent="0.25">
      <c r="A428" s="254" t="str">
        <f t="shared" ca="1" si="52"/>
        <v/>
      </c>
      <c r="B428" s="255"/>
      <c r="C428" s="256"/>
      <c r="D428" s="257" t="str">
        <f t="shared" si="48"/>
        <v/>
      </c>
      <c r="E428" s="253"/>
      <c r="F428" s="257" t="str">
        <f t="shared" si="49"/>
        <v/>
      </c>
      <c r="G428" s="257" t="str">
        <f t="shared" si="50"/>
        <v/>
      </c>
      <c r="H428" s="257" t="str">
        <f t="shared" si="51"/>
        <v/>
      </c>
    </row>
    <row r="429" spans="1:8" x14ac:dyDescent="0.25">
      <c r="A429" s="254" t="str">
        <f t="shared" ca="1" si="52"/>
        <v/>
      </c>
      <c r="B429" s="255"/>
      <c r="C429" s="256"/>
      <c r="D429" s="257" t="str">
        <f t="shared" si="48"/>
        <v/>
      </c>
      <c r="E429" s="253"/>
      <c r="F429" s="257" t="str">
        <f t="shared" si="49"/>
        <v/>
      </c>
      <c r="G429" s="257" t="str">
        <f t="shared" si="50"/>
        <v/>
      </c>
      <c r="H429" s="257" t="str">
        <f t="shared" si="51"/>
        <v/>
      </c>
    </row>
    <row r="430" spans="1:8" x14ac:dyDescent="0.25">
      <c r="A430" s="254" t="str">
        <f t="shared" ca="1" si="52"/>
        <v/>
      </c>
      <c r="B430" s="255"/>
      <c r="C430" s="256"/>
      <c r="D430" s="257" t="str">
        <f t="shared" si="48"/>
        <v/>
      </c>
      <c r="E430" s="253"/>
      <c r="F430" s="257" t="str">
        <f t="shared" si="49"/>
        <v/>
      </c>
      <c r="G430" s="257" t="str">
        <f t="shared" si="50"/>
        <v/>
      </c>
      <c r="H430" s="257" t="str">
        <f t="shared" si="51"/>
        <v/>
      </c>
    </row>
    <row r="431" spans="1:8" x14ac:dyDescent="0.25">
      <c r="A431" s="254" t="str">
        <f t="shared" ca="1" si="52"/>
        <v/>
      </c>
      <c r="B431" s="255"/>
      <c r="C431" s="256"/>
      <c r="D431" s="257" t="str">
        <f t="shared" si="48"/>
        <v/>
      </c>
      <c r="E431" s="253"/>
      <c r="F431" s="257" t="str">
        <f t="shared" si="49"/>
        <v/>
      </c>
      <c r="G431" s="257" t="str">
        <f t="shared" si="50"/>
        <v/>
      </c>
      <c r="H431" s="257" t="str">
        <f t="shared" si="51"/>
        <v/>
      </c>
    </row>
    <row r="432" spans="1:8" x14ac:dyDescent="0.25">
      <c r="A432" s="254" t="str">
        <f t="shared" ca="1" si="52"/>
        <v/>
      </c>
      <c r="B432" s="255"/>
      <c r="C432" s="256"/>
      <c r="D432" s="257" t="str">
        <f t="shared" si="48"/>
        <v/>
      </c>
      <c r="E432" s="253"/>
      <c r="F432" s="257" t="str">
        <f t="shared" si="49"/>
        <v/>
      </c>
      <c r="G432" s="257" t="str">
        <f t="shared" si="50"/>
        <v/>
      </c>
      <c r="H432" s="257" t="str">
        <f t="shared" si="51"/>
        <v/>
      </c>
    </row>
    <row r="433" spans="1:8" x14ac:dyDescent="0.25">
      <c r="A433" s="254" t="str">
        <f t="shared" ca="1" si="52"/>
        <v/>
      </c>
      <c r="B433" s="255"/>
      <c r="C433" s="256"/>
      <c r="D433" s="257" t="str">
        <f t="shared" si="48"/>
        <v/>
      </c>
      <c r="E433" s="253"/>
      <c r="F433" s="257" t="str">
        <f t="shared" si="49"/>
        <v/>
      </c>
      <c r="G433" s="257" t="str">
        <f t="shared" si="50"/>
        <v/>
      </c>
      <c r="H433" s="257" t="str">
        <f t="shared" si="51"/>
        <v/>
      </c>
    </row>
    <row r="434" spans="1:8" x14ac:dyDescent="0.25">
      <c r="A434" s="254" t="str">
        <f t="shared" ca="1" si="52"/>
        <v/>
      </c>
      <c r="B434" s="255"/>
      <c r="C434" s="256"/>
      <c r="D434" s="257" t="str">
        <f t="shared" si="48"/>
        <v/>
      </c>
      <c r="E434" s="253"/>
      <c r="F434" s="257" t="str">
        <f t="shared" si="49"/>
        <v/>
      </c>
      <c r="G434" s="257" t="str">
        <f t="shared" si="50"/>
        <v/>
      </c>
      <c r="H434" s="257" t="str">
        <f t="shared" si="51"/>
        <v/>
      </c>
    </row>
    <row r="435" spans="1:8" x14ac:dyDescent="0.25">
      <c r="A435" s="254" t="str">
        <f t="shared" ca="1" si="52"/>
        <v/>
      </c>
      <c r="B435" s="255"/>
      <c r="C435" s="256"/>
      <c r="D435" s="257" t="str">
        <f t="shared" si="48"/>
        <v/>
      </c>
      <c r="E435" s="253"/>
      <c r="F435" s="257" t="str">
        <f t="shared" si="49"/>
        <v/>
      </c>
      <c r="G435" s="257" t="str">
        <f t="shared" si="50"/>
        <v/>
      </c>
      <c r="H435" s="257" t="str">
        <f t="shared" si="51"/>
        <v/>
      </c>
    </row>
    <row r="436" spans="1:8" x14ac:dyDescent="0.25">
      <c r="A436" s="254" t="str">
        <f t="shared" ca="1" si="52"/>
        <v/>
      </c>
      <c r="B436" s="255"/>
      <c r="C436" s="256"/>
      <c r="D436" s="257" t="str">
        <f t="shared" si="48"/>
        <v/>
      </c>
      <c r="E436" s="253"/>
      <c r="F436" s="257" t="str">
        <f t="shared" si="49"/>
        <v/>
      </c>
      <c r="G436" s="257" t="str">
        <f t="shared" si="50"/>
        <v/>
      </c>
      <c r="H436" s="257" t="str">
        <f t="shared" si="51"/>
        <v/>
      </c>
    </row>
    <row r="437" spans="1:8" x14ac:dyDescent="0.25">
      <c r="A437" s="254" t="str">
        <f t="shared" ca="1" si="52"/>
        <v/>
      </c>
      <c r="B437" s="255"/>
      <c r="C437" s="256"/>
      <c r="D437" s="257" t="str">
        <f t="shared" si="48"/>
        <v/>
      </c>
      <c r="E437" s="253"/>
      <c r="F437" s="257" t="str">
        <f t="shared" si="49"/>
        <v/>
      </c>
      <c r="G437" s="257" t="str">
        <f t="shared" si="50"/>
        <v/>
      </c>
      <c r="H437" s="257" t="str">
        <f t="shared" si="51"/>
        <v/>
      </c>
    </row>
    <row r="438" spans="1:8" x14ac:dyDescent="0.25">
      <c r="A438" s="254" t="str">
        <f t="shared" ca="1" si="52"/>
        <v/>
      </c>
      <c r="B438" s="255"/>
      <c r="C438" s="256"/>
      <c r="D438" s="257" t="str">
        <f t="shared" si="48"/>
        <v/>
      </c>
      <c r="E438" s="253"/>
      <c r="F438" s="257" t="str">
        <f t="shared" si="49"/>
        <v/>
      </c>
      <c r="G438" s="257" t="str">
        <f t="shared" si="50"/>
        <v/>
      </c>
      <c r="H438" s="257" t="str">
        <f t="shared" si="51"/>
        <v/>
      </c>
    </row>
    <row r="439" spans="1:8" x14ac:dyDescent="0.25">
      <c r="A439" s="254" t="str">
        <f t="shared" ca="1" si="52"/>
        <v/>
      </c>
      <c r="B439" s="255"/>
      <c r="C439" s="256"/>
      <c r="D439" s="257" t="str">
        <f t="shared" si="48"/>
        <v/>
      </c>
      <c r="E439" s="253"/>
      <c r="F439" s="257" t="str">
        <f t="shared" si="49"/>
        <v/>
      </c>
      <c r="G439" s="257" t="str">
        <f t="shared" si="50"/>
        <v/>
      </c>
      <c r="H439" s="257" t="str">
        <f t="shared" si="51"/>
        <v/>
      </c>
    </row>
    <row r="440" spans="1:8" x14ac:dyDescent="0.25">
      <c r="A440" s="254" t="str">
        <f t="shared" ca="1" si="52"/>
        <v/>
      </c>
      <c r="B440" s="255"/>
      <c r="C440" s="256"/>
      <c r="D440" s="257" t="str">
        <f t="shared" si="48"/>
        <v/>
      </c>
      <c r="E440" s="253"/>
      <c r="F440" s="257" t="str">
        <f t="shared" si="49"/>
        <v/>
      </c>
      <c r="G440" s="257" t="str">
        <f t="shared" si="50"/>
        <v/>
      </c>
      <c r="H440" s="257" t="str">
        <f t="shared" si="51"/>
        <v/>
      </c>
    </row>
    <row r="441" spans="1:8" x14ac:dyDescent="0.25">
      <c r="A441" s="254" t="str">
        <f t="shared" ca="1" si="52"/>
        <v/>
      </c>
      <c r="B441" s="255"/>
      <c r="C441" s="256"/>
      <c r="D441" s="257" t="str">
        <f t="shared" si="48"/>
        <v/>
      </c>
      <c r="E441" s="253"/>
      <c r="F441" s="257" t="str">
        <f t="shared" si="49"/>
        <v/>
      </c>
      <c r="G441" s="257" t="str">
        <f t="shared" si="50"/>
        <v/>
      </c>
      <c r="H441" s="257" t="str">
        <f t="shared" si="51"/>
        <v/>
      </c>
    </row>
    <row r="442" spans="1:8" x14ac:dyDescent="0.25">
      <c r="A442" s="254" t="str">
        <f t="shared" ca="1" si="52"/>
        <v/>
      </c>
      <c r="B442" s="255"/>
      <c r="C442" s="256"/>
      <c r="D442" s="257" t="str">
        <f t="shared" si="48"/>
        <v/>
      </c>
      <c r="E442" s="253"/>
      <c r="F442" s="257" t="str">
        <f t="shared" si="49"/>
        <v/>
      </c>
      <c r="G442" s="257" t="str">
        <f t="shared" si="50"/>
        <v/>
      </c>
      <c r="H442" s="257" t="str">
        <f t="shared" si="51"/>
        <v/>
      </c>
    </row>
    <row r="443" spans="1:8" x14ac:dyDescent="0.25">
      <c r="A443" s="254" t="str">
        <f t="shared" ca="1" si="52"/>
        <v/>
      </c>
      <c r="B443" s="255"/>
      <c r="C443" s="256"/>
      <c r="D443" s="257" t="str">
        <f t="shared" si="48"/>
        <v/>
      </c>
      <c r="E443" s="253"/>
      <c r="F443" s="257" t="str">
        <f t="shared" si="49"/>
        <v/>
      </c>
      <c r="G443" s="257" t="str">
        <f t="shared" si="50"/>
        <v/>
      </c>
      <c r="H443" s="257" t="str">
        <f t="shared" si="51"/>
        <v/>
      </c>
    </row>
    <row r="444" spans="1:8" x14ac:dyDescent="0.25">
      <c r="A444" s="254" t="str">
        <f t="shared" ca="1" si="52"/>
        <v/>
      </c>
      <c r="B444" s="255"/>
      <c r="C444" s="256"/>
      <c r="D444" s="257" t="str">
        <f t="shared" si="48"/>
        <v/>
      </c>
      <c r="E444" s="253"/>
      <c r="F444" s="257" t="str">
        <f t="shared" si="49"/>
        <v/>
      </c>
      <c r="G444" s="257" t="str">
        <f t="shared" si="50"/>
        <v/>
      </c>
      <c r="H444" s="257" t="str">
        <f t="shared" si="51"/>
        <v/>
      </c>
    </row>
    <row r="445" spans="1:8" x14ac:dyDescent="0.25">
      <c r="A445" s="254" t="str">
        <f t="shared" ca="1" si="52"/>
        <v/>
      </c>
      <c r="B445" s="255"/>
      <c r="C445" s="256"/>
      <c r="D445" s="257" t="str">
        <f t="shared" si="48"/>
        <v/>
      </c>
      <c r="E445" s="253"/>
      <c r="F445" s="257" t="str">
        <f t="shared" si="49"/>
        <v/>
      </c>
      <c r="G445" s="257" t="str">
        <f t="shared" si="50"/>
        <v/>
      </c>
      <c r="H445" s="257" t="str">
        <f t="shared" si="51"/>
        <v/>
      </c>
    </row>
    <row r="446" spans="1:8" x14ac:dyDescent="0.25">
      <c r="A446" s="254" t="str">
        <f t="shared" ca="1" si="52"/>
        <v/>
      </c>
      <c r="B446" s="255"/>
      <c r="C446" s="256"/>
      <c r="D446" s="257" t="str">
        <f t="shared" si="48"/>
        <v/>
      </c>
      <c r="E446" s="253"/>
      <c r="F446" s="257" t="str">
        <f t="shared" si="49"/>
        <v/>
      </c>
      <c r="G446" s="257" t="str">
        <f t="shared" si="50"/>
        <v/>
      </c>
      <c r="H446" s="257" t="str">
        <f t="shared" si="51"/>
        <v/>
      </c>
    </row>
    <row r="447" spans="1:8" x14ac:dyDescent="0.25">
      <c r="A447" s="254" t="str">
        <f t="shared" ca="1" si="52"/>
        <v/>
      </c>
      <c r="B447" s="255"/>
      <c r="C447" s="256"/>
      <c r="D447" s="257" t="str">
        <f t="shared" si="48"/>
        <v/>
      </c>
      <c r="E447" s="253"/>
      <c r="F447" s="257" t="str">
        <f t="shared" si="49"/>
        <v/>
      </c>
      <c r="G447" s="257" t="str">
        <f t="shared" si="50"/>
        <v/>
      </c>
      <c r="H447" s="257" t="str">
        <f t="shared" si="51"/>
        <v/>
      </c>
    </row>
    <row r="448" spans="1:8" x14ac:dyDescent="0.25">
      <c r="A448" s="254" t="str">
        <f t="shared" ca="1" si="52"/>
        <v/>
      </c>
      <c r="B448" s="255"/>
      <c r="C448" s="256"/>
      <c r="D448" s="257" t="str">
        <f t="shared" si="48"/>
        <v/>
      </c>
      <c r="E448" s="253"/>
      <c r="F448" s="257" t="str">
        <f t="shared" si="49"/>
        <v/>
      </c>
      <c r="G448" s="257" t="str">
        <f t="shared" si="50"/>
        <v/>
      </c>
      <c r="H448" s="257" t="str">
        <f t="shared" si="51"/>
        <v/>
      </c>
    </row>
    <row r="449" spans="1:8" x14ac:dyDescent="0.25">
      <c r="A449" s="254" t="str">
        <f t="shared" ca="1" si="52"/>
        <v/>
      </c>
      <c r="B449" s="255"/>
      <c r="C449" s="256"/>
      <c r="D449" s="257" t="str">
        <f t="shared" si="48"/>
        <v/>
      </c>
      <c r="E449" s="253"/>
      <c r="F449" s="257" t="str">
        <f t="shared" si="49"/>
        <v/>
      </c>
      <c r="G449" s="257" t="str">
        <f t="shared" si="50"/>
        <v/>
      </c>
      <c r="H449" s="257" t="str">
        <f t="shared" si="51"/>
        <v/>
      </c>
    </row>
    <row r="450" spans="1:8" x14ac:dyDescent="0.25">
      <c r="A450" s="254" t="str">
        <f t="shared" ca="1" si="52"/>
        <v/>
      </c>
      <c r="B450" s="255"/>
      <c r="C450" s="256"/>
      <c r="D450" s="257" t="str">
        <f t="shared" si="48"/>
        <v/>
      </c>
      <c r="E450" s="253"/>
      <c r="F450" s="257" t="str">
        <f t="shared" si="49"/>
        <v/>
      </c>
      <c r="G450" s="257" t="str">
        <f t="shared" si="50"/>
        <v/>
      </c>
      <c r="H450" s="257" t="str">
        <f t="shared" si="51"/>
        <v/>
      </c>
    </row>
    <row r="451" spans="1:8" x14ac:dyDescent="0.25">
      <c r="A451" s="254" t="str">
        <f t="shared" ca="1" si="52"/>
        <v/>
      </c>
      <c r="B451" s="255"/>
      <c r="C451" s="256"/>
      <c r="D451" s="257" t="str">
        <f t="shared" si="48"/>
        <v/>
      </c>
      <c r="E451" s="253"/>
      <c r="F451" s="257" t="str">
        <f t="shared" si="49"/>
        <v/>
      </c>
      <c r="G451" s="257" t="str">
        <f t="shared" si="50"/>
        <v/>
      </c>
      <c r="H451" s="257" t="str">
        <f t="shared" si="51"/>
        <v/>
      </c>
    </row>
    <row r="452" spans="1:8" x14ac:dyDescent="0.25">
      <c r="A452" s="254" t="str">
        <f t="shared" ca="1" si="52"/>
        <v/>
      </c>
      <c r="B452" s="255"/>
      <c r="C452" s="256"/>
      <c r="D452" s="257" t="str">
        <f t="shared" si="48"/>
        <v/>
      </c>
      <c r="E452" s="253"/>
      <c r="F452" s="257" t="str">
        <f t="shared" si="49"/>
        <v/>
      </c>
      <c r="G452" s="257" t="str">
        <f t="shared" si="50"/>
        <v/>
      </c>
      <c r="H452" s="257" t="str">
        <f t="shared" si="51"/>
        <v/>
      </c>
    </row>
    <row r="453" spans="1:8" x14ac:dyDescent="0.25">
      <c r="A453" s="254" t="str">
        <f t="shared" ca="1" si="52"/>
        <v/>
      </c>
      <c r="B453" s="255"/>
      <c r="C453" s="256"/>
      <c r="D453" s="257" t="str">
        <f t="shared" si="48"/>
        <v/>
      </c>
      <c r="E453" s="253"/>
      <c r="F453" s="257" t="str">
        <f t="shared" si="49"/>
        <v/>
      </c>
      <c r="G453" s="257" t="str">
        <f t="shared" si="50"/>
        <v/>
      </c>
      <c r="H453" s="257" t="str">
        <f t="shared" si="51"/>
        <v/>
      </c>
    </row>
    <row r="454" spans="1:8" x14ac:dyDescent="0.25">
      <c r="A454" s="254" t="str">
        <f t="shared" ca="1" si="52"/>
        <v/>
      </c>
      <c r="B454" s="255"/>
      <c r="C454" s="256"/>
      <c r="D454" s="257" t="str">
        <f t="shared" si="48"/>
        <v/>
      </c>
      <c r="E454" s="253"/>
      <c r="F454" s="257" t="str">
        <f t="shared" si="49"/>
        <v/>
      </c>
      <c r="G454" s="257" t="str">
        <f t="shared" si="50"/>
        <v/>
      </c>
      <c r="H454" s="257" t="str">
        <f t="shared" si="51"/>
        <v/>
      </c>
    </row>
    <row r="455" spans="1:8" x14ac:dyDescent="0.25">
      <c r="A455" s="254" t="str">
        <f t="shared" ca="1" si="52"/>
        <v/>
      </c>
      <c r="B455" s="255"/>
      <c r="C455" s="256"/>
      <c r="D455" s="257" t="str">
        <f t="shared" si="48"/>
        <v/>
      </c>
      <c r="E455" s="253"/>
      <c r="F455" s="257" t="str">
        <f t="shared" si="49"/>
        <v/>
      </c>
      <c r="G455" s="257" t="str">
        <f t="shared" si="50"/>
        <v/>
      </c>
      <c r="H455" s="257" t="str">
        <f t="shared" si="51"/>
        <v/>
      </c>
    </row>
    <row r="456" spans="1:8" x14ac:dyDescent="0.25">
      <c r="A456" s="254" t="str">
        <f t="shared" ca="1" si="52"/>
        <v/>
      </c>
      <c r="B456" s="255"/>
      <c r="C456" s="256"/>
      <c r="D456" s="257" t="str">
        <f t="shared" si="48"/>
        <v/>
      </c>
      <c r="E456" s="253"/>
      <c r="F456" s="257" t="str">
        <f t="shared" si="49"/>
        <v/>
      </c>
      <c r="G456" s="257" t="str">
        <f t="shared" si="50"/>
        <v/>
      </c>
      <c r="H456" s="257" t="str">
        <f t="shared" si="51"/>
        <v/>
      </c>
    </row>
    <row r="457" spans="1:8" x14ac:dyDescent="0.25">
      <c r="A457" s="254" t="str">
        <f t="shared" ca="1" si="52"/>
        <v/>
      </c>
      <c r="B457" s="255"/>
      <c r="C457" s="256"/>
      <c r="D457" s="257" t="str">
        <f t="shared" si="48"/>
        <v/>
      </c>
      <c r="E457" s="253"/>
      <c r="F457" s="257" t="str">
        <f t="shared" si="49"/>
        <v/>
      </c>
      <c r="G457" s="257" t="str">
        <f t="shared" si="50"/>
        <v/>
      </c>
      <c r="H457" s="257" t="str">
        <f t="shared" si="51"/>
        <v/>
      </c>
    </row>
    <row r="458" spans="1:8" x14ac:dyDescent="0.25">
      <c r="A458" s="254" t="str">
        <f t="shared" ca="1" si="52"/>
        <v/>
      </c>
      <c r="B458" s="255"/>
      <c r="C458" s="256"/>
      <c r="D458" s="257" t="str">
        <f t="shared" si="48"/>
        <v/>
      </c>
      <c r="E458" s="253"/>
      <c r="F458" s="257" t="str">
        <f t="shared" si="49"/>
        <v/>
      </c>
      <c r="G458" s="257" t="str">
        <f t="shared" si="50"/>
        <v/>
      </c>
      <c r="H458" s="257" t="str">
        <f t="shared" si="51"/>
        <v/>
      </c>
    </row>
    <row r="459" spans="1:8" x14ac:dyDescent="0.25">
      <c r="A459" s="254" t="str">
        <f t="shared" ca="1" si="52"/>
        <v/>
      </c>
      <c r="B459" s="255"/>
      <c r="C459" s="256"/>
      <c r="D459" s="257" t="str">
        <f t="shared" si="48"/>
        <v/>
      </c>
      <c r="E459" s="253"/>
      <c r="F459" s="257" t="str">
        <f t="shared" si="49"/>
        <v/>
      </c>
      <c r="G459" s="257" t="str">
        <f t="shared" si="50"/>
        <v/>
      </c>
      <c r="H459" s="257" t="str">
        <f t="shared" si="51"/>
        <v/>
      </c>
    </row>
    <row r="460" spans="1:8" x14ac:dyDescent="0.25">
      <c r="A460" s="254" t="str">
        <f t="shared" ca="1" si="52"/>
        <v/>
      </c>
      <c r="B460" s="255"/>
      <c r="C460" s="256"/>
      <c r="D460" s="257" t="str">
        <f t="shared" si="48"/>
        <v/>
      </c>
      <c r="E460" s="253"/>
      <c r="F460" s="257" t="str">
        <f t="shared" si="49"/>
        <v/>
      </c>
      <c r="G460" s="257" t="str">
        <f t="shared" si="50"/>
        <v/>
      </c>
      <c r="H460" s="257" t="str">
        <f t="shared" si="51"/>
        <v/>
      </c>
    </row>
    <row r="461" spans="1:8" x14ac:dyDescent="0.25">
      <c r="A461" s="254" t="str">
        <f t="shared" ca="1" si="52"/>
        <v/>
      </c>
      <c r="B461" s="255"/>
      <c r="C461" s="256"/>
      <c r="D461" s="257" t="str">
        <f t="shared" si="48"/>
        <v/>
      </c>
      <c r="E461" s="253"/>
      <c r="F461" s="257" t="str">
        <f t="shared" si="49"/>
        <v/>
      </c>
      <c r="G461" s="257" t="str">
        <f t="shared" si="50"/>
        <v/>
      </c>
      <c r="H461" s="257" t="str">
        <f t="shared" si="51"/>
        <v/>
      </c>
    </row>
    <row r="462" spans="1:8" x14ac:dyDescent="0.25">
      <c r="A462" s="254" t="str">
        <f t="shared" ca="1" si="52"/>
        <v/>
      </c>
      <c r="B462" s="255"/>
      <c r="C462" s="256"/>
      <c r="D462" s="257" t="str">
        <f t="shared" si="48"/>
        <v/>
      </c>
      <c r="E462" s="253"/>
      <c r="F462" s="257" t="str">
        <f t="shared" si="49"/>
        <v/>
      </c>
      <c r="G462" s="257" t="str">
        <f t="shared" si="50"/>
        <v/>
      </c>
      <c r="H462" s="257" t="str">
        <f t="shared" si="51"/>
        <v/>
      </c>
    </row>
    <row r="463" spans="1:8" x14ac:dyDescent="0.25">
      <c r="A463" s="254" t="str">
        <f t="shared" ca="1" si="52"/>
        <v/>
      </c>
      <c r="B463" s="255"/>
      <c r="C463" s="256"/>
      <c r="D463" s="257" t="str">
        <f t="shared" si="48"/>
        <v/>
      </c>
      <c r="E463" s="253"/>
      <c r="F463" s="257" t="str">
        <f t="shared" si="49"/>
        <v/>
      </c>
      <c r="G463" s="257" t="str">
        <f t="shared" si="50"/>
        <v/>
      </c>
      <c r="H463" s="257" t="str">
        <f t="shared" si="51"/>
        <v/>
      </c>
    </row>
    <row r="464" spans="1:8" x14ac:dyDescent="0.25">
      <c r="A464" s="254" t="str">
        <f t="shared" ca="1" si="52"/>
        <v/>
      </c>
      <c r="B464" s="255"/>
      <c r="C464" s="256"/>
      <c r="D464" s="257" t="str">
        <f t="shared" si="48"/>
        <v/>
      </c>
      <c r="E464" s="253"/>
      <c r="F464" s="257" t="str">
        <f t="shared" si="49"/>
        <v/>
      </c>
      <c r="G464" s="257" t="str">
        <f t="shared" si="50"/>
        <v/>
      </c>
      <c r="H464" s="257" t="str">
        <f t="shared" si="51"/>
        <v/>
      </c>
    </row>
    <row r="465" spans="1:8" x14ac:dyDescent="0.25">
      <c r="A465" s="254" t="str">
        <f t="shared" ca="1" si="52"/>
        <v/>
      </c>
      <c r="B465" s="255"/>
      <c r="C465" s="256"/>
      <c r="D465" s="257" t="str">
        <f t="shared" si="48"/>
        <v/>
      </c>
      <c r="E465" s="253"/>
      <c r="F465" s="257" t="str">
        <f t="shared" si="49"/>
        <v/>
      </c>
      <c r="G465" s="257" t="str">
        <f t="shared" si="50"/>
        <v/>
      </c>
      <c r="H465" s="257" t="str">
        <f t="shared" si="51"/>
        <v/>
      </c>
    </row>
    <row r="466" spans="1:8" x14ac:dyDescent="0.25">
      <c r="A466" s="254" t="str">
        <f t="shared" ca="1" si="52"/>
        <v/>
      </c>
      <c r="B466" s="255"/>
      <c r="C466" s="256"/>
      <c r="D466" s="257" t="str">
        <f t="shared" si="48"/>
        <v/>
      </c>
      <c r="E466" s="253"/>
      <c r="F466" s="257" t="str">
        <f t="shared" si="49"/>
        <v/>
      </c>
      <c r="G466" s="257" t="str">
        <f t="shared" si="50"/>
        <v/>
      </c>
      <c r="H466" s="257" t="str">
        <f t="shared" si="51"/>
        <v/>
      </c>
    </row>
    <row r="467" spans="1:8" x14ac:dyDescent="0.25">
      <c r="A467" s="254" t="str">
        <f t="shared" ca="1" si="52"/>
        <v/>
      </c>
      <c r="B467" s="255"/>
      <c r="C467" s="256"/>
      <c r="D467" s="257" t="str">
        <f t="shared" ref="D467:D530" si="53">IF(B467="","",ROUND((B467-B466)*$H$9*G466,2))</f>
        <v/>
      </c>
      <c r="E467" s="253"/>
      <c r="F467" s="257" t="str">
        <f t="shared" ref="F467:F530" si="54">IF(B467="","",IF(C467&gt;F466+D467,0,F466+D467-C467))</f>
        <v/>
      </c>
      <c r="G467" s="257" t="str">
        <f t="shared" ref="G467:G530" si="55">IF(B467="","",IF(C467&gt;D467+F466,G466+F466+D467-C467,G466))</f>
        <v/>
      </c>
      <c r="H467" s="257" t="str">
        <f t="shared" ref="H467:H530" si="56">IF(B467="","",G467+F467)</f>
        <v/>
      </c>
    </row>
    <row r="468" spans="1:8" x14ac:dyDescent="0.25">
      <c r="A468" s="254" t="str">
        <f t="shared" ca="1" si="52"/>
        <v/>
      </c>
      <c r="B468" s="255"/>
      <c r="C468" s="256"/>
      <c r="D468" s="257" t="str">
        <f t="shared" si="53"/>
        <v/>
      </c>
      <c r="E468" s="253"/>
      <c r="F468" s="257" t="str">
        <f t="shared" si="54"/>
        <v/>
      </c>
      <c r="G468" s="257" t="str">
        <f t="shared" si="55"/>
        <v/>
      </c>
      <c r="H468" s="257" t="str">
        <f t="shared" si="56"/>
        <v/>
      </c>
    </row>
    <row r="469" spans="1:8" x14ac:dyDescent="0.25">
      <c r="A469" s="254" t="str">
        <f t="shared" ca="1" si="52"/>
        <v/>
      </c>
      <c r="B469" s="255"/>
      <c r="C469" s="256"/>
      <c r="D469" s="257" t="str">
        <f t="shared" si="53"/>
        <v/>
      </c>
      <c r="E469" s="253"/>
      <c r="F469" s="257" t="str">
        <f t="shared" si="54"/>
        <v/>
      </c>
      <c r="G469" s="257" t="str">
        <f t="shared" si="55"/>
        <v/>
      </c>
      <c r="H469" s="257" t="str">
        <f t="shared" si="56"/>
        <v/>
      </c>
    </row>
    <row r="470" spans="1:8" x14ac:dyDescent="0.25">
      <c r="A470" s="254" t="str">
        <f t="shared" ca="1" si="52"/>
        <v/>
      </c>
      <c r="B470" s="255"/>
      <c r="C470" s="256"/>
      <c r="D470" s="257" t="str">
        <f t="shared" si="53"/>
        <v/>
      </c>
      <c r="E470" s="253"/>
      <c r="F470" s="257" t="str">
        <f t="shared" si="54"/>
        <v/>
      </c>
      <c r="G470" s="257" t="str">
        <f t="shared" si="55"/>
        <v/>
      </c>
      <c r="H470" s="257" t="str">
        <f t="shared" si="56"/>
        <v/>
      </c>
    </row>
    <row r="471" spans="1:8" x14ac:dyDescent="0.25">
      <c r="A471" s="254" t="str">
        <f t="shared" ca="1" si="52"/>
        <v/>
      </c>
      <c r="B471" s="255"/>
      <c r="C471" s="256"/>
      <c r="D471" s="257" t="str">
        <f t="shared" si="53"/>
        <v/>
      </c>
      <c r="E471" s="253"/>
      <c r="F471" s="257" t="str">
        <f t="shared" si="54"/>
        <v/>
      </c>
      <c r="G471" s="257" t="str">
        <f t="shared" si="55"/>
        <v/>
      </c>
      <c r="H471" s="257" t="str">
        <f t="shared" si="56"/>
        <v/>
      </c>
    </row>
    <row r="472" spans="1:8" x14ac:dyDescent="0.25">
      <c r="A472" s="254" t="str">
        <f t="shared" ca="1" si="52"/>
        <v/>
      </c>
      <c r="B472" s="255"/>
      <c r="C472" s="256"/>
      <c r="D472" s="257" t="str">
        <f t="shared" si="53"/>
        <v/>
      </c>
      <c r="E472" s="253"/>
      <c r="F472" s="257" t="str">
        <f t="shared" si="54"/>
        <v/>
      </c>
      <c r="G472" s="257" t="str">
        <f t="shared" si="55"/>
        <v/>
      </c>
      <c r="H472" s="257" t="str">
        <f t="shared" si="56"/>
        <v/>
      </c>
    </row>
    <row r="473" spans="1:8" x14ac:dyDescent="0.25">
      <c r="A473" s="254" t="str">
        <f t="shared" ca="1" si="52"/>
        <v/>
      </c>
      <c r="B473" s="255"/>
      <c r="C473" s="256"/>
      <c r="D473" s="257" t="str">
        <f t="shared" si="53"/>
        <v/>
      </c>
      <c r="E473" s="253"/>
      <c r="F473" s="257" t="str">
        <f t="shared" si="54"/>
        <v/>
      </c>
      <c r="G473" s="257" t="str">
        <f t="shared" si="55"/>
        <v/>
      </c>
      <c r="H473" s="257" t="str">
        <f t="shared" si="56"/>
        <v/>
      </c>
    </row>
    <row r="474" spans="1:8" x14ac:dyDescent="0.25">
      <c r="A474" s="254" t="str">
        <f t="shared" ca="1" si="52"/>
        <v/>
      </c>
      <c r="B474" s="255"/>
      <c r="C474" s="256"/>
      <c r="D474" s="257" t="str">
        <f t="shared" si="53"/>
        <v/>
      </c>
      <c r="E474" s="253"/>
      <c r="F474" s="257" t="str">
        <f t="shared" si="54"/>
        <v/>
      </c>
      <c r="G474" s="257" t="str">
        <f t="shared" si="55"/>
        <v/>
      </c>
      <c r="H474" s="257" t="str">
        <f t="shared" si="56"/>
        <v/>
      </c>
    </row>
    <row r="475" spans="1:8" x14ac:dyDescent="0.25">
      <c r="A475" s="254" t="str">
        <f t="shared" ca="1" si="52"/>
        <v/>
      </c>
      <c r="B475" s="255"/>
      <c r="C475" s="256"/>
      <c r="D475" s="257" t="str">
        <f t="shared" si="53"/>
        <v/>
      </c>
      <c r="E475" s="253"/>
      <c r="F475" s="257" t="str">
        <f t="shared" si="54"/>
        <v/>
      </c>
      <c r="G475" s="257" t="str">
        <f t="shared" si="55"/>
        <v/>
      </c>
      <c r="H475" s="257" t="str">
        <f t="shared" si="56"/>
        <v/>
      </c>
    </row>
    <row r="476" spans="1:8" x14ac:dyDescent="0.25">
      <c r="A476" s="254" t="str">
        <f t="shared" ca="1" si="52"/>
        <v/>
      </c>
      <c r="B476" s="255"/>
      <c r="C476" s="256"/>
      <c r="D476" s="257" t="str">
        <f t="shared" si="53"/>
        <v/>
      </c>
      <c r="E476" s="253"/>
      <c r="F476" s="257" t="str">
        <f t="shared" si="54"/>
        <v/>
      </c>
      <c r="G476" s="257" t="str">
        <f t="shared" si="55"/>
        <v/>
      </c>
      <c r="H476" s="257" t="str">
        <f t="shared" si="56"/>
        <v/>
      </c>
    </row>
    <row r="477" spans="1:8" x14ac:dyDescent="0.25">
      <c r="A477" s="254" t="str">
        <f t="shared" ca="1" si="52"/>
        <v/>
      </c>
      <c r="B477" s="255"/>
      <c r="C477" s="256"/>
      <c r="D477" s="257" t="str">
        <f t="shared" si="53"/>
        <v/>
      </c>
      <c r="E477" s="253"/>
      <c r="F477" s="257" t="str">
        <f t="shared" si="54"/>
        <v/>
      </c>
      <c r="G477" s="257" t="str">
        <f t="shared" si="55"/>
        <v/>
      </c>
      <c r="H477" s="257" t="str">
        <f t="shared" si="56"/>
        <v/>
      </c>
    </row>
    <row r="478" spans="1:8" x14ac:dyDescent="0.25">
      <c r="A478" s="254" t="str">
        <f t="shared" ca="1" si="52"/>
        <v/>
      </c>
      <c r="B478" s="255"/>
      <c r="C478" s="256"/>
      <c r="D478" s="257" t="str">
        <f t="shared" si="53"/>
        <v/>
      </c>
      <c r="E478" s="253"/>
      <c r="F478" s="257" t="str">
        <f t="shared" si="54"/>
        <v/>
      </c>
      <c r="G478" s="257" t="str">
        <f t="shared" si="55"/>
        <v/>
      </c>
      <c r="H478" s="257" t="str">
        <f t="shared" si="56"/>
        <v/>
      </c>
    </row>
    <row r="479" spans="1:8" x14ac:dyDescent="0.25">
      <c r="A479" s="254" t="str">
        <f t="shared" ca="1" si="52"/>
        <v/>
      </c>
      <c r="B479" s="255"/>
      <c r="C479" s="256"/>
      <c r="D479" s="257" t="str">
        <f t="shared" si="53"/>
        <v/>
      </c>
      <c r="E479" s="253"/>
      <c r="F479" s="257" t="str">
        <f t="shared" si="54"/>
        <v/>
      </c>
      <c r="G479" s="257" t="str">
        <f t="shared" si="55"/>
        <v/>
      </c>
      <c r="H479" s="257" t="str">
        <f t="shared" si="56"/>
        <v/>
      </c>
    </row>
    <row r="480" spans="1:8" x14ac:dyDescent="0.25">
      <c r="A480" s="254" t="str">
        <f t="shared" ca="1" si="52"/>
        <v/>
      </c>
      <c r="B480" s="255"/>
      <c r="C480" s="256"/>
      <c r="D480" s="257" t="str">
        <f t="shared" si="53"/>
        <v/>
      </c>
      <c r="E480" s="253"/>
      <c r="F480" s="257" t="str">
        <f t="shared" si="54"/>
        <v/>
      </c>
      <c r="G480" s="257" t="str">
        <f t="shared" si="55"/>
        <v/>
      </c>
      <c r="H480" s="257" t="str">
        <f t="shared" si="56"/>
        <v/>
      </c>
    </row>
    <row r="481" spans="1:8" x14ac:dyDescent="0.25">
      <c r="A481" s="254" t="str">
        <f t="shared" ca="1" si="52"/>
        <v/>
      </c>
      <c r="B481" s="255"/>
      <c r="C481" s="256"/>
      <c r="D481" s="257" t="str">
        <f t="shared" si="53"/>
        <v/>
      </c>
      <c r="E481" s="253"/>
      <c r="F481" s="257" t="str">
        <f t="shared" si="54"/>
        <v/>
      </c>
      <c r="G481" s="257" t="str">
        <f t="shared" si="55"/>
        <v/>
      </c>
      <c r="H481" s="257" t="str">
        <f t="shared" si="56"/>
        <v/>
      </c>
    </row>
    <row r="482" spans="1:8" x14ac:dyDescent="0.25">
      <c r="A482" s="254" t="str">
        <f t="shared" ca="1" si="52"/>
        <v/>
      </c>
      <c r="B482" s="255"/>
      <c r="C482" s="256"/>
      <c r="D482" s="257" t="str">
        <f t="shared" si="53"/>
        <v/>
      </c>
      <c r="E482" s="253"/>
      <c r="F482" s="257" t="str">
        <f t="shared" si="54"/>
        <v/>
      </c>
      <c r="G482" s="257" t="str">
        <f t="shared" si="55"/>
        <v/>
      </c>
      <c r="H482" s="257" t="str">
        <f t="shared" si="56"/>
        <v/>
      </c>
    </row>
    <row r="483" spans="1:8" x14ac:dyDescent="0.25">
      <c r="A483" s="254" t="str">
        <f t="shared" ca="1" si="52"/>
        <v/>
      </c>
      <c r="B483" s="255"/>
      <c r="C483" s="256"/>
      <c r="D483" s="257" t="str">
        <f t="shared" si="53"/>
        <v/>
      </c>
      <c r="E483" s="253"/>
      <c r="F483" s="257" t="str">
        <f t="shared" si="54"/>
        <v/>
      </c>
      <c r="G483" s="257" t="str">
        <f t="shared" si="55"/>
        <v/>
      </c>
      <c r="H483" s="257" t="str">
        <f t="shared" si="56"/>
        <v/>
      </c>
    </row>
    <row r="484" spans="1:8" x14ac:dyDescent="0.25">
      <c r="A484" s="254" t="str">
        <f t="shared" ca="1" si="52"/>
        <v/>
      </c>
      <c r="B484" s="255"/>
      <c r="C484" s="256"/>
      <c r="D484" s="257" t="str">
        <f t="shared" si="53"/>
        <v/>
      </c>
      <c r="E484" s="253"/>
      <c r="F484" s="257" t="str">
        <f t="shared" si="54"/>
        <v/>
      </c>
      <c r="G484" s="257" t="str">
        <f t="shared" si="55"/>
        <v/>
      </c>
      <c r="H484" s="257" t="str">
        <f t="shared" si="56"/>
        <v/>
      </c>
    </row>
    <row r="485" spans="1:8" x14ac:dyDescent="0.25">
      <c r="A485" s="254" t="str">
        <f t="shared" ca="1" si="52"/>
        <v/>
      </c>
      <c r="B485" s="255"/>
      <c r="C485" s="256"/>
      <c r="D485" s="257" t="str">
        <f t="shared" si="53"/>
        <v/>
      </c>
      <c r="E485" s="253"/>
      <c r="F485" s="257" t="str">
        <f t="shared" si="54"/>
        <v/>
      </c>
      <c r="G485" s="257" t="str">
        <f t="shared" si="55"/>
        <v/>
      </c>
      <c r="H485" s="257" t="str">
        <f t="shared" si="56"/>
        <v/>
      </c>
    </row>
    <row r="486" spans="1:8" x14ac:dyDescent="0.25">
      <c r="A486" s="254" t="str">
        <f t="shared" ca="1" si="52"/>
        <v/>
      </c>
      <c r="B486" s="255"/>
      <c r="C486" s="256"/>
      <c r="D486" s="257" t="str">
        <f t="shared" si="53"/>
        <v/>
      </c>
      <c r="E486" s="253"/>
      <c r="F486" s="257" t="str">
        <f t="shared" si="54"/>
        <v/>
      </c>
      <c r="G486" s="257" t="str">
        <f t="shared" si="55"/>
        <v/>
      </c>
      <c r="H486" s="257" t="str">
        <f t="shared" si="56"/>
        <v/>
      </c>
    </row>
    <row r="487" spans="1:8" x14ac:dyDescent="0.25">
      <c r="A487" s="254" t="str">
        <f t="shared" ca="1" si="52"/>
        <v/>
      </c>
      <c r="B487" s="255"/>
      <c r="C487" s="256"/>
      <c r="D487" s="257" t="str">
        <f t="shared" si="53"/>
        <v/>
      </c>
      <c r="E487" s="253"/>
      <c r="F487" s="257" t="str">
        <f t="shared" si="54"/>
        <v/>
      </c>
      <c r="G487" s="257" t="str">
        <f t="shared" si="55"/>
        <v/>
      </c>
      <c r="H487" s="257" t="str">
        <f t="shared" si="56"/>
        <v/>
      </c>
    </row>
    <row r="488" spans="1:8" x14ac:dyDescent="0.25">
      <c r="A488" s="254" t="str">
        <f t="shared" ca="1" si="52"/>
        <v/>
      </c>
      <c r="B488" s="255"/>
      <c r="C488" s="256"/>
      <c r="D488" s="257" t="str">
        <f t="shared" si="53"/>
        <v/>
      </c>
      <c r="E488" s="253"/>
      <c r="F488" s="257" t="str">
        <f t="shared" si="54"/>
        <v/>
      </c>
      <c r="G488" s="257" t="str">
        <f t="shared" si="55"/>
        <v/>
      </c>
      <c r="H488" s="257" t="str">
        <f t="shared" si="56"/>
        <v/>
      </c>
    </row>
    <row r="489" spans="1:8" x14ac:dyDescent="0.25">
      <c r="A489" s="254" t="str">
        <f t="shared" ref="A489:A552" ca="1" si="57">IF(OR(H488&lt;=0,H488=""),"",OFFSET(A489,-1,0,1,1)+1)</f>
        <v/>
      </c>
      <c r="B489" s="255"/>
      <c r="C489" s="256"/>
      <c r="D489" s="257" t="str">
        <f t="shared" si="53"/>
        <v/>
      </c>
      <c r="E489" s="253"/>
      <c r="F489" s="257" t="str">
        <f t="shared" si="54"/>
        <v/>
      </c>
      <c r="G489" s="257" t="str">
        <f t="shared" si="55"/>
        <v/>
      </c>
      <c r="H489" s="257" t="str">
        <f t="shared" si="56"/>
        <v/>
      </c>
    </row>
    <row r="490" spans="1:8" x14ac:dyDescent="0.25">
      <c r="A490" s="254" t="str">
        <f t="shared" ca="1" si="57"/>
        <v/>
      </c>
      <c r="B490" s="255"/>
      <c r="C490" s="256"/>
      <c r="D490" s="257" t="str">
        <f t="shared" si="53"/>
        <v/>
      </c>
      <c r="E490" s="253"/>
      <c r="F490" s="257" t="str">
        <f t="shared" si="54"/>
        <v/>
      </c>
      <c r="G490" s="257" t="str">
        <f t="shared" si="55"/>
        <v/>
      </c>
      <c r="H490" s="257" t="str">
        <f t="shared" si="56"/>
        <v/>
      </c>
    </row>
    <row r="491" spans="1:8" x14ac:dyDescent="0.25">
      <c r="A491" s="254" t="str">
        <f t="shared" ca="1" si="57"/>
        <v/>
      </c>
      <c r="B491" s="255"/>
      <c r="C491" s="256"/>
      <c r="D491" s="257" t="str">
        <f t="shared" si="53"/>
        <v/>
      </c>
      <c r="E491" s="253"/>
      <c r="F491" s="257" t="str">
        <f t="shared" si="54"/>
        <v/>
      </c>
      <c r="G491" s="257" t="str">
        <f t="shared" si="55"/>
        <v/>
      </c>
      <c r="H491" s="257" t="str">
        <f t="shared" si="56"/>
        <v/>
      </c>
    </row>
    <row r="492" spans="1:8" x14ac:dyDescent="0.25">
      <c r="A492" s="254" t="str">
        <f t="shared" ca="1" si="57"/>
        <v/>
      </c>
      <c r="B492" s="255"/>
      <c r="C492" s="256"/>
      <c r="D492" s="257" t="str">
        <f t="shared" si="53"/>
        <v/>
      </c>
      <c r="E492" s="253"/>
      <c r="F492" s="257" t="str">
        <f t="shared" si="54"/>
        <v/>
      </c>
      <c r="G492" s="257" t="str">
        <f t="shared" si="55"/>
        <v/>
      </c>
      <c r="H492" s="257" t="str">
        <f t="shared" si="56"/>
        <v/>
      </c>
    </row>
    <row r="493" spans="1:8" x14ac:dyDescent="0.25">
      <c r="A493" s="254" t="str">
        <f t="shared" ca="1" si="57"/>
        <v/>
      </c>
      <c r="B493" s="255"/>
      <c r="C493" s="256"/>
      <c r="D493" s="257" t="str">
        <f t="shared" si="53"/>
        <v/>
      </c>
      <c r="E493" s="253"/>
      <c r="F493" s="257" t="str">
        <f t="shared" si="54"/>
        <v/>
      </c>
      <c r="G493" s="257" t="str">
        <f t="shared" si="55"/>
        <v/>
      </c>
      <c r="H493" s="257" t="str">
        <f t="shared" si="56"/>
        <v/>
      </c>
    </row>
    <row r="494" spans="1:8" x14ac:dyDescent="0.25">
      <c r="A494" s="254" t="str">
        <f t="shared" ca="1" si="57"/>
        <v/>
      </c>
      <c r="B494" s="255"/>
      <c r="C494" s="256"/>
      <c r="D494" s="257" t="str">
        <f t="shared" si="53"/>
        <v/>
      </c>
      <c r="E494" s="253"/>
      <c r="F494" s="257" t="str">
        <f t="shared" si="54"/>
        <v/>
      </c>
      <c r="G494" s="257" t="str">
        <f t="shared" si="55"/>
        <v/>
      </c>
      <c r="H494" s="257" t="str">
        <f t="shared" si="56"/>
        <v/>
      </c>
    </row>
    <row r="495" spans="1:8" x14ac:dyDescent="0.25">
      <c r="A495" s="254" t="str">
        <f t="shared" ca="1" si="57"/>
        <v/>
      </c>
      <c r="B495" s="255"/>
      <c r="C495" s="256"/>
      <c r="D495" s="257" t="str">
        <f t="shared" si="53"/>
        <v/>
      </c>
      <c r="E495" s="253"/>
      <c r="F495" s="257" t="str">
        <f t="shared" si="54"/>
        <v/>
      </c>
      <c r="G495" s="257" t="str">
        <f t="shared" si="55"/>
        <v/>
      </c>
      <c r="H495" s="257" t="str">
        <f t="shared" si="56"/>
        <v/>
      </c>
    </row>
    <row r="496" spans="1:8" x14ac:dyDescent="0.25">
      <c r="A496" s="254" t="str">
        <f t="shared" ca="1" si="57"/>
        <v/>
      </c>
      <c r="B496" s="255"/>
      <c r="C496" s="256"/>
      <c r="D496" s="257" t="str">
        <f t="shared" si="53"/>
        <v/>
      </c>
      <c r="E496" s="253"/>
      <c r="F496" s="257" t="str">
        <f t="shared" si="54"/>
        <v/>
      </c>
      <c r="G496" s="257" t="str">
        <f t="shared" si="55"/>
        <v/>
      </c>
      <c r="H496" s="257" t="str">
        <f t="shared" si="56"/>
        <v/>
      </c>
    </row>
    <row r="497" spans="1:8" x14ac:dyDescent="0.25">
      <c r="A497" s="254" t="str">
        <f t="shared" ca="1" si="57"/>
        <v/>
      </c>
      <c r="B497" s="255"/>
      <c r="C497" s="256"/>
      <c r="D497" s="257" t="str">
        <f t="shared" si="53"/>
        <v/>
      </c>
      <c r="E497" s="253"/>
      <c r="F497" s="257" t="str">
        <f t="shared" si="54"/>
        <v/>
      </c>
      <c r="G497" s="257" t="str">
        <f t="shared" si="55"/>
        <v/>
      </c>
      <c r="H497" s="257" t="str">
        <f t="shared" si="56"/>
        <v/>
      </c>
    </row>
    <row r="498" spans="1:8" x14ac:dyDescent="0.25">
      <c r="A498" s="254" t="str">
        <f t="shared" ca="1" si="57"/>
        <v/>
      </c>
      <c r="B498" s="255"/>
      <c r="C498" s="256"/>
      <c r="D498" s="257" t="str">
        <f t="shared" si="53"/>
        <v/>
      </c>
      <c r="E498" s="253"/>
      <c r="F498" s="257" t="str">
        <f t="shared" si="54"/>
        <v/>
      </c>
      <c r="G498" s="257" t="str">
        <f t="shared" si="55"/>
        <v/>
      </c>
      <c r="H498" s="257" t="str">
        <f t="shared" si="56"/>
        <v/>
      </c>
    </row>
    <row r="499" spans="1:8" x14ac:dyDescent="0.25">
      <c r="A499" s="254" t="str">
        <f t="shared" ca="1" si="57"/>
        <v/>
      </c>
      <c r="B499" s="255"/>
      <c r="C499" s="256"/>
      <c r="D499" s="257" t="str">
        <f t="shared" si="53"/>
        <v/>
      </c>
      <c r="E499" s="253"/>
      <c r="F499" s="257" t="str">
        <f t="shared" si="54"/>
        <v/>
      </c>
      <c r="G499" s="257" t="str">
        <f t="shared" si="55"/>
        <v/>
      </c>
      <c r="H499" s="257" t="str">
        <f t="shared" si="56"/>
        <v/>
      </c>
    </row>
    <row r="500" spans="1:8" x14ac:dyDescent="0.25">
      <c r="A500" s="254" t="str">
        <f t="shared" ca="1" si="57"/>
        <v/>
      </c>
      <c r="B500" s="255"/>
      <c r="C500" s="256"/>
      <c r="D500" s="257" t="str">
        <f t="shared" si="53"/>
        <v/>
      </c>
      <c r="E500" s="253"/>
      <c r="F500" s="257" t="str">
        <f t="shared" si="54"/>
        <v/>
      </c>
      <c r="G500" s="257" t="str">
        <f t="shared" si="55"/>
        <v/>
      </c>
      <c r="H500" s="257" t="str">
        <f t="shared" si="56"/>
        <v/>
      </c>
    </row>
    <row r="501" spans="1:8" x14ac:dyDescent="0.25">
      <c r="A501" s="254" t="str">
        <f t="shared" ca="1" si="57"/>
        <v/>
      </c>
      <c r="B501" s="255"/>
      <c r="C501" s="256"/>
      <c r="D501" s="257" t="str">
        <f t="shared" si="53"/>
        <v/>
      </c>
      <c r="E501" s="253"/>
      <c r="F501" s="257" t="str">
        <f t="shared" si="54"/>
        <v/>
      </c>
      <c r="G501" s="257" t="str">
        <f t="shared" si="55"/>
        <v/>
      </c>
      <c r="H501" s="257" t="str">
        <f t="shared" si="56"/>
        <v/>
      </c>
    </row>
    <row r="502" spans="1:8" x14ac:dyDescent="0.25">
      <c r="A502" s="254" t="str">
        <f t="shared" ca="1" si="57"/>
        <v/>
      </c>
      <c r="B502" s="255"/>
      <c r="C502" s="256"/>
      <c r="D502" s="257" t="str">
        <f t="shared" si="53"/>
        <v/>
      </c>
      <c r="E502" s="253"/>
      <c r="F502" s="257" t="str">
        <f t="shared" si="54"/>
        <v/>
      </c>
      <c r="G502" s="257" t="str">
        <f t="shared" si="55"/>
        <v/>
      </c>
      <c r="H502" s="257" t="str">
        <f t="shared" si="56"/>
        <v/>
      </c>
    </row>
    <row r="503" spans="1:8" x14ac:dyDescent="0.25">
      <c r="A503" s="254" t="str">
        <f t="shared" ca="1" si="57"/>
        <v/>
      </c>
      <c r="B503" s="255"/>
      <c r="C503" s="256"/>
      <c r="D503" s="257" t="str">
        <f t="shared" si="53"/>
        <v/>
      </c>
      <c r="E503" s="253"/>
      <c r="F503" s="257" t="str">
        <f t="shared" si="54"/>
        <v/>
      </c>
      <c r="G503" s="257" t="str">
        <f t="shared" si="55"/>
        <v/>
      </c>
      <c r="H503" s="257" t="str">
        <f t="shared" si="56"/>
        <v/>
      </c>
    </row>
    <row r="504" spans="1:8" x14ac:dyDescent="0.25">
      <c r="A504" s="254" t="str">
        <f t="shared" ca="1" si="57"/>
        <v/>
      </c>
      <c r="B504" s="255"/>
      <c r="C504" s="256"/>
      <c r="D504" s="257" t="str">
        <f t="shared" si="53"/>
        <v/>
      </c>
      <c r="E504" s="253"/>
      <c r="F504" s="257" t="str">
        <f t="shared" si="54"/>
        <v/>
      </c>
      <c r="G504" s="257" t="str">
        <f t="shared" si="55"/>
        <v/>
      </c>
      <c r="H504" s="257" t="str">
        <f t="shared" si="56"/>
        <v/>
      </c>
    </row>
    <row r="505" spans="1:8" x14ac:dyDescent="0.25">
      <c r="A505" s="254" t="str">
        <f t="shared" ca="1" si="57"/>
        <v/>
      </c>
      <c r="B505" s="255"/>
      <c r="C505" s="256"/>
      <c r="D505" s="257" t="str">
        <f t="shared" si="53"/>
        <v/>
      </c>
      <c r="E505" s="253"/>
      <c r="F505" s="257" t="str">
        <f t="shared" si="54"/>
        <v/>
      </c>
      <c r="G505" s="257" t="str">
        <f t="shared" si="55"/>
        <v/>
      </c>
      <c r="H505" s="257" t="str">
        <f t="shared" si="56"/>
        <v/>
      </c>
    </row>
    <row r="506" spans="1:8" x14ac:dyDescent="0.25">
      <c r="A506" s="254" t="str">
        <f t="shared" ca="1" si="57"/>
        <v/>
      </c>
      <c r="B506" s="255"/>
      <c r="C506" s="256"/>
      <c r="D506" s="257" t="str">
        <f t="shared" si="53"/>
        <v/>
      </c>
      <c r="E506" s="253"/>
      <c r="F506" s="257" t="str">
        <f t="shared" si="54"/>
        <v/>
      </c>
      <c r="G506" s="257" t="str">
        <f t="shared" si="55"/>
        <v/>
      </c>
      <c r="H506" s="257" t="str">
        <f t="shared" si="56"/>
        <v/>
      </c>
    </row>
    <row r="507" spans="1:8" x14ac:dyDescent="0.25">
      <c r="A507" s="254" t="str">
        <f t="shared" ca="1" si="57"/>
        <v/>
      </c>
      <c r="B507" s="255"/>
      <c r="C507" s="256"/>
      <c r="D507" s="257" t="str">
        <f t="shared" si="53"/>
        <v/>
      </c>
      <c r="E507" s="253"/>
      <c r="F507" s="257" t="str">
        <f t="shared" si="54"/>
        <v/>
      </c>
      <c r="G507" s="257" t="str">
        <f t="shared" si="55"/>
        <v/>
      </c>
      <c r="H507" s="257" t="str">
        <f t="shared" si="56"/>
        <v/>
      </c>
    </row>
    <row r="508" spans="1:8" x14ac:dyDescent="0.25">
      <c r="A508" s="254" t="str">
        <f t="shared" ca="1" si="57"/>
        <v/>
      </c>
      <c r="B508" s="255"/>
      <c r="C508" s="256"/>
      <c r="D508" s="257" t="str">
        <f t="shared" si="53"/>
        <v/>
      </c>
      <c r="E508" s="253"/>
      <c r="F508" s="257" t="str">
        <f t="shared" si="54"/>
        <v/>
      </c>
      <c r="G508" s="257" t="str">
        <f t="shared" si="55"/>
        <v/>
      </c>
      <c r="H508" s="257" t="str">
        <f t="shared" si="56"/>
        <v/>
      </c>
    </row>
    <row r="509" spans="1:8" x14ac:dyDescent="0.25">
      <c r="A509" s="254" t="str">
        <f t="shared" ca="1" si="57"/>
        <v/>
      </c>
      <c r="B509" s="255"/>
      <c r="C509" s="256"/>
      <c r="D509" s="257" t="str">
        <f t="shared" si="53"/>
        <v/>
      </c>
      <c r="E509" s="253"/>
      <c r="F509" s="257" t="str">
        <f t="shared" si="54"/>
        <v/>
      </c>
      <c r="G509" s="257" t="str">
        <f t="shared" si="55"/>
        <v/>
      </c>
      <c r="H509" s="257" t="str">
        <f t="shared" si="56"/>
        <v/>
      </c>
    </row>
    <row r="510" spans="1:8" x14ac:dyDescent="0.25">
      <c r="A510" s="254" t="str">
        <f t="shared" ca="1" si="57"/>
        <v/>
      </c>
      <c r="B510" s="255"/>
      <c r="C510" s="256"/>
      <c r="D510" s="257" t="str">
        <f t="shared" si="53"/>
        <v/>
      </c>
      <c r="E510" s="253"/>
      <c r="F510" s="257" t="str">
        <f t="shared" si="54"/>
        <v/>
      </c>
      <c r="G510" s="257" t="str">
        <f t="shared" si="55"/>
        <v/>
      </c>
      <c r="H510" s="257" t="str">
        <f t="shared" si="56"/>
        <v/>
      </c>
    </row>
    <row r="511" spans="1:8" x14ac:dyDescent="0.25">
      <c r="A511" s="254" t="str">
        <f t="shared" ca="1" si="57"/>
        <v/>
      </c>
      <c r="B511" s="255"/>
      <c r="C511" s="256"/>
      <c r="D511" s="257" t="str">
        <f t="shared" si="53"/>
        <v/>
      </c>
      <c r="E511" s="253"/>
      <c r="F511" s="257" t="str">
        <f t="shared" si="54"/>
        <v/>
      </c>
      <c r="G511" s="257" t="str">
        <f t="shared" si="55"/>
        <v/>
      </c>
      <c r="H511" s="257" t="str">
        <f t="shared" si="56"/>
        <v/>
      </c>
    </row>
    <row r="512" spans="1:8" x14ac:dyDescent="0.25">
      <c r="A512" s="254" t="str">
        <f t="shared" ca="1" si="57"/>
        <v/>
      </c>
      <c r="B512" s="255"/>
      <c r="C512" s="256"/>
      <c r="D512" s="257" t="str">
        <f t="shared" si="53"/>
        <v/>
      </c>
      <c r="E512" s="253"/>
      <c r="F512" s="257" t="str">
        <f t="shared" si="54"/>
        <v/>
      </c>
      <c r="G512" s="257" t="str">
        <f t="shared" si="55"/>
        <v/>
      </c>
      <c r="H512" s="257" t="str">
        <f t="shared" si="56"/>
        <v/>
      </c>
    </row>
    <row r="513" spans="1:8" x14ac:dyDescent="0.25">
      <c r="A513" s="254" t="str">
        <f t="shared" ca="1" si="57"/>
        <v/>
      </c>
      <c r="B513" s="255"/>
      <c r="C513" s="256"/>
      <c r="D513" s="257" t="str">
        <f t="shared" si="53"/>
        <v/>
      </c>
      <c r="E513" s="253"/>
      <c r="F513" s="257" t="str">
        <f t="shared" si="54"/>
        <v/>
      </c>
      <c r="G513" s="257" t="str">
        <f t="shared" si="55"/>
        <v/>
      </c>
      <c r="H513" s="257" t="str">
        <f t="shared" si="56"/>
        <v/>
      </c>
    </row>
    <row r="514" spans="1:8" x14ac:dyDescent="0.25">
      <c r="A514" s="254" t="str">
        <f t="shared" ca="1" si="57"/>
        <v/>
      </c>
      <c r="B514" s="255"/>
      <c r="C514" s="256"/>
      <c r="D514" s="257" t="str">
        <f t="shared" si="53"/>
        <v/>
      </c>
      <c r="E514" s="253"/>
      <c r="F514" s="257" t="str">
        <f t="shared" si="54"/>
        <v/>
      </c>
      <c r="G514" s="257" t="str">
        <f t="shared" si="55"/>
        <v/>
      </c>
      <c r="H514" s="257" t="str">
        <f t="shared" si="56"/>
        <v/>
      </c>
    </row>
    <row r="515" spans="1:8" x14ac:dyDescent="0.25">
      <c r="A515" s="254" t="str">
        <f t="shared" ca="1" si="57"/>
        <v/>
      </c>
      <c r="B515" s="255"/>
      <c r="C515" s="256"/>
      <c r="D515" s="257" t="str">
        <f t="shared" si="53"/>
        <v/>
      </c>
      <c r="E515" s="253"/>
      <c r="F515" s="257" t="str">
        <f t="shared" si="54"/>
        <v/>
      </c>
      <c r="G515" s="257" t="str">
        <f t="shared" si="55"/>
        <v/>
      </c>
      <c r="H515" s="257" t="str">
        <f t="shared" si="56"/>
        <v/>
      </c>
    </row>
    <row r="516" spans="1:8" x14ac:dyDescent="0.25">
      <c r="A516" s="254" t="str">
        <f t="shared" ca="1" si="57"/>
        <v/>
      </c>
      <c r="B516" s="255"/>
      <c r="C516" s="256"/>
      <c r="D516" s="257" t="str">
        <f t="shared" si="53"/>
        <v/>
      </c>
      <c r="E516" s="253"/>
      <c r="F516" s="257" t="str">
        <f t="shared" si="54"/>
        <v/>
      </c>
      <c r="G516" s="257" t="str">
        <f t="shared" si="55"/>
        <v/>
      </c>
      <c r="H516" s="257" t="str">
        <f t="shared" si="56"/>
        <v/>
      </c>
    </row>
    <row r="517" spans="1:8" x14ac:dyDescent="0.25">
      <c r="A517" s="254" t="str">
        <f t="shared" ca="1" si="57"/>
        <v/>
      </c>
      <c r="B517" s="255"/>
      <c r="C517" s="256"/>
      <c r="D517" s="257" t="str">
        <f t="shared" si="53"/>
        <v/>
      </c>
      <c r="E517" s="253"/>
      <c r="F517" s="257" t="str">
        <f t="shared" si="54"/>
        <v/>
      </c>
      <c r="G517" s="257" t="str">
        <f t="shared" si="55"/>
        <v/>
      </c>
      <c r="H517" s="257" t="str">
        <f t="shared" si="56"/>
        <v/>
      </c>
    </row>
    <row r="518" spans="1:8" x14ac:dyDescent="0.25">
      <c r="A518" s="254" t="str">
        <f t="shared" ca="1" si="57"/>
        <v/>
      </c>
      <c r="B518" s="255"/>
      <c r="C518" s="256"/>
      <c r="D518" s="257" t="str">
        <f t="shared" si="53"/>
        <v/>
      </c>
      <c r="E518" s="253"/>
      <c r="F518" s="257" t="str">
        <f t="shared" si="54"/>
        <v/>
      </c>
      <c r="G518" s="257" t="str">
        <f t="shared" si="55"/>
        <v/>
      </c>
      <c r="H518" s="257" t="str">
        <f t="shared" si="56"/>
        <v/>
      </c>
    </row>
    <row r="519" spans="1:8" x14ac:dyDescent="0.25">
      <c r="A519" s="254" t="str">
        <f t="shared" ca="1" si="57"/>
        <v/>
      </c>
      <c r="B519" s="255"/>
      <c r="C519" s="256"/>
      <c r="D519" s="257" t="str">
        <f t="shared" si="53"/>
        <v/>
      </c>
      <c r="E519" s="253"/>
      <c r="F519" s="257" t="str">
        <f t="shared" si="54"/>
        <v/>
      </c>
      <c r="G519" s="257" t="str">
        <f t="shared" si="55"/>
        <v/>
      </c>
      <c r="H519" s="257" t="str">
        <f t="shared" si="56"/>
        <v/>
      </c>
    </row>
    <row r="520" spans="1:8" x14ac:dyDescent="0.25">
      <c r="A520" s="254" t="str">
        <f t="shared" ca="1" si="57"/>
        <v/>
      </c>
      <c r="B520" s="255"/>
      <c r="C520" s="256"/>
      <c r="D520" s="257" t="str">
        <f t="shared" si="53"/>
        <v/>
      </c>
      <c r="E520" s="253"/>
      <c r="F520" s="257" t="str">
        <f t="shared" si="54"/>
        <v/>
      </c>
      <c r="G520" s="257" t="str">
        <f t="shared" si="55"/>
        <v/>
      </c>
      <c r="H520" s="257" t="str">
        <f t="shared" si="56"/>
        <v/>
      </c>
    </row>
    <row r="521" spans="1:8" x14ac:dyDescent="0.25">
      <c r="A521" s="254" t="str">
        <f t="shared" ca="1" si="57"/>
        <v/>
      </c>
      <c r="B521" s="255"/>
      <c r="C521" s="256"/>
      <c r="D521" s="257" t="str">
        <f t="shared" si="53"/>
        <v/>
      </c>
      <c r="E521" s="253"/>
      <c r="F521" s="257" t="str">
        <f t="shared" si="54"/>
        <v/>
      </c>
      <c r="G521" s="257" t="str">
        <f t="shared" si="55"/>
        <v/>
      </c>
      <c r="H521" s="257" t="str">
        <f t="shared" si="56"/>
        <v/>
      </c>
    </row>
    <row r="522" spans="1:8" x14ac:dyDescent="0.25">
      <c r="A522" s="254" t="str">
        <f t="shared" ca="1" si="57"/>
        <v/>
      </c>
      <c r="B522" s="255"/>
      <c r="C522" s="256"/>
      <c r="D522" s="257" t="str">
        <f t="shared" si="53"/>
        <v/>
      </c>
      <c r="E522" s="253"/>
      <c r="F522" s="257" t="str">
        <f t="shared" si="54"/>
        <v/>
      </c>
      <c r="G522" s="257" t="str">
        <f t="shared" si="55"/>
        <v/>
      </c>
      <c r="H522" s="257" t="str">
        <f t="shared" si="56"/>
        <v/>
      </c>
    </row>
    <row r="523" spans="1:8" x14ac:dyDescent="0.25">
      <c r="A523" s="254" t="str">
        <f t="shared" ca="1" si="57"/>
        <v/>
      </c>
      <c r="B523" s="255"/>
      <c r="C523" s="256"/>
      <c r="D523" s="257" t="str">
        <f t="shared" si="53"/>
        <v/>
      </c>
      <c r="E523" s="253"/>
      <c r="F523" s="257" t="str">
        <f t="shared" si="54"/>
        <v/>
      </c>
      <c r="G523" s="257" t="str">
        <f t="shared" si="55"/>
        <v/>
      </c>
      <c r="H523" s="257" t="str">
        <f t="shared" si="56"/>
        <v/>
      </c>
    </row>
    <row r="524" spans="1:8" x14ac:dyDescent="0.25">
      <c r="A524" s="254" t="str">
        <f t="shared" ca="1" si="57"/>
        <v/>
      </c>
      <c r="B524" s="255"/>
      <c r="C524" s="256"/>
      <c r="D524" s="257" t="str">
        <f t="shared" si="53"/>
        <v/>
      </c>
      <c r="E524" s="253"/>
      <c r="F524" s="257" t="str">
        <f t="shared" si="54"/>
        <v/>
      </c>
      <c r="G524" s="257" t="str">
        <f t="shared" si="55"/>
        <v/>
      </c>
      <c r="H524" s="257" t="str">
        <f t="shared" si="56"/>
        <v/>
      </c>
    </row>
    <row r="525" spans="1:8" x14ac:dyDescent="0.25">
      <c r="A525" s="254" t="str">
        <f t="shared" ca="1" si="57"/>
        <v/>
      </c>
      <c r="B525" s="255"/>
      <c r="C525" s="256"/>
      <c r="D525" s="257" t="str">
        <f t="shared" si="53"/>
        <v/>
      </c>
      <c r="E525" s="253"/>
      <c r="F525" s="257" t="str">
        <f t="shared" si="54"/>
        <v/>
      </c>
      <c r="G525" s="257" t="str">
        <f t="shared" si="55"/>
        <v/>
      </c>
      <c r="H525" s="257" t="str">
        <f t="shared" si="56"/>
        <v/>
      </c>
    </row>
    <row r="526" spans="1:8" x14ac:dyDescent="0.25">
      <c r="A526" s="254" t="str">
        <f t="shared" ca="1" si="57"/>
        <v/>
      </c>
      <c r="B526" s="255"/>
      <c r="C526" s="256"/>
      <c r="D526" s="257" t="str">
        <f t="shared" si="53"/>
        <v/>
      </c>
      <c r="E526" s="253"/>
      <c r="F526" s="257" t="str">
        <f t="shared" si="54"/>
        <v/>
      </c>
      <c r="G526" s="257" t="str">
        <f t="shared" si="55"/>
        <v/>
      </c>
      <c r="H526" s="257" t="str">
        <f t="shared" si="56"/>
        <v/>
      </c>
    </row>
    <row r="527" spans="1:8" x14ac:dyDescent="0.25">
      <c r="A527" s="254" t="str">
        <f t="shared" ca="1" si="57"/>
        <v/>
      </c>
      <c r="B527" s="255"/>
      <c r="C527" s="256"/>
      <c r="D527" s="257" t="str">
        <f t="shared" si="53"/>
        <v/>
      </c>
      <c r="E527" s="253"/>
      <c r="F527" s="257" t="str">
        <f t="shared" si="54"/>
        <v/>
      </c>
      <c r="G527" s="257" t="str">
        <f t="shared" si="55"/>
        <v/>
      </c>
      <c r="H527" s="257" t="str">
        <f t="shared" si="56"/>
        <v/>
      </c>
    </row>
    <row r="528" spans="1:8" x14ac:dyDescent="0.25">
      <c r="A528" s="254" t="str">
        <f t="shared" ca="1" si="57"/>
        <v/>
      </c>
      <c r="B528" s="255"/>
      <c r="C528" s="256"/>
      <c r="D528" s="257" t="str">
        <f t="shared" si="53"/>
        <v/>
      </c>
      <c r="E528" s="253"/>
      <c r="F528" s="257" t="str">
        <f t="shared" si="54"/>
        <v/>
      </c>
      <c r="G528" s="257" t="str">
        <f t="shared" si="55"/>
        <v/>
      </c>
      <c r="H528" s="257" t="str">
        <f t="shared" si="56"/>
        <v/>
      </c>
    </row>
    <row r="529" spans="1:8" x14ac:dyDescent="0.25">
      <c r="A529" s="254" t="str">
        <f t="shared" ca="1" si="57"/>
        <v/>
      </c>
      <c r="B529" s="255"/>
      <c r="C529" s="256"/>
      <c r="D529" s="257" t="str">
        <f t="shared" si="53"/>
        <v/>
      </c>
      <c r="E529" s="253"/>
      <c r="F529" s="257" t="str">
        <f t="shared" si="54"/>
        <v/>
      </c>
      <c r="G529" s="257" t="str">
        <f t="shared" si="55"/>
        <v/>
      </c>
      <c r="H529" s="257" t="str">
        <f t="shared" si="56"/>
        <v/>
      </c>
    </row>
    <row r="530" spans="1:8" x14ac:dyDescent="0.25">
      <c r="A530" s="254" t="str">
        <f t="shared" ca="1" si="57"/>
        <v/>
      </c>
      <c r="B530" s="255"/>
      <c r="C530" s="256"/>
      <c r="D530" s="257" t="str">
        <f t="shared" si="53"/>
        <v/>
      </c>
      <c r="E530" s="253"/>
      <c r="F530" s="257" t="str">
        <f t="shared" si="54"/>
        <v/>
      </c>
      <c r="G530" s="257" t="str">
        <f t="shared" si="55"/>
        <v/>
      </c>
      <c r="H530" s="257" t="str">
        <f t="shared" si="56"/>
        <v/>
      </c>
    </row>
    <row r="531" spans="1:8" x14ac:dyDescent="0.25">
      <c r="A531" s="254" t="str">
        <f t="shared" ca="1" si="57"/>
        <v/>
      </c>
      <c r="B531" s="255"/>
      <c r="C531" s="256"/>
      <c r="D531" s="257" t="str">
        <f t="shared" ref="D531:D594" si="58">IF(B531="","",ROUND((B531-B530)*$H$9*G530,2))</f>
        <v/>
      </c>
      <c r="E531" s="253"/>
      <c r="F531" s="257" t="str">
        <f t="shared" ref="F531:F594" si="59">IF(B531="","",IF(C531&gt;F530+D531,0,F530+D531-C531))</f>
        <v/>
      </c>
      <c r="G531" s="257" t="str">
        <f t="shared" ref="G531:G594" si="60">IF(B531="","",IF(C531&gt;D531+F530,G530+F530+D531-C531,G530))</f>
        <v/>
      </c>
      <c r="H531" s="257" t="str">
        <f t="shared" ref="H531:H594" si="61">IF(B531="","",G531+F531)</f>
        <v/>
      </c>
    </row>
    <row r="532" spans="1:8" x14ac:dyDescent="0.25">
      <c r="A532" s="254" t="str">
        <f t="shared" ca="1" si="57"/>
        <v/>
      </c>
      <c r="B532" s="255"/>
      <c r="C532" s="256"/>
      <c r="D532" s="257" t="str">
        <f t="shared" si="58"/>
        <v/>
      </c>
      <c r="E532" s="253"/>
      <c r="F532" s="257" t="str">
        <f t="shared" si="59"/>
        <v/>
      </c>
      <c r="G532" s="257" t="str">
        <f t="shared" si="60"/>
        <v/>
      </c>
      <c r="H532" s="257" t="str">
        <f t="shared" si="61"/>
        <v/>
      </c>
    </row>
    <row r="533" spans="1:8" x14ac:dyDescent="0.25">
      <c r="A533" s="254" t="str">
        <f t="shared" ca="1" si="57"/>
        <v/>
      </c>
      <c r="B533" s="255"/>
      <c r="C533" s="256"/>
      <c r="D533" s="257" t="str">
        <f t="shared" si="58"/>
        <v/>
      </c>
      <c r="E533" s="253"/>
      <c r="F533" s="257" t="str">
        <f t="shared" si="59"/>
        <v/>
      </c>
      <c r="G533" s="257" t="str">
        <f t="shared" si="60"/>
        <v/>
      </c>
      <c r="H533" s="257" t="str">
        <f t="shared" si="61"/>
        <v/>
      </c>
    </row>
    <row r="534" spans="1:8" x14ac:dyDescent="0.25">
      <c r="A534" s="254" t="str">
        <f t="shared" ca="1" si="57"/>
        <v/>
      </c>
      <c r="B534" s="255"/>
      <c r="C534" s="256"/>
      <c r="D534" s="257" t="str">
        <f t="shared" si="58"/>
        <v/>
      </c>
      <c r="E534" s="253"/>
      <c r="F534" s="257" t="str">
        <f t="shared" si="59"/>
        <v/>
      </c>
      <c r="G534" s="257" t="str">
        <f t="shared" si="60"/>
        <v/>
      </c>
      <c r="H534" s="257" t="str">
        <f t="shared" si="61"/>
        <v/>
      </c>
    </row>
    <row r="535" spans="1:8" x14ac:dyDescent="0.25">
      <c r="A535" s="254" t="str">
        <f t="shared" ca="1" si="57"/>
        <v/>
      </c>
      <c r="B535" s="255"/>
      <c r="C535" s="256"/>
      <c r="D535" s="257" t="str">
        <f t="shared" si="58"/>
        <v/>
      </c>
      <c r="E535" s="253"/>
      <c r="F535" s="257" t="str">
        <f t="shared" si="59"/>
        <v/>
      </c>
      <c r="G535" s="257" t="str">
        <f t="shared" si="60"/>
        <v/>
      </c>
      <c r="H535" s="257" t="str">
        <f t="shared" si="61"/>
        <v/>
      </c>
    </row>
    <row r="536" spans="1:8" x14ac:dyDescent="0.25">
      <c r="A536" s="254" t="str">
        <f t="shared" ca="1" si="57"/>
        <v/>
      </c>
      <c r="B536" s="255"/>
      <c r="C536" s="256"/>
      <c r="D536" s="257" t="str">
        <f t="shared" si="58"/>
        <v/>
      </c>
      <c r="E536" s="253"/>
      <c r="F536" s="257" t="str">
        <f t="shared" si="59"/>
        <v/>
      </c>
      <c r="G536" s="257" t="str">
        <f t="shared" si="60"/>
        <v/>
      </c>
      <c r="H536" s="257" t="str">
        <f t="shared" si="61"/>
        <v/>
      </c>
    </row>
    <row r="537" spans="1:8" x14ac:dyDescent="0.25">
      <c r="A537" s="254" t="str">
        <f t="shared" ca="1" si="57"/>
        <v/>
      </c>
      <c r="B537" s="255"/>
      <c r="C537" s="256"/>
      <c r="D537" s="257" t="str">
        <f t="shared" si="58"/>
        <v/>
      </c>
      <c r="E537" s="253"/>
      <c r="F537" s="257" t="str">
        <f t="shared" si="59"/>
        <v/>
      </c>
      <c r="G537" s="257" t="str">
        <f t="shared" si="60"/>
        <v/>
      </c>
      <c r="H537" s="257" t="str">
        <f t="shared" si="61"/>
        <v/>
      </c>
    </row>
    <row r="538" spans="1:8" x14ac:dyDescent="0.25">
      <c r="A538" s="254" t="str">
        <f t="shared" ca="1" si="57"/>
        <v/>
      </c>
      <c r="B538" s="255"/>
      <c r="C538" s="256"/>
      <c r="D538" s="257" t="str">
        <f t="shared" si="58"/>
        <v/>
      </c>
      <c r="E538" s="253"/>
      <c r="F538" s="257" t="str">
        <f t="shared" si="59"/>
        <v/>
      </c>
      <c r="G538" s="257" t="str">
        <f t="shared" si="60"/>
        <v/>
      </c>
      <c r="H538" s="257" t="str">
        <f t="shared" si="61"/>
        <v/>
      </c>
    </row>
    <row r="539" spans="1:8" x14ac:dyDescent="0.25">
      <c r="A539" s="254" t="str">
        <f t="shared" ca="1" si="57"/>
        <v/>
      </c>
      <c r="B539" s="255"/>
      <c r="C539" s="256"/>
      <c r="D539" s="257" t="str">
        <f t="shared" si="58"/>
        <v/>
      </c>
      <c r="E539" s="253"/>
      <c r="F539" s="257" t="str">
        <f t="shared" si="59"/>
        <v/>
      </c>
      <c r="G539" s="257" t="str">
        <f t="shared" si="60"/>
        <v/>
      </c>
      <c r="H539" s="257" t="str">
        <f t="shared" si="61"/>
        <v/>
      </c>
    </row>
    <row r="540" spans="1:8" x14ac:dyDescent="0.25">
      <c r="A540" s="254" t="str">
        <f t="shared" ca="1" si="57"/>
        <v/>
      </c>
      <c r="B540" s="255"/>
      <c r="C540" s="256"/>
      <c r="D540" s="257" t="str">
        <f t="shared" si="58"/>
        <v/>
      </c>
      <c r="E540" s="253"/>
      <c r="F540" s="257" t="str">
        <f t="shared" si="59"/>
        <v/>
      </c>
      <c r="G540" s="257" t="str">
        <f t="shared" si="60"/>
        <v/>
      </c>
      <c r="H540" s="257" t="str">
        <f t="shared" si="61"/>
        <v/>
      </c>
    </row>
    <row r="541" spans="1:8" x14ac:dyDescent="0.25">
      <c r="A541" s="254" t="str">
        <f t="shared" ca="1" si="57"/>
        <v/>
      </c>
      <c r="B541" s="255"/>
      <c r="C541" s="256"/>
      <c r="D541" s="257" t="str">
        <f t="shared" si="58"/>
        <v/>
      </c>
      <c r="E541" s="253"/>
      <c r="F541" s="257" t="str">
        <f t="shared" si="59"/>
        <v/>
      </c>
      <c r="G541" s="257" t="str">
        <f t="shared" si="60"/>
        <v/>
      </c>
      <c r="H541" s="257" t="str">
        <f t="shared" si="61"/>
        <v/>
      </c>
    </row>
    <row r="542" spans="1:8" x14ac:dyDescent="0.25">
      <c r="A542" s="254" t="str">
        <f t="shared" ca="1" si="57"/>
        <v/>
      </c>
      <c r="B542" s="255"/>
      <c r="C542" s="256"/>
      <c r="D542" s="257" t="str">
        <f t="shared" si="58"/>
        <v/>
      </c>
      <c r="E542" s="253"/>
      <c r="F542" s="257" t="str">
        <f t="shared" si="59"/>
        <v/>
      </c>
      <c r="G542" s="257" t="str">
        <f t="shared" si="60"/>
        <v/>
      </c>
      <c r="H542" s="257" t="str">
        <f t="shared" si="61"/>
        <v/>
      </c>
    </row>
    <row r="543" spans="1:8" x14ac:dyDescent="0.25">
      <c r="A543" s="254" t="str">
        <f t="shared" ca="1" si="57"/>
        <v/>
      </c>
      <c r="B543" s="255"/>
      <c r="C543" s="256"/>
      <c r="D543" s="257" t="str">
        <f t="shared" si="58"/>
        <v/>
      </c>
      <c r="E543" s="253"/>
      <c r="F543" s="257" t="str">
        <f t="shared" si="59"/>
        <v/>
      </c>
      <c r="G543" s="257" t="str">
        <f t="shared" si="60"/>
        <v/>
      </c>
      <c r="H543" s="257" t="str">
        <f t="shared" si="61"/>
        <v/>
      </c>
    </row>
    <row r="544" spans="1:8" x14ac:dyDescent="0.25">
      <c r="A544" s="254" t="str">
        <f t="shared" ca="1" si="57"/>
        <v/>
      </c>
      <c r="B544" s="255"/>
      <c r="C544" s="256"/>
      <c r="D544" s="257" t="str">
        <f t="shared" si="58"/>
        <v/>
      </c>
      <c r="E544" s="253"/>
      <c r="F544" s="257" t="str">
        <f t="shared" si="59"/>
        <v/>
      </c>
      <c r="G544" s="257" t="str">
        <f t="shared" si="60"/>
        <v/>
      </c>
      <c r="H544" s="257" t="str">
        <f t="shared" si="61"/>
        <v/>
      </c>
    </row>
    <row r="545" spans="1:8" x14ac:dyDescent="0.25">
      <c r="A545" s="254" t="str">
        <f t="shared" ca="1" si="57"/>
        <v/>
      </c>
      <c r="B545" s="255"/>
      <c r="C545" s="256"/>
      <c r="D545" s="257" t="str">
        <f t="shared" si="58"/>
        <v/>
      </c>
      <c r="E545" s="253"/>
      <c r="F545" s="257" t="str">
        <f t="shared" si="59"/>
        <v/>
      </c>
      <c r="G545" s="257" t="str">
        <f t="shared" si="60"/>
        <v/>
      </c>
      <c r="H545" s="257" t="str">
        <f t="shared" si="61"/>
        <v/>
      </c>
    </row>
    <row r="546" spans="1:8" x14ac:dyDescent="0.25">
      <c r="A546" s="254" t="str">
        <f t="shared" ca="1" si="57"/>
        <v/>
      </c>
      <c r="B546" s="255"/>
      <c r="C546" s="256"/>
      <c r="D546" s="257" t="str">
        <f t="shared" si="58"/>
        <v/>
      </c>
      <c r="E546" s="253"/>
      <c r="F546" s="257" t="str">
        <f t="shared" si="59"/>
        <v/>
      </c>
      <c r="G546" s="257" t="str">
        <f t="shared" si="60"/>
        <v/>
      </c>
      <c r="H546" s="257" t="str">
        <f t="shared" si="61"/>
        <v/>
      </c>
    </row>
    <row r="547" spans="1:8" x14ac:dyDescent="0.25">
      <c r="A547" s="254" t="str">
        <f t="shared" ca="1" si="57"/>
        <v/>
      </c>
      <c r="B547" s="255"/>
      <c r="C547" s="256"/>
      <c r="D547" s="257" t="str">
        <f t="shared" si="58"/>
        <v/>
      </c>
      <c r="E547" s="253"/>
      <c r="F547" s="257" t="str">
        <f t="shared" si="59"/>
        <v/>
      </c>
      <c r="G547" s="257" t="str">
        <f t="shared" si="60"/>
        <v/>
      </c>
      <c r="H547" s="257" t="str">
        <f t="shared" si="61"/>
        <v/>
      </c>
    </row>
    <row r="548" spans="1:8" x14ac:dyDescent="0.25">
      <c r="A548" s="254" t="str">
        <f t="shared" ca="1" si="57"/>
        <v/>
      </c>
      <c r="B548" s="255"/>
      <c r="C548" s="256"/>
      <c r="D548" s="257" t="str">
        <f t="shared" si="58"/>
        <v/>
      </c>
      <c r="E548" s="253"/>
      <c r="F548" s="257" t="str">
        <f t="shared" si="59"/>
        <v/>
      </c>
      <c r="G548" s="257" t="str">
        <f t="shared" si="60"/>
        <v/>
      </c>
      <c r="H548" s="257" t="str">
        <f t="shared" si="61"/>
        <v/>
      </c>
    </row>
    <row r="549" spans="1:8" x14ac:dyDescent="0.25">
      <c r="A549" s="254" t="str">
        <f t="shared" ca="1" si="57"/>
        <v/>
      </c>
      <c r="B549" s="255"/>
      <c r="C549" s="256"/>
      <c r="D549" s="257" t="str">
        <f t="shared" si="58"/>
        <v/>
      </c>
      <c r="E549" s="253"/>
      <c r="F549" s="257" t="str">
        <f t="shared" si="59"/>
        <v/>
      </c>
      <c r="G549" s="257" t="str">
        <f t="shared" si="60"/>
        <v/>
      </c>
      <c r="H549" s="257" t="str">
        <f t="shared" si="61"/>
        <v/>
      </c>
    </row>
    <row r="550" spans="1:8" x14ac:dyDescent="0.25">
      <c r="A550" s="254" t="str">
        <f t="shared" ca="1" si="57"/>
        <v/>
      </c>
      <c r="B550" s="255"/>
      <c r="C550" s="256"/>
      <c r="D550" s="257" t="str">
        <f t="shared" si="58"/>
        <v/>
      </c>
      <c r="E550" s="253"/>
      <c r="F550" s="257" t="str">
        <f t="shared" si="59"/>
        <v/>
      </c>
      <c r="G550" s="257" t="str">
        <f t="shared" si="60"/>
        <v/>
      </c>
      <c r="H550" s="257" t="str">
        <f t="shared" si="61"/>
        <v/>
      </c>
    </row>
    <row r="551" spans="1:8" x14ac:dyDescent="0.25">
      <c r="A551" s="254" t="str">
        <f t="shared" ca="1" si="57"/>
        <v/>
      </c>
      <c r="B551" s="255"/>
      <c r="C551" s="256"/>
      <c r="D551" s="257" t="str">
        <f t="shared" si="58"/>
        <v/>
      </c>
      <c r="E551" s="253"/>
      <c r="F551" s="257" t="str">
        <f t="shared" si="59"/>
        <v/>
      </c>
      <c r="G551" s="257" t="str">
        <f t="shared" si="60"/>
        <v/>
      </c>
      <c r="H551" s="257" t="str">
        <f t="shared" si="61"/>
        <v/>
      </c>
    </row>
    <row r="552" spans="1:8" x14ac:dyDescent="0.25">
      <c r="A552" s="254" t="str">
        <f t="shared" ca="1" si="57"/>
        <v/>
      </c>
      <c r="B552" s="255"/>
      <c r="C552" s="256"/>
      <c r="D552" s="257" t="str">
        <f t="shared" si="58"/>
        <v/>
      </c>
      <c r="E552" s="253"/>
      <c r="F552" s="257" t="str">
        <f t="shared" si="59"/>
        <v/>
      </c>
      <c r="G552" s="257" t="str">
        <f t="shared" si="60"/>
        <v/>
      </c>
      <c r="H552" s="257" t="str">
        <f t="shared" si="61"/>
        <v/>
      </c>
    </row>
    <row r="553" spans="1:8" x14ac:dyDescent="0.25">
      <c r="A553" s="254" t="str">
        <f t="shared" ref="A553:A616" ca="1" si="62">IF(OR(H552&lt;=0,H552=""),"",OFFSET(A553,-1,0,1,1)+1)</f>
        <v/>
      </c>
      <c r="B553" s="255"/>
      <c r="C553" s="256"/>
      <c r="D553" s="257" t="str">
        <f t="shared" si="58"/>
        <v/>
      </c>
      <c r="E553" s="253"/>
      <c r="F553" s="257" t="str">
        <f t="shared" si="59"/>
        <v/>
      </c>
      <c r="G553" s="257" t="str">
        <f t="shared" si="60"/>
        <v/>
      </c>
      <c r="H553" s="257" t="str">
        <f t="shared" si="61"/>
        <v/>
      </c>
    </row>
    <row r="554" spans="1:8" x14ac:dyDescent="0.25">
      <c r="A554" s="254" t="str">
        <f t="shared" ca="1" si="62"/>
        <v/>
      </c>
      <c r="B554" s="255"/>
      <c r="C554" s="256"/>
      <c r="D554" s="257" t="str">
        <f t="shared" si="58"/>
        <v/>
      </c>
      <c r="E554" s="253"/>
      <c r="F554" s="257" t="str">
        <f t="shared" si="59"/>
        <v/>
      </c>
      <c r="G554" s="257" t="str">
        <f t="shared" si="60"/>
        <v/>
      </c>
      <c r="H554" s="257" t="str">
        <f t="shared" si="61"/>
        <v/>
      </c>
    </row>
    <row r="555" spans="1:8" x14ac:dyDescent="0.25">
      <c r="A555" s="254" t="str">
        <f t="shared" ca="1" si="62"/>
        <v/>
      </c>
      <c r="B555" s="255"/>
      <c r="C555" s="256"/>
      <c r="D555" s="257" t="str">
        <f t="shared" si="58"/>
        <v/>
      </c>
      <c r="E555" s="253"/>
      <c r="F555" s="257" t="str">
        <f t="shared" si="59"/>
        <v/>
      </c>
      <c r="G555" s="257" t="str">
        <f t="shared" si="60"/>
        <v/>
      </c>
      <c r="H555" s="257" t="str">
        <f t="shared" si="61"/>
        <v/>
      </c>
    </row>
    <row r="556" spans="1:8" x14ac:dyDescent="0.25">
      <c r="A556" s="254" t="str">
        <f t="shared" ca="1" si="62"/>
        <v/>
      </c>
      <c r="B556" s="255"/>
      <c r="C556" s="256"/>
      <c r="D556" s="257" t="str">
        <f t="shared" si="58"/>
        <v/>
      </c>
      <c r="E556" s="253"/>
      <c r="F556" s="257" t="str">
        <f t="shared" si="59"/>
        <v/>
      </c>
      <c r="G556" s="257" t="str">
        <f t="shared" si="60"/>
        <v/>
      </c>
      <c r="H556" s="257" t="str">
        <f t="shared" si="61"/>
        <v/>
      </c>
    </row>
    <row r="557" spans="1:8" x14ac:dyDescent="0.25">
      <c r="A557" s="254" t="str">
        <f t="shared" ca="1" si="62"/>
        <v/>
      </c>
      <c r="B557" s="255"/>
      <c r="C557" s="256"/>
      <c r="D557" s="257" t="str">
        <f t="shared" si="58"/>
        <v/>
      </c>
      <c r="E557" s="253"/>
      <c r="F557" s="257" t="str">
        <f t="shared" si="59"/>
        <v/>
      </c>
      <c r="G557" s="257" t="str">
        <f t="shared" si="60"/>
        <v/>
      </c>
      <c r="H557" s="257" t="str">
        <f t="shared" si="61"/>
        <v/>
      </c>
    </row>
    <row r="558" spans="1:8" x14ac:dyDescent="0.25">
      <c r="A558" s="254" t="str">
        <f t="shared" ca="1" si="62"/>
        <v/>
      </c>
      <c r="B558" s="255"/>
      <c r="C558" s="256"/>
      <c r="D558" s="257" t="str">
        <f t="shared" si="58"/>
        <v/>
      </c>
      <c r="E558" s="253"/>
      <c r="F558" s="257" t="str">
        <f t="shared" si="59"/>
        <v/>
      </c>
      <c r="G558" s="257" t="str">
        <f t="shared" si="60"/>
        <v/>
      </c>
      <c r="H558" s="257" t="str">
        <f t="shared" si="61"/>
        <v/>
      </c>
    </row>
    <row r="559" spans="1:8" x14ac:dyDescent="0.25">
      <c r="A559" s="254" t="str">
        <f t="shared" ca="1" si="62"/>
        <v/>
      </c>
      <c r="B559" s="255"/>
      <c r="C559" s="256"/>
      <c r="D559" s="257" t="str">
        <f t="shared" si="58"/>
        <v/>
      </c>
      <c r="E559" s="253"/>
      <c r="F559" s="257" t="str">
        <f t="shared" si="59"/>
        <v/>
      </c>
      <c r="G559" s="257" t="str">
        <f t="shared" si="60"/>
        <v/>
      </c>
      <c r="H559" s="257" t="str">
        <f t="shared" si="61"/>
        <v/>
      </c>
    </row>
    <row r="560" spans="1:8" x14ac:dyDescent="0.25">
      <c r="A560" s="254" t="str">
        <f t="shared" ca="1" si="62"/>
        <v/>
      </c>
      <c r="B560" s="255"/>
      <c r="C560" s="256"/>
      <c r="D560" s="257" t="str">
        <f t="shared" si="58"/>
        <v/>
      </c>
      <c r="E560" s="253"/>
      <c r="F560" s="257" t="str">
        <f t="shared" si="59"/>
        <v/>
      </c>
      <c r="G560" s="257" t="str">
        <f t="shared" si="60"/>
        <v/>
      </c>
      <c r="H560" s="257" t="str">
        <f t="shared" si="61"/>
        <v/>
      </c>
    </row>
    <row r="561" spans="1:8" x14ac:dyDescent="0.25">
      <c r="A561" s="254" t="str">
        <f t="shared" ca="1" si="62"/>
        <v/>
      </c>
      <c r="B561" s="255"/>
      <c r="C561" s="256"/>
      <c r="D561" s="257" t="str">
        <f t="shared" si="58"/>
        <v/>
      </c>
      <c r="E561" s="253"/>
      <c r="F561" s="257" t="str">
        <f t="shared" si="59"/>
        <v/>
      </c>
      <c r="G561" s="257" t="str">
        <f t="shared" si="60"/>
        <v/>
      </c>
      <c r="H561" s="257" t="str">
        <f t="shared" si="61"/>
        <v/>
      </c>
    </row>
    <row r="562" spans="1:8" x14ac:dyDescent="0.25">
      <c r="A562" s="254" t="str">
        <f t="shared" ca="1" si="62"/>
        <v/>
      </c>
      <c r="B562" s="255"/>
      <c r="C562" s="256"/>
      <c r="D562" s="257" t="str">
        <f t="shared" si="58"/>
        <v/>
      </c>
      <c r="E562" s="253"/>
      <c r="F562" s="257" t="str">
        <f t="shared" si="59"/>
        <v/>
      </c>
      <c r="G562" s="257" t="str">
        <f t="shared" si="60"/>
        <v/>
      </c>
      <c r="H562" s="257" t="str">
        <f t="shared" si="61"/>
        <v/>
      </c>
    </row>
    <row r="563" spans="1:8" x14ac:dyDescent="0.25">
      <c r="A563" s="254" t="str">
        <f t="shared" ca="1" si="62"/>
        <v/>
      </c>
      <c r="B563" s="255"/>
      <c r="C563" s="256"/>
      <c r="D563" s="257" t="str">
        <f t="shared" si="58"/>
        <v/>
      </c>
      <c r="E563" s="253"/>
      <c r="F563" s="257" t="str">
        <f t="shared" si="59"/>
        <v/>
      </c>
      <c r="G563" s="257" t="str">
        <f t="shared" si="60"/>
        <v/>
      </c>
      <c r="H563" s="257" t="str">
        <f t="shared" si="61"/>
        <v/>
      </c>
    </row>
    <row r="564" spans="1:8" x14ac:dyDescent="0.25">
      <c r="A564" s="254" t="str">
        <f t="shared" ca="1" si="62"/>
        <v/>
      </c>
      <c r="B564" s="255"/>
      <c r="C564" s="256"/>
      <c r="D564" s="257" t="str">
        <f t="shared" si="58"/>
        <v/>
      </c>
      <c r="E564" s="253"/>
      <c r="F564" s="257" t="str">
        <f t="shared" si="59"/>
        <v/>
      </c>
      <c r="G564" s="257" t="str">
        <f t="shared" si="60"/>
        <v/>
      </c>
      <c r="H564" s="257" t="str">
        <f t="shared" si="61"/>
        <v/>
      </c>
    </row>
    <row r="565" spans="1:8" x14ac:dyDescent="0.25">
      <c r="A565" s="254" t="str">
        <f t="shared" ca="1" si="62"/>
        <v/>
      </c>
      <c r="B565" s="255"/>
      <c r="C565" s="256"/>
      <c r="D565" s="257" t="str">
        <f t="shared" si="58"/>
        <v/>
      </c>
      <c r="E565" s="253"/>
      <c r="F565" s="257" t="str">
        <f t="shared" si="59"/>
        <v/>
      </c>
      <c r="G565" s="257" t="str">
        <f t="shared" si="60"/>
        <v/>
      </c>
      <c r="H565" s="257" t="str">
        <f t="shared" si="61"/>
        <v/>
      </c>
    </row>
    <row r="566" spans="1:8" x14ac:dyDescent="0.25">
      <c r="A566" s="254" t="str">
        <f t="shared" ca="1" si="62"/>
        <v/>
      </c>
      <c r="B566" s="255"/>
      <c r="C566" s="256"/>
      <c r="D566" s="257" t="str">
        <f t="shared" si="58"/>
        <v/>
      </c>
      <c r="E566" s="253"/>
      <c r="F566" s="257" t="str">
        <f t="shared" si="59"/>
        <v/>
      </c>
      <c r="G566" s="257" t="str">
        <f t="shared" si="60"/>
        <v/>
      </c>
      <c r="H566" s="257" t="str">
        <f t="shared" si="61"/>
        <v/>
      </c>
    </row>
    <row r="567" spans="1:8" x14ac:dyDescent="0.25">
      <c r="A567" s="254" t="str">
        <f t="shared" ca="1" si="62"/>
        <v/>
      </c>
      <c r="B567" s="255"/>
      <c r="C567" s="256"/>
      <c r="D567" s="257" t="str">
        <f t="shared" si="58"/>
        <v/>
      </c>
      <c r="E567" s="253"/>
      <c r="F567" s="257" t="str">
        <f t="shared" si="59"/>
        <v/>
      </c>
      <c r="G567" s="257" t="str">
        <f t="shared" si="60"/>
        <v/>
      </c>
      <c r="H567" s="257" t="str">
        <f t="shared" si="61"/>
        <v/>
      </c>
    </row>
    <row r="568" spans="1:8" x14ac:dyDescent="0.25">
      <c r="A568" s="254" t="str">
        <f t="shared" ca="1" si="62"/>
        <v/>
      </c>
      <c r="B568" s="255"/>
      <c r="C568" s="256"/>
      <c r="D568" s="257" t="str">
        <f t="shared" si="58"/>
        <v/>
      </c>
      <c r="E568" s="253"/>
      <c r="F568" s="257" t="str">
        <f t="shared" si="59"/>
        <v/>
      </c>
      <c r="G568" s="257" t="str">
        <f t="shared" si="60"/>
        <v/>
      </c>
      <c r="H568" s="257" t="str">
        <f t="shared" si="61"/>
        <v/>
      </c>
    </row>
    <row r="569" spans="1:8" x14ac:dyDescent="0.25">
      <c r="A569" s="254" t="str">
        <f t="shared" ca="1" si="62"/>
        <v/>
      </c>
      <c r="B569" s="255"/>
      <c r="C569" s="256"/>
      <c r="D569" s="257" t="str">
        <f t="shared" si="58"/>
        <v/>
      </c>
      <c r="E569" s="253"/>
      <c r="F569" s="257" t="str">
        <f t="shared" si="59"/>
        <v/>
      </c>
      <c r="G569" s="257" t="str">
        <f t="shared" si="60"/>
        <v/>
      </c>
      <c r="H569" s="257" t="str">
        <f t="shared" si="61"/>
        <v/>
      </c>
    </row>
    <row r="570" spans="1:8" x14ac:dyDescent="0.25">
      <c r="A570" s="254" t="str">
        <f t="shared" ca="1" si="62"/>
        <v/>
      </c>
      <c r="B570" s="255"/>
      <c r="C570" s="256"/>
      <c r="D570" s="257" t="str">
        <f t="shared" si="58"/>
        <v/>
      </c>
      <c r="E570" s="253"/>
      <c r="F570" s="257" t="str">
        <f t="shared" si="59"/>
        <v/>
      </c>
      <c r="G570" s="257" t="str">
        <f t="shared" si="60"/>
        <v/>
      </c>
      <c r="H570" s="257" t="str">
        <f t="shared" si="61"/>
        <v/>
      </c>
    </row>
    <row r="571" spans="1:8" x14ac:dyDescent="0.25">
      <c r="A571" s="254" t="str">
        <f t="shared" ca="1" si="62"/>
        <v/>
      </c>
      <c r="B571" s="255"/>
      <c r="C571" s="256"/>
      <c r="D571" s="257" t="str">
        <f t="shared" si="58"/>
        <v/>
      </c>
      <c r="E571" s="253"/>
      <c r="F571" s="257" t="str">
        <f t="shared" si="59"/>
        <v/>
      </c>
      <c r="G571" s="257" t="str">
        <f t="shared" si="60"/>
        <v/>
      </c>
      <c r="H571" s="257" t="str">
        <f t="shared" si="61"/>
        <v/>
      </c>
    </row>
    <row r="572" spans="1:8" x14ac:dyDescent="0.25">
      <c r="A572" s="254" t="str">
        <f t="shared" ca="1" si="62"/>
        <v/>
      </c>
      <c r="B572" s="255"/>
      <c r="C572" s="256"/>
      <c r="D572" s="257" t="str">
        <f t="shared" si="58"/>
        <v/>
      </c>
      <c r="E572" s="253"/>
      <c r="F572" s="257" t="str">
        <f t="shared" si="59"/>
        <v/>
      </c>
      <c r="G572" s="257" t="str">
        <f t="shared" si="60"/>
        <v/>
      </c>
      <c r="H572" s="257" t="str">
        <f t="shared" si="61"/>
        <v/>
      </c>
    </row>
    <row r="573" spans="1:8" x14ac:dyDescent="0.25">
      <c r="A573" s="254" t="str">
        <f t="shared" ca="1" si="62"/>
        <v/>
      </c>
      <c r="B573" s="255"/>
      <c r="C573" s="256"/>
      <c r="D573" s="257" t="str">
        <f t="shared" si="58"/>
        <v/>
      </c>
      <c r="E573" s="253"/>
      <c r="F573" s="257" t="str">
        <f t="shared" si="59"/>
        <v/>
      </c>
      <c r="G573" s="257" t="str">
        <f t="shared" si="60"/>
        <v/>
      </c>
      <c r="H573" s="257" t="str">
        <f t="shared" si="61"/>
        <v/>
      </c>
    </row>
    <row r="574" spans="1:8" x14ac:dyDescent="0.25">
      <c r="A574" s="254" t="str">
        <f t="shared" ca="1" si="62"/>
        <v/>
      </c>
      <c r="B574" s="255"/>
      <c r="C574" s="256"/>
      <c r="D574" s="257" t="str">
        <f t="shared" si="58"/>
        <v/>
      </c>
      <c r="E574" s="253"/>
      <c r="F574" s="257" t="str">
        <f t="shared" si="59"/>
        <v/>
      </c>
      <c r="G574" s="257" t="str">
        <f t="shared" si="60"/>
        <v/>
      </c>
      <c r="H574" s="257" t="str">
        <f t="shared" si="61"/>
        <v/>
      </c>
    </row>
    <row r="575" spans="1:8" x14ac:dyDescent="0.25">
      <c r="A575" s="254" t="str">
        <f t="shared" ca="1" si="62"/>
        <v/>
      </c>
      <c r="B575" s="255"/>
      <c r="C575" s="256"/>
      <c r="D575" s="257" t="str">
        <f t="shared" si="58"/>
        <v/>
      </c>
      <c r="E575" s="253"/>
      <c r="F575" s="257" t="str">
        <f t="shared" si="59"/>
        <v/>
      </c>
      <c r="G575" s="257" t="str">
        <f t="shared" si="60"/>
        <v/>
      </c>
      <c r="H575" s="257" t="str">
        <f t="shared" si="61"/>
        <v/>
      </c>
    </row>
    <row r="576" spans="1:8" x14ac:dyDescent="0.25">
      <c r="A576" s="254" t="str">
        <f t="shared" ca="1" si="62"/>
        <v/>
      </c>
      <c r="B576" s="255"/>
      <c r="C576" s="256"/>
      <c r="D576" s="257" t="str">
        <f t="shared" si="58"/>
        <v/>
      </c>
      <c r="E576" s="253"/>
      <c r="F576" s="257" t="str">
        <f t="shared" si="59"/>
        <v/>
      </c>
      <c r="G576" s="257" t="str">
        <f t="shared" si="60"/>
        <v/>
      </c>
      <c r="H576" s="257" t="str">
        <f t="shared" si="61"/>
        <v/>
      </c>
    </row>
    <row r="577" spans="1:8" x14ac:dyDescent="0.25">
      <c r="A577" s="254" t="str">
        <f t="shared" ca="1" si="62"/>
        <v/>
      </c>
      <c r="B577" s="255"/>
      <c r="C577" s="256"/>
      <c r="D577" s="257" t="str">
        <f t="shared" si="58"/>
        <v/>
      </c>
      <c r="E577" s="253"/>
      <c r="F577" s="257" t="str">
        <f t="shared" si="59"/>
        <v/>
      </c>
      <c r="G577" s="257" t="str">
        <f t="shared" si="60"/>
        <v/>
      </c>
      <c r="H577" s="257" t="str">
        <f t="shared" si="61"/>
        <v/>
      </c>
    </row>
    <row r="578" spans="1:8" x14ac:dyDescent="0.25">
      <c r="A578" s="254" t="str">
        <f t="shared" ca="1" si="62"/>
        <v/>
      </c>
      <c r="B578" s="255"/>
      <c r="C578" s="256"/>
      <c r="D578" s="257" t="str">
        <f t="shared" si="58"/>
        <v/>
      </c>
      <c r="E578" s="253"/>
      <c r="F578" s="257" t="str">
        <f t="shared" si="59"/>
        <v/>
      </c>
      <c r="G578" s="257" t="str">
        <f t="shared" si="60"/>
        <v/>
      </c>
      <c r="H578" s="257" t="str">
        <f t="shared" si="61"/>
        <v/>
      </c>
    </row>
    <row r="579" spans="1:8" x14ac:dyDescent="0.25">
      <c r="A579" s="254" t="str">
        <f t="shared" ca="1" si="62"/>
        <v/>
      </c>
      <c r="B579" s="255"/>
      <c r="C579" s="256"/>
      <c r="D579" s="257" t="str">
        <f t="shared" si="58"/>
        <v/>
      </c>
      <c r="E579" s="253"/>
      <c r="F579" s="257" t="str">
        <f t="shared" si="59"/>
        <v/>
      </c>
      <c r="G579" s="257" t="str">
        <f t="shared" si="60"/>
        <v/>
      </c>
      <c r="H579" s="257" t="str">
        <f t="shared" si="61"/>
        <v/>
      </c>
    </row>
    <row r="580" spans="1:8" x14ac:dyDescent="0.25">
      <c r="A580" s="254" t="str">
        <f t="shared" ca="1" si="62"/>
        <v/>
      </c>
      <c r="B580" s="255"/>
      <c r="C580" s="256"/>
      <c r="D580" s="257" t="str">
        <f t="shared" si="58"/>
        <v/>
      </c>
      <c r="E580" s="253"/>
      <c r="F580" s="257" t="str">
        <f t="shared" si="59"/>
        <v/>
      </c>
      <c r="G580" s="257" t="str">
        <f t="shared" si="60"/>
        <v/>
      </c>
      <c r="H580" s="257" t="str">
        <f t="shared" si="61"/>
        <v/>
      </c>
    </row>
    <row r="581" spans="1:8" x14ac:dyDescent="0.25">
      <c r="A581" s="254" t="str">
        <f t="shared" ca="1" si="62"/>
        <v/>
      </c>
      <c r="B581" s="255"/>
      <c r="C581" s="256"/>
      <c r="D581" s="257" t="str">
        <f t="shared" si="58"/>
        <v/>
      </c>
      <c r="E581" s="253"/>
      <c r="F581" s="257" t="str">
        <f t="shared" si="59"/>
        <v/>
      </c>
      <c r="G581" s="257" t="str">
        <f t="shared" si="60"/>
        <v/>
      </c>
      <c r="H581" s="257" t="str">
        <f t="shared" si="61"/>
        <v/>
      </c>
    </row>
    <row r="582" spans="1:8" x14ac:dyDescent="0.25">
      <c r="A582" s="254" t="str">
        <f t="shared" ca="1" si="62"/>
        <v/>
      </c>
      <c r="B582" s="255"/>
      <c r="C582" s="256"/>
      <c r="D582" s="257" t="str">
        <f t="shared" si="58"/>
        <v/>
      </c>
      <c r="E582" s="253"/>
      <c r="F582" s="257" t="str">
        <f t="shared" si="59"/>
        <v/>
      </c>
      <c r="G582" s="257" t="str">
        <f t="shared" si="60"/>
        <v/>
      </c>
      <c r="H582" s="257" t="str">
        <f t="shared" si="61"/>
        <v/>
      </c>
    </row>
    <row r="583" spans="1:8" x14ac:dyDescent="0.25">
      <c r="A583" s="254" t="str">
        <f t="shared" ca="1" si="62"/>
        <v/>
      </c>
      <c r="B583" s="255"/>
      <c r="C583" s="256"/>
      <c r="D583" s="257" t="str">
        <f t="shared" si="58"/>
        <v/>
      </c>
      <c r="E583" s="253"/>
      <c r="F583" s="257" t="str">
        <f t="shared" si="59"/>
        <v/>
      </c>
      <c r="G583" s="257" t="str">
        <f t="shared" si="60"/>
        <v/>
      </c>
      <c r="H583" s="257" t="str">
        <f t="shared" si="61"/>
        <v/>
      </c>
    </row>
    <row r="584" spans="1:8" x14ac:dyDescent="0.25">
      <c r="A584" s="254" t="str">
        <f t="shared" ca="1" si="62"/>
        <v/>
      </c>
      <c r="B584" s="255"/>
      <c r="C584" s="256"/>
      <c r="D584" s="257" t="str">
        <f t="shared" si="58"/>
        <v/>
      </c>
      <c r="E584" s="253"/>
      <c r="F584" s="257" t="str">
        <f t="shared" si="59"/>
        <v/>
      </c>
      <c r="G584" s="257" t="str">
        <f t="shared" si="60"/>
        <v/>
      </c>
      <c r="H584" s="257" t="str">
        <f t="shared" si="61"/>
        <v/>
      </c>
    </row>
    <row r="585" spans="1:8" x14ac:dyDescent="0.25">
      <c r="A585" s="254" t="str">
        <f t="shared" ca="1" si="62"/>
        <v/>
      </c>
      <c r="B585" s="255"/>
      <c r="C585" s="256"/>
      <c r="D585" s="257" t="str">
        <f t="shared" si="58"/>
        <v/>
      </c>
      <c r="E585" s="253"/>
      <c r="F585" s="257" t="str">
        <f t="shared" si="59"/>
        <v/>
      </c>
      <c r="G585" s="257" t="str">
        <f t="shared" si="60"/>
        <v/>
      </c>
      <c r="H585" s="257" t="str">
        <f t="shared" si="61"/>
        <v/>
      </c>
    </row>
    <row r="586" spans="1:8" x14ac:dyDescent="0.25">
      <c r="A586" s="254" t="str">
        <f t="shared" ca="1" si="62"/>
        <v/>
      </c>
      <c r="B586" s="255"/>
      <c r="C586" s="256"/>
      <c r="D586" s="257" t="str">
        <f t="shared" si="58"/>
        <v/>
      </c>
      <c r="E586" s="253"/>
      <c r="F586" s="257" t="str">
        <f t="shared" si="59"/>
        <v/>
      </c>
      <c r="G586" s="257" t="str">
        <f t="shared" si="60"/>
        <v/>
      </c>
      <c r="H586" s="257" t="str">
        <f t="shared" si="61"/>
        <v/>
      </c>
    </row>
    <row r="587" spans="1:8" x14ac:dyDescent="0.25">
      <c r="A587" s="254" t="str">
        <f t="shared" ca="1" si="62"/>
        <v/>
      </c>
      <c r="B587" s="255"/>
      <c r="C587" s="256"/>
      <c r="D587" s="257" t="str">
        <f t="shared" si="58"/>
        <v/>
      </c>
      <c r="E587" s="253"/>
      <c r="F587" s="257" t="str">
        <f t="shared" si="59"/>
        <v/>
      </c>
      <c r="G587" s="257" t="str">
        <f t="shared" si="60"/>
        <v/>
      </c>
      <c r="H587" s="257" t="str">
        <f t="shared" si="61"/>
        <v/>
      </c>
    </row>
    <row r="588" spans="1:8" x14ac:dyDescent="0.25">
      <c r="A588" s="254" t="str">
        <f t="shared" ca="1" si="62"/>
        <v/>
      </c>
      <c r="B588" s="255"/>
      <c r="C588" s="256"/>
      <c r="D588" s="257" t="str">
        <f t="shared" si="58"/>
        <v/>
      </c>
      <c r="E588" s="253"/>
      <c r="F588" s="257" t="str">
        <f t="shared" si="59"/>
        <v/>
      </c>
      <c r="G588" s="257" t="str">
        <f t="shared" si="60"/>
        <v/>
      </c>
      <c r="H588" s="257" t="str">
        <f t="shared" si="61"/>
        <v/>
      </c>
    </row>
    <row r="589" spans="1:8" x14ac:dyDescent="0.25">
      <c r="A589" s="254" t="str">
        <f t="shared" ca="1" si="62"/>
        <v/>
      </c>
      <c r="B589" s="255"/>
      <c r="C589" s="256"/>
      <c r="D589" s="257" t="str">
        <f t="shared" si="58"/>
        <v/>
      </c>
      <c r="E589" s="253"/>
      <c r="F589" s="257" t="str">
        <f t="shared" si="59"/>
        <v/>
      </c>
      <c r="G589" s="257" t="str">
        <f t="shared" si="60"/>
        <v/>
      </c>
      <c r="H589" s="257" t="str">
        <f t="shared" si="61"/>
        <v/>
      </c>
    </row>
    <row r="590" spans="1:8" x14ac:dyDescent="0.25">
      <c r="A590" s="254" t="str">
        <f t="shared" ca="1" si="62"/>
        <v/>
      </c>
      <c r="B590" s="255"/>
      <c r="C590" s="256"/>
      <c r="D590" s="257" t="str">
        <f t="shared" si="58"/>
        <v/>
      </c>
      <c r="E590" s="253"/>
      <c r="F590" s="257" t="str">
        <f t="shared" si="59"/>
        <v/>
      </c>
      <c r="G590" s="257" t="str">
        <f t="shared" si="60"/>
        <v/>
      </c>
      <c r="H590" s="257" t="str">
        <f t="shared" si="61"/>
        <v/>
      </c>
    </row>
    <row r="591" spans="1:8" x14ac:dyDescent="0.25">
      <c r="A591" s="254" t="str">
        <f t="shared" ca="1" si="62"/>
        <v/>
      </c>
      <c r="B591" s="255"/>
      <c r="C591" s="256"/>
      <c r="D591" s="257" t="str">
        <f t="shared" si="58"/>
        <v/>
      </c>
      <c r="E591" s="253"/>
      <c r="F591" s="257" t="str">
        <f t="shared" si="59"/>
        <v/>
      </c>
      <c r="G591" s="257" t="str">
        <f t="shared" si="60"/>
        <v/>
      </c>
      <c r="H591" s="257" t="str">
        <f t="shared" si="61"/>
        <v/>
      </c>
    </row>
    <row r="592" spans="1:8" x14ac:dyDescent="0.25">
      <c r="A592" s="254" t="str">
        <f t="shared" ca="1" si="62"/>
        <v/>
      </c>
      <c r="B592" s="255"/>
      <c r="C592" s="256"/>
      <c r="D592" s="257" t="str">
        <f t="shared" si="58"/>
        <v/>
      </c>
      <c r="E592" s="253"/>
      <c r="F592" s="257" t="str">
        <f t="shared" si="59"/>
        <v/>
      </c>
      <c r="G592" s="257" t="str">
        <f t="shared" si="60"/>
        <v/>
      </c>
      <c r="H592" s="257" t="str">
        <f t="shared" si="61"/>
        <v/>
      </c>
    </row>
    <row r="593" spans="1:8" x14ac:dyDescent="0.25">
      <c r="A593" s="254" t="str">
        <f t="shared" ca="1" si="62"/>
        <v/>
      </c>
      <c r="B593" s="255"/>
      <c r="C593" s="256"/>
      <c r="D593" s="257" t="str">
        <f t="shared" si="58"/>
        <v/>
      </c>
      <c r="E593" s="253"/>
      <c r="F593" s="257" t="str">
        <f t="shared" si="59"/>
        <v/>
      </c>
      <c r="G593" s="257" t="str">
        <f t="shared" si="60"/>
        <v/>
      </c>
      <c r="H593" s="257" t="str">
        <f t="shared" si="61"/>
        <v/>
      </c>
    </row>
    <row r="594" spans="1:8" x14ac:dyDescent="0.25">
      <c r="A594" s="254" t="str">
        <f t="shared" ca="1" si="62"/>
        <v/>
      </c>
      <c r="B594" s="255"/>
      <c r="C594" s="256"/>
      <c r="D594" s="257" t="str">
        <f t="shared" si="58"/>
        <v/>
      </c>
      <c r="E594" s="253"/>
      <c r="F594" s="257" t="str">
        <f t="shared" si="59"/>
        <v/>
      </c>
      <c r="G594" s="257" t="str">
        <f t="shared" si="60"/>
        <v/>
      </c>
      <c r="H594" s="257" t="str">
        <f t="shared" si="61"/>
        <v/>
      </c>
    </row>
    <row r="595" spans="1:8" x14ac:dyDescent="0.25">
      <c r="A595" s="254" t="str">
        <f t="shared" ca="1" si="62"/>
        <v/>
      </c>
      <c r="B595" s="255"/>
      <c r="C595" s="256"/>
      <c r="D595" s="257" t="str">
        <f t="shared" ref="D595:D658" si="63">IF(B595="","",ROUND((B595-B594)*$H$9*G594,2))</f>
        <v/>
      </c>
      <c r="E595" s="253"/>
      <c r="F595" s="257" t="str">
        <f t="shared" ref="F595:F658" si="64">IF(B595="","",IF(C595&gt;F594+D595,0,F594+D595-C595))</f>
        <v/>
      </c>
      <c r="G595" s="257" t="str">
        <f t="shared" ref="G595:G658" si="65">IF(B595="","",IF(C595&gt;D595+F594,G594+F594+D595-C595,G594))</f>
        <v/>
      </c>
      <c r="H595" s="257" t="str">
        <f t="shared" ref="H595:H658" si="66">IF(B595="","",G595+F595)</f>
        <v/>
      </c>
    </row>
    <row r="596" spans="1:8" x14ac:dyDescent="0.25">
      <c r="A596" s="254" t="str">
        <f t="shared" ca="1" si="62"/>
        <v/>
      </c>
      <c r="B596" s="255"/>
      <c r="C596" s="256"/>
      <c r="D596" s="257" t="str">
        <f t="shared" si="63"/>
        <v/>
      </c>
      <c r="E596" s="253"/>
      <c r="F596" s="257" t="str">
        <f t="shared" si="64"/>
        <v/>
      </c>
      <c r="G596" s="257" t="str">
        <f t="shared" si="65"/>
        <v/>
      </c>
      <c r="H596" s="257" t="str">
        <f t="shared" si="66"/>
        <v/>
      </c>
    </row>
    <row r="597" spans="1:8" x14ac:dyDescent="0.25">
      <c r="A597" s="254" t="str">
        <f t="shared" ca="1" si="62"/>
        <v/>
      </c>
      <c r="B597" s="255"/>
      <c r="C597" s="256"/>
      <c r="D597" s="257" t="str">
        <f t="shared" si="63"/>
        <v/>
      </c>
      <c r="E597" s="253"/>
      <c r="F597" s="257" t="str">
        <f t="shared" si="64"/>
        <v/>
      </c>
      <c r="G597" s="257" t="str">
        <f t="shared" si="65"/>
        <v/>
      </c>
      <c r="H597" s="257" t="str">
        <f t="shared" si="66"/>
        <v/>
      </c>
    </row>
    <row r="598" spans="1:8" x14ac:dyDescent="0.25">
      <c r="A598" s="254" t="str">
        <f t="shared" ca="1" si="62"/>
        <v/>
      </c>
      <c r="B598" s="255"/>
      <c r="C598" s="256"/>
      <c r="D598" s="257" t="str">
        <f t="shared" si="63"/>
        <v/>
      </c>
      <c r="E598" s="253"/>
      <c r="F598" s="257" t="str">
        <f t="shared" si="64"/>
        <v/>
      </c>
      <c r="G598" s="257" t="str">
        <f t="shared" si="65"/>
        <v/>
      </c>
      <c r="H598" s="257" t="str">
        <f t="shared" si="66"/>
        <v/>
      </c>
    </row>
    <row r="599" spans="1:8" x14ac:dyDescent="0.25">
      <c r="A599" s="254" t="str">
        <f t="shared" ca="1" si="62"/>
        <v/>
      </c>
      <c r="B599" s="255"/>
      <c r="C599" s="256"/>
      <c r="D599" s="257" t="str">
        <f t="shared" si="63"/>
        <v/>
      </c>
      <c r="E599" s="253"/>
      <c r="F599" s="257" t="str">
        <f t="shared" si="64"/>
        <v/>
      </c>
      <c r="G599" s="257" t="str">
        <f t="shared" si="65"/>
        <v/>
      </c>
      <c r="H599" s="257" t="str">
        <f t="shared" si="66"/>
        <v/>
      </c>
    </row>
    <row r="600" spans="1:8" x14ac:dyDescent="0.25">
      <c r="A600" s="254" t="str">
        <f t="shared" ca="1" si="62"/>
        <v/>
      </c>
      <c r="B600" s="255"/>
      <c r="C600" s="256"/>
      <c r="D600" s="257" t="str">
        <f t="shared" si="63"/>
        <v/>
      </c>
      <c r="E600" s="253"/>
      <c r="F600" s="257" t="str">
        <f t="shared" si="64"/>
        <v/>
      </c>
      <c r="G600" s="257" t="str">
        <f t="shared" si="65"/>
        <v/>
      </c>
      <c r="H600" s="257" t="str">
        <f t="shared" si="66"/>
        <v/>
      </c>
    </row>
    <row r="601" spans="1:8" x14ac:dyDescent="0.25">
      <c r="A601" s="254" t="str">
        <f t="shared" ca="1" si="62"/>
        <v/>
      </c>
      <c r="B601" s="255"/>
      <c r="C601" s="256"/>
      <c r="D601" s="257" t="str">
        <f t="shared" si="63"/>
        <v/>
      </c>
      <c r="E601" s="253"/>
      <c r="F601" s="257" t="str">
        <f t="shared" si="64"/>
        <v/>
      </c>
      <c r="G601" s="257" t="str">
        <f t="shared" si="65"/>
        <v/>
      </c>
      <c r="H601" s="257" t="str">
        <f t="shared" si="66"/>
        <v/>
      </c>
    </row>
    <row r="602" spans="1:8" x14ac:dyDescent="0.25">
      <c r="A602" s="254" t="str">
        <f t="shared" ca="1" si="62"/>
        <v/>
      </c>
      <c r="B602" s="255"/>
      <c r="C602" s="256"/>
      <c r="D602" s="257" t="str">
        <f t="shared" si="63"/>
        <v/>
      </c>
      <c r="E602" s="253"/>
      <c r="F602" s="257" t="str">
        <f t="shared" si="64"/>
        <v/>
      </c>
      <c r="G602" s="257" t="str">
        <f t="shared" si="65"/>
        <v/>
      </c>
      <c r="H602" s="257" t="str">
        <f t="shared" si="66"/>
        <v/>
      </c>
    </row>
    <row r="603" spans="1:8" x14ac:dyDescent="0.25">
      <c r="A603" s="254" t="str">
        <f t="shared" ca="1" si="62"/>
        <v/>
      </c>
      <c r="B603" s="255"/>
      <c r="C603" s="256"/>
      <c r="D603" s="257" t="str">
        <f t="shared" si="63"/>
        <v/>
      </c>
      <c r="E603" s="253"/>
      <c r="F603" s="257" t="str">
        <f t="shared" si="64"/>
        <v/>
      </c>
      <c r="G603" s="257" t="str">
        <f t="shared" si="65"/>
        <v/>
      </c>
      <c r="H603" s="257" t="str">
        <f t="shared" si="66"/>
        <v/>
      </c>
    </row>
    <row r="604" spans="1:8" x14ac:dyDescent="0.25">
      <c r="A604" s="254" t="str">
        <f t="shared" ca="1" si="62"/>
        <v/>
      </c>
      <c r="B604" s="255"/>
      <c r="C604" s="256"/>
      <c r="D604" s="257" t="str">
        <f t="shared" si="63"/>
        <v/>
      </c>
      <c r="E604" s="253"/>
      <c r="F604" s="257" t="str">
        <f t="shared" si="64"/>
        <v/>
      </c>
      <c r="G604" s="257" t="str">
        <f t="shared" si="65"/>
        <v/>
      </c>
      <c r="H604" s="257" t="str">
        <f t="shared" si="66"/>
        <v/>
      </c>
    </row>
    <row r="605" spans="1:8" x14ac:dyDescent="0.25">
      <c r="A605" s="254" t="str">
        <f t="shared" ca="1" si="62"/>
        <v/>
      </c>
      <c r="B605" s="255"/>
      <c r="C605" s="256"/>
      <c r="D605" s="257" t="str">
        <f t="shared" si="63"/>
        <v/>
      </c>
      <c r="E605" s="253"/>
      <c r="F605" s="257" t="str">
        <f t="shared" si="64"/>
        <v/>
      </c>
      <c r="G605" s="257" t="str">
        <f t="shared" si="65"/>
        <v/>
      </c>
      <c r="H605" s="257" t="str">
        <f t="shared" si="66"/>
        <v/>
      </c>
    </row>
    <row r="606" spans="1:8" x14ac:dyDescent="0.25">
      <c r="A606" s="254" t="str">
        <f t="shared" ca="1" si="62"/>
        <v/>
      </c>
      <c r="B606" s="255"/>
      <c r="C606" s="256"/>
      <c r="D606" s="257" t="str">
        <f t="shared" si="63"/>
        <v/>
      </c>
      <c r="E606" s="253"/>
      <c r="F606" s="257" t="str">
        <f t="shared" si="64"/>
        <v/>
      </c>
      <c r="G606" s="257" t="str">
        <f t="shared" si="65"/>
        <v/>
      </c>
      <c r="H606" s="257" t="str">
        <f t="shared" si="66"/>
        <v/>
      </c>
    </row>
    <row r="607" spans="1:8" x14ac:dyDescent="0.25">
      <c r="A607" s="254" t="str">
        <f t="shared" ca="1" si="62"/>
        <v/>
      </c>
      <c r="B607" s="255"/>
      <c r="C607" s="256"/>
      <c r="D607" s="257" t="str">
        <f t="shared" si="63"/>
        <v/>
      </c>
      <c r="E607" s="253"/>
      <c r="F607" s="257" t="str">
        <f t="shared" si="64"/>
        <v/>
      </c>
      <c r="G607" s="257" t="str">
        <f t="shared" si="65"/>
        <v/>
      </c>
      <c r="H607" s="257" t="str">
        <f t="shared" si="66"/>
        <v/>
      </c>
    </row>
    <row r="608" spans="1:8" x14ac:dyDescent="0.25">
      <c r="A608" s="254" t="str">
        <f t="shared" ca="1" si="62"/>
        <v/>
      </c>
      <c r="B608" s="255"/>
      <c r="C608" s="256"/>
      <c r="D608" s="257" t="str">
        <f t="shared" si="63"/>
        <v/>
      </c>
      <c r="E608" s="253"/>
      <c r="F608" s="257" t="str">
        <f t="shared" si="64"/>
        <v/>
      </c>
      <c r="G608" s="257" t="str">
        <f t="shared" si="65"/>
        <v/>
      </c>
      <c r="H608" s="257" t="str">
        <f t="shared" si="66"/>
        <v/>
      </c>
    </row>
    <row r="609" spans="1:8" x14ac:dyDescent="0.25">
      <c r="A609" s="254" t="str">
        <f t="shared" ca="1" si="62"/>
        <v/>
      </c>
      <c r="B609" s="255"/>
      <c r="C609" s="256"/>
      <c r="D609" s="257" t="str">
        <f t="shared" si="63"/>
        <v/>
      </c>
      <c r="E609" s="253"/>
      <c r="F609" s="257" t="str">
        <f t="shared" si="64"/>
        <v/>
      </c>
      <c r="G609" s="257" t="str">
        <f t="shared" si="65"/>
        <v/>
      </c>
      <c r="H609" s="257" t="str">
        <f t="shared" si="66"/>
        <v/>
      </c>
    </row>
    <row r="610" spans="1:8" x14ac:dyDescent="0.25">
      <c r="A610" s="254" t="str">
        <f t="shared" ca="1" si="62"/>
        <v/>
      </c>
      <c r="B610" s="255"/>
      <c r="C610" s="256"/>
      <c r="D610" s="257" t="str">
        <f t="shared" si="63"/>
        <v/>
      </c>
      <c r="E610" s="253"/>
      <c r="F610" s="257" t="str">
        <f t="shared" si="64"/>
        <v/>
      </c>
      <c r="G610" s="257" t="str">
        <f t="shared" si="65"/>
        <v/>
      </c>
      <c r="H610" s="257" t="str">
        <f t="shared" si="66"/>
        <v/>
      </c>
    </row>
    <row r="611" spans="1:8" x14ac:dyDescent="0.25">
      <c r="A611" s="254" t="str">
        <f t="shared" ca="1" si="62"/>
        <v/>
      </c>
      <c r="B611" s="255"/>
      <c r="C611" s="256"/>
      <c r="D611" s="257" t="str">
        <f t="shared" si="63"/>
        <v/>
      </c>
      <c r="E611" s="253"/>
      <c r="F611" s="257" t="str">
        <f t="shared" si="64"/>
        <v/>
      </c>
      <c r="G611" s="257" t="str">
        <f t="shared" si="65"/>
        <v/>
      </c>
      <c r="H611" s="257" t="str">
        <f t="shared" si="66"/>
        <v/>
      </c>
    </row>
    <row r="612" spans="1:8" x14ac:dyDescent="0.25">
      <c r="A612" s="254" t="str">
        <f t="shared" ca="1" si="62"/>
        <v/>
      </c>
      <c r="B612" s="255"/>
      <c r="C612" s="256"/>
      <c r="D612" s="257" t="str">
        <f t="shared" si="63"/>
        <v/>
      </c>
      <c r="E612" s="253"/>
      <c r="F612" s="257" t="str">
        <f t="shared" si="64"/>
        <v/>
      </c>
      <c r="G612" s="257" t="str">
        <f t="shared" si="65"/>
        <v/>
      </c>
      <c r="H612" s="257" t="str">
        <f t="shared" si="66"/>
        <v/>
      </c>
    </row>
    <row r="613" spans="1:8" x14ac:dyDescent="0.25">
      <c r="A613" s="254" t="str">
        <f t="shared" ca="1" si="62"/>
        <v/>
      </c>
      <c r="B613" s="255"/>
      <c r="C613" s="256"/>
      <c r="D613" s="257" t="str">
        <f t="shared" si="63"/>
        <v/>
      </c>
      <c r="E613" s="253"/>
      <c r="F613" s="257" t="str">
        <f t="shared" si="64"/>
        <v/>
      </c>
      <c r="G613" s="257" t="str">
        <f t="shared" si="65"/>
        <v/>
      </c>
      <c r="H613" s="257" t="str">
        <f t="shared" si="66"/>
        <v/>
      </c>
    </row>
    <row r="614" spans="1:8" x14ac:dyDescent="0.25">
      <c r="A614" s="254" t="str">
        <f t="shared" ca="1" si="62"/>
        <v/>
      </c>
      <c r="B614" s="255"/>
      <c r="C614" s="256"/>
      <c r="D614" s="257" t="str">
        <f t="shared" si="63"/>
        <v/>
      </c>
      <c r="E614" s="253"/>
      <c r="F614" s="257" t="str">
        <f t="shared" si="64"/>
        <v/>
      </c>
      <c r="G614" s="257" t="str">
        <f t="shared" si="65"/>
        <v/>
      </c>
      <c r="H614" s="257" t="str">
        <f t="shared" si="66"/>
        <v/>
      </c>
    </row>
    <row r="615" spans="1:8" x14ac:dyDescent="0.25">
      <c r="A615" s="254" t="str">
        <f t="shared" ca="1" si="62"/>
        <v/>
      </c>
      <c r="B615" s="255"/>
      <c r="C615" s="256"/>
      <c r="D615" s="257" t="str">
        <f t="shared" si="63"/>
        <v/>
      </c>
      <c r="E615" s="253"/>
      <c r="F615" s="257" t="str">
        <f t="shared" si="64"/>
        <v/>
      </c>
      <c r="G615" s="257" t="str">
        <f t="shared" si="65"/>
        <v/>
      </c>
      <c r="H615" s="257" t="str">
        <f t="shared" si="66"/>
        <v/>
      </c>
    </row>
    <row r="616" spans="1:8" x14ac:dyDescent="0.25">
      <c r="A616" s="254" t="str">
        <f t="shared" ca="1" si="62"/>
        <v/>
      </c>
      <c r="B616" s="255"/>
      <c r="C616" s="256"/>
      <c r="D616" s="257" t="str">
        <f t="shared" si="63"/>
        <v/>
      </c>
      <c r="E616" s="253"/>
      <c r="F616" s="257" t="str">
        <f t="shared" si="64"/>
        <v/>
      </c>
      <c r="G616" s="257" t="str">
        <f t="shared" si="65"/>
        <v/>
      </c>
      <c r="H616" s="257" t="str">
        <f t="shared" si="66"/>
        <v/>
      </c>
    </row>
    <row r="617" spans="1:8" x14ac:dyDescent="0.25">
      <c r="A617" s="254" t="str">
        <f t="shared" ref="A617:A680" ca="1" si="67">IF(OR(H616&lt;=0,H616=""),"",OFFSET(A617,-1,0,1,1)+1)</f>
        <v/>
      </c>
      <c r="B617" s="255"/>
      <c r="C617" s="256"/>
      <c r="D617" s="257" t="str">
        <f t="shared" si="63"/>
        <v/>
      </c>
      <c r="E617" s="253"/>
      <c r="F617" s="257" t="str">
        <f t="shared" si="64"/>
        <v/>
      </c>
      <c r="G617" s="257" t="str">
        <f t="shared" si="65"/>
        <v/>
      </c>
      <c r="H617" s="257" t="str">
        <f t="shared" si="66"/>
        <v/>
      </c>
    </row>
    <row r="618" spans="1:8" x14ac:dyDescent="0.25">
      <c r="A618" s="254" t="str">
        <f t="shared" ca="1" si="67"/>
        <v/>
      </c>
      <c r="B618" s="255"/>
      <c r="C618" s="256"/>
      <c r="D618" s="257" t="str">
        <f t="shared" si="63"/>
        <v/>
      </c>
      <c r="E618" s="253"/>
      <c r="F618" s="257" t="str">
        <f t="shared" si="64"/>
        <v/>
      </c>
      <c r="G618" s="257" t="str">
        <f t="shared" si="65"/>
        <v/>
      </c>
      <c r="H618" s="257" t="str">
        <f t="shared" si="66"/>
        <v/>
      </c>
    </row>
    <row r="619" spans="1:8" x14ac:dyDescent="0.25">
      <c r="A619" s="254" t="str">
        <f t="shared" ca="1" si="67"/>
        <v/>
      </c>
      <c r="B619" s="255"/>
      <c r="C619" s="256"/>
      <c r="D619" s="257" t="str">
        <f t="shared" si="63"/>
        <v/>
      </c>
      <c r="E619" s="253"/>
      <c r="F619" s="257" t="str">
        <f t="shared" si="64"/>
        <v/>
      </c>
      <c r="G619" s="257" t="str">
        <f t="shared" si="65"/>
        <v/>
      </c>
      <c r="H619" s="257" t="str">
        <f t="shared" si="66"/>
        <v/>
      </c>
    </row>
    <row r="620" spans="1:8" x14ac:dyDescent="0.25">
      <c r="A620" s="254" t="str">
        <f t="shared" ca="1" si="67"/>
        <v/>
      </c>
      <c r="B620" s="255"/>
      <c r="C620" s="256"/>
      <c r="D620" s="257" t="str">
        <f t="shared" si="63"/>
        <v/>
      </c>
      <c r="E620" s="253"/>
      <c r="F620" s="257" t="str">
        <f t="shared" si="64"/>
        <v/>
      </c>
      <c r="G620" s="257" t="str">
        <f t="shared" si="65"/>
        <v/>
      </c>
      <c r="H620" s="257" t="str">
        <f t="shared" si="66"/>
        <v/>
      </c>
    </row>
    <row r="621" spans="1:8" x14ac:dyDescent="0.25">
      <c r="A621" s="254" t="str">
        <f t="shared" ca="1" si="67"/>
        <v/>
      </c>
      <c r="B621" s="255"/>
      <c r="C621" s="256"/>
      <c r="D621" s="257" t="str">
        <f t="shared" si="63"/>
        <v/>
      </c>
      <c r="E621" s="253"/>
      <c r="F621" s="257" t="str">
        <f t="shared" si="64"/>
        <v/>
      </c>
      <c r="G621" s="257" t="str">
        <f t="shared" si="65"/>
        <v/>
      </c>
      <c r="H621" s="257" t="str">
        <f t="shared" si="66"/>
        <v/>
      </c>
    </row>
    <row r="622" spans="1:8" x14ac:dyDescent="0.25">
      <c r="A622" s="254" t="str">
        <f t="shared" ca="1" si="67"/>
        <v/>
      </c>
      <c r="B622" s="255"/>
      <c r="C622" s="256"/>
      <c r="D622" s="257" t="str">
        <f t="shared" si="63"/>
        <v/>
      </c>
      <c r="E622" s="253"/>
      <c r="F622" s="257" t="str">
        <f t="shared" si="64"/>
        <v/>
      </c>
      <c r="G622" s="257" t="str">
        <f t="shared" si="65"/>
        <v/>
      </c>
      <c r="H622" s="257" t="str">
        <f t="shared" si="66"/>
        <v/>
      </c>
    </row>
    <row r="623" spans="1:8" x14ac:dyDescent="0.25">
      <c r="A623" s="254" t="str">
        <f t="shared" ca="1" si="67"/>
        <v/>
      </c>
      <c r="B623" s="255"/>
      <c r="C623" s="256"/>
      <c r="D623" s="257" t="str">
        <f t="shared" si="63"/>
        <v/>
      </c>
      <c r="E623" s="253"/>
      <c r="F623" s="257" t="str">
        <f t="shared" si="64"/>
        <v/>
      </c>
      <c r="G623" s="257" t="str">
        <f t="shared" si="65"/>
        <v/>
      </c>
      <c r="H623" s="257" t="str">
        <f t="shared" si="66"/>
        <v/>
      </c>
    </row>
    <row r="624" spans="1:8" x14ac:dyDescent="0.25">
      <c r="A624" s="254" t="str">
        <f t="shared" ca="1" si="67"/>
        <v/>
      </c>
      <c r="B624" s="255"/>
      <c r="C624" s="256"/>
      <c r="D624" s="257" t="str">
        <f t="shared" si="63"/>
        <v/>
      </c>
      <c r="E624" s="253"/>
      <c r="F624" s="257" t="str">
        <f t="shared" si="64"/>
        <v/>
      </c>
      <c r="G624" s="257" t="str">
        <f t="shared" si="65"/>
        <v/>
      </c>
      <c r="H624" s="257" t="str">
        <f t="shared" si="66"/>
        <v/>
      </c>
    </row>
    <row r="625" spans="1:8" x14ac:dyDescent="0.25">
      <c r="A625" s="254" t="str">
        <f t="shared" ca="1" si="67"/>
        <v/>
      </c>
      <c r="B625" s="255"/>
      <c r="C625" s="256"/>
      <c r="D625" s="257" t="str">
        <f t="shared" si="63"/>
        <v/>
      </c>
      <c r="E625" s="253"/>
      <c r="F625" s="257" t="str">
        <f t="shared" si="64"/>
        <v/>
      </c>
      <c r="G625" s="257" t="str">
        <f t="shared" si="65"/>
        <v/>
      </c>
      <c r="H625" s="257" t="str">
        <f t="shared" si="66"/>
        <v/>
      </c>
    </row>
    <row r="626" spans="1:8" x14ac:dyDescent="0.25">
      <c r="A626" s="254" t="str">
        <f t="shared" ca="1" si="67"/>
        <v/>
      </c>
      <c r="B626" s="255"/>
      <c r="C626" s="256"/>
      <c r="D626" s="257" t="str">
        <f t="shared" si="63"/>
        <v/>
      </c>
      <c r="E626" s="253"/>
      <c r="F626" s="257" t="str">
        <f t="shared" si="64"/>
        <v/>
      </c>
      <c r="G626" s="257" t="str">
        <f t="shared" si="65"/>
        <v/>
      </c>
      <c r="H626" s="257" t="str">
        <f t="shared" si="66"/>
        <v/>
      </c>
    </row>
    <row r="627" spans="1:8" x14ac:dyDescent="0.25">
      <c r="A627" s="254" t="str">
        <f t="shared" ca="1" si="67"/>
        <v/>
      </c>
      <c r="B627" s="255"/>
      <c r="C627" s="256"/>
      <c r="D627" s="257" t="str">
        <f t="shared" si="63"/>
        <v/>
      </c>
      <c r="E627" s="253"/>
      <c r="F627" s="257" t="str">
        <f t="shared" si="64"/>
        <v/>
      </c>
      <c r="G627" s="257" t="str">
        <f t="shared" si="65"/>
        <v/>
      </c>
      <c r="H627" s="257" t="str">
        <f t="shared" si="66"/>
        <v/>
      </c>
    </row>
    <row r="628" spans="1:8" x14ac:dyDescent="0.25">
      <c r="A628" s="254" t="str">
        <f t="shared" ca="1" si="67"/>
        <v/>
      </c>
      <c r="B628" s="255"/>
      <c r="C628" s="256"/>
      <c r="D628" s="257" t="str">
        <f t="shared" si="63"/>
        <v/>
      </c>
      <c r="E628" s="253"/>
      <c r="F628" s="257" t="str">
        <f t="shared" si="64"/>
        <v/>
      </c>
      <c r="G628" s="257" t="str">
        <f t="shared" si="65"/>
        <v/>
      </c>
      <c r="H628" s="257" t="str">
        <f t="shared" si="66"/>
        <v/>
      </c>
    </row>
    <row r="629" spans="1:8" x14ac:dyDescent="0.25">
      <c r="A629" s="254" t="str">
        <f t="shared" ca="1" si="67"/>
        <v/>
      </c>
      <c r="B629" s="255"/>
      <c r="C629" s="256"/>
      <c r="D629" s="257" t="str">
        <f t="shared" si="63"/>
        <v/>
      </c>
      <c r="E629" s="253"/>
      <c r="F629" s="257" t="str">
        <f t="shared" si="64"/>
        <v/>
      </c>
      <c r="G629" s="257" t="str">
        <f t="shared" si="65"/>
        <v/>
      </c>
      <c r="H629" s="257" t="str">
        <f t="shared" si="66"/>
        <v/>
      </c>
    </row>
    <row r="630" spans="1:8" x14ac:dyDescent="0.25">
      <c r="A630" s="254" t="str">
        <f t="shared" ca="1" si="67"/>
        <v/>
      </c>
      <c r="B630" s="255"/>
      <c r="C630" s="256"/>
      <c r="D630" s="257" t="str">
        <f t="shared" si="63"/>
        <v/>
      </c>
      <c r="E630" s="253"/>
      <c r="F630" s="257" t="str">
        <f t="shared" si="64"/>
        <v/>
      </c>
      <c r="G630" s="257" t="str">
        <f t="shared" si="65"/>
        <v/>
      </c>
      <c r="H630" s="257" t="str">
        <f t="shared" si="66"/>
        <v/>
      </c>
    </row>
    <row r="631" spans="1:8" x14ac:dyDescent="0.25">
      <c r="A631" s="254" t="str">
        <f t="shared" ca="1" si="67"/>
        <v/>
      </c>
      <c r="B631" s="255"/>
      <c r="C631" s="256"/>
      <c r="D631" s="257" t="str">
        <f t="shared" si="63"/>
        <v/>
      </c>
      <c r="E631" s="253"/>
      <c r="F631" s="257" t="str">
        <f t="shared" si="64"/>
        <v/>
      </c>
      <c r="G631" s="257" t="str">
        <f t="shared" si="65"/>
        <v/>
      </c>
      <c r="H631" s="257" t="str">
        <f t="shared" si="66"/>
        <v/>
      </c>
    </row>
    <row r="632" spans="1:8" x14ac:dyDescent="0.25">
      <c r="A632" s="254" t="str">
        <f t="shared" ca="1" si="67"/>
        <v/>
      </c>
      <c r="B632" s="255"/>
      <c r="C632" s="256"/>
      <c r="D632" s="257" t="str">
        <f t="shared" si="63"/>
        <v/>
      </c>
      <c r="E632" s="253"/>
      <c r="F632" s="257" t="str">
        <f t="shared" si="64"/>
        <v/>
      </c>
      <c r="G632" s="257" t="str">
        <f t="shared" si="65"/>
        <v/>
      </c>
      <c r="H632" s="257" t="str">
        <f t="shared" si="66"/>
        <v/>
      </c>
    </row>
    <row r="633" spans="1:8" x14ac:dyDescent="0.25">
      <c r="A633" s="254" t="str">
        <f t="shared" ca="1" si="67"/>
        <v/>
      </c>
      <c r="B633" s="255"/>
      <c r="C633" s="256"/>
      <c r="D633" s="257" t="str">
        <f t="shared" si="63"/>
        <v/>
      </c>
      <c r="E633" s="253"/>
      <c r="F633" s="257" t="str">
        <f t="shared" si="64"/>
        <v/>
      </c>
      <c r="G633" s="257" t="str">
        <f t="shared" si="65"/>
        <v/>
      </c>
      <c r="H633" s="257" t="str">
        <f t="shared" si="66"/>
        <v/>
      </c>
    </row>
    <row r="634" spans="1:8" x14ac:dyDescent="0.25">
      <c r="A634" s="254" t="str">
        <f t="shared" ca="1" si="67"/>
        <v/>
      </c>
      <c r="B634" s="255"/>
      <c r="C634" s="256"/>
      <c r="D634" s="257" t="str">
        <f t="shared" si="63"/>
        <v/>
      </c>
      <c r="E634" s="253"/>
      <c r="F634" s="257" t="str">
        <f t="shared" si="64"/>
        <v/>
      </c>
      <c r="G634" s="257" t="str">
        <f t="shared" si="65"/>
        <v/>
      </c>
      <c r="H634" s="257" t="str">
        <f t="shared" si="66"/>
        <v/>
      </c>
    </row>
    <row r="635" spans="1:8" x14ac:dyDescent="0.25">
      <c r="A635" s="254" t="str">
        <f t="shared" ca="1" si="67"/>
        <v/>
      </c>
      <c r="B635" s="255"/>
      <c r="C635" s="256"/>
      <c r="D635" s="257" t="str">
        <f t="shared" si="63"/>
        <v/>
      </c>
      <c r="E635" s="253"/>
      <c r="F635" s="257" t="str">
        <f t="shared" si="64"/>
        <v/>
      </c>
      <c r="G635" s="257" t="str">
        <f t="shared" si="65"/>
        <v/>
      </c>
      <c r="H635" s="257" t="str">
        <f t="shared" si="66"/>
        <v/>
      </c>
    </row>
    <row r="636" spans="1:8" x14ac:dyDescent="0.25">
      <c r="A636" s="254" t="str">
        <f t="shared" ca="1" si="67"/>
        <v/>
      </c>
      <c r="B636" s="255"/>
      <c r="C636" s="256"/>
      <c r="D636" s="257" t="str">
        <f t="shared" si="63"/>
        <v/>
      </c>
      <c r="E636" s="253"/>
      <c r="F636" s="257" t="str">
        <f t="shared" si="64"/>
        <v/>
      </c>
      <c r="G636" s="257" t="str">
        <f t="shared" si="65"/>
        <v/>
      </c>
      <c r="H636" s="257" t="str">
        <f t="shared" si="66"/>
        <v/>
      </c>
    </row>
    <row r="637" spans="1:8" x14ac:dyDescent="0.25">
      <c r="A637" s="254" t="str">
        <f t="shared" ca="1" si="67"/>
        <v/>
      </c>
      <c r="B637" s="255"/>
      <c r="C637" s="256"/>
      <c r="D637" s="257" t="str">
        <f t="shared" si="63"/>
        <v/>
      </c>
      <c r="E637" s="253"/>
      <c r="F637" s="257" t="str">
        <f t="shared" si="64"/>
        <v/>
      </c>
      <c r="G637" s="257" t="str">
        <f t="shared" si="65"/>
        <v/>
      </c>
      <c r="H637" s="257" t="str">
        <f t="shared" si="66"/>
        <v/>
      </c>
    </row>
    <row r="638" spans="1:8" x14ac:dyDescent="0.25">
      <c r="A638" s="254" t="str">
        <f t="shared" ca="1" si="67"/>
        <v/>
      </c>
      <c r="B638" s="255"/>
      <c r="C638" s="256"/>
      <c r="D638" s="257" t="str">
        <f t="shared" si="63"/>
        <v/>
      </c>
      <c r="E638" s="253"/>
      <c r="F638" s="257" t="str">
        <f t="shared" si="64"/>
        <v/>
      </c>
      <c r="G638" s="257" t="str">
        <f t="shared" si="65"/>
        <v/>
      </c>
      <c r="H638" s="257" t="str">
        <f t="shared" si="66"/>
        <v/>
      </c>
    </row>
    <row r="639" spans="1:8" x14ac:dyDescent="0.25">
      <c r="A639" s="254" t="str">
        <f t="shared" ca="1" si="67"/>
        <v/>
      </c>
      <c r="B639" s="255"/>
      <c r="C639" s="256"/>
      <c r="D639" s="257" t="str">
        <f t="shared" si="63"/>
        <v/>
      </c>
      <c r="E639" s="253"/>
      <c r="F639" s="257" t="str">
        <f t="shared" si="64"/>
        <v/>
      </c>
      <c r="G639" s="257" t="str">
        <f t="shared" si="65"/>
        <v/>
      </c>
      <c r="H639" s="257" t="str">
        <f t="shared" si="66"/>
        <v/>
      </c>
    </row>
    <row r="640" spans="1:8" x14ac:dyDescent="0.25">
      <c r="A640" s="254" t="str">
        <f t="shared" ca="1" si="67"/>
        <v/>
      </c>
      <c r="B640" s="255"/>
      <c r="C640" s="256"/>
      <c r="D640" s="257" t="str">
        <f t="shared" si="63"/>
        <v/>
      </c>
      <c r="E640" s="253"/>
      <c r="F640" s="257" t="str">
        <f t="shared" si="64"/>
        <v/>
      </c>
      <c r="G640" s="257" t="str">
        <f t="shared" si="65"/>
        <v/>
      </c>
      <c r="H640" s="257" t="str">
        <f t="shared" si="66"/>
        <v/>
      </c>
    </row>
    <row r="641" spans="1:8" x14ac:dyDescent="0.25">
      <c r="A641" s="254" t="str">
        <f t="shared" ca="1" si="67"/>
        <v/>
      </c>
      <c r="B641" s="255"/>
      <c r="C641" s="256"/>
      <c r="D641" s="257" t="str">
        <f t="shared" si="63"/>
        <v/>
      </c>
      <c r="E641" s="253"/>
      <c r="F641" s="257" t="str">
        <f t="shared" si="64"/>
        <v/>
      </c>
      <c r="G641" s="257" t="str">
        <f t="shared" si="65"/>
        <v/>
      </c>
      <c r="H641" s="257" t="str">
        <f t="shared" si="66"/>
        <v/>
      </c>
    </row>
    <row r="642" spans="1:8" x14ac:dyDescent="0.25">
      <c r="A642" s="254" t="str">
        <f t="shared" ca="1" si="67"/>
        <v/>
      </c>
      <c r="B642" s="255"/>
      <c r="C642" s="256"/>
      <c r="D642" s="257" t="str">
        <f t="shared" si="63"/>
        <v/>
      </c>
      <c r="E642" s="253"/>
      <c r="F642" s="257" t="str">
        <f t="shared" si="64"/>
        <v/>
      </c>
      <c r="G642" s="257" t="str">
        <f t="shared" si="65"/>
        <v/>
      </c>
      <c r="H642" s="257" t="str">
        <f t="shared" si="66"/>
        <v/>
      </c>
    </row>
    <row r="643" spans="1:8" x14ac:dyDescent="0.25">
      <c r="A643" s="254" t="str">
        <f t="shared" ca="1" si="67"/>
        <v/>
      </c>
      <c r="B643" s="255"/>
      <c r="C643" s="256"/>
      <c r="D643" s="257" t="str">
        <f t="shared" si="63"/>
        <v/>
      </c>
      <c r="E643" s="253"/>
      <c r="F643" s="257" t="str">
        <f t="shared" si="64"/>
        <v/>
      </c>
      <c r="G643" s="257" t="str">
        <f t="shared" si="65"/>
        <v/>
      </c>
      <c r="H643" s="257" t="str">
        <f t="shared" si="66"/>
        <v/>
      </c>
    </row>
    <row r="644" spans="1:8" x14ac:dyDescent="0.25">
      <c r="A644" s="254" t="str">
        <f t="shared" ca="1" si="67"/>
        <v/>
      </c>
      <c r="B644" s="255"/>
      <c r="C644" s="256"/>
      <c r="D644" s="257" t="str">
        <f t="shared" si="63"/>
        <v/>
      </c>
      <c r="E644" s="253"/>
      <c r="F644" s="257" t="str">
        <f t="shared" si="64"/>
        <v/>
      </c>
      <c r="G644" s="257" t="str">
        <f t="shared" si="65"/>
        <v/>
      </c>
      <c r="H644" s="257" t="str">
        <f t="shared" si="66"/>
        <v/>
      </c>
    </row>
    <row r="645" spans="1:8" x14ac:dyDescent="0.25">
      <c r="A645" s="254" t="str">
        <f t="shared" ca="1" si="67"/>
        <v/>
      </c>
      <c r="B645" s="255"/>
      <c r="C645" s="256"/>
      <c r="D645" s="257" t="str">
        <f t="shared" si="63"/>
        <v/>
      </c>
      <c r="E645" s="253"/>
      <c r="F645" s="257" t="str">
        <f t="shared" si="64"/>
        <v/>
      </c>
      <c r="G645" s="257" t="str">
        <f t="shared" si="65"/>
        <v/>
      </c>
      <c r="H645" s="257" t="str">
        <f t="shared" si="66"/>
        <v/>
      </c>
    </row>
    <row r="646" spans="1:8" x14ac:dyDescent="0.25">
      <c r="A646" s="254" t="str">
        <f t="shared" ca="1" si="67"/>
        <v/>
      </c>
      <c r="B646" s="255"/>
      <c r="C646" s="256"/>
      <c r="D646" s="257" t="str">
        <f t="shared" si="63"/>
        <v/>
      </c>
      <c r="E646" s="253"/>
      <c r="F646" s="257" t="str">
        <f t="shared" si="64"/>
        <v/>
      </c>
      <c r="G646" s="257" t="str">
        <f t="shared" si="65"/>
        <v/>
      </c>
      <c r="H646" s="257" t="str">
        <f t="shared" si="66"/>
        <v/>
      </c>
    </row>
    <row r="647" spans="1:8" x14ac:dyDescent="0.25">
      <c r="A647" s="254" t="str">
        <f t="shared" ca="1" si="67"/>
        <v/>
      </c>
      <c r="B647" s="255"/>
      <c r="C647" s="256"/>
      <c r="D647" s="257" t="str">
        <f t="shared" si="63"/>
        <v/>
      </c>
      <c r="E647" s="253"/>
      <c r="F647" s="257" t="str">
        <f t="shared" si="64"/>
        <v/>
      </c>
      <c r="G647" s="257" t="str">
        <f t="shared" si="65"/>
        <v/>
      </c>
      <c r="H647" s="257" t="str">
        <f t="shared" si="66"/>
        <v/>
      </c>
    </row>
    <row r="648" spans="1:8" x14ac:dyDescent="0.25">
      <c r="A648" s="254" t="str">
        <f t="shared" ca="1" si="67"/>
        <v/>
      </c>
      <c r="B648" s="255"/>
      <c r="C648" s="256"/>
      <c r="D648" s="257" t="str">
        <f t="shared" si="63"/>
        <v/>
      </c>
      <c r="E648" s="253"/>
      <c r="F648" s="257" t="str">
        <f t="shared" si="64"/>
        <v/>
      </c>
      <c r="G648" s="257" t="str">
        <f t="shared" si="65"/>
        <v/>
      </c>
      <c r="H648" s="257" t="str">
        <f t="shared" si="66"/>
        <v/>
      </c>
    </row>
    <row r="649" spans="1:8" x14ac:dyDescent="0.25">
      <c r="A649" s="254" t="str">
        <f t="shared" ca="1" si="67"/>
        <v/>
      </c>
      <c r="B649" s="255"/>
      <c r="C649" s="256"/>
      <c r="D649" s="257" t="str">
        <f t="shared" si="63"/>
        <v/>
      </c>
      <c r="E649" s="253"/>
      <c r="F649" s="257" t="str">
        <f t="shared" si="64"/>
        <v/>
      </c>
      <c r="G649" s="257" t="str">
        <f t="shared" si="65"/>
        <v/>
      </c>
      <c r="H649" s="257" t="str">
        <f t="shared" si="66"/>
        <v/>
      </c>
    </row>
    <row r="650" spans="1:8" x14ac:dyDescent="0.25">
      <c r="A650" s="254" t="str">
        <f t="shared" ca="1" si="67"/>
        <v/>
      </c>
      <c r="B650" s="255"/>
      <c r="C650" s="256"/>
      <c r="D650" s="257" t="str">
        <f t="shared" si="63"/>
        <v/>
      </c>
      <c r="E650" s="253"/>
      <c r="F650" s="257" t="str">
        <f t="shared" si="64"/>
        <v/>
      </c>
      <c r="G650" s="257" t="str">
        <f t="shared" si="65"/>
        <v/>
      </c>
      <c r="H650" s="257" t="str">
        <f t="shared" si="66"/>
        <v/>
      </c>
    </row>
    <row r="651" spans="1:8" x14ac:dyDescent="0.25">
      <c r="A651" s="254" t="str">
        <f t="shared" ca="1" si="67"/>
        <v/>
      </c>
      <c r="B651" s="255"/>
      <c r="C651" s="256"/>
      <c r="D651" s="257" t="str">
        <f t="shared" si="63"/>
        <v/>
      </c>
      <c r="E651" s="253"/>
      <c r="F651" s="257" t="str">
        <f t="shared" si="64"/>
        <v/>
      </c>
      <c r="G651" s="257" t="str">
        <f t="shared" si="65"/>
        <v/>
      </c>
      <c r="H651" s="257" t="str">
        <f t="shared" si="66"/>
        <v/>
      </c>
    </row>
    <row r="652" spans="1:8" x14ac:dyDescent="0.25">
      <c r="A652" s="254" t="str">
        <f t="shared" ca="1" si="67"/>
        <v/>
      </c>
      <c r="B652" s="255"/>
      <c r="C652" s="256"/>
      <c r="D652" s="257" t="str">
        <f t="shared" si="63"/>
        <v/>
      </c>
      <c r="E652" s="253"/>
      <c r="F652" s="257" t="str">
        <f t="shared" si="64"/>
        <v/>
      </c>
      <c r="G652" s="257" t="str">
        <f t="shared" si="65"/>
        <v/>
      </c>
      <c r="H652" s="257" t="str">
        <f t="shared" si="66"/>
        <v/>
      </c>
    </row>
    <row r="653" spans="1:8" x14ac:dyDescent="0.25">
      <c r="A653" s="254" t="str">
        <f t="shared" ca="1" si="67"/>
        <v/>
      </c>
      <c r="B653" s="255"/>
      <c r="C653" s="256"/>
      <c r="D653" s="257" t="str">
        <f t="shared" si="63"/>
        <v/>
      </c>
      <c r="E653" s="253"/>
      <c r="F653" s="257" t="str">
        <f t="shared" si="64"/>
        <v/>
      </c>
      <c r="G653" s="257" t="str">
        <f t="shared" si="65"/>
        <v/>
      </c>
      <c r="H653" s="257" t="str">
        <f t="shared" si="66"/>
        <v/>
      </c>
    </row>
    <row r="654" spans="1:8" x14ac:dyDescent="0.25">
      <c r="A654" s="254" t="str">
        <f t="shared" ca="1" si="67"/>
        <v/>
      </c>
      <c r="B654" s="255"/>
      <c r="C654" s="256"/>
      <c r="D654" s="257" t="str">
        <f t="shared" si="63"/>
        <v/>
      </c>
      <c r="E654" s="253"/>
      <c r="F654" s="257" t="str">
        <f t="shared" si="64"/>
        <v/>
      </c>
      <c r="G654" s="257" t="str">
        <f t="shared" si="65"/>
        <v/>
      </c>
      <c r="H654" s="257" t="str">
        <f t="shared" si="66"/>
        <v/>
      </c>
    </row>
    <row r="655" spans="1:8" x14ac:dyDescent="0.25">
      <c r="A655" s="254" t="str">
        <f t="shared" ca="1" si="67"/>
        <v/>
      </c>
      <c r="B655" s="255"/>
      <c r="C655" s="256"/>
      <c r="D655" s="257" t="str">
        <f t="shared" si="63"/>
        <v/>
      </c>
      <c r="E655" s="253"/>
      <c r="F655" s="257" t="str">
        <f t="shared" si="64"/>
        <v/>
      </c>
      <c r="G655" s="257" t="str">
        <f t="shared" si="65"/>
        <v/>
      </c>
      <c r="H655" s="257" t="str">
        <f t="shared" si="66"/>
        <v/>
      </c>
    </row>
    <row r="656" spans="1:8" x14ac:dyDescent="0.25">
      <c r="A656" s="254" t="str">
        <f t="shared" ca="1" si="67"/>
        <v/>
      </c>
      <c r="B656" s="255"/>
      <c r="C656" s="256"/>
      <c r="D656" s="257" t="str">
        <f t="shared" si="63"/>
        <v/>
      </c>
      <c r="E656" s="253"/>
      <c r="F656" s="257" t="str">
        <f t="shared" si="64"/>
        <v/>
      </c>
      <c r="G656" s="257" t="str">
        <f t="shared" si="65"/>
        <v/>
      </c>
      <c r="H656" s="257" t="str">
        <f t="shared" si="66"/>
        <v/>
      </c>
    </row>
    <row r="657" spans="1:8" x14ac:dyDescent="0.25">
      <c r="A657" s="254" t="str">
        <f t="shared" ca="1" si="67"/>
        <v/>
      </c>
      <c r="B657" s="255"/>
      <c r="C657" s="256"/>
      <c r="D657" s="257" t="str">
        <f t="shared" si="63"/>
        <v/>
      </c>
      <c r="E657" s="253"/>
      <c r="F657" s="257" t="str">
        <f t="shared" si="64"/>
        <v/>
      </c>
      <c r="G657" s="257" t="str">
        <f t="shared" si="65"/>
        <v/>
      </c>
      <c r="H657" s="257" t="str">
        <f t="shared" si="66"/>
        <v/>
      </c>
    </row>
    <row r="658" spans="1:8" x14ac:dyDescent="0.25">
      <c r="A658" s="254" t="str">
        <f t="shared" ca="1" si="67"/>
        <v/>
      </c>
      <c r="B658" s="255"/>
      <c r="C658" s="256"/>
      <c r="D658" s="257" t="str">
        <f t="shared" si="63"/>
        <v/>
      </c>
      <c r="E658" s="253"/>
      <c r="F658" s="257" t="str">
        <f t="shared" si="64"/>
        <v/>
      </c>
      <c r="G658" s="257" t="str">
        <f t="shared" si="65"/>
        <v/>
      </c>
      <c r="H658" s="257" t="str">
        <f t="shared" si="66"/>
        <v/>
      </c>
    </row>
    <row r="659" spans="1:8" x14ac:dyDescent="0.25">
      <c r="A659" s="254" t="str">
        <f t="shared" ca="1" si="67"/>
        <v/>
      </c>
      <c r="B659" s="255"/>
      <c r="C659" s="256"/>
      <c r="D659" s="257" t="str">
        <f t="shared" ref="D659:D722" si="68">IF(B659="","",ROUND((B659-B658)*$H$9*G658,2))</f>
        <v/>
      </c>
      <c r="E659" s="253"/>
      <c r="F659" s="257" t="str">
        <f t="shared" ref="F659:F722" si="69">IF(B659="","",IF(C659&gt;F658+D659,0,F658+D659-C659))</f>
        <v/>
      </c>
      <c r="G659" s="257" t="str">
        <f t="shared" ref="G659:G722" si="70">IF(B659="","",IF(C659&gt;D659+F658,G658+F658+D659-C659,G658))</f>
        <v/>
      </c>
      <c r="H659" s="257" t="str">
        <f t="shared" ref="H659:H722" si="71">IF(B659="","",G659+F659)</f>
        <v/>
      </c>
    </row>
    <row r="660" spans="1:8" x14ac:dyDescent="0.25">
      <c r="A660" s="254" t="str">
        <f t="shared" ca="1" si="67"/>
        <v/>
      </c>
      <c r="B660" s="255"/>
      <c r="C660" s="256"/>
      <c r="D660" s="257" t="str">
        <f t="shared" si="68"/>
        <v/>
      </c>
      <c r="E660" s="253"/>
      <c r="F660" s="257" t="str">
        <f t="shared" si="69"/>
        <v/>
      </c>
      <c r="G660" s="257" t="str">
        <f t="shared" si="70"/>
        <v/>
      </c>
      <c r="H660" s="257" t="str">
        <f t="shared" si="71"/>
        <v/>
      </c>
    </row>
    <row r="661" spans="1:8" x14ac:dyDescent="0.25">
      <c r="A661" s="254" t="str">
        <f t="shared" ca="1" si="67"/>
        <v/>
      </c>
      <c r="B661" s="255"/>
      <c r="C661" s="256"/>
      <c r="D661" s="257" t="str">
        <f t="shared" si="68"/>
        <v/>
      </c>
      <c r="E661" s="253"/>
      <c r="F661" s="257" t="str">
        <f t="shared" si="69"/>
        <v/>
      </c>
      <c r="G661" s="257" t="str">
        <f t="shared" si="70"/>
        <v/>
      </c>
      <c r="H661" s="257" t="str">
        <f t="shared" si="71"/>
        <v/>
      </c>
    </row>
    <row r="662" spans="1:8" x14ac:dyDescent="0.25">
      <c r="A662" s="254" t="str">
        <f t="shared" ca="1" si="67"/>
        <v/>
      </c>
      <c r="B662" s="255"/>
      <c r="C662" s="256"/>
      <c r="D662" s="257" t="str">
        <f t="shared" si="68"/>
        <v/>
      </c>
      <c r="E662" s="253"/>
      <c r="F662" s="257" t="str">
        <f t="shared" si="69"/>
        <v/>
      </c>
      <c r="G662" s="257" t="str">
        <f t="shared" si="70"/>
        <v/>
      </c>
      <c r="H662" s="257" t="str">
        <f t="shared" si="71"/>
        <v/>
      </c>
    </row>
    <row r="663" spans="1:8" x14ac:dyDescent="0.25">
      <c r="A663" s="254" t="str">
        <f t="shared" ca="1" si="67"/>
        <v/>
      </c>
      <c r="B663" s="255"/>
      <c r="C663" s="256"/>
      <c r="D663" s="257" t="str">
        <f t="shared" si="68"/>
        <v/>
      </c>
      <c r="E663" s="253"/>
      <c r="F663" s="257" t="str">
        <f t="shared" si="69"/>
        <v/>
      </c>
      <c r="G663" s="257" t="str">
        <f t="shared" si="70"/>
        <v/>
      </c>
      <c r="H663" s="257" t="str">
        <f t="shared" si="71"/>
        <v/>
      </c>
    </row>
    <row r="664" spans="1:8" x14ac:dyDescent="0.25">
      <c r="A664" s="254" t="str">
        <f t="shared" ca="1" si="67"/>
        <v/>
      </c>
      <c r="B664" s="255"/>
      <c r="C664" s="256"/>
      <c r="D664" s="257" t="str">
        <f t="shared" si="68"/>
        <v/>
      </c>
      <c r="E664" s="253"/>
      <c r="F664" s="257" t="str">
        <f t="shared" si="69"/>
        <v/>
      </c>
      <c r="G664" s="257" t="str">
        <f t="shared" si="70"/>
        <v/>
      </c>
      <c r="H664" s="257" t="str">
        <f t="shared" si="71"/>
        <v/>
      </c>
    </row>
    <row r="665" spans="1:8" x14ac:dyDescent="0.25">
      <c r="A665" s="254" t="str">
        <f t="shared" ca="1" si="67"/>
        <v/>
      </c>
      <c r="B665" s="255"/>
      <c r="C665" s="256"/>
      <c r="D665" s="257" t="str">
        <f t="shared" si="68"/>
        <v/>
      </c>
      <c r="E665" s="253"/>
      <c r="F665" s="257" t="str">
        <f t="shared" si="69"/>
        <v/>
      </c>
      <c r="G665" s="257" t="str">
        <f t="shared" si="70"/>
        <v/>
      </c>
      <c r="H665" s="257" t="str">
        <f t="shared" si="71"/>
        <v/>
      </c>
    </row>
    <row r="666" spans="1:8" x14ac:dyDescent="0.25">
      <c r="A666" s="254" t="str">
        <f t="shared" ca="1" si="67"/>
        <v/>
      </c>
      <c r="B666" s="255"/>
      <c r="C666" s="256"/>
      <c r="D666" s="257" t="str">
        <f t="shared" si="68"/>
        <v/>
      </c>
      <c r="E666" s="253"/>
      <c r="F666" s="257" t="str">
        <f t="shared" si="69"/>
        <v/>
      </c>
      <c r="G666" s="257" t="str">
        <f t="shared" si="70"/>
        <v/>
      </c>
      <c r="H666" s="257" t="str">
        <f t="shared" si="71"/>
        <v/>
      </c>
    </row>
    <row r="667" spans="1:8" x14ac:dyDescent="0.25">
      <c r="A667" s="254" t="str">
        <f t="shared" ca="1" si="67"/>
        <v/>
      </c>
      <c r="B667" s="255"/>
      <c r="C667" s="256"/>
      <c r="D667" s="257" t="str">
        <f t="shared" si="68"/>
        <v/>
      </c>
      <c r="E667" s="253"/>
      <c r="F667" s="257" t="str">
        <f t="shared" si="69"/>
        <v/>
      </c>
      <c r="G667" s="257" t="str">
        <f t="shared" si="70"/>
        <v/>
      </c>
      <c r="H667" s="257" t="str">
        <f t="shared" si="71"/>
        <v/>
      </c>
    </row>
    <row r="668" spans="1:8" x14ac:dyDescent="0.25">
      <c r="A668" s="254" t="str">
        <f t="shared" ca="1" si="67"/>
        <v/>
      </c>
      <c r="B668" s="255"/>
      <c r="C668" s="256"/>
      <c r="D668" s="257" t="str">
        <f t="shared" si="68"/>
        <v/>
      </c>
      <c r="E668" s="253"/>
      <c r="F668" s="257" t="str">
        <f t="shared" si="69"/>
        <v/>
      </c>
      <c r="G668" s="257" t="str">
        <f t="shared" si="70"/>
        <v/>
      </c>
      <c r="H668" s="257" t="str">
        <f t="shared" si="71"/>
        <v/>
      </c>
    </row>
    <row r="669" spans="1:8" x14ac:dyDescent="0.25">
      <c r="A669" s="254" t="str">
        <f t="shared" ca="1" si="67"/>
        <v/>
      </c>
      <c r="B669" s="255"/>
      <c r="C669" s="256"/>
      <c r="D669" s="257" t="str">
        <f t="shared" si="68"/>
        <v/>
      </c>
      <c r="E669" s="253"/>
      <c r="F669" s="257" t="str">
        <f t="shared" si="69"/>
        <v/>
      </c>
      <c r="G669" s="257" t="str">
        <f t="shared" si="70"/>
        <v/>
      </c>
      <c r="H669" s="257" t="str">
        <f t="shared" si="71"/>
        <v/>
      </c>
    </row>
    <row r="670" spans="1:8" x14ac:dyDescent="0.25">
      <c r="A670" s="254" t="str">
        <f t="shared" ca="1" si="67"/>
        <v/>
      </c>
      <c r="B670" s="255"/>
      <c r="C670" s="256"/>
      <c r="D670" s="257" t="str">
        <f t="shared" si="68"/>
        <v/>
      </c>
      <c r="E670" s="253"/>
      <c r="F670" s="257" t="str">
        <f t="shared" si="69"/>
        <v/>
      </c>
      <c r="G670" s="257" t="str">
        <f t="shared" si="70"/>
        <v/>
      </c>
      <c r="H670" s="257" t="str">
        <f t="shared" si="71"/>
        <v/>
      </c>
    </row>
    <row r="671" spans="1:8" x14ac:dyDescent="0.25">
      <c r="A671" s="254" t="str">
        <f t="shared" ca="1" si="67"/>
        <v/>
      </c>
      <c r="B671" s="255"/>
      <c r="C671" s="256"/>
      <c r="D671" s="257" t="str">
        <f t="shared" si="68"/>
        <v/>
      </c>
      <c r="E671" s="253"/>
      <c r="F671" s="257" t="str">
        <f t="shared" si="69"/>
        <v/>
      </c>
      <c r="G671" s="257" t="str">
        <f t="shared" si="70"/>
        <v/>
      </c>
      <c r="H671" s="257" t="str">
        <f t="shared" si="71"/>
        <v/>
      </c>
    </row>
    <row r="672" spans="1:8" x14ac:dyDescent="0.25">
      <c r="A672" s="254" t="str">
        <f t="shared" ca="1" si="67"/>
        <v/>
      </c>
      <c r="B672" s="255"/>
      <c r="C672" s="256"/>
      <c r="D672" s="257" t="str">
        <f t="shared" si="68"/>
        <v/>
      </c>
      <c r="E672" s="253"/>
      <c r="F672" s="257" t="str">
        <f t="shared" si="69"/>
        <v/>
      </c>
      <c r="G672" s="257" t="str">
        <f t="shared" si="70"/>
        <v/>
      </c>
      <c r="H672" s="257" t="str">
        <f t="shared" si="71"/>
        <v/>
      </c>
    </row>
    <row r="673" spans="1:8" x14ac:dyDescent="0.25">
      <c r="A673" s="254" t="str">
        <f t="shared" ca="1" si="67"/>
        <v/>
      </c>
      <c r="B673" s="255"/>
      <c r="C673" s="256"/>
      <c r="D673" s="257" t="str">
        <f t="shared" si="68"/>
        <v/>
      </c>
      <c r="E673" s="253"/>
      <c r="F673" s="257" t="str">
        <f t="shared" si="69"/>
        <v/>
      </c>
      <c r="G673" s="257" t="str">
        <f t="shared" si="70"/>
        <v/>
      </c>
      <c r="H673" s="257" t="str">
        <f t="shared" si="71"/>
        <v/>
      </c>
    </row>
    <row r="674" spans="1:8" x14ac:dyDescent="0.25">
      <c r="A674" s="254" t="str">
        <f t="shared" ca="1" si="67"/>
        <v/>
      </c>
      <c r="B674" s="255"/>
      <c r="C674" s="256"/>
      <c r="D674" s="257" t="str">
        <f t="shared" si="68"/>
        <v/>
      </c>
      <c r="E674" s="253"/>
      <c r="F674" s="257" t="str">
        <f t="shared" si="69"/>
        <v/>
      </c>
      <c r="G674" s="257" t="str">
        <f t="shared" si="70"/>
        <v/>
      </c>
      <c r="H674" s="257" t="str">
        <f t="shared" si="71"/>
        <v/>
      </c>
    </row>
    <row r="675" spans="1:8" x14ac:dyDescent="0.25">
      <c r="A675" s="254" t="str">
        <f t="shared" ca="1" si="67"/>
        <v/>
      </c>
      <c r="B675" s="255"/>
      <c r="C675" s="256"/>
      <c r="D675" s="257" t="str">
        <f t="shared" si="68"/>
        <v/>
      </c>
      <c r="E675" s="253"/>
      <c r="F675" s="257" t="str">
        <f t="shared" si="69"/>
        <v/>
      </c>
      <c r="G675" s="257" t="str">
        <f t="shared" si="70"/>
        <v/>
      </c>
      <c r="H675" s="257" t="str">
        <f t="shared" si="71"/>
        <v/>
      </c>
    </row>
    <row r="676" spans="1:8" x14ac:dyDescent="0.25">
      <c r="A676" s="254" t="str">
        <f t="shared" ca="1" si="67"/>
        <v/>
      </c>
      <c r="B676" s="255"/>
      <c r="C676" s="256"/>
      <c r="D676" s="257" t="str">
        <f t="shared" si="68"/>
        <v/>
      </c>
      <c r="E676" s="253"/>
      <c r="F676" s="257" t="str">
        <f t="shared" si="69"/>
        <v/>
      </c>
      <c r="G676" s="257" t="str">
        <f t="shared" si="70"/>
        <v/>
      </c>
      <c r="H676" s="257" t="str">
        <f t="shared" si="71"/>
        <v/>
      </c>
    </row>
    <row r="677" spans="1:8" x14ac:dyDescent="0.25">
      <c r="A677" s="254" t="str">
        <f t="shared" ca="1" si="67"/>
        <v/>
      </c>
      <c r="B677" s="255"/>
      <c r="C677" s="256"/>
      <c r="D677" s="257" t="str">
        <f t="shared" si="68"/>
        <v/>
      </c>
      <c r="E677" s="253"/>
      <c r="F677" s="257" t="str">
        <f t="shared" si="69"/>
        <v/>
      </c>
      <c r="G677" s="257" t="str">
        <f t="shared" si="70"/>
        <v/>
      </c>
      <c r="H677" s="257" t="str">
        <f t="shared" si="71"/>
        <v/>
      </c>
    </row>
    <row r="678" spans="1:8" x14ac:dyDescent="0.25">
      <c r="A678" s="254" t="str">
        <f t="shared" ca="1" si="67"/>
        <v/>
      </c>
      <c r="B678" s="255"/>
      <c r="C678" s="256"/>
      <c r="D678" s="257" t="str">
        <f t="shared" si="68"/>
        <v/>
      </c>
      <c r="E678" s="253"/>
      <c r="F678" s="257" t="str">
        <f t="shared" si="69"/>
        <v/>
      </c>
      <c r="G678" s="257" t="str">
        <f t="shared" si="70"/>
        <v/>
      </c>
      <c r="H678" s="257" t="str">
        <f t="shared" si="71"/>
        <v/>
      </c>
    </row>
    <row r="679" spans="1:8" x14ac:dyDescent="0.25">
      <c r="A679" s="254" t="str">
        <f t="shared" ca="1" si="67"/>
        <v/>
      </c>
      <c r="B679" s="255"/>
      <c r="C679" s="256"/>
      <c r="D679" s="257" t="str">
        <f t="shared" si="68"/>
        <v/>
      </c>
      <c r="E679" s="253"/>
      <c r="F679" s="257" t="str">
        <f t="shared" si="69"/>
        <v/>
      </c>
      <c r="G679" s="257" t="str">
        <f t="shared" si="70"/>
        <v/>
      </c>
      <c r="H679" s="257" t="str">
        <f t="shared" si="71"/>
        <v/>
      </c>
    </row>
    <row r="680" spans="1:8" x14ac:dyDescent="0.25">
      <c r="A680" s="254" t="str">
        <f t="shared" ca="1" si="67"/>
        <v/>
      </c>
      <c r="B680" s="255"/>
      <c r="C680" s="256"/>
      <c r="D680" s="257" t="str">
        <f t="shared" si="68"/>
        <v/>
      </c>
      <c r="E680" s="253"/>
      <c r="F680" s="257" t="str">
        <f t="shared" si="69"/>
        <v/>
      </c>
      <c r="G680" s="257" t="str">
        <f t="shared" si="70"/>
        <v/>
      </c>
      <c r="H680" s="257" t="str">
        <f t="shared" si="71"/>
        <v/>
      </c>
    </row>
    <row r="681" spans="1:8" x14ac:dyDescent="0.25">
      <c r="A681" s="254" t="str">
        <f t="shared" ref="A681:A744" ca="1" si="72">IF(OR(H680&lt;=0,H680=""),"",OFFSET(A681,-1,0,1,1)+1)</f>
        <v/>
      </c>
      <c r="B681" s="255"/>
      <c r="C681" s="256"/>
      <c r="D681" s="257" t="str">
        <f t="shared" si="68"/>
        <v/>
      </c>
      <c r="E681" s="253"/>
      <c r="F681" s="257" t="str">
        <f t="shared" si="69"/>
        <v/>
      </c>
      <c r="G681" s="257" t="str">
        <f t="shared" si="70"/>
        <v/>
      </c>
      <c r="H681" s="257" t="str">
        <f t="shared" si="71"/>
        <v/>
      </c>
    </row>
    <row r="682" spans="1:8" x14ac:dyDescent="0.25">
      <c r="A682" s="254" t="str">
        <f t="shared" ca="1" si="72"/>
        <v/>
      </c>
      <c r="B682" s="255"/>
      <c r="C682" s="256"/>
      <c r="D682" s="257" t="str">
        <f t="shared" si="68"/>
        <v/>
      </c>
      <c r="E682" s="253"/>
      <c r="F682" s="257" t="str">
        <f t="shared" si="69"/>
        <v/>
      </c>
      <c r="G682" s="257" t="str">
        <f t="shared" si="70"/>
        <v/>
      </c>
      <c r="H682" s="257" t="str">
        <f t="shared" si="71"/>
        <v/>
      </c>
    </row>
    <row r="683" spans="1:8" x14ac:dyDescent="0.25">
      <c r="A683" s="254" t="str">
        <f t="shared" ca="1" si="72"/>
        <v/>
      </c>
      <c r="B683" s="255"/>
      <c r="C683" s="256"/>
      <c r="D683" s="257" t="str">
        <f t="shared" si="68"/>
        <v/>
      </c>
      <c r="E683" s="253"/>
      <c r="F683" s="257" t="str">
        <f t="shared" si="69"/>
        <v/>
      </c>
      <c r="G683" s="257" t="str">
        <f t="shared" si="70"/>
        <v/>
      </c>
      <c r="H683" s="257" t="str">
        <f t="shared" si="71"/>
        <v/>
      </c>
    </row>
    <row r="684" spans="1:8" x14ac:dyDescent="0.25">
      <c r="A684" s="254" t="str">
        <f t="shared" ca="1" si="72"/>
        <v/>
      </c>
      <c r="B684" s="255"/>
      <c r="C684" s="256"/>
      <c r="D684" s="257" t="str">
        <f t="shared" si="68"/>
        <v/>
      </c>
      <c r="E684" s="253"/>
      <c r="F684" s="257" t="str">
        <f t="shared" si="69"/>
        <v/>
      </c>
      <c r="G684" s="257" t="str">
        <f t="shared" si="70"/>
        <v/>
      </c>
      <c r="H684" s="257" t="str">
        <f t="shared" si="71"/>
        <v/>
      </c>
    </row>
    <row r="685" spans="1:8" x14ac:dyDescent="0.25">
      <c r="A685" s="254" t="str">
        <f t="shared" ca="1" si="72"/>
        <v/>
      </c>
      <c r="B685" s="255"/>
      <c r="C685" s="256"/>
      <c r="D685" s="257" t="str">
        <f t="shared" si="68"/>
        <v/>
      </c>
      <c r="E685" s="253"/>
      <c r="F685" s="257" t="str">
        <f t="shared" si="69"/>
        <v/>
      </c>
      <c r="G685" s="257" t="str">
        <f t="shared" si="70"/>
        <v/>
      </c>
      <c r="H685" s="257" t="str">
        <f t="shared" si="71"/>
        <v/>
      </c>
    </row>
    <row r="686" spans="1:8" x14ac:dyDescent="0.25">
      <c r="A686" s="254" t="str">
        <f t="shared" ca="1" si="72"/>
        <v/>
      </c>
      <c r="B686" s="255"/>
      <c r="C686" s="256"/>
      <c r="D686" s="257" t="str">
        <f t="shared" si="68"/>
        <v/>
      </c>
      <c r="E686" s="253"/>
      <c r="F686" s="257" t="str">
        <f t="shared" si="69"/>
        <v/>
      </c>
      <c r="G686" s="257" t="str">
        <f t="shared" si="70"/>
        <v/>
      </c>
      <c r="H686" s="257" t="str">
        <f t="shared" si="71"/>
        <v/>
      </c>
    </row>
    <row r="687" spans="1:8" x14ac:dyDescent="0.25">
      <c r="A687" s="254" t="str">
        <f t="shared" ca="1" si="72"/>
        <v/>
      </c>
      <c r="B687" s="255"/>
      <c r="C687" s="256"/>
      <c r="D687" s="257" t="str">
        <f t="shared" si="68"/>
        <v/>
      </c>
      <c r="E687" s="253"/>
      <c r="F687" s="257" t="str">
        <f t="shared" si="69"/>
        <v/>
      </c>
      <c r="G687" s="257" t="str">
        <f t="shared" si="70"/>
        <v/>
      </c>
      <c r="H687" s="257" t="str">
        <f t="shared" si="71"/>
        <v/>
      </c>
    </row>
    <row r="688" spans="1:8" x14ac:dyDescent="0.25">
      <c r="A688" s="254" t="str">
        <f t="shared" ca="1" si="72"/>
        <v/>
      </c>
      <c r="B688" s="255"/>
      <c r="C688" s="256"/>
      <c r="D688" s="257" t="str">
        <f t="shared" si="68"/>
        <v/>
      </c>
      <c r="E688" s="253"/>
      <c r="F688" s="257" t="str">
        <f t="shared" si="69"/>
        <v/>
      </c>
      <c r="G688" s="257" t="str">
        <f t="shared" si="70"/>
        <v/>
      </c>
      <c r="H688" s="257" t="str">
        <f t="shared" si="71"/>
        <v/>
      </c>
    </row>
    <row r="689" spans="1:8" x14ac:dyDescent="0.25">
      <c r="A689" s="254" t="str">
        <f t="shared" ca="1" si="72"/>
        <v/>
      </c>
      <c r="B689" s="255"/>
      <c r="C689" s="256"/>
      <c r="D689" s="257" t="str">
        <f t="shared" si="68"/>
        <v/>
      </c>
      <c r="E689" s="253"/>
      <c r="F689" s="257" t="str">
        <f t="shared" si="69"/>
        <v/>
      </c>
      <c r="G689" s="257" t="str">
        <f t="shared" si="70"/>
        <v/>
      </c>
      <c r="H689" s="257" t="str">
        <f t="shared" si="71"/>
        <v/>
      </c>
    </row>
    <row r="690" spans="1:8" x14ac:dyDescent="0.25">
      <c r="A690" s="254" t="str">
        <f t="shared" ca="1" si="72"/>
        <v/>
      </c>
      <c r="B690" s="255"/>
      <c r="C690" s="256"/>
      <c r="D690" s="257" t="str">
        <f t="shared" si="68"/>
        <v/>
      </c>
      <c r="E690" s="253"/>
      <c r="F690" s="257" t="str">
        <f t="shared" si="69"/>
        <v/>
      </c>
      <c r="G690" s="257" t="str">
        <f t="shared" si="70"/>
        <v/>
      </c>
      <c r="H690" s="257" t="str">
        <f t="shared" si="71"/>
        <v/>
      </c>
    </row>
    <row r="691" spans="1:8" x14ac:dyDescent="0.25">
      <c r="A691" s="254" t="str">
        <f t="shared" ca="1" si="72"/>
        <v/>
      </c>
      <c r="B691" s="255"/>
      <c r="C691" s="256"/>
      <c r="D691" s="257" t="str">
        <f t="shared" si="68"/>
        <v/>
      </c>
      <c r="E691" s="253"/>
      <c r="F691" s="257" t="str">
        <f t="shared" si="69"/>
        <v/>
      </c>
      <c r="G691" s="257" t="str">
        <f t="shared" si="70"/>
        <v/>
      </c>
      <c r="H691" s="257" t="str">
        <f t="shared" si="71"/>
        <v/>
      </c>
    </row>
    <row r="692" spans="1:8" x14ac:dyDescent="0.25">
      <c r="A692" s="254" t="str">
        <f t="shared" ca="1" si="72"/>
        <v/>
      </c>
      <c r="B692" s="255"/>
      <c r="C692" s="256"/>
      <c r="D692" s="257" t="str">
        <f t="shared" si="68"/>
        <v/>
      </c>
      <c r="E692" s="253"/>
      <c r="F692" s="257" t="str">
        <f t="shared" si="69"/>
        <v/>
      </c>
      <c r="G692" s="257" t="str">
        <f t="shared" si="70"/>
        <v/>
      </c>
      <c r="H692" s="257" t="str">
        <f t="shared" si="71"/>
        <v/>
      </c>
    </row>
    <row r="693" spans="1:8" x14ac:dyDescent="0.25">
      <c r="A693" s="254" t="str">
        <f t="shared" ca="1" si="72"/>
        <v/>
      </c>
      <c r="B693" s="255"/>
      <c r="C693" s="256"/>
      <c r="D693" s="257" t="str">
        <f t="shared" si="68"/>
        <v/>
      </c>
      <c r="E693" s="253"/>
      <c r="F693" s="257" t="str">
        <f t="shared" si="69"/>
        <v/>
      </c>
      <c r="G693" s="257" t="str">
        <f t="shared" si="70"/>
        <v/>
      </c>
      <c r="H693" s="257" t="str">
        <f t="shared" si="71"/>
        <v/>
      </c>
    </row>
    <row r="694" spans="1:8" x14ac:dyDescent="0.25">
      <c r="A694" s="254" t="str">
        <f t="shared" ca="1" si="72"/>
        <v/>
      </c>
      <c r="B694" s="255"/>
      <c r="C694" s="256"/>
      <c r="D694" s="257" t="str">
        <f t="shared" si="68"/>
        <v/>
      </c>
      <c r="E694" s="253"/>
      <c r="F694" s="257" t="str">
        <f t="shared" si="69"/>
        <v/>
      </c>
      <c r="G694" s="257" t="str">
        <f t="shared" si="70"/>
        <v/>
      </c>
      <c r="H694" s="257" t="str">
        <f t="shared" si="71"/>
        <v/>
      </c>
    </row>
    <row r="695" spans="1:8" x14ac:dyDescent="0.25">
      <c r="A695" s="254" t="str">
        <f t="shared" ca="1" si="72"/>
        <v/>
      </c>
      <c r="B695" s="255"/>
      <c r="C695" s="256"/>
      <c r="D695" s="257" t="str">
        <f t="shared" si="68"/>
        <v/>
      </c>
      <c r="E695" s="253"/>
      <c r="F695" s="257" t="str">
        <f t="shared" si="69"/>
        <v/>
      </c>
      <c r="G695" s="257" t="str">
        <f t="shared" si="70"/>
        <v/>
      </c>
      <c r="H695" s="257" t="str">
        <f t="shared" si="71"/>
        <v/>
      </c>
    </row>
    <row r="696" spans="1:8" x14ac:dyDescent="0.25">
      <c r="A696" s="254" t="str">
        <f t="shared" ca="1" si="72"/>
        <v/>
      </c>
      <c r="B696" s="255"/>
      <c r="C696" s="256"/>
      <c r="D696" s="257" t="str">
        <f t="shared" si="68"/>
        <v/>
      </c>
      <c r="E696" s="253"/>
      <c r="F696" s="257" t="str">
        <f t="shared" si="69"/>
        <v/>
      </c>
      <c r="G696" s="257" t="str">
        <f t="shared" si="70"/>
        <v/>
      </c>
      <c r="H696" s="257" t="str">
        <f t="shared" si="71"/>
        <v/>
      </c>
    </row>
    <row r="697" spans="1:8" x14ac:dyDescent="0.25">
      <c r="A697" s="254" t="str">
        <f t="shared" ca="1" si="72"/>
        <v/>
      </c>
      <c r="B697" s="255"/>
      <c r="C697" s="256"/>
      <c r="D697" s="257" t="str">
        <f t="shared" si="68"/>
        <v/>
      </c>
      <c r="E697" s="253"/>
      <c r="F697" s="257" t="str">
        <f t="shared" si="69"/>
        <v/>
      </c>
      <c r="G697" s="257" t="str">
        <f t="shared" si="70"/>
        <v/>
      </c>
      <c r="H697" s="257" t="str">
        <f t="shared" si="71"/>
        <v/>
      </c>
    </row>
    <row r="698" spans="1:8" x14ac:dyDescent="0.25">
      <c r="A698" s="254" t="str">
        <f t="shared" ca="1" si="72"/>
        <v/>
      </c>
      <c r="B698" s="255"/>
      <c r="C698" s="256"/>
      <c r="D698" s="257" t="str">
        <f t="shared" si="68"/>
        <v/>
      </c>
      <c r="E698" s="253"/>
      <c r="F698" s="257" t="str">
        <f t="shared" si="69"/>
        <v/>
      </c>
      <c r="G698" s="257" t="str">
        <f t="shared" si="70"/>
        <v/>
      </c>
      <c r="H698" s="257" t="str">
        <f t="shared" si="71"/>
        <v/>
      </c>
    </row>
    <row r="699" spans="1:8" x14ac:dyDescent="0.25">
      <c r="A699" s="254" t="str">
        <f t="shared" ca="1" si="72"/>
        <v/>
      </c>
      <c r="B699" s="255"/>
      <c r="C699" s="256"/>
      <c r="D699" s="257" t="str">
        <f t="shared" si="68"/>
        <v/>
      </c>
      <c r="E699" s="253"/>
      <c r="F699" s="257" t="str">
        <f t="shared" si="69"/>
        <v/>
      </c>
      <c r="G699" s="257" t="str">
        <f t="shared" si="70"/>
        <v/>
      </c>
      <c r="H699" s="257" t="str">
        <f t="shared" si="71"/>
        <v/>
      </c>
    </row>
    <row r="700" spans="1:8" x14ac:dyDescent="0.25">
      <c r="A700" s="254" t="str">
        <f t="shared" ca="1" si="72"/>
        <v/>
      </c>
      <c r="B700" s="255"/>
      <c r="C700" s="256"/>
      <c r="D700" s="257" t="str">
        <f t="shared" si="68"/>
        <v/>
      </c>
      <c r="E700" s="253"/>
      <c r="F700" s="257" t="str">
        <f t="shared" si="69"/>
        <v/>
      </c>
      <c r="G700" s="257" t="str">
        <f t="shared" si="70"/>
        <v/>
      </c>
      <c r="H700" s="257" t="str">
        <f t="shared" si="71"/>
        <v/>
      </c>
    </row>
    <row r="701" spans="1:8" x14ac:dyDescent="0.25">
      <c r="A701" s="254" t="str">
        <f t="shared" ca="1" si="72"/>
        <v/>
      </c>
      <c r="B701" s="255"/>
      <c r="C701" s="256"/>
      <c r="D701" s="257" t="str">
        <f t="shared" si="68"/>
        <v/>
      </c>
      <c r="E701" s="253"/>
      <c r="F701" s="257" t="str">
        <f t="shared" si="69"/>
        <v/>
      </c>
      <c r="G701" s="257" t="str">
        <f t="shared" si="70"/>
        <v/>
      </c>
      <c r="H701" s="257" t="str">
        <f t="shared" si="71"/>
        <v/>
      </c>
    </row>
    <row r="702" spans="1:8" x14ac:dyDescent="0.25">
      <c r="A702" s="254" t="str">
        <f t="shared" ca="1" si="72"/>
        <v/>
      </c>
      <c r="B702" s="255"/>
      <c r="C702" s="256"/>
      <c r="D702" s="257" t="str">
        <f t="shared" si="68"/>
        <v/>
      </c>
      <c r="E702" s="253"/>
      <c r="F702" s="257" t="str">
        <f t="shared" si="69"/>
        <v/>
      </c>
      <c r="G702" s="257" t="str">
        <f t="shared" si="70"/>
        <v/>
      </c>
      <c r="H702" s="257" t="str">
        <f t="shared" si="71"/>
        <v/>
      </c>
    </row>
    <row r="703" spans="1:8" x14ac:dyDescent="0.25">
      <c r="A703" s="254" t="str">
        <f t="shared" ca="1" si="72"/>
        <v/>
      </c>
      <c r="B703" s="255"/>
      <c r="C703" s="256"/>
      <c r="D703" s="257" t="str">
        <f t="shared" si="68"/>
        <v/>
      </c>
      <c r="E703" s="253"/>
      <c r="F703" s="257" t="str">
        <f t="shared" si="69"/>
        <v/>
      </c>
      <c r="G703" s="257" t="str">
        <f t="shared" si="70"/>
        <v/>
      </c>
      <c r="H703" s="257" t="str">
        <f t="shared" si="71"/>
        <v/>
      </c>
    </row>
    <row r="704" spans="1:8" x14ac:dyDescent="0.25">
      <c r="A704" s="254" t="str">
        <f t="shared" ca="1" si="72"/>
        <v/>
      </c>
      <c r="B704" s="255"/>
      <c r="C704" s="256"/>
      <c r="D704" s="257" t="str">
        <f t="shared" si="68"/>
        <v/>
      </c>
      <c r="E704" s="253"/>
      <c r="F704" s="257" t="str">
        <f t="shared" si="69"/>
        <v/>
      </c>
      <c r="G704" s="257" t="str">
        <f t="shared" si="70"/>
        <v/>
      </c>
      <c r="H704" s="257" t="str">
        <f t="shared" si="71"/>
        <v/>
      </c>
    </row>
    <row r="705" spans="1:8" x14ac:dyDescent="0.25">
      <c r="A705" s="254" t="str">
        <f t="shared" ca="1" si="72"/>
        <v/>
      </c>
      <c r="B705" s="255"/>
      <c r="C705" s="256"/>
      <c r="D705" s="257" t="str">
        <f t="shared" si="68"/>
        <v/>
      </c>
      <c r="E705" s="253"/>
      <c r="F705" s="257" t="str">
        <f t="shared" si="69"/>
        <v/>
      </c>
      <c r="G705" s="257" t="str">
        <f t="shared" si="70"/>
        <v/>
      </c>
      <c r="H705" s="257" t="str">
        <f t="shared" si="71"/>
        <v/>
      </c>
    </row>
    <row r="706" spans="1:8" x14ac:dyDescent="0.25">
      <c r="A706" s="254" t="str">
        <f t="shared" ca="1" si="72"/>
        <v/>
      </c>
      <c r="B706" s="255"/>
      <c r="C706" s="256"/>
      <c r="D706" s="257" t="str">
        <f t="shared" si="68"/>
        <v/>
      </c>
      <c r="E706" s="253"/>
      <c r="F706" s="257" t="str">
        <f t="shared" si="69"/>
        <v/>
      </c>
      <c r="G706" s="257" t="str">
        <f t="shared" si="70"/>
        <v/>
      </c>
      <c r="H706" s="257" t="str">
        <f t="shared" si="71"/>
        <v/>
      </c>
    </row>
    <row r="707" spans="1:8" x14ac:dyDescent="0.25">
      <c r="A707" s="254" t="str">
        <f t="shared" ca="1" si="72"/>
        <v/>
      </c>
      <c r="B707" s="255"/>
      <c r="C707" s="256"/>
      <c r="D707" s="257" t="str">
        <f t="shared" si="68"/>
        <v/>
      </c>
      <c r="E707" s="253"/>
      <c r="F707" s="257" t="str">
        <f t="shared" si="69"/>
        <v/>
      </c>
      <c r="G707" s="257" t="str">
        <f t="shared" si="70"/>
        <v/>
      </c>
      <c r="H707" s="257" t="str">
        <f t="shared" si="71"/>
        <v/>
      </c>
    </row>
    <row r="708" spans="1:8" x14ac:dyDescent="0.25">
      <c r="A708" s="254" t="str">
        <f t="shared" ca="1" si="72"/>
        <v/>
      </c>
      <c r="B708" s="255"/>
      <c r="C708" s="256"/>
      <c r="D708" s="257" t="str">
        <f t="shared" si="68"/>
        <v/>
      </c>
      <c r="E708" s="253"/>
      <c r="F708" s="257" t="str">
        <f t="shared" si="69"/>
        <v/>
      </c>
      <c r="G708" s="257" t="str">
        <f t="shared" si="70"/>
        <v/>
      </c>
      <c r="H708" s="257" t="str">
        <f t="shared" si="71"/>
        <v/>
      </c>
    </row>
    <row r="709" spans="1:8" x14ac:dyDescent="0.25">
      <c r="A709" s="254" t="str">
        <f t="shared" ca="1" si="72"/>
        <v/>
      </c>
      <c r="B709" s="255"/>
      <c r="C709" s="256"/>
      <c r="D709" s="257" t="str">
        <f t="shared" si="68"/>
        <v/>
      </c>
      <c r="E709" s="253"/>
      <c r="F709" s="257" t="str">
        <f t="shared" si="69"/>
        <v/>
      </c>
      <c r="G709" s="257" t="str">
        <f t="shared" si="70"/>
        <v/>
      </c>
      <c r="H709" s="257" t="str">
        <f t="shared" si="71"/>
        <v/>
      </c>
    </row>
    <row r="710" spans="1:8" x14ac:dyDescent="0.25">
      <c r="A710" s="254" t="str">
        <f t="shared" ca="1" si="72"/>
        <v/>
      </c>
      <c r="B710" s="255"/>
      <c r="C710" s="256"/>
      <c r="D710" s="257" t="str">
        <f t="shared" si="68"/>
        <v/>
      </c>
      <c r="E710" s="253"/>
      <c r="F710" s="257" t="str">
        <f t="shared" si="69"/>
        <v/>
      </c>
      <c r="G710" s="257" t="str">
        <f t="shared" si="70"/>
        <v/>
      </c>
      <c r="H710" s="257" t="str">
        <f t="shared" si="71"/>
        <v/>
      </c>
    </row>
    <row r="711" spans="1:8" x14ac:dyDescent="0.25">
      <c r="A711" s="254" t="str">
        <f t="shared" ca="1" si="72"/>
        <v/>
      </c>
      <c r="B711" s="255"/>
      <c r="C711" s="256"/>
      <c r="D711" s="257" t="str">
        <f t="shared" si="68"/>
        <v/>
      </c>
      <c r="E711" s="253"/>
      <c r="F711" s="257" t="str">
        <f t="shared" si="69"/>
        <v/>
      </c>
      <c r="G711" s="257" t="str">
        <f t="shared" si="70"/>
        <v/>
      </c>
      <c r="H711" s="257" t="str">
        <f t="shared" si="71"/>
        <v/>
      </c>
    </row>
    <row r="712" spans="1:8" x14ac:dyDescent="0.25">
      <c r="A712" s="254" t="str">
        <f t="shared" ca="1" si="72"/>
        <v/>
      </c>
      <c r="B712" s="255"/>
      <c r="C712" s="256"/>
      <c r="D712" s="257" t="str">
        <f t="shared" si="68"/>
        <v/>
      </c>
      <c r="E712" s="253"/>
      <c r="F712" s="257" t="str">
        <f t="shared" si="69"/>
        <v/>
      </c>
      <c r="G712" s="257" t="str">
        <f t="shared" si="70"/>
        <v/>
      </c>
      <c r="H712" s="257" t="str">
        <f t="shared" si="71"/>
        <v/>
      </c>
    </row>
    <row r="713" spans="1:8" x14ac:dyDescent="0.25">
      <c r="A713" s="254" t="str">
        <f t="shared" ca="1" si="72"/>
        <v/>
      </c>
      <c r="B713" s="255"/>
      <c r="C713" s="256"/>
      <c r="D713" s="257" t="str">
        <f t="shared" si="68"/>
        <v/>
      </c>
      <c r="E713" s="253"/>
      <c r="F713" s="257" t="str">
        <f t="shared" si="69"/>
        <v/>
      </c>
      <c r="G713" s="257" t="str">
        <f t="shared" si="70"/>
        <v/>
      </c>
      <c r="H713" s="257" t="str">
        <f t="shared" si="71"/>
        <v/>
      </c>
    </row>
    <row r="714" spans="1:8" x14ac:dyDescent="0.25">
      <c r="A714" s="254" t="str">
        <f t="shared" ca="1" si="72"/>
        <v/>
      </c>
      <c r="B714" s="255"/>
      <c r="C714" s="256"/>
      <c r="D714" s="257" t="str">
        <f t="shared" si="68"/>
        <v/>
      </c>
      <c r="E714" s="253"/>
      <c r="F714" s="257" t="str">
        <f t="shared" si="69"/>
        <v/>
      </c>
      <c r="G714" s="257" t="str">
        <f t="shared" si="70"/>
        <v/>
      </c>
      <c r="H714" s="257" t="str">
        <f t="shared" si="71"/>
        <v/>
      </c>
    </row>
    <row r="715" spans="1:8" x14ac:dyDescent="0.25">
      <c r="A715" s="254" t="str">
        <f t="shared" ca="1" si="72"/>
        <v/>
      </c>
      <c r="B715" s="255"/>
      <c r="C715" s="256"/>
      <c r="D715" s="257" t="str">
        <f t="shared" si="68"/>
        <v/>
      </c>
      <c r="E715" s="253"/>
      <c r="F715" s="257" t="str">
        <f t="shared" si="69"/>
        <v/>
      </c>
      <c r="G715" s="257" t="str">
        <f t="shared" si="70"/>
        <v/>
      </c>
      <c r="H715" s="257" t="str">
        <f t="shared" si="71"/>
        <v/>
      </c>
    </row>
    <row r="716" spans="1:8" x14ac:dyDescent="0.25">
      <c r="A716" s="254" t="str">
        <f t="shared" ca="1" si="72"/>
        <v/>
      </c>
      <c r="B716" s="255"/>
      <c r="C716" s="256"/>
      <c r="D716" s="257" t="str">
        <f t="shared" si="68"/>
        <v/>
      </c>
      <c r="E716" s="253"/>
      <c r="F716" s="257" t="str">
        <f t="shared" si="69"/>
        <v/>
      </c>
      <c r="G716" s="257" t="str">
        <f t="shared" si="70"/>
        <v/>
      </c>
      <c r="H716" s="257" t="str">
        <f t="shared" si="71"/>
        <v/>
      </c>
    </row>
    <row r="717" spans="1:8" x14ac:dyDescent="0.25">
      <c r="A717" s="254" t="str">
        <f t="shared" ca="1" si="72"/>
        <v/>
      </c>
      <c r="B717" s="255"/>
      <c r="C717" s="256"/>
      <c r="D717" s="257" t="str">
        <f t="shared" si="68"/>
        <v/>
      </c>
      <c r="E717" s="253"/>
      <c r="F717" s="257" t="str">
        <f t="shared" si="69"/>
        <v/>
      </c>
      <c r="G717" s="257" t="str">
        <f t="shared" si="70"/>
        <v/>
      </c>
      <c r="H717" s="257" t="str">
        <f t="shared" si="71"/>
        <v/>
      </c>
    </row>
    <row r="718" spans="1:8" x14ac:dyDescent="0.25">
      <c r="A718" s="254" t="str">
        <f t="shared" ca="1" si="72"/>
        <v/>
      </c>
      <c r="B718" s="255"/>
      <c r="C718" s="256"/>
      <c r="D718" s="257" t="str">
        <f t="shared" si="68"/>
        <v/>
      </c>
      <c r="E718" s="253"/>
      <c r="F718" s="257" t="str">
        <f t="shared" si="69"/>
        <v/>
      </c>
      <c r="G718" s="257" t="str">
        <f t="shared" si="70"/>
        <v/>
      </c>
      <c r="H718" s="257" t="str">
        <f t="shared" si="71"/>
        <v/>
      </c>
    </row>
    <row r="719" spans="1:8" x14ac:dyDescent="0.25">
      <c r="A719" s="254" t="str">
        <f t="shared" ca="1" si="72"/>
        <v/>
      </c>
      <c r="B719" s="255"/>
      <c r="C719" s="256"/>
      <c r="D719" s="257" t="str">
        <f t="shared" si="68"/>
        <v/>
      </c>
      <c r="E719" s="253"/>
      <c r="F719" s="257" t="str">
        <f t="shared" si="69"/>
        <v/>
      </c>
      <c r="G719" s="257" t="str">
        <f t="shared" si="70"/>
        <v/>
      </c>
      <c r="H719" s="257" t="str">
        <f t="shared" si="71"/>
        <v/>
      </c>
    </row>
    <row r="720" spans="1:8" x14ac:dyDescent="0.25">
      <c r="A720" s="254" t="str">
        <f t="shared" ca="1" si="72"/>
        <v/>
      </c>
      <c r="B720" s="255"/>
      <c r="C720" s="256"/>
      <c r="D720" s="257" t="str">
        <f t="shared" si="68"/>
        <v/>
      </c>
      <c r="E720" s="253"/>
      <c r="F720" s="257" t="str">
        <f t="shared" si="69"/>
        <v/>
      </c>
      <c r="G720" s="257" t="str">
        <f t="shared" si="70"/>
        <v/>
      </c>
      <c r="H720" s="257" t="str">
        <f t="shared" si="71"/>
        <v/>
      </c>
    </row>
    <row r="721" spans="1:8" x14ac:dyDescent="0.25">
      <c r="A721" s="254" t="str">
        <f t="shared" ca="1" si="72"/>
        <v/>
      </c>
      <c r="B721" s="255"/>
      <c r="C721" s="256"/>
      <c r="D721" s="257" t="str">
        <f t="shared" si="68"/>
        <v/>
      </c>
      <c r="E721" s="253"/>
      <c r="F721" s="257" t="str">
        <f t="shared" si="69"/>
        <v/>
      </c>
      <c r="G721" s="257" t="str">
        <f t="shared" si="70"/>
        <v/>
      </c>
      <c r="H721" s="257" t="str">
        <f t="shared" si="71"/>
        <v/>
      </c>
    </row>
    <row r="722" spans="1:8" x14ac:dyDescent="0.25">
      <c r="A722" s="254" t="str">
        <f t="shared" ca="1" si="72"/>
        <v/>
      </c>
      <c r="B722" s="255"/>
      <c r="C722" s="256"/>
      <c r="D722" s="257" t="str">
        <f t="shared" si="68"/>
        <v/>
      </c>
      <c r="E722" s="253"/>
      <c r="F722" s="257" t="str">
        <f t="shared" si="69"/>
        <v/>
      </c>
      <c r="G722" s="257" t="str">
        <f t="shared" si="70"/>
        <v/>
      </c>
      <c r="H722" s="257" t="str">
        <f t="shared" si="71"/>
        <v/>
      </c>
    </row>
    <row r="723" spans="1:8" x14ac:dyDescent="0.25">
      <c r="A723" s="254" t="str">
        <f t="shared" ca="1" si="72"/>
        <v/>
      </c>
      <c r="B723" s="255"/>
      <c r="C723" s="256"/>
      <c r="D723" s="257" t="str">
        <f t="shared" ref="D723:D786" si="73">IF(B723="","",ROUND((B723-B722)*$H$9*G722,2))</f>
        <v/>
      </c>
      <c r="E723" s="253"/>
      <c r="F723" s="257" t="str">
        <f t="shared" ref="F723:F786" si="74">IF(B723="","",IF(C723&gt;F722+D723,0,F722+D723-C723))</f>
        <v/>
      </c>
      <c r="G723" s="257" t="str">
        <f t="shared" ref="G723:G786" si="75">IF(B723="","",IF(C723&gt;D723+F722,G722+F722+D723-C723,G722))</f>
        <v/>
      </c>
      <c r="H723" s="257" t="str">
        <f t="shared" ref="H723:H786" si="76">IF(B723="","",G723+F723)</f>
        <v/>
      </c>
    </row>
    <row r="724" spans="1:8" x14ac:dyDescent="0.25">
      <c r="A724" s="254" t="str">
        <f t="shared" ca="1" si="72"/>
        <v/>
      </c>
      <c r="B724" s="255"/>
      <c r="C724" s="256"/>
      <c r="D724" s="257" t="str">
        <f t="shared" si="73"/>
        <v/>
      </c>
      <c r="E724" s="253"/>
      <c r="F724" s="257" t="str">
        <f t="shared" si="74"/>
        <v/>
      </c>
      <c r="G724" s="257" t="str">
        <f t="shared" si="75"/>
        <v/>
      </c>
      <c r="H724" s="257" t="str">
        <f t="shared" si="76"/>
        <v/>
      </c>
    </row>
    <row r="725" spans="1:8" x14ac:dyDescent="0.25">
      <c r="A725" s="254" t="str">
        <f t="shared" ca="1" si="72"/>
        <v/>
      </c>
      <c r="B725" s="255"/>
      <c r="C725" s="256"/>
      <c r="D725" s="257" t="str">
        <f t="shared" si="73"/>
        <v/>
      </c>
      <c r="E725" s="253"/>
      <c r="F725" s="257" t="str">
        <f t="shared" si="74"/>
        <v/>
      </c>
      <c r="G725" s="257" t="str">
        <f t="shared" si="75"/>
        <v/>
      </c>
      <c r="H725" s="257" t="str">
        <f t="shared" si="76"/>
        <v/>
      </c>
    </row>
    <row r="726" spans="1:8" x14ac:dyDescent="0.25">
      <c r="A726" s="254" t="str">
        <f t="shared" ca="1" si="72"/>
        <v/>
      </c>
      <c r="B726" s="255"/>
      <c r="C726" s="256"/>
      <c r="D726" s="257" t="str">
        <f t="shared" si="73"/>
        <v/>
      </c>
      <c r="E726" s="253"/>
      <c r="F726" s="257" t="str">
        <f t="shared" si="74"/>
        <v/>
      </c>
      <c r="G726" s="257" t="str">
        <f t="shared" si="75"/>
        <v/>
      </c>
      <c r="H726" s="257" t="str">
        <f t="shared" si="76"/>
        <v/>
      </c>
    </row>
    <row r="727" spans="1:8" x14ac:dyDescent="0.25">
      <c r="A727" s="254" t="str">
        <f t="shared" ca="1" si="72"/>
        <v/>
      </c>
      <c r="B727" s="255"/>
      <c r="C727" s="256"/>
      <c r="D727" s="257" t="str">
        <f t="shared" si="73"/>
        <v/>
      </c>
      <c r="E727" s="253"/>
      <c r="F727" s="257" t="str">
        <f t="shared" si="74"/>
        <v/>
      </c>
      <c r="G727" s="257" t="str">
        <f t="shared" si="75"/>
        <v/>
      </c>
      <c r="H727" s="257" t="str">
        <f t="shared" si="76"/>
        <v/>
      </c>
    </row>
    <row r="728" spans="1:8" x14ac:dyDescent="0.25">
      <c r="A728" s="254" t="str">
        <f t="shared" ca="1" si="72"/>
        <v/>
      </c>
      <c r="B728" s="255"/>
      <c r="C728" s="256"/>
      <c r="D728" s="257" t="str">
        <f t="shared" si="73"/>
        <v/>
      </c>
      <c r="E728" s="253"/>
      <c r="F728" s="257" t="str">
        <f t="shared" si="74"/>
        <v/>
      </c>
      <c r="G728" s="257" t="str">
        <f t="shared" si="75"/>
        <v/>
      </c>
      <c r="H728" s="257" t="str">
        <f t="shared" si="76"/>
        <v/>
      </c>
    </row>
    <row r="729" spans="1:8" x14ac:dyDescent="0.25">
      <c r="A729" s="254" t="str">
        <f t="shared" ca="1" si="72"/>
        <v/>
      </c>
      <c r="B729" s="255"/>
      <c r="C729" s="256"/>
      <c r="D729" s="257" t="str">
        <f t="shared" si="73"/>
        <v/>
      </c>
      <c r="E729" s="253"/>
      <c r="F729" s="257" t="str">
        <f t="shared" si="74"/>
        <v/>
      </c>
      <c r="G729" s="257" t="str">
        <f t="shared" si="75"/>
        <v/>
      </c>
      <c r="H729" s="257" t="str">
        <f t="shared" si="76"/>
        <v/>
      </c>
    </row>
    <row r="730" spans="1:8" x14ac:dyDescent="0.25">
      <c r="A730" s="254" t="str">
        <f t="shared" ca="1" si="72"/>
        <v/>
      </c>
      <c r="B730" s="255"/>
      <c r="C730" s="256"/>
      <c r="D730" s="257" t="str">
        <f t="shared" si="73"/>
        <v/>
      </c>
      <c r="E730" s="253"/>
      <c r="F730" s="257" t="str">
        <f t="shared" si="74"/>
        <v/>
      </c>
      <c r="G730" s="257" t="str">
        <f t="shared" si="75"/>
        <v/>
      </c>
      <c r="H730" s="257" t="str">
        <f t="shared" si="76"/>
        <v/>
      </c>
    </row>
    <row r="731" spans="1:8" x14ac:dyDescent="0.25">
      <c r="A731" s="254" t="str">
        <f t="shared" ca="1" si="72"/>
        <v/>
      </c>
      <c r="B731" s="255"/>
      <c r="C731" s="256"/>
      <c r="D731" s="257" t="str">
        <f t="shared" si="73"/>
        <v/>
      </c>
      <c r="E731" s="253"/>
      <c r="F731" s="257" t="str">
        <f t="shared" si="74"/>
        <v/>
      </c>
      <c r="G731" s="257" t="str">
        <f t="shared" si="75"/>
        <v/>
      </c>
      <c r="H731" s="257" t="str">
        <f t="shared" si="76"/>
        <v/>
      </c>
    </row>
    <row r="732" spans="1:8" x14ac:dyDescent="0.25">
      <c r="A732" s="254" t="str">
        <f t="shared" ca="1" si="72"/>
        <v/>
      </c>
      <c r="B732" s="255"/>
      <c r="C732" s="256"/>
      <c r="D732" s="257" t="str">
        <f t="shared" si="73"/>
        <v/>
      </c>
      <c r="E732" s="253"/>
      <c r="F732" s="257" t="str">
        <f t="shared" si="74"/>
        <v/>
      </c>
      <c r="G732" s="257" t="str">
        <f t="shared" si="75"/>
        <v/>
      </c>
      <c r="H732" s="257" t="str">
        <f t="shared" si="76"/>
        <v/>
      </c>
    </row>
    <row r="733" spans="1:8" x14ac:dyDescent="0.25">
      <c r="A733" s="254" t="str">
        <f t="shared" ca="1" si="72"/>
        <v/>
      </c>
      <c r="B733" s="255"/>
      <c r="C733" s="256"/>
      <c r="D733" s="257" t="str">
        <f t="shared" si="73"/>
        <v/>
      </c>
      <c r="E733" s="253"/>
      <c r="F733" s="257" t="str">
        <f t="shared" si="74"/>
        <v/>
      </c>
      <c r="G733" s="257" t="str">
        <f t="shared" si="75"/>
        <v/>
      </c>
      <c r="H733" s="257" t="str">
        <f t="shared" si="76"/>
        <v/>
      </c>
    </row>
    <row r="734" spans="1:8" x14ac:dyDescent="0.25">
      <c r="A734" s="254" t="str">
        <f t="shared" ca="1" si="72"/>
        <v/>
      </c>
      <c r="B734" s="255"/>
      <c r="C734" s="256"/>
      <c r="D734" s="257" t="str">
        <f t="shared" si="73"/>
        <v/>
      </c>
      <c r="E734" s="253"/>
      <c r="F734" s="257" t="str">
        <f t="shared" si="74"/>
        <v/>
      </c>
      <c r="G734" s="257" t="str">
        <f t="shared" si="75"/>
        <v/>
      </c>
      <c r="H734" s="257" t="str">
        <f t="shared" si="76"/>
        <v/>
      </c>
    </row>
    <row r="735" spans="1:8" x14ac:dyDescent="0.25">
      <c r="A735" s="254" t="str">
        <f t="shared" ca="1" si="72"/>
        <v/>
      </c>
      <c r="B735" s="255"/>
      <c r="C735" s="256"/>
      <c r="D735" s="257" t="str">
        <f t="shared" si="73"/>
        <v/>
      </c>
      <c r="E735" s="253"/>
      <c r="F735" s="257" t="str">
        <f t="shared" si="74"/>
        <v/>
      </c>
      <c r="G735" s="257" t="str">
        <f t="shared" si="75"/>
        <v/>
      </c>
      <c r="H735" s="257" t="str">
        <f t="shared" si="76"/>
        <v/>
      </c>
    </row>
    <row r="736" spans="1:8" x14ac:dyDescent="0.25">
      <c r="A736" s="254" t="str">
        <f t="shared" ca="1" si="72"/>
        <v/>
      </c>
      <c r="B736" s="255"/>
      <c r="C736" s="256"/>
      <c r="D736" s="257" t="str">
        <f t="shared" si="73"/>
        <v/>
      </c>
      <c r="E736" s="253"/>
      <c r="F736" s="257" t="str">
        <f t="shared" si="74"/>
        <v/>
      </c>
      <c r="G736" s="257" t="str">
        <f t="shared" si="75"/>
        <v/>
      </c>
      <c r="H736" s="257" t="str">
        <f t="shared" si="76"/>
        <v/>
      </c>
    </row>
    <row r="737" spans="1:8" x14ac:dyDescent="0.25">
      <c r="A737" s="254" t="str">
        <f t="shared" ca="1" si="72"/>
        <v/>
      </c>
      <c r="B737" s="255"/>
      <c r="C737" s="256"/>
      <c r="D737" s="257" t="str">
        <f t="shared" si="73"/>
        <v/>
      </c>
      <c r="E737" s="253"/>
      <c r="F737" s="257" t="str">
        <f t="shared" si="74"/>
        <v/>
      </c>
      <c r="G737" s="257" t="str">
        <f t="shared" si="75"/>
        <v/>
      </c>
      <c r="H737" s="257" t="str">
        <f t="shared" si="76"/>
        <v/>
      </c>
    </row>
    <row r="738" spans="1:8" x14ac:dyDescent="0.25">
      <c r="A738" s="254" t="str">
        <f t="shared" ca="1" si="72"/>
        <v/>
      </c>
      <c r="B738" s="255"/>
      <c r="C738" s="256"/>
      <c r="D738" s="257" t="str">
        <f t="shared" si="73"/>
        <v/>
      </c>
      <c r="E738" s="253"/>
      <c r="F738" s="257" t="str">
        <f t="shared" si="74"/>
        <v/>
      </c>
      <c r="G738" s="257" t="str">
        <f t="shared" si="75"/>
        <v/>
      </c>
      <c r="H738" s="257" t="str">
        <f t="shared" si="76"/>
        <v/>
      </c>
    </row>
    <row r="739" spans="1:8" x14ac:dyDescent="0.25">
      <c r="A739" s="254" t="str">
        <f t="shared" ca="1" si="72"/>
        <v/>
      </c>
      <c r="B739" s="255"/>
      <c r="C739" s="256"/>
      <c r="D739" s="257" t="str">
        <f t="shared" si="73"/>
        <v/>
      </c>
      <c r="E739" s="253"/>
      <c r="F739" s="257" t="str">
        <f t="shared" si="74"/>
        <v/>
      </c>
      <c r="G739" s="257" t="str">
        <f t="shared" si="75"/>
        <v/>
      </c>
      <c r="H739" s="257" t="str">
        <f t="shared" si="76"/>
        <v/>
      </c>
    </row>
    <row r="740" spans="1:8" x14ac:dyDescent="0.25">
      <c r="A740" s="254" t="str">
        <f t="shared" ca="1" si="72"/>
        <v/>
      </c>
      <c r="B740" s="255"/>
      <c r="C740" s="256"/>
      <c r="D740" s="257" t="str">
        <f t="shared" si="73"/>
        <v/>
      </c>
      <c r="E740" s="253"/>
      <c r="F740" s="257" t="str">
        <f t="shared" si="74"/>
        <v/>
      </c>
      <c r="G740" s="257" t="str">
        <f t="shared" si="75"/>
        <v/>
      </c>
      <c r="H740" s="257" t="str">
        <f t="shared" si="76"/>
        <v/>
      </c>
    </row>
    <row r="741" spans="1:8" x14ac:dyDescent="0.25">
      <c r="A741" s="254" t="str">
        <f t="shared" ca="1" si="72"/>
        <v/>
      </c>
      <c r="B741" s="255"/>
      <c r="C741" s="256"/>
      <c r="D741" s="257" t="str">
        <f t="shared" si="73"/>
        <v/>
      </c>
      <c r="E741" s="253"/>
      <c r="F741" s="257" t="str">
        <f t="shared" si="74"/>
        <v/>
      </c>
      <c r="G741" s="257" t="str">
        <f t="shared" si="75"/>
        <v/>
      </c>
      <c r="H741" s="257" t="str">
        <f t="shared" si="76"/>
        <v/>
      </c>
    </row>
    <row r="742" spans="1:8" x14ac:dyDescent="0.25">
      <c r="A742" s="254" t="str">
        <f t="shared" ca="1" si="72"/>
        <v/>
      </c>
      <c r="B742" s="255"/>
      <c r="C742" s="256"/>
      <c r="D742" s="257" t="str">
        <f t="shared" si="73"/>
        <v/>
      </c>
      <c r="E742" s="253"/>
      <c r="F742" s="257" t="str">
        <f t="shared" si="74"/>
        <v/>
      </c>
      <c r="G742" s="257" t="str">
        <f t="shared" si="75"/>
        <v/>
      </c>
      <c r="H742" s="257" t="str">
        <f t="shared" si="76"/>
        <v/>
      </c>
    </row>
    <row r="743" spans="1:8" x14ac:dyDescent="0.25">
      <c r="A743" s="254" t="str">
        <f t="shared" ca="1" si="72"/>
        <v/>
      </c>
      <c r="B743" s="255"/>
      <c r="C743" s="256"/>
      <c r="D743" s="257" t="str">
        <f t="shared" si="73"/>
        <v/>
      </c>
      <c r="E743" s="253"/>
      <c r="F743" s="257" t="str">
        <f t="shared" si="74"/>
        <v/>
      </c>
      <c r="G743" s="257" t="str">
        <f t="shared" si="75"/>
        <v/>
      </c>
      <c r="H743" s="257" t="str">
        <f t="shared" si="76"/>
        <v/>
      </c>
    </row>
    <row r="744" spans="1:8" x14ac:dyDescent="0.25">
      <c r="A744" s="254" t="str">
        <f t="shared" ca="1" si="72"/>
        <v/>
      </c>
      <c r="B744" s="255"/>
      <c r="C744" s="256"/>
      <c r="D744" s="257" t="str">
        <f t="shared" si="73"/>
        <v/>
      </c>
      <c r="E744" s="253"/>
      <c r="F744" s="257" t="str">
        <f t="shared" si="74"/>
        <v/>
      </c>
      <c r="G744" s="257" t="str">
        <f t="shared" si="75"/>
        <v/>
      </c>
      <c r="H744" s="257" t="str">
        <f t="shared" si="76"/>
        <v/>
      </c>
    </row>
    <row r="745" spans="1:8" x14ac:dyDescent="0.25">
      <c r="A745" s="254" t="str">
        <f t="shared" ref="A745:A798" ca="1" si="77">IF(OR(H744&lt;=0,H744=""),"",OFFSET(A745,-1,0,1,1)+1)</f>
        <v/>
      </c>
      <c r="B745" s="255"/>
      <c r="C745" s="256"/>
      <c r="D745" s="257" t="str">
        <f t="shared" si="73"/>
        <v/>
      </c>
      <c r="E745" s="253"/>
      <c r="F745" s="257" t="str">
        <f t="shared" si="74"/>
        <v/>
      </c>
      <c r="G745" s="257" t="str">
        <f t="shared" si="75"/>
        <v/>
      </c>
      <c r="H745" s="257" t="str">
        <f t="shared" si="76"/>
        <v/>
      </c>
    </row>
    <row r="746" spans="1:8" x14ac:dyDescent="0.25">
      <c r="A746" s="254" t="str">
        <f t="shared" ca="1" si="77"/>
        <v/>
      </c>
      <c r="B746" s="255"/>
      <c r="C746" s="256"/>
      <c r="D746" s="257" t="str">
        <f t="shared" si="73"/>
        <v/>
      </c>
      <c r="E746" s="253"/>
      <c r="F746" s="257" t="str">
        <f t="shared" si="74"/>
        <v/>
      </c>
      <c r="G746" s="257" t="str">
        <f t="shared" si="75"/>
        <v/>
      </c>
      <c r="H746" s="257" t="str">
        <f t="shared" si="76"/>
        <v/>
      </c>
    </row>
    <row r="747" spans="1:8" x14ac:dyDescent="0.25">
      <c r="A747" s="254" t="str">
        <f t="shared" ca="1" si="77"/>
        <v/>
      </c>
      <c r="B747" s="255"/>
      <c r="C747" s="256"/>
      <c r="D747" s="257" t="str">
        <f t="shared" si="73"/>
        <v/>
      </c>
      <c r="E747" s="253"/>
      <c r="F747" s="257" t="str">
        <f t="shared" si="74"/>
        <v/>
      </c>
      <c r="G747" s="257" t="str">
        <f t="shared" si="75"/>
        <v/>
      </c>
      <c r="H747" s="257" t="str">
        <f t="shared" si="76"/>
        <v/>
      </c>
    </row>
    <row r="748" spans="1:8" x14ac:dyDescent="0.25">
      <c r="A748" s="254" t="str">
        <f t="shared" ca="1" si="77"/>
        <v/>
      </c>
      <c r="B748" s="255"/>
      <c r="C748" s="256"/>
      <c r="D748" s="257" t="str">
        <f t="shared" si="73"/>
        <v/>
      </c>
      <c r="E748" s="253"/>
      <c r="F748" s="257" t="str">
        <f t="shared" si="74"/>
        <v/>
      </c>
      <c r="G748" s="257" t="str">
        <f t="shared" si="75"/>
        <v/>
      </c>
      <c r="H748" s="257" t="str">
        <f t="shared" si="76"/>
        <v/>
      </c>
    </row>
    <row r="749" spans="1:8" x14ac:dyDescent="0.25">
      <c r="A749" s="254" t="str">
        <f t="shared" ca="1" si="77"/>
        <v/>
      </c>
      <c r="B749" s="255"/>
      <c r="C749" s="256"/>
      <c r="D749" s="257" t="str">
        <f t="shared" si="73"/>
        <v/>
      </c>
      <c r="E749" s="253"/>
      <c r="F749" s="257" t="str">
        <f t="shared" si="74"/>
        <v/>
      </c>
      <c r="G749" s="257" t="str">
        <f t="shared" si="75"/>
        <v/>
      </c>
      <c r="H749" s="257" t="str">
        <f t="shared" si="76"/>
        <v/>
      </c>
    </row>
    <row r="750" spans="1:8" x14ac:dyDescent="0.25">
      <c r="A750" s="254" t="str">
        <f t="shared" ca="1" si="77"/>
        <v/>
      </c>
      <c r="B750" s="255"/>
      <c r="C750" s="256"/>
      <c r="D750" s="257" t="str">
        <f t="shared" si="73"/>
        <v/>
      </c>
      <c r="E750" s="253"/>
      <c r="F750" s="257" t="str">
        <f t="shared" si="74"/>
        <v/>
      </c>
      <c r="G750" s="257" t="str">
        <f t="shared" si="75"/>
        <v/>
      </c>
      <c r="H750" s="257" t="str">
        <f t="shared" si="76"/>
        <v/>
      </c>
    </row>
    <row r="751" spans="1:8" x14ac:dyDescent="0.25">
      <c r="A751" s="254" t="str">
        <f t="shared" ca="1" si="77"/>
        <v/>
      </c>
      <c r="B751" s="255"/>
      <c r="C751" s="256"/>
      <c r="D751" s="257" t="str">
        <f t="shared" si="73"/>
        <v/>
      </c>
      <c r="E751" s="253"/>
      <c r="F751" s="257" t="str">
        <f t="shared" si="74"/>
        <v/>
      </c>
      <c r="G751" s="257" t="str">
        <f t="shared" si="75"/>
        <v/>
      </c>
      <c r="H751" s="257" t="str">
        <f t="shared" si="76"/>
        <v/>
      </c>
    </row>
    <row r="752" spans="1:8" x14ac:dyDescent="0.25">
      <c r="A752" s="254" t="str">
        <f t="shared" ca="1" si="77"/>
        <v/>
      </c>
      <c r="B752" s="255"/>
      <c r="C752" s="256"/>
      <c r="D752" s="257" t="str">
        <f t="shared" si="73"/>
        <v/>
      </c>
      <c r="E752" s="253"/>
      <c r="F752" s="257" t="str">
        <f t="shared" si="74"/>
        <v/>
      </c>
      <c r="G752" s="257" t="str">
        <f t="shared" si="75"/>
        <v/>
      </c>
      <c r="H752" s="257" t="str">
        <f t="shared" si="76"/>
        <v/>
      </c>
    </row>
    <row r="753" spans="1:8" x14ac:dyDescent="0.25">
      <c r="A753" s="254" t="str">
        <f t="shared" ca="1" si="77"/>
        <v/>
      </c>
      <c r="B753" s="255"/>
      <c r="C753" s="256"/>
      <c r="D753" s="257" t="str">
        <f t="shared" si="73"/>
        <v/>
      </c>
      <c r="E753" s="253"/>
      <c r="F753" s="257" t="str">
        <f t="shared" si="74"/>
        <v/>
      </c>
      <c r="G753" s="257" t="str">
        <f t="shared" si="75"/>
        <v/>
      </c>
      <c r="H753" s="257" t="str">
        <f t="shared" si="76"/>
        <v/>
      </c>
    </row>
    <row r="754" spans="1:8" x14ac:dyDescent="0.25">
      <c r="A754" s="254" t="str">
        <f t="shared" ca="1" si="77"/>
        <v/>
      </c>
      <c r="B754" s="255"/>
      <c r="C754" s="256"/>
      <c r="D754" s="257" t="str">
        <f t="shared" si="73"/>
        <v/>
      </c>
      <c r="E754" s="253"/>
      <c r="F754" s="257" t="str">
        <f t="shared" si="74"/>
        <v/>
      </c>
      <c r="G754" s="257" t="str">
        <f t="shared" si="75"/>
        <v/>
      </c>
      <c r="H754" s="257" t="str">
        <f t="shared" si="76"/>
        <v/>
      </c>
    </row>
    <row r="755" spans="1:8" x14ac:dyDescent="0.25">
      <c r="A755" s="254" t="str">
        <f t="shared" ca="1" si="77"/>
        <v/>
      </c>
      <c r="B755" s="255"/>
      <c r="C755" s="256"/>
      <c r="D755" s="257" t="str">
        <f t="shared" si="73"/>
        <v/>
      </c>
      <c r="E755" s="253"/>
      <c r="F755" s="257" t="str">
        <f t="shared" si="74"/>
        <v/>
      </c>
      <c r="G755" s="257" t="str">
        <f t="shared" si="75"/>
        <v/>
      </c>
      <c r="H755" s="257" t="str">
        <f t="shared" si="76"/>
        <v/>
      </c>
    </row>
    <row r="756" spans="1:8" x14ac:dyDescent="0.25">
      <c r="A756" s="254" t="str">
        <f t="shared" ca="1" si="77"/>
        <v/>
      </c>
      <c r="B756" s="255"/>
      <c r="C756" s="256"/>
      <c r="D756" s="257" t="str">
        <f t="shared" si="73"/>
        <v/>
      </c>
      <c r="E756" s="253"/>
      <c r="F756" s="257" t="str">
        <f t="shared" si="74"/>
        <v/>
      </c>
      <c r="G756" s="257" t="str">
        <f t="shared" si="75"/>
        <v/>
      </c>
      <c r="H756" s="257" t="str">
        <f t="shared" si="76"/>
        <v/>
      </c>
    </row>
    <row r="757" spans="1:8" x14ac:dyDescent="0.25">
      <c r="A757" s="254" t="str">
        <f t="shared" ca="1" si="77"/>
        <v/>
      </c>
      <c r="B757" s="255"/>
      <c r="C757" s="256"/>
      <c r="D757" s="257" t="str">
        <f t="shared" si="73"/>
        <v/>
      </c>
      <c r="E757" s="253"/>
      <c r="F757" s="257" t="str">
        <f t="shared" si="74"/>
        <v/>
      </c>
      <c r="G757" s="257" t="str">
        <f t="shared" si="75"/>
        <v/>
      </c>
      <c r="H757" s="257" t="str">
        <f t="shared" si="76"/>
        <v/>
      </c>
    </row>
    <row r="758" spans="1:8" x14ac:dyDescent="0.25">
      <c r="A758" s="254" t="str">
        <f t="shared" ca="1" si="77"/>
        <v/>
      </c>
      <c r="B758" s="255"/>
      <c r="C758" s="256"/>
      <c r="D758" s="257" t="str">
        <f t="shared" si="73"/>
        <v/>
      </c>
      <c r="E758" s="253"/>
      <c r="F758" s="257" t="str">
        <f t="shared" si="74"/>
        <v/>
      </c>
      <c r="G758" s="257" t="str">
        <f t="shared" si="75"/>
        <v/>
      </c>
      <c r="H758" s="257" t="str">
        <f t="shared" si="76"/>
        <v/>
      </c>
    </row>
    <row r="759" spans="1:8" x14ac:dyDescent="0.25">
      <c r="A759" s="254" t="str">
        <f t="shared" ca="1" si="77"/>
        <v/>
      </c>
      <c r="B759" s="255"/>
      <c r="C759" s="256"/>
      <c r="D759" s="257" t="str">
        <f t="shared" si="73"/>
        <v/>
      </c>
      <c r="E759" s="253"/>
      <c r="F759" s="257" t="str">
        <f t="shared" si="74"/>
        <v/>
      </c>
      <c r="G759" s="257" t="str">
        <f t="shared" si="75"/>
        <v/>
      </c>
      <c r="H759" s="257" t="str">
        <f t="shared" si="76"/>
        <v/>
      </c>
    </row>
    <row r="760" spans="1:8" x14ac:dyDescent="0.25">
      <c r="A760" s="254" t="str">
        <f t="shared" ca="1" si="77"/>
        <v/>
      </c>
      <c r="B760" s="255"/>
      <c r="C760" s="256"/>
      <c r="D760" s="257" t="str">
        <f t="shared" si="73"/>
        <v/>
      </c>
      <c r="E760" s="253"/>
      <c r="F760" s="257" t="str">
        <f t="shared" si="74"/>
        <v/>
      </c>
      <c r="G760" s="257" t="str">
        <f t="shared" si="75"/>
        <v/>
      </c>
      <c r="H760" s="257" t="str">
        <f t="shared" si="76"/>
        <v/>
      </c>
    </row>
    <row r="761" spans="1:8" x14ac:dyDescent="0.25">
      <c r="A761" s="254" t="str">
        <f t="shared" ca="1" si="77"/>
        <v/>
      </c>
      <c r="B761" s="255"/>
      <c r="C761" s="256"/>
      <c r="D761" s="257" t="str">
        <f t="shared" si="73"/>
        <v/>
      </c>
      <c r="E761" s="253"/>
      <c r="F761" s="257" t="str">
        <f t="shared" si="74"/>
        <v/>
      </c>
      <c r="G761" s="257" t="str">
        <f t="shared" si="75"/>
        <v/>
      </c>
      <c r="H761" s="257" t="str">
        <f t="shared" si="76"/>
        <v/>
      </c>
    </row>
    <row r="762" spans="1:8" x14ac:dyDescent="0.25">
      <c r="A762" s="254" t="str">
        <f t="shared" ca="1" si="77"/>
        <v/>
      </c>
      <c r="B762" s="255"/>
      <c r="C762" s="256"/>
      <c r="D762" s="257" t="str">
        <f t="shared" si="73"/>
        <v/>
      </c>
      <c r="E762" s="253"/>
      <c r="F762" s="257" t="str">
        <f t="shared" si="74"/>
        <v/>
      </c>
      <c r="G762" s="257" t="str">
        <f t="shared" si="75"/>
        <v/>
      </c>
      <c r="H762" s="257" t="str">
        <f t="shared" si="76"/>
        <v/>
      </c>
    </row>
    <row r="763" spans="1:8" x14ac:dyDescent="0.25">
      <c r="A763" s="254" t="str">
        <f t="shared" ca="1" si="77"/>
        <v/>
      </c>
      <c r="B763" s="255"/>
      <c r="C763" s="256"/>
      <c r="D763" s="257" t="str">
        <f t="shared" si="73"/>
        <v/>
      </c>
      <c r="E763" s="253"/>
      <c r="F763" s="257" t="str">
        <f t="shared" si="74"/>
        <v/>
      </c>
      <c r="G763" s="257" t="str">
        <f t="shared" si="75"/>
        <v/>
      </c>
      <c r="H763" s="257" t="str">
        <f t="shared" si="76"/>
        <v/>
      </c>
    </row>
    <row r="764" spans="1:8" x14ac:dyDescent="0.25">
      <c r="A764" s="254" t="str">
        <f t="shared" ca="1" si="77"/>
        <v/>
      </c>
      <c r="B764" s="255"/>
      <c r="C764" s="256"/>
      <c r="D764" s="257" t="str">
        <f t="shared" si="73"/>
        <v/>
      </c>
      <c r="E764" s="253"/>
      <c r="F764" s="257" t="str">
        <f t="shared" si="74"/>
        <v/>
      </c>
      <c r="G764" s="257" t="str">
        <f t="shared" si="75"/>
        <v/>
      </c>
      <c r="H764" s="257" t="str">
        <f t="shared" si="76"/>
        <v/>
      </c>
    </row>
    <row r="765" spans="1:8" x14ac:dyDescent="0.25">
      <c r="A765" s="254" t="str">
        <f t="shared" ca="1" si="77"/>
        <v/>
      </c>
      <c r="B765" s="255"/>
      <c r="C765" s="256"/>
      <c r="D765" s="257" t="str">
        <f t="shared" si="73"/>
        <v/>
      </c>
      <c r="E765" s="253"/>
      <c r="F765" s="257" t="str">
        <f t="shared" si="74"/>
        <v/>
      </c>
      <c r="G765" s="257" t="str">
        <f t="shared" si="75"/>
        <v/>
      </c>
      <c r="H765" s="257" t="str">
        <f t="shared" si="76"/>
        <v/>
      </c>
    </row>
    <row r="766" spans="1:8" x14ac:dyDescent="0.25">
      <c r="A766" s="254" t="str">
        <f t="shared" ca="1" si="77"/>
        <v/>
      </c>
      <c r="B766" s="255"/>
      <c r="C766" s="256"/>
      <c r="D766" s="257" t="str">
        <f t="shared" si="73"/>
        <v/>
      </c>
      <c r="E766" s="253"/>
      <c r="F766" s="257" t="str">
        <f t="shared" si="74"/>
        <v/>
      </c>
      <c r="G766" s="257" t="str">
        <f t="shared" si="75"/>
        <v/>
      </c>
      <c r="H766" s="257" t="str">
        <f t="shared" si="76"/>
        <v/>
      </c>
    </row>
    <row r="767" spans="1:8" x14ac:dyDescent="0.25">
      <c r="A767" s="254" t="str">
        <f t="shared" ca="1" si="77"/>
        <v/>
      </c>
      <c r="B767" s="255"/>
      <c r="C767" s="256"/>
      <c r="D767" s="257" t="str">
        <f t="shared" si="73"/>
        <v/>
      </c>
      <c r="E767" s="253"/>
      <c r="F767" s="257" t="str">
        <f t="shared" si="74"/>
        <v/>
      </c>
      <c r="G767" s="257" t="str">
        <f t="shared" si="75"/>
        <v/>
      </c>
      <c r="H767" s="257" t="str">
        <f t="shared" si="76"/>
        <v/>
      </c>
    </row>
    <row r="768" spans="1:8" x14ac:dyDescent="0.25">
      <c r="A768" s="254" t="str">
        <f t="shared" ca="1" si="77"/>
        <v/>
      </c>
      <c r="B768" s="255"/>
      <c r="C768" s="256"/>
      <c r="D768" s="257" t="str">
        <f t="shared" si="73"/>
        <v/>
      </c>
      <c r="E768" s="253"/>
      <c r="F768" s="257" t="str">
        <f t="shared" si="74"/>
        <v/>
      </c>
      <c r="G768" s="257" t="str">
        <f t="shared" si="75"/>
        <v/>
      </c>
      <c r="H768" s="257" t="str">
        <f t="shared" si="76"/>
        <v/>
      </c>
    </row>
    <row r="769" spans="1:8" x14ac:dyDescent="0.25">
      <c r="A769" s="254" t="str">
        <f t="shared" ca="1" si="77"/>
        <v/>
      </c>
      <c r="B769" s="255"/>
      <c r="C769" s="256"/>
      <c r="D769" s="257" t="str">
        <f t="shared" si="73"/>
        <v/>
      </c>
      <c r="E769" s="253"/>
      <c r="F769" s="257" t="str">
        <f t="shared" si="74"/>
        <v/>
      </c>
      <c r="G769" s="257" t="str">
        <f t="shared" si="75"/>
        <v/>
      </c>
      <c r="H769" s="257" t="str">
        <f t="shared" si="76"/>
        <v/>
      </c>
    </row>
    <row r="770" spans="1:8" x14ac:dyDescent="0.25">
      <c r="A770" s="254" t="str">
        <f t="shared" ca="1" si="77"/>
        <v/>
      </c>
      <c r="B770" s="255"/>
      <c r="C770" s="256"/>
      <c r="D770" s="257" t="str">
        <f t="shared" si="73"/>
        <v/>
      </c>
      <c r="E770" s="253"/>
      <c r="F770" s="257" t="str">
        <f t="shared" si="74"/>
        <v/>
      </c>
      <c r="G770" s="257" t="str">
        <f t="shared" si="75"/>
        <v/>
      </c>
      <c r="H770" s="257" t="str">
        <f t="shared" si="76"/>
        <v/>
      </c>
    </row>
    <row r="771" spans="1:8" x14ac:dyDescent="0.25">
      <c r="A771" s="254" t="str">
        <f t="shared" ca="1" si="77"/>
        <v/>
      </c>
      <c r="B771" s="255"/>
      <c r="C771" s="256"/>
      <c r="D771" s="257" t="str">
        <f t="shared" si="73"/>
        <v/>
      </c>
      <c r="E771" s="253"/>
      <c r="F771" s="257" t="str">
        <f t="shared" si="74"/>
        <v/>
      </c>
      <c r="G771" s="257" t="str">
        <f t="shared" si="75"/>
        <v/>
      </c>
      <c r="H771" s="257" t="str">
        <f t="shared" si="76"/>
        <v/>
      </c>
    </row>
    <row r="772" spans="1:8" x14ac:dyDescent="0.25">
      <c r="A772" s="254" t="str">
        <f t="shared" ca="1" si="77"/>
        <v/>
      </c>
      <c r="B772" s="255"/>
      <c r="C772" s="256"/>
      <c r="D772" s="257" t="str">
        <f t="shared" si="73"/>
        <v/>
      </c>
      <c r="E772" s="253"/>
      <c r="F772" s="257" t="str">
        <f t="shared" si="74"/>
        <v/>
      </c>
      <c r="G772" s="257" t="str">
        <f t="shared" si="75"/>
        <v/>
      </c>
      <c r="H772" s="257" t="str">
        <f t="shared" si="76"/>
        <v/>
      </c>
    </row>
    <row r="773" spans="1:8" x14ac:dyDescent="0.25">
      <c r="A773" s="254" t="str">
        <f t="shared" ca="1" si="77"/>
        <v/>
      </c>
      <c r="B773" s="255"/>
      <c r="C773" s="256"/>
      <c r="D773" s="257" t="str">
        <f t="shared" si="73"/>
        <v/>
      </c>
      <c r="E773" s="253"/>
      <c r="F773" s="257" t="str">
        <f t="shared" si="74"/>
        <v/>
      </c>
      <c r="G773" s="257" t="str">
        <f t="shared" si="75"/>
        <v/>
      </c>
      <c r="H773" s="257" t="str">
        <f t="shared" si="76"/>
        <v/>
      </c>
    </row>
    <row r="774" spans="1:8" x14ac:dyDescent="0.25">
      <c r="A774" s="254" t="str">
        <f t="shared" ca="1" si="77"/>
        <v/>
      </c>
      <c r="B774" s="255"/>
      <c r="C774" s="256"/>
      <c r="D774" s="257" t="str">
        <f t="shared" si="73"/>
        <v/>
      </c>
      <c r="E774" s="253"/>
      <c r="F774" s="257" t="str">
        <f t="shared" si="74"/>
        <v/>
      </c>
      <c r="G774" s="257" t="str">
        <f t="shared" si="75"/>
        <v/>
      </c>
      <c r="H774" s="257" t="str">
        <f t="shared" si="76"/>
        <v/>
      </c>
    </row>
    <row r="775" spans="1:8" x14ac:dyDescent="0.25">
      <c r="A775" s="254" t="str">
        <f t="shared" ca="1" si="77"/>
        <v/>
      </c>
      <c r="B775" s="255"/>
      <c r="C775" s="256"/>
      <c r="D775" s="257" t="str">
        <f t="shared" si="73"/>
        <v/>
      </c>
      <c r="E775" s="253"/>
      <c r="F775" s="257" t="str">
        <f t="shared" si="74"/>
        <v/>
      </c>
      <c r="G775" s="257" t="str">
        <f t="shared" si="75"/>
        <v/>
      </c>
      <c r="H775" s="257" t="str">
        <f t="shared" si="76"/>
        <v/>
      </c>
    </row>
    <row r="776" spans="1:8" x14ac:dyDescent="0.25">
      <c r="A776" s="254" t="str">
        <f t="shared" ca="1" si="77"/>
        <v/>
      </c>
      <c r="B776" s="255"/>
      <c r="C776" s="256"/>
      <c r="D776" s="257" t="str">
        <f t="shared" si="73"/>
        <v/>
      </c>
      <c r="E776" s="253"/>
      <c r="F776" s="257" t="str">
        <f t="shared" si="74"/>
        <v/>
      </c>
      <c r="G776" s="257" t="str">
        <f t="shared" si="75"/>
        <v/>
      </c>
      <c r="H776" s="257" t="str">
        <f t="shared" si="76"/>
        <v/>
      </c>
    </row>
    <row r="777" spans="1:8" x14ac:dyDescent="0.25">
      <c r="A777" s="254" t="str">
        <f t="shared" ca="1" si="77"/>
        <v/>
      </c>
      <c r="B777" s="255"/>
      <c r="C777" s="256"/>
      <c r="D777" s="257" t="str">
        <f t="shared" si="73"/>
        <v/>
      </c>
      <c r="E777" s="253"/>
      <c r="F777" s="257" t="str">
        <f t="shared" si="74"/>
        <v/>
      </c>
      <c r="G777" s="257" t="str">
        <f t="shared" si="75"/>
        <v/>
      </c>
      <c r="H777" s="257" t="str">
        <f t="shared" si="76"/>
        <v/>
      </c>
    </row>
    <row r="778" spans="1:8" x14ac:dyDescent="0.25">
      <c r="A778" s="254" t="str">
        <f t="shared" ca="1" si="77"/>
        <v/>
      </c>
      <c r="B778" s="255"/>
      <c r="C778" s="256"/>
      <c r="D778" s="257" t="str">
        <f t="shared" si="73"/>
        <v/>
      </c>
      <c r="E778" s="253"/>
      <c r="F778" s="257" t="str">
        <f t="shared" si="74"/>
        <v/>
      </c>
      <c r="G778" s="257" t="str">
        <f t="shared" si="75"/>
        <v/>
      </c>
      <c r="H778" s="257" t="str">
        <f t="shared" si="76"/>
        <v/>
      </c>
    </row>
    <row r="779" spans="1:8" x14ac:dyDescent="0.25">
      <c r="A779" s="254" t="str">
        <f t="shared" ca="1" si="77"/>
        <v/>
      </c>
      <c r="B779" s="255"/>
      <c r="C779" s="256"/>
      <c r="D779" s="257" t="str">
        <f t="shared" si="73"/>
        <v/>
      </c>
      <c r="E779" s="253"/>
      <c r="F779" s="257" t="str">
        <f t="shared" si="74"/>
        <v/>
      </c>
      <c r="G779" s="257" t="str">
        <f t="shared" si="75"/>
        <v/>
      </c>
      <c r="H779" s="257" t="str">
        <f t="shared" si="76"/>
        <v/>
      </c>
    </row>
    <row r="780" spans="1:8" x14ac:dyDescent="0.25">
      <c r="A780" s="254" t="str">
        <f t="shared" ca="1" si="77"/>
        <v/>
      </c>
      <c r="B780" s="255"/>
      <c r="C780" s="256"/>
      <c r="D780" s="257" t="str">
        <f t="shared" si="73"/>
        <v/>
      </c>
      <c r="E780" s="253"/>
      <c r="F780" s="257" t="str">
        <f t="shared" si="74"/>
        <v/>
      </c>
      <c r="G780" s="257" t="str">
        <f t="shared" si="75"/>
        <v/>
      </c>
      <c r="H780" s="257" t="str">
        <f t="shared" si="76"/>
        <v/>
      </c>
    </row>
    <row r="781" spans="1:8" x14ac:dyDescent="0.25">
      <c r="A781" s="254" t="str">
        <f t="shared" ca="1" si="77"/>
        <v/>
      </c>
      <c r="B781" s="255"/>
      <c r="C781" s="256"/>
      <c r="D781" s="257" t="str">
        <f t="shared" si="73"/>
        <v/>
      </c>
      <c r="E781" s="253"/>
      <c r="F781" s="257" t="str">
        <f t="shared" si="74"/>
        <v/>
      </c>
      <c r="G781" s="257" t="str">
        <f t="shared" si="75"/>
        <v/>
      </c>
      <c r="H781" s="257" t="str">
        <f t="shared" si="76"/>
        <v/>
      </c>
    </row>
    <row r="782" spans="1:8" x14ac:dyDescent="0.25">
      <c r="A782" s="254" t="str">
        <f t="shared" ca="1" si="77"/>
        <v/>
      </c>
      <c r="B782" s="255"/>
      <c r="C782" s="256"/>
      <c r="D782" s="257" t="str">
        <f t="shared" si="73"/>
        <v/>
      </c>
      <c r="E782" s="253"/>
      <c r="F782" s="257" t="str">
        <f t="shared" si="74"/>
        <v/>
      </c>
      <c r="G782" s="257" t="str">
        <f t="shared" si="75"/>
        <v/>
      </c>
      <c r="H782" s="257" t="str">
        <f t="shared" si="76"/>
        <v/>
      </c>
    </row>
    <row r="783" spans="1:8" x14ac:dyDescent="0.25">
      <c r="A783" s="254" t="str">
        <f t="shared" ca="1" si="77"/>
        <v/>
      </c>
      <c r="B783" s="255"/>
      <c r="C783" s="256"/>
      <c r="D783" s="257" t="str">
        <f t="shared" si="73"/>
        <v/>
      </c>
      <c r="E783" s="253"/>
      <c r="F783" s="257" t="str">
        <f t="shared" si="74"/>
        <v/>
      </c>
      <c r="G783" s="257" t="str">
        <f t="shared" si="75"/>
        <v/>
      </c>
      <c r="H783" s="257" t="str">
        <f t="shared" si="76"/>
        <v/>
      </c>
    </row>
    <row r="784" spans="1:8" x14ac:dyDescent="0.25">
      <c r="A784" s="254" t="str">
        <f t="shared" ca="1" si="77"/>
        <v/>
      </c>
      <c r="B784" s="255"/>
      <c r="C784" s="256"/>
      <c r="D784" s="257" t="str">
        <f t="shared" si="73"/>
        <v/>
      </c>
      <c r="E784" s="253"/>
      <c r="F784" s="257" t="str">
        <f t="shared" si="74"/>
        <v/>
      </c>
      <c r="G784" s="257" t="str">
        <f t="shared" si="75"/>
        <v/>
      </c>
      <c r="H784" s="257" t="str">
        <f t="shared" si="76"/>
        <v/>
      </c>
    </row>
    <row r="785" spans="1:8" x14ac:dyDescent="0.25">
      <c r="A785" s="254" t="str">
        <f t="shared" ca="1" si="77"/>
        <v/>
      </c>
      <c r="B785" s="255"/>
      <c r="C785" s="256"/>
      <c r="D785" s="257" t="str">
        <f t="shared" si="73"/>
        <v/>
      </c>
      <c r="E785" s="253"/>
      <c r="F785" s="257" t="str">
        <f t="shared" si="74"/>
        <v/>
      </c>
      <c r="G785" s="257" t="str">
        <f t="shared" si="75"/>
        <v/>
      </c>
      <c r="H785" s="257" t="str">
        <f t="shared" si="76"/>
        <v/>
      </c>
    </row>
    <row r="786" spans="1:8" x14ac:dyDescent="0.25">
      <c r="A786" s="254" t="str">
        <f t="shared" ca="1" si="77"/>
        <v/>
      </c>
      <c r="B786" s="255"/>
      <c r="C786" s="256"/>
      <c r="D786" s="257" t="str">
        <f t="shared" si="73"/>
        <v/>
      </c>
      <c r="E786" s="253"/>
      <c r="F786" s="257" t="str">
        <f t="shared" si="74"/>
        <v/>
      </c>
      <c r="G786" s="257" t="str">
        <f t="shared" si="75"/>
        <v/>
      </c>
      <c r="H786" s="257" t="str">
        <f t="shared" si="76"/>
        <v/>
      </c>
    </row>
    <row r="787" spans="1:8" x14ac:dyDescent="0.25">
      <c r="A787" s="254" t="str">
        <f t="shared" ca="1" si="77"/>
        <v/>
      </c>
      <c r="B787" s="255"/>
      <c r="C787" s="256"/>
      <c r="D787" s="257" t="str">
        <f t="shared" ref="D787:D798" si="78">IF(B787="","",ROUND((B787-B786)*$H$9*G786,2))</f>
        <v/>
      </c>
      <c r="E787" s="253"/>
      <c r="F787" s="257" t="str">
        <f t="shared" ref="F787:F798" si="79">IF(B787="","",IF(C787&gt;F786+D787,0,F786+D787-C787))</f>
        <v/>
      </c>
      <c r="G787" s="257" t="str">
        <f t="shared" ref="G787:G798" si="80">IF(B787="","",IF(C787&gt;D787+F786,G786+F786+D787-C787,G786))</f>
        <v/>
      </c>
      <c r="H787" s="257" t="str">
        <f t="shared" ref="H787:H798" si="81">IF(B787="","",G787+F787)</f>
        <v/>
      </c>
    </row>
    <row r="788" spans="1:8" x14ac:dyDescent="0.25">
      <c r="A788" s="254" t="str">
        <f t="shared" ca="1" si="77"/>
        <v/>
      </c>
      <c r="B788" s="255"/>
      <c r="C788" s="256"/>
      <c r="D788" s="257" t="str">
        <f t="shared" si="78"/>
        <v/>
      </c>
      <c r="E788" s="253"/>
      <c r="F788" s="257" t="str">
        <f t="shared" si="79"/>
        <v/>
      </c>
      <c r="G788" s="257" t="str">
        <f t="shared" si="80"/>
        <v/>
      </c>
      <c r="H788" s="257" t="str">
        <f t="shared" si="81"/>
        <v/>
      </c>
    </row>
    <row r="789" spans="1:8" x14ac:dyDescent="0.25">
      <c r="A789" s="254" t="str">
        <f t="shared" ca="1" si="77"/>
        <v/>
      </c>
      <c r="B789" s="255"/>
      <c r="C789" s="256"/>
      <c r="D789" s="257" t="str">
        <f t="shared" si="78"/>
        <v/>
      </c>
      <c r="E789" s="253"/>
      <c r="F789" s="257" t="str">
        <f t="shared" si="79"/>
        <v/>
      </c>
      <c r="G789" s="257" t="str">
        <f t="shared" si="80"/>
        <v/>
      </c>
      <c r="H789" s="257" t="str">
        <f t="shared" si="81"/>
        <v/>
      </c>
    </row>
    <row r="790" spans="1:8" x14ac:dyDescent="0.25">
      <c r="A790" s="254" t="str">
        <f t="shared" ca="1" si="77"/>
        <v/>
      </c>
      <c r="B790" s="255"/>
      <c r="C790" s="256"/>
      <c r="D790" s="257" t="str">
        <f t="shared" si="78"/>
        <v/>
      </c>
      <c r="E790" s="253"/>
      <c r="F790" s="257" t="str">
        <f t="shared" si="79"/>
        <v/>
      </c>
      <c r="G790" s="257" t="str">
        <f t="shared" si="80"/>
        <v/>
      </c>
      <c r="H790" s="257" t="str">
        <f t="shared" si="81"/>
        <v/>
      </c>
    </row>
    <row r="791" spans="1:8" x14ac:dyDescent="0.25">
      <c r="A791" s="254" t="str">
        <f t="shared" ca="1" si="77"/>
        <v/>
      </c>
      <c r="B791" s="255"/>
      <c r="C791" s="256"/>
      <c r="D791" s="257" t="str">
        <f t="shared" si="78"/>
        <v/>
      </c>
      <c r="E791" s="253"/>
      <c r="F791" s="257" t="str">
        <f t="shared" si="79"/>
        <v/>
      </c>
      <c r="G791" s="257" t="str">
        <f t="shared" si="80"/>
        <v/>
      </c>
      <c r="H791" s="257" t="str">
        <f t="shared" si="81"/>
        <v/>
      </c>
    </row>
    <row r="792" spans="1:8" x14ac:dyDescent="0.25">
      <c r="A792" s="254" t="str">
        <f t="shared" ca="1" si="77"/>
        <v/>
      </c>
      <c r="B792" s="255"/>
      <c r="C792" s="256"/>
      <c r="D792" s="257" t="str">
        <f t="shared" si="78"/>
        <v/>
      </c>
      <c r="E792" s="253"/>
      <c r="F792" s="257" t="str">
        <f t="shared" si="79"/>
        <v/>
      </c>
      <c r="G792" s="257" t="str">
        <f t="shared" si="80"/>
        <v/>
      </c>
      <c r="H792" s="257" t="str">
        <f t="shared" si="81"/>
        <v/>
      </c>
    </row>
    <row r="793" spans="1:8" x14ac:dyDescent="0.25">
      <c r="A793" s="254" t="str">
        <f t="shared" ca="1" si="77"/>
        <v/>
      </c>
      <c r="B793" s="255"/>
      <c r="C793" s="256"/>
      <c r="D793" s="257" t="str">
        <f t="shared" si="78"/>
        <v/>
      </c>
      <c r="E793" s="253"/>
      <c r="F793" s="257" t="str">
        <f t="shared" si="79"/>
        <v/>
      </c>
      <c r="G793" s="257" t="str">
        <f t="shared" si="80"/>
        <v/>
      </c>
      <c r="H793" s="257" t="str">
        <f t="shared" si="81"/>
        <v/>
      </c>
    </row>
    <row r="794" spans="1:8" x14ac:dyDescent="0.25">
      <c r="A794" s="254" t="str">
        <f t="shared" ca="1" si="77"/>
        <v/>
      </c>
      <c r="B794" s="255"/>
      <c r="C794" s="256"/>
      <c r="D794" s="257" t="str">
        <f t="shared" si="78"/>
        <v/>
      </c>
      <c r="E794" s="253"/>
      <c r="F794" s="257" t="str">
        <f t="shared" si="79"/>
        <v/>
      </c>
      <c r="G794" s="257" t="str">
        <f t="shared" si="80"/>
        <v/>
      </c>
      <c r="H794" s="257" t="str">
        <f t="shared" si="81"/>
        <v/>
      </c>
    </row>
    <row r="795" spans="1:8" x14ac:dyDescent="0.25">
      <c r="A795" s="254" t="str">
        <f t="shared" ca="1" si="77"/>
        <v/>
      </c>
      <c r="B795" s="255"/>
      <c r="C795" s="256"/>
      <c r="D795" s="257" t="str">
        <f t="shared" si="78"/>
        <v/>
      </c>
      <c r="E795" s="253"/>
      <c r="F795" s="257" t="str">
        <f t="shared" si="79"/>
        <v/>
      </c>
      <c r="G795" s="257" t="str">
        <f t="shared" si="80"/>
        <v/>
      </c>
      <c r="H795" s="257" t="str">
        <f t="shared" si="81"/>
        <v/>
      </c>
    </row>
    <row r="796" spans="1:8" x14ac:dyDescent="0.25">
      <c r="A796" s="254" t="str">
        <f t="shared" ca="1" si="77"/>
        <v/>
      </c>
      <c r="B796" s="255"/>
      <c r="C796" s="256"/>
      <c r="D796" s="257" t="str">
        <f t="shared" si="78"/>
        <v/>
      </c>
      <c r="E796" s="253"/>
      <c r="F796" s="257" t="str">
        <f t="shared" si="79"/>
        <v/>
      </c>
      <c r="G796" s="257" t="str">
        <f t="shared" si="80"/>
        <v/>
      </c>
      <c r="H796" s="257" t="str">
        <f t="shared" si="81"/>
        <v/>
      </c>
    </row>
    <row r="797" spans="1:8" x14ac:dyDescent="0.25">
      <c r="A797" s="254" t="str">
        <f t="shared" ca="1" si="77"/>
        <v/>
      </c>
      <c r="B797" s="255"/>
      <c r="C797" s="256"/>
      <c r="D797" s="257" t="str">
        <f t="shared" si="78"/>
        <v/>
      </c>
      <c r="E797" s="253"/>
      <c r="F797" s="257" t="str">
        <f t="shared" si="79"/>
        <v/>
      </c>
      <c r="G797" s="257" t="str">
        <f t="shared" si="80"/>
        <v/>
      </c>
      <c r="H797" s="257" t="str">
        <f t="shared" si="81"/>
        <v/>
      </c>
    </row>
    <row r="798" spans="1:8" x14ac:dyDescent="0.25">
      <c r="A798" s="254" t="str">
        <f t="shared" ca="1" si="77"/>
        <v/>
      </c>
      <c r="B798" s="255"/>
      <c r="C798" s="256"/>
      <c r="D798" s="257" t="str">
        <f t="shared" si="78"/>
        <v/>
      </c>
      <c r="E798" s="253"/>
      <c r="F798" s="257" t="str">
        <f t="shared" si="79"/>
        <v/>
      </c>
      <c r="G798" s="257" t="str">
        <f t="shared" si="80"/>
        <v/>
      </c>
      <c r="H798" s="257" t="str">
        <f t="shared" si="81"/>
        <v/>
      </c>
    </row>
    <row r="799" spans="1:8" x14ac:dyDescent="0.25">
      <c r="A799" s="264" t="s">
        <v>355</v>
      </c>
      <c r="B799" s="264"/>
      <c r="C799" s="264"/>
      <c r="D799" s="265"/>
      <c r="E799" s="265"/>
      <c r="F799" s="265"/>
      <c r="G799" s="265"/>
      <c r="H799" s="265"/>
    </row>
  </sheetData>
  <mergeCells count="3">
    <mergeCell ref="K2:K15"/>
    <mergeCell ref="C4:D4"/>
    <mergeCell ref="A16:D16"/>
  </mergeCells>
  <hyperlinks>
    <hyperlink ref="A2" r:id="rId1" xr:uid="{8D58E8E5-9034-4E58-B38E-0734976B7DC3}"/>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9C330-9325-48B8-8C00-BE78497E894C}">
  <sheetPr codeName="Sheet19">
    <tabColor rgb="FF0070C0"/>
  </sheetPr>
  <dimension ref="A1:EA799"/>
  <sheetViews>
    <sheetView showGridLines="0" topLeftCell="J1" zoomScale="80" zoomScaleNormal="80" workbookViewId="0">
      <selection activeCell="L29" sqref="L29"/>
    </sheetView>
  </sheetViews>
  <sheetFormatPr defaultColWidth="8.5546875" defaultRowHeight="13.2" x14ac:dyDescent="0.25"/>
  <cols>
    <col min="1" max="1" width="5.33203125" style="220" customWidth="1"/>
    <col min="2" max="2" width="16.5546875" style="220" customWidth="1"/>
    <col min="3" max="3" width="11.33203125" style="220" customWidth="1"/>
    <col min="4" max="4" width="14.6640625" style="220" customWidth="1"/>
    <col min="5" max="5" width="10.88671875" style="220" customWidth="1"/>
    <col min="6" max="6" width="10" style="220" customWidth="1"/>
    <col min="7" max="7" width="12.44140625" style="220" customWidth="1"/>
    <col min="8" max="8" width="14.6640625" style="220" customWidth="1"/>
    <col min="9" max="10" width="10.5546875" style="220" customWidth="1"/>
    <col min="11" max="11" width="48.109375" style="220" customWidth="1"/>
    <col min="12" max="12" width="13.88671875" style="220" customWidth="1"/>
    <col min="13" max="14" width="11" style="220" customWidth="1"/>
    <col min="15" max="131" width="10.5546875" style="220" bestFit="1" customWidth="1"/>
    <col min="132" max="16384" width="8.5546875" style="220"/>
  </cols>
  <sheetData>
    <row r="1" spans="1:11" ht="30" customHeight="1" x14ac:dyDescent="0.4">
      <c r="A1" s="217" t="s">
        <v>313</v>
      </c>
      <c r="B1" s="218"/>
      <c r="C1" s="218"/>
      <c r="D1" s="218"/>
      <c r="E1" s="218"/>
      <c r="F1" s="218"/>
      <c r="G1" s="219"/>
      <c r="H1" s="219"/>
      <c r="K1" s="221" t="s">
        <v>314</v>
      </c>
    </row>
    <row r="2" spans="1:11" ht="12.75" customHeight="1" x14ac:dyDescent="0.25">
      <c r="A2" s="222" t="s">
        <v>315</v>
      </c>
      <c r="H2" s="223" t="str">
        <f ca="1">"© 2008-" &amp; YEAR(TODAY()) &amp; " Vertex42 LLC"</f>
        <v>© 2008-2024 Vertex42 LLC</v>
      </c>
      <c r="K2" s="1785" t="s">
        <v>316</v>
      </c>
    </row>
    <row r="3" spans="1:11" x14ac:dyDescent="0.25">
      <c r="A3" s="222"/>
      <c r="H3" s="223"/>
      <c r="K3" s="1786"/>
    </row>
    <row r="4" spans="1:11" ht="15.6" x14ac:dyDescent="0.3">
      <c r="B4" s="224" t="s">
        <v>317</v>
      </c>
      <c r="C4" s="1787"/>
      <c r="D4" s="1787"/>
      <c r="H4" s="225" t="s">
        <v>318</v>
      </c>
      <c r="K4" s="1786"/>
    </row>
    <row r="5" spans="1:11" x14ac:dyDescent="0.25">
      <c r="C5" s="220" t="s">
        <v>319</v>
      </c>
      <c r="H5" s="226" t="s">
        <v>320</v>
      </c>
      <c r="K5" s="1786"/>
    </row>
    <row r="6" spans="1:11" x14ac:dyDescent="0.25">
      <c r="C6" s="227" t="s">
        <v>321</v>
      </c>
      <c r="H6" s="226" t="s">
        <v>321</v>
      </c>
      <c r="K6" s="1786"/>
    </row>
    <row r="7" spans="1:11" x14ac:dyDescent="0.25">
      <c r="K7" s="1786"/>
    </row>
    <row r="8" spans="1:11" ht="13.8" x14ac:dyDescent="0.25">
      <c r="A8" s="228" t="s">
        <v>322</v>
      </c>
      <c r="B8" s="229"/>
      <c r="C8" s="229"/>
      <c r="D8" s="229"/>
      <c r="E8" s="230" t="s">
        <v>323</v>
      </c>
      <c r="F8" s="228" t="s">
        <v>324</v>
      </c>
      <c r="G8" s="231"/>
      <c r="H8" s="231"/>
      <c r="K8" s="1786"/>
    </row>
    <row r="9" spans="1:11" ht="15" customHeight="1" x14ac:dyDescent="0.25">
      <c r="A9" s="232"/>
      <c r="B9" s="232"/>
      <c r="C9" s="233" t="s">
        <v>325</v>
      </c>
      <c r="D9" s="887">
        <f>'Sources and Uses'!C4</f>
        <v>500</v>
      </c>
      <c r="F9" s="232"/>
      <c r="G9" s="233" t="s">
        <v>326</v>
      </c>
      <c r="H9" s="235">
        <f>D10/D12</f>
        <v>1.6438356164383562E-4</v>
      </c>
      <c r="K9" s="1786"/>
    </row>
    <row r="10" spans="1:11" ht="15" customHeight="1" x14ac:dyDescent="0.25">
      <c r="A10" s="232"/>
      <c r="B10" s="232"/>
      <c r="C10" s="233" t="s">
        <v>328</v>
      </c>
      <c r="D10" s="236">
        <v>0.06</v>
      </c>
      <c r="F10" s="232"/>
      <c r="G10" s="233" t="s">
        <v>331</v>
      </c>
      <c r="H10" s="233">
        <f>5*12</f>
        <v>60</v>
      </c>
      <c r="K10" s="1786"/>
    </row>
    <row r="11" spans="1:11" ht="15" customHeight="1" x14ac:dyDescent="0.25">
      <c r="A11" s="232"/>
      <c r="B11" s="232"/>
      <c r="C11" s="233" t="s">
        <v>332</v>
      </c>
      <c r="D11" s="238">
        <v>45077</v>
      </c>
      <c r="F11" s="232"/>
      <c r="G11" s="233" t="s">
        <v>333</v>
      </c>
      <c r="H11" s="888">
        <f ca="1">SUM(C19:C798)</f>
        <v>577.42000000000007</v>
      </c>
      <c r="K11" s="1786"/>
    </row>
    <row r="12" spans="1:11" ht="15" customHeight="1" x14ac:dyDescent="0.25">
      <c r="A12" s="232"/>
      <c r="B12" s="232"/>
      <c r="C12" s="233" t="s">
        <v>334</v>
      </c>
      <c r="D12" s="239">
        <v>365</v>
      </c>
      <c r="F12" s="232"/>
      <c r="G12" s="233" t="s">
        <v>335</v>
      </c>
      <c r="H12" s="888">
        <f ca="1">SUM(D18:D798)</f>
        <v>77.42</v>
      </c>
      <c r="K12" s="1786"/>
    </row>
    <row r="13" spans="1:11" ht="15" customHeight="1" x14ac:dyDescent="0.25">
      <c r="G13" s="220" t="s">
        <v>337</v>
      </c>
      <c r="H13" s="220">
        <v>60</v>
      </c>
      <c r="K13" s="1786"/>
    </row>
    <row r="14" spans="1:11" ht="15" x14ac:dyDescent="0.25">
      <c r="C14" s="240" t="s">
        <v>336</v>
      </c>
      <c r="D14" s="241">
        <f>PMT(D10/12,H10,D9,0,1)</f>
        <v>-9.618309218620853</v>
      </c>
      <c r="K14" s="1786"/>
    </row>
    <row r="15" spans="1:11" x14ac:dyDescent="0.25">
      <c r="K15" s="1786"/>
    </row>
    <row r="16" spans="1:11" ht="15.6" x14ac:dyDescent="0.3">
      <c r="A16" s="1788" t="s">
        <v>338</v>
      </c>
      <c r="B16" s="1788"/>
      <c r="C16" s="1788"/>
      <c r="D16" s="1788"/>
      <c r="E16" s="242"/>
      <c r="F16" s="242"/>
      <c r="G16" s="242"/>
      <c r="H16" s="223" t="s">
        <v>339</v>
      </c>
      <c r="K16" s="243" t="s">
        <v>340</v>
      </c>
    </row>
    <row r="17" spans="1:131" ht="30" customHeight="1" thickBot="1" x14ac:dyDescent="0.3">
      <c r="A17" s="244" t="s">
        <v>341</v>
      </c>
      <c r="B17" s="245" t="s">
        <v>342</v>
      </c>
      <c r="C17" s="245" t="s">
        <v>343</v>
      </c>
      <c r="D17" s="245" t="s">
        <v>344</v>
      </c>
      <c r="E17" s="245" t="s">
        <v>378</v>
      </c>
      <c r="F17" s="245" t="s">
        <v>345</v>
      </c>
      <c r="G17" s="245" t="s">
        <v>346</v>
      </c>
      <c r="H17" s="245" t="s">
        <v>347</v>
      </c>
      <c r="K17" s="246"/>
      <c r="M17" s="247"/>
    </row>
    <row r="18" spans="1:131" x14ac:dyDescent="0.25">
      <c r="A18" s="1302"/>
      <c r="B18" s="1303">
        <f>D11-1</f>
        <v>45076</v>
      </c>
      <c r="C18" s="1304" t="s">
        <v>348</v>
      </c>
      <c r="D18" s="1304" t="s">
        <v>348</v>
      </c>
      <c r="E18" s="1305"/>
      <c r="F18" s="1306">
        <v>0</v>
      </c>
      <c r="G18" s="1307">
        <f>$D$9</f>
        <v>500</v>
      </c>
      <c r="H18" s="1307">
        <f>F18+G18</f>
        <v>500</v>
      </c>
      <c r="I18" s="253"/>
      <c r="J18" s="253"/>
      <c r="L18" s="220">
        <v>2021</v>
      </c>
      <c r="M18" s="220">
        <f t="shared" ref="M18:W18" si="0">L18+1</f>
        <v>2022</v>
      </c>
      <c r="N18" s="220">
        <f t="shared" si="0"/>
        <v>2023</v>
      </c>
      <c r="O18" s="220">
        <f t="shared" si="0"/>
        <v>2024</v>
      </c>
      <c r="P18" s="220">
        <f t="shared" si="0"/>
        <v>2025</v>
      </c>
      <c r="Q18" s="220">
        <f t="shared" si="0"/>
        <v>2026</v>
      </c>
      <c r="R18" s="220">
        <f t="shared" si="0"/>
        <v>2027</v>
      </c>
      <c r="S18" s="220">
        <f t="shared" si="0"/>
        <v>2028</v>
      </c>
      <c r="T18" s="220">
        <f t="shared" si="0"/>
        <v>2029</v>
      </c>
      <c r="U18" s="220">
        <f t="shared" si="0"/>
        <v>2030</v>
      </c>
      <c r="V18" s="220">
        <f t="shared" si="0"/>
        <v>2031</v>
      </c>
      <c r="W18" s="220">
        <f t="shared" si="0"/>
        <v>2032</v>
      </c>
    </row>
    <row r="19" spans="1:131" x14ac:dyDescent="0.25">
      <c r="A19" s="254">
        <v>1</v>
      </c>
      <c r="B19" s="255">
        <f>IF(A19&lt;$H$10+1,DATE(YEAR(B18),MONTH(B18)+1,1),"")</f>
        <v>45078</v>
      </c>
      <c r="C19" s="256">
        <f>-D14</f>
        <v>9.618309218620853</v>
      </c>
      <c r="D19" s="257">
        <f t="shared" ref="D19:D82" si="1">IF(B19="","",ROUND((B19-B18)*$H$9*G18,2))</f>
        <v>0.16</v>
      </c>
      <c r="E19" s="253">
        <f>C19-D19</f>
        <v>9.4583092186208528</v>
      </c>
      <c r="F19" s="257">
        <f t="shared" ref="F19:F82" si="2">IF(B19="","",IF(C19&gt;F18+D19,0,F18+D19-C19))</f>
        <v>0</v>
      </c>
      <c r="G19" s="257">
        <f t="shared" ref="G19:G82" si="3">IF(B19="","",IF(C19&gt;D19+F18,G18+F18+D19-C19,G18))</f>
        <v>490.54169078137915</v>
      </c>
      <c r="H19" s="257">
        <f t="shared" ref="H19:H82" si="4">IF(B19="","",G19+F19)</f>
        <v>490.54169078137915</v>
      </c>
      <c r="I19" s="220">
        <f t="shared" ref="I19:I82" si="5">YEAR(B19)</f>
        <v>2023</v>
      </c>
      <c r="K19" s="226" t="s">
        <v>349</v>
      </c>
      <c r="L19" s="260">
        <v>0</v>
      </c>
      <c r="M19" s="258">
        <f t="shared" ref="M19:W19" si="6">L23</f>
        <v>500</v>
      </c>
      <c r="N19" s="258">
        <f t="shared" ca="1" si="6"/>
        <v>500</v>
      </c>
      <c r="O19" s="258">
        <f t="shared" ca="1" si="6"/>
        <v>447.04183546965402</v>
      </c>
      <c r="P19" s="258">
        <f t="shared" ca="1" si="6"/>
        <v>356.02212484620378</v>
      </c>
      <c r="Q19" s="258">
        <f t="shared" ca="1" si="6"/>
        <v>259.32241422275354</v>
      </c>
      <c r="R19" s="258">
        <f t="shared" ca="1" si="6"/>
        <v>156.6727035993033</v>
      </c>
      <c r="S19" s="258">
        <f t="shared" ca="1" si="6"/>
        <v>47.682992975853068</v>
      </c>
      <c r="T19" s="258">
        <f t="shared" ca="1" si="6"/>
        <v>0</v>
      </c>
      <c r="U19" s="258">
        <f t="shared" ca="1" si="6"/>
        <v>0</v>
      </c>
      <c r="V19" s="258">
        <f t="shared" ca="1" si="6"/>
        <v>0</v>
      </c>
      <c r="W19" s="258">
        <f t="shared" ca="1" si="6"/>
        <v>0</v>
      </c>
    </row>
    <row r="20" spans="1:131" x14ac:dyDescent="0.25">
      <c r="A20" s="254">
        <f t="shared" ref="A20:A36" ca="1" si="7">IF(OR(H19&lt;=0,H19=""),"",OFFSET(A20,-1,0,1,1)+1)</f>
        <v>2</v>
      </c>
      <c r="B20" s="255">
        <f t="shared" ref="B20:B83" ca="1" si="8">IF(A20&lt;$H$10+1,DATE(YEAR(B19),MONTH(B19)+1,1),"")</f>
        <v>45108</v>
      </c>
      <c r="C20" s="256">
        <f ca="1">IF(OR(A20=$H$10,A20=$H$13),D20+G19,IF(A20&lt;$H$10,C19,""))</f>
        <v>9.618309218620853</v>
      </c>
      <c r="D20" s="257">
        <f t="shared" ca="1" si="1"/>
        <v>2.42</v>
      </c>
      <c r="E20" s="253">
        <f t="shared" ref="E20:E78" ca="1" si="9">C20-D20</f>
        <v>7.198309218620853</v>
      </c>
      <c r="F20" s="257">
        <f t="shared" ca="1" si="2"/>
        <v>0</v>
      </c>
      <c r="G20" s="257">
        <f t="shared" ca="1" si="3"/>
        <v>483.34338156275828</v>
      </c>
      <c r="H20" s="257">
        <f t="shared" ca="1" si="4"/>
        <v>483.34338156275828</v>
      </c>
      <c r="I20" s="220">
        <f t="shared" ca="1" si="5"/>
        <v>2023</v>
      </c>
      <c r="K20" s="226" t="s">
        <v>343</v>
      </c>
      <c r="L20" s="259">
        <f ca="1">SUMIF($I$19:$I$138,L18,$C$19:$C$138)</f>
        <v>0</v>
      </c>
      <c r="M20" s="259">
        <f t="shared" ref="M20:W20" ca="1" si="10">IF(M18=YEAR($D$11)+$H$10/12,L23+M21,IF(M19&lt;SUMIF($I$19:$I$138,M18,$C$19:$C$138),M19+M21,SUMIF($I$19:$I$138,M18,$C$19:$C$138)))</f>
        <v>0</v>
      </c>
      <c r="N20" s="259">
        <f t="shared" ca="1" si="10"/>
        <v>67.328164530345973</v>
      </c>
      <c r="O20" s="259">
        <f t="shared" ca="1" si="10"/>
        <v>115.41971062345023</v>
      </c>
      <c r="P20" s="259">
        <f t="shared" ca="1" si="10"/>
        <v>115.41971062345023</v>
      </c>
      <c r="Q20" s="259">
        <f t="shared" ca="1" si="10"/>
        <v>115.41971062345023</v>
      </c>
      <c r="R20" s="259">
        <f t="shared" ca="1" si="10"/>
        <v>115.41971062345023</v>
      </c>
      <c r="S20" s="259">
        <f t="shared" ca="1" si="10"/>
        <v>48.412992975853065</v>
      </c>
      <c r="T20" s="259">
        <f t="shared" ca="1" si="10"/>
        <v>0</v>
      </c>
      <c r="U20" s="259">
        <f t="shared" ca="1" si="10"/>
        <v>0</v>
      </c>
      <c r="V20" s="259">
        <f t="shared" ca="1" si="10"/>
        <v>0</v>
      </c>
      <c r="W20" s="259">
        <f t="shared" ca="1" si="10"/>
        <v>0</v>
      </c>
    </row>
    <row r="21" spans="1:131" x14ac:dyDescent="0.25">
      <c r="A21" s="254">
        <f t="shared" ca="1" si="7"/>
        <v>3</v>
      </c>
      <c r="B21" s="255">
        <f t="shared" ca="1" si="8"/>
        <v>45139</v>
      </c>
      <c r="C21" s="256">
        <f ca="1">IF(OR(A21=$H$10,A21=$H$13),D21+G20,IF(A21&lt;$H$10,C20,""))</f>
        <v>9.618309218620853</v>
      </c>
      <c r="D21" s="257">
        <f t="shared" ca="1" si="1"/>
        <v>2.46</v>
      </c>
      <c r="E21" s="253">
        <f t="shared" ca="1" si="9"/>
        <v>7.158309218620853</v>
      </c>
      <c r="F21" s="257">
        <f ca="1">IF(B21="","",IF(C21&gt;F20+D21,0,F20+D21-C21))</f>
        <v>0</v>
      </c>
      <c r="G21" s="257">
        <f t="shared" ca="1" si="3"/>
        <v>476.18507234413738</v>
      </c>
      <c r="H21" s="257">
        <f t="shared" ca="1" si="4"/>
        <v>476.18507234413738</v>
      </c>
      <c r="I21" s="220">
        <f t="shared" ca="1" si="5"/>
        <v>2023</v>
      </c>
      <c r="K21" s="226" t="s">
        <v>350</v>
      </c>
      <c r="L21" s="260">
        <f ca="1">SUMIF($I$19:$I$138,L18,$D$19:$D$138)</f>
        <v>0</v>
      </c>
      <c r="M21" s="260">
        <f t="shared" ref="M21:W21" ca="1" si="11">IF(SUMIF($I$19:$I$138,M18,$D$19:$D$138)&gt;0,SUMIF($I$19:$I$138,M18,$D$19:$D$138),0)</f>
        <v>0</v>
      </c>
      <c r="N21" s="260">
        <f t="shared" ca="1" si="11"/>
        <v>14.370000000000001</v>
      </c>
      <c r="O21" s="260">
        <f t="shared" ca="1" si="11"/>
        <v>24.400000000000002</v>
      </c>
      <c r="P21" s="260">
        <f t="shared" ca="1" si="11"/>
        <v>18.72</v>
      </c>
      <c r="Q21" s="260">
        <f t="shared" ca="1" si="11"/>
        <v>12.770000000000001</v>
      </c>
      <c r="R21" s="260">
        <f t="shared" ca="1" si="11"/>
        <v>6.43</v>
      </c>
      <c r="S21" s="260">
        <f t="shared" ca="1" si="11"/>
        <v>0.73000000000000009</v>
      </c>
      <c r="T21" s="260">
        <f t="shared" ca="1" si="11"/>
        <v>0</v>
      </c>
      <c r="U21" s="260">
        <f t="shared" ca="1" si="11"/>
        <v>0</v>
      </c>
      <c r="V21" s="260">
        <f t="shared" ca="1" si="11"/>
        <v>0</v>
      </c>
      <c r="W21" s="260">
        <f t="shared" ca="1" si="11"/>
        <v>0</v>
      </c>
    </row>
    <row r="22" spans="1:131" x14ac:dyDescent="0.25">
      <c r="A22" s="254">
        <f t="shared" ca="1" si="7"/>
        <v>4</v>
      </c>
      <c r="B22" s="255">
        <f t="shared" ca="1" si="8"/>
        <v>45170</v>
      </c>
      <c r="C22" s="256">
        <f ca="1">IF(OR(A22=$H$10,A22=$H$13),D22+G21,IF(A22&lt;$H$10,C21,""))</f>
        <v>9.618309218620853</v>
      </c>
      <c r="D22" s="257">
        <f ca="1">IF(B22="","",ROUND((B22-B21)*$H$9*G21,2))</f>
        <v>2.4300000000000002</v>
      </c>
      <c r="E22" s="253">
        <f t="shared" ca="1" si="9"/>
        <v>7.1883092186208533</v>
      </c>
      <c r="F22" s="257">
        <f t="shared" ca="1" si="2"/>
        <v>0</v>
      </c>
      <c r="G22" s="257">
        <f ca="1">IF(B22="","",IF(C22&gt;D22+F21,G21+F21+D22-C22,G21))</f>
        <v>468.99676312551651</v>
      </c>
      <c r="H22" s="257">
        <f t="shared" ca="1" si="4"/>
        <v>468.99676312551651</v>
      </c>
      <c r="I22" s="220">
        <f t="shared" ca="1" si="5"/>
        <v>2023</v>
      </c>
      <c r="K22" s="226" t="s">
        <v>532</v>
      </c>
      <c r="L22" s="258">
        <f t="shared" ref="L22:W22" ca="1" si="12">L20-L21</f>
        <v>0</v>
      </c>
      <c r="M22" s="258">
        <f t="shared" ca="1" si="12"/>
        <v>0</v>
      </c>
      <c r="N22" s="258">
        <f t="shared" ca="1" si="12"/>
        <v>52.958164530345968</v>
      </c>
      <c r="O22" s="258">
        <f t="shared" ca="1" si="12"/>
        <v>91.019710623450223</v>
      </c>
      <c r="P22" s="258">
        <f t="shared" ca="1" si="12"/>
        <v>96.69971062345023</v>
      </c>
      <c r="Q22" s="258">
        <f t="shared" ca="1" si="12"/>
        <v>102.64971062345023</v>
      </c>
      <c r="R22" s="258">
        <f t="shared" ca="1" si="12"/>
        <v>108.98971062345024</v>
      </c>
      <c r="S22" s="258">
        <f t="shared" ca="1" si="12"/>
        <v>47.682992975853068</v>
      </c>
      <c r="T22" s="258">
        <f t="shared" ca="1" si="12"/>
        <v>0</v>
      </c>
      <c r="U22" s="258">
        <f t="shared" ca="1" si="12"/>
        <v>0</v>
      </c>
      <c r="V22" s="258">
        <f t="shared" ca="1" si="12"/>
        <v>0</v>
      </c>
      <c r="W22" s="258">
        <f t="shared" ca="1" si="12"/>
        <v>0</v>
      </c>
    </row>
    <row r="23" spans="1:131" x14ac:dyDescent="0.25">
      <c r="A23" s="254">
        <f t="shared" ca="1" si="7"/>
        <v>5</v>
      </c>
      <c r="B23" s="255">
        <f t="shared" ca="1" si="8"/>
        <v>45200</v>
      </c>
      <c r="C23" s="256">
        <f ca="1">IF(OR(A23=$H$10,A23=$H$13),D23+G22,IF(A23&lt;$H$10,C22,""))</f>
        <v>9.618309218620853</v>
      </c>
      <c r="D23" s="257">
        <f t="shared" ca="1" si="1"/>
        <v>2.31</v>
      </c>
      <c r="E23" s="253">
        <f t="shared" ca="1" si="9"/>
        <v>7.3083092186208525</v>
      </c>
      <c r="F23" s="257">
        <f t="shared" ca="1" si="2"/>
        <v>0</v>
      </c>
      <c r="G23" s="257">
        <f t="shared" ca="1" si="3"/>
        <v>461.68845390689563</v>
      </c>
      <c r="H23" s="257">
        <f t="shared" ca="1" si="4"/>
        <v>461.68845390689563</v>
      </c>
      <c r="I23" s="220">
        <f t="shared" ca="1" si="5"/>
        <v>2023</v>
      </c>
      <c r="J23" s="253">
        <f ca="1">SUM(C19:C23)</f>
        <v>48.091546093104263</v>
      </c>
      <c r="K23" s="226" t="s">
        <v>353</v>
      </c>
      <c r="L23" s="258">
        <f>G18</f>
        <v>500</v>
      </c>
      <c r="M23" s="258">
        <f t="shared" ref="M23:W23" ca="1" si="13">M19-M22</f>
        <v>500</v>
      </c>
      <c r="N23" s="258">
        <f t="shared" ca="1" si="13"/>
        <v>447.04183546965402</v>
      </c>
      <c r="O23" s="258">
        <f t="shared" ca="1" si="13"/>
        <v>356.02212484620378</v>
      </c>
      <c r="P23" s="258">
        <f t="shared" ca="1" si="13"/>
        <v>259.32241422275354</v>
      </c>
      <c r="Q23" s="258">
        <f t="shared" ca="1" si="13"/>
        <v>156.6727035993033</v>
      </c>
      <c r="R23" s="258">
        <f t="shared" ca="1" si="13"/>
        <v>47.682992975853068</v>
      </c>
      <c r="S23" s="258">
        <f t="shared" ca="1" si="13"/>
        <v>0</v>
      </c>
      <c r="T23" s="258">
        <f t="shared" ca="1" si="13"/>
        <v>0</v>
      </c>
      <c r="U23" s="258">
        <f t="shared" ca="1" si="13"/>
        <v>0</v>
      </c>
      <c r="V23" s="258">
        <f t="shared" ca="1" si="13"/>
        <v>0</v>
      </c>
      <c r="W23" s="258">
        <f t="shared" ca="1" si="13"/>
        <v>0</v>
      </c>
    </row>
    <row r="24" spans="1:131" x14ac:dyDescent="0.25">
      <c r="A24" s="254">
        <f t="shared" ca="1" si="7"/>
        <v>6</v>
      </c>
      <c r="B24" s="255">
        <f t="shared" ca="1" si="8"/>
        <v>45231</v>
      </c>
      <c r="C24" s="256">
        <f t="shared" ref="C24:C32" ca="1" si="14">IF(OR(A24=$H$10,A24=$H$13),D24+G23,IF(A24&lt;$H$10,C23,""))</f>
        <v>9.618309218620853</v>
      </c>
      <c r="D24" s="257">
        <f t="shared" ca="1" si="1"/>
        <v>2.35</v>
      </c>
      <c r="E24" s="253">
        <f t="shared" ca="1" si="9"/>
        <v>7.2683092186208533</v>
      </c>
      <c r="F24" s="257">
        <f t="shared" ca="1" si="2"/>
        <v>0</v>
      </c>
      <c r="G24" s="257">
        <f t="shared" ca="1" si="3"/>
        <v>454.42014468827477</v>
      </c>
      <c r="H24" s="257">
        <f t="shared" ca="1" si="4"/>
        <v>454.42014468827477</v>
      </c>
      <c r="I24" s="220">
        <f t="shared" ca="1" si="5"/>
        <v>2023</v>
      </c>
      <c r="K24" s="261" t="s">
        <v>354</v>
      </c>
      <c r="L24" s="262">
        <v>0</v>
      </c>
      <c r="M24" s="262">
        <v>0</v>
      </c>
      <c r="N24" s="262">
        <v>0</v>
      </c>
      <c r="O24" s="262">
        <v>0</v>
      </c>
      <c r="P24" s="262">
        <v>0</v>
      </c>
      <c r="Q24" s="262">
        <v>0</v>
      </c>
      <c r="R24" s="262"/>
    </row>
    <row r="25" spans="1:131" x14ac:dyDescent="0.25">
      <c r="A25" s="254">
        <f t="shared" ca="1" si="7"/>
        <v>7</v>
      </c>
      <c r="B25" s="255">
        <f t="shared" ca="1" si="8"/>
        <v>45261</v>
      </c>
      <c r="C25" s="256">
        <f t="shared" ca="1" si="14"/>
        <v>9.618309218620853</v>
      </c>
      <c r="D25" s="257">
        <f t="shared" ca="1" si="1"/>
        <v>2.2400000000000002</v>
      </c>
      <c r="E25" s="253">
        <f t="shared" ca="1" si="9"/>
        <v>7.3783092186208528</v>
      </c>
      <c r="F25" s="257">
        <f t="shared" ca="1" si="2"/>
        <v>0</v>
      </c>
      <c r="G25" s="257">
        <f t="shared" ca="1" si="3"/>
        <v>447.0418354696539</v>
      </c>
      <c r="H25" s="257">
        <f t="shared" ca="1" si="4"/>
        <v>447.0418354696539</v>
      </c>
      <c r="I25" s="220">
        <f t="shared" ca="1" si="5"/>
        <v>2023</v>
      </c>
      <c r="K25" s="892"/>
      <c r="L25" s="220">
        <v>-24.029650617966269</v>
      </c>
      <c r="M25" s="220">
        <v>-56.235717621653464</v>
      </c>
      <c r="N25" s="220">
        <v>-31.512220076247672</v>
      </c>
      <c r="O25" s="220">
        <v>-6.6508553360682754</v>
      </c>
    </row>
    <row r="26" spans="1:131" x14ac:dyDescent="0.25">
      <c r="A26" s="254">
        <f t="shared" ca="1" si="7"/>
        <v>8</v>
      </c>
      <c r="B26" s="255">
        <f t="shared" ca="1" si="8"/>
        <v>45292</v>
      </c>
      <c r="C26" s="256">
        <f t="shared" ca="1" si="14"/>
        <v>9.618309218620853</v>
      </c>
      <c r="D26" s="257">
        <f t="shared" ca="1" si="1"/>
        <v>2.2799999999999998</v>
      </c>
      <c r="E26" s="253">
        <f t="shared" ca="1" si="9"/>
        <v>7.3383092186208536</v>
      </c>
      <c r="F26" s="257">
        <f t="shared" ca="1" si="2"/>
        <v>0</v>
      </c>
      <c r="G26" s="257">
        <f t="shared" ca="1" si="3"/>
        <v>439.703526251033</v>
      </c>
      <c r="H26" s="257">
        <f t="shared" ca="1" si="4"/>
        <v>439.703526251033</v>
      </c>
      <c r="I26" s="220">
        <f t="shared" ca="1" si="5"/>
        <v>2024</v>
      </c>
      <c r="K26" s="263"/>
    </row>
    <row r="27" spans="1:131" x14ac:dyDescent="0.25">
      <c r="A27" s="254">
        <f t="shared" ca="1" si="7"/>
        <v>9</v>
      </c>
      <c r="B27" s="255">
        <f t="shared" ca="1" si="8"/>
        <v>45323</v>
      </c>
      <c r="C27" s="256">
        <f t="shared" ca="1" si="14"/>
        <v>9.618309218620853</v>
      </c>
      <c r="D27" s="257">
        <f t="shared" ca="1" si="1"/>
        <v>2.2400000000000002</v>
      </c>
      <c r="E27" s="253">
        <f t="shared" ca="1" si="9"/>
        <v>7.3783092186208528</v>
      </c>
      <c r="F27" s="257">
        <f t="shared" ca="1" si="2"/>
        <v>0</v>
      </c>
      <c r="G27" s="257">
        <f ca="1">IF(B27="","",IF(C27&gt;D27+F26,G26+F26+D27-C27,G26))</f>
        <v>432.32521703241213</v>
      </c>
      <c r="H27" s="257">
        <f t="shared" ca="1" si="4"/>
        <v>432.32521703241213</v>
      </c>
      <c r="I27" s="220">
        <f t="shared" ca="1" si="5"/>
        <v>2024</v>
      </c>
    </row>
    <row r="28" spans="1:131" x14ac:dyDescent="0.25">
      <c r="A28" s="254">
        <f t="shared" ca="1" si="7"/>
        <v>10</v>
      </c>
      <c r="B28" s="255">
        <f t="shared" ca="1" si="8"/>
        <v>45352</v>
      </c>
      <c r="C28" s="256">
        <f ca="1">IF(OR(A28=$H$10,A28=$H$13),D28+G27,IF(A28&lt;$H$10,C27,""))</f>
        <v>9.618309218620853</v>
      </c>
      <c r="D28" s="257">
        <f t="shared" ca="1" si="1"/>
        <v>2.06</v>
      </c>
      <c r="E28" s="253">
        <f t="shared" ca="1" si="9"/>
        <v>7.5583092186208525</v>
      </c>
      <c r="F28" s="257">
        <f t="shared" ca="1" si="2"/>
        <v>0</v>
      </c>
      <c r="G28" s="257">
        <f t="shared" ca="1" si="3"/>
        <v>424.76690781379125</v>
      </c>
      <c r="H28" s="257">
        <f t="shared" ca="1" si="4"/>
        <v>424.76690781379125</v>
      </c>
      <c r="I28" s="220">
        <f t="shared" ca="1" si="5"/>
        <v>2024</v>
      </c>
    </row>
    <row r="29" spans="1:131" x14ac:dyDescent="0.25">
      <c r="A29" s="254">
        <f t="shared" ca="1" si="7"/>
        <v>11</v>
      </c>
      <c r="B29" s="255">
        <f t="shared" ca="1" si="8"/>
        <v>45383</v>
      </c>
      <c r="C29" s="256">
        <f ca="1">IF(OR(A29=$H$10,A29=$H$13),D29+G28,IF(A29&lt;$H$10,C28,""))</f>
        <v>9.618309218620853</v>
      </c>
      <c r="D29" s="257">
        <f t="shared" ca="1" si="1"/>
        <v>2.16</v>
      </c>
      <c r="E29" s="253">
        <f t="shared" ca="1" si="9"/>
        <v>7.4583092186208528</v>
      </c>
      <c r="F29" s="257">
        <f t="shared" ca="1" si="2"/>
        <v>0</v>
      </c>
      <c r="G29" s="257">
        <f t="shared" ca="1" si="3"/>
        <v>417.30859859517039</v>
      </c>
      <c r="H29" s="257">
        <f t="shared" ca="1" si="4"/>
        <v>417.30859859517039</v>
      </c>
      <c r="I29" s="220">
        <f t="shared" ca="1" si="5"/>
        <v>2024</v>
      </c>
      <c r="L29" s="220">
        <v>1</v>
      </c>
      <c r="M29" s="220">
        <v>2</v>
      </c>
      <c r="N29" s="220">
        <v>3</v>
      </c>
      <c r="O29" s="220">
        <v>4</v>
      </c>
      <c r="P29" s="220">
        <v>5</v>
      </c>
      <c r="Q29" s="220">
        <v>6</v>
      </c>
      <c r="R29" s="220">
        <v>7</v>
      </c>
      <c r="S29" s="220">
        <v>8</v>
      </c>
      <c r="T29" s="220">
        <v>9</v>
      </c>
      <c r="U29" s="220">
        <v>10</v>
      </c>
      <c r="V29" s="220">
        <v>11</v>
      </c>
      <c r="W29" s="220">
        <v>12</v>
      </c>
      <c r="X29" s="220">
        <v>13</v>
      </c>
      <c r="Y29" s="220">
        <v>14</v>
      </c>
      <c r="Z29" s="220">
        <v>15</v>
      </c>
      <c r="AA29" s="220">
        <v>16</v>
      </c>
      <c r="AB29" s="220">
        <v>17</v>
      </c>
      <c r="AC29" s="220">
        <v>18</v>
      </c>
      <c r="AD29" s="220">
        <v>19</v>
      </c>
      <c r="AE29" s="220">
        <v>20</v>
      </c>
      <c r="AF29" s="220">
        <v>21</v>
      </c>
      <c r="AG29" s="220">
        <v>22</v>
      </c>
      <c r="AH29" s="220">
        <v>23</v>
      </c>
      <c r="AI29" s="220">
        <v>24</v>
      </c>
      <c r="AJ29" s="220">
        <v>25</v>
      </c>
      <c r="AK29" s="220">
        <v>26</v>
      </c>
      <c r="AL29" s="220">
        <v>27</v>
      </c>
      <c r="AM29" s="220">
        <v>28</v>
      </c>
      <c r="AN29" s="220">
        <v>29</v>
      </c>
      <c r="AO29" s="220">
        <v>30</v>
      </c>
      <c r="AP29" s="220">
        <v>31</v>
      </c>
      <c r="AQ29" s="220">
        <v>32</v>
      </c>
      <c r="AR29" s="220">
        <v>33</v>
      </c>
      <c r="AS29" s="220">
        <v>34</v>
      </c>
      <c r="AT29" s="220">
        <v>35</v>
      </c>
      <c r="AU29" s="220">
        <v>36</v>
      </c>
      <c r="AV29" s="220">
        <v>37</v>
      </c>
      <c r="AW29" s="220">
        <v>38</v>
      </c>
      <c r="AX29" s="220">
        <v>39</v>
      </c>
      <c r="AY29" s="220">
        <v>40</v>
      </c>
      <c r="AZ29" s="220">
        <v>41</v>
      </c>
      <c r="BA29" s="220">
        <v>42</v>
      </c>
      <c r="BB29" s="220">
        <v>43</v>
      </c>
      <c r="BC29" s="220">
        <v>44</v>
      </c>
      <c r="BD29" s="220">
        <v>45</v>
      </c>
      <c r="BE29" s="220">
        <v>46</v>
      </c>
      <c r="BF29" s="220">
        <v>47</v>
      </c>
      <c r="BG29" s="220">
        <v>48</v>
      </c>
      <c r="BH29" s="220">
        <v>49</v>
      </c>
      <c r="BI29" s="220">
        <v>50</v>
      </c>
      <c r="BJ29" s="220">
        <v>51</v>
      </c>
      <c r="BK29" s="220">
        <v>52</v>
      </c>
      <c r="BL29" s="220">
        <v>53</v>
      </c>
      <c r="BM29" s="220">
        <v>54</v>
      </c>
      <c r="BN29" s="220">
        <v>55</v>
      </c>
      <c r="BO29" s="220">
        <v>56</v>
      </c>
      <c r="BP29" s="220">
        <v>57</v>
      </c>
      <c r="BQ29" s="220">
        <v>58</v>
      </c>
      <c r="BR29" s="220">
        <v>59</v>
      </c>
      <c r="BS29" s="220">
        <v>60</v>
      </c>
      <c r="BT29" s="220">
        <v>61</v>
      </c>
      <c r="BU29" s="220">
        <v>62</v>
      </c>
      <c r="BV29" s="220">
        <v>63</v>
      </c>
      <c r="BW29" s="220">
        <v>64</v>
      </c>
      <c r="BX29" s="220">
        <v>65</v>
      </c>
      <c r="BY29" s="220">
        <v>66</v>
      </c>
      <c r="BZ29" s="220">
        <v>67</v>
      </c>
      <c r="CA29" s="220">
        <v>68</v>
      </c>
      <c r="CB29" s="220">
        <v>69</v>
      </c>
      <c r="CC29" s="220">
        <v>70</v>
      </c>
      <c r="CD29" s="220">
        <v>71</v>
      </c>
      <c r="CE29" s="220">
        <v>72</v>
      </c>
      <c r="CF29" s="220">
        <v>73</v>
      </c>
      <c r="CG29" s="220">
        <v>74</v>
      </c>
      <c r="CH29" s="220">
        <v>75</v>
      </c>
      <c r="CI29" s="220">
        <v>76</v>
      </c>
      <c r="CJ29" s="220">
        <v>77</v>
      </c>
      <c r="CK29" s="220">
        <v>78</v>
      </c>
      <c r="CL29" s="220">
        <v>79</v>
      </c>
      <c r="CM29" s="220">
        <v>80</v>
      </c>
      <c r="CN29" s="220">
        <v>81</v>
      </c>
      <c r="CO29" s="220">
        <v>82</v>
      </c>
      <c r="CP29" s="220">
        <v>83</v>
      </c>
      <c r="CQ29" s="220">
        <v>84</v>
      </c>
      <c r="CR29" s="220">
        <v>85</v>
      </c>
      <c r="CS29" s="220">
        <v>86</v>
      </c>
      <c r="CT29" s="220">
        <v>87</v>
      </c>
      <c r="CU29" s="220">
        <v>88</v>
      </c>
      <c r="CV29" s="220">
        <v>89</v>
      </c>
      <c r="CW29" s="220">
        <v>90</v>
      </c>
      <c r="CX29" s="220">
        <v>91</v>
      </c>
      <c r="CY29" s="220">
        <v>92</v>
      </c>
      <c r="CZ29" s="220">
        <v>93</v>
      </c>
      <c r="DA29" s="220">
        <v>94</v>
      </c>
      <c r="DB29" s="220">
        <v>95</v>
      </c>
      <c r="DC29" s="220">
        <v>96</v>
      </c>
      <c r="DD29" s="220">
        <v>97</v>
      </c>
      <c r="DE29" s="220">
        <v>98</v>
      </c>
      <c r="DF29" s="220">
        <v>99</v>
      </c>
      <c r="DG29" s="220">
        <v>100</v>
      </c>
      <c r="DH29" s="220">
        <v>101</v>
      </c>
      <c r="DI29" s="220">
        <v>102</v>
      </c>
      <c r="DJ29" s="220">
        <v>103</v>
      </c>
      <c r="DK29" s="220">
        <v>104</v>
      </c>
      <c r="DL29" s="220">
        <v>105</v>
      </c>
      <c r="DM29" s="220">
        <v>106</v>
      </c>
      <c r="DN29" s="220">
        <v>107</v>
      </c>
      <c r="DO29" s="220">
        <v>108</v>
      </c>
      <c r="DP29" s="220">
        <v>109</v>
      </c>
      <c r="DQ29" s="220">
        <v>110</v>
      </c>
      <c r="DR29" s="220">
        <v>111</v>
      </c>
      <c r="DS29" s="220">
        <v>112</v>
      </c>
      <c r="DT29" s="220">
        <v>113</v>
      </c>
      <c r="DU29" s="220">
        <v>114</v>
      </c>
      <c r="DV29" s="220">
        <v>115</v>
      </c>
      <c r="DW29" s="220">
        <v>116</v>
      </c>
      <c r="DX29" s="220">
        <v>117</v>
      </c>
      <c r="DY29" s="220">
        <v>118</v>
      </c>
      <c r="DZ29" s="220">
        <v>119</v>
      </c>
      <c r="EA29" s="220">
        <v>120</v>
      </c>
    </row>
    <row r="30" spans="1:131" x14ac:dyDescent="0.25">
      <c r="A30" s="254">
        <f t="shared" ca="1" si="7"/>
        <v>12</v>
      </c>
      <c r="B30" s="255">
        <f t="shared" ca="1" si="8"/>
        <v>45413</v>
      </c>
      <c r="C30" s="256">
        <f t="shared" ca="1" si="14"/>
        <v>9.618309218620853</v>
      </c>
      <c r="D30" s="257">
        <f t="shared" ca="1" si="1"/>
        <v>2.06</v>
      </c>
      <c r="E30" s="253">
        <f t="shared" ca="1" si="9"/>
        <v>7.5583092186208525</v>
      </c>
      <c r="F30" s="257">
        <f t="shared" ca="1" si="2"/>
        <v>0</v>
      </c>
      <c r="G30" s="257">
        <f t="shared" ca="1" si="3"/>
        <v>409.75028937654952</v>
      </c>
      <c r="H30" s="257">
        <f t="shared" ca="1" si="4"/>
        <v>409.75028937654952</v>
      </c>
      <c r="I30" s="220">
        <f t="shared" ca="1" si="5"/>
        <v>2024</v>
      </c>
      <c r="K30" s="220" t="s">
        <v>378</v>
      </c>
      <c r="L30" s="1521">
        <f t="array" ref="L30:EA30">TRANSPOSE(E19:E138)</f>
        <v>9.4583092186208528</v>
      </c>
      <c r="M30" s="1521">
        <f ca="1"/>
        <v>7.198309218620853</v>
      </c>
      <c r="N30" s="1521">
        <f ca="1"/>
        <v>7.158309218620853</v>
      </c>
      <c r="O30" s="1521">
        <f ca="1"/>
        <v>7.1883092186208533</v>
      </c>
      <c r="P30" s="1521">
        <f ca="1"/>
        <v>7.3083092186208525</v>
      </c>
      <c r="Q30" s="1521">
        <f ca="1"/>
        <v>7.2683092186208533</v>
      </c>
      <c r="R30" s="1521">
        <f ca="1"/>
        <v>7.3783092186208528</v>
      </c>
      <c r="S30" s="1521">
        <f ca="1"/>
        <v>7.3383092186208536</v>
      </c>
      <c r="T30" s="1521">
        <f ca="1"/>
        <v>7.3783092186208528</v>
      </c>
      <c r="U30" s="1521">
        <f ca="1"/>
        <v>7.5583092186208525</v>
      </c>
      <c r="V30" s="1521">
        <f ca="1"/>
        <v>7.4583092186208528</v>
      </c>
      <c r="W30" s="1521">
        <f ca="1"/>
        <v>7.5583092186208525</v>
      </c>
      <c r="X30" s="1521">
        <f ca="1"/>
        <v>7.5283092186208531</v>
      </c>
      <c r="Y30" s="1521">
        <f ca="1"/>
        <v>7.6383092186208525</v>
      </c>
      <c r="Z30" s="1521">
        <f ca="1"/>
        <v>7.6083092186208532</v>
      </c>
      <c r="AA30" s="1521">
        <f ca="1"/>
        <v>7.6483092186208532</v>
      </c>
      <c r="AB30" s="1521">
        <f ca="1"/>
        <v>7.7483092186208529</v>
      </c>
      <c r="AC30" s="1521">
        <f ca="1"/>
        <v>7.7283092186208533</v>
      </c>
      <c r="AD30" s="1521">
        <f ca="1"/>
        <v>7.8283092186208529</v>
      </c>
      <c r="AE30" s="1521">
        <f ca="1"/>
        <v>7.8083092186208525</v>
      </c>
      <c r="AF30" s="1521">
        <f ca="1"/>
        <v>7.8483092186208534</v>
      </c>
      <c r="AG30" s="1521">
        <f ca="1"/>
        <v>8.0483092186208527</v>
      </c>
      <c r="AH30" s="1521">
        <f ca="1"/>
        <v>7.9283092186208535</v>
      </c>
      <c r="AI30" s="1521">
        <f ca="1"/>
        <v>8.0183092186208533</v>
      </c>
      <c r="AJ30" s="1521">
        <f ca="1"/>
        <v>8.0083092186208535</v>
      </c>
      <c r="AK30" s="1521">
        <f ca="1"/>
        <v>8.0983092186208534</v>
      </c>
      <c r="AL30" s="1521">
        <f ca="1"/>
        <v>8.0883092186208536</v>
      </c>
      <c r="AM30" s="1521">
        <f ca="1"/>
        <v>8.1283092186208528</v>
      </c>
      <c r="AN30" s="1521">
        <f ca="1"/>
        <v>8.2183092186208526</v>
      </c>
      <c r="AO30" s="1521">
        <f ca="1"/>
        <v>8.2083092186208528</v>
      </c>
      <c r="AP30" s="1521">
        <f ca="1"/>
        <v>8.2983092186208527</v>
      </c>
      <c r="AQ30" s="1521">
        <f ca="1"/>
        <v>8.2983092186208527</v>
      </c>
      <c r="AR30" s="1521">
        <f ca="1"/>
        <v>8.3383092186208536</v>
      </c>
      <c r="AS30" s="1521">
        <f ca="1"/>
        <v>8.4983092186208538</v>
      </c>
      <c r="AT30" s="1521">
        <f ca="1"/>
        <v>8.4283092186208535</v>
      </c>
      <c r="AU30" s="1521">
        <f ca="1"/>
        <v>8.5083092186208535</v>
      </c>
      <c r="AV30" s="1521">
        <f ca="1"/>
        <v>8.5083092186208535</v>
      </c>
      <c r="AW30" s="1521">
        <f ca="1"/>
        <v>8.5883092186208536</v>
      </c>
      <c r="AX30" s="1521">
        <f ca="1"/>
        <v>8.5983092186208534</v>
      </c>
      <c r="AY30" s="1521">
        <f ca="1"/>
        <v>8.6383092186208525</v>
      </c>
      <c r="AZ30" s="1521">
        <f ca="1"/>
        <v>8.7183092186208526</v>
      </c>
      <c r="BA30" s="1521">
        <f ca="1"/>
        <v>8.7283092186208524</v>
      </c>
      <c r="BB30" s="1521">
        <f ca="1"/>
        <v>8.7983092186208527</v>
      </c>
      <c r="BC30" s="1521">
        <f ca="1"/>
        <v>8.8183092186208523</v>
      </c>
      <c r="BD30" s="1521">
        <f ca="1"/>
        <v>8.868309218620853</v>
      </c>
      <c r="BE30" s="1521">
        <f ca="1"/>
        <v>8.9783092186208524</v>
      </c>
      <c r="BF30" s="1521">
        <f ca="1"/>
        <v>8.9583092186208528</v>
      </c>
      <c r="BG30" s="1521">
        <f ca="1"/>
        <v>9.0183092186208533</v>
      </c>
      <c r="BH30" s="1521">
        <f ca="1"/>
        <v>9.0483092186208527</v>
      </c>
      <c r="BI30" s="1521">
        <f ca="1"/>
        <v>9.1083092186208532</v>
      </c>
      <c r="BJ30" s="1521">
        <f ca="1"/>
        <v>9.1383092186208525</v>
      </c>
      <c r="BK30" s="1521">
        <f ca="1"/>
        <v>9.1883092186208533</v>
      </c>
      <c r="BL30" s="1521">
        <f ca="1"/>
        <v>9.2483092186208538</v>
      </c>
      <c r="BM30" s="1521">
        <f ca="1"/>
        <v>9.2783092186208531</v>
      </c>
      <c r="BN30" s="1521">
        <f ca="1"/>
        <v>9.3383092186208536</v>
      </c>
      <c r="BO30" s="1521">
        <f ca="1"/>
        <v>9.3783092186208528</v>
      </c>
      <c r="BP30" s="1521">
        <f ca="1"/>
        <v>9.4183092186208537</v>
      </c>
      <c r="BQ30" s="1521">
        <f ca="1"/>
        <v>9.4783092186208524</v>
      </c>
      <c r="BR30" s="1521">
        <f ca="1"/>
        <v>9.5183092186208533</v>
      </c>
      <c r="BS30" s="1521">
        <f ca="1"/>
        <v>9.8897561013689863</v>
      </c>
      <c r="BT30" s="1521">
        <v>0</v>
      </c>
      <c r="BU30" s="1521">
        <v>0</v>
      </c>
      <c r="BV30" s="1521">
        <v>0</v>
      </c>
      <c r="BW30" s="1521">
        <v>0</v>
      </c>
      <c r="BX30" s="1521">
        <v>0</v>
      </c>
      <c r="BY30" s="1521">
        <v>0</v>
      </c>
      <c r="BZ30" s="1521">
        <v>0</v>
      </c>
      <c r="CA30" s="1521">
        <v>0</v>
      </c>
      <c r="CB30" s="1521">
        <v>0</v>
      </c>
      <c r="CC30" s="1521">
        <v>0</v>
      </c>
      <c r="CD30" s="1521">
        <v>0</v>
      </c>
      <c r="CE30" s="1521">
        <v>0</v>
      </c>
      <c r="CF30" s="1521">
        <v>0</v>
      </c>
      <c r="CG30" s="1521">
        <v>0</v>
      </c>
      <c r="CH30" s="1521">
        <v>0</v>
      </c>
      <c r="CI30" s="1521">
        <v>0</v>
      </c>
      <c r="CJ30" s="1521">
        <v>0</v>
      </c>
      <c r="CK30" s="1521">
        <v>0</v>
      </c>
      <c r="CL30" s="1521">
        <v>0</v>
      </c>
      <c r="CM30" s="1521">
        <v>0</v>
      </c>
      <c r="CN30" s="1521">
        <v>0</v>
      </c>
      <c r="CO30" s="1521">
        <v>0</v>
      </c>
      <c r="CP30" s="1521">
        <v>0</v>
      </c>
      <c r="CQ30" s="1521">
        <v>0</v>
      </c>
      <c r="CR30" s="1521">
        <v>0</v>
      </c>
      <c r="CS30" s="1521">
        <v>0</v>
      </c>
      <c r="CT30" s="1521">
        <v>0</v>
      </c>
      <c r="CU30" s="1521">
        <v>0</v>
      </c>
      <c r="CV30" s="1521">
        <v>0</v>
      </c>
      <c r="CW30" s="1521">
        <v>0</v>
      </c>
      <c r="CX30" s="1521">
        <v>0</v>
      </c>
      <c r="CY30" s="1521">
        <v>0</v>
      </c>
      <c r="CZ30" s="1521">
        <v>0</v>
      </c>
      <c r="DA30" s="1521">
        <v>0</v>
      </c>
      <c r="DB30" s="1521">
        <v>0</v>
      </c>
      <c r="DC30" s="1521">
        <v>0</v>
      </c>
      <c r="DD30" s="1521">
        <v>0</v>
      </c>
      <c r="DE30" s="1521">
        <v>0</v>
      </c>
      <c r="DF30" s="1521">
        <v>0</v>
      </c>
      <c r="DG30" s="1521">
        <v>0</v>
      </c>
      <c r="DH30" s="1521">
        <v>0</v>
      </c>
      <c r="DI30" s="1521">
        <v>0</v>
      </c>
      <c r="DJ30" s="1521">
        <v>0</v>
      </c>
      <c r="DK30" s="1521">
        <v>0</v>
      </c>
      <c r="DL30" s="1521">
        <v>0</v>
      </c>
      <c r="DM30" s="1521">
        <v>0</v>
      </c>
      <c r="DN30" s="1521">
        <v>0</v>
      </c>
      <c r="DO30" s="1521">
        <v>0</v>
      </c>
      <c r="DP30" s="1521">
        <v>0</v>
      </c>
      <c r="DQ30" s="1521">
        <v>0</v>
      </c>
      <c r="DR30" s="1521">
        <v>0</v>
      </c>
      <c r="DS30" s="1521">
        <v>0</v>
      </c>
      <c r="DT30" s="1521">
        <v>0</v>
      </c>
      <c r="DU30" s="1521">
        <v>0</v>
      </c>
      <c r="DV30" s="1521">
        <v>0</v>
      </c>
      <c r="DW30" s="1521">
        <v>0</v>
      </c>
      <c r="DX30" s="1521">
        <v>0</v>
      </c>
      <c r="DY30" s="1521">
        <v>0</v>
      </c>
      <c r="DZ30" s="1521">
        <v>0</v>
      </c>
      <c r="EA30" s="1521">
        <v>0</v>
      </c>
    </row>
    <row r="31" spans="1:131" x14ac:dyDescent="0.25">
      <c r="A31" s="254">
        <f t="shared" ca="1" si="7"/>
        <v>13</v>
      </c>
      <c r="B31" s="255">
        <f t="shared" ca="1" si="8"/>
        <v>45444</v>
      </c>
      <c r="C31" s="256">
        <f t="shared" ca="1" si="14"/>
        <v>9.618309218620853</v>
      </c>
      <c r="D31" s="257">
        <f t="shared" ca="1" si="1"/>
        <v>2.09</v>
      </c>
      <c r="E31" s="253">
        <f t="shared" ca="1" si="9"/>
        <v>7.5283092186208531</v>
      </c>
      <c r="F31" s="257">
        <f t="shared" ca="1" si="2"/>
        <v>0</v>
      </c>
      <c r="G31" s="257">
        <f t="shared" ca="1" si="3"/>
        <v>402.22198015792861</v>
      </c>
      <c r="H31" s="257">
        <f t="shared" ca="1" si="4"/>
        <v>402.22198015792861</v>
      </c>
      <c r="I31" s="220">
        <f t="shared" ca="1" si="5"/>
        <v>2024</v>
      </c>
      <c r="K31" s="220" t="s">
        <v>379</v>
      </c>
      <c r="L31" s="220">
        <f t="array" ref="L31:EA31">TRANSPOSE(D19:D138)</f>
        <v>0.16</v>
      </c>
      <c r="M31" s="220">
        <f ca="1"/>
        <v>2.42</v>
      </c>
      <c r="N31" s="220">
        <f ca="1"/>
        <v>2.46</v>
      </c>
      <c r="O31" s="220">
        <f ca="1"/>
        <v>2.4300000000000002</v>
      </c>
      <c r="P31" s="220">
        <f ca="1"/>
        <v>2.31</v>
      </c>
      <c r="Q31" s="220">
        <f ca="1"/>
        <v>2.35</v>
      </c>
      <c r="R31" s="220">
        <f ca="1"/>
        <v>2.2400000000000002</v>
      </c>
      <c r="S31" s="220">
        <f ca="1"/>
        <v>2.2799999999999998</v>
      </c>
      <c r="T31" s="220">
        <f ca="1"/>
        <v>2.2400000000000002</v>
      </c>
      <c r="U31" s="220">
        <f ca="1"/>
        <v>2.06</v>
      </c>
      <c r="V31" s="220">
        <f ca="1"/>
        <v>2.16</v>
      </c>
      <c r="W31" s="220">
        <f ca="1"/>
        <v>2.06</v>
      </c>
      <c r="X31" s="220">
        <f ca="1"/>
        <v>2.09</v>
      </c>
      <c r="Y31" s="220">
        <f ca="1"/>
        <v>1.98</v>
      </c>
      <c r="Z31" s="220">
        <f ca="1"/>
        <v>2.0099999999999998</v>
      </c>
      <c r="AA31" s="220">
        <f ca="1"/>
        <v>1.97</v>
      </c>
      <c r="AB31" s="220">
        <f ca="1"/>
        <v>1.87</v>
      </c>
      <c r="AC31" s="220">
        <f ca="1"/>
        <v>1.89</v>
      </c>
      <c r="AD31" s="220">
        <f ca="1"/>
        <v>1.79</v>
      </c>
      <c r="AE31" s="220">
        <f ca="1"/>
        <v>1.81</v>
      </c>
      <c r="AF31" s="220">
        <f ca="1"/>
        <v>1.77</v>
      </c>
      <c r="AG31" s="220">
        <f ca="1"/>
        <v>1.57</v>
      </c>
      <c r="AH31" s="220">
        <f ca="1"/>
        <v>1.69</v>
      </c>
      <c r="AI31" s="220">
        <f ca="1"/>
        <v>1.6</v>
      </c>
      <c r="AJ31" s="220">
        <f ca="1"/>
        <v>1.61</v>
      </c>
      <c r="AK31" s="220">
        <f ca="1"/>
        <v>1.52</v>
      </c>
      <c r="AL31" s="220">
        <f ca="1"/>
        <v>1.53</v>
      </c>
      <c r="AM31" s="220">
        <f ca="1"/>
        <v>1.49</v>
      </c>
      <c r="AN31" s="220">
        <f ca="1"/>
        <v>1.4</v>
      </c>
      <c r="AO31" s="220">
        <f ca="1"/>
        <v>1.41</v>
      </c>
      <c r="AP31" s="220">
        <f ca="1"/>
        <v>1.32</v>
      </c>
      <c r="AQ31" s="220">
        <f ca="1"/>
        <v>1.32</v>
      </c>
      <c r="AR31" s="220">
        <f ca="1"/>
        <v>1.28</v>
      </c>
      <c r="AS31" s="220">
        <f ca="1"/>
        <v>1.1200000000000001</v>
      </c>
      <c r="AT31" s="220">
        <f ca="1"/>
        <v>1.19</v>
      </c>
      <c r="AU31" s="220">
        <f ca="1"/>
        <v>1.1100000000000001</v>
      </c>
      <c r="AV31" s="220">
        <f ca="1"/>
        <v>1.1100000000000001</v>
      </c>
      <c r="AW31" s="220">
        <f ca="1"/>
        <v>1.03</v>
      </c>
      <c r="AX31" s="220">
        <f ca="1"/>
        <v>1.02</v>
      </c>
      <c r="AY31" s="220">
        <f ca="1"/>
        <v>0.98</v>
      </c>
      <c r="AZ31" s="220">
        <f ca="1"/>
        <v>0.9</v>
      </c>
      <c r="BA31" s="220">
        <f ca="1"/>
        <v>0.89</v>
      </c>
      <c r="BB31" s="220">
        <f ca="1"/>
        <v>0.82</v>
      </c>
      <c r="BC31" s="220">
        <f ca="1"/>
        <v>0.8</v>
      </c>
      <c r="BD31" s="220">
        <f ca="1"/>
        <v>0.75</v>
      </c>
      <c r="BE31" s="220">
        <f ca="1"/>
        <v>0.64</v>
      </c>
      <c r="BF31" s="220">
        <f ca="1"/>
        <v>0.66</v>
      </c>
      <c r="BG31" s="220">
        <f ca="1"/>
        <v>0.6</v>
      </c>
      <c r="BH31" s="220">
        <f ca="1"/>
        <v>0.56999999999999995</v>
      </c>
      <c r="BI31" s="220">
        <f ca="1"/>
        <v>0.51</v>
      </c>
      <c r="BJ31" s="220">
        <f ca="1"/>
        <v>0.48</v>
      </c>
      <c r="BK31" s="220">
        <f ca="1"/>
        <v>0.43</v>
      </c>
      <c r="BL31" s="220">
        <f ca="1"/>
        <v>0.37</v>
      </c>
      <c r="BM31" s="220">
        <f ca="1"/>
        <v>0.34</v>
      </c>
      <c r="BN31" s="220">
        <f ca="1"/>
        <v>0.28000000000000003</v>
      </c>
      <c r="BO31" s="220">
        <f ca="1"/>
        <v>0.24</v>
      </c>
      <c r="BP31" s="220">
        <f ca="1"/>
        <v>0.2</v>
      </c>
      <c r="BQ31" s="220">
        <f ca="1"/>
        <v>0.14000000000000001</v>
      </c>
      <c r="BR31" s="220">
        <f ca="1"/>
        <v>0.1</v>
      </c>
      <c r="BS31" s="220">
        <f ca="1"/>
        <v>0.05</v>
      </c>
      <c r="BT31" s="220" t="str">
        <f ca="1"/>
        <v/>
      </c>
      <c r="BU31" s="220" t="str">
        <f ca="1"/>
        <v/>
      </c>
      <c r="BV31" s="220" t="str">
        <f ca="1"/>
        <v/>
      </c>
      <c r="BW31" s="220" t="str">
        <f ca="1"/>
        <v/>
      </c>
      <c r="BX31" s="220" t="str">
        <f ca="1"/>
        <v/>
      </c>
      <c r="BY31" s="220" t="str">
        <f ca="1"/>
        <v/>
      </c>
      <c r="BZ31" s="220" t="str">
        <f ca="1"/>
        <v/>
      </c>
      <c r="CA31" s="220" t="str">
        <f ca="1"/>
        <v/>
      </c>
      <c r="CB31" s="220" t="str">
        <f ca="1"/>
        <v/>
      </c>
      <c r="CC31" s="220" t="str">
        <f ca="1"/>
        <v/>
      </c>
      <c r="CD31" s="220" t="str">
        <f ca="1"/>
        <v/>
      </c>
      <c r="CE31" s="220" t="str">
        <f ca="1"/>
        <v/>
      </c>
      <c r="CF31" s="220" t="str">
        <f ca="1"/>
        <v/>
      </c>
      <c r="CG31" s="220" t="str">
        <f ca="1"/>
        <v/>
      </c>
      <c r="CH31" s="220" t="str">
        <f ca="1"/>
        <v/>
      </c>
      <c r="CI31" s="220" t="str">
        <f ca="1"/>
        <v/>
      </c>
      <c r="CJ31" s="220" t="str">
        <f ca="1"/>
        <v/>
      </c>
      <c r="CK31" s="220" t="str">
        <f ca="1"/>
        <v/>
      </c>
      <c r="CL31" s="220" t="str">
        <f ca="1"/>
        <v/>
      </c>
      <c r="CM31" s="220" t="str">
        <f ca="1"/>
        <v/>
      </c>
      <c r="CN31" s="220" t="str">
        <f ca="1"/>
        <v/>
      </c>
      <c r="CO31" s="220" t="str">
        <f ca="1"/>
        <v/>
      </c>
      <c r="CP31" s="220" t="str">
        <f ca="1"/>
        <v/>
      </c>
      <c r="CQ31" s="220" t="str">
        <f ca="1"/>
        <v/>
      </c>
      <c r="CR31" s="220" t="str">
        <f ca="1"/>
        <v/>
      </c>
      <c r="CS31" s="220" t="str">
        <f ca="1"/>
        <v/>
      </c>
      <c r="CT31" s="220" t="str">
        <f ca="1"/>
        <v/>
      </c>
      <c r="CU31" s="220" t="str">
        <f ca="1"/>
        <v/>
      </c>
      <c r="CV31" s="220" t="str">
        <f ca="1"/>
        <v/>
      </c>
      <c r="CW31" s="220" t="str">
        <f ca="1"/>
        <v/>
      </c>
      <c r="CX31" s="220" t="str">
        <f ca="1"/>
        <v/>
      </c>
      <c r="CY31" s="220" t="str">
        <f ca="1"/>
        <v/>
      </c>
      <c r="CZ31" s="220" t="str">
        <f ca="1"/>
        <v/>
      </c>
      <c r="DA31" s="220" t="str">
        <f ca="1"/>
        <v/>
      </c>
      <c r="DB31" s="220" t="str">
        <f ca="1"/>
        <v/>
      </c>
      <c r="DC31" s="220" t="str">
        <f ca="1"/>
        <v/>
      </c>
      <c r="DD31" s="220" t="str">
        <f ca="1"/>
        <v/>
      </c>
      <c r="DE31" s="220" t="str">
        <f ca="1"/>
        <v/>
      </c>
      <c r="DF31" s="220" t="str">
        <f ca="1"/>
        <v/>
      </c>
      <c r="DG31" s="220" t="str">
        <f ca="1"/>
        <v/>
      </c>
      <c r="DH31" s="220" t="str">
        <f ca="1"/>
        <v/>
      </c>
      <c r="DI31" s="220" t="str">
        <f ca="1"/>
        <v/>
      </c>
      <c r="DJ31" s="220" t="str">
        <f ca="1"/>
        <v/>
      </c>
      <c r="DK31" s="220" t="str">
        <f ca="1"/>
        <v/>
      </c>
      <c r="DL31" s="220" t="str">
        <f ca="1"/>
        <v/>
      </c>
      <c r="DM31" s="220" t="str">
        <f ca="1"/>
        <v/>
      </c>
      <c r="DN31" s="220" t="str">
        <f ca="1"/>
        <v/>
      </c>
      <c r="DO31" s="220" t="str">
        <f ca="1"/>
        <v/>
      </c>
      <c r="DP31" s="220" t="str">
        <f ca="1"/>
        <v/>
      </c>
      <c r="DQ31" s="220" t="str">
        <f ca="1"/>
        <v/>
      </c>
      <c r="DR31" s="220" t="str">
        <f ca="1"/>
        <v/>
      </c>
      <c r="DS31" s="220" t="str">
        <f ca="1"/>
        <v/>
      </c>
      <c r="DT31" s="220" t="str">
        <f ca="1"/>
        <v/>
      </c>
      <c r="DU31" s="220" t="str">
        <f ca="1"/>
        <v/>
      </c>
      <c r="DV31" s="220" t="str">
        <f ca="1"/>
        <v/>
      </c>
      <c r="DW31" s="220" t="str">
        <f ca="1"/>
        <v/>
      </c>
      <c r="DX31" s="220" t="str">
        <f ca="1"/>
        <v/>
      </c>
      <c r="DY31" s="220" t="str">
        <f ca="1"/>
        <v/>
      </c>
      <c r="DZ31" s="220" t="str">
        <f ca="1"/>
        <v/>
      </c>
      <c r="EA31" s="220" t="str">
        <f ca="1"/>
        <v/>
      </c>
    </row>
    <row r="32" spans="1:131" x14ac:dyDescent="0.25">
      <c r="A32" s="254">
        <f t="shared" ca="1" si="7"/>
        <v>14</v>
      </c>
      <c r="B32" s="255">
        <f t="shared" ca="1" si="8"/>
        <v>45474</v>
      </c>
      <c r="C32" s="256">
        <f t="shared" ca="1" si="14"/>
        <v>9.618309218620853</v>
      </c>
      <c r="D32" s="257">
        <f t="shared" ca="1" si="1"/>
        <v>1.98</v>
      </c>
      <c r="E32" s="253">
        <f t="shared" ca="1" si="9"/>
        <v>7.6383092186208525</v>
      </c>
      <c r="F32" s="257">
        <f t="shared" ca="1" si="2"/>
        <v>0</v>
      </c>
      <c r="G32" s="257">
        <f t="shared" ca="1" si="3"/>
        <v>394.58367093930775</v>
      </c>
      <c r="H32" s="257">
        <f t="shared" ca="1" si="4"/>
        <v>394.58367093930775</v>
      </c>
      <c r="I32" s="220">
        <f t="shared" ca="1" si="5"/>
        <v>2024</v>
      </c>
    </row>
    <row r="33" spans="1:10" x14ac:dyDescent="0.25">
      <c r="A33" s="254">
        <f t="shared" ca="1" si="7"/>
        <v>15</v>
      </c>
      <c r="B33" s="255">
        <f t="shared" ca="1" si="8"/>
        <v>45505</v>
      </c>
      <c r="C33" s="256">
        <f ca="1">IF(OR(A33=$H$10,A33=$H$13),D33+G32,IF(A33&lt;$H$10,C32,""))</f>
        <v>9.618309218620853</v>
      </c>
      <c r="D33" s="257">
        <f t="shared" ca="1" si="1"/>
        <v>2.0099999999999998</v>
      </c>
      <c r="E33" s="253">
        <f t="shared" ca="1" si="9"/>
        <v>7.6083092186208532</v>
      </c>
      <c r="F33" s="257">
        <f t="shared" ca="1" si="2"/>
        <v>0</v>
      </c>
      <c r="G33" s="257">
        <f t="shared" ca="1" si="3"/>
        <v>386.97536172068686</v>
      </c>
      <c r="H33" s="257">
        <f t="shared" ca="1" si="4"/>
        <v>386.97536172068686</v>
      </c>
      <c r="I33" s="220">
        <f t="shared" ca="1" si="5"/>
        <v>2024</v>
      </c>
    </row>
    <row r="34" spans="1:10" x14ac:dyDescent="0.25">
      <c r="A34" s="254">
        <f t="shared" ca="1" si="7"/>
        <v>16</v>
      </c>
      <c r="B34" s="255">
        <f t="shared" ca="1" si="8"/>
        <v>45536</v>
      </c>
      <c r="C34" s="256">
        <f t="shared" ref="C34:C97" ca="1" si="15">IF(OR(A34=$H$10,A34=$H$13),D34+G33,IF(A34&lt;$H$10,C33,""))</f>
        <v>9.618309218620853</v>
      </c>
      <c r="D34" s="257">
        <f t="shared" ca="1" si="1"/>
        <v>1.97</v>
      </c>
      <c r="E34" s="253">
        <f t="shared" ca="1" si="9"/>
        <v>7.6483092186208532</v>
      </c>
      <c r="F34" s="257">
        <f t="shared" ca="1" si="2"/>
        <v>0</v>
      </c>
      <c r="G34" s="257">
        <f t="shared" ca="1" si="3"/>
        <v>379.32705250206601</v>
      </c>
      <c r="H34" s="257">
        <f t="shared" ca="1" si="4"/>
        <v>379.32705250206601</v>
      </c>
      <c r="I34" s="220">
        <f t="shared" ca="1" si="5"/>
        <v>2024</v>
      </c>
    </row>
    <row r="35" spans="1:10" x14ac:dyDescent="0.25">
      <c r="A35" s="254">
        <f t="shared" ca="1" si="7"/>
        <v>17</v>
      </c>
      <c r="B35" s="255">
        <f t="shared" ca="1" si="8"/>
        <v>45566</v>
      </c>
      <c r="C35" s="256">
        <f t="shared" ca="1" si="15"/>
        <v>9.618309218620853</v>
      </c>
      <c r="D35" s="257">
        <f t="shared" ca="1" si="1"/>
        <v>1.87</v>
      </c>
      <c r="E35" s="253">
        <f t="shared" ca="1" si="9"/>
        <v>7.7483092186208529</v>
      </c>
      <c r="F35" s="257">
        <f t="shared" ca="1" si="2"/>
        <v>0</v>
      </c>
      <c r="G35" s="257">
        <f t="shared" ca="1" si="3"/>
        <v>371.57874328344514</v>
      </c>
      <c r="H35" s="257">
        <f t="shared" ca="1" si="4"/>
        <v>371.57874328344514</v>
      </c>
      <c r="I35" s="220">
        <f t="shared" ca="1" si="5"/>
        <v>2024</v>
      </c>
      <c r="J35" s="253">
        <f ca="1">SUM(C24:C35)</f>
        <v>115.41971062345023</v>
      </c>
    </row>
    <row r="36" spans="1:10" x14ac:dyDescent="0.25">
      <c r="A36" s="254">
        <f t="shared" ca="1" si="7"/>
        <v>18</v>
      </c>
      <c r="B36" s="255">
        <f t="shared" ca="1" si="8"/>
        <v>45597</v>
      </c>
      <c r="C36" s="256">
        <f t="shared" ca="1" si="15"/>
        <v>9.618309218620853</v>
      </c>
      <c r="D36" s="257">
        <f t="shared" ca="1" si="1"/>
        <v>1.89</v>
      </c>
      <c r="E36" s="253">
        <f t="shared" ca="1" si="9"/>
        <v>7.7283092186208533</v>
      </c>
      <c r="F36" s="257">
        <f t="shared" ca="1" si="2"/>
        <v>0</v>
      </c>
      <c r="G36" s="257">
        <f t="shared" ca="1" si="3"/>
        <v>363.85043406482424</v>
      </c>
      <c r="H36" s="257">
        <f t="shared" ca="1" si="4"/>
        <v>363.85043406482424</v>
      </c>
      <c r="I36" s="220">
        <f t="shared" ca="1" si="5"/>
        <v>2024</v>
      </c>
    </row>
    <row r="37" spans="1:10" x14ac:dyDescent="0.25">
      <c r="A37" s="254">
        <v>19</v>
      </c>
      <c r="B37" s="255">
        <f t="shared" ca="1" si="8"/>
        <v>45627</v>
      </c>
      <c r="C37" s="256">
        <f t="shared" ca="1" si="15"/>
        <v>9.618309218620853</v>
      </c>
      <c r="D37" s="257">
        <f t="shared" ca="1" si="1"/>
        <v>1.79</v>
      </c>
      <c r="E37" s="253">
        <f t="shared" ca="1" si="9"/>
        <v>7.8283092186208529</v>
      </c>
      <c r="F37" s="257">
        <f t="shared" ca="1" si="2"/>
        <v>0</v>
      </c>
      <c r="G37" s="257">
        <f t="shared" ca="1" si="3"/>
        <v>356.02212484620338</v>
      </c>
      <c r="H37" s="257">
        <f t="shared" ca="1" si="4"/>
        <v>356.02212484620338</v>
      </c>
      <c r="I37" s="220">
        <f t="shared" ca="1" si="5"/>
        <v>2024</v>
      </c>
    </row>
    <row r="38" spans="1:10" x14ac:dyDescent="0.25">
      <c r="A38" s="254">
        <f ca="1">IF(OR(H37&lt;=0,H37=""),"",OFFSET(A38,-1,0,1,1)+1)</f>
        <v>20</v>
      </c>
      <c r="B38" s="255">
        <f t="shared" ca="1" si="8"/>
        <v>45658</v>
      </c>
      <c r="C38" s="256">
        <f t="shared" ca="1" si="15"/>
        <v>9.618309218620853</v>
      </c>
      <c r="D38" s="257">
        <f t="shared" ca="1" si="1"/>
        <v>1.81</v>
      </c>
      <c r="E38" s="253">
        <f t="shared" ca="1" si="9"/>
        <v>7.8083092186208525</v>
      </c>
      <c r="F38" s="257">
        <f t="shared" ca="1" si="2"/>
        <v>0</v>
      </c>
      <c r="G38" s="257">
        <f t="shared" ca="1" si="3"/>
        <v>348.21381562758251</v>
      </c>
      <c r="H38" s="257">
        <f t="shared" ca="1" si="4"/>
        <v>348.21381562758251</v>
      </c>
      <c r="I38" s="220">
        <f t="shared" ca="1" si="5"/>
        <v>2025</v>
      </c>
    </row>
    <row r="39" spans="1:10" x14ac:dyDescent="0.25">
      <c r="A39" s="254">
        <f ca="1">IF(OR(H38&lt;=0,H38=""),"",OFFSET(A39,-1,0,1,1)+1)</f>
        <v>21</v>
      </c>
      <c r="B39" s="255">
        <f t="shared" ca="1" si="8"/>
        <v>45689</v>
      </c>
      <c r="C39" s="256">
        <f t="shared" ca="1" si="15"/>
        <v>9.618309218620853</v>
      </c>
      <c r="D39" s="257">
        <f t="shared" ca="1" si="1"/>
        <v>1.77</v>
      </c>
      <c r="E39" s="253">
        <f t="shared" ca="1" si="9"/>
        <v>7.8483092186208534</v>
      </c>
      <c r="F39" s="257">
        <f t="shared" ca="1" si="2"/>
        <v>0</v>
      </c>
      <c r="G39" s="257">
        <f t="shared" ca="1" si="3"/>
        <v>340.36550640896161</v>
      </c>
      <c r="H39" s="257">
        <f t="shared" ca="1" si="4"/>
        <v>340.36550640896161</v>
      </c>
      <c r="I39" s="220">
        <f t="shared" ca="1" si="5"/>
        <v>2025</v>
      </c>
    </row>
    <row r="40" spans="1:10" x14ac:dyDescent="0.25">
      <c r="A40" s="254">
        <v>22</v>
      </c>
      <c r="B40" s="255">
        <f t="shared" ca="1" si="8"/>
        <v>45717</v>
      </c>
      <c r="C40" s="256">
        <f t="shared" ca="1" si="15"/>
        <v>9.618309218620853</v>
      </c>
      <c r="D40" s="257">
        <f t="shared" ca="1" si="1"/>
        <v>1.57</v>
      </c>
      <c r="E40" s="253">
        <f t="shared" ca="1" si="9"/>
        <v>8.0483092186208527</v>
      </c>
      <c r="F40" s="257">
        <f t="shared" ca="1" si="2"/>
        <v>0</v>
      </c>
      <c r="G40" s="257">
        <f t="shared" ca="1" si="3"/>
        <v>332.31719719034072</v>
      </c>
      <c r="H40" s="257">
        <f t="shared" ca="1" si="4"/>
        <v>332.31719719034072</v>
      </c>
      <c r="I40" s="220">
        <f t="shared" ca="1" si="5"/>
        <v>2025</v>
      </c>
    </row>
    <row r="41" spans="1:10" x14ac:dyDescent="0.25">
      <c r="A41" s="254">
        <f t="shared" ref="A41:A104" ca="1" si="16">IF(OR(H40&lt;=0,H40=""),"",OFFSET(A41,-1,0,1,1)+1)</f>
        <v>23</v>
      </c>
      <c r="B41" s="255">
        <f t="shared" ca="1" si="8"/>
        <v>45748</v>
      </c>
      <c r="C41" s="256">
        <f t="shared" ca="1" si="15"/>
        <v>9.618309218620853</v>
      </c>
      <c r="D41" s="257">
        <f t="shared" ca="1" si="1"/>
        <v>1.69</v>
      </c>
      <c r="E41" s="253">
        <f t="shared" ca="1" si="9"/>
        <v>7.9283092186208535</v>
      </c>
      <c r="F41" s="257">
        <f t="shared" ca="1" si="2"/>
        <v>0</v>
      </c>
      <c r="G41" s="257">
        <f t="shared" ca="1" si="3"/>
        <v>324.38888797171984</v>
      </c>
      <c r="H41" s="257">
        <f t="shared" ca="1" si="4"/>
        <v>324.38888797171984</v>
      </c>
      <c r="I41" s="220">
        <f t="shared" ca="1" si="5"/>
        <v>2025</v>
      </c>
    </row>
    <row r="42" spans="1:10" x14ac:dyDescent="0.25">
      <c r="A42" s="254">
        <f t="shared" ca="1" si="16"/>
        <v>24</v>
      </c>
      <c r="B42" s="255">
        <f t="shared" ca="1" si="8"/>
        <v>45778</v>
      </c>
      <c r="C42" s="256">
        <f t="shared" ca="1" si="15"/>
        <v>9.618309218620853</v>
      </c>
      <c r="D42" s="257">
        <f t="shared" ca="1" si="1"/>
        <v>1.6</v>
      </c>
      <c r="E42" s="253">
        <f t="shared" ca="1" si="9"/>
        <v>8.0183092186208533</v>
      </c>
      <c r="F42" s="257">
        <f t="shared" ca="1" si="2"/>
        <v>0</v>
      </c>
      <c r="G42" s="257">
        <f t="shared" ca="1" si="3"/>
        <v>316.37057875309898</v>
      </c>
      <c r="H42" s="257">
        <f t="shared" ca="1" si="4"/>
        <v>316.37057875309898</v>
      </c>
      <c r="I42" s="220">
        <f t="shared" ca="1" si="5"/>
        <v>2025</v>
      </c>
    </row>
    <row r="43" spans="1:10" x14ac:dyDescent="0.25">
      <c r="A43" s="254">
        <f t="shared" ca="1" si="16"/>
        <v>25</v>
      </c>
      <c r="B43" s="255">
        <f t="shared" ca="1" si="8"/>
        <v>45809</v>
      </c>
      <c r="C43" s="256">
        <f t="shared" ca="1" si="15"/>
        <v>9.618309218620853</v>
      </c>
      <c r="D43" s="257">
        <f t="shared" ca="1" si="1"/>
        <v>1.61</v>
      </c>
      <c r="E43" s="253">
        <f t="shared" ca="1" si="9"/>
        <v>8.0083092186208535</v>
      </c>
      <c r="F43" s="257">
        <f t="shared" ca="1" si="2"/>
        <v>0</v>
      </c>
      <c r="G43" s="257">
        <f t="shared" ca="1" si="3"/>
        <v>308.36226953447812</v>
      </c>
      <c r="H43" s="257">
        <f t="shared" ca="1" si="4"/>
        <v>308.36226953447812</v>
      </c>
      <c r="I43" s="220">
        <f t="shared" ca="1" si="5"/>
        <v>2025</v>
      </c>
    </row>
    <row r="44" spans="1:10" x14ac:dyDescent="0.25">
      <c r="A44" s="254">
        <f t="shared" ca="1" si="16"/>
        <v>26</v>
      </c>
      <c r="B44" s="255">
        <f t="shared" ca="1" si="8"/>
        <v>45839</v>
      </c>
      <c r="C44" s="256">
        <f t="shared" ca="1" si="15"/>
        <v>9.618309218620853</v>
      </c>
      <c r="D44" s="257">
        <f t="shared" ca="1" si="1"/>
        <v>1.52</v>
      </c>
      <c r="E44" s="253">
        <f t="shared" ca="1" si="9"/>
        <v>8.0983092186208534</v>
      </c>
      <c r="F44" s="257">
        <f t="shared" ca="1" si="2"/>
        <v>0</v>
      </c>
      <c r="G44" s="257">
        <f t="shared" ca="1" si="3"/>
        <v>300.26396031585722</v>
      </c>
      <c r="H44" s="257">
        <f t="shared" ca="1" si="4"/>
        <v>300.26396031585722</v>
      </c>
      <c r="I44" s="220">
        <f t="shared" ca="1" si="5"/>
        <v>2025</v>
      </c>
    </row>
    <row r="45" spans="1:10" x14ac:dyDescent="0.25">
      <c r="A45" s="254">
        <f t="shared" ca="1" si="16"/>
        <v>27</v>
      </c>
      <c r="B45" s="255">
        <f t="shared" ca="1" si="8"/>
        <v>45870</v>
      </c>
      <c r="C45" s="256">
        <f t="shared" ca="1" si="15"/>
        <v>9.618309218620853</v>
      </c>
      <c r="D45" s="257">
        <f t="shared" ca="1" si="1"/>
        <v>1.53</v>
      </c>
      <c r="E45" s="253">
        <f t="shared" ca="1" si="9"/>
        <v>8.0883092186208536</v>
      </c>
      <c r="F45" s="257">
        <f t="shared" ca="1" si="2"/>
        <v>0</v>
      </c>
      <c r="G45" s="257">
        <f t="shared" ca="1" si="3"/>
        <v>292.17565109723631</v>
      </c>
      <c r="H45" s="257">
        <f t="shared" ca="1" si="4"/>
        <v>292.17565109723631</v>
      </c>
      <c r="I45" s="220">
        <f t="shared" ca="1" si="5"/>
        <v>2025</v>
      </c>
    </row>
    <row r="46" spans="1:10" x14ac:dyDescent="0.25">
      <c r="A46" s="254">
        <f t="shared" ca="1" si="16"/>
        <v>28</v>
      </c>
      <c r="B46" s="255">
        <f t="shared" ca="1" si="8"/>
        <v>45901</v>
      </c>
      <c r="C46" s="256">
        <f t="shared" ca="1" si="15"/>
        <v>9.618309218620853</v>
      </c>
      <c r="D46" s="257">
        <f t="shared" ca="1" si="1"/>
        <v>1.49</v>
      </c>
      <c r="E46" s="253">
        <f t="shared" ca="1" si="9"/>
        <v>8.1283092186208528</v>
      </c>
      <c r="F46" s="257">
        <f t="shared" ca="1" si="2"/>
        <v>0</v>
      </c>
      <c r="G46" s="257">
        <f t="shared" ca="1" si="3"/>
        <v>284.04734187861544</v>
      </c>
      <c r="H46" s="257">
        <f t="shared" ca="1" si="4"/>
        <v>284.04734187861544</v>
      </c>
      <c r="I46" s="220">
        <f t="shared" ca="1" si="5"/>
        <v>2025</v>
      </c>
    </row>
    <row r="47" spans="1:10" x14ac:dyDescent="0.25">
      <c r="A47" s="254">
        <f t="shared" ca="1" si="16"/>
        <v>29</v>
      </c>
      <c r="B47" s="255">
        <f t="shared" ca="1" si="8"/>
        <v>45931</v>
      </c>
      <c r="C47" s="256">
        <f t="shared" ca="1" si="15"/>
        <v>9.618309218620853</v>
      </c>
      <c r="D47" s="257">
        <f t="shared" ca="1" si="1"/>
        <v>1.4</v>
      </c>
      <c r="E47" s="253">
        <f t="shared" ca="1" si="9"/>
        <v>8.2183092186208526</v>
      </c>
      <c r="F47" s="257">
        <f t="shared" ca="1" si="2"/>
        <v>0</v>
      </c>
      <c r="G47" s="257">
        <f t="shared" ca="1" si="3"/>
        <v>275.82903265999454</v>
      </c>
      <c r="H47" s="257">
        <f t="shared" ca="1" si="4"/>
        <v>275.82903265999454</v>
      </c>
      <c r="I47" s="220">
        <f t="shared" ca="1" si="5"/>
        <v>2025</v>
      </c>
      <c r="J47" s="253">
        <f ca="1">SUM(C36:C47)</f>
        <v>115.41971062345023</v>
      </c>
    </row>
    <row r="48" spans="1:10" x14ac:dyDescent="0.25">
      <c r="A48" s="254">
        <f t="shared" ca="1" si="16"/>
        <v>30</v>
      </c>
      <c r="B48" s="255">
        <f t="shared" ca="1" si="8"/>
        <v>45962</v>
      </c>
      <c r="C48" s="256">
        <f t="shared" ca="1" si="15"/>
        <v>9.618309218620853</v>
      </c>
      <c r="D48" s="257">
        <f t="shared" ca="1" si="1"/>
        <v>1.41</v>
      </c>
      <c r="E48" s="253">
        <f t="shared" ca="1" si="9"/>
        <v>8.2083092186208528</v>
      </c>
      <c r="F48" s="257">
        <f t="shared" ca="1" si="2"/>
        <v>0</v>
      </c>
      <c r="G48" s="257">
        <f t="shared" ca="1" si="3"/>
        <v>267.62072344137368</v>
      </c>
      <c r="H48" s="257">
        <f t="shared" ca="1" si="4"/>
        <v>267.62072344137368</v>
      </c>
      <c r="I48" s="220">
        <f t="shared" ca="1" si="5"/>
        <v>2025</v>
      </c>
    </row>
    <row r="49" spans="1:12" x14ac:dyDescent="0.25">
      <c r="A49" s="254">
        <f t="shared" ca="1" si="16"/>
        <v>31</v>
      </c>
      <c r="B49" s="255">
        <f t="shared" ca="1" si="8"/>
        <v>45992</v>
      </c>
      <c r="C49" s="256">
        <f t="shared" ca="1" si="15"/>
        <v>9.618309218620853</v>
      </c>
      <c r="D49" s="257">
        <f t="shared" ca="1" si="1"/>
        <v>1.32</v>
      </c>
      <c r="E49" s="253">
        <f t="shared" ca="1" si="9"/>
        <v>8.2983092186208527</v>
      </c>
      <c r="F49" s="257">
        <f t="shared" ca="1" si="2"/>
        <v>0</v>
      </c>
      <c r="G49" s="257">
        <f t="shared" ca="1" si="3"/>
        <v>259.3224142227528</v>
      </c>
      <c r="H49" s="257">
        <f t="shared" ca="1" si="4"/>
        <v>259.3224142227528</v>
      </c>
      <c r="I49" s="220">
        <f t="shared" ca="1" si="5"/>
        <v>2025</v>
      </c>
    </row>
    <row r="50" spans="1:12" x14ac:dyDescent="0.25">
      <c r="A50" s="254">
        <f t="shared" ca="1" si="16"/>
        <v>32</v>
      </c>
      <c r="B50" s="255">
        <f t="shared" ca="1" si="8"/>
        <v>46023</v>
      </c>
      <c r="C50" s="256">
        <f t="shared" ca="1" si="15"/>
        <v>9.618309218620853</v>
      </c>
      <c r="D50" s="257">
        <f t="shared" ca="1" si="1"/>
        <v>1.32</v>
      </c>
      <c r="E50" s="253">
        <f t="shared" ca="1" si="9"/>
        <v>8.2983092186208527</v>
      </c>
      <c r="F50" s="257">
        <f t="shared" ca="1" si="2"/>
        <v>0</v>
      </c>
      <c r="G50" s="257">
        <f t="shared" ca="1" si="3"/>
        <v>251.02410500413194</v>
      </c>
      <c r="H50" s="257">
        <f t="shared" ca="1" si="4"/>
        <v>251.02410500413194</v>
      </c>
      <c r="I50" s="220">
        <f t="shared" ca="1" si="5"/>
        <v>2026</v>
      </c>
    </row>
    <row r="51" spans="1:12" x14ac:dyDescent="0.25">
      <c r="A51" s="254">
        <f t="shared" ca="1" si="16"/>
        <v>33</v>
      </c>
      <c r="B51" s="255">
        <f t="shared" ca="1" si="8"/>
        <v>46054</v>
      </c>
      <c r="C51" s="256">
        <f t="shared" ca="1" si="15"/>
        <v>9.618309218620853</v>
      </c>
      <c r="D51" s="257">
        <f t="shared" ca="1" si="1"/>
        <v>1.28</v>
      </c>
      <c r="E51" s="253">
        <f t="shared" ca="1" si="9"/>
        <v>8.3383092186208536</v>
      </c>
      <c r="F51" s="257">
        <f t="shared" ca="1" si="2"/>
        <v>0</v>
      </c>
      <c r="G51" s="257">
        <f t="shared" ca="1" si="3"/>
        <v>242.68579578551109</v>
      </c>
      <c r="H51" s="257">
        <f t="shared" ca="1" si="4"/>
        <v>242.68579578551109</v>
      </c>
      <c r="I51" s="220">
        <f t="shared" ca="1" si="5"/>
        <v>2026</v>
      </c>
    </row>
    <row r="52" spans="1:12" x14ac:dyDescent="0.25">
      <c r="A52" s="254">
        <f t="shared" ca="1" si="16"/>
        <v>34</v>
      </c>
      <c r="B52" s="255">
        <f t="shared" ca="1" si="8"/>
        <v>46082</v>
      </c>
      <c r="C52" s="256">
        <f t="shared" ca="1" si="15"/>
        <v>9.618309218620853</v>
      </c>
      <c r="D52" s="257">
        <f t="shared" ca="1" si="1"/>
        <v>1.1200000000000001</v>
      </c>
      <c r="E52" s="253">
        <f t="shared" ca="1" si="9"/>
        <v>8.4983092186208538</v>
      </c>
      <c r="F52" s="257">
        <f t="shared" ca="1" si="2"/>
        <v>0</v>
      </c>
      <c r="G52" s="257">
        <f t="shared" ca="1" si="3"/>
        <v>234.18748656689024</v>
      </c>
      <c r="H52" s="257">
        <f t="shared" ca="1" si="4"/>
        <v>234.18748656689024</v>
      </c>
      <c r="I52" s="220">
        <f t="shared" ca="1" si="5"/>
        <v>2026</v>
      </c>
    </row>
    <row r="53" spans="1:12" x14ac:dyDescent="0.25">
      <c r="A53" s="254">
        <f t="shared" ca="1" si="16"/>
        <v>35</v>
      </c>
      <c r="B53" s="255">
        <f t="shared" ca="1" si="8"/>
        <v>46113</v>
      </c>
      <c r="C53" s="256">
        <f t="shared" ca="1" si="15"/>
        <v>9.618309218620853</v>
      </c>
      <c r="D53" s="257">
        <f t="shared" ca="1" si="1"/>
        <v>1.19</v>
      </c>
      <c r="E53" s="253">
        <f t="shared" ca="1" si="9"/>
        <v>8.4283092186208535</v>
      </c>
      <c r="F53" s="257">
        <f t="shared" ca="1" si="2"/>
        <v>0</v>
      </c>
      <c r="G53" s="257">
        <f t="shared" ca="1" si="3"/>
        <v>225.75917734826939</v>
      </c>
      <c r="H53" s="257">
        <f t="shared" ca="1" si="4"/>
        <v>225.75917734826939</v>
      </c>
      <c r="I53" s="220">
        <f t="shared" ca="1" si="5"/>
        <v>2026</v>
      </c>
    </row>
    <row r="54" spans="1:12" x14ac:dyDescent="0.25">
      <c r="A54" s="254">
        <f t="shared" ca="1" si="16"/>
        <v>36</v>
      </c>
      <c r="B54" s="255">
        <f t="shared" ca="1" si="8"/>
        <v>46143</v>
      </c>
      <c r="C54" s="256">
        <f ca="1">IF(OR(A54=$H$10,A54=$H$13),D54+G53,IF(A54&lt;$H$10,C53,""))</f>
        <v>9.618309218620853</v>
      </c>
      <c r="D54" s="257">
        <f t="shared" ca="1" si="1"/>
        <v>1.1100000000000001</v>
      </c>
      <c r="E54" s="253">
        <f t="shared" ca="1" si="9"/>
        <v>8.5083092186208535</v>
      </c>
      <c r="F54" s="257">
        <f t="shared" ca="1" si="2"/>
        <v>0</v>
      </c>
      <c r="G54" s="257">
        <f t="shared" ca="1" si="3"/>
        <v>217.25086812964855</v>
      </c>
      <c r="H54" s="257">
        <f t="shared" ca="1" si="4"/>
        <v>217.25086812964855</v>
      </c>
      <c r="I54" s="220">
        <f t="shared" ca="1" si="5"/>
        <v>2026</v>
      </c>
      <c r="J54" s="253">
        <f ca="1">SUM(C48:C54)</f>
        <v>67.328164530345973</v>
      </c>
    </row>
    <row r="55" spans="1:12" x14ac:dyDescent="0.25">
      <c r="A55" s="254">
        <f t="shared" ca="1" si="16"/>
        <v>37</v>
      </c>
      <c r="B55" s="255">
        <f t="shared" ca="1" si="8"/>
        <v>46174</v>
      </c>
      <c r="C55" s="256">
        <f t="shared" ca="1" si="15"/>
        <v>9.618309218620853</v>
      </c>
      <c r="D55" s="257">
        <f t="shared" ca="1" si="1"/>
        <v>1.1100000000000001</v>
      </c>
      <c r="E55" s="253">
        <f t="shared" ca="1" si="9"/>
        <v>8.5083092186208535</v>
      </c>
      <c r="F55" s="257">
        <f t="shared" ca="1" si="2"/>
        <v>0</v>
      </c>
      <c r="G55" s="257">
        <f t="shared" ca="1" si="3"/>
        <v>208.74255891102771</v>
      </c>
      <c r="H55" s="257">
        <f t="shared" ca="1" si="4"/>
        <v>208.74255891102771</v>
      </c>
      <c r="I55" s="220">
        <f t="shared" ca="1" si="5"/>
        <v>2026</v>
      </c>
    </row>
    <row r="56" spans="1:12" x14ac:dyDescent="0.25">
      <c r="A56" s="254">
        <f t="shared" ca="1" si="16"/>
        <v>38</v>
      </c>
      <c r="B56" s="255">
        <f t="shared" ca="1" si="8"/>
        <v>46204</v>
      </c>
      <c r="C56" s="256">
        <f t="shared" ca="1" si="15"/>
        <v>9.618309218620853</v>
      </c>
      <c r="D56" s="257">
        <f t="shared" ca="1" si="1"/>
        <v>1.03</v>
      </c>
      <c r="E56" s="253">
        <f t="shared" ca="1" si="9"/>
        <v>8.5883092186208536</v>
      </c>
      <c r="F56" s="257">
        <f t="shared" ca="1" si="2"/>
        <v>0</v>
      </c>
      <c r="G56" s="257">
        <f t="shared" ca="1" si="3"/>
        <v>200.15424969240686</v>
      </c>
      <c r="H56" s="257">
        <f t="shared" ca="1" si="4"/>
        <v>200.15424969240686</v>
      </c>
      <c r="I56" s="220">
        <f t="shared" ca="1" si="5"/>
        <v>2026</v>
      </c>
    </row>
    <row r="57" spans="1:12" x14ac:dyDescent="0.25">
      <c r="A57" s="254">
        <f t="shared" ca="1" si="16"/>
        <v>39</v>
      </c>
      <c r="B57" s="255">
        <f t="shared" ca="1" si="8"/>
        <v>46235</v>
      </c>
      <c r="C57" s="256">
        <f t="shared" ca="1" si="15"/>
        <v>9.618309218620853</v>
      </c>
      <c r="D57" s="257">
        <f t="shared" ca="1" si="1"/>
        <v>1.02</v>
      </c>
      <c r="E57" s="253">
        <f t="shared" ca="1" si="9"/>
        <v>8.5983092186208534</v>
      </c>
      <c r="F57" s="257">
        <f t="shared" ca="1" si="2"/>
        <v>0</v>
      </c>
      <c r="G57" s="257">
        <f t="shared" ca="1" si="3"/>
        <v>191.55594047378602</v>
      </c>
      <c r="H57" s="257">
        <f t="shared" ca="1" si="4"/>
        <v>191.55594047378602</v>
      </c>
      <c r="I57" s="220">
        <f t="shared" ca="1" si="5"/>
        <v>2026</v>
      </c>
    </row>
    <row r="58" spans="1:12" x14ac:dyDescent="0.25">
      <c r="A58" s="254">
        <f t="shared" ca="1" si="16"/>
        <v>40</v>
      </c>
      <c r="B58" s="255">
        <f t="shared" ca="1" si="8"/>
        <v>46266</v>
      </c>
      <c r="C58" s="256">
        <f t="shared" ca="1" si="15"/>
        <v>9.618309218620853</v>
      </c>
      <c r="D58" s="257">
        <f t="shared" ca="1" si="1"/>
        <v>0.98</v>
      </c>
      <c r="E58" s="253">
        <f t="shared" ca="1" si="9"/>
        <v>8.6383092186208525</v>
      </c>
      <c r="F58" s="257">
        <f t="shared" ca="1" si="2"/>
        <v>0</v>
      </c>
      <c r="G58" s="257">
        <f t="shared" ca="1" si="3"/>
        <v>182.91763125516516</v>
      </c>
      <c r="H58" s="257">
        <f t="shared" ca="1" si="4"/>
        <v>182.91763125516516</v>
      </c>
      <c r="I58" s="220">
        <f t="shared" ca="1" si="5"/>
        <v>2026</v>
      </c>
    </row>
    <row r="59" spans="1:12" x14ac:dyDescent="0.25">
      <c r="A59" s="254">
        <f t="shared" ca="1" si="16"/>
        <v>41</v>
      </c>
      <c r="B59" s="255">
        <f t="shared" ca="1" si="8"/>
        <v>46296</v>
      </c>
      <c r="C59" s="256">
        <f t="shared" ca="1" si="15"/>
        <v>9.618309218620853</v>
      </c>
      <c r="D59" s="257">
        <f t="shared" ca="1" si="1"/>
        <v>0.9</v>
      </c>
      <c r="E59" s="253">
        <f t="shared" ca="1" si="9"/>
        <v>8.7183092186208526</v>
      </c>
      <c r="F59" s="257">
        <f t="shared" ca="1" si="2"/>
        <v>0</v>
      </c>
      <c r="G59" s="257">
        <f t="shared" ca="1" si="3"/>
        <v>174.19932203654432</v>
      </c>
      <c r="H59" s="257">
        <f t="shared" ca="1" si="4"/>
        <v>174.19932203654432</v>
      </c>
      <c r="I59" s="220">
        <f t="shared" ca="1" si="5"/>
        <v>2026</v>
      </c>
    </row>
    <row r="60" spans="1:12" x14ac:dyDescent="0.25">
      <c r="A60" s="254">
        <f t="shared" ca="1" si="16"/>
        <v>42</v>
      </c>
      <c r="B60" s="255">
        <f t="shared" ca="1" si="8"/>
        <v>46327</v>
      </c>
      <c r="C60" s="256">
        <f t="shared" ca="1" si="15"/>
        <v>9.618309218620853</v>
      </c>
      <c r="D60" s="257">
        <f t="shared" ca="1" si="1"/>
        <v>0.89</v>
      </c>
      <c r="E60" s="253">
        <f t="shared" ca="1" si="9"/>
        <v>8.7283092186208524</v>
      </c>
      <c r="F60" s="257">
        <f t="shared" ca="1" si="2"/>
        <v>0</v>
      </c>
      <c r="G60" s="257">
        <f t="shared" ca="1" si="3"/>
        <v>165.47101281792345</v>
      </c>
      <c r="H60" s="257">
        <f t="shared" ca="1" si="4"/>
        <v>165.47101281792345</v>
      </c>
      <c r="I60" s="220">
        <f t="shared" ca="1" si="5"/>
        <v>2026</v>
      </c>
    </row>
    <row r="61" spans="1:12" x14ac:dyDescent="0.25">
      <c r="A61" s="254">
        <f t="shared" ca="1" si="16"/>
        <v>43</v>
      </c>
      <c r="B61" s="255">
        <f t="shared" ca="1" si="8"/>
        <v>46357</v>
      </c>
      <c r="C61" s="256">
        <f t="shared" ca="1" si="15"/>
        <v>9.618309218620853</v>
      </c>
      <c r="D61" s="257">
        <f t="shared" ca="1" si="1"/>
        <v>0.82</v>
      </c>
      <c r="E61" s="253">
        <f t="shared" ca="1" si="9"/>
        <v>8.7983092186208527</v>
      </c>
      <c r="F61" s="257">
        <f t="shared" ca="1" si="2"/>
        <v>0</v>
      </c>
      <c r="G61" s="257">
        <f t="shared" ca="1" si="3"/>
        <v>156.67270359930259</v>
      </c>
      <c r="H61" s="257">
        <f t="shared" ca="1" si="4"/>
        <v>156.67270359930259</v>
      </c>
      <c r="I61" s="220">
        <f t="shared" ca="1" si="5"/>
        <v>2026</v>
      </c>
    </row>
    <row r="62" spans="1:12" x14ac:dyDescent="0.25">
      <c r="A62" s="254">
        <f t="shared" ca="1" si="16"/>
        <v>44</v>
      </c>
      <c r="B62" s="255">
        <f t="shared" ca="1" si="8"/>
        <v>46388</v>
      </c>
      <c r="C62" s="256">
        <f t="shared" ca="1" si="15"/>
        <v>9.618309218620853</v>
      </c>
      <c r="D62" s="257">
        <f t="shared" ca="1" si="1"/>
        <v>0.8</v>
      </c>
      <c r="E62" s="253">
        <f t="shared" ca="1" si="9"/>
        <v>8.8183092186208523</v>
      </c>
      <c r="F62" s="257">
        <f t="shared" ca="1" si="2"/>
        <v>0</v>
      </c>
      <c r="G62" s="257">
        <f t="shared" ca="1" si="3"/>
        <v>147.85439438068175</v>
      </c>
      <c r="H62" s="257">
        <f t="shared" ca="1" si="4"/>
        <v>147.85439438068175</v>
      </c>
      <c r="I62" s="220">
        <f t="shared" ca="1" si="5"/>
        <v>2027</v>
      </c>
    </row>
    <row r="63" spans="1:12" x14ac:dyDescent="0.25">
      <c r="A63" s="254">
        <f t="shared" ca="1" si="16"/>
        <v>45</v>
      </c>
      <c r="B63" s="255">
        <f t="shared" ca="1" si="8"/>
        <v>46419</v>
      </c>
      <c r="C63" s="256">
        <f t="shared" ca="1" si="15"/>
        <v>9.618309218620853</v>
      </c>
      <c r="D63" s="257">
        <f t="shared" ca="1" si="1"/>
        <v>0.75</v>
      </c>
      <c r="E63" s="253">
        <f t="shared" ca="1" si="9"/>
        <v>8.868309218620853</v>
      </c>
      <c r="F63" s="257">
        <f t="shared" ca="1" si="2"/>
        <v>0</v>
      </c>
      <c r="G63" s="257">
        <f t="shared" ca="1" si="3"/>
        <v>138.9860851620609</v>
      </c>
      <c r="H63" s="257">
        <f t="shared" ca="1" si="4"/>
        <v>138.9860851620609</v>
      </c>
      <c r="I63" s="220">
        <f t="shared" ca="1" si="5"/>
        <v>2027</v>
      </c>
      <c r="K63" s="253"/>
    </row>
    <row r="64" spans="1:12" x14ac:dyDescent="0.25">
      <c r="A64" s="254">
        <f t="shared" ca="1" si="16"/>
        <v>46</v>
      </c>
      <c r="B64" s="255">
        <f t="shared" ca="1" si="8"/>
        <v>46447</v>
      </c>
      <c r="C64" s="256">
        <f t="shared" ca="1" si="15"/>
        <v>9.618309218620853</v>
      </c>
      <c r="D64" s="257">
        <f t="shared" ca="1" si="1"/>
        <v>0.64</v>
      </c>
      <c r="E64" s="253">
        <f t="shared" ca="1" si="9"/>
        <v>8.9783092186208524</v>
      </c>
      <c r="F64" s="257">
        <f t="shared" ca="1" si="2"/>
        <v>0</v>
      </c>
      <c r="G64" s="257">
        <f t="shared" ca="1" si="3"/>
        <v>130.00777594344004</v>
      </c>
      <c r="H64" s="257">
        <f t="shared" ca="1" si="4"/>
        <v>130.00777594344004</v>
      </c>
      <c r="I64" s="220">
        <f t="shared" ca="1" si="5"/>
        <v>2027</v>
      </c>
      <c r="K64" s="260">
        <f t="shared" ref="K64:K127" ca="1" si="17">HLOOKUP(I64,$L$18:$W$24,7,0)/12</f>
        <v>0</v>
      </c>
      <c r="L64" s="253">
        <f ca="1">G62-G68</f>
        <v>53.979855311725132</v>
      </c>
    </row>
    <row r="65" spans="1:13" x14ac:dyDescent="0.25">
      <c r="A65" s="254">
        <f t="shared" ca="1" si="16"/>
        <v>47</v>
      </c>
      <c r="B65" s="255">
        <f t="shared" ca="1" si="8"/>
        <v>46478</v>
      </c>
      <c r="C65" s="256">
        <f t="shared" ca="1" si="15"/>
        <v>9.618309218620853</v>
      </c>
      <c r="D65" s="257">
        <f t="shared" ca="1" si="1"/>
        <v>0.66</v>
      </c>
      <c r="E65" s="253">
        <f t="shared" ca="1" si="9"/>
        <v>8.9583092186208528</v>
      </c>
      <c r="F65" s="257">
        <f t="shared" ca="1" si="2"/>
        <v>0</v>
      </c>
      <c r="G65" s="257">
        <f t="shared" ca="1" si="3"/>
        <v>121.04946672481918</v>
      </c>
      <c r="H65" s="257">
        <f t="shared" ca="1" si="4"/>
        <v>121.04946672481918</v>
      </c>
      <c r="I65" s="220">
        <f t="shared" ca="1" si="5"/>
        <v>2027</v>
      </c>
      <c r="K65" s="260">
        <f t="shared" ca="1" si="17"/>
        <v>0</v>
      </c>
    </row>
    <row r="66" spans="1:13" x14ac:dyDescent="0.25">
      <c r="A66" s="254">
        <f t="shared" ca="1" si="16"/>
        <v>48</v>
      </c>
      <c r="B66" s="255">
        <f t="shared" ca="1" si="8"/>
        <v>46508</v>
      </c>
      <c r="C66" s="256">
        <f t="shared" ca="1" si="15"/>
        <v>9.618309218620853</v>
      </c>
      <c r="D66" s="257">
        <f t="shared" ca="1" si="1"/>
        <v>0.6</v>
      </c>
      <c r="E66" s="253">
        <f t="shared" ca="1" si="9"/>
        <v>9.0183092186208533</v>
      </c>
      <c r="F66" s="257">
        <f t="shared" ca="1" si="2"/>
        <v>0</v>
      </c>
      <c r="G66" s="257">
        <f t="shared" ca="1" si="3"/>
        <v>112.03115750619833</v>
      </c>
      <c r="H66" s="257">
        <f t="shared" ca="1" si="4"/>
        <v>112.03115750619833</v>
      </c>
      <c r="I66" s="220">
        <f t="shared" ca="1" si="5"/>
        <v>2027</v>
      </c>
      <c r="K66" s="260">
        <f t="shared" ca="1" si="17"/>
        <v>0</v>
      </c>
    </row>
    <row r="67" spans="1:13" x14ac:dyDescent="0.25">
      <c r="A67" s="254">
        <f t="shared" ca="1" si="16"/>
        <v>49</v>
      </c>
      <c r="B67" s="255">
        <f t="shared" ca="1" si="8"/>
        <v>46539</v>
      </c>
      <c r="C67" s="256">
        <f t="shared" ca="1" si="15"/>
        <v>9.618309218620853</v>
      </c>
      <c r="D67" s="257">
        <f t="shared" ca="1" si="1"/>
        <v>0.56999999999999995</v>
      </c>
      <c r="E67" s="253">
        <f t="shared" ca="1" si="9"/>
        <v>9.0483092186208527</v>
      </c>
      <c r="F67" s="257">
        <f t="shared" ca="1" si="2"/>
        <v>0</v>
      </c>
      <c r="G67" s="257">
        <f t="shared" ca="1" si="3"/>
        <v>102.98284828757747</v>
      </c>
      <c r="H67" s="257">
        <f t="shared" ca="1" si="4"/>
        <v>102.98284828757747</v>
      </c>
      <c r="I67" s="220">
        <f t="shared" ca="1" si="5"/>
        <v>2027</v>
      </c>
      <c r="K67" s="260">
        <f t="shared" ca="1" si="17"/>
        <v>0</v>
      </c>
    </row>
    <row r="68" spans="1:13" x14ac:dyDescent="0.25">
      <c r="A68" s="254">
        <f t="shared" ca="1" si="16"/>
        <v>50</v>
      </c>
      <c r="B68" s="255">
        <f t="shared" ca="1" si="8"/>
        <v>46569</v>
      </c>
      <c r="C68" s="256">
        <f t="shared" ca="1" si="15"/>
        <v>9.618309218620853</v>
      </c>
      <c r="D68" s="257">
        <f t="shared" ca="1" si="1"/>
        <v>0.51</v>
      </c>
      <c r="E68" s="253">
        <f t="shared" ca="1" si="9"/>
        <v>9.1083092186208532</v>
      </c>
      <c r="F68" s="257">
        <f t="shared" ca="1" si="2"/>
        <v>0</v>
      </c>
      <c r="G68" s="257">
        <f t="shared" ca="1" si="3"/>
        <v>93.874539068956622</v>
      </c>
      <c r="H68" s="257">
        <f t="shared" ca="1" si="4"/>
        <v>93.874539068956622</v>
      </c>
      <c r="I68" s="220">
        <f t="shared" ca="1" si="5"/>
        <v>2027</v>
      </c>
      <c r="K68" s="260">
        <f t="shared" ca="1" si="17"/>
        <v>0</v>
      </c>
      <c r="L68" s="253">
        <f ca="1">G68-G74</f>
        <v>55.569855311725085</v>
      </c>
      <c r="M68" s="247">
        <f ca="1">L22-L64</f>
        <v>-53.979855311725132</v>
      </c>
    </row>
    <row r="69" spans="1:13" x14ac:dyDescent="0.25">
      <c r="A69" s="254">
        <f t="shared" ca="1" si="16"/>
        <v>51</v>
      </c>
      <c r="B69" s="255">
        <f t="shared" ca="1" si="8"/>
        <v>46600</v>
      </c>
      <c r="C69" s="256">
        <f t="shared" ca="1" si="15"/>
        <v>9.618309218620853</v>
      </c>
      <c r="D69" s="257">
        <f t="shared" ca="1" si="1"/>
        <v>0.48</v>
      </c>
      <c r="E69" s="253">
        <f t="shared" ca="1" si="9"/>
        <v>9.1383092186208525</v>
      </c>
      <c r="F69" s="257">
        <f t="shared" ca="1" si="2"/>
        <v>0</v>
      </c>
      <c r="G69" s="257">
        <f t="shared" ca="1" si="3"/>
        <v>84.736229850335775</v>
      </c>
      <c r="H69" s="257">
        <f t="shared" ca="1" si="4"/>
        <v>84.736229850335775</v>
      </c>
      <c r="I69" s="220">
        <f t="shared" ca="1" si="5"/>
        <v>2027</v>
      </c>
      <c r="K69" s="260">
        <f t="shared" ca="1" si="17"/>
        <v>0</v>
      </c>
      <c r="L69" s="253">
        <f ca="1">L68+L64</f>
        <v>109.54971062345021</v>
      </c>
    </row>
    <row r="70" spans="1:13" x14ac:dyDescent="0.25">
      <c r="A70" s="254">
        <f t="shared" ca="1" si="16"/>
        <v>52</v>
      </c>
      <c r="B70" s="255">
        <f t="shared" ca="1" si="8"/>
        <v>46631</v>
      </c>
      <c r="C70" s="256">
        <f t="shared" ca="1" si="15"/>
        <v>9.618309218620853</v>
      </c>
      <c r="D70" s="257">
        <f t="shared" ca="1" si="1"/>
        <v>0.43</v>
      </c>
      <c r="E70" s="253">
        <f t="shared" ca="1" si="9"/>
        <v>9.1883092186208533</v>
      </c>
      <c r="F70" s="257">
        <f t="shared" ca="1" si="2"/>
        <v>0</v>
      </c>
      <c r="G70" s="257">
        <f t="shared" ca="1" si="3"/>
        <v>75.547920631714931</v>
      </c>
      <c r="H70" s="257">
        <f t="shared" ca="1" si="4"/>
        <v>75.547920631714931</v>
      </c>
      <c r="I70" s="220">
        <f t="shared" ca="1" si="5"/>
        <v>2027</v>
      </c>
      <c r="K70" s="260">
        <f t="shared" ca="1" si="17"/>
        <v>0</v>
      </c>
    </row>
    <row r="71" spans="1:13" x14ac:dyDescent="0.25">
      <c r="A71" s="254">
        <f t="shared" ca="1" si="16"/>
        <v>53</v>
      </c>
      <c r="B71" s="255">
        <f t="shared" ca="1" si="8"/>
        <v>46661</v>
      </c>
      <c r="C71" s="256">
        <f t="shared" ca="1" si="15"/>
        <v>9.618309218620853</v>
      </c>
      <c r="D71" s="257">
        <f t="shared" ca="1" si="1"/>
        <v>0.37</v>
      </c>
      <c r="E71" s="253">
        <f t="shared" ca="1" si="9"/>
        <v>9.2483092186208538</v>
      </c>
      <c r="F71" s="257">
        <f t="shared" ca="1" si="2"/>
        <v>0</v>
      </c>
      <c r="G71" s="257">
        <f t="shared" ca="1" si="3"/>
        <v>66.299611413094084</v>
      </c>
      <c r="H71" s="257">
        <f t="shared" ca="1" si="4"/>
        <v>66.299611413094084</v>
      </c>
      <c r="I71" s="220">
        <f t="shared" ca="1" si="5"/>
        <v>2027</v>
      </c>
      <c r="K71" s="260">
        <f t="shared" ca="1" si="17"/>
        <v>0</v>
      </c>
    </row>
    <row r="72" spans="1:13" x14ac:dyDescent="0.25">
      <c r="A72" s="254">
        <f t="shared" ca="1" si="16"/>
        <v>54</v>
      </c>
      <c r="B72" s="255">
        <f t="shared" ca="1" si="8"/>
        <v>46692</v>
      </c>
      <c r="C72" s="256">
        <f t="shared" ca="1" si="15"/>
        <v>9.618309218620853</v>
      </c>
      <c r="D72" s="257">
        <f t="shared" ca="1" si="1"/>
        <v>0.34</v>
      </c>
      <c r="E72" s="253">
        <f t="shared" ca="1" si="9"/>
        <v>9.2783092186208531</v>
      </c>
      <c r="F72" s="257">
        <f t="shared" ca="1" si="2"/>
        <v>0</v>
      </c>
      <c r="G72" s="257">
        <f t="shared" ca="1" si="3"/>
        <v>57.021302194473236</v>
      </c>
      <c r="H72" s="257">
        <f t="shared" ca="1" si="4"/>
        <v>57.021302194473236</v>
      </c>
      <c r="I72" s="220">
        <f t="shared" ca="1" si="5"/>
        <v>2027</v>
      </c>
      <c r="K72" s="260">
        <f t="shared" ca="1" si="17"/>
        <v>0</v>
      </c>
    </row>
    <row r="73" spans="1:13" x14ac:dyDescent="0.25">
      <c r="A73" s="254">
        <f t="shared" ca="1" si="16"/>
        <v>55</v>
      </c>
      <c r="B73" s="255">
        <f t="shared" ca="1" si="8"/>
        <v>46722</v>
      </c>
      <c r="C73" s="256">
        <f t="shared" ca="1" si="15"/>
        <v>9.618309218620853</v>
      </c>
      <c r="D73" s="257">
        <f t="shared" ca="1" si="1"/>
        <v>0.28000000000000003</v>
      </c>
      <c r="E73" s="253">
        <f t="shared" ca="1" si="9"/>
        <v>9.3383092186208536</v>
      </c>
      <c r="F73" s="257">
        <f t="shared" ca="1" si="2"/>
        <v>0</v>
      </c>
      <c r="G73" s="257">
        <f t="shared" ca="1" si="3"/>
        <v>47.682992975852386</v>
      </c>
      <c r="H73" s="257">
        <f t="shared" ca="1" si="4"/>
        <v>47.682992975852386</v>
      </c>
      <c r="I73" s="220">
        <f t="shared" ca="1" si="5"/>
        <v>2027</v>
      </c>
      <c r="K73" s="260">
        <f t="shared" ca="1" si="17"/>
        <v>0</v>
      </c>
    </row>
    <row r="74" spans="1:13" x14ac:dyDescent="0.25">
      <c r="A74" s="254">
        <f t="shared" ca="1" si="16"/>
        <v>56</v>
      </c>
      <c r="B74" s="255">
        <f t="shared" ca="1" si="8"/>
        <v>46753</v>
      </c>
      <c r="C74" s="256">
        <f t="shared" ca="1" si="15"/>
        <v>9.618309218620853</v>
      </c>
      <c r="D74" s="257">
        <f t="shared" ca="1" si="1"/>
        <v>0.24</v>
      </c>
      <c r="E74" s="253">
        <f t="shared" ca="1" si="9"/>
        <v>9.3783092186208528</v>
      </c>
      <c r="F74" s="257">
        <f t="shared" ca="1" si="2"/>
        <v>0</v>
      </c>
      <c r="G74" s="257">
        <f t="shared" ca="1" si="3"/>
        <v>38.304683757231537</v>
      </c>
      <c r="H74" s="257">
        <f t="shared" ca="1" si="4"/>
        <v>38.304683757231537</v>
      </c>
      <c r="I74" s="220">
        <f t="shared" ca="1" si="5"/>
        <v>2028</v>
      </c>
      <c r="K74" s="260">
        <f t="shared" ca="1" si="17"/>
        <v>0</v>
      </c>
    </row>
    <row r="75" spans="1:13" x14ac:dyDescent="0.25">
      <c r="A75" s="254">
        <f t="shared" ca="1" si="16"/>
        <v>57</v>
      </c>
      <c r="B75" s="255">
        <f t="shared" ca="1" si="8"/>
        <v>46784</v>
      </c>
      <c r="C75" s="256">
        <f t="shared" ca="1" si="15"/>
        <v>9.618309218620853</v>
      </c>
      <c r="D75" s="257">
        <f t="shared" ca="1" si="1"/>
        <v>0.2</v>
      </c>
      <c r="E75" s="253">
        <f t="shared" ca="1" si="9"/>
        <v>9.4183092186208537</v>
      </c>
      <c r="F75" s="257">
        <f t="shared" ca="1" si="2"/>
        <v>0</v>
      </c>
      <c r="G75" s="257">
        <f t="shared" ca="1" si="3"/>
        <v>28.886374538610688</v>
      </c>
      <c r="H75" s="257">
        <f t="shared" ca="1" si="4"/>
        <v>28.886374538610688</v>
      </c>
      <c r="I75" s="220">
        <f t="shared" ca="1" si="5"/>
        <v>2028</v>
      </c>
      <c r="K75" s="260">
        <f t="shared" ca="1" si="17"/>
        <v>0</v>
      </c>
    </row>
    <row r="76" spans="1:13" x14ac:dyDescent="0.25">
      <c r="A76" s="254">
        <f t="shared" ca="1" si="16"/>
        <v>58</v>
      </c>
      <c r="B76" s="255">
        <f t="shared" ca="1" si="8"/>
        <v>46813</v>
      </c>
      <c r="C76" s="256">
        <f t="shared" ca="1" si="15"/>
        <v>9.618309218620853</v>
      </c>
      <c r="D76" s="257">
        <f t="shared" ca="1" si="1"/>
        <v>0.14000000000000001</v>
      </c>
      <c r="E76" s="253">
        <f t="shared" ca="1" si="9"/>
        <v>9.4783092186208524</v>
      </c>
      <c r="F76" s="257">
        <f t="shared" ca="1" si="2"/>
        <v>0</v>
      </c>
      <c r="G76" s="257">
        <f t="shared" ca="1" si="3"/>
        <v>19.408065319989838</v>
      </c>
      <c r="H76" s="257">
        <f t="shared" ca="1" si="4"/>
        <v>19.408065319989838</v>
      </c>
      <c r="I76" s="220">
        <f t="shared" ca="1" si="5"/>
        <v>2028</v>
      </c>
      <c r="K76" s="260">
        <f t="shared" ca="1" si="17"/>
        <v>0</v>
      </c>
    </row>
    <row r="77" spans="1:13" x14ac:dyDescent="0.25">
      <c r="A77" s="254">
        <f t="shared" ca="1" si="16"/>
        <v>59</v>
      </c>
      <c r="B77" s="255">
        <f t="shared" ca="1" si="8"/>
        <v>46844</v>
      </c>
      <c r="C77" s="256">
        <f t="shared" ca="1" si="15"/>
        <v>9.618309218620853</v>
      </c>
      <c r="D77" s="257">
        <f t="shared" ca="1" si="1"/>
        <v>0.1</v>
      </c>
      <c r="E77" s="253">
        <f t="shared" ca="1" si="9"/>
        <v>9.5183092186208533</v>
      </c>
      <c r="F77" s="257">
        <f t="shared" ca="1" si="2"/>
        <v>0</v>
      </c>
      <c r="G77" s="257">
        <f t="shared" ca="1" si="3"/>
        <v>9.8897561013689863</v>
      </c>
      <c r="H77" s="257">
        <f t="shared" ca="1" si="4"/>
        <v>9.8897561013689863</v>
      </c>
      <c r="I77" s="220">
        <f t="shared" ca="1" si="5"/>
        <v>2028</v>
      </c>
      <c r="K77" s="260">
        <f t="shared" ca="1" si="17"/>
        <v>0</v>
      </c>
    </row>
    <row r="78" spans="1:13" x14ac:dyDescent="0.25">
      <c r="A78" s="254">
        <f t="shared" ca="1" si="16"/>
        <v>60</v>
      </c>
      <c r="B78" s="255">
        <f t="shared" ca="1" si="8"/>
        <v>46874</v>
      </c>
      <c r="C78" s="256">
        <f t="shared" ca="1" si="15"/>
        <v>9.939756101368987</v>
      </c>
      <c r="D78" s="257">
        <f t="shared" ca="1" si="1"/>
        <v>0.05</v>
      </c>
      <c r="E78" s="253">
        <f t="shared" ca="1" si="9"/>
        <v>9.8897561013689863</v>
      </c>
      <c r="F78" s="257">
        <f t="shared" ca="1" si="2"/>
        <v>0</v>
      </c>
      <c r="G78" s="257">
        <f t="shared" ca="1" si="3"/>
        <v>0</v>
      </c>
      <c r="H78" s="257">
        <f t="shared" ca="1" si="4"/>
        <v>0</v>
      </c>
      <c r="I78" s="220">
        <f t="shared" ca="1" si="5"/>
        <v>2028</v>
      </c>
      <c r="K78" s="260">
        <f t="shared" ca="1" si="17"/>
        <v>0</v>
      </c>
    </row>
    <row r="79" spans="1:13" x14ac:dyDescent="0.25">
      <c r="A79" s="254" t="str">
        <f t="shared" ca="1" si="16"/>
        <v/>
      </c>
      <c r="B79" s="255" t="str">
        <f t="shared" ca="1" si="8"/>
        <v/>
      </c>
      <c r="C79" s="256" t="str">
        <f t="shared" ca="1" si="15"/>
        <v/>
      </c>
      <c r="D79" s="257" t="str">
        <f t="shared" ca="1" si="1"/>
        <v/>
      </c>
      <c r="F79" s="257" t="str">
        <f t="shared" ca="1" si="2"/>
        <v/>
      </c>
      <c r="G79" s="257" t="str">
        <f t="shared" ca="1" si="3"/>
        <v/>
      </c>
      <c r="H79" s="257" t="str">
        <f t="shared" ca="1" si="4"/>
        <v/>
      </c>
      <c r="I79" s="220" t="e">
        <f t="shared" ca="1" si="5"/>
        <v>#VALUE!</v>
      </c>
      <c r="K79" s="260" t="e">
        <f t="shared" ca="1" si="17"/>
        <v>#VALUE!</v>
      </c>
    </row>
    <row r="80" spans="1:13" x14ac:dyDescent="0.25">
      <c r="A80" s="254" t="str">
        <f t="shared" ca="1" si="16"/>
        <v/>
      </c>
      <c r="B80" s="255" t="str">
        <f t="shared" ca="1" si="8"/>
        <v/>
      </c>
      <c r="C80" s="256" t="str">
        <f t="shared" ca="1" si="15"/>
        <v/>
      </c>
      <c r="D80" s="257" t="str">
        <f t="shared" ca="1" si="1"/>
        <v/>
      </c>
      <c r="F80" s="257" t="str">
        <f t="shared" ca="1" si="2"/>
        <v/>
      </c>
      <c r="G80" s="257" t="str">
        <f t="shared" ca="1" si="3"/>
        <v/>
      </c>
      <c r="H80" s="257" t="str">
        <f t="shared" ca="1" si="4"/>
        <v/>
      </c>
      <c r="I80" s="220" t="e">
        <f t="shared" ca="1" si="5"/>
        <v>#VALUE!</v>
      </c>
      <c r="K80" s="260" t="e">
        <f t="shared" ca="1" si="17"/>
        <v>#VALUE!</v>
      </c>
    </row>
    <row r="81" spans="1:11" x14ac:dyDescent="0.25">
      <c r="A81" s="254" t="str">
        <f t="shared" ca="1" si="16"/>
        <v/>
      </c>
      <c r="B81" s="255" t="str">
        <f t="shared" ca="1" si="8"/>
        <v/>
      </c>
      <c r="C81" s="256" t="str">
        <f t="shared" ca="1" si="15"/>
        <v/>
      </c>
      <c r="D81" s="257" t="str">
        <f t="shared" ca="1" si="1"/>
        <v/>
      </c>
      <c r="F81" s="257" t="str">
        <f t="shared" ca="1" si="2"/>
        <v/>
      </c>
      <c r="G81" s="257" t="str">
        <f t="shared" ca="1" si="3"/>
        <v/>
      </c>
      <c r="H81" s="257" t="str">
        <f t="shared" ca="1" si="4"/>
        <v/>
      </c>
      <c r="I81" s="220" t="e">
        <f t="shared" ca="1" si="5"/>
        <v>#VALUE!</v>
      </c>
      <c r="K81" s="260" t="e">
        <f t="shared" ca="1" si="17"/>
        <v>#VALUE!</v>
      </c>
    </row>
    <row r="82" spans="1:11" x14ac:dyDescent="0.25">
      <c r="A82" s="254" t="str">
        <f t="shared" ca="1" si="16"/>
        <v/>
      </c>
      <c r="B82" s="255" t="str">
        <f t="shared" ca="1" si="8"/>
        <v/>
      </c>
      <c r="C82" s="256" t="str">
        <f t="shared" ca="1" si="15"/>
        <v/>
      </c>
      <c r="D82" s="257" t="str">
        <f t="shared" ca="1" si="1"/>
        <v/>
      </c>
      <c r="F82" s="257" t="str">
        <f t="shared" ca="1" si="2"/>
        <v/>
      </c>
      <c r="G82" s="257" t="str">
        <f t="shared" ca="1" si="3"/>
        <v/>
      </c>
      <c r="H82" s="257" t="str">
        <f t="shared" ca="1" si="4"/>
        <v/>
      </c>
      <c r="I82" s="220" t="e">
        <f t="shared" ca="1" si="5"/>
        <v>#VALUE!</v>
      </c>
      <c r="K82" s="260" t="e">
        <f t="shared" ca="1" si="17"/>
        <v>#VALUE!</v>
      </c>
    </row>
    <row r="83" spans="1:11" x14ac:dyDescent="0.25">
      <c r="A83" s="254" t="str">
        <f t="shared" ca="1" si="16"/>
        <v/>
      </c>
      <c r="B83" s="255" t="str">
        <f t="shared" ca="1" si="8"/>
        <v/>
      </c>
      <c r="C83" s="256" t="str">
        <f t="shared" ca="1" si="15"/>
        <v/>
      </c>
      <c r="D83" s="257" t="str">
        <f t="shared" ref="D83:D146" ca="1" si="18">IF(B83="","",ROUND((B83-B82)*$H$9*G82,2))</f>
        <v/>
      </c>
      <c r="F83" s="257" t="str">
        <f t="shared" ref="F83:F146" ca="1" si="19">IF(B83="","",IF(C83&gt;F82+D83,0,F82+D83-C83))</f>
        <v/>
      </c>
      <c r="G83" s="257" t="str">
        <f t="shared" ref="G83:G146" ca="1" si="20">IF(B83="","",IF(C83&gt;D83+F82,G82+F82+D83-C83,G82))</f>
        <v/>
      </c>
      <c r="H83" s="257" t="str">
        <f t="shared" ref="H83:H146" ca="1" si="21">IF(B83="","",G83+F83)</f>
        <v/>
      </c>
      <c r="I83" s="220" t="e">
        <f t="shared" ref="I83:I138" ca="1" si="22">YEAR(B83)</f>
        <v>#VALUE!</v>
      </c>
      <c r="K83" s="260" t="e">
        <f t="shared" ca="1" si="17"/>
        <v>#VALUE!</v>
      </c>
    </row>
    <row r="84" spans="1:11" x14ac:dyDescent="0.25">
      <c r="A84" s="254" t="str">
        <f t="shared" ca="1" si="16"/>
        <v/>
      </c>
      <c r="B84" s="255" t="str">
        <f t="shared" ref="B84:B138" ca="1" si="23">IF(A84&lt;$H$10+1,DATE(YEAR(B83),MONTH(B83)+1,1),"")</f>
        <v/>
      </c>
      <c r="C84" s="256" t="str">
        <f t="shared" ca="1" si="15"/>
        <v/>
      </c>
      <c r="D84" s="257" t="str">
        <f t="shared" ca="1" si="18"/>
        <v/>
      </c>
      <c r="F84" s="257" t="str">
        <f t="shared" ca="1" si="19"/>
        <v/>
      </c>
      <c r="G84" s="257" t="str">
        <f t="shared" ca="1" si="20"/>
        <v/>
      </c>
      <c r="H84" s="257" t="str">
        <f t="shared" ca="1" si="21"/>
        <v/>
      </c>
      <c r="I84" s="220" t="e">
        <f t="shared" ca="1" si="22"/>
        <v>#VALUE!</v>
      </c>
      <c r="K84" s="260" t="e">
        <f t="shared" ca="1" si="17"/>
        <v>#VALUE!</v>
      </c>
    </row>
    <row r="85" spans="1:11" x14ac:dyDescent="0.25">
      <c r="A85" s="254" t="str">
        <f t="shared" ca="1" si="16"/>
        <v/>
      </c>
      <c r="B85" s="255" t="str">
        <f t="shared" ca="1" si="23"/>
        <v/>
      </c>
      <c r="C85" s="256" t="str">
        <f t="shared" ca="1" si="15"/>
        <v/>
      </c>
      <c r="D85" s="257" t="str">
        <f t="shared" ca="1" si="18"/>
        <v/>
      </c>
      <c r="F85" s="257" t="str">
        <f t="shared" ca="1" si="19"/>
        <v/>
      </c>
      <c r="G85" s="257" t="str">
        <f t="shared" ca="1" si="20"/>
        <v/>
      </c>
      <c r="H85" s="257" t="str">
        <f t="shared" ca="1" si="21"/>
        <v/>
      </c>
      <c r="I85" s="220" t="e">
        <f t="shared" ca="1" si="22"/>
        <v>#VALUE!</v>
      </c>
      <c r="K85" s="260" t="e">
        <f t="shared" ca="1" si="17"/>
        <v>#VALUE!</v>
      </c>
    </row>
    <row r="86" spans="1:11" x14ac:dyDescent="0.25">
      <c r="A86" s="254" t="str">
        <f t="shared" ca="1" si="16"/>
        <v/>
      </c>
      <c r="B86" s="255" t="str">
        <f t="shared" ca="1" si="23"/>
        <v/>
      </c>
      <c r="C86" s="256" t="str">
        <f t="shared" ca="1" si="15"/>
        <v/>
      </c>
      <c r="D86" s="257" t="str">
        <f t="shared" ca="1" si="18"/>
        <v/>
      </c>
      <c r="F86" s="257" t="str">
        <f t="shared" ca="1" si="19"/>
        <v/>
      </c>
      <c r="G86" s="257" t="str">
        <f t="shared" ca="1" si="20"/>
        <v/>
      </c>
      <c r="H86" s="257" t="str">
        <f t="shared" ca="1" si="21"/>
        <v/>
      </c>
      <c r="I86" s="220" t="e">
        <f t="shared" ca="1" si="22"/>
        <v>#VALUE!</v>
      </c>
      <c r="K86" s="260" t="e">
        <f t="shared" ca="1" si="17"/>
        <v>#VALUE!</v>
      </c>
    </row>
    <row r="87" spans="1:11" x14ac:dyDescent="0.25">
      <c r="A87" s="254" t="str">
        <f t="shared" ca="1" si="16"/>
        <v/>
      </c>
      <c r="B87" s="255" t="str">
        <f t="shared" ca="1" si="23"/>
        <v/>
      </c>
      <c r="C87" s="256" t="str">
        <f t="shared" ca="1" si="15"/>
        <v/>
      </c>
      <c r="D87" s="257" t="str">
        <f t="shared" ca="1" si="18"/>
        <v/>
      </c>
      <c r="F87" s="257" t="str">
        <f t="shared" ca="1" si="19"/>
        <v/>
      </c>
      <c r="G87" s="257" t="str">
        <f t="shared" ca="1" si="20"/>
        <v/>
      </c>
      <c r="H87" s="257" t="str">
        <f t="shared" ca="1" si="21"/>
        <v/>
      </c>
      <c r="I87" s="220" t="e">
        <f t="shared" ca="1" si="22"/>
        <v>#VALUE!</v>
      </c>
      <c r="K87" s="260" t="e">
        <f t="shared" ca="1" si="17"/>
        <v>#VALUE!</v>
      </c>
    </row>
    <row r="88" spans="1:11" x14ac:dyDescent="0.25">
      <c r="A88" s="254" t="str">
        <f t="shared" ca="1" si="16"/>
        <v/>
      </c>
      <c r="B88" s="255" t="str">
        <f t="shared" ca="1" si="23"/>
        <v/>
      </c>
      <c r="C88" s="256" t="str">
        <f t="shared" ca="1" si="15"/>
        <v/>
      </c>
      <c r="D88" s="257" t="str">
        <f t="shared" ca="1" si="18"/>
        <v/>
      </c>
      <c r="F88" s="257" t="str">
        <f t="shared" ca="1" si="19"/>
        <v/>
      </c>
      <c r="G88" s="257" t="str">
        <f t="shared" ca="1" si="20"/>
        <v/>
      </c>
      <c r="H88" s="257" t="str">
        <f t="shared" ca="1" si="21"/>
        <v/>
      </c>
      <c r="I88" s="220" t="e">
        <f t="shared" ca="1" si="22"/>
        <v>#VALUE!</v>
      </c>
      <c r="K88" s="260" t="e">
        <f t="shared" ca="1" si="17"/>
        <v>#VALUE!</v>
      </c>
    </row>
    <row r="89" spans="1:11" x14ac:dyDescent="0.25">
      <c r="A89" s="254" t="str">
        <f t="shared" ca="1" si="16"/>
        <v/>
      </c>
      <c r="B89" s="255" t="str">
        <f t="shared" ca="1" si="23"/>
        <v/>
      </c>
      <c r="C89" s="256" t="str">
        <f t="shared" ca="1" si="15"/>
        <v/>
      </c>
      <c r="D89" s="257" t="str">
        <f t="shared" ca="1" si="18"/>
        <v/>
      </c>
      <c r="F89" s="257" t="str">
        <f t="shared" ca="1" si="19"/>
        <v/>
      </c>
      <c r="G89" s="257" t="str">
        <f t="shared" ca="1" si="20"/>
        <v/>
      </c>
      <c r="H89" s="257" t="str">
        <f t="shared" ca="1" si="21"/>
        <v/>
      </c>
      <c r="I89" s="220" t="e">
        <f t="shared" ca="1" si="22"/>
        <v>#VALUE!</v>
      </c>
      <c r="K89" s="260" t="e">
        <f t="shared" ca="1" si="17"/>
        <v>#VALUE!</v>
      </c>
    </row>
    <row r="90" spans="1:11" x14ac:dyDescent="0.25">
      <c r="A90" s="254" t="str">
        <f t="shared" ca="1" si="16"/>
        <v/>
      </c>
      <c r="B90" s="255" t="str">
        <f t="shared" ca="1" si="23"/>
        <v/>
      </c>
      <c r="C90" s="256" t="str">
        <f t="shared" ca="1" si="15"/>
        <v/>
      </c>
      <c r="D90" s="257" t="str">
        <f t="shared" ca="1" si="18"/>
        <v/>
      </c>
      <c r="F90" s="257" t="str">
        <f t="shared" ca="1" si="19"/>
        <v/>
      </c>
      <c r="G90" s="257" t="str">
        <f t="shared" ca="1" si="20"/>
        <v/>
      </c>
      <c r="H90" s="257" t="str">
        <f t="shared" ca="1" si="21"/>
        <v/>
      </c>
      <c r="I90" s="220" t="e">
        <f t="shared" ca="1" si="22"/>
        <v>#VALUE!</v>
      </c>
      <c r="K90" s="260" t="e">
        <f t="shared" ca="1" si="17"/>
        <v>#VALUE!</v>
      </c>
    </row>
    <row r="91" spans="1:11" x14ac:dyDescent="0.25">
      <c r="A91" s="254" t="str">
        <f t="shared" ca="1" si="16"/>
        <v/>
      </c>
      <c r="B91" s="255" t="str">
        <f t="shared" ca="1" si="23"/>
        <v/>
      </c>
      <c r="C91" s="256" t="str">
        <f t="shared" ca="1" si="15"/>
        <v/>
      </c>
      <c r="D91" s="257" t="str">
        <f t="shared" ca="1" si="18"/>
        <v/>
      </c>
      <c r="F91" s="257" t="str">
        <f t="shared" ca="1" si="19"/>
        <v/>
      </c>
      <c r="G91" s="257" t="str">
        <f t="shared" ca="1" si="20"/>
        <v/>
      </c>
      <c r="H91" s="257" t="str">
        <f t="shared" ca="1" si="21"/>
        <v/>
      </c>
      <c r="I91" s="220" t="e">
        <f t="shared" ca="1" si="22"/>
        <v>#VALUE!</v>
      </c>
      <c r="K91" s="260" t="e">
        <f t="shared" ca="1" si="17"/>
        <v>#VALUE!</v>
      </c>
    </row>
    <row r="92" spans="1:11" x14ac:dyDescent="0.25">
      <c r="A92" s="254" t="str">
        <f t="shared" ca="1" si="16"/>
        <v/>
      </c>
      <c r="B92" s="255" t="str">
        <f t="shared" ca="1" si="23"/>
        <v/>
      </c>
      <c r="C92" s="256" t="str">
        <f t="shared" ca="1" si="15"/>
        <v/>
      </c>
      <c r="D92" s="257" t="str">
        <f t="shared" ca="1" si="18"/>
        <v/>
      </c>
      <c r="F92" s="257" t="str">
        <f t="shared" ca="1" si="19"/>
        <v/>
      </c>
      <c r="G92" s="257" t="str">
        <f t="shared" ca="1" si="20"/>
        <v/>
      </c>
      <c r="H92" s="257" t="str">
        <f t="shared" ca="1" si="21"/>
        <v/>
      </c>
      <c r="I92" s="220" t="e">
        <f t="shared" ca="1" si="22"/>
        <v>#VALUE!</v>
      </c>
      <c r="K92" s="260" t="e">
        <f t="shared" ca="1" si="17"/>
        <v>#VALUE!</v>
      </c>
    </row>
    <row r="93" spans="1:11" x14ac:dyDescent="0.25">
      <c r="A93" s="254" t="str">
        <f t="shared" ca="1" si="16"/>
        <v/>
      </c>
      <c r="B93" s="255" t="str">
        <f t="shared" ca="1" si="23"/>
        <v/>
      </c>
      <c r="C93" s="256" t="str">
        <f t="shared" ca="1" si="15"/>
        <v/>
      </c>
      <c r="D93" s="257" t="str">
        <f t="shared" ca="1" si="18"/>
        <v/>
      </c>
      <c r="F93" s="257" t="str">
        <f t="shared" ca="1" si="19"/>
        <v/>
      </c>
      <c r="G93" s="257" t="str">
        <f t="shared" ca="1" si="20"/>
        <v/>
      </c>
      <c r="H93" s="257" t="str">
        <f t="shared" ca="1" si="21"/>
        <v/>
      </c>
      <c r="I93" s="220" t="e">
        <f t="shared" ca="1" si="22"/>
        <v>#VALUE!</v>
      </c>
      <c r="K93" s="260" t="e">
        <f t="shared" ca="1" si="17"/>
        <v>#VALUE!</v>
      </c>
    </row>
    <row r="94" spans="1:11" x14ac:dyDescent="0.25">
      <c r="A94" s="254" t="str">
        <f t="shared" ca="1" si="16"/>
        <v/>
      </c>
      <c r="B94" s="255" t="str">
        <f t="shared" ca="1" si="23"/>
        <v/>
      </c>
      <c r="C94" s="256" t="str">
        <f t="shared" ca="1" si="15"/>
        <v/>
      </c>
      <c r="D94" s="257" t="str">
        <f t="shared" ca="1" si="18"/>
        <v/>
      </c>
      <c r="F94" s="257" t="str">
        <f t="shared" ca="1" si="19"/>
        <v/>
      </c>
      <c r="G94" s="257" t="str">
        <f t="shared" ca="1" si="20"/>
        <v/>
      </c>
      <c r="H94" s="257" t="str">
        <f t="shared" ca="1" si="21"/>
        <v/>
      </c>
      <c r="I94" s="220" t="e">
        <f t="shared" ca="1" si="22"/>
        <v>#VALUE!</v>
      </c>
      <c r="K94" s="260" t="e">
        <f t="shared" ca="1" si="17"/>
        <v>#VALUE!</v>
      </c>
    </row>
    <row r="95" spans="1:11" x14ac:dyDescent="0.25">
      <c r="A95" s="254" t="str">
        <f t="shared" ca="1" si="16"/>
        <v/>
      </c>
      <c r="B95" s="255" t="str">
        <f t="shared" ca="1" si="23"/>
        <v/>
      </c>
      <c r="C95" s="256" t="str">
        <f t="shared" ca="1" si="15"/>
        <v/>
      </c>
      <c r="D95" s="257" t="str">
        <f t="shared" ca="1" si="18"/>
        <v/>
      </c>
      <c r="F95" s="257" t="str">
        <f t="shared" ca="1" si="19"/>
        <v/>
      </c>
      <c r="G95" s="257" t="str">
        <f t="shared" ca="1" si="20"/>
        <v/>
      </c>
      <c r="H95" s="257" t="str">
        <f t="shared" ca="1" si="21"/>
        <v/>
      </c>
      <c r="I95" s="220" t="e">
        <f t="shared" ca="1" si="22"/>
        <v>#VALUE!</v>
      </c>
      <c r="K95" s="260" t="e">
        <f t="shared" ca="1" si="17"/>
        <v>#VALUE!</v>
      </c>
    </row>
    <row r="96" spans="1:11" x14ac:dyDescent="0.25">
      <c r="A96" s="254" t="str">
        <f t="shared" ca="1" si="16"/>
        <v/>
      </c>
      <c r="B96" s="255" t="str">
        <f t="shared" ca="1" si="23"/>
        <v/>
      </c>
      <c r="C96" s="256" t="str">
        <f t="shared" ca="1" si="15"/>
        <v/>
      </c>
      <c r="D96" s="257" t="str">
        <f t="shared" ca="1" si="18"/>
        <v/>
      </c>
      <c r="F96" s="257" t="str">
        <f t="shared" ca="1" si="19"/>
        <v/>
      </c>
      <c r="G96" s="257" t="str">
        <f t="shared" ca="1" si="20"/>
        <v/>
      </c>
      <c r="H96" s="257" t="str">
        <f t="shared" ca="1" si="21"/>
        <v/>
      </c>
      <c r="I96" s="220" t="e">
        <f t="shared" ca="1" si="22"/>
        <v>#VALUE!</v>
      </c>
      <c r="K96" s="260" t="e">
        <f t="shared" ca="1" si="17"/>
        <v>#VALUE!</v>
      </c>
    </row>
    <row r="97" spans="1:11" x14ac:dyDescent="0.25">
      <c r="A97" s="254" t="str">
        <f t="shared" ca="1" si="16"/>
        <v/>
      </c>
      <c r="B97" s="255" t="str">
        <f t="shared" ca="1" si="23"/>
        <v/>
      </c>
      <c r="C97" s="256" t="str">
        <f t="shared" ca="1" si="15"/>
        <v/>
      </c>
      <c r="D97" s="257" t="str">
        <f t="shared" ca="1" si="18"/>
        <v/>
      </c>
      <c r="F97" s="257" t="str">
        <f t="shared" ca="1" si="19"/>
        <v/>
      </c>
      <c r="G97" s="257" t="str">
        <f t="shared" ca="1" si="20"/>
        <v/>
      </c>
      <c r="H97" s="257" t="str">
        <f t="shared" ca="1" si="21"/>
        <v/>
      </c>
      <c r="I97" s="220" t="e">
        <f t="shared" ca="1" si="22"/>
        <v>#VALUE!</v>
      </c>
      <c r="K97" s="260" t="e">
        <f t="shared" ca="1" si="17"/>
        <v>#VALUE!</v>
      </c>
    </row>
    <row r="98" spans="1:11" x14ac:dyDescent="0.25">
      <c r="A98" s="254" t="str">
        <f t="shared" ca="1" si="16"/>
        <v/>
      </c>
      <c r="B98" s="255" t="str">
        <f t="shared" ca="1" si="23"/>
        <v/>
      </c>
      <c r="C98" s="256" t="str">
        <f t="shared" ref="C98:C138" ca="1" si="24">IF(OR(A98=$H$10,A98=$H$13),D98+G97,IF(A98&lt;$H$10,C97,""))</f>
        <v/>
      </c>
      <c r="D98" s="257" t="str">
        <f t="shared" ca="1" si="18"/>
        <v/>
      </c>
      <c r="F98" s="257" t="str">
        <f t="shared" ca="1" si="19"/>
        <v/>
      </c>
      <c r="G98" s="257" t="str">
        <f t="shared" ca="1" si="20"/>
        <v/>
      </c>
      <c r="H98" s="257" t="str">
        <f t="shared" ca="1" si="21"/>
        <v/>
      </c>
      <c r="I98" s="220" t="e">
        <f t="shared" ca="1" si="22"/>
        <v>#VALUE!</v>
      </c>
      <c r="K98" s="260" t="e">
        <f t="shared" ca="1" si="17"/>
        <v>#VALUE!</v>
      </c>
    </row>
    <row r="99" spans="1:11" x14ac:dyDescent="0.25">
      <c r="A99" s="254" t="str">
        <f t="shared" ca="1" si="16"/>
        <v/>
      </c>
      <c r="B99" s="255" t="str">
        <f t="shared" ca="1" si="23"/>
        <v/>
      </c>
      <c r="C99" s="256" t="str">
        <f t="shared" ca="1" si="24"/>
        <v/>
      </c>
      <c r="D99" s="257" t="str">
        <f t="shared" ca="1" si="18"/>
        <v/>
      </c>
      <c r="F99" s="257" t="str">
        <f t="shared" ca="1" si="19"/>
        <v/>
      </c>
      <c r="G99" s="257" t="str">
        <f t="shared" ca="1" si="20"/>
        <v/>
      </c>
      <c r="H99" s="257" t="str">
        <f t="shared" ca="1" si="21"/>
        <v/>
      </c>
      <c r="I99" s="220" t="e">
        <f t="shared" ca="1" si="22"/>
        <v>#VALUE!</v>
      </c>
      <c r="K99" s="260" t="e">
        <f t="shared" ca="1" si="17"/>
        <v>#VALUE!</v>
      </c>
    </row>
    <row r="100" spans="1:11" x14ac:dyDescent="0.25">
      <c r="A100" s="254" t="str">
        <f t="shared" ca="1" si="16"/>
        <v/>
      </c>
      <c r="B100" s="255" t="str">
        <f t="shared" ca="1" si="23"/>
        <v/>
      </c>
      <c r="C100" s="256" t="str">
        <f t="shared" ca="1" si="24"/>
        <v/>
      </c>
      <c r="D100" s="257" t="str">
        <f t="shared" ca="1" si="18"/>
        <v/>
      </c>
      <c r="F100" s="257" t="str">
        <f t="shared" ca="1" si="19"/>
        <v/>
      </c>
      <c r="G100" s="257" t="str">
        <f t="shared" ca="1" si="20"/>
        <v/>
      </c>
      <c r="H100" s="257" t="str">
        <f t="shared" ca="1" si="21"/>
        <v/>
      </c>
      <c r="I100" s="220" t="e">
        <f t="shared" ca="1" si="22"/>
        <v>#VALUE!</v>
      </c>
      <c r="K100" s="260" t="e">
        <f t="shared" ca="1" si="17"/>
        <v>#VALUE!</v>
      </c>
    </row>
    <row r="101" spans="1:11" x14ac:dyDescent="0.25">
      <c r="A101" s="254" t="str">
        <f t="shared" ca="1" si="16"/>
        <v/>
      </c>
      <c r="B101" s="255" t="str">
        <f t="shared" ca="1" si="23"/>
        <v/>
      </c>
      <c r="C101" s="256" t="str">
        <f t="shared" ca="1" si="24"/>
        <v/>
      </c>
      <c r="D101" s="257" t="str">
        <f t="shared" ca="1" si="18"/>
        <v/>
      </c>
      <c r="F101" s="257" t="str">
        <f t="shared" ca="1" si="19"/>
        <v/>
      </c>
      <c r="G101" s="257" t="str">
        <f t="shared" ca="1" si="20"/>
        <v/>
      </c>
      <c r="H101" s="257" t="str">
        <f t="shared" ca="1" si="21"/>
        <v/>
      </c>
      <c r="I101" s="220" t="e">
        <f t="shared" ca="1" si="22"/>
        <v>#VALUE!</v>
      </c>
      <c r="K101" s="260" t="e">
        <f t="shared" ca="1" si="17"/>
        <v>#VALUE!</v>
      </c>
    </row>
    <row r="102" spans="1:11" x14ac:dyDescent="0.25">
      <c r="A102" s="254" t="str">
        <f t="shared" ca="1" si="16"/>
        <v/>
      </c>
      <c r="B102" s="255" t="str">
        <f t="shared" ca="1" si="23"/>
        <v/>
      </c>
      <c r="C102" s="256" t="str">
        <f t="shared" ca="1" si="24"/>
        <v/>
      </c>
      <c r="D102" s="257" t="str">
        <f t="shared" ca="1" si="18"/>
        <v/>
      </c>
      <c r="F102" s="257" t="str">
        <f t="shared" ca="1" si="19"/>
        <v/>
      </c>
      <c r="G102" s="257" t="str">
        <f t="shared" ca="1" si="20"/>
        <v/>
      </c>
      <c r="H102" s="257" t="str">
        <f t="shared" ca="1" si="21"/>
        <v/>
      </c>
      <c r="I102" s="220" t="e">
        <f t="shared" ca="1" si="22"/>
        <v>#VALUE!</v>
      </c>
      <c r="K102" s="260" t="e">
        <f t="shared" ca="1" si="17"/>
        <v>#VALUE!</v>
      </c>
    </row>
    <row r="103" spans="1:11" x14ac:dyDescent="0.25">
      <c r="A103" s="254" t="str">
        <f t="shared" ca="1" si="16"/>
        <v/>
      </c>
      <c r="B103" s="255" t="str">
        <f t="shared" ca="1" si="23"/>
        <v/>
      </c>
      <c r="C103" s="256" t="str">
        <f t="shared" ca="1" si="24"/>
        <v/>
      </c>
      <c r="D103" s="257" t="str">
        <f t="shared" ca="1" si="18"/>
        <v/>
      </c>
      <c r="F103" s="257" t="str">
        <f t="shared" ca="1" si="19"/>
        <v/>
      </c>
      <c r="G103" s="257" t="str">
        <f t="shared" ca="1" si="20"/>
        <v/>
      </c>
      <c r="H103" s="257" t="str">
        <f t="shared" ca="1" si="21"/>
        <v/>
      </c>
      <c r="I103" s="220" t="e">
        <f t="shared" ca="1" si="22"/>
        <v>#VALUE!</v>
      </c>
      <c r="K103" s="260" t="e">
        <f t="shared" ca="1" si="17"/>
        <v>#VALUE!</v>
      </c>
    </row>
    <row r="104" spans="1:11" x14ac:dyDescent="0.25">
      <c r="A104" s="254" t="str">
        <f t="shared" ca="1" si="16"/>
        <v/>
      </c>
      <c r="B104" s="255" t="str">
        <f t="shared" ca="1" si="23"/>
        <v/>
      </c>
      <c r="C104" s="256" t="str">
        <f t="shared" ca="1" si="24"/>
        <v/>
      </c>
      <c r="D104" s="257" t="str">
        <f t="shared" ca="1" si="18"/>
        <v/>
      </c>
      <c r="F104" s="257" t="str">
        <f t="shared" ca="1" si="19"/>
        <v/>
      </c>
      <c r="G104" s="257" t="str">
        <f t="shared" ca="1" si="20"/>
        <v/>
      </c>
      <c r="H104" s="257" t="str">
        <f t="shared" ca="1" si="21"/>
        <v/>
      </c>
      <c r="I104" s="220" t="e">
        <f t="shared" ca="1" si="22"/>
        <v>#VALUE!</v>
      </c>
      <c r="K104" s="260" t="e">
        <f t="shared" ca="1" si="17"/>
        <v>#VALUE!</v>
      </c>
    </row>
    <row r="105" spans="1:11" x14ac:dyDescent="0.25">
      <c r="A105" s="254" t="str">
        <f t="shared" ref="A105:A168" ca="1" si="25">IF(OR(H104&lt;=0,H104=""),"",OFFSET(A105,-1,0,1,1)+1)</f>
        <v/>
      </c>
      <c r="B105" s="255" t="str">
        <f t="shared" ca="1" si="23"/>
        <v/>
      </c>
      <c r="C105" s="256" t="str">
        <f t="shared" ca="1" si="24"/>
        <v/>
      </c>
      <c r="D105" s="257" t="str">
        <f t="shared" ca="1" si="18"/>
        <v/>
      </c>
      <c r="F105" s="257" t="str">
        <f t="shared" ca="1" si="19"/>
        <v/>
      </c>
      <c r="G105" s="257" t="str">
        <f t="shared" ca="1" si="20"/>
        <v/>
      </c>
      <c r="H105" s="257" t="str">
        <f t="shared" ca="1" si="21"/>
        <v/>
      </c>
      <c r="I105" s="220" t="e">
        <f t="shared" ca="1" si="22"/>
        <v>#VALUE!</v>
      </c>
      <c r="K105" s="260" t="e">
        <f t="shared" ca="1" si="17"/>
        <v>#VALUE!</v>
      </c>
    </row>
    <row r="106" spans="1:11" x14ac:dyDescent="0.25">
      <c r="A106" s="254" t="str">
        <f t="shared" ca="1" si="25"/>
        <v/>
      </c>
      <c r="B106" s="255" t="str">
        <f t="shared" ca="1" si="23"/>
        <v/>
      </c>
      <c r="C106" s="256" t="str">
        <f t="shared" ca="1" si="24"/>
        <v/>
      </c>
      <c r="D106" s="257" t="str">
        <f t="shared" ca="1" si="18"/>
        <v/>
      </c>
      <c r="F106" s="257" t="str">
        <f t="shared" ca="1" si="19"/>
        <v/>
      </c>
      <c r="G106" s="257" t="str">
        <f t="shared" ca="1" si="20"/>
        <v/>
      </c>
      <c r="H106" s="257" t="str">
        <f t="shared" ca="1" si="21"/>
        <v/>
      </c>
      <c r="I106" s="220" t="e">
        <f t="shared" ca="1" si="22"/>
        <v>#VALUE!</v>
      </c>
      <c r="K106" s="260" t="e">
        <f t="shared" ca="1" si="17"/>
        <v>#VALUE!</v>
      </c>
    </row>
    <row r="107" spans="1:11" x14ac:dyDescent="0.25">
      <c r="A107" s="254" t="str">
        <f t="shared" ca="1" si="25"/>
        <v/>
      </c>
      <c r="B107" s="255" t="str">
        <f t="shared" ca="1" si="23"/>
        <v/>
      </c>
      <c r="C107" s="256" t="str">
        <f t="shared" ca="1" si="24"/>
        <v/>
      </c>
      <c r="D107" s="257" t="str">
        <f t="shared" ca="1" si="18"/>
        <v/>
      </c>
      <c r="F107" s="257" t="str">
        <f t="shared" ca="1" si="19"/>
        <v/>
      </c>
      <c r="G107" s="257" t="str">
        <f t="shared" ca="1" si="20"/>
        <v/>
      </c>
      <c r="H107" s="257" t="str">
        <f t="shared" ca="1" si="21"/>
        <v/>
      </c>
      <c r="I107" s="220" t="e">
        <f t="shared" ca="1" si="22"/>
        <v>#VALUE!</v>
      </c>
      <c r="K107" s="260" t="e">
        <f t="shared" ca="1" si="17"/>
        <v>#VALUE!</v>
      </c>
    </row>
    <row r="108" spans="1:11" x14ac:dyDescent="0.25">
      <c r="A108" s="254" t="str">
        <f t="shared" ca="1" si="25"/>
        <v/>
      </c>
      <c r="B108" s="255" t="str">
        <f t="shared" ca="1" si="23"/>
        <v/>
      </c>
      <c r="C108" s="256" t="str">
        <f t="shared" ca="1" si="24"/>
        <v/>
      </c>
      <c r="D108" s="257" t="str">
        <f t="shared" ca="1" si="18"/>
        <v/>
      </c>
      <c r="F108" s="257" t="str">
        <f t="shared" ca="1" si="19"/>
        <v/>
      </c>
      <c r="G108" s="257" t="str">
        <f t="shared" ca="1" si="20"/>
        <v/>
      </c>
      <c r="H108" s="257" t="str">
        <f t="shared" ca="1" si="21"/>
        <v/>
      </c>
      <c r="I108" s="220" t="e">
        <f t="shared" ca="1" si="22"/>
        <v>#VALUE!</v>
      </c>
      <c r="K108" s="260" t="e">
        <f t="shared" ca="1" si="17"/>
        <v>#VALUE!</v>
      </c>
    </row>
    <row r="109" spans="1:11" x14ac:dyDescent="0.25">
      <c r="A109" s="254" t="str">
        <f t="shared" ca="1" si="25"/>
        <v/>
      </c>
      <c r="B109" s="255" t="str">
        <f t="shared" ca="1" si="23"/>
        <v/>
      </c>
      <c r="C109" s="256" t="str">
        <f t="shared" ca="1" si="24"/>
        <v/>
      </c>
      <c r="D109" s="257" t="str">
        <f t="shared" ca="1" si="18"/>
        <v/>
      </c>
      <c r="F109" s="257" t="str">
        <f t="shared" ca="1" si="19"/>
        <v/>
      </c>
      <c r="G109" s="257" t="str">
        <f t="shared" ca="1" si="20"/>
        <v/>
      </c>
      <c r="H109" s="257" t="str">
        <f t="shared" ca="1" si="21"/>
        <v/>
      </c>
      <c r="I109" s="220" t="e">
        <f t="shared" ca="1" si="22"/>
        <v>#VALUE!</v>
      </c>
      <c r="K109" s="260" t="e">
        <f t="shared" ca="1" si="17"/>
        <v>#VALUE!</v>
      </c>
    </row>
    <row r="110" spans="1:11" x14ac:dyDescent="0.25">
      <c r="A110" s="254" t="str">
        <f t="shared" ca="1" si="25"/>
        <v/>
      </c>
      <c r="B110" s="255" t="str">
        <f t="shared" ca="1" si="23"/>
        <v/>
      </c>
      <c r="C110" s="256" t="str">
        <f t="shared" ca="1" si="24"/>
        <v/>
      </c>
      <c r="D110" s="257" t="str">
        <f t="shared" ca="1" si="18"/>
        <v/>
      </c>
      <c r="F110" s="257" t="str">
        <f t="shared" ca="1" si="19"/>
        <v/>
      </c>
      <c r="G110" s="257" t="str">
        <f t="shared" ca="1" si="20"/>
        <v/>
      </c>
      <c r="H110" s="257" t="str">
        <f t="shared" ca="1" si="21"/>
        <v/>
      </c>
      <c r="I110" s="220" t="e">
        <f t="shared" ca="1" si="22"/>
        <v>#VALUE!</v>
      </c>
      <c r="K110" s="260" t="e">
        <f t="shared" ca="1" si="17"/>
        <v>#VALUE!</v>
      </c>
    </row>
    <row r="111" spans="1:11" x14ac:dyDescent="0.25">
      <c r="A111" s="254" t="str">
        <f t="shared" ca="1" si="25"/>
        <v/>
      </c>
      <c r="B111" s="255" t="str">
        <f t="shared" ca="1" si="23"/>
        <v/>
      </c>
      <c r="C111" s="256" t="str">
        <f t="shared" ca="1" si="24"/>
        <v/>
      </c>
      <c r="D111" s="257" t="str">
        <f t="shared" ca="1" si="18"/>
        <v/>
      </c>
      <c r="F111" s="257" t="str">
        <f t="shared" ca="1" si="19"/>
        <v/>
      </c>
      <c r="G111" s="257" t="str">
        <f t="shared" ca="1" si="20"/>
        <v/>
      </c>
      <c r="H111" s="257" t="str">
        <f t="shared" ca="1" si="21"/>
        <v/>
      </c>
      <c r="I111" s="220" t="e">
        <f t="shared" ca="1" si="22"/>
        <v>#VALUE!</v>
      </c>
      <c r="K111" s="260" t="e">
        <f t="shared" ca="1" si="17"/>
        <v>#VALUE!</v>
      </c>
    </row>
    <row r="112" spans="1:11" x14ac:dyDescent="0.25">
      <c r="A112" s="254" t="str">
        <f t="shared" ca="1" si="25"/>
        <v/>
      </c>
      <c r="B112" s="255" t="str">
        <f t="shared" ca="1" si="23"/>
        <v/>
      </c>
      <c r="C112" s="256" t="str">
        <f t="shared" ca="1" si="24"/>
        <v/>
      </c>
      <c r="D112" s="257" t="str">
        <f t="shared" ca="1" si="18"/>
        <v/>
      </c>
      <c r="F112" s="257" t="str">
        <f t="shared" ca="1" si="19"/>
        <v/>
      </c>
      <c r="G112" s="257" t="str">
        <f t="shared" ca="1" si="20"/>
        <v/>
      </c>
      <c r="H112" s="257" t="str">
        <f t="shared" ca="1" si="21"/>
        <v/>
      </c>
      <c r="I112" s="220" t="e">
        <f t="shared" ca="1" si="22"/>
        <v>#VALUE!</v>
      </c>
      <c r="K112" s="260" t="e">
        <f t="shared" ca="1" si="17"/>
        <v>#VALUE!</v>
      </c>
    </row>
    <row r="113" spans="1:11" x14ac:dyDescent="0.25">
      <c r="A113" s="254" t="str">
        <f t="shared" ca="1" si="25"/>
        <v/>
      </c>
      <c r="B113" s="255" t="str">
        <f t="shared" ca="1" si="23"/>
        <v/>
      </c>
      <c r="C113" s="256" t="str">
        <f t="shared" ca="1" si="24"/>
        <v/>
      </c>
      <c r="D113" s="257" t="str">
        <f t="shared" ca="1" si="18"/>
        <v/>
      </c>
      <c r="F113" s="257" t="str">
        <f t="shared" ca="1" si="19"/>
        <v/>
      </c>
      <c r="G113" s="257" t="str">
        <f t="shared" ca="1" si="20"/>
        <v/>
      </c>
      <c r="H113" s="257" t="str">
        <f t="shared" ca="1" si="21"/>
        <v/>
      </c>
      <c r="I113" s="220" t="e">
        <f t="shared" ca="1" si="22"/>
        <v>#VALUE!</v>
      </c>
      <c r="K113" s="260" t="e">
        <f t="shared" ca="1" si="17"/>
        <v>#VALUE!</v>
      </c>
    </row>
    <row r="114" spans="1:11" x14ac:dyDescent="0.25">
      <c r="A114" s="254" t="str">
        <f t="shared" ca="1" si="25"/>
        <v/>
      </c>
      <c r="B114" s="255" t="str">
        <f t="shared" ca="1" si="23"/>
        <v/>
      </c>
      <c r="C114" s="256" t="str">
        <f t="shared" ca="1" si="24"/>
        <v/>
      </c>
      <c r="D114" s="257" t="str">
        <f t="shared" ca="1" si="18"/>
        <v/>
      </c>
      <c r="F114" s="257" t="str">
        <f t="shared" ca="1" si="19"/>
        <v/>
      </c>
      <c r="G114" s="257" t="str">
        <f t="shared" ca="1" si="20"/>
        <v/>
      </c>
      <c r="H114" s="257" t="str">
        <f t="shared" ca="1" si="21"/>
        <v/>
      </c>
      <c r="I114" s="220" t="e">
        <f t="shared" ca="1" si="22"/>
        <v>#VALUE!</v>
      </c>
      <c r="K114" s="260" t="e">
        <f t="shared" ca="1" si="17"/>
        <v>#VALUE!</v>
      </c>
    </row>
    <row r="115" spans="1:11" x14ac:dyDescent="0.25">
      <c r="A115" s="254" t="str">
        <f t="shared" ca="1" si="25"/>
        <v/>
      </c>
      <c r="B115" s="255" t="str">
        <f t="shared" ca="1" si="23"/>
        <v/>
      </c>
      <c r="C115" s="256" t="str">
        <f t="shared" ca="1" si="24"/>
        <v/>
      </c>
      <c r="D115" s="257" t="str">
        <f t="shared" ca="1" si="18"/>
        <v/>
      </c>
      <c r="F115" s="257" t="str">
        <f t="shared" ca="1" si="19"/>
        <v/>
      </c>
      <c r="G115" s="257" t="str">
        <f t="shared" ca="1" si="20"/>
        <v/>
      </c>
      <c r="H115" s="257" t="str">
        <f t="shared" ca="1" si="21"/>
        <v/>
      </c>
      <c r="I115" s="220" t="e">
        <f t="shared" ca="1" si="22"/>
        <v>#VALUE!</v>
      </c>
      <c r="K115" s="260" t="e">
        <f t="shared" ca="1" si="17"/>
        <v>#VALUE!</v>
      </c>
    </row>
    <row r="116" spans="1:11" x14ac:dyDescent="0.25">
      <c r="A116" s="254" t="str">
        <f t="shared" ca="1" si="25"/>
        <v/>
      </c>
      <c r="B116" s="255" t="str">
        <f t="shared" ca="1" si="23"/>
        <v/>
      </c>
      <c r="C116" s="256" t="str">
        <f t="shared" ca="1" si="24"/>
        <v/>
      </c>
      <c r="D116" s="257" t="str">
        <f t="shared" ca="1" si="18"/>
        <v/>
      </c>
      <c r="F116" s="257" t="str">
        <f t="shared" ca="1" si="19"/>
        <v/>
      </c>
      <c r="G116" s="257" t="str">
        <f t="shared" ca="1" si="20"/>
        <v/>
      </c>
      <c r="H116" s="257" t="str">
        <f t="shared" ca="1" si="21"/>
        <v/>
      </c>
      <c r="I116" s="220" t="e">
        <f t="shared" ca="1" si="22"/>
        <v>#VALUE!</v>
      </c>
      <c r="K116" s="260" t="e">
        <f t="shared" ca="1" si="17"/>
        <v>#VALUE!</v>
      </c>
    </row>
    <row r="117" spans="1:11" x14ac:dyDescent="0.25">
      <c r="A117" s="254" t="str">
        <f t="shared" ca="1" si="25"/>
        <v/>
      </c>
      <c r="B117" s="255" t="str">
        <f t="shared" ca="1" si="23"/>
        <v/>
      </c>
      <c r="C117" s="256" t="str">
        <f t="shared" ca="1" si="24"/>
        <v/>
      </c>
      <c r="D117" s="257" t="str">
        <f t="shared" ca="1" si="18"/>
        <v/>
      </c>
      <c r="F117" s="257" t="str">
        <f t="shared" ca="1" si="19"/>
        <v/>
      </c>
      <c r="G117" s="257" t="str">
        <f t="shared" ca="1" si="20"/>
        <v/>
      </c>
      <c r="H117" s="257" t="str">
        <f t="shared" ca="1" si="21"/>
        <v/>
      </c>
      <c r="I117" s="220" t="e">
        <f t="shared" ca="1" si="22"/>
        <v>#VALUE!</v>
      </c>
      <c r="K117" s="260" t="e">
        <f t="shared" ca="1" si="17"/>
        <v>#VALUE!</v>
      </c>
    </row>
    <row r="118" spans="1:11" x14ac:dyDescent="0.25">
      <c r="A118" s="254" t="str">
        <f t="shared" ca="1" si="25"/>
        <v/>
      </c>
      <c r="B118" s="255" t="str">
        <f t="shared" ca="1" si="23"/>
        <v/>
      </c>
      <c r="C118" s="256" t="str">
        <f t="shared" ca="1" si="24"/>
        <v/>
      </c>
      <c r="D118" s="257" t="str">
        <f t="shared" ca="1" si="18"/>
        <v/>
      </c>
      <c r="F118" s="257" t="str">
        <f t="shared" ca="1" si="19"/>
        <v/>
      </c>
      <c r="G118" s="257" t="str">
        <f t="shared" ca="1" si="20"/>
        <v/>
      </c>
      <c r="H118" s="257" t="str">
        <f t="shared" ca="1" si="21"/>
        <v/>
      </c>
      <c r="I118" s="220" t="e">
        <f t="shared" ca="1" si="22"/>
        <v>#VALUE!</v>
      </c>
      <c r="K118" s="260" t="e">
        <f t="shared" ca="1" si="17"/>
        <v>#VALUE!</v>
      </c>
    </row>
    <row r="119" spans="1:11" x14ac:dyDescent="0.25">
      <c r="A119" s="254" t="str">
        <f t="shared" ca="1" si="25"/>
        <v/>
      </c>
      <c r="B119" s="255" t="str">
        <f t="shared" ca="1" si="23"/>
        <v/>
      </c>
      <c r="C119" s="256" t="str">
        <f t="shared" ca="1" si="24"/>
        <v/>
      </c>
      <c r="D119" s="257" t="str">
        <f t="shared" ca="1" si="18"/>
        <v/>
      </c>
      <c r="F119" s="257" t="str">
        <f t="shared" ca="1" si="19"/>
        <v/>
      </c>
      <c r="G119" s="257" t="str">
        <f t="shared" ca="1" si="20"/>
        <v/>
      </c>
      <c r="H119" s="257" t="str">
        <f t="shared" ca="1" si="21"/>
        <v/>
      </c>
      <c r="I119" s="220" t="e">
        <f t="shared" ca="1" si="22"/>
        <v>#VALUE!</v>
      </c>
      <c r="K119" s="260" t="e">
        <f t="shared" ca="1" si="17"/>
        <v>#VALUE!</v>
      </c>
    </row>
    <row r="120" spans="1:11" x14ac:dyDescent="0.25">
      <c r="A120" s="254" t="str">
        <f t="shared" ca="1" si="25"/>
        <v/>
      </c>
      <c r="B120" s="255" t="str">
        <f t="shared" ca="1" si="23"/>
        <v/>
      </c>
      <c r="C120" s="256" t="str">
        <f t="shared" ca="1" si="24"/>
        <v/>
      </c>
      <c r="D120" s="257" t="str">
        <f t="shared" ca="1" si="18"/>
        <v/>
      </c>
      <c r="F120" s="257" t="str">
        <f t="shared" ca="1" si="19"/>
        <v/>
      </c>
      <c r="G120" s="257" t="str">
        <f t="shared" ca="1" si="20"/>
        <v/>
      </c>
      <c r="H120" s="257" t="str">
        <f t="shared" ca="1" si="21"/>
        <v/>
      </c>
      <c r="I120" s="220" t="e">
        <f t="shared" ca="1" si="22"/>
        <v>#VALUE!</v>
      </c>
      <c r="K120" s="260" t="e">
        <f t="shared" ca="1" si="17"/>
        <v>#VALUE!</v>
      </c>
    </row>
    <row r="121" spans="1:11" x14ac:dyDescent="0.25">
      <c r="A121" s="254" t="str">
        <f t="shared" ca="1" si="25"/>
        <v/>
      </c>
      <c r="B121" s="255" t="str">
        <f t="shared" ca="1" si="23"/>
        <v/>
      </c>
      <c r="C121" s="256" t="str">
        <f t="shared" ca="1" si="24"/>
        <v/>
      </c>
      <c r="D121" s="257" t="str">
        <f t="shared" ca="1" si="18"/>
        <v/>
      </c>
      <c r="F121" s="257" t="str">
        <f t="shared" ca="1" si="19"/>
        <v/>
      </c>
      <c r="G121" s="257" t="str">
        <f t="shared" ca="1" si="20"/>
        <v/>
      </c>
      <c r="H121" s="257" t="str">
        <f t="shared" ca="1" si="21"/>
        <v/>
      </c>
      <c r="I121" s="220" t="e">
        <f t="shared" ca="1" si="22"/>
        <v>#VALUE!</v>
      </c>
      <c r="K121" s="260" t="e">
        <f t="shared" ca="1" si="17"/>
        <v>#VALUE!</v>
      </c>
    </row>
    <row r="122" spans="1:11" x14ac:dyDescent="0.25">
      <c r="A122" s="254" t="str">
        <f t="shared" ca="1" si="25"/>
        <v/>
      </c>
      <c r="B122" s="255" t="str">
        <f t="shared" ca="1" si="23"/>
        <v/>
      </c>
      <c r="C122" s="256" t="str">
        <f t="shared" ca="1" si="24"/>
        <v/>
      </c>
      <c r="D122" s="257" t="str">
        <f t="shared" ca="1" si="18"/>
        <v/>
      </c>
      <c r="F122" s="257" t="str">
        <f t="shared" ca="1" si="19"/>
        <v/>
      </c>
      <c r="G122" s="257" t="str">
        <f t="shared" ca="1" si="20"/>
        <v/>
      </c>
      <c r="H122" s="257" t="str">
        <f t="shared" ca="1" si="21"/>
        <v/>
      </c>
      <c r="I122" s="220" t="e">
        <f t="shared" ca="1" si="22"/>
        <v>#VALUE!</v>
      </c>
      <c r="K122" s="260" t="e">
        <f t="shared" ca="1" si="17"/>
        <v>#VALUE!</v>
      </c>
    </row>
    <row r="123" spans="1:11" x14ac:dyDescent="0.25">
      <c r="A123" s="254" t="str">
        <f t="shared" ca="1" si="25"/>
        <v/>
      </c>
      <c r="B123" s="255" t="str">
        <f t="shared" ca="1" si="23"/>
        <v/>
      </c>
      <c r="C123" s="256" t="str">
        <f t="shared" ca="1" si="24"/>
        <v/>
      </c>
      <c r="D123" s="257" t="str">
        <f t="shared" ca="1" si="18"/>
        <v/>
      </c>
      <c r="F123" s="257" t="str">
        <f t="shared" ca="1" si="19"/>
        <v/>
      </c>
      <c r="G123" s="257" t="str">
        <f t="shared" ca="1" si="20"/>
        <v/>
      </c>
      <c r="H123" s="257" t="str">
        <f t="shared" ca="1" si="21"/>
        <v/>
      </c>
      <c r="I123" s="220" t="e">
        <f t="shared" ca="1" si="22"/>
        <v>#VALUE!</v>
      </c>
      <c r="K123" s="260" t="e">
        <f t="shared" ca="1" si="17"/>
        <v>#VALUE!</v>
      </c>
    </row>
    <row r="124" spans="1:11" x14ac:dyDescent="0.25">
      <c r="A124" s="254" t="str">
        <f t="shared" ca="1" si="25"/>
        <v/>
      </c>
      <c r="B124" s="255" t="str">
        <f t="shared" ca="1" si="23"/>
        <v/>
      </c>
      <c r="C124" s="256" t="str">
        <f t="shared" ca="1" si="24"/>
        <v/>
      </c>
      <c r="D124" s="257" t="str">
        <f t="shared" ca="1" si="18"/>
        <v/>
      </c>
      <c r="F124" s="257" t="str">
        <f t="shared" ca="1" si="19"/>
        <v/>
      </c>
      <c r="G124" s="257" t="str">
        <f t="shared" ca="1" si="20"/>
        <v/>
      </c>
      <c r="H124" s="257" t="str">
        <f t="shared" ca="1" si="21"/>
        <v/>
      </c>
      <c r="I124" s="220" t="e">
        <f t="shared" ca="1" si="22"/>
        <v>#VALUE!</v>
      </c>
      <c r="K124" s="260" t="e">
        <f t="shared" ca="1" si="17"/>
        <v>#VALUE!</v>
      </c>
    </row>
    <row r="125" spans="1:11" x14ac:dyDescent="0.25">
      <c r="A125" s="254" t="str">
        <f t="shared" ca="1" si="25"/>
        <v/>
      </c>
      <c r="B125" s="255" t="str">
        <f t="shared" ca="1" si="23"/>
        <v/>
      </c>
      <c r="C125" s="256" t="str">
        <f t="shared" ca="1" si="24"/>
        <v/>
      </c>
      <c r="D125" s="257" t="str">
        <f t="shared" ca="1" si="18"/>
        <v/>
      </c>
      <c r="F125" s="257" t="str">
        <f t="shared" ca="1" si="19"/>
        <v/>
      </c>
      <c r="G125" s="257" t="str">
        <f t="shared" ca="1" si="20"/>
        <v/>
      </c>
      <c r="H125" s="257" t="str">
        <f t="shared" ca="1" si="21"/>
        <v/>
      </c>
      <c r="I125" s="220" t="e">
        <f t="shared" ca="1" si="22"/>
        <v>#VALUE!</v>
      </c>
      <c r="K125" s="260" t="e">
        <f t="shared" ca="1" si="17"/>
        <v>#VALUE!</v>
      </c>
    </row>
    <row r="126" spans="1:11" x14ac:dyDescent="0.25">
      <c r="A126" s="254" t="str">
        <f t="shared" ca="1" si="25"/>
        <v/>
      </c>
      <c r="B126" s="255" t="str">
        <f t="shared" ca="1" si="23"/>
        <v/>
      </c>
      <c r="C126" s="256" t="str">
        <f t="shared" ca="1" si="24"/>
        <v/>
      </c>
      <c r="D126" s="257" t="str">
        <f t="shared" ca="1" si="18"/>
        <v/>
      </c>
      <c r="F126" s="257" t="str">
        <f t="shared" ca="1" si="19"/>
        <v/>
      </c>
      <c r="G126" s="257" t="str">
        <f t="shared" ca="1" si="20"/>
        <v/>
      </c>
      <c r="H126" s="257" t="str">
        <f t="shared" ca="1" si="21"/>
        <v/>
      </c>
      <c r="I126" s="220" t="e">
        <f t="shared" ca="1" si="22"/>
        <v>#VALUE!</v>
      </c>
      <c r="K126" s="260" t="e">
        <f t="shared" ca="1" si="17"/>
        <v>#VALUE!</v>
      </c>
    </row>
    <row r="127" spans="1:11" x14ac:dyDescent="0.25">
      <c r="A127" s="254" t="str">
        <f t="shared" ca="1" si="25"/>
        <v/>
      </c>
      <c r="B127" s="255" t="str">
        <f t="shared" ca="1" si="23"/>
        <v/>
      </c>
      <c r="C127" s="256" t="str">
        <f t="shared" ca="1" si="24"/>
        <v/>
      </c>
      <c r="D127" s="257" t="str">
        <f t="shared" ca="1" si="18"/>
        <v/>
      </c>
      <c r="F127" s="257" t="str">
        <f t="shared" ca="1" si="19"/>
        <v/>
      </c>
      <c r="G127" s="257" t="str">
        <f t="shared" ca="1" si="20"/>
        <v/>
      </c>
      <c r="H127" s="257" t="str">
        <f t="shared" ca="1" si="21"/>
        <v/>
      </c>
      <c r="I127" s="220" t="e">
        <f t="shared" ca="1" si="22"/>
        <v>#VALUE!</v>
      </c>
      <c r="K127" s="260" t="e">
        <f t="shared" ca="1" si="17"/>
        <v>#VALUE!</v>
      </c>
    </row>
    <row r="128" spans="1:11" x14ac:dyDescent="0.25">
      <c r="A128" s="254" t="str">
        <f t="shared" ca="1" si="25"/>
        <v/>
      </c>
      <c r="B128" s="255" t="str">
        <f t="shared" ca="1" si="23"/>
        <v/>
      </c>
      <c r="C128" s="256" t="str">
        <f t="shared" ca="1" si="24"/>
        <v/>
      </c>
      <c r="D128" s="257" t="str">
        <f t="shared" ca="1" si="18"/>
        <v/>
      </c>
      <c r="F128" s="257" t="str">
        <f t="shared" ca="1" si="19"/>
        <v/>
      </c>
      <c r="G128" s="257" t="str">
        <f t="shared" ca="1" si="20"/>
        <v/>
      </c>
      <c r="H128" s="257" t="str">
        <f t="shared" ca="1" si="21"/>
        <v/>
      </c>
      <c r="I128" s="220" t="e">
        <f t="shared" ca="1" si="22"/>
        <v>#VALUE!</v>
      </c>
      <c r="K128" s="260" t="e">
        <f t="shared" ref="K128:K138" ca="1" si="26">HLOOKUP(I128,$L$18:$W$24,7,0)/12</f>
        <v>#VALUE!</v>
      </c>
    </row>
    <row r="129" spans="1:11" x14ac:dyDescent="0.25">
      <c r="A129" s="254" t="str">
        <f t="shared" ca="1" si="25"/>
        <v/>
      </c>
      <c r="B129" s="255" t="str">
        <f t="shared" ca="1" si="23"/>
        <v/>
      </c>
      <c r="C129" s="256" t="str">
        <f t="shared" ca="1" si="24"/>
        <v/>
      </c>
      <c r="D129" s="257" t="str">
        <f t="shared" ca="1" si="18"/>
        <v/>
      </c>
      <c r="F129" s="257" t="str">
        <f t="shared" ca="1" si="19"/>
        <v/>
      </c>
      <c r="G129" s="257" t="str">
        <f t="shared" ca="1" si="20"/>
        <v/>
      </c>
      <c r="H129" s="257" t="str">
        <f t="shared" ca="1" si="21"/>
        <v/>
      </c>
      <c r="I129" s="220" t="e">
        <f t="shared" ca="1" si="22"/>
        <v>#VALUE!</v>
      </c>
      <c r="K129" s="260" t="e">
        <f t="shared" ca="1" si="26"/>
        <v>#VALUE!</v>
      </c>
    </row>
    <row r="130" spans="1:11" x14ac:dyDescent="0.25">
      <c r="A130" s="254" t="str">
        <f t="shared" ca="1" si="25"/>
        <v/>
      </c>
      <c r="B130" s="255" t="str">
        <f t="shared" ca="1" si="23"/>
        <v/>
      </c>
      <c r="C130" s="256" t="str">
        <f t="shared" ca="1" si="24"/>
        <v/>
      </c>
      <c r="D130" s="257" t="str">
        <f t="shared" ca="1" si="18"/>
        <v/>
      </c>
      <c r="F130" s="257" t="str">
        <f t="shared" ca="1" si="19"/>
        <v/>
      </c>
      <c r="G130" s="257" t="str">
        <f t="shared" ca="1" si="20"/>
        <v/>
      </c>
      <c r="H130" s="257" t="str">
        <f t="shared" ca="1" si="21"/>
        <v/>
      </c>
      <c r="I130" s="220" t="e">
        <f t="shared" ca="1" si="22"/>
        <v>#VALUE!</v>
      </c>
      <c r="K130" s="260" t="e">
        <f t="shared" ca="1" si="26"/>
        <v>#VALUE!</v>
      </c>
    </row>
    <row r="131" spans="1:11" x14ac:dyDescent="0.25">
      <c r="A131" s="254" t="str">
        <f t="shared" ca="1" si="25"/>
        <v/>
      </c>
      <c r="B131" s="255" t="str">
        <f t="shared" ca="1" si="23"/>
        <v/>
      </c>
      <c r="C131" s="256" t="str">
        <f t="shared" ca="1" si="24"/>
        <v/>
      </c>
      <c r="D131" s="257" t="str">
        <f t="shared" ca="1" si="18"/>
        <v/>
      </c>
      <c r="F131" s="257" t="str">
        <f t="shared" ca="1" si="19"/>
        <v/>
      </c>
      <c r="G131" s="257" t="str">
        <f t="shared" ca="1" si="20"/>
        <v/>
      </c>
      <c r="H131" s="257" t="str">
        <f t="shared" ca="1" si="21"/>
        <v/>
      </c>
      <c r="I131" s="220" t="e">
        <f t="shared" ca="1" si="22"/>
        <v>#VALUE!</v>
      </c>
      <c r="K131" s="260" t="e">
        <f t="shared" ca="1" si="26"/>
        <v>#VALUE!</v>
      </c>
    </row>
    <row r="132" spans="1:11" x14ac:dyDescent="0.25">
      <c r="A132" s="254" t="str">
        <f t="shared" ca="1" si="25"/>
        <v/>
      </c>
      <c r="B132" s="255" t="str">
        <f t="shared" ca="1" si="23"/>
        <v/>
      </c>
      <c r="C132" s="256" t="str">
        <f t="shared" ca="1" si="24"/>
        <v/>
      </c>
      <c r="D132" s="257" t="str">
        <f t="shared" ca="1" si="18"/>
        <v/>
      </c>
      <c r="F132" s="257" t="str">
        <f t="shared" ca="1" si="19"/>
        <v/>
      </c>
      <c r="G132" s="257" t="str">
        <f t="shared" ca="1" si="20"/>
        <v/>
      </c>
      <c r="H132" s="257" t="str">
        <f t="shared" ca="1" si="21"/>
        <v/>
      </c>
      <c r="I132" s="220" t="e">
        <f t="shared" ca="1" si="22"/>
        <v>#VALUE!</v>
      </c>
      <c r="K132" s="260" t="e">
        <f t="shared" ca="1" si="26"/>
        <v>#VALUE!</v>
      </c>
    </row>
    <row r="133" spans="1:11" x14ac:dyDescent="0.25">
      <c r="A133" s="254" t="str">
        <f t="shared" ca="1" si="25"/>
        <v/>
      </c>
      <c r="B133" s="255" t="str">
        <f t="shared" ca="1" si="23"/>
        <v/>
      </c>
      <c r="C133" s="256" t="str">
        <f t="shared" ca="1" si="24"/>
        <v/>
      </c>
      <c r="D133" s="257" t="str">
        <f t="shared" ca="1" si="18"/>
        <v/>
      </c>
      <c r="F133" s="257" t="str">
        <f t="shared" ca="1" si="19"/>
        <v/>
      </c>
      <c r="G133" s="257" t="str">
        <f t="shared" ca="1" si="20"/>
        <v/>
      </c>
      <c r="H133" s="257" t="str">
        <f t="shared" ca="1" si="21"/>
        <v/>
      </c>
      <c r="I133" s="220" t="e">
        <f t="shared" ca="1" si="22"/>
        <v>#VALUE!</v>
      </c>
      <c r="K133" s="260" t="e">
        <f t="shared" ca="1" si="26"/>
        <v>#VALUE!</v>
      </c>
    </row>
    <row r="134" spans="1:11" x14ac:dyDescent="0.25">
      <c r="A134" s="254" t="str">
        <f t="shared" ca="1" si="25"/>
        <v/>
      </c>
      <c r="B134" s="255" t="str">
        <f t="shared" ca="1" si="23"/>
        <v/>
      </c>
      <c r="C134" s="256" t="str">
        <f t="shared" ca="1" si="24"/>
        <v/>
      </c>
      <c r="D134" s="257" t="str">
        <f t="shared" ca="1" si="18"/>
        <v/>
      </c>
      <c r="F134" s="257" t="str">
        <f t="shared" ca="1" si="19"/>
        <v/>
      </c>
      <c r="G134" s="257" t="str">
        <f t="shared" ca="1" si="20"/>
        <v/>
      </c>
      <c r="H134" s="257" t="str">
        <f t="shared" ca="1" si="21"/>
        <v/>
      </c>
      <c r="I134" s="220" t="e">
        <f t="shared" ca="1" si="22"/>
        <v>#VALUE!</v>
      </c>
      <c r="K134" s="260" t="e">
        <f t="shared" ca="1" si="26"/>
        <v>#VALUE!</v>
      </c>
    </row>
    <row r="135" spans="1:11" x14ac:dyDescent="0.25">
      <c r="A135" s="254" t="str">
        <f t="shared" ca="1" si="25"/>
        <v/>
      </c>
      <c r="B135" s="255" t="str">
        <f t="shared" ca="1" si="23"/>
        <v/>
      </c>
      <c r="C135" s="256" t="str">
        <f t="shared" ca="1" si="24"/>
        <v/>
      </c>
      <c r="D135" s="257" t="str">
        <f t="shared" ca="1" si="18"/>
        <v/>
      </c>
      <c r="F135" s="257" t="str">
        <f t="shared" ca="1" si="19"/>
        <v/>
      </c>
      <c r="G135" s="257" t="str">
        <f t="shared" ca="1" si="20"/>
        <v/>
      </c>
      <c r="H135" s="257" t="str">
        <f t="shared" ca="1" si="21"/>
        <v/>
      </c>
      <c r="I135" s="220" t="e">
        <f t="shared" ca="1" si="22"/>
        <v>#VALUE!</v>
      </c>
      <c r="K135" s="260" t="e">
        <f t="shared" ca="1" si="26"/>
        <v>#VALUE!</v>
      </c>
    </row>
    <row r="136" spans="1:11" x14ac:dyDescent="0.25">
      <c r="A136" s="254" t="str">
        <f t="shared" ca="1" si="25"/>
        <v/>
      </c>
      <c r="B136" s="255" t="str">
        <f t="shared" ca="1" si="23"/>
        <v/>
      </c>
      <c r="C136" s="256" t="str">
        <f t="shared" ca="1" si="24"/>
        <v/>
      </c>
      <c r="D136" s="257" t="str">
        <f t="shared" ca="1" si="18"/>
        <v/>
      </c>
      <c r="F136" s="257" t="str">
        <f t="shared" ca="1" si="19"/>
        <v/>
      </c>
      <c r="G136" s="257" t="str">
        <f t="shared" ca="1" si="20"/>
        <v/>
      </c>
      <c r="H136" s="257" t="str">
        <f t="shared" ca="1" si="21"/>
        <v/>
      </c>
      <c r="I136" s="220" t="e">
        <f t="shared" ca="1" si="22"/>
        <v>#VALUE!</v>
      </c>
      <c r="K136" s="260" t="e">
        <f t="shared" ca="1" si="26"/>
        <v>#VALUE!</v>
      </c>
    </row>
    <row r="137" spans="1:11" x14ac:dyDescent="0.25">
      <c r="A137" s="254" t="str">
        <f t="shared" ca="1" si="25"/>
        <v/>
      </c>
      <c r="B137" s="255" t="str">
        <f t="shared" ca="1" si="23"/>
        <v/>
      </c>
      <c r="C137" s="256" t="str">
        <f t="shared" ca="1" si="24"/>
        <v/>
      </c>
      <c r="D137" s="257" t="str">
        <f t="shared" ca="1" si="18"/>
        <v/>
      </c>
      <c r="F137" s="257" t="str">
        <f t="shared" ca="1" si="19"/>
        <v/>
      </c>
      <c r="G137" s="257" t="str">
        <f t="shared" ca="1" si="20"/>
        <v/>
      </c>
      <c r="H137" s="257" t="str">
        <f t="shared" ca="1" si="21"/>
        <v/>
      </c>
      <c r="I137" s="220" t="e">
        <f t="shared" ca="1" si="22"/>
        <v>#VALUE!</v>
      </c>
      <c r="K137" s="260" t="e">
        <f t="shared" ca="1" si="26"/>
        <v>#VALUE!</v>
      </c>
    </row>
    <row r="138" spans="1:11" x14ac:dyDescent="0.25">
      <c r="A138" s="254" t="str">
        <f t="shared" ca="1" si="25"/>
        <v/>
      </c>
      <c r="B138" s="255" t="str">
        <f t="shared" ca="1" si="23"/>
        <v/>
      </c>
      <c r="C138" s="256" t="str">
        <f t="shared" ca="1" si="24"/>
        <v/>
      </c>
      <c r="D138" s="257" t="str">
        <f t="shared" ca="1" si="18"/>
        <v/>
      </c>
      <c r="F138" s="257" t="str">
        <f t="shared" ca="1" si="19"/>
        <v/>
      </c>
      <c r="G138" s="257" t="str">
        <f t="shared" ca="1" si="20"/>
        <v/>
      </c>
      <c r="H138" s="257" t="str">
        <f t="shared" ca="1" si="21"/>
        <v/>
      </c>
      <c r="I138" s="220" t="e">
        <f t="shared" ca="1" si="22"/>
        <v>#VALUE!</v>
      </c>
      <c r="K138" s="260" t="e">
        <f t="shared" ca="1" si="26"/>
        <v>#VALUE!</v>
      </c>
    </row>
    <row r="139" spans="1:11" x14ac:dyDescent="0.25">
      <c r="A139" s="254" t="str">
        <f t="shared" ca="1" si="25"/>
        <v/>
      </c>
      <c r="B139" s="255"/>
      <c r="C139" s="256"/>
      <c r="D139" s="257" t="str">
        <f t="shared" si="18"/>
        <v/>
      </c>
      <c r="F139" s="257" t="str">
        <f t="shared" si="19"/>
        <v/>
      </c>
      <c r="G139" s="257" t="str">
        <f t="shared" si="20"/>
        <v/>
      </c>
      <c r="H139" s="257" t="str">
        <f t="shared" si="21"/>
        <v/>
      </c>
    </row>
    <row r="140" spans="1:11" x14ac:dyDescent="0.25">
      <c r="A140" s="254" t="str">
        <f t="shared" ca="1" si="25"/>
        <v/>
      </c>
      <c r="B140" s="255"/>
      <c r="C140" s="256"/>
      <c r="D140" s="257" t="str">
        <f t="shared" si="18"/>
        <v/>
      </c>
      <c r="F140" s="257" t="str">
        <f t="shared" si="19"/>
        <v/>
      </c>
      <c r="G140" s="257" t="str">
        <f t="shared" si="20"/>
        <v/>
      </c>
      <c r="H140" s="257" t="str">
        <f t="shared" si="21"/>
        <v/>
      </c>
    </row>
    <row r="141" spans="1:11" x14ac:dyDescent="0.25">
      <c r="A141" s="254" t="str">
        <f t="shared" ca="1" si="25"/>
        <v/>
      </c>
      <c r="B141" s="255"/>
      <c r="C141" s="256"/>
      <c r="D141" s="257" t="str">
        <f t="shared" si="18"/>
        <v/>
      </c>
      <c r="F141" s="257" t="str">
        <f t="shared" si="19"/>
        <v/>
      </c>
      <c r="G141" s="257" t="str">
        <f t="shared" si="20"/>
        <v/>
      </c>
      <c r="H141" s="257" t="str">
        <f t="shared" si="21"/>
        <v/>
      </c>
    </row>
    <row r="142" spans="1:11" x14ac:dyDescent="0.25">
      <c r="A142" s="254" t="str">
        <f t="shared" ca="1" si="25"/>
        <v/>
      </c>
      <c r="B142" s="255"/>
      <c r="C142" s="256"/>
      <c r="D142" s="257" t="str">
        <f t="shared" si="18"/>
        <v/>
      </c>
      <c r="F142" s="257" t="str">
        <f t="shared" si="19"/>
        <v/>
      </c>
      <c r="G142" s="257" t="str">
        <f t="shared" si="20"/>
        <v/>
      </c>
      <c r="H142" s="257" t="str">
        <f t="shared" si="21"/>
        <v/>
      </c>
    </row>
    <row r="143" spans="1:11" x14ac:dyDescent="0.25">
      <c r="A143" s="254" t="str">
        <f t="shared" ca="1" si="25"/>
        <v/>
      </c>
      <c r="B143" s="255"/>
      <c r="C143" s="256"/>
      <c r="D143" s="257" t="str">
        <f t="shared" si="18"/>
        <v/>
      </c>
      <c r="F143" s="257" t="str">
        <f t="shared" si="19"/>
        <v/>
      </c>
      <c r="G143" s="257" t="str">
        <f t="shared" si="20"/>
        <v/>
      </c>
      <c r="H143" s="257" t="str">
        <f t="shared" si="21"/>
        <v/>
      </c>
    </row>
    <row r="144" spans="1:11" x14ac:dyDescent="0.25">
      <c r="A144" s="254" t="str">
        <f t="shared" ca="1" si="25"/>
        <v/>
      </c>
      <c r="B144" s="255"/>
      <c r="C144" s="256"/>
      <c r="D144" s="257" t="str">
        <f t="shared" si="18"/>
        <v/>
      </c>
      <c r="F144" s="257" t="str">
        <f t="shared" si="19"/>
        <v/>
      </c>
      <c r="G144" s="257" t="str">
        <f t="shared" si="20"/>
        <v/>
      </c>
      <c r="H144" s="257" t="str">
        <f t="shared" si="21"/>
        <v/>
      </c>
    </row>
    <row r="145" spans="1:8" x14ac:dyDescent="0.25">
      <c r="A145" s="254" t="str">
        <f t="shared" ca="1" si="25"/>
        <v/>
      </c>
      <c r="B145" s="255"/>
      <c r="C145" s="256"/>
      <c r="D145" s="257" t="str">
        <f t="shared" si="18"/>
        <v/>
      </c>
      <c r="F145" s="257" t="str">
        <f t="shared" si="19"/>
        <v/>
      </c>
      <c r="G145" s="257" t="str">
        <f t="shared" si="20"/>
        <v/>
      </c>
      <c r="H145" s="257" t="str">
        <f t="shared" si="21"/>
        <v/>
      </c>
    </row>
    <row r="146" spans="1:8" x14ac:dyDescent="0.25">
      <c r="A146" s="254" t="str">
        <f t="shared" ca="1" si="25"/>
        <v/>
      </c>
      <c r="B146" s="255"/>
      <c r="C146" s="256"/>
      <c r="D146" s="257" t="str">
        <f t="shared" si="18"/>
        <v/>
      </c>
      <c r="F146" s="257" t="str">
        <f t="shared" si="19"/>
        <v/>
      </c>
      <c r="G146" s="257" t="str">
        <f t="shared" si="20"/>
        <v/>
      </c>
      <c r="H146" s="257" t="str">
        <f t="shared" si="21"/>
        <v/>
      </c>
    </row>
    <row r="147" spans="1:8" x14ac:dyDescent="0.25">
      <c r="A147" s="254" t="str">
        <f t="shared" ca="1" si="25"/>
        <v/>
      </c>
      <c r="B147" s="255"/>
      <c r="C147" s="256"/>
      <c r="D147" s="257" t="str">
        <f t="shared" ref="D147:D210" si="27">IF(B147="","",ROUND((B147-B146)*$H$9*G146,2))</f>
        <v/>
      </c>
      <c r="F147" s="257" t="str">
        <f t="shared" ref="F147:F210" si="28">IF(B147="","",IF(C147&gt;F146+D147,0,F146+D147-C147))</f>
        <v/>
      </c>
      <c r="G147" s="257" t="str">
        <f t="shared" ref="G147:G210" si="29">IF(B147="","",IF(C147&gt;D147+F146,G146+F146+D147-C147,G146))</f>
        <v/>
      </c>
      <c r="H147" s="257" t="str">
        <f t="shared" ref="H147:H210" si="30">IF(B147="","",G147+F147)</f>
        <v/>
      </c>
    </row>
    <row r="148" spans="1:8" x14ac:dyDescent="0.25">
      <c r="A148" s="254" t="str">
        <f t="shared" ca="1" si="25"/>
        <v/>
      </c>
      <c r="B148" s="255"/>
      <c r="C148" s="256"/>
      <c r="D148" s="257" t="str">
        <f t="shared" si="27"/>
        <v/>
      </c>
      <c r="F148" s="257" t="str">
        <f t="shared" si="28"/>
        <v/>
      </c>
      <c r="G148" s="257" t="str">
        <f t="shared" si="29"/>
        <v/>
      </c>
      <c r="H148" s="257" t="str">
        <f t="shared" si="30"/>
        <v/>
      </c>
    </row>
    <row r="149" spans="1:8" x14ac:dyDescent="0.25">
      <c r="A149" s="254" t="str">
        <f t="shared" ca="1" si="25"/>
        <v/>
      </c>
      <c r="B149" s="255"/>
      <c r="C149" s="256"/>
      <c r="D149" s="257" t="str">
        <f t="shared" si="27"/>
        <v/>
      </c>
      <c r="F149" s="257" t="str">
        <f t="shared" si="28"/>
        <v/>
      </c>
      <c r="G149" s="257" t="str">
        <f t="shared" si="29"/>
        <v/>
      </c>
      <c r="H149" s="257" t="str">
        <f t="shared" si="30"/>
        <v/>
      </c>
    </row>
    <row r="150" spans="1:8" x14ac:dyDescent="0.25">
      <c r="A150" s="254" t="str">
        <f t="shared" ca="1" si="25"/>
        <v/>
      </c>
      <c r="B150" s="255"/>
      <c r="C150" s="256"/>
      <c r="D150" s="257" t="str">
        <f t="shared" si="27"/>
        <v/>
      </c>
      <c r="F150" s="257" t="str">
        <f t="shared" si="28"/>
        <v/>
      </c>
      <c r="G150" s="257" t="str">
        <f t="shared" si="29"/>
        <v/>
      </c>
      <c r="H150" s="257" t="str">
        <f t="shared" si="30"/>
        <v/>
      </c>
    </row>
    <row r="151" spans="1:8" x14ac:dyDescent="0.25">
      <c r="A151" s="254" t="str">
        <f t="shared" ca="1" si="25"/>
        <v/>
      </c>
      <c r="B151" s="255"/>
      <c r="C151" s="256"/>
      <c r="D151" s="257" t="str">
        <f t="shared" si="27"/>
        <v/>
      </c>
      <c r="F151" s="257" t="str">
        <f t="shared" si="28"/>
        <v/>
      </c>
      <c r="G151" s="257" t="str">
        <f t="shared" si="29"/>
        <v/>
      </c>
      <c r="H151" s="257" t="str">
        <f t="shared" si="30"/>
        <v/>
      </c>
    </row>
    <row r="152" spans="1:8" x14ac:dyDescent="0.25">
      <c r="A152" s="254" t="str">
        <f t="shared" ca="1" si="25"/>
        <v/>
      </c>
      <c r="B152" s="255"/>
      <c r="C152" s="256"/>
      <c r="D152" s="257" t="str">
        <f t="shared" si="27"/>
        <v/>
      </c>
      <c r="F152" s="257" t="str">
        <f t="shared" si="28"/>
        <v/>
      </c>
      <c r="G152" s="257" t="str">
        <f t="shared" si="29"/>
        <v/>
      </c>
      <c r="H152" s="257" t="str">
        <f t="shared" si="30"/>
        <v/>
      </c>
    </row>
    <row r="153" spans="1:8" x14ac:dyDescent="0.25">
      <c r="A153" s="254" t="str">
        <f t="shared" ca="1" si="25"/>
        <v/>
      </c>
      <c r="B153" s="255"/>
      <c r="C153" s="256"/>
      <c r="D153" s="257" t="str">
        <f t="shared" si="27"/>
        <v/>
      </c>
      <c r="F153" s="257" t="str">
        <f t="shared" si="28"/>
        <v/>
      </c>
      <c r="G153" s="257" t="str">
        <f t="shared" si="29"/>
        <v/>
      </c>
      <c r="H153" s="257" t="str">
        <f t="shared" si="30"/>
        <v/>
      </c>
    </row>
    <row r="154" spans="1:8" x14ac:dyDescent="0.25">
      <c r="A154" s="254" t="str">
        <f t="shared" ca="1" si="25"/>
        <v/>
      </c>
      <c r="B154" s="255"/>
      <c r="C154" s="256"/>
      <c r="D154" s="257" t="str">
        <f t="shared" si="27"/>
        <v/>
      </c>
      <c r="F154" s="257" t="str">
        <f t="shared" si="28"/>
        <v/>
      </c>
      <c r="G154" s="257" t="str">
        <f t="shared" si="29"/>
        <v/>
      </c>
      <c r="H154" s="257" t="str">
        <f t="shared" si="30"/>
        <v/>
      </c>
    </row>
    <row r="155" spans="1:8" x14ac:dyDescent="0.25">
      <c r="A155" s="254" t="str">
        <f t="shared" ca="1" si="25"/>
        <v/>
      </c>
      <c r="B155" s="255"/>
      <c r="C155" s="256"/>
      <c r="D155" s="257" t="str">
        <f t="shared" si="27"/>
        <v/>
      </c>
      <c r="F155" s="257" t="str">
        <f t="shared" si="28"/>
        <v/>
      </c>
      <c r="G155" s="257" t="str">
        <f t="shared" si="29"/>
        <v/>
      </c>
      <c r="H155" s="257" t="str">
        <f t="shared" si="30"/>
        <v/>
      </c>
    </row>
    <row r="156" spans="1:8" x14ac:dyDescent="0.25">
      <c r="A156" s="254" t="str">
        <f t="shared" ca="1" si="25"/>
        <v/>
      </c>
      <c r="B156" s="255"/>
      <c r="C156" s="256"/>
      <c r="D156" s="257" t="str">
        <f t="shared" si="27"/>
        <v/>
      </c>
      <c r="F156" s="257" t="str">
        <f t="shared" si="28"/>
        <v/>
      </c>
      <c r="G156" s="257" t="str">
        <f t="shared" si="29"/>
        <v/>
      </c>
      <c r="H156" s="257" t="str">
        <f t="shared" si="30"/>
        <v/>
      </c>
    </row>
    <row r="157" spans="1:8" x14ac:dyDescent="0.25">
      <c r="A157" s="254" t="str">
        <f t="shared" ca="1" si="25"/>
        <v/>
      </c>
      <c r="B157" s="255"/>
      <c r="C157" s="256"/>
      <c r="D157" s="257" t="str">
        <f t="shared" si="27"/>
        <v/>
      </c>
      <c r="F157" s="257" t="str">
        <f t="shared" si="28"/>
        <v/>
      </c>
      <c r="G157" s="257" t="str">
        <f t="shared" si="29"/>
        <v/>
      </c>
      <c r="H157" s="257" t="str">
        <f t="shared" si="30"/>
        <v/>
      </c>
    </row>
    <row r="158" spans="1:8" x14ac:dyDescent="0.25">
      <c r="A158" s="254" t="str">
        <f t="shared" ca="1" si="25"/>
        <v/>
      </c>
      <c r="B158" s="255"/>
      <c r="C158" s="256"/>
      <c r="D158" s="257" t="str">
        <f t="shared" si="27"/>
        <v/>
      </c>
      <c r="F158" s="257" t="str">
        <f t="shared" si="28"/>
        <v/>
      </c>
      <c r="G158" s="257" t="str">
        <f t="shared" si="29"/>
        <v/>
      </c>
      <c r="H158" s="257" t="str">
        <f t="shared" si="30"/>
        <v/>
      </c>
    </row>
    <row r="159" spans="1:8" x14ac:dyDescent="0.25">
      <c r="A159" s="254" t="str">
        <f t="shared" ca="1" si="25"/>
        <v/>
      </c>
      <c r="B159" s="255"/>
      <c r="C159" s="256"/>
      <c r="D159" s="257" t="str">
        <f t="shared" si="27"/>
        <v/>
      </c>
      <c r="F159" s="257" t="str">
        <f t="shared" si="28"/>
        <v/>
      </c>
      <c r="G159" s="257" t="str">
        <f t="shared" si="29"/>
        <v/>
      </c>
      <c r="H159" s="257" t="str">
        <f t="shared" si="30"/>
        <v/>
      </c>
    </row>
    <row r="160" spans="1:8" x14ac:dyDescent="0.25">
      <c r="A160" s="254" t="str">
        <f t="shared" ca="1" si="25"/>
        <v/>
      </c>
      <c r="B160" s="255"/>
      <c r="C160" s="256"/>
      <c r="D160" s="257" t="str">
        <f t="shared" si="27"/>
        <v/>
      </c>
      <c r="F160" s="257" t="str">
        <f t="shared" si="28"/>
        <v/>
      </c>
      <c r="G160" s="257" t="str">
        <f t="shared" si="29"/>
        <v/>
      </c>
      <c r="H160" s="257" t="str">
        <f t="shared" si="30"/>
        <v/>
      </c>
    </row>
    <row r="161" spans="1:8" x14ac:dyDescent="0.25">
      <c r="A161" s="254" t="str">
        <f t="shared" ca="1" si="25"/>
        <v/>
      </c>
      <c r="B161" s="255"/>
      <c r="C161" s="256"/>
      <c r="D161" s="257" t="str">
        <f t="shared" si="27"/>
        <v/>
      </c>
      <c r="F161" s="257" t="str">
        <f t="shared" si="28"/>
        <v/>
      </c>
      <c r="G161" s="257" t="str">
        <f t="shared" si="29"/>
        <v/>
      </c>
      <c r="H161" s="257" t="str">
        <f t="shared" si="30"/>
        <v/>
      </c>
    </row>
    <row r="162" spans="1:8" x14ac:dyDescent="0.25">
      <c r="A162" s="254" t="str">
        <f t="shared" ca="1" si="25"/>
        <v/>
      </c>
      <c r="B162" s="255"/>
      <c r="C162" s="256"/>
      <c r="D162" s="257" t="str">
        <f t="shared" si="27"/>
        <v/>
      </c>
      <c r="F162" s="257" t="str">
        <f t="shared" si="28"/>
        <v/>
      </c>
      <c r="G162" s="257" t="str">
        <f t="shared" si="29"/>
        <v/>
      </c>
      <c r="H162" s="257" t="str">
        <f t="shared" si="30"/>
        <v/>
      </c>
    </row>
    <row r="163" spans="1:8" x14ac:dyDescent="0.25">
      <c r="A163" s="254" t="str">
        <f t="shared" ca="1" si="25"/>
        <v/>
      </c>
      <c r="B163" s="255"/>
      <c r="C163" s="256"/>
      <c r="D163" s="257" t="str">
        <f t="shared" si="27"/>
        <v/>
      </c>
      <c r="F163" s="257" t="str">
        <f t="shared" si="28"/>
        <v/>
      </c>
      <c r="G163" s="257" t="str">
        <f t="shared" si="29"/>
        <v/>
      </c>
      <c r="H163" s="257" t="str">
        <f t="shared" si="30"/>
        <v/>
      </c>
    </row>
    <row r="164" spans="1:8" x14ac:dyDescent="0.25">
      <c r="A164" s="254" t="str">
        <f t="shared" ca="1" si="25"/>
        <v/>
      </c>
      <c r="B164" s="255"/>
      <c r="C164" s="256"/>
      <c r="D164" s="257" t="str">
        <f t="shared" si="27"/>
        <v/>
      </c>
      <c r="F164" s="257" t="str">
        <f t="shared" si="28"/>
        <v/>
      </c>
      <c r="G164" s="257" t="str">
        <f t="shared" si="29"/>
        <v/>
      </c>
      <c r="H164" s="257" t="str">
        <f t="shared" si="30"/>
        <v/>
      </c>
    </row>
    <row r="165" spans="1:8" x14ac:dyDescent="0.25">
      <c r="A165" s="254" t="str">
        <f t="shared" ca="1" si="25"/>
        <v/>
      </c>
      <c r="B165" s="255"/>
      <c r="C165" s="256"/>
      <c r="D165" s="257" t="str">
        <f t="shared" si="27"/>
        <v/>
      </c>
      <c r="F165" s="257" t="str">
        <f t="shared" si="28"/>
        <v/>
      </c>
      <c r="G165" s="257" t="str">
        <f t="shared" si="29"/>
        <v/>
      </c>
      <c r="H165" s="257" t="str">
        <f t="shared" si="30"/>
        <v/>
      </c>
    </row>
    <row r="166" spans="1:8" x14ac:dyDescent="0.25">
      <c r="A166" s="254" t="str">
        <f t="shared" ca="1" si="25"/>
        <v/>
      </c>
      <c r="B166" s="255"/>
      <c r="C166" s="256"/>
      <c r="D166" s="257" t="str">
        <f t="shared" si="27"/>
        <v/>
      </c>
      <c r="F166" s="257" t="str">
        <f t="shared" si="28"/>
        <v/>
      </c>
      <c r="G166" s="257" t="str">
        <f t="shared" si="29"/>
        <v/>
      </c>
      <c r="H166" s="257" t="str">
        <f t="shared" si="30"/>
        <v/>
      </c>
    </row>
    <row r="167" spans="1:8" x14ac:dyDescent="0.25">
      <c r="A167" s="254" t="str">
        <f t="shared" ca="1" si="25"/>
        <v/>
      </c>
      <c r="B167" s="255"/>
      <c r="C167" s="256"/>
      <c r="D167" s="257" t="str">
        <f t="shared" si="27"/>
        <v/>
      </c>
      <c r="F167" s="257" t="str">
        <f t="shared" si="28"/>
        <v/>
      </c>
      <c r="G167" s="257" t="str">
        <f t="shared" si="29"/>
        <v/>
      </c>
      <c r="H167" s="257" t="str">
        <f t="shared" si="30"/>
        <v/>
      </c>
    </row>
    <row r="168" spans="1:8" x14ac:dyDescent="0.25">
      <c r="A168" s="254" t="str">
        <f t="shared" ca="1" si="25"/>
        <v/>
      </c>
      <c r="B168" s="255"/>
      <c r="C168" s="256"/>
      <c r="D168" s="257" t="str">
        <f t="shared" si="27"/>
        <v/>
      </c>
      <c r="F168" s="257" t="str">
        <f t="shared" si="28"/>
        <v/>
      </c>
      <c r="G168" s="257" t="str">
        <f t="shared" si="29"/>
        <v/>
      </c>
      <c r="H168" s="257" t="str">
        <f t="shared" si="30"/>
        <v/>
      </c>
    </row>
    <row r="169" spans="1:8" x14ac:dyDescent="0.25">
      <c r="A169" s="254" t="str">
        <f t="shared" ref="A169:A232" ca="1" si="31">IF(OR(H168&lt;=0,H168=""),"",OFFSET(A169,-1,0,1,1)+1)</f>
        <v/>
      </c>
      <c r="B169" s="255"/>
      <c r="C169" s="256"/>
      <c r="D169" s="257" t="str">
        <f t="shared" si="27"/>
        <v/>
      </c>
      <c r="F169" s="257" t="str">
        <f t="shared" si="28"/>
        <v/>
      </c>
      <c r="G169" s="257" t="str">
        <f t="shared" si="29"/>
        <v/>
      </c>
      <c r="H169" s="257" t="str">
        <f t="shared" si="30"/>
        <v/>
      </c>
    </row>
    <row r="170" spans="1:8" x14ac:dyDescent="0.25">
      <c r="A170" s="254" t="str">
        <f t="shared" ca="1" si="31"/>
        <v/>
      </c>
      <c r="B170" s="255"/>
      <c r="C170" s="256"/>
      <c r="D170" s="257" t="str">
        <f t="shared" si="27"/>
        <v/>
      </c>
      <c r="F170" s="257" t="str">
        <f t="shared" si="28"/>
        <v/>
      </c>
      <c r="G170" s="257" t="str">
        <f t="shared" si="29"/>
        <v/>
      </c>
      <c r="H170" s="257" t="str">
        <f t="shared" si="30"/>
        <v/>
      </c>
    </row>
    <row r="171" spans="1:8" x14ac:dyDescent="0.25">
      <c r="A171" s="254" t="str">
        <f t="shared" ca="1" si="31"/>
        <v/>
      </c>
      <c r="B171" s="255"/>
      <c r="C171" s="256"/>
      <c r="D171" s="257" t="str">
        <f t="shared" si="27"/>
        <v/>
      </c>
      <c r="F171" s="257" t="str">
        <f t="shared" si="28"/>
        <v/>
      </c>
      <c r="G171" s="257" t="str">
        <f t="shared" si="29"/>
        <v/>
      </c>
      <c r="H171" s="257" t="str">
        <f t="shared" si="30"/>
        <v/>
      </c>
    </row>
    <row r="172" spans="1:8" x14ac:dyDescent="0.25">
      <c r="A172" s="254" t="str">
        <f t="shared" ca="1" si="31"/>
        <v/>
      </c>
      <c r="B172" s="255"/>
      <c r="C172" s="256"/>
      <c r="D172" s="257" t="str">
        <f t="shared" si="27"/>
        <v/>
      </c>
      <c r="F172" s="257" t="str">
        <f t="shared" si="28"/>
        <v/>
      </c>
      <c r="G172" s="257" t="str">
        <f t="shared" si="29"/>
        <v/>
      </c>
      <c r="H172" s="257" t="str">
        <f t="shared" si="30"/>
        <v/>
      </c>
    </row>
    <row r="173" spans="1:8" x14ac:dyDescent="0.25">
      <c r="A173" s="254" t="str">
        <f t="shared" ca="1" si="31"/>
        <v/>
      </c>
      <c r="B173" s="255"/>
      <c r="C173" s="256"/>
      <c r="D173" s="257" t="str">
        <f t="shared" si="27"/>
        <v/>
      </c>
      <c r="F173" s="257" t="str">
        <f t="shared" si="28"/>
        <v/>
      </c>
      <c r="G173" s="257" t="str">
        <f t="shared" si="29"/>
        <v/>
      </c>
      <c r="H173" s="257" t="str">
        <f t="shared" si="30"/>
        <v/>
      </c>
    </row>
    <row r="174" spans="1:8" x14ac:dyDescent="0.25">
      <c r="A174" s="254" t="str">
        <f t="shared" ca="1" si="31"/>
        <v/>
      </c>
      <c r="B174" s="255"/>
      <c r="C174" s="256"/>
      <c r="D174" s="257" t="str">
        <f t="shared" si="27"/>
        <v/>
      </c>
      <c r="F174" s="257" t="str">
        <f t="shared" si="28"/>
        <v/>
      </c>
      <c r="G174" s="257" t="str">
        <f t="shared" si="29"/>
        <v/>
      </c>
      <c r="H174" s="257" t="str">
        <f t="shared" si="30"/>
        <v/>
      </c>
    </row>
    <row r="175" spans="1:8" x14ac:dyDescent="0.25">
      <c r="A175" s="254" t="str">
        <f t="shared" ca="1" si="31"/>
        <v/>
      </c>
      <c r="B175" s="255"/>
      <c r="C175" s="256"/>
      <c r="D175" s="257" t="str">
        <f t="shared" si="27"/>
        <v/>
      </c>
      <c r="F175" s="257" t="str">
        <f t="shared" si="28"/>
        <v/>
      </c>
      <c r="G175" s="257" t="str">
        <f t="shared" si="29"/>
        <v/>
      </c>
      <c r="H175" s="257" t="str">
        <f t="shared" si="30"/>
        <v/>
      </c>
    </row>
    <row r="176" spans="1:8" x14ac:dyDescent="0.25">
      <c r="A176" s="254" t="str">
        <f t="shared" ca="1" si="31"/>
        <v/>
      </c>
      <c r="B176" s="255"/>
      <c r="C176" s="256"/>
      <c r="D176" s="257" t="str">
        <f t="shared" si="27"/>
        <v/>
      </c>
      <c r="F176" s="257" t="str">
        <f t="shared" si="28"/>
        <v/>
      </c>
      <c r="G176" s="257" t="str">
        <f t="shared" si="29"/>
        <v/>
      </c>
      <c r="H176" s="257" t="str">
        <f t="shared" si="30"/>
        <v/>
      </c>
    </row>
    <row r="177" spans="1:8" x14ac:dyDescent="0.25">
      <c r="A177" s="254" t="str">
        <f t="shared" ca="1" si="31"/>
        <v/>
      </c>
      <c r="B177" s="255"/>
      <c r="C177" s="256"/>
      <c r="D177" s="257" t="str">
        <f t="shared" si="27"/>
        <v/>
      </c>
      <c r="F177" s="257" t="str">
        <f t="shared" si="28"/>
        <v/>
      </c>
      <c r="G177" s="257" t="str">
        <f t="shared" si="29"/>
        <v/>
      </c>
      <c r="H177" s="257" t="str">
        <f t="shared" si="30"/>
        <v/>
      </c>
    </row>
    <row r="178" spans="1:8" x14ac:dyDescent="0.25">
      <c r="A178" s="254" t="str">
        <f t="shared" ca="1" si="31"/>
        <v/>
      </c>
      <c r="B178" s="255"/>
      <c r="C178" s="256"/>
      <c r="D178" s="257" t="str">
        <f t="shared" si="27"/>
        <v/>
      </c>
      <c r="F178" s="257" t="str">
        <f t="shared" si="28"/>
        <v/>
      </c>
      <c r="G178" s="257" t="str">
        <f t="shared" si="29"/>
        <v/>
      </c>
      <c r="H178" s="257" t="str">
        <f t="shared" si="30"/>
        <v/>
      </c>
    </row>
    <row r="179" spans="1:8" x14ac:dyDescent="0.25">
      <c r="A179" s="254" t="str">
        <f t="shared" ca="1" si="31"/>
        <v/>
      </c>
      <c r="B179" s="255"/>
      <c r="C179" s="256"/>
      <c r="D179" s="257" t="str">
        <f t="shared" si="27"/>
        <v/>
      </c>
      <c r="F179" s="257" t="str">
        <f t="shared" si="28"/>
        <v/>
      </c>
      <c r="G179" s="257" t="str">
        <f t="shared" si="29"/>
        <v/>
      </c>
      <c r="H179" s="257" t="str">
        <f t="shared" si="30"/>
        <v/>
      </c>
    </row>
    <row r="180" spans="1:8" x14ac:dyDescent="0.25">
      <c r="A180" s="254" t="str">
        <f t="shared" ca="1" si="31"/>
        <v/>
      </c>
      <c r="B180" s="255"/>
      <c r="C180" s="256"/>
      <c r="D180" s="257" t="str">
        <f t="shared" si="27"/>
        <v/>
      </c>
      <c r="F180" s="257" t="str">
        <f t="shared" si="28"/>
        <v/>
      </c>
      <c r="G180" s="257" t="str">
        <f t="shared" si="29"/>
        <v/>
      </c>
      <c r="H180" s="257" t="str">
        <f t="shared" si="30"/>
        <v/>
      </c>
    </row>
    <row r="181" spans="1:8" x14ac:dyDescent="0.25">
      <c r="A181" s="254" t="str">
        <f t="shared" ca="1" si="31"/>
        <v/>
      </c>
      <c r="B181" s="255"/>
      <c r="C181" s="256"/>
      <c r="D181" s="257" t="str">
        <f t="shared" si="27"/>
        <v/>
      </c>
      <c r="F181" s="257" t="str">
        <f t="shared" si="28"/>
        <v/>
      </c>
      <c r="G181" s="257" t="str">
        <f t="shared" si="29"/>
        <v/>
      </c>
      <c r="H181" s="257" t="str">
        <f t="shared" si="30"/>
        <v/>
      </c>
    </row>
    <row r="182" spans="1:8" x14ac:dyDescent="0.25">
      <c r="A182" s="254" t="str">
        <f t="shared" ca="1" si="31"/>
        <v/>
      </c>
      <c r="B182" s="255"/>
      <c r="C182" s="256"/>
      <c r="D182" s="257" t="str">
        <f t="shared" si="27"/>
        <v/>
      </c>
      <c r="F182" s="257" t="str">
        <f t="shared" si="28"/>
        <v/>
      </c>
      <c r="G182" s="257" t="str">
        <f t="shared" si="29"/>
        <v/>
      </c>
      <c r="H182" s="257" t="str">
        <f t="shared" si="30"/>
        <v/>
      </c>
    </row>
    <row r="183" spans="1:8" x14ac:dyDescent="0.25">
      <c r="A183" s="254" t="str">
        <f t="shared" ca="1" si="31"/>
        <v/>
      </c>
      <c r="B183" s="255"/>
      <c r="C183" s="256"/>
      <c r="D183" s="257" t="str">
        <f t="shared" si="27"/>
        <v/>
      </c>
      <c r="F183" s="257" t="str">
        <f t="shared" si="28"/>
        <v/>
      </c>
      <c r="G183" s="257" t="str">
        <f t="shared" si="29"/>
        <v/>
      </c>
      <c r="H183" s="257" t="str">
        <f t="shared" si="30"/>
        <v/>
      </c>
    </row>
    <row r="184" spans="1:8" x14ac:dyDescent="0.25">
      <c r="A184" s="254" t="str">
        <f t="shared" ca="1" si="31"/>
        <v/>
      </c>
      <c r="B184" s="255"/>
      <c r="C184" s="256"/>
      <c r="D184" s="257" t="str">
        <f t="shared" si="27"/>
        <v/>
      </c>
      <c r="F184" s="257" t="str">
        <f t="shared" si="28"/>
        <v/>
      </c>
      <c r="G184" s="257" t="str">
        <f t="shared" si="29"/>
        <v/>
      </c>
      <c r="H184" s="257" t="str">
        <f t="shared" si="30"/>
        <v/>
      </c>
    </row>
    <row r="185" spans="1:8" x14ac:dyDescent="0.25">
      <c r="A185" s="254" t="str">
        <f t="shared" ca="1" si="31"/>
        <v/>
      </c>
      <c r="B185" s="255"/>
      <c r="C185" s="256"/>
      <c r="D185" s="257" t="str">
        <f t="shared" si="27"/>
        <v/>
      </c>
      <c r="F185" s="257" t="str">
        <f t="shared" si="28"/>
        <v/>
      </c>
      <c r="G185" s="257" t="str">
        <f t="shared" si="29"/>
        <v/>
      </c>
      <c r="H185" s="257" t="str">
        <f t="shared" si="30"/>
        <v/>
      </c>
    </row>
    <row r="186" spans="1:8" x14ac:dyDescent="0.25">
      <c r="A186" s="254" t="str">
        <f t="shared" ca="1" si="31"/>
        <v/>
      </c>
      <c r="B186" s="255"/>
      <c r="C186" s="256"/>
      <c r="D186" s="257" t="str">
        <f t="shared" si="27"/>
        <v/>
      </c>
      <c r="F186" s="257" t="str">
        <f t="shared" si="28"/>
        <v/>
      </c>
      <c r="G186" s="257" t="str">
        <f t="shared" si="29"/>
        <v/>
      </c>
      <c r="H186" s="257" t="str">
        <f t="shared" si="30"/>
        <v/>
      </c>
    </row>
    <row r="187" spans="1:8" x14ac:dyDescent="0.25">
      <c r="A187" s="254" t="str">
        <f t="shared" ca="1" si="31"/>
        <v/>
      </c>
      <c r="B187" s="255"/>
      <c r="C187" s="256"/>
      <c r="D187" s="257" t="str">
        <f t="shared" si="27"/>
        <v/>
      </c>
      <c r="F187" s="257" t="str">
        <f t="shared" si="28"/>
        <v/>
      </c>
      <c r="G187" s="257" t="str">
        <f t="shared" si="29"/>
        <v/>
      </c>
      <c r="H187" s="257" t="str">
        <f t="shared" si="30"/>
        <v/>
      </c>
    </row>
    <row r="188" spans="1:8" x14ac:dyDescent="0.25">
      <c r="A188" s="254" t="str">
        <f t="shared" ca="1" si="31"/>
        <v/>
      </c>
      <c r="B188" s="255"/>
      <c r="C188" s="256"/>
      <c r="D188" s="257" t="str">
        <f t="shared" si="27"/>
        <v/>
      </c>
      <c r="F188" s="257" t="str">
        <f t="shared" si="28"/>
        <v/>
      </c>
      <c r="G188" s="257" t="str">
        <f t="shared" si="29"/>
        <v/>
      </c>
      <c r="H188" s="257" t="str">
        <f t="shared" si="30"/>
        <v/>
      </c>
    </row>
    <row r="189" spans="1:8" x14ac:dyDescent="0.25">
      <c r="A189" s="254" t="str">
        <f t="shared" ca="1" si="31"/>
        <v/>
      </c>
      <c r="B189" s="255"/>
      <c r="C189" s="256"/>
      <c r="D189" s="257" t="str">
        <f t="shared" si="27"/>
        <v/>
      </c>
      <c r="F189" s="257" t="str">
        <f t="shared" si="28"/>
        <v/>
      </c>
      <c r="G189" s="257" t="str">
        <f t="shared" si="29"/>
        <v/>
      </c>
      <c r="H189" s="257" t="str">
        <f t="shared" si="30"/>
        <v/>
      </c>
    </row>
    <row r="190" spans="1:8" x14ac:dyDescent="0.25">
      <c r="A190" s="254" t="str">
        <f t="shared" ca="1" si="31"/>
        <v/>
      </c>
      <c r="B190" s="255"/>
      <c r="C190" s="256"/>
      <c r="D190" s="257" t="str">
        <f t="shared" si="27"/>
        <v/>
      </c>
      <c r="F190" s="257" t="str">
        <f t="shared" si="28"/>
        <v/>
      </c>
      <c r="G190" s="257" t="str">
        <f t="shared" si="29"/>
        <v/>
      </c>
      <c r="H190" s="257" t="str">
        <f t="shared" si="30"/>
        <v/>
      </c>
    </row>
    <row r="191" spans="1:8" x14ac:dyDescent="0.25">
      <c r="A191" s="254" t="str">
        <f t="shared" ca="1" si="31"/>
        <v/>
      </c>
      <c r="B191" s="255"/>
      <c r="C191" s="256"/>
      <c r="D191" s="257" t="str">
        <f t="shared" si="27"/>
        <v/>
      </c>
      <c r="F191" s="257" t="str">
        <f t="shared" si="28"/>
        <v/>
      </c>
      <c r="G191" s="257" t="str">
        <f t="shared" si="29"/>
        <v/>
      </c>
      <c r="H191" s="257" t="str">
        <f t="shared" si="30"/>
        <v/>
      </c>
    </row>
    <row r="192" spans="1:8" x14ac:dyDescent="0.25">
      <c r="A192" s="254" t="str">
        <f t="shared" ca="1" si="31"/>
        <v/>
      </c>
      <c r="B192" s="255"/>
      <c r="C192" s="256"/>
      <c r="D192" s="257" t="str">
        <f t="shared" si="27"/>
        <v/>
      </c>
      <c r="F192" s="257" t="str">
        <f t="shared" si="28"/>
        <v/>
      </c>
      <c r="G192" s="257" t="str">
        <f t="shared" si="29"/>
        <v/>
      </c>
      <c r="H192" s="257" t="str">
        <f t="shared" si="30"/>
        <v/>
      </c>
    </row>
    <row r="193" spans="1:8" x14ac:dyDescent="0.25">
      <c r="A193" s="254" t="str">
        <f t="shared" ca="1" si="31"/>
        <v/>
      </c>
      <c r="B193" s="255"/>
      <c r="C193" s="256"/>
      <c r="D193" s="257" t="str">
        <f t="shared" si="27"/>
        <v/>
      </c>
      <c r="F193" s="257" t="str">
        <f t="shared" si="28"/>
        <v/>
      </c>
      <c r="G193" s="257" t="str">
        <f t="shared" si="29"/>
        <v/>
      </c>
      <c r="H193" s="257" t="str">
        <f t="shared" si="30"/>
        <v/>
      </c>
    </row>
    <row r="194" spans="1:8" x14ac:dyDescent="0.25">
      <c r="A194" s="254" t="str">
        <f t="shared" ca="1" si="31"/>
        <v/>
      </c>
      <c r="B194" s="255"/>
      <c r="C194" s="256"/>
      <c r="D194" s="257" t="str">
        <f t="shared" si="27"/>
        <v/>
      </c>
      <c r="F194" s="257" t="str">
        <f t="shared" si="28"/>
        <v/>
      </c>
      <c r="G194" s="257" t="str">
        <f t="shared" si="29"/>
        <v/>
      </c>
      <c r="H194" s="257" t="str">
        <f t="shared" si="30"/>
        <v/>
      </c>
    </row>
    <row r="195" spans="1:8" x14ac:dyDescent="0.25">
      <c r="A195" s="254" t="str">
        <f t="shared" ca="1" si="31"/>
        <v/>
      </c>
      <c r="B195" s="255"/>
      <c r="C195" s="256"/>
      <c r="D195" s="257" t="str">
        <f t="shared" si="27"/>
        <v/>
      </c>
      <c r="F195" s="257" t="str">
        <f t="shared" si="28"/>
        <v/>
      </c>
      <c r="G195" s="257" t="str">
        <f t="shared" si="29"/>
        <v/>
      </c>
      <c r="H195" s="257" t="str">
        <f t="shared" si="30"/>
        <v/>
      </c>
    </row>
    <row r="196" spans="1:8" x14ac:dyDescent="0.25">
      <c r="A196" s="254" t="str">
        <f t="shared" ca="1" si="31"/>
        <v/>
      </c>
      <c r="B196" s="255"/>
      <c r="C196" s="256"/>
      <c r="D196" s="257" t="str">
        <f t="shared" si="27"/>
        <v/>
      </c>
      <c r="F196" s="257" t="str">
        <f t="shared" si="28"/>
        <v/>
      </c>
      <c r="G196" s="257" t="str">
        <f t="shared" si="29"/>
        <v/>
      </c>
      <c r="H196" s="257" t="str">
        <f t="shared" si="30"/>
        <v/>
      </c>
    </row>
    <row r="197" spans="1:8" x14ac:dyDescent="0.25">
      <c r="A197" s="254" t="str">
        <f t="shared" ca="1" si="31"/>
        <v/>
      </c>
      <c r="B197" s="255"/>
      <c r="C197" s="256"/>
      <c r="D197" s="257" t="str">
        <f t="shared" si="27"/>
        <v/>
      </c>
      <c r="F197" s="257" t="str">
        <f t="shared" si="28"/>
        <v/>
      </c>
      <c r="G197" s="257" t="str">
        <f t="shared" si="29"/>
        <v/>
      </c>
      <c r="H197" s="257" t="str">
        <f t="shared" si="30"/>
        <v/>
      </c>
    </row>
    <row r="198" spans="1:8" x14ac:dyDescent="0.25">
      <c r="A198" s="254" t="str">
        <f t="shared" ca="1" si="31"/>
        <v/>
      </c>
      <c r="B198" s="255"/>
      <c r="C198" s="256"/>
      <c r="D198" s="257" t="str">
        <f t="shared" si="27"/>
        <v/>
      </c>
      <c r="F198" s="257" t="str">
        <f t="shared" si="28"/>
        <v/>
      </c>
      <c r="G198" s="257" t="str">
        <f t="shared" si="29"/>
        <v/>
      </c>
      <c r="H198" s="257" t="str">
        <f t="shared" si="30"/>
        <v/>
      </c>
    </row>
    <row r="199" spans="1:8" x14ac:dyDescent="0.25">
      <c r="A199" s="254" t="str">
        <f t="shared" ca="1" si="31"/>
        <v/>
      </c>
      <c r="B199" s="255"/>
      <c r="C199" s="256"/>
      <c r="D199" s="257" t="str">
        <f t="shared" si="27"/>
        <v/>
      </c>
      <c r="F199" s="257" t="str">
        <f t="shared" si="28"/>
        <v/>
      </c>
      <c r="G199" s="257" t="str">
        <f t="shared" si="29"/>
        <v/>
      </c>
      <c r="H199" s="257" t="str">
        <f t="shared" si="30"/>
        <v/>
      </c>
    </row>
    <row r="200" spans="1:8" x14ac:dyDescent="0.25">
      <c r="A200" s="254" t="str">
        <f t="shared" ca="1" si="31"/>
        <v/>
      </c>
      <c r="B200" s="255"/>
      <c r="C200" s="256"/>
      <c r="D200" s="257" t="str">
        <f t="shared" si="27"/>
        <v/>
      </c>
      <c r="F200" s="257" t="str">
        <f t="shared" si="28"/>
        <v/>
      </c>
      <c r="G200" s="257" t="str">
        <f t="shared" si="29"/>
        <v/>
      </c>
      <c r="H200" s="257" t="str">
        <f t="shared" si="30"/>
        <v/>
      </c>
    </row>
    <row r="201" spans="1:8" x14ac:dyDescent="0.25">
      <c r="A201" s="254" t="str">
        <f t="shared" ca="1" si="31"/>
        <v/>
      </c>
      <c r="B201" s="255"/>
      <c r="C201" s="256"/>
      <c r="D201" s="257" t="str">
        <f t="shared" si="27"/>
        <v/>
      </c>
      <c r="F201" s="257" t="str">
        <f t="shared" si="28"/>
        <v/>
      </c>
      <c r="G201" s="257" t="str">
        <f t="shared" si="29"/>
        <v/>
      </c>
      <c r="H201" s="257" t="str">
        <f t="shared" si="30"/>
        <v/>
      </c>
    </row>
    <row r="202" spans="1:8" x14ac:dyDescent="0.25">
      <c r="A202" s="254" t="str">
        <f t="shared" ca="1" si="31"/>
        <v/>
      </c>
      <c r="B202" s="255"/>
      <c r="C202" s="256"/>
      <c r="D202" s="257" t="str">
        <f t="shared" si="27"/>
        <v/>
      </c>
      <c r="F202" s="257" t="str">
        <f t="shared" si="28"/>
        <v/>
      </c>
      <c r="G202" s="257" t="str">
        <f t="shared" si="29"/>
        <v/>
      </c>
      <c r="H202" s="257" t="str">
        <f t="shared" si="30"/>
        <v/>
      </c>
    </row>
    <row r="203" spans="1:8" x14ac:dyDescent="0.25">
      <c r="A203" s="254" t="str">
        <f t="shared" ca="1" si="31"/>
        <v/>
      </c>
      <c r="B203" s="255"/>
      <c r="C203" s="256"/>
      <c r="D203" s="257" t="str">
        <f t="shared" si="27"/>
        <v/>
      </c>
      <c r="F203" s="257" t="str">
        <f t="shared" si="28"/>
        <v/>
      </c>
      <c r="G203" s="257" t="str">
        <f t="shared" si="29"/>
        <v/>
      </c>
      <c r="H203" s="257" t="str">
        <f t="shared" si="30"/>
        <v/>
      </c>
    </row>
    <row r="204" spans="1:8" x14ac:dyDescent="0.25">
      <c r="A204" s="254" t="str">
        <f t="shared" ca="1" si="31"/>
        <v/>
      </c>
      <c r="B204" s="255"/>
      <c r="C204" s="256"/>
      <c r="D204" s="257" t="str">
        <f t="shared" si="27"/>
        <v/>
      </c>
      <c r="F204" s="257" t="str">
        <f t="shared" si="28"/>
        <v/>
      </c>
      <c r="G204" s="257" t="str">
        <f t="shared" si="29"/>
        <v/>
      </c>
      <c r="H204" s="257" t="str">
        <f t="shared" si="30"/>
        <v/>
      </c>
    </row>
    <row r="205" spans="1:8" x14ac:dyDescent="0.25">
      <c r="A205" s="254" t="str">
        <f t="shared" ca="1" si="31"/>
        <v/>
      </c>
      <c r="B205" s="255"/>
      <c r="C205" s="256"/>
      <c r="D205" s="257" t="str">
        <f t="shared" si="27"/>
        <v/>
      </c>
      <c r="F205" s="257" t="str">
        <f t="shared" si="28"/>
        <v/>
      </c>
      <c r="G205" s="257" t="str">
        <f t="shared" si="29"/>
        <v/>
      </c>
      <c r="H205" s="257" t="str">
        <f t="shared" si="30"/>
        <v/>
      </c>
    </row>
    <row r="206" spans="1:8" x14ac:dyDescent="0.25">
      <c r="A206" s="254" t="str">
        <f t="shared" ca="1" si="31"/>
        <v/>
      </c>
      <c r="B206" s="255"/>
      <c r="C206" s="256"/>
      <c r="D206" s="257" t="str">
        <f t="shared" si="27"/>
        <v/>
      </c>
      <c r="F206" s="257" t="str">
        <f t="shared" si="28"/>
        <v/>
      </c>
      <c r="G206" s="257" t="str">
        <f t="shared" si="29"/>
        <v/>
      </c>
      <c r="H206" s="257" t="str">
        <f t="shared" si="30"/>
        <v/>
      </c>
    </row>
    <row r="207" spans="1:8" x14ac:dyDescent="0.25">
      <c r="A207" s="254" t="str">
        <f t="shared" ca="1" si="31"/>
        <v/>
      </c>
      <c r="B207" s="255"/>
      <c r="C207" s="256"/>
      <c r="D207" s="257" t="str">
        <f t="shared" si="27"/>
        <v/>
      </c>
      <c r="F207" s="257" t="str">
        <f t="shared" si="28"/>
        <v/>
      </c>
      <c r="G207" s="257" t="str">
        <f t="shared" si="29"/>
        <v/>
      </c>
      <c r="H207" s="257" t="str">
        <f t="shared" si="30"/>
        <v/>
      </c>
    </row>
    <row r="208" spans="1:8" x14ac:dyDescent="0.25">
      <c r="A208" s="254" t="str">
        <f t="shared" ca="1" si="31"/>
        <v/>
      </c>
      <c r="B208" s="255"/>
      <c r="C208" s="256"/>
      <c r="D208" s="257" t="str">
        <f t="shared" si="27"/>
        <v/>
      </c>
      <c r="F208" s="257" t="str">
        <f t="shared" si="28"/>
        <v/>
      </c>
      <c r="G208" s="257" t="str">
        <f t="shared" si="29"/>
        <v/>
      </c>
      <c r="H208" s="257" t="str">
        <f t="shared" si="30"/>
        <v/>
      </c>
    </row>
    <row r="209" spans="1:8" x14ac:dyDescent="0.25">
      <c r="A209" s="254" t="str">
        <f t="shared" ca="1" si="31"/>
        <v/>
      </c>
      <c r="B209" s="255"/>
      <c r="C209" s="256"/>
      <c r="D209" s="257" t="str">
        <f t="shared" si="27"/>
        <v/>
      </c>
      <c r="F209" s="257" t="str">
        <f t="shared" si="28"/>
        <v/>
      </c>
      <c r="G209" s="257" t="str">
        <f t="shared" si="29"/>
        <v/>
      </c>
      <c r="H209" s="257" t="str">
        <f t="shared" si="30"/>
        <v/>
      </c>
    </row>
    <row r="210" spans="1:8" x14ac:dyDescent="0.25">
      <c r="A210" s="254" t="str">
        <f t="shared" ca="1" si="31"/>
        <v/>
      </c>
      <c r="B210" s="255"/>
      <c r="C210" s="256"/>
      <c r="D210" s="257" t="str">
        <f t="shared" si="27"/>
        <v/>
      </c>
      <c r="F210" s="257" t="str">
        <f t="shared" si="28"/>
        <v/>
      </c>
      <c r="G210" s="257" t="str">
        <f t="shared" si="29"/>
        <v/>
      </c>
      <c r="H210" s="257" t="str">
        <f t="shared" si="30"/>
        <v/>
      </c>
    </row>
    <row r="211" spans="1:8" x14ac:dyDescent="0.25">
      <c r="A211" s="254" t="str">
        <f t="shared" ca="1" si="31"/>
        <v/>
      </c>
      <c r="B211" s="255"/>
      <c r="C211" s="256"/>
      <c r="D211" s="257" t="str">
        <f t="shared" ref="D211:D274" si="32">IF(B211="","",ROUND((B211-B210)*$H$9*G210,2))</f>
        <v/>
      </c>
      <c r="F211" s="257" t="str">
        <f t="shared" ref="F211:F274" si="33">IF(B211="","",IF(C211&gt;F210+D211,0,F210+D211-C211))</f>
        <v/>
      </c>
      <c r="G211" s="257" t="str">
        <f t="shared" ref="G211:G274" si="34">IF(B211="","",IF(C211&gt;D211+F210,G210+F210+D211-C211,G210))</f>
        <v/>
      </c>
      <c r="H211" s="257" t="str">
        <f t="shared" ref="H211:H274" si="35">IF(B211="","",G211+F211)</f>
        <v/>
      </c>
    </row>
    <row r="212" spans="1:8" x14ac:dyDescent="0.25">
      <c r="A212" s="254" t="str">
        <f t="shared" ca="1" si="31"/>
        <v/>
      </c>
      <c r="B212" s="255"/>
      <c r="C212" s="256"/>
      <c r="D212" s="257" t="str">
        <f t="shared" si="32"/>
        <v/>
      </c>
      <c r="F212" s="257" t="str">
        <f t="shared" si="33"/>
        <v/>
      </c>
      <c r="G212" s="257" t="str">
        <f t="shared" si="34"/>
        <v/>
      </c>
      <c r="H212" s="257" t="str">
        <f t="shared" si="35"/>
        <v/>
      </c>
    </row>
    <row r="213" spans="1:8" x14ac:dyDescent="0.25">
      <c r="A213" s="254" t="str">
        <f t="shared" ca="1" si="31"/>
        <v/>
      </c>
      <c r="B213" s="255"/>
      <c r="C213" s="256"/>
      <c r="D213" s="257" t="str">
        <f t="shared" si="32"/>
        <v/>
      </c>
      <c r="F213" s="257" t="str">
        <f t="shared" si="33"/>
        <v/>
      </c>
      <c r="G213" s="257" t="str">
        <f t="shared" si="34"/>
        <v/>
      </c>
      <c r="H213" s="257" t="str">
        <f t="shared" si="35"/>
        <v/>
      </c>
    </row>
    <row r="214" spans="1:8" x14ac:dyDescent="0.25">
      <c r="A214" s="254" t="str">
        <f t="shared" ca="1" si="31"/>
        <v/>
      </c>
      <c r="B214" s="255"/>
      <c r="C214" s="256"/>
      <c r="D214" s="257" t="str">
        <f t="shared" si="32"/>
        <v/>
      </c>
      <c r="F214" s="257" t="str">
        <f t="shared" si="33"/>
        <v/>
      </c>
      <c r="G214" s="257" t="str">
        <f t="shared" si="34"/>
        <v/>
      </c>
      <c r="H214" s="257" t="str">
        <f t="shared" si="35"/>
        <v/>
      </c>
    </row>
    <row r="215" spans="1:8" x14ac:dyDescent="0.25">
      <c r="A215" s="254" t="str">
        <f t="shared" ca="1" si="31"/>
        <v/>
      </c>
      <c r="B215" s="255"/>
      <c r="C215" s="256"/>
      <c r="D215" s="257" t="str">
        <f t="shared" si="32"/>
        <v/>
      </c>
      <c r="F215" s="257" t="str">
        <f t="shared" si="33"/>
        <v/>
      </c>
      <c r="G215" s="257" t="str">
        <f t="shared" si="34"/>
        <v/>
      </c>
      <c r="H215" s="257" t="str">
        <f t="shared" si="35"/>
        <v/>
      </c>
    </row>
    <row r="216" spans="1:8" x14ac:dyDescent="0.25">
      <c r="A216" s="254" t="str">
        <f t="shared" ca="1" si="31"/>
        <v/>
      </c>
      <c r="B216" s="255"/>
      <c r="C216" s="256"/>
      <c r="D216" s="257" t="str">
        <f t="shared" si="32"/>
        <v/>
      </c>
      <c r="F216" s="257" t="str">
        <f t="shared" si="33"/>
        <v/>
      </c>
      <c r="G216" s="257" t="str">
        <f t="shared" si="34"/>
        <v/>
      </c>
      <c r="H216" s="257" t="str">
        <f t="shared" si="35"/>
        <v/>
      </c>
    </row>
    <row r="217" spans="1:8" x14ac:dyDescent="0.25">
      <c r="A217" s="254" t="str">
        <f t="shared" ca="1" si="31"/>
        <v/>
      </c>
      <c r="B217" s="255"/>
      <c r="C217" s="256"/>
      <c r="D217" s="257" t="str">
        <f t="shared" si="32"/>
        <v/>
      </c>
      <c r="F217" s="257" t="str">
        <f t="shared" si="33"/>
        <v/>
      </c>
      <c r="G217" s="257" t="str">
        <f t="shared" si="34"/>
        <v/>
      </c>
      <c r="H217" s="257" t="str">
        <f t="shared" si="35"/>
        <v/>
      </c>
    </row>
    <row r="218" spans="1:8" x14ac:dyDescent="0.25">
      <c r="A218" s="254" t="str">
        <f t="shared" ca="1" si="31"/>
        <v/>
      </c>
      <c r="B218" s="255"/>
      <c r="C218" s="256"/>
      <c r="D218" s="257" t="str">
        <f t="shared" si="32"/>
        <v/>
      </c>
      <c r="F218" s="257" t="str">
        <f t="shared" si="33"/>
        <v/>
      </c>
      <c r="G218" s="257" t="str">
        <f t="shared" si="34"/>
        <v/>
      </c>
      <c r="H218" s="257" t="str">
        <f t="shared" si="35"/>
        <v/>
      </c>
    </row>
    <row r="219" spans="1:8" x14ac:dyDescent="0.25">
      <c r="A219" s="254" t="str">
        <f t="shared" ca="1" si="31"/>
        <v/>
      </c>
      <c r="B219" s="255"/>
      <c r="C219" s="256"/>
      <c r="D219" s="257" t="str">
        <f t="shared" si="32"/>
        <v/>
      </c>
      <c r="F219" s="257" t="str">
        <f t="shared" si="33"/>
        <v/>
      </c>
      <c r="G219" s="257" t="str">
        <f t="shared" si="34"/>
        <v/>
      </c>
      <c r="H219" s="257" t="str">
        <f t="shared" si="35"/>
        <v/>
      </c>
    </row>
    <row r="220" spans="1:8" x14ac:dyDescent="0.25">
      <c r="A220" s="254" t="str">
        <f t="shared" ca="1" si="31"/>
        <v/>
      </c>
      <c r="B220" s="255"/>
      <c r="C220" s="256"/>
      <c r="D220" s="257" t="str">
        <f t="shared" si="32"/>
        <v/>
      </c>
      <c r="F220" s="257" t="str">
        <f t="shared" si="33"/>
        <v/>
      </c>
      <c r="G220" s="257" t="str">
        <f t="shared" si="34"/>
        <v/>
      </c>
      <c r="H220" s="257" t="str">
        <f t="shared" si="35"/>
        <v/>
      </c>
    </row>
    <row r="221" spans="1:8" x14ac:dyDescent="0.25">
      <c r="A221" s="254" t="str">
        <f t="shared" ca="1" si="31"/>
        <v/>
      </c>
      <c r="B221" s="255"/>
      <c r="C221" s="256"/>
      <c r="D221" s="257" t="str">
        <f t="shared" si="32"/>
        <v/>
      </c>
      <c r="F221" s="257" t="str">
        <f t="shared" si="33"/>
        <v/>
      </c>
      <c r="G221" s="257" t="str">
        <f t="shared" si="34"/>
        <v/>
      </c>
      <c r="H221" s="257" t="str">
        <f t="shared" si="35"/>
        <v/>
      </c>
    </row>
    <row r="222" spans="1:8" x14ac:dyDescent="0.25">
      <c r="A222" s="254" t="str">
        <f t="shared" ca="1" si="31"/>
        <v/>
      </c>
      <c r="B222" s="255"/>
      <c r="C222" s="256"/>
      <c r="D222" s="257" t="str">
        <f t="shared" si="32"/>
        <v/>
      </c>
      <c r="F222" s="257" t="str">
        <f t="shared" si="33"/>
        <v/>
      </c>
      <c r="G222" s="257" t="str">
        <f t="shared" si="34"/>
        <v/>
      </c>
      <c r="H222" s="257" t="str">
        <f t="shared" si="35"/>
        <v/>
      </c>
    </row>
    <row r="223" spans="1:8" x14ac:dyDescent="0.25">
      <c r="A223" s="254" t="str">
        <f t="shared" ca="1" si="31"/>
        <v/>
      </c>
      <c r="B223" s="255"/>
      <c r="C223" s="256"/>
      <c r="D223" s="257" t="str">
        <f t="shared" si="32"/>
        <v/>
      </c>
      <c r="F223" s="257" t="str">
        <f t="shared" si="33"/>
        <v/>
      </c>
      <c r="G223" s="257" t="str">
        <f t="shared" si="34"/>
        <v/>
      </c>
      <c r="H223" s="257" t="str">
        <f t="shared" si="35"/>
        <v/>
      </c>
    </row>
    <row r="224" spans="1:8" x14ac:dyDescent="0.25">
      <c r="A224" s="254" t="str">
        <f t="shared" ca="1" si="31"/>
        <v/>
      </c>
      <c r="B224" s="255"/>
      <c r="C224" s="256"/>
      <c r="D224" s="257" t="str">
        <f t="shared" si="32"/>
        <v/>
      </c>
      <c r="F224" s="257" t="str">
        <f t="shared" si="33"/>
        <v/>
      </c>
      <c r="G224" s="257" t="str">
        <f t="shared" si="34"/>
        <v/>
      </c>
      <c r="H224" s="257" t="str">
        <f t="shared" si="35"/>
        <v/>
      </c>
    </row>
    <row r="225" spans="1:8" x14ac:dyDescent="0.25">
      <c r="A225" s="254" t="str">
        <f t="shared" ca="1" si="31"/>
        <v/>
      </c>
      <c r="B225" s="255"/>
      <c r="C225" s="256"/>
      <c r="D225" s="257" t="str">
        <f t="shared" si="32"/>
        <v/>
      </c>
      <c r="F225" s="257" t="str">
        <f t="shared" si="33"/>
        <v/>
      </c>
      <c r="G225" s="257" t="str">
        <f t="shared" si="34"/>
        <v/>
      </c>
      <c r="H225" s="257" t="str">
        <f t="shared" si="35"/>
        <v/>
      </c>
    </row>
    <row r="226" spans="1:8" x14ac:dyDescent="0.25">
      <c r="A226" s="254" t="str">
        <f t="shared" ca="1" si="31"/>
        <v/>
      </c>
      <c r="B226" s="255"/>
      <c r="C226" s="256"/>
      <c r="D226" s="257" t="str">
        <f t="shared" si="32"/>
        <v/>
      </c>
      <c r="F226" s="257" t="str">
        <f t="shared" si="33"/>
        <v/>
      </c>
      <c r="G226" s="257" t="str">
        <f t="shared" si="34"/>
        <v/>
      </c>
      <c r="H226" s="257" t="str">
        <f t="shared" si="35"/>
        <v/>
      </c>
    </row>
    <row r="227" spans="1:8" x14ac:dyDescent="0.25">
      <c r="A227" s="254" t="str">
        <f t="shared" ca="1" si="31"/>
        <v/>
      </c>
      <c r="B227" s="255"/>
      <c r="C227" s="256"/>
      <c r="D227" s="257" t="str">
        <f t="shared" si="32"/>
        <v/>
      </c>
      <c r="F227" s="257" t="str">
        <f t="shared" si="33"/>
        <v/>
      </c>
      <c r="G227" s="257" t="str">
        <f t="shared" si="34"/>
        <v/>
      </c>
      <c r="H227" s="257" t="str">
        <f t="shared" si="35"/>
        <v/>
      </c>
    </row>
    <row r="228" spans="1:8" x14ac:dyDescent="0.25">
      <c r="A228" s="254" t="str">
        <f t="shared" ca="1" si="31"/>
        <v/>
      </c>
      <c r="B228" s="255"/>
      <c r="C228" s="256"/>
      <c r="D228" s="257" t="str">
        <f t="shared" si="32"/>
        <v/>
      </c>
      <c r="F228" s="257" t="str">
        <f t="shared" si="33"/>
        <v/>
      </c>
      <c r="G228" s="257" t="str">
        <f t="shared" si="34"/>
        <v/>
      </c>
      <c r="H228" s="257" t="str">
        <f t="shared" si="35"/>
        <v/>
      </c>
    </row>
    <row r="229" spans="1:8" x14ac:dyDescent="0.25">
      <c r="A229" s="254" t="str">
        <f t="shared" ca="1" si="31"/>
        <v/>
      </c>
      <c r="B229" s="255"/>
      <c r="C229" s="256"/>
      <c r="D229" s="257" t="str">
        <f t="shared" si="32"/>
        <v/>
      </c>
      <c r="F229" s="257" t="str">
        <f t="shared" si="33"/>
        <v/>
      </c>
      <c r="G229" s="257" t="str">
        <f t="shared" si="34"/>
        <v/>
      </c>
      <c r="H229" s="257" t="str">
        <f t="shared" si="35"/>
        <v/>
      </c>
    </row>
    <row r="230" spans="1:8" x14ac:dyDescent="0.25">
      <c r="A230" s="254" t="str">
        <f t="shared" ca="1" si="31"/>
        <v/>
      </c>
      <c r="B230" s="255"/>
      <c r="C230" s="256"/>
      <c r="D230" s="257" t="str">
        <f t="shared" si="32"/>
        <v/>
      </c>
      <c r="F230" s="257" t="str">
        <f t="shared" si="33"/>
        <v/>
      </c>
      <c r="G230" s="257" t="str">
        <f t="shared" si="34"/>
        <v/>
      </c>
      <c r="H230" s="257" t="str">
        <f t="shared" si="35"/>
        <v/>
      </c>
    </row>
    <row r="231" spans="1:8" x14ac:dyDescent="0.25">
      <c r="A231" s="254" t="str">
        <f t="shared" ca="1" si="31"/>
        <v/>
      </c>
      <c r="B231" s="255"/>
      <c r="C231" s="256"/>
      <c r="D231" s="257" t="str">
        <f t="shared" si="32"/>
        <v/>
      </c>
      <c r="F231" s="257" t="str">
        <f t="shared" si="33"/>
        <v/>
      </c>
      <c r="G231" s="257" t="str">
        <f t="shared" si="34"/>
        <v/>
      </c>
      <c r="H231" s="257" t="str">
        <f t="shared" si="35"/>
        <v/>
      </c>
    </row>
    <row r="232" spans="1:8" x14ac:dyDescent="0.25">
      <c r="A232" s="254" t="str">
        <f t="shared" ca="1" si="31"/>
        <v/>
      </c>
      <c r="B232" s="255"/>
      <c r="C232" s="256"/>
      <c r="D232" s="257" t="str">
        <f t="shared" si="32"/>
        <v/>
      </c>
      <c r="F232" s="257" t="str">
        <f t="shared" si="33"/>
        <v/>
      </c>
      <c r="G232" s="257" t="str">
        <f t="shared" si="34"/>
        <v/>
      </c>
      <c r="H232" s="257" t="str">
        <f t="shared" si="35"/>
        <v/>
      </c>
    </row>
    <row r="233" spans="1:8" x14ac:dyDescent="0.25">
      <c r="A233" s="254" t="str">
        <f t="shared" ref="A233:A296" ca="1" si="36">IF(OR(H232&lt;=0,H232=""),"",OFFSET(A233,-1,0,1,1)+1)</f>
        <v/>
      </c>
      <c r="B233" s="255"/>
      <c r="C233" s="256"/>
      <c r="D233" s="257" t="str">
        <f t="shared" si="32"/>
        <v/>
      </c>
      <c r="F233" s="257" t="str">
        <f t="shared" si="33"/>
        <v/>
      </c>
      <c r="G233" s="257" t="str">
        <f t="shared" si="34"/>
        <v/>
      </c>
      <c r="H233" s="257" t="str">
        <f t="shared" si="35"/>
        <v/>
      </c>
    </row>
    <row r="234" spans="1:8" x14ac:dyDescent="0.25">
      <c r="A234" s="254" t="str">
        <f t="shared" ca="1" si="36"/>
        <v/>
      </c>
      <c r="B234" s="255"/>
      <c r="C234" s="256"/>
      <c r="D234" s="257" t="str">
        <f t="shared" si="32"/>
        <v/>
      </c>
      <c r="F234" s="257" t="str">
        <f t="shared" si="33"/>
        <v/>
      </c>
      <c r="G234" s="257" t="str">
        <f t="shared" si="34"/>
        <v/>
      </c>
      <c r="H234" s="257" t="str">
        <f t="shared" si="35"/>
        <v/>
      </c>
    </row>
    <row r="235" spans="1:8" x14ac:dyDescent="0.25">
      <c r="A235" s="254" t="str">
        <f t="shared" ca="1" si="36"/>
        <v/>
      </c>
      <c r="B235" s="255"/>
      <c r="C235" s="256"/>
      <c r="D235" s="257" t="str">
        <f t="shared" si="32"/>
        <v/>
      </c>
      <c r="F235" s="257" t="str">
        <f t="shared" si="33"/>
        <v/>
      </c>
      <c r="G235" s="257" t="str">
        <f t="shared" si="34"/>
        <v/>
      </c>
      <c r="H235" s="257" t="str">
        <f t="shared" si="35"/>
        <v/>
      </c>
    </row>
    <row r="236" spans="1:8" x14ac:dyDescent="0.25">
      <c r="A236" s="254" t="str">
        <f t="shared" ca="1" si="36"/>
        <v/>
      </c>
      <c r="B236" s="255"/>
      <c r="C236" s="256"/>
      <c r="D236" s="257" t="str">
        <f t="shared" si="32"/>
        <v/>
      </c>
      <c r="F236" s="257" t="str">
        <f t="shared" si="33"/>
        <v/>
      </c>
      <c r="G236" s="257" t="str">
        <f t="shared" si="34"/>
        <v/>
      </c>
      <c r="H236" s="257" t="str">
        <f t="shared" si="35"/>
        <v/>
      </c>
    </row>
    <row r="237" spans="1:8" x14ac:dyDescent="0.25">
      <c r="A237" s="254" t="str">
        <f t="shared" ca="1" si="36"/>
        <v/>
      </c>
      <c r="B237" s="255"/>
      <c r="C237" s="256"/>
      <c r="D237" s="257" t="str">
        <f t="shared" si="32"/>
        <v/>
      </c>
      <c r="F237" s="257" t="str">
        <f t="shared" si="33"/>
        <v/>
      </c>
      <c r="G237" s="257" t="str">
        <f t="shared" si="34"/>
        <v/>
      </c>
      <c r="H237" s="257" t="str">
        <f t="shared" si="35"/>
        <v/>
      </c>
    </row>
    <row r="238" spans="1:8" x14ac:dyDescent="0.25">
      <c r="A238" s="254" t="str">
        <f t="shared" ca="1" si="36"/>
        <v/>
      </c>
      <c r="B238" s="255"/>
      <c r="C238" s="256"/>
      <c r="D238" s="257" t="str">
        <f t="shared" si="32"/>
        <v/>
      </c>
      <c r="F238" s="257" t="str">
        <f t="shared" si="33"/>
        <v/>
      </c>
      <c r="G238" s="257" t="str">
        <f t="shared" si="34"/>
        <v/>
      </c>
      <c r="H238" s="257" t="str">
        <f t="shared" si="35"/>
        <v/>
      </c>
    </row>
    <row r="239" spans="1:8" x14ac:dyDescent="0.25">
      <c r="A239" s="254" t="str">
        <f t="shared" ca="1" si="36"/>
        <v/>
      </c>
      <c r="B239" s="255"/>
      <c r="C239" s="256"/>
      <c r="D239" s="257" t="str">
        <f t="shared" si="32"/>
        <v/>
      </c>
      <c r="F239" s="257" t="str">
        <f t="shared" si="33"/>
        <v/>
      </c>
      <c r="G239" s="257" t="str">
        <f t="shared" si="34"/>
        <v/>
      </c>
      <c r="H239" s="257" t="str">
        <f t="shared" si="35"/>
        <v/>
      </c>
    </row>
    <row r="240" spans="1:8" x14ac:dyDescent="0.25">
      <c r="A240" s="254" t="str">
        <f t="shared" ca="1" si="36"/>
        <v/>
      </c>
      <c r="B240" s="255"/>
      <c r="C240" s="256"/>
      <c r="D240" s="257" t="str">
        <f t="shared" si="32"/>
        <v/>
      </c>
      <c r="F240" s="257" t="str">
        <f t="shared" si="33"/>
        <v/>
      </c>
      <c r="G240" s="257" t="str">
        <f t="shared" si="34"/>
        <v/>
      </c>
      <c r="H240" s="257" t="str">
        <f t="shared" si="35"/>
        <v/>
      </c>
    </row>
    <row r="241" spans="1:8" x14ac:dyDescent="0.25">
      <c r="A241" s="254" t="str">
        <f t="shared" ca="1" si="36"/>
        <v/>
      </c>
      <c r="B241" s="255"/>
      <c r="C241" s="256"/>
      <c r="D241" s="257" t="str">
        <f t="shared" si="32"/>
        <v/>
      </c>
      <c r="F241" s="257" t="str">
        <f t="shared" si="33"/>
        <v/>
      </c>
      <c r="G241" s="257" t="str">
        <f t="shared" si="34"/>
        <v/>
      </c>
      <c r="H241" s="257" t="str">
        <f t="shared" si="35"/>
        <v/>
      </c>
    </row>
    <row r="242" spans="1:8" x14ac:dyDescent="0.25">
      <c r="A242" s="254" t="str">
        <f t="shared" ca="1" si="36"/>
        <v/>
      </c>
      <c r="B242" s="255"/>
      <c r="C242" s="256"/>
      <c r="D242" s="257" t="str">
        <f t="shared" si="32"/>
        <v/>
      </c>
      <c r="F242" s="257" t="str">
        <f t="shared" si="33"/>
        <v/>
      </c>
      <c r="G242" s="257" t="str">
        <f t="shared" si="34"/>
        <v/>
      </c>
      <c r="H242" s="257" t="str">
        <f t="shared" si="35"/>
        <v/>
      </c>
    </row>
    <row r="243" spans="1:8" x14ac:dyDescent="0.25">
      <c r="A243" s="254" t="str">
        <f t="shared" ca="1" si="36"/>
        <v/>
      </c>
      <c r="B243" s="255"/>
      <c r="C243" s="256"/>
      <c r="D243" s="257" t="str">
        <f t="shared" si="32"/>
        <v/>
      </c>
      <c r="F243" s="257" t="str">
        <f t="shared" si="33"/>
        <v/>
      </c>
      <c r="G243" s="257" t="str">
        <f t="shared" si="34"/>
        <v/>
      </c>
      <c r="H243" s="257" t="str">
        <f t="shared" si="35"/>
        <v/>
      </c>
    </row>
    <row r="244" spans="1:8" x14ac:dyDescent="0.25">
      <c r="A244" s="254" t="str">
        <f t="shared" ca="1" si="36"/>
        <v/>
      </c>
      <c r="B244" s="255"/>
      <c r="C244" s="256"/>
      <c r="D244" s="257" t="str">
        <f t="shared" si="32"/>
        <v/>
      </c>
      <c r="F244" s="257" t="str">
        <f t="shared" si="33"/>
        <v/>
      </c>
      <c r="G244" s="257" t="str">
        <f t="shared" si="34"/>
        <v/>
      </c>
      <c r="H244" s="257" t="str">
        <f t="shared" si="35"/>
        <v/>
      </c>
    </row>
    <row r="245" spans="1:8" x14ac:dyDescent="0.25">
      <c r="A245" s="254" t="str">
        <f t="shared" ca="1" si="36"/>
        <v/>
      </c>
      <c r="B245" s="255"/>
      <c r="C245" s="256"/>
      <c r="D245" s="257" t="str">
        <f t="shared" si="32"/>
        <v/>
      </c>
      <c r="F245" s="257" t="str">
        <f t="shared" si="33"/>
        <v/>
      </c>
      <c r="G245" s="257" t="str">
        <f t="shared" si="34"/>
        <v/>
      </c>
      <c r="H245" s="257" t="str">
        <f t="shared" si="35"/>
        <v/>
      </c>
    </row>
    <row r="246" spans="1:8" x14ac:dyDescent="0.25">
      <c r="A246" s="254" t="str">
        <f t="shared" ca="1" si="36"/>
        <v/>
      </c>
      <c r="B246" s="255"/>
      <c r="C246" s="256"/>
      <c r="D246" s="257" t="str">
        <f t="shared" si="32"/>
        <v/>
      </c>
      <c r="F246" s="257" t="str">
        <f t="shared" si="33"/>
        <v/>
      </c>
      <c r="G246" s="257" t="str">
        <f t="shared" si="34"/>
        <v/>
      </c>
      <c r="H246" s="257" t="str">
        <f t="shared" si="35"/>
        <v/>
      </c>
    </row>
    <row r="247" spans="1:8" x14ac:dyDescent="0.25">
      <c r="A247" s="254" t="str">
        <f t="shared" ca="1" si="36"/>
        <v/>
      </c>
      <c r="B247" s="255"/>
      <c r="C247" s="256"/>
      <c r="D247" s="257" t="str">
        <f t="shared" si="32"/>
        <v/>
      </c>
      <c r="F247" s="257" t="str">
        <f t="shared" si="33"/>
        <v/>
      </c>
      <c r="G247" s="257" t="str">
        <f t="shared" si="34"/>
        <v/>
      </c>
      <c r="H247" s="257" t="str">
        <f t="shared" si="35"/>
        <v/>
      </c>
    </row>
    <row r="248" spans="1:8" x14ac:dyDescent="0.25">
      <c r="A248" s="254" t="str">
        <f t="shared" ca="1" si="36"/>
        <v/>
      </c>
      <c r="B248" s="255"/>
      <c r="C248" s="256"/>
      <c r="D248" s="257" t="str">
        <f t="shared" si="32"/>
        <v/>
      </c>
      <c r="F248" s="257" t="str">
        <f t="shared" si="33"/>
        <v/>
      </c>
      <c r="G248" s="257" t="str">
        <f t="shared" si="34"/>
        <v/>
      </c>
      <c r="H248" s="257" t="str">
        <f t="shared" si="35"/>
        <v/>
      </c>
    </row>
    <row r="249" spans="1:8" x14ac:dyDescent="0.25">
      <c r="A249" s="254" t="str">
        <f t="shared" ca="1" si="36"/>
        <v/>
      </c>
      <c r="B249" s="255"/>
      <c r="C249" s="256"/>
      <c r="D249" s="257" t="str">
        <f t="shared" si="32"/>
        <v/>
      </c>
      <c r="F249" s="257" t="str">
        <f t="shared" si="33"/>
        <v/>
      </c>
      <c r="G249" s="257" t="str">
        <f t="shared" si="34"/>
        <v/>
      </c>
      <c r="H249" s="257" t="str">
        <f t="shared" si="35"/>
        <v/>
      </c>
    </row>
    <row r="250" spans="1:8" x14ac:dyDescent="0.25">
      <c r="A250" s="254" t="str">
        <f t="shared" ca="1" si="36"/>
        <v/>
      </c>
      <c r="B250" s="255"/>
      <c r="C250" s="256"/>
      <c r="D250" s="257" t="str">
        <f t="shared" si="32"/>
        <v/>
      </c>
      <c r="F250" s="257" t="str">
        <f t="shared" si="33"/>
        <v/>
      </c>
      <c r="G250" s="257" t="str">
        <f t="shared" si="34"/>
        <v/>
      </c>
      <c r="H250" s="257" t="str">
        <f t="shared" si="35"/>
        <v/>
      </c>
    </row>
    <row r="251" spans="1:8" x14ac:dyDescent="0.25">
      <c r="A251" s="254" t="str">
        <f t="shared" ca="1" si="36"/>
        <v/>
      </c>
      <c r="B251" s="255"/>
      <c r="C251" s="256"/>
      <c r="D251" s="257" t="str">
        <f t="shared" si="32"/>
        <v/>
      </c>
      <c r="F251" s="257" t="str">
        <f t="shared" si="33"/>
        <v/>
      </c>
      <c r="G251" s="257" t="str">
        <f t="shared" si="34"/>
        <v/>
      </c>
      <c r="H251" s="257" t="str">
        <f t="shared" si="35"/>
        <v/>
      </c>
    </row>
    <row r="252" spans="1:8" x14ac:dyDescent="0.25">
      <c r="A252" s="254" t="str">
        <f t="shared" ca="1" si="36"/>
        <v/>
      </c>
      <c r="B252" s="255"/>
      <c r="C252" s="256"/>
      <c r="D252" s="257" t="str">
        <f t="shared" si="32"/>
        <v/>
      </c>
      <c r="F252" s="257" t="str">
        <f t="shared" si="33"/>
        <v/>
      </c>
      <c r="G252" s="257" t="str">
        <f t="shared" si="34"/>
        <v/>
      </c>
      <c r="H252" s="257" t="str">
        <f t="shared" si="35"/>
        <v/>
      </c>
    </row>
    <row r="253" spans="1:8" x14ac:dyDescent="0.25">
      <c r="A253" s="254" t="str">
        <f t="shared" ca="1" si="36"/>
        <v/>
      </c>
      <c r="B253" s="255"/>
      <c r="C253" s="256"/>
      <c r="D253" s="257" t="str">
        <f t="shared" si="32"/>
        <v/>
      </c>
      <c r="F253" s="257" t="str">
        <f t="shared" si="33"/>
        <v/>
      </c>
      <c r="G253" s="257" t="str">
        <f t="shared" si="34"/>
        <v/>
      </c>
      <c r="H253" s="257" t="str">
        <f t="shared" si="35"/>
        <v/>
      </c>
    </row>
    <row r="254" spans="1:8" x14ac:dyDescent="0.25">
      <c r="A254" s="254" t="str">
        <f t="shared" ca="1" si="36"/>
        <v/>
      </c>
      <c r="B254" s="255"/>
      <c r="C254" s="256"/>
      <c r="D254" s="257" t="str">
        <f t="shared" si="32"/>
        <v/>
      </c>
      <c r="F254" s="257" t="str">
        <f t="shared" si="33"/>
        <v/>
      </c>
      <c r="G254" s="257" t="str">
        <f t="shared" si="34"/>
        <v/>
      </c>
      <c r="H254" s="257" t="str">
        <f t="shared" si="35"/>
        <v/>
      </c>
    </row>
    <row r="255" spans="1:8" x14ac:dyDescent="0.25">
      <c r="A255" s="254" t="str">
        <f t="shared" ca="1" si="36"/>
        <v/>
      </c>
      <c r="B255" s="255"/>
      <c r="C255" s="256"/>
      <c r="D255" s="257" t="str">
        <f t="shared" si="32"/>
        <v/>
      </c>
      <c r="F255" s="257" t="str">
        <f t="shared" si="33"/>
        <v/>
      </c>
      <c r="G255" s="257" t="str">
        <f t="shared" si="34"/>
        <v/>
      </c>
      <c r="H255" s="257" t="str">
        <f t="shared" si="35"/>
        <v/>
      </c>
    </row>
    <row r="256" spans="1:8" x14ac:dyDescent="0.25">
      <c r="A256" s="254" t="str">
        <f t="shared" ca="1" si="36"/>
        <v/>
      </c>
      <c r="B256" s="255"/>
      <c r="C256" s="256"/>
      <c r="D256" s="257" t="str">
        <f t="shared" si="32"/>
        <v/>
      </c>
      <c r="F256" s="257" t="str">
        <f t="shared" si="33"/>
        <v/>
      </c>
      <c r="G256" s="257" t="str">
        <f t="shared" si="34"/>
        <v/>
      </c>
      <c r="H256" s="257" t="str">
        <f t="shared" si="35"/>
        <v/>
      </c>
    </row>
    <row r="257" spans="1:8" x14ac:dyDescent="0.25">
      <c r="A257" s="254" t="str">
        <f t="shared" ca="1" si="36"/>
        <v/>
      </c>
      <c r="B257" s="255"/>
      <c r="C257" s="256"/>
      <c r="D257" s="257" t="str">
        <f t="shared" si="32"/>
        <v/>
      </c>
      <c r="F257" s="257" t="str">
        <f t="shared" si="33"/>
        <v/>
      </c>
      <c r="G257" s="257" t="str">
        <f t="shared" si="34"/>
        <v/>
      </c>
      <c r="H257" s="257" t="str">
        <f t="shared" si="35"/>
        <v/>
      </c>
    </row>
    <row r="258" spans="1:8" x14ac:dyDescent="0.25">
      <c r="A258" s="254" t="str">
        <f t="shared" ca="1" si="36"/>
        <v/>
      </c>
      <c r="B258" s="255"/>
      <c r="C258" s="256"/>
      <c r="D258" s="257" t="str">
        <f t="shared" si="32"/>
        <v/>
      </c>
      <c r="F258" s="257" t="str">
        <f t="shared" si="33"/>
        <v/>
      </c>
      <c r="G258" s="257" t="str">
        <f t="shared" si="34"/>
        <v/>
      </c>
      <c r="H258" s="257" t="str">
        <f t="shared" si="35"/>
        <v/>
      </c>
    </row>
    <row r="259" spans="1:8" x14ac:dyDescent="0.25">
      <c r="A259" s="254" t="str">
        <f t="shared" ca="1" si="36"/>
        <v/>
      </c>
      <c r="B259" s="255"/>
      <c r="C259" s="256"/>
      <c r="D259" s="257" t="str">
        <f t="shared" si="32"/>
        <v/>
      </c>
      <c r="F259" s="257" t="str">
        <f t="shared" si="33"/>
        <v/>
      </c>
      <c r="G259" s="257" t="str">
        <f t="shared" si="34"/>
        <v/>
      </c>
      <c r="H259" s="257" t="str">
        <f t="shared" si="35"/>
        <v/>
      </c>
    </row>
    <row r="260" spans="1:8" x14ac:dyDescent="0.25">
      <c r="A260" s="254" t="str">
        <f t="shared" ca="1" si="36"/>
        <v/>
      </c>
      <c r="B260" s="255"/>
      <c r="C260" s="256"/>
      <c r="D260" s="257" t="str">
        <f t="shared" si="32"/>
        <v/>
      </c>
      <c r="F260" s="257" t="str">
        <f t="shared" si="33"/>
        <v/>
      </c>
      <c r="G260" s="257" t="str">
        <f t="shared" si="34"/>
        <v/>
      </c>
      <c r="H260" s="257" t="str">
        <f t="shared" si="35"/>
        <v/>
      </c>
    </row>
    <row r="261" spans="1:8" x14ac:dyDescent="0.25">
      <c r="A261" s="254" t="str">
        <f t="shared" ca="1" si="36"/>
        <v/>
      </c>
      <c r="B261" s="255"/>
      <c r="C261" s="256"/>
      <c r="D261" s="257" t="str">
        <f t="shared" si="32"/>
        <v/>
      </c>
      <c r="F261" s="257" t="str">
        <f t="shared" si="33"/>
        <v/>
      </c>
      <c r="G261" s="257" t="str">
        <f t="shared" si="34"/>
        <v/>
      </c>
      <c r="H261" s="257" t="str">
        <f t="shared" si="35"/>
        <v/>
      </c>
    </row>
    <row r="262" spans="1:8" x14ac:dyDescent="0.25">
      <c r="A262" s="254" t="str">
        <f t="shared" ca="1" si="36"/>
        <v/>
      </c>
      <c r="B262" s="255"/>
      <c r="C262" s="256"/>
      <c r="D262" s="257" t="str">
        <f t="shared" si="32"/>
        <v/>
      </c>
      <c r="F262" s="257" t="str">
        <f t="shared" si="33"/>
        <v/>
      </c>
      <c r="G262" s="257" t="str">
        <f t="shared" si="34"/>
        <v/>
      </c>
      <c r="H262" s="257" t="str">
        <f t="shared" si="35"/>
        <v/>
      </c>
    </row>
    <row r="263" spans="1:8" x14ac:dyDescent="0.25">
      <c r="A263" s="254" t="str">
        <f t="shared" ca="1" si="36"/>
        <v/>
      </c>
      <c r="B263" s="255"/>
      <c r="C263" s="256"/>
      <c r="D263" s="257" t="str">
        <f t="shared" si="32"/>
        <v/>
      </c>
      <c r="F263" s="257" t="str">
        <f t="shared" si="33"/>
        <v/>
      </c>
      <c r="G263" s="257" t="str">
        <f t="shared" si="34"/>
        <v/>
      </c>
      <c r="H263" s="257" t="str">
        <f t="shared" si="35"/>
        <v/>
      </c>
    </row>
    <row r="264" spans="1:8" x14ac:dyDescent="0.25">
      <c r="A264" s="254" t="str">
        <f t="shared" ca="1" si="36"/>
        <v/>
      </c>
      <c r="B264" s="255"/>
      <c r="C264" s="256"/>
      <c r="D264" s="257" t="str">
        <f t="shared" si="32"/>
        <v/>
      </c>
      <c r="F264" s="257" t="str">
        <f t="shared" si="33"/>
        <v/>
      </c>
      <c r="G264" s="257" t="str">
        <f t="shared" si="34"/>
        <v/>
      </c>
      <c r="H264" s="257" t="str">
        <f t="shared" si="35"/>
        <v/>
      </c>
    </row>
    <row r="265" spans="1:8" x14ac:dyDescent="0.25">
      <c r="A265" s="254" t="str">
        <f t="shared" ca="1" si="36"/>
        <v/>
      </c>
      <c r="B265" s="255"/>
      <c r="C265" s="256"/>
      <c r="D265" s="257" t="str">
        <f t="shared" si="32"/>
        <v/>
      </c>
      <c r="F265" s="257" t="str">
        <f t="shared" si="33"/>
        <v/>
      </c>
      <c r="G265" s="257" t="str">
        <f t="shared" si="34"/>
        <v/>
      </c>
      <c r="H265" s="257" t="str">
        <f t="shared" si="35"/>
        <v/>
      </c>
    </row>
    <row r="266" spans="1:8" x14ac:dyDescent="0.25">
      <c r="A266" s="254" t="str">
        <f t="shared" ca="1" si="36"/>
        <v/>
      </c>
      <c r="B266" s="255"/>
      <c r="C266" s="256"/>
      <c r="D266" s="257" t="str">
        <f t="shared" si="32"/>
        <v/>
      </c>
      <c r="F266" s="257" t="str">
        <f t="shared" si="33"/>
        <v/>
      </c>
      <c r="G266" s="257" t="str">
        <f t="shared" si="34"/>
        <v/>
      </c>
      <c r="H266" s="257" t="str">
        <f t="shared" si="35"/>
        <v/>
      </c>
    </row>
    <row r="267" spans="1:8" x14ac:dyDescent="0.25">
      <c r="A267" s="254" t="str">
        <f t="shared" ca="1" si="36"/>
        <v/>
      </c>
      <c r="B267" s="255"/>
      <c r="C267" s="256"/>
      <c r="D267" s="257" t="str">
        <f t="shared" si="32"/>
        <v/>
      </c>
      <c r="F267" s="257" t="str">
        <f t="shared" si="33"/>
        <v/>
      </c>
      <c r="G267" s="257" t="str">
        <f t="shared" si="34"/>
        <v/>
      </c>
      <c r="H267" s="257" t="str">
        <f t="shared" si="35"/>
        <v/>
      </c>
    </row>
    <row r="268" spans="1:8" x14ac:dyDescent="0.25">
      <c r="A268" s="254" t="str">
        <f t="shared" ca="1" si="36"/>
        <v/>
      </c>
      <c r="B268" s="255"/>
      <c r="C268" s="256"/>
      <c r="D268" s="257" t="str">
        <f t="shared" si="32"/>
        <v/>
      </c>
      <c r="F268" s="257" t="str">
        <f t="shared" si="33"/>
        <v/>
      </c>
      <c r="G268" s="257" t="str">
        <f t="shared" si="34"/>
        <v/>
      </c>
      <c r="H268" s="257" t="str">
        <f t="shared" si="35"/>
        <v/>
      </c>
    </row>
    <row r="269" spans="1:8" x14ac:dyDescent="0.25">
      <c r="A269" s="254" t="str">
        <f t="shared" ca="1" si="36"/>
        <v/>
      </c>
      <c r="B269" s="255"/>
      <c r="C269" s="256"/>
      <c r="D269" s="257" t="str">
        <f t="shared" si="32"/>
        <v/>
      </c>
      <c r="F269" s="257" t="str">
        <f t="shared" si="33"/>
        <v/>
      </c>
      <c r="G269" s="257" t="str">
        <f t="shared" si="34"/>
        <v/>
      </c>
      <c r="H269" s="257" t="str">
        <f t="shared" si="35"/>
        <v/>
      </c>
    </row>
    <row r="270" spans="1:8" x14ac:dyDescent="0.25">
      <c r="A270" s="254" t="str">
        <f t="shared" ca="1" si="36"/>
        <v/>
      </c>
      <c r="B270" s="255"/>
      <c r="C270" s="256"/>
      <c r="D270" s="257" t="str">
        <f t="shared" si="32"/>
        <v/>
      </c>
      <c r="F270" s="257" t="str">
        <f t="shared" si="33"/>
        <v/>
      </c>
      <c r="G270" s="257" t="str">
        <f t="shared" si="34"/>
        <v/>
      </c>
      <c r="H270" s="257" t="str">
        <f t="shared" si="35"/>
        <v/>
      </c>
    </row>
    <row r="271" spans="1:8" x14ac:dyDescent="0.25">
      <c r="A271" s="254" t="str">
        <f t="shared" ca="1" si="36"/>
        <v/>
      </c>
      <c r="B271" s="255"/>
      <c r="C271" s="256"/>
      <c r="D271" s="257" t="str">
        <f t="shared" si="32"/>
        <v/>
      </c>
      <c r="F271" s="257" t="str">
        <f t="shared" si="33"/>
        <v/>
      </c>
      <c r="G271" s="257" t="str">
        <f t="shared" si="34"/>
        <v/>
      </c>
      <c r="H271" s="257" t="str">
        <f t="shared" si="35"/>
        <v/>
      </c>
    </row>
    <row r="272" spans="1:8" x14ac:dyDescent="0.25">
      <c r="A272" s="254" t="str">
        <f t="shared" ca="1" si="36"/>
        <v/>
      </c>
      <c r="B272" s="255"/>
      <c r="C272" s="256"/>
      <c r="D272" s="257" t="str">
        <f t="shared" si="32"/>
        <v/>
      </c>
      <c r="F272" s="257" t="str">
        <f t="shared" si="33"/>
        <v/>
      </c>
      <c r="G272" s="257" t="str">
        <f t="shared" si="34"/>
        <v/>
      </c>
      <c r="H272" s="257" t="str">
        <f t="shared" si="35"/>
        <v/>
      </c>
    </row>
    <row r="273" spans="1:8" x14ac:dyDescent="0.25">
      <c r="A273" s="254" t="str">
        <f t="shared" ca="1" si="36"/>
        <v/>
      </c>
      <c r="B273" s="255"/>
      <c r="C273" s="256"/>
      <c r="D273" s="257" t="str">
        <f t="shared" si="32"/>
        <v/>
      </c>
      <c r="F273" s="257" t="str">
        <f t="shared" si="33"/>
        <v/>
      </c>
      <c r="G273" s="257" t="str">
        <f t="shared" si="34"/>
        <v/>
      </c>
      <c r="H273" s="257" t="str">
        <f t="shared" si="35"/>
        <v/>
      </c>
    </row>
    <row r="274" spans="1:8" x14ac:dyDescent="0.25">
      <c r="A274" s="254" t="str">
        <f t="shared" ca="1" si="36"/>
        <v/>
      </c>
      <c r="B274" s="255"/>
      <c r="C274" s="256"/>
      <c r="D274" s="257" t="str">
        <f t="shared" si="32"/>
        <v/>
      </c>
      <c r="F274" s="257" t="str">
        <f t="shared" si="33"/>
        <v/>
      </c>
      <c r="G274" s="257" t="str">
        <f t="shared" si="34"/>
        <v/>
      </c>
      <c r="H274" s="257" t="str">
        <f t="shared" si="35"/>
        <v/>
      </c>
    </row>
    <row r="275" spans="1:8" x14ac:dyDescent="0.25">
      <c r="A275" s="254" t="str">
        <f t="shared" ca="1" si="36"/>
        <v/>
      </c>
      <c r="B275" s="255"/>
      <c r="C275" s="256"/>
      <c r="D275" s="257" t="str">
        <f t="shared" ref="D275:D338" si="37">IF(B275="","",ROUND((B275-B274)*$H$9*G274,2))</f>
        <v/>
      </c>
      <c r="F275" s="257" t="str">
        <f t="shared" ref="F275:F338" si="38">IF(B275="","",IF(C275&gt;F274+D275,0,F274+D275-C275))</f>
        <v/>
      </c>
      <c r="G275" s="257" t="str">
        <f t="shared" ref="G275:G338" si="39">IF(B275="","",IF(C275&gt;D275+F274,G274+F274+D275-C275,G274))</f>
        <v/>
      </c>
      <c r="H275" s="257" t="str">
        <f t="shared" ref="H275:H338" si="40">IF(B275="","",G275+F275)</f>
        <v/>
      </c>
    </row>
    <row r="276" spans="1:8" x14ac:dyDescent="0.25">
      <c r="A276" s="254" t="str">
        <f t="shared" ca="1" si="36"/>
        <v/>
      </c>
      <c r="B276" s="255"/>
      <c r="C276" s="256"/>
      <c r="D276" s="257" t="str">
        <f t="shared" si="37"/>
        <v/>
      </c>
      <c r="F276" s="257" t="str">
        <f t="shared" si="38"/>
        <v/>
      </c>
      <c r="G276" s="257" t="str">
        <f t="shared" si="39"/>
        <v/>
      </c>
      <c r="H276" s="257" t="str">
        <f t="shared" si="40"/>
        <v/>
      </c>
    </row>
    <row r="277" spans="1:8" x14ac:dyDescent="0.25">
      <c r="A277" s="254" t="str">
        <f t="shared" ca="1" si="36"/>
        <v/>
      </c>
      <c r="B277" s="255"/>
      <c r="C277" s="256"/>
      <c r="D277" s="257" t="str">
        <f t="shared" si="37"/>
        <v/>
      </c>
      <c r="F277" s="257" t="str">
        <f t="shared" si="38"/>
        <v/>
      </c>
      <c r="G277" s="257" t="str">
        <f t="shared" si="39"/>
        <v/>
      </c>
      <c r="H277" s="257" t="str">
        <f t="shared" si="40"/>
        <v/>
      </c>
    </row>
    <row r="278" spans="1:8" x14ac:dyDescent="0.25">
      <c r="A278" s="254" t="str">
        <f t="shared" ca="1" si="36"/>
        <v/>
      </c>
      <c r="B278" s="255"/>
      <c r="C278" s="256"/>
      <c r="D278" s="257" t="str">
        <f t="shared" si="37"/>
        <v/>
      </c>
      <c r="F278" s="257" t="str">
        <f t="shared" si="38"/>
        <v/>
      </c>
      <c r="G278" s="257" t="str">
        <f t="shared" si="39"/>
        <v/>
      </c>
      <c r="H278" s="257" t="str">
        <f t="shared" si="40"/>
        <v/>
      </c>
    </row>
    <row r="279" spans="1:8" x14ac:dyDescent="0.25">
      <c r="A279" s="254" t="str">
        <f t="shared" ca="1" si="36"/>
        <v/>
      </c>
      <c r="B279" s="255"/>
      <c r="C279" s="256"/>
      <c r="D279" s="257" t="str">
        <f t="shared" si="37"/>
        <v/>
      </c>
      <c r="F279" s="257" t="str">
        <f t="shared" si="38"/>
        <v/>
      </c>
      <c r="G279" s="257" t="str">
        <f t="shared" si="39"/>
        <v/>
      </c>
      <c r="H279" s="257" t="str">
        <f t="shared" si="40"/>
        <v/>
      </c>
    </row>
    <row r="280" spans="1:8" x14ac:dyDescent="0.25">
      <c r="A280" s="254" t="str">
        <f t="shared" ca="1" si="36"/>
        <v/>
      </c>
      <c r="B280" s="255"/>
      <c r="C280" s="256"/>
      <c r="D280" s="257" t="str">
        <f t="shared" si="37"/>
        <v/>
      </c>
      <c r="F280" s="257" t="str">
        <f t="shared" si="38"/>
        <v/>
      </c>
      <c r="G280" s="257" t="str">
        <f t="shared" si="39"/>
        <v/>
      </c>
      <c r="H280" s="257" t="str">
        <f t="shared" si="40"/>
        <v/>
      </c>
    </row>
    <row r="281" spans="1:8" x14ac:dyDescent="0.25">
      <c r="A281" s="254" t="str">
        <f t="shared" ca="1" si="36"/>
        <v/>
      </c>
      <c r="B281" s="255"/>
      <c r="C281" s="256"/>
      <c r="D281" s="257" t="str">
        <f t="shared" si="37"/>
        <v/>
      </c>
      <c r="F281" s="257" t="str">
        <f t="shared" si="38"/>
        <v/>
      </c>
      <c r="G281" s="257" t="str">
        <f t="shared" si="39"/>
        <v/>
      </c>
      <c r="H281" s="257" t="str">
        <f t="shared" si="40"/>
        <v/>
      </c>
    </row>
    <row r="282" spans="1:8" x14ac:dyDescent="0.25">
      <c r="A282" s="254" t="str">
        <f t="shared" ca="1" si="36"/>
        <v/>
      </c>
      <c r="B282" s="255"/>
      <c r="C282" s="256"/>
      <c r="D282" s="257" t="str">
        <f t="shared" si="37"/>
        <v/>
      </c>
      <c r="F282" s="257" t="str">
        <f t="shared" si="38"/>
        <v/>
      </c>
      <c r="G282" s="257" t="str">
        <f t="shared" si="39"/>
        <v/>
      </c>
      <c r="H282" s="257" t="str">
        <f t="shared" si="40"/>
        <v/>
      </c>
    </row>
    <row r="283" spans="1:8" x14ac:dyDescent="0.25">
      <c r="A283" s="254" t="str">
        <f t="shared" ca="1" si="36"/>
        <v/>
      </c>
      <c r="B283" s="255"/>
      <c r="C283" s="256"/>
      <c r="D283" s="257" t="str">
        <f t="shared" si="37"/>
        <v/>
      </c>
      <c r="F283" s="257" t="str">
        <f t="shared" si="38"/>
        <v/>
      </c>
      <c r="G283" s="257" t="str">
        <f t="shared" si="39"/>
        <v/>
      </c>
      <c r="H283" s="257" t="str">
        <f t="shared" si="40"/>
        <v/>
      </c>
    </row>
    <row r="284" spans="1:8" x14ac:dyDescent="0.25">
      <c r="A284" s="254" t="str">
        <f t="shared" ca="1" si="36"/>
        <v/>
      </c>
      <c r="B284" s="255"/>
      <c r="C284" s="256"/>
      <c r="D284" s="257" t="str">
        <f t="shared" si="37"/>
        <v/>
      </c>
      <c r="F284" s="257" t="str">
        <f t="shared" si="38"/>
        <v/>
      </c>
      <c r="G284" s="257" t="str">
        <f t="shared" si="39"/>
        <v/>
      </c>
      <c r="H284" s="257" t="str">
        <f t="shared" si="40"/>
        <v/>
      </c>
    </row>
    <row r="285" spans="1:8" x14ac:dyDescent="0.25">
      <c r="A285" s="254" t="str">
        <f t="shared" ca="1" si="36"/>
        <v/>
      </c>
      <c r="B285" s="255"/>
      <c r="C285" s="256"/>
      <c r="D285" s="257" t="str">
        <f t="shared" si="37"/>
        <v/>
      </c>
      <c r="F285" s="257" t="str">
        <f t="shared" si="38"/>
        <v/>
      </c>
      <c r="G285" s="257" t="str">
        <f t="shared" si="39"/>
        <v/>
      </c>
      <c r="H285" s="257" t="str">
        <f t="shared" si="40"/>
        <v/>
      </c>
    </row>
    <row r="286" spans="1:8" x14ac:dyDescent="0.25">
      <c r="A286" s="254" t="str">
        <f t="shared" ca="1" si="36"/>
        <v/>
      </c>
      <c r="B286" s="255"/>
      <c r="C286" s="256"/>
      <c r="D286" s="257" t="str">
        <f t="shared" si="37"/>
        <v/>
      </c>
      <c r="F286" s="257" t="str">
        <f t="shared" si="38"/>
        <v/>
      </c>
      <c r="G286" s="257" t="str">
        <f t="shared" si="39"/>
        <v/>
      </c>
      <c r="H286" s="257" t="str">
        <f t="shared" si="40"/>
        <v/>
      </c>
    </row>
    <row r="287" spans="1:8" x14ac:dyDescent="0.25">
      <c r="A287" s="254" t="str">
        <f t="shared" ca="1" si="36"/>
        <v/>
      </c>
      <c r="B287" s="255"/>
      <c r="C287" s="256"/>
      <c r="D287" s="257" t="str">
        <f t="shared" si="37"/>
        <v/>
      </c>
      <c r="F287" s="257" t="str">
        <f t="shared" si="38"/>
        <v/>
      </c>
      <c r="G287" s="257" t="str">
        <f t="shared" si="39"/>
        <v/>
      </c>
      <c r="H287" s="257" t="str">
        <f t="shared" si="40"/>
        <v/>
      </c>
    </row>
    <row r="288" spans="1:8" x14ac:dyDescent="0.25">
      <c r="A288" s="254" t="str">
        <f t="shared" ca="1" si="36"/>
        <v/>
      </c>
      <c r="B288" s="255"/>
      <c r="C288" s="256"/>
      <c r="D288" s="257" t="str">
        <f t="shared" si="37"/>
        <v/>
      </c>
      <c r="F288" s="257" t="str">
        <f t="shared" si="38"/>
        <v/>
      </c>
      <c r="G288" s="257" t="str">
        <f t="shared" si="39"/>
        <v/>
      </c>
      <c r="H288" s="257" t="str">
        <f t="shared" si="40"/>
        <v/>
      </c>
    </row>
    <row r="289" spans="1:8" x14ac:dyDescent="0.25">
      <c r="A289" s="254" t="str">
        <f t="shared" ca="1" si="36"/>
        <v/>
      </c>
      <c r="B289" s="255"/>
      <c r="C289" s="256"/>
      <c r="D289" s="257" t="str">
        <f t="shared" si="37"/>
        <v/>
      </c>
      <c r="F289" s="257" t="str">
        <f t="shared" si="38"/>
        <v/>
      </c>
      <c r="G289" s="257" t="str">
        <f t="shared" si="39"/>
        <v/>
      </c>
      <c r="H289" s="257" t="str">
        <f t="shared" si="40"/>
        <v/>
      </c>
    </row>
    <row r="290" spans="1:8" x14ac:dyDescent="0.25">
      <c r="A290" s="254" t="str">
        <f t="shared" ca="1" si="36"/>
        <v/>
      </c>
      <c r="B290" s="255"/>
      <c r="C290" s="256"/>
      <c r="D290" s="257" t="str">
        <f t="shared" si="37"/>
        <v/>
      </c>
      <c r="F290" s="257" t="str">
        <f t="shared" si="38"/>
        <v/>
      </c>
      <c r="G290" s="257" t="str">
        <f t="shared" si="39"/>
        <v/>
      </c>
      <c r="H290" s="257" t="str">
        <f t="shared" si="40"/>
        <v/>
      </c>
    </row>
    <row r="291" spans="1:8" x14ac:dyDescent="0.25">
      <c r="A291" s="254" t="str">
        <f t="shared" ca="1" si="36"/>
        <v/>
      </c>
      <c r="B291" s="255"/>
      <c r="C291" s="256"/>
      <c r="D291" s="257" t="str">
        <f t="shared" si="37"/>
        <v/>
      </c>
      <c r="F291" s="257" t="str">
        <f t="shared" si="38"/>
        <v/>
      </c>
      <c r="G291" s="257" t="str">
        <f t="shared" si="39"/>
        <v/>
      </c>
      <c r="H291" s="257" t="str">
        <f t="shared" si="40"/>
        <v/>
      </c>
    </row>
    <row r="292" spans="1:8" x14ac:dyDescent="0.25">
      <c r="A292" s="254" t="str">
        <f t="shared" ca="1" si="36"/>
        <v/>
      </c>
      <c r="B292" s="255"/>
      <c r="C292" s="256"/>
      <c r="D292" s="257" t="str">
        <f t="shared" si="37"/>
        <v/>
      </c>
      <c r="F292" s="257" t="str">
        <f t="shared" si="38"/>
        <v/>
      </c>
      <c r="G292" s="257" t="str">
        <f t="shared" si="39"/>
        <v/>
      </c>
      <c r="H292" s="257" t="str">
        <f t="shared" si="40"/>
        <v/>
      </c>
    </row>
    <row r="293" spans="1:8" x14ac:dyDescent="0.25">
      <c r="A293" s="254" t="str">
        <f t="shared" ca="1" si="36"/>
        <v/>
      </c>
      <c r="B293" s="255"/>
      <c r="C293" s="256"/>
      <c r="D293" s="257" t="str">
        <f t="shared" si="37"/>
        <v/>
      </c>
      <c r="F293" s="257" t="str">
        <f t="shared" si="38"/>
        <v/>
      </c>
      <c r="G293" s="257" t="str">
        <f t="shared" si="39"/>
        <v/>
      </c>
      <c r="H293" s="257" t="str">
        <f t="shared" si="40"/>
        <v/>
      </c>
    </row>
    <row r="294" spans="1:8" x14ac:dyDescent="0.25">
      <c r="A294" s="254" t="str">
        <f t="shared" ca="1" si="36"/>
        <v/>
      </c>
      <c r="B294" s="255"/>
      <c r="C294" s="256"/>
      <c r="D294" s="257" t="str">
        <f t="shared" si="37"/>
        <v/>
      </c>
      <c r="F294" s="257" t="str">
        <f t="shared" si="38"/>
        <v/>
      </c>
      <c r="G294" s="257" t="str">
        <f t="shared" si="39"/>
        <v/>
      </c>
      <c r="H294" s="257" t="str">
        <f t="shared" si="40"/>
        <v/>
      </c>
    </row>
    <row r="295" spans="1:8" x14ac:dyDescent="0.25">
      <c r="A295" s="254" t="str">
        <f t="shared" ca="1" si="36"/>
        <v/>
      </c>
      <c r="B295" s="255"/>
      <c r="C295" s="256"/>
      <c r="D295" s="257" t="str">
        <f t="shared" si="37"/>
        <v/>
      </c>
      <c r="F295" s="257" t="str">
        <f t="shared" si="38"/>
        <v/>
      </c>
      <c r="G295" s="257" t="str">
        <f t="shared" si="39"/>
        <v/>
      </c>
      <c r="H295" s="257" t="str">
        <f t="shared" si="40"/>
        <v/>
      </c>
    </row>
    <row r="296" spans="1:8" x14ac:dyDescent="0.25">
      <c r="A296" s="254" t="str">
        <f t="shared" ca="1" si="36"/>
        <v/>
      </c>
      <c r="B296" s="255"/>
      <c r="C296" s="256"/>
      <c r="D296" s="257" t="str">
        <f t="shared" si="37"/>
        <v/>
      </c>
      <c r="F296" s="257" t="str">
        <f t="shared" si="38"/>
        <v/>
      </c>
      <c r="G296" s="257" t="str">
        <f t="shared" si="39"/>
        <v/>
      </c>
      <c r="H296" s="257" t="str">
        <f t="shared" si="40"/>
        <v/>
      </c>
    </row>
    <row r="297" spans="1:8" x14ac:dyDescent="0.25">
      <c r="A297" s="254" t="str">
        <f t="shared" ref="A297:A360" ca="1" si="41">IF(OR(H296&lt;=0,H296=""),"",OFFSET(A297,-1,0,1,1)+1)</f>
        <v/>
      </c>
      <c r="B297" s="255"/>
      <c r="C297" s="256"/>
      <c r="D297" s="257" t="str">
        <f t="shared" si="37"/>
        <v/>
      </c>
      <c r="F297" s="257" t="str">
        <f t="shared" si="38"/>
        <v/>
      </c>
      <c r="G297" s="257" t="str">
        <f t="shared" si="39"/>
        <v/>
      </c>
      <c r="H297" s="257" t="str">
        <f t="shared" si="40"/>
        <v/>
      </c>
    </row>
    <row r="298" spans="1:8" x14ac:dyDescent="0.25">
      <c r="A298" s="254" t="str">
        <f t="shared" ca="1" si="41"/>
        <v/>
      </c>
      <c r="B298" s="255"/>
      <c r="C298" s="256"/>
      <c r="D298" s="257" t="str">
        <f t="shared" si="37"/>
        <v/>
      </c>
      <c r="F298" s="257" t="str">
        <f t="shared" si="38"/>
        <v/>
      </c>
      <c r="G298" s="257" t="str">
        <f t="shared" si="39"/>
        <v/>
      </c>
      <c r="H298" s="257" t="str">
        <f t="shared" si="40"/>
        <v/>
      </c>
    </row>
    <row r="299" spans="1:8" x14ac:dyDescent="0.25">
      <c r="A299" s="254" t="str">
        <f t="shared" ca="1" si="41"/>
        <v/>
      </c>
      <c r="B299" s="255"/>
      <c r="C299" s="256"/>
      <c r="D299" s="257" t="str">
        <f t="shared" si="37"/>
        <v/>
      </c>
      <c r="F299" s="257" t="str">
        <f t="shared" si="38"/>
        <v/>
      </c>
      <c r="G299" s="257" t="str">
        <f t="shared" si="39"/>
        <v/>
      </c>
      <c r="H299" s="257" t="str">
        <f t="shared" si="40"/>
        <v/>
      </c>
    </row>
    <row r="300" spans="1:8" x14ac:dyDescent="0.25">
      <c r="A300" s="254" t="str">
        <f t="shared" ca="1" si="41"/>
        <v/>
      </c>
      <c r="B300" s="255"/>
      <c r="C300" s="256"/>
      <c r="D300" s="257" t="str">
        <f t="shared" si="37"/>
        <v/>
      </c>
      <c r="F300" s="257" t="str">
        <f t="shared" si="38"/>
        <v/>
      </c>
      <c r="G300" s="257" t="str">
        <f t="shared" si="39"/>
        <v/>
      </c>
      <c r="H300" s="257" t="str">
        <f t="shared" si="40"/>
        <v/>
      </c>
    </row>
    <row r="301" spans="1:8" x14ac:dyDescent="0.25">
      <c r="A301" s="254" t="str">
        <f t="shared" ca="1" si="41"/>
        <v/>
      </c>
      <c r="B301" s="255"/>
      <c r="C301" s="256"/>
      <c r="D301" s="257" t="str">
        <f t="shared" si="37"/>
        <v/>
      </c>
      <c r="F301" s="257" t="str">
        <f t="shared" si="38"/>
        <v/>
      </c>
      <c r="G301" s="257" t="str">
        <f t="shared" si="39"/>
        <v/>
      </c>
      <c r="H301" s="257" t="str">
        <f t="shared" si="40"/>
        <v/>
      </c>
    </row>
    <row r="302" spans="1:8" x14ac:dyDescent="0.25">
      <c r="A302" s="254" t="str">
        <f t="shared" ca="1" si="41"/>
        <v/>
      </c>
      <c r="B302" s="255"/>
      <c r="C302" s="256"/>
      <c r="D302" s="257" t="str">
        <f t="shared" si="37"/>
        <v/>
      </c>
      <c r="F302" s="257" t="str">
        <f t="shared" si="38"/>
        <v/>
      </c>
      <c r="G302" s="257" t="str">
        <f t="shared" si="39"/>
        <v/>
      </c>
      <c r="H302" s="257" t="str">
        <f t="shared" si="40"/>
        <v/>
      </c>
    </row>
    <row r="303" spans="1:8" x14ac:dyDescent="0.25">
      <c r="A303" s="254" t="str">
        <f t="shared" ca="1" si="41"/>
        <v/>
      </c>
      <c r="B303" s="255"/>
      <c r="C303" s="256"/>
      <c r="D303" s="257" t="str">
        <f t="shared" si="37"/>
        <v/>
      </c>
      <c r="F303" s="257" t="str">
        <f t="shared" si="38"/>
        <v/>
      </c>
      <c r="G303" s="257" t="str">
        <f t="shared" si="39"/>
        <v/>
      </c>
      <c r="H303" s="257" t="str">
        <f t="shared" si="40"/>
        <v/>
      </c>
    </row>
    <row r="304" spans="1:8" x14ac:dyDescent="0.25">
      <c r="A304" s="254" t="str">
        <f t="shared" ca="1" si="41"/>
        <v/>
      </c>
      <c r="B304" s="255"/>
      <c r="C304" s="256"/>
      <c r="D304" s="257" t="str">
        <f t="shared" si="37"/>
        <v/>
      </c>
      <c r="F304" s="257" t="str">
        <f t="shared" si="38"/>
        <v/>
      </c>
      <c r="G304" s="257" t="str">
        <f t="shared" si="39"/>
        <v/>
      </c>
      <c r="H304" s="257" t="str">
        <f t="shared" si="40"/>
        <v/>
      </c>
    </row>
    <row r="305" spans="1:8" x14ac:dyDescent="0.25">
      <c r="A305" s="254" t="str">
        <f t="shared" ca="1" si="41"/>
        <v/>
      </c>
      <c r="B305" s="255"/>
      <c r="C305" s="256"/>
      <c r="D305" s="257" t="str">
        <f t="shared" si="37"/>
        <v/>
      </c>
      <c r="F305" s="257" t="str">
        <f t="shared" si="38"/>
        <v/>
      </c>
      <c r="G305" s="257" t="str">
        <f t="shared" si="39"/>
        <v/>
      </c>
      <c r="H305" s="257" t="str">
        <f t="shared" si="40"/>
        <v/>
      </c>
    </row>
    <row r="306" spans="1:8" x14ac:dyDescent="0.25">
      <c r="A306" s="254" t="str">
        <f t="shared" ca="1" si="41"/>
        <v/>
      </c>
      <c r="B306" s="255"/>
      <c r="C306" s="256"/>
      <c r="D306" s="257" t="str">
        <f t="shared" si="37"/>
        <v/>
      </c>
      <c r="F306" s="257" t="str">
        <f t="shared" si="38"/>
        <v/>
      </c>
      <c r="G306" s="257" t="str">
        <f t="shared" si="39"/>
        <v/>
      </c>
      <c r="H306" s="257" t="str">
        <f t="shared" si="40"/>
        <v/>
      </c>
    </row>
    <row r="307" spans="1:8" x14ac:dyDescent="0.25">
      <c r="A307" s="254" t="str">
        <f t="shared" ca="1" si="41"/>
        <v/>
      </c>
      <c r="B307" s="255"/>
      <c r="C307" s="256"/>
      <c r="D307" s="257" t="str">
        <f t="shared" si="37"/>
        <v/>
      </c>
      <c r="F307" s="257" t="str">
        <f t="shared" si="38"/>
        <v/>
      </c>
      <c r="G307" s="257" t="str">
        <f t="shared" si="39"/>
        <v/>
      </c>
      <c r="H307" s="257" t="str">
        <f t="shared" si="40"/>
        <v/>
      </c>
    </row>
    <row r="308" spans="1:8" x14ac:dyDescent="0.25">
      <c r="A308" s="254" t="str">
        <f t="shared" ca="1" si="41"/>
        <v/>
      </c>
      <c r="B308" s="255"/>
      <c r="C308" s="256"/>
      <c r="D308" s="257" t="str">
        <f t="shared" si="37"/>
        <v/>
      </c>
      <c r="F308" s="257" t="str">
        <f t="shared" si="38"/>
        <v/>
      </c>
      <c r="G308" s="257" t="str">
        <f t="shared" si="39"/>
        <v/>
      </c>
      <c r="H308" s="257" t="str">
        <f t="shared" si="40"/>
        <v/>
      </c>
    </row>
    <row r="309" spans="1:8" x14ac:dyDescent="0.25">
      <c r="A309" s="254" t="str">
        <f t="shared" ca="1" si="41"/>
        <v/>
      </c>
      <c r="B309" s="255"/>
      <c r="C309" s="256"/>
      <c r="D309" s="257" t="str">
        <f t="shared" si="37"/>
        <v/>
      </c>
      <c r="F309" s="257" t="str">
        <f t="shared" si="38"/>
        <v/>
      </c>
      <c r="G309" s="257" t="str">
        <f t="shared" si="39"/>
        <v/>
      </c>
      <c r="H309" s="257" t="str">
        <f t="shared" si="40"/>
        <v/>
      </c>
    </row>
    <row r="310" spans="1:8" x14ac:dyDescent="0.25">
      <c r="A310" s="254" t="str">
        <f t="shared" ca="1" si="41"/>
        <v/>
      </c>
      <c r="B310" s="255"/>
      <c r="C310" s="256"/>
      <c r="D310" s="257" t="str">
        <f t="shared" si="37"/>
        <v/>
      </c>
      <c r="F310" s="257" t="str">
        <f t="shared" si="38"/>
        <v/>
      </c>
      <c r="G310" s="257" t="str">
        <f t="shared" si="39"/>
        <v/>
      </c>
      <c r="H310" s="257" t="str">
        <f t="shared" si="40"/>
        <v/>
      </c>
    </row>
    <row r="311" spans="1:8" x14ac:dyDescent="0.25">
      <c r="A311" s="254" t="str">
        <f t="shared" ca="1" si="41"/>
        <v/>
      </c>
      <c r="B311" s="255"/>
      <c r="C311" s="256"/>
      <c r="D311" s="257" t="str">
        <f t="shared" si="37"/>
        <v/>
      </c>
      <c r="F311" s="257" t="str">
        <f t="shared" si="38"/>
        <v/>
      </c>
      <c r="G311" s="257" t="str">
        <f t="shared" si="39"/>
        <v/>
      </c>
      <c r="H311" s="257" t="str">
        <f t="shared" si="40"/>
        <v/>
      </c>
    </row>
    <row r="312" spans="1:8" x14ac:dyDescent="0.25">
      <c r="A312" s="254" t="str">
        <f t="shared" ca="1" si="41"/>
        <v/>
      </c>
      <c r="B312" s="255"/>
      <c r="C312" s="256"/>
      <c r="D312" s="257" t="str">
        <f t="shared" si="37"/>
        <v/>
      </c>
      <c r="F312" s="257" t="str">
        <f t="shared" si="38"/>
        <v/>
      </c>
      <c r="G312" s="257" t="str">
        <f t="shared" si="39"/>
        <v/>
      </c>
      <c r="H312" s="257" t="str">
        <f t="shared" si="40"/>
        <v/>
      </c>
    </row>
    <row r="313" spans="1:8" x14ac:dyDescent="0.25">
      <c r="A313" s="254" t="str">
        <f t="shared" ca="1" si="41"/>
        <v/>
      </c>
      <c r="B313" s="255"/>
      <c r="C313" s="256"/>
      <c r="D313" s="257" t="str">
        <f t="shared" si="37"/>
        <v/>
      </c>
      <c r="F313" s="257" t="str">
        <f t="shared" si="38"/>
        <v/>
      </c>
      <c r="G313" s="257" t="str">
        <f t="shared" si="39"/>
        <v/>
      </c>
      <c r="H313" s="257" t="str">
        <f t="shared" si="40"/>
        <v/>
      </c>
    </row>
    <row r="314" spans="1:8" x14ac:dyDescent="0.25">
      <c r="A314" s="254" t="str">
        <f t="shared" ca="1" si="41"/>
        <v/>
      </c>
      <c r="B314" s="255"/>
      <c r="C314" s="256"/>
      <c r="D314" s="257" t="str">
        <f t="shared" si="37"/>
        <v/>
      </c>
      <c r="F314" s="257" t="str">
        <f t="shared" si="38"/>
        <v/>
      </c>
      <c r="G314" s="257" t="str">
        <f t="shared" si="39"/>
        <v/>
      </c>
      <c r="H314" s="257" t="str">
        <f t="shared" si="40"/>
        <v/>
      </c>
    </row>
    <row r="315" spans="1:8" x14ac:dyDescent="0.25">
      <c r="A315" s="254" t="str">
        <f t="shared" ca="1" si="41"/>
        <v/>
      </c>
      <c r="B315" s="255"/>
      <c r="C315" s="256"/>
      <c r="D315" s="257" t="str">
        <f t="shared" si="37"/>
        <v/>
      </c>
      <c r="F315" s="257" t="str">
        <f t="shared" si="38"/>
        <v/>
      </c>
      <c r="G315" s="257" t="str">
        <f t="shared" si="39"/>
        <v/>
      </c>
      <c r="H315" s="257" t="str">
        <f t="shared" si="40"/>
        <v/>
      </c>
    </row>
    <row r="316" spans="1:8" x14ac:dyDescent="0.25">
      <c r="A316" s="254" t="str">
        <f t="shared" ca="1" si="41"/>
        <v/>
      </c>
      <c r="B316" s="255"/>
      <c r="C316" s="256"/>
      <c r="D316" s="257" t="str">
        <f t="shared" si="37"/>
        <v/>
      </c>
      <c r="F316" s="257" t="str">
        <f t="shared" si="38"/>
        <v/>
      </c>
      <c r="G316" s="257" t="str">
        <f t="shared" si="39"/>
        <v/>
      </c>
      <c r="H316" s="257" t="str">
        <f t="shared" si="40"/>
        <v/>
      </c>
    </row>
    <row r="317" spans="1:8" x14ac:dyDescent="0.25">
      <c r="A317" s="254" t="str">
        <f t="shared" ca="1" si="41"/>
        <v/>
      </c>
      <c r="B317" s="255"/>
      <c r="C317" s="256"/>
      <c r="D317" s="257" t="str">
        <f t="shared" si="37"/>
        <v/>
      </c>
      <c r="F317" s="257" t="str">
        <f t="shared" si="38"/>
        <v/>
      </c>
      <c r="G317" s="257" t="str">
        <f t="shared" si="39"/>
        <v/>
      </c>
      <c r="H317" s="257" t="str">
        <f t="shared" si="40"/>
        <v/>
      </c>
    </row>
    <row r="318" spans="1:8" x14ac:dyDescent="0.25">
      <c r="A318" s="254" t="str">
        <f t="shared" ca="1" si="41"/>
        <v/>
      </c>
      <c r="B318" s="255"/>
      <c r="C318" s="256"/>
      <c r="D318" s="257" t="str">
        <f t="shared" si="37"/>
        <v/>
      </c>
      <c r="F318" s="257" t="str">
        <f t="shared" si="38"/>
        <v/>
      </c>
      <c r="G318" s="257" t="str">
        <f t="shared" si="39"/>
        <v/>
      </c>
      <c r="H318" s="257" t="str">
        <f t="shared" si="40"/>
        <v/>
      </c>
    </row>
    <row r="319" spans="1:8" x14ac:dyDescent="0.25">
      <c r="A319" s="254" t="str">
        <f t="shared" ca="1" si="41"/>
        <v/>
      </c>
      <c r="B319" s="255"/>
      <c r="C319" s="256"/>
      <c r="D319" s="257" t="str">
        <f t="shared" si="37"/>
        <v/>
      </c>
      <c r="F319" s="257" t="str">
        <f t="shared" si="38"/>
        <v/>
      </c>
      <c r="G319" s="257" t="str">
        <f t="shared" si="39"/>
        <v/>
      </c>
      <c r="H319" s="257" t="str">
        <f t="shared" si="40"/>
        <v/>
      </c>
    </row>
    <row r="320" spans="1:8" x14ac:dyDescent="0.25">
      <c r="A320" s="254" t="str">
        <f t="shared" ca="1" si="41"/>
        <v/>
      </c>
      <c r="B320" s="255"/>
      <c r="C320" s="256"/>
      <c r="D320" s="257" t="str">
        <f t="shared" si="37"/>
        <v/>
      </c>
      <c r="F320" s="257" t="str">
        <f t="shared" si="38"/>
        <v/>
      </c>
      <c r="G320" s="257" t="str">
        <f t="shared" si="39"/>
        <v/>
      </c>
      <c r="H320" s="257" t="str">
        <f t="shared" si="40"/>
        <v/>
      </c>
    </row>
    <row r="321" spans="1:8" x14ac:dyDescent="0.25">
      <c r="A321" s="254" t="str">
        <f t="shared" ca="1" si="41"/>
        <v/>
      </c>
      <c r="B321" s="255"/>
      <c r="C321" s="256"/>
      <c r="D321" s="257" t="str">
        <f t="shared" si="37"/>
        <v/>
      </c>
      <c r="F321" s="257" t="str">
        <f t="shared" si="38"/>
        <v/>
      </c>
      <c r="G321" s="257" t="str">
        <f t="shared" si="39"/>
        <v/>
      </c>
      <c r="H321" s="257" t="str">
        <f t="shared" si="40"/>
        <v/>
      </c>
    </row>
    <row r="322" spans="1:8" x14ac:dyDescent="0.25">
      <c r="A322" s="254" t="str">
        <f t="shared" ca="1" si="41"/>
        <v/>
      </c>
      <c r="B322" s="255"/>
      <c r="C322" s="256"/>
      <c r="D322" s="257" t="str">
        <f t="shared" si="37"/>
        <v/>
      </c>
      <c r="F322" s="257" t="str">
        <f t="shared" si="38"/>
        <v/>
      </c>
      <c r="G322" s="257" t="str">
        <f t="shared" si="39"/>
        <v/>
      </c>
      <c r="H322" s="257" t="str">
        <f t="shared" si="40"/>
        <v/>
      </c>
    </row>
    <row r="323" spans="1:8" x14ac:dyDescent="0.25">
      <c r="A323" s="254" t="str">
        <f t="shared" ca="1" si="41"/>
        <v/>
      </c>
      <c r="B323" s="255"/>
      <c r="C323" s="256"/>
      <c r="D323" s="257" t="str">
        <f t="shared" si="37"/>
        <v/>
      </c>
      <c r="F323" s="257" t="str">
        <f t="shared" si="38"/>
        <v/>
      </c>
      <c r="G323" s="257" t="str">
        <f t="shared" si="39"/>
        <v/>
      </c>
      <c r="H323" s="257" t="str">
        <f t="shared" si="40"/>
        <v/>
      </c>
    </row>
    <row r="324" spans="1:8" x14ac:dyDescent="0.25">
      <c r="A324" s="254" t="str">
        <f t="shared" ca="1" si="41"/>
        <v/>
      </c>
      <c r="B324" s="255"/>
      <c r="C324" s="256"/>
      <c r="D324" s="257" t="str">
        <f t="shared" si="37"/>
        <v/>
      </c>
      <c r="F324" s="257" t="str">
        <f t="shared" si="38"/>
        <v/>
      </c>
      <c r="G324" s="257" t="str">
        <f t="shared" si="39"/>
        <v/>
      </c>
      <c r="H324" s="257" t="str">
        <f t="shared" si="40"/>
        <v/>
      </c>
    </row>
    <row r="325" spans="1:8" x14ac:dyDescent="0.25">
      <c r="A325" s="254" t="str">
        <f t="shared" ca="1" si="41"/>
        <v/>
      </c>
      <c r="B325" s="255"/>
      <c r="C325" s="256"/>
      <c r="D325" s="257" t="str">
        <f t="shared" si="37"/>
        <v/>
      </c>
      <c r="F325" s="257" t="str">
        <f t="shared" si="38"/>
        <v/>
      </c>
      <c r="G325" s="257" t="str">
        <f t="shared" si="39"/>
        <v/>
      </c>
      <c r="H325" s="257" t="str">
        <f t="shared" si="40"/>
        <v/>
      </c>
    </row>
    <row r="326" spans="1:8" x14ac:dyDescent="0.25">
      <c r="A326" s="254" t="str">
        <f t="shared" ca="1" si="41"/>
        <v/>
      </c>
      <c r="B326" s="255"/>
      <c r="C326" s="256"/>
      <c r="D326" s="257" t="str">
        <f t="shared" si="37"/>
        <v/>
      </c>
      <c r="F326" s="257" t="str">
        <f t="shared" si="38"/>
        <v/>
      </c>
      <c r="G326" s="257" t="str">
        <f t="shared" si="39"/>
        <v/>
      </c>
      <c r="H326" s="257" t="str">
        <f t="shared" si="40"/>
        <v/>
      </c>
    </row>
    <row r="327" spans="1:8" x14ac:dyDescent="0.25">
      <c r="A327" s="254" t="str">
        <f t="shared" ca="1" si="41"/>
        <v/>
      </c>
      <c r="B327" s="255"/>
      <c r="C327" s="256"/>
      <c r="D327" s="257" t="str">
        <f t="shared" si="37"/>
        <v/>
      </c>
      <c r="F327" s="257" t="str">
        <f t="shared" si="38"/>
        <v/>
      </c>
      <c r="G327" s="257" t="str">
        <f t="shared" si="39"/>
        <v/>
      </c>
      <c r="H327" s="257" t="str">
        <f t="shared" si="40"/>
        <v/>
      </c>
    </row>
    <row r="328" spans="1:8" x14ac:dyDescent="0.25">
      <c r="A328" s="254" t="str">
        <f t="shared" ca="1" si="41"/>
        <v/>
      </c>
      <c r="B328" s="255"/>
      <c r="C328" s="256"/>
      <c r="D328" s="257" t="str">
        <f t="shared" si="37"/>
        <v/>
      </c>
      <c r="F328" s="257" t="str">
        <f t="shared" si="38"/>
        <v/>
      </c>
      <c r="G328" s="257" t="str">
        <f t="shared" si="39"/>
        <v/>
      </c>
      <c r="H328" s="257" t="str">
        <f t="shared" si="40"/>
        <v/>
      </c>
    </row>
    <row r="329" spans="1:8" x14ac:dyDescent="0.25">
      <c r="A329" s="254" t="str">
        <f t="shared" ca="1" si="41"/>
        <v/>
      </c>
      <c r="B329" s="255"/>
      <c r="C329" s="256"/>
      <c r="D329" s="257" t="str">
        <f t="shared" si="37"/>
        <v/>
      </c>
      <c r="F329" s="257" t="str">
        <f t="shared" si="38"/>
        <v/>
      </c>
      <c r="G329" s="257" t="str">
        <f t="shared" si="39"/>
        <v/>
      </c>
      <c r="H329" s="257" t="str">
        <f t="shared" si="40"/>
        <v/>
      </c>
    </row>
    <row r="330" spans="1:8" x14ac:dyDescent="0.25">
      <c r="A330" s="254" t="str">
        <f t="shared" ca="1" si="41"/>
        <v/>
      </c>
      <c r="B330" s="255"/>
      <c r="C330" s="256"/>
      <c r="D330" s="257" t="str">
        <f t="shared" si="37"/>
        <v/>
      </c>
      <c r="F330" s="257" t="str">
        <f t="shared" si="38"/>
        <v/>
      </c>
      <c r="G330" s="257" t="str">
        <f t="shared" si="39"/>
        <v/>
      </c>
      <c r="H330" s="257" t="str">
        <f t="shared" si="40"/>
        <v/>
      </c>
    </row>
    <row r="331" spans="1:8" x14ac:dyDescent="0.25">
      <c r="A331" s="254" t="str">
        <f t="shared" ca="1" si="41"/>
        <v/>
      </c>
      <c r="B331" s="255"/>
      <c r="C331" s="256"/>
      <c r="D331" s="257" t="str">
        <f t="shared" si="37"/>
        <v/>
      </c>
      <c r="F331" s="257" t="str">
        <f t="shared" si="38"/>
        <v/>
      </c>
      <c r="G331" s="257" t="str">
        <f t="shared" si="39"/>
        <v/>
      </c>
      <c r="H331" s="257" t="str">
        <f t="shared" si="40"/>
        <v/>
      </c>
    </row>
    <row r="332" spans="1:8" x14ac:dyDescent="0.25">
      <c r="A332" s="254" t="str">
        <f t="shared" ca="1" si="41"/>
        <v/>
      </c>
      <c r="B332" s="255"/>
      <c r="C332" s="256"/>
      <c r="D332" s="257" t="str">
        <f t="shared" si="37"/>
        <v/>
      </c>
      <c r="F332" s="257" t="str">
        <f t="shared" si="38"/>
        <v/>
      </c>
      <c r="G332" s="257" t="str">
        <f t="shared" si="39"/>
        <v/>
      </c>
      <c r="H332" s="257" t="str">
        <f t="shared" si="40"/>
        <v/>
      </c>
    </row>
    <row r="333" spans="1:8" x14ac:dyDescent="0.25">
      <c r="A333" s="254" t="str">
        <f t="shared" ca="1" si="41"/>
        <v/>
      </c>
      <c r="B333" s="255"/>
      <c r="C333" s="256"/>
      <c r="D333" s="257" t="str">
        <f t="shared" si="37"/>
        <v/>
      </c>
      <c r="F333" s="257" t="str">
        <f t="shared" si="38"/>
        <v/>
      </c>
      <c r="G333" s="257" t="str">
        <f t="shared" si="39"/>
        <v/>
      </c>
      <c r="H333" s="257" t="str">
        <f t="shared" si="40"/>
        <v/>
      </c>
    </row>
    <row r="334" spans="1:8" x14ac:dyDescent="0.25">
      <c r="A334" s="254" t="str">
        <f t="shared" ca="1" si="41"/>
        <v/>
      </c>
      <c r="B334" s="255"/>
      <c r="C334" s="256"/>
      <c r="D334" s="257" t="str">
        <f t="shared" si="37"/>
        <v/>
      </c>
      <c r="F334" s="257" t="str">
        <f t="shared" si="38"/>
        <v/>
      </c>
      <c r="G334" s="257" t="str">
        <f t="shared" si="39"/>
        <v/>
      </c>
      <c r="H334" s="257" t="str">
        <f t="shared" si="40"/>
        <v/>
      </c>
    </row>
    <row r="335" spans="1:8" x14ac:dyDescent="0.25">
      <c r="A335" s="254" t="str">
        <f t="shared" ca="1" si="41"/>
        <v/>
      </c>
      <c r="B335" s="255"/>
      <c r="C335" s="256"/>
      <c r="D335" s="257" t="str">
        <f t="shared" si="37"/>
        <v/>
      </c>
      <c r="F335" s="257" t="str">
        <f t="shared" si="38"/>
        <v/>
      </c>
      <c r="G335" s="257" t="str">
        <f t="shared" si="39"/>
        <v/>
      </c>
      <c r="H335" s="257" t="str">
        <f t="shared" si="40"/>
        <v/>
      </c>
    </row>
    <row r="336" spans="1:8" x14ac:dyDescent="0.25">
      <c r="A336" s="254" t="str">
        <f t="shared" ca="1" si="41"/>
        <v/>
      </c>
      <c r="B336" s="255"/>
      <c r="C336" s="256"/>
      <c r="D336" s="257" t="str">
        <f t="shared" si="37"/>
        <v/>
      </c>
      <c r="F336" s="257" t="str">
        <f t="shared" si="38"/>
        <v/>
      </c>
      <c r="G336" s="257" t="str">
        <f t="shared" si="39"/>
        <v/>
      </c>
      <c r="H336" s="257" t="str">
        <f t="shared" si="40"/>
        <v/>
      </c>
    </row>
    <row r="337" spans="1:8" x14ac:dyDescent="0.25">
      <c r="A337" s="254" t="str">
        <f t="shared" ca="1" si="41"/>
        <v/>
      </c>
      <c r="B337" s="255"/>
      <c r="C337" s="256"/>
      <c r="D337" s="257" t="str">
        <f t="shared" si="37"/>
        <v/>
      </c>
      <c r="F337" s="257" t="str">
        <f t="shared" si="38"/>
        <v/>
      </c>
      <c r="G337" s="257" t="str">
        <f t="shared" si="39"/>
        <v/>
      </c>
      <c r="H337" s="257" t="str">
        <f t="shared" si="40"/>
        <v/>
      </c>
    </row>
    <row r="338" spans="1:8" x14ac:dyDescent="0.25">
      <c r="A338" s="254" t="str">
        <f t="shared" ca="1" si="41"/>
        <v/>
      </c>
      <c r="B338" s="255"/>
      <c r="C338" s="256"/>
      <c r="D338" s="257" t="str">
        <f t="shared" si="37"/>
        <v/>
      </c>
      <c r="F338" s="257" t="str">
        <f t="shared" si="38"/>
        <v/>
      </c>
      <c r="G338" s="257" t="str">
        <f t="shared" si="39"/>
        <v/>
      </c>
      <c r="H338" s="257" t="str">
        <f t="shared" si="40"/>
        <v/>
      </c>
    </row>
    <row r="339" spans="1:8" x14ac:dyDescent="0.25">
      <c r="A339" s="254" t="str">
        <f t="shared" ca="1" si="41"/>
        <v/>
      </c>
      <c r="B339" s="255"/>
      <c r="C339" s="256"/>
      <c r="D339" s="257" t="str">
        <f t="shared" ref="D339:D402" si="42">IF(B339="","",ROUND((B339-B338)*$H$9*G338,2))</f>
        <v/>
      </c>
      <c r="F339" s="257" t="str">
        <f t="shared" ref="F339:F402" si="43">IF(B339="","",IF(C339&gt;F338+D339,0,F338+D339-C339))</f>
        <v/>
      </c>
      <c r="G339" s="257" t="str">
        <f t="shared" ref="G339:G402" si="44">IF(B339="","",IF(C339&gt;D339+F338,G338+F338+D339-C339,G338))</f>
        <v/>
      </c>
      <c r="H339" s="257" t="str">
        <f t="shared" ref="H339:H402" si="45">IF(B339="","",G339+F339)</f>
        <v/>
      </c>
    </row>
    <row r="340" spans="1:8" x14ac:dyDescent="0.25">
      <c r="A340" s="254" t="str">
        <f t="shared" ca="1" si="41"/>
        <v/>
      </c>
      <c r="B340" s="255"/>
      <c r="C340" s="256"/>
      <c r="D340" s="257" t="str">
        <f t="shared" si="42"/>
        <v/>
      </c>
      <c r="F340" s="257" t="str">
        <f t="shared" si="43"/>
        <v/>
      </c>
      <c r="G340" s="257" t="str">
        <f t="shared" si="44"/>
        <v/>
      </c>
      <c r="H340" s="257" t="str">
        <f t="shared" si="45"/>
        <v/>
      </c>
    </row>
    <row r="341" spans="1:8" x14ac:dyDescent="0.25">
      <c r="A341" s="254" t="str">
        <f t="shared" ca="1" si="41"/>
        <v/>
      </c>
      <c r="B341" s="255"/>
      <c r="C341" s="256"/>
      <c r="D341" s="257" t="str">
        <f t="shared" si="42"/>
        <v/>
      </c>
      <c r="F341" s="257" t="str">
        <f t="shared" si="43"/>
        <v/>
      </c>
      <c r="G341" s="257" t="str">
        <f t="shared" si="44"/>
        <v/>
      </c>
      <c r="H341" s="257" t="str">
        <f t="shared" si="45"/>
        <v/>
      </c>
    </row>
    <row r="342" spans="1:8" x14ac:dyDescent="0.25">
      <c r="A342" s="254" t="str">
        <f t="shared" ca="1" si="41"/>
        <v/>
      </c>
      <c r="B342" s="255"/>
      <c r="C342" s="256"/>
      <c r="D342" s="257" t="str">
        <f t="shared" si="42"/>
        <v/>
      </c>
      <c r="F342" s="257" t="str">
        <f t="shared" si="43"/>
        <v/>
      </c>
      <c r="G342" s="257" t="str">
        <f t="shared" si="44"/>
        <v/>
      </c>
      <c r="H342" s="257" t="str">
        <f t="shared" si="45"/>
        <v/>
      </c>
    </row>
    <row r="343" spans="1:8" x14ac:dyDescent="0.25">
      <c r="A343" s="254" t="str">
        <f t="shared" ca="1" si="41"/>
        <v/>
      </c>
      <c r="B343" s="255"/>
      <c r="C343" s="256"/>
      <c r="D343" s="257" t="str">
        <f t="shared" si="42"/>
        <v/>
      </c>
      <c r="F343" s="257" t="str">
        <f t="shared" si="43"/>
        <v/>
      </c>
      <c r="G343" s="257" t="str">
        <f t="shared" si="44"/>
        <v/>
      </c>
      <c r="H343" s="257" t="str">
        <f t="shared" si="45"/>
        <v/>
      </c>
    </row>
    <row r="344" spans="1:8" x14ac:dyDescent="0.25">
      <c r="A344" s="254" t="str">
        <f t="shared" ca="1" si="41"/>
        <v/>
      </c>
      <c r="B344" s="255"/>
      <c r="C344" s="256"/>
      <c r="D344" s="257" t="str">
        <f t="shared" si="42"/>
        <v/>
      </c>
      <c r="F344" s="257" t="str">
        <f t="shared" si="43"/>
        <v/>
      </c>
      <c r="G344" s="257" t="str">
        <f t="shared" si="44"/>
        <v/>
      </c>
      <c r="H344" s="257" t="str">
        <f t="shared" si="45"/>
        <v/>
      </c>
    </row>
    <row r="345" spans="1:8" x14ac:dyDescent="0.25">
      <c r="A345" s="254" t="str">
        <f t="shared" ca="1" si="41"/>
        <v/>
      </c>
      <c r="B345" s="255"/>
      <c r="C345" s="256"/>
      <c r="D345" s="257" t="str">
        <f t="shared" si="42"/>
        <v/>
      </c>
      <c r="F345" s="257" t="str">
        <f t="shared" si="43"/>
        <v/>
      </c>
      <c r="G345" s="257" t="str">
        <f t="shared" si="44"/>
        <v/>
      </c>
      <c r="H345" s="257" t="str">
        <f t="shared" si="45"/>
        <v/>
      </c>
    </row>
    <row r="346" spans="1:8" x14ac:dyDescent="0.25">
      <c r="A346" s="254" t="str">
        <f t="shared" ca="1" si="41"/>
        <v/>
      </c>
      <c r="B346" s="255"/>
      <c r="C346" s="256"/>
      <c r="D346" s="257" t="str">
        <f t="shared" si="42"/>
        <v/>
      </c>
      <c r="F346" s="257" t="str">
        <f t="shared" si="43"/>
        <v/>
      </c>
      <c r="G346" s="257" t="str">
        <f t="shared" si="44"/>
        <v/>
      </c>
      <c r="H346" s="257" t="str">
        <f t="shared" si="45"/>
        <v/>
      </c>
    </row>
    <row r="347" spans="1:8" x14ac:dyDescent="0.25">
      <c r="A347" s="254" t="str">
        <f t="shared" ca="1" si="41"/>
        <v/>
      </c>
      <c r="B347" s="255"/>
      <c r="C347" s="256"/>
      <c r="D347" s="257" t="str">
        <f t="shared" si="42"/>
        <v/>
      </c>
      <c r="F347" s="257" t="str">
        <f t="shared" si="43"/>
        <v/>
      </c>
      <c r="G347" s="257" t="str">
        <f t="shared" si="44"/>
        <v/>
      </c>
      <c r="H347" s="257" t="str">
        <f t="shared" si="45"/>
        <v/>
      </c>
    </row>
    <row r="348" spans="1:8" x14ac:dyDescent="0.25">
      <c r="A348" s="254" t="str">
        <f t="shared" ca="1" si="41"/>
        <v/>
      </c>
      <c r="B348" s="255"/>
      <c r="C348" s="256"/>
      <c r="D348" s="257" t="str">
        <f t="shared" si="42"/>
        <v/>
      </c>
      <c r="F348" s="257" t="str">
        <f t="shared" si="43"/>
        <v/>
      </c>
      <c r="G348" s="257" t="str">
        <f t="shared" si="44"/>
        <v/>
      </c>
      <c r="H348" s="257" t="str">
        <f t="shared" si="45"/>
        <v/>
      </c>
    </row>
    <row r="349" spans="1:8" x14ac:dyDescent="0.25">
      <c r="A349" s="254" t="str">
        <f t="shared" ca="1" si="41"/>
        <v/>
      </c>
      <c r="B349" s="255"/>
      <c r="C349" s="256"/>
      <c r="D349" s="257" t="str">
        <f t="shared" si="42"/>
        <v/>
      </c>
      <c r="F349" s="257" t="str">
        <f t="shared" si="43"/>
        <v/>
      </c>
      <c r="G349" s="257" t="str">
        <f t="shared" si="44"/>
        <v/>
      </c>
      <c r="H349" s="257" t="str">
        <f t="shared" si="45"/>
        <v/>
      </c>
    </row>
    <row r="350" spans="1:8" x14ac:dyDescent="0.25">
      <c r="A350" s="254" t="str">
        <f t="shared" ca="1" si="41"/>
        <v/>
      </c>
      <c r="B350" s="255"/>
      <c r="C350" s="256"/>
      <c r="D350" s="257" t="str">
        <f t="shared" si="42"/>
        <v/>
      </c>
      <c r="F350" s="257" t="str">
        <f t="shared" si="43"/>
        <v/>
      </c>
      <c r="G350" s="257" t="str">
        <f t="shared" si="44"/>
        <v/>
      </c>
      <c r="H350" s="257" t="str">
        <f t="shared" si="45"/>
        <v/>
      </c>
    </row>
    <row r="351" spans="1:8" x14ac:dyDescent="0.25">
      <c r="A351" s="254" t="str">
        <f t="shared" ca="1" si="41"/>
        <v/>
      </c>
      <c r="B351" s="255"/>
      <c r="C351" s="256"/>
      <c r="D351" s="257" t="str">
        <f t="shared" si="42"/>
        <v/>
      </c>
      <c r="F351" s="257" t="str">
        <f t="shared" si="43"/>
        <v/>
      </c>
      <c r="G351" s="257" t="str">
        <f t="shared" si="44"/>
        <v/>
      </c>
      <c r="H351" s="257" t="str">
        <f t="shared" si="45"/>
        <v/>
      </c>
    </row>
    <row r="352" spans="1:8" x14ac:dyDescent="0.25">
      <c r="A352" s="254" t="str">
        <f t="shared" ca="1" si="41"/>
        <v/>
      </c>
      <c r="B352" s="255"/>
      <c r="C352" s="256"/>
      <c r="D352" s="257" t="str">
        <f t="shared" si="42"/>
        <v/>
      </c>
      <c r="F352" s="257" t="str">
        <f t="shared" si="43"/>
        <v/>
      </c>
      <c r="G352" s="257" t="str">
        <f t="shared" si="44"/>
        <v/>
      </c>
      <c r="H352" s="257" t="str">
        <f t="shared" si="45"/>
        <v/>
      </c>
    </row>
    <row r="353" spans="1:8" x14ac:dyDescent="0.25">
      <c r="A353" s="254" t="str">
        <f t="shared" ca="1" si="41"/>
        <v/>
      </c>
      <c r="B353" s="255"/>
      <c r="C353" s="256"/>
      <c r="D353" s="257" t="str">
        <f t="shared" si="42"/>
        <v/>
      </c>
      <c r="F353" s="257" t="str">
        <f t="shared" si="43"/>
        <v/>
      </c>
      <c r="G353" s="257" t="str">
        <f t="shared" si="44"/>
        <v/>
      </c>
      <c r="H353" s="257" t="str">
        <f t="shared" si="45"/>
        <v/>
      </c>
    </row>
    <row r="354" spans="1:8" x14ac:dyDescent="0.25">
      <c r="A354" s="254" t="str">
        <f t="shared" ca="1" si="41"/>
        <v/>
      </c>
      <c r="B354" s="255"/>
      <c r="C354" s="256"/>
      <c r="D354" s="257" t="str">
        <f t="shared" si="42"/>
        <v/>
      </c>
      <c r="F354" s="257" t="str">
        <f t="shared" si="43"/>
        <v/>
      </c>
      <c r="G354" s="257" t="str">
        <f t="shared" si="44"/>
        <v/>
      </c>
      <c r="H354" s="257" t="str">
        <f t="shared" si="45"/>
        <v/>
      </c>
    </row>
    <row r="355" spans="1:8" x14ac:dyDescent="0.25">
      <c r="A355" s="254" t="str">
        <f t="shared" ca="1" si="41"/>
        <v/>
      </c>
      <c r="B355" s="255"/>
      <c r="C355" s="256"/>
      <c r="D355" s="257" t="str">
        <f t="shared" si="42"/>
        <v/>
      </c>
      <c r="F355" s="257" t="str">
        <f t="shared" si="43"/>
        <v/>
      </c>
      <c r="G355" s="257" t="str">
        <f t="shared" si="44"/>
        <v/>
      </c>
      <c r="H355" s="257" t="str">
        <f t="shared" si="45"/>
        <v/>
      </c>
    </row>
    <row r="356" spans="1:8" x14ac:dyDescent="0.25">
      <c r="A356" s="254" t="str">
        <f t="shared" ca="1" si="41"/>
        <v/>
      </c>
      <c r="B356" s="255"/>
      <c r="C356" s="256"/>
      <c r="D356" s="257" t="str">
        <f t="shared" si="42"/>
        <v/>
      </c>
      <c r="F356" s="257" t="str">
        <f t="shared" si="43"/>
        <v/>
      </c>
      <c r="G356" s="257" t="str">
        <f t="shared" si="44"/>
        <v/>
      </c>
      <c r="H356" s="257" t="str">
        <f t="shared" si="45"/>
        <v/>
      </c>
    </row>
    <row r="357" spans="1:8" x14ac:dyDescent="0.25">
      <c r="A357" s="254" t="str">
        <f t="shared" ca="1" si="41"/>
        <v/>
      </c>
      <c r="B357" s="255"/>
      <c r="C357" s="256"/>
      <c r="D357" s="257" t="str">
        <f t="shared" si="42"/>
        <v/>
      </c>
      <c r="F357" s="257" t="str">
        <f t="shared" si="43"/>
        <v/>
      </c>
      <c r="G357" s="257" t="str">
        <f t="shared" si="44"/>
        <v/>
      </c>
      <c r="H357" s="257" t="str">
        <f t="shared" si="45"/>
        <v/>
      </c>
    </row>
    <row r="358" spans="1:8" x14ac:dyDescent="0.25">
      <c r="A358" s="254" t="str">
        <f t="shared" ca="1" si="41"/>
        <v/>
      </c>
      <c r="B358" s="255"/>
      <c r="C358" s="256"/>
      <c r="D358" s="257" t="str">
        <f t="shared" si="42"/>
        <v/>
      </c>
      <c r="F358" s="257" t="str">
        <f t="shared" si="43"/>
        <v/>
      </c>
      <c r="G358" s="257" t="str">
        <f t="shared" si="44"/>
        <v/>
      </c>
      <c r="H358" s="257" t="str">
        <f t="shared" si="45"/>
        <v/>
      </c>
    </row>
    <row r="359" spans="1:8" x14ac:dyDescent="0.25">
      <c r="A359" s="254" t="str">
        <f t="shared" ca="1" si="41"/>
        <v/>
      </c>
      <c r="B359" s="255"/>
      <c r="C359" s="256"/>
      <c r="D359" s="257" t="str">
        <f t="shared" si="42"/>
        <v/>
      </c>
      <c r="F359" s="257" t="str">
        <f t="shared" si="43"/>
        <v/>
      </c>
      <c r="G359" s="257" t="str">
        <f t="shared" si="44"/>
        <v/>
      </c>
      <c r="H359" s="257" t="str">
        <f t="shared" si="45"/>
        <v/>
      </c>
    </row>
    <row r="360" spans="1:8" x14ac:dyDescent="0.25">
      <c r="A360" s="254" t="str">
        <f t="shared" ca="1" si="41"/>
        <v/>
      </c>
      <c r="B360" s="255"/>
      <c r="C360" s="256"/>
      <c r="D360" s="257" t="str">
        <f t="shared" si="42"/>
        <v/>
      </c>
      <c r="F360" s="257" t="str">
        <f t="shared" si="43"/>
        <v/>
      </c>
      <c r="G360" s="257" t="str">
        <f t="shared" si="44"/>
        <v/>
      </c>
      <c r="H360" s="257" t="str">
        <f t="shared" si="45"/>
        <v/>
      </c>
    </row>
    <row r="361" spans="1:8" x14ac:dyDescent="0.25">
      <c r="A361" s="254" t="str">
        <f t="shared" ref="A361:A424" ca="1" si="46">IF(OR(H360&lt;=0,H360=""),"",OFFSET(A361,-1,0,1,1)+1)</f>
        <v/>
      </c>
      <c r="B361" s="255"/>
      <c r="C361" s="256"/>
      <c r="D361" s="257" t="str">
        <f t="shared" si="42"/>
        <v/>
      </c>
      <c r="F361" s="257" t="str">
        <f t="shared" si="43"/>
        <v/>
      </c>
      <c r="G361" s="257" t="str">
        <f t="shared" si="44"/>
        <v/>
      </c>
      <c r="H361" s="257" t="str">
        <f t="shared" si="45"/>
        <v/>
      </c>
    </row>
    <row r="362" spans="1:8" x14ac:dyDescent="0.25">
      <c r="A362" s="254" t="str">
        <f t="shared" ca="1" si="46"/>
        <v/>
      </c>
      <c r="B362" s="255"/>
      <c r="C362" s="256"/>
      <c r="D362" s="257" t="str">
        <f t="shared" si="42"/>
        <v/>
      </c>
      <c r="F362" s="257" t="str">
        <f t="shared" si="43"/>
        <v/>
      </c>
      <c r="G362" s="257" t="str">
        <f t="shared" si="44"/>
        <v/>
      </c>
      <c r="H362" s="257" t="str">
        <f t="shared" si="45"/>
        <v/>
      </c>
    </row>
    <row r="363" spans="1:8" x14ac:dyDescent="0.25">
      <c r="A363" s="254" t="str">
        <f t="shared" ca="1" si="46"/>
        <v/>
      </c>
      <c r="B363" s="255"/>
      <c r="C363" s="256"/>
      <c r="D363" s="257" t="str">
        <f t="shared" si="42"/>
        <v/>
      </c>
      <c r="F363" s="257" t="str">
        <f t="shared" si="43"/>
        <v/>
      </c>
      <c r="G363" s="257" t="str">
        <f t="shared" si="44"/>
        <v/>
      </c>
      <c r="H363" s="257" t="str">
        <f t="shared" si="45"/>
        <v/>
      </c>
    </row>
    <row r="364" spans="1:8" x14ac:dyDescent="0.25">
      <c r="A364" s="254" t="str">
        <f t="shared" ca="1" si="46"/>
        <v/>
      </c>
      <c r="B364" s="255"/>
      <c r="C364" s="256"/>
      <c r="D364" s="257" t="str">
        <f t="shared" si="42"/>
        <v/>
      </c>
      <c r="F364" s="257" t="str">
        <f t="shared" si="43"/>
        <v/>
      </c>
      <c r="G364" s="257" t="str">
        <f t="shared" si="44"/>
        <v/>
      </c>
      <c r="H364" s="257" t="str">
        <f t="shared" si="45"/>
        <v/>
      </c>
    </row>
    <row r="365" spans="1:8" x14ac:dyDescent="0.25">
      <c r="A365" s="254" t="str">
        <f t="shared" ca="1" si="46"/>
        <v/>
      </c>
      <c r="B365" s="255"/>
      <c r="C365" s="256"/>
      <c r="D365" s="257" t="str">
        <f t="shared" si="42"/>
        <v/>
      </c>
      <c r="F365" s="257" t="str">
        <f t="shared" si="43"/>
        <v/>
      </c>
      <c r="G365" s="257" t="str">
        <f t="shared" si="44"/>
        <v/>
      </c>
      <c r="H365" s="257" t="str">
        <f t="shared" si="45"/>
        <v/>
      </c>
    </row>
    <row r="366" spans="1:8" x14ac:dyDescent="0.25">
      <c r="A366" s="254" t="str">
        <f t="shared" ca="1" si="46"/>
        <v/>
      </c>
      <c r="B366" s="255"/>
      <c r="C366" s="256"/>
      <c r="D366" s="257" t="str">
        <f t="shared" si="42"/>
        <v/>
      </c>
      <c r="F366" s="257" t="str">
        <f t="shared" si="43"/>
        <v/>
      </c>
      <c r="G366" s="257" t="str">
        <f t="shared" si="44"/>
        <v/>
      </c>
      <c r="H366" s="257" t="str">
        <f t="shared" si="45"/>
        <v/>
      </c>
    </row>
    <row r="367" spans="1:8" x14ac:dyDescent="0.25">
      <c r="A367" s="254" t="str">
        <f t="shared" ca="1" si="46"/>
        <v/>
      </c>
      <c r="B367" s="255"/>
      <c r="C367" s="256"/>
      <c r="D367" s="257" t="str">
        <f t="shared" si="42"/>
        <v/>
      </c>
      <c r="F367" s="257" t="str">
        <f t="shared" si="43"/>
        <v/>
      </c>
      <c r="G367" s="257" t="str">
        <f t="shared" si="44"/>
        <v/>
      </c>
      <c r="H367" s="257" t="str">
        <f t="shared" si="45"/>
        <v/>
      </c>
    </row>
    <row r="368" spans="1:8" x14ac:dyDescent="0.25">
      <c r="A368" s="254" t="str">
        <f t="shared" ca="1" si="46"/>
        <v/>
      </c>
      <c r="B368" s="255"/>
      <c r="C368" s="256"/>
      <c r="D368" s="257" t="str">
        <f t="shared" si="42"/>
        <v/>
      </c>
      <c r="F368" s="257" t="str">
        <f t="shared" si="43"/>
        <v/>
      </c>
      <c r="G368" s="257" t="str">
        <f t="shared" si="44"/>
        <v/>
      </c>
      <c r="H368" s="257" t="str">
        <f t="shared" si="45"/>
        <v/>
      </c>
    </row>
    <row r="369" spans="1:8" x14ac:dyDescent="0.25">
      <c r="A369" s="254" t="str">
        <f t="shared" ca="1" si="46"/>
        <v/>
      </c>
      <c r="B369" s="255"/>
      <c r="C369" s="256"/>
      <c r="D369" s="257" t="str">
        <f t="shared" si="42"/>
        <v/>
      </c>
      <c r="F369" s="257" t="str">
        <f t="shared" si="43"/>
        <v/>
      </c>
      <c r="G369" s="257" t="str">
        <f t="shared" si="44"/>
        <v/>
      </c>
      <c r="H369" s="257" t="str">
        <f t="shared" si="45"/>
        <v/>
      </c>
    </row>
    <row r="370" spans="1:8" x14ac:dyDescent="0.25">
      <c r="A370" s="254" t="str">
        <f t="shared" ca="1" si="46"/>
        <v/>
      </c>
      <c r="B370" s="255"/>
      <c r="C370" s="256"/>
      <c r="D370" s="257" t="str">
        <f t="shared" si="42"/>
        <v/>
      </c>
      <c r="F370" s="257" t="str">
        <f t="shared" si="43"/>
        <v/>
      </c>
      <c r="G370" s="257" t="str">
        <f t="shared" si="44"/>
        <v/>
      </c>
      <c r="H370" s="257" t="str">
        <f t="shared" si="45"/>
        <v/>
      </c>
    </row>
    <row r="371" spans="1:8" x14ac:dyDescent="0.25">
      <c r="A371" s="254" t="str">
        <f t="shared" ca="1" si="46"/>
        <v/>
      </c>
      <c r="B371" s="255"/>
      <c r="C371" s="256"/>
      <c r="D371" s="257" t="str">
        <f t="shared" si="42"/>
        <v/>
      </c>
      <c r="F371" s="257" t="str">
        <f t="shared" si="43"/>
        <v/>
      </c>
      <c r="G371" s="257" t="str">
        <f t="shared" si="44"/>
        <v/>
      </c>
      <c r="H371" s="257" t="str">
        <f t="shared" si="45"/>
        <v/>
      </c>
    </row>
    <row r="372" spans="1:8" x14ac:dyDescent="0.25">
      <c r="A372" s="254" t="str">
        <f t="shared" ca="1" si="46"/>
        <v/>
      </c>
      <c r="B372" s="255"/>
      <c r="C372" s="256"/>
      <c r="D372" s="257" t="str">
        <f t="shared" si="42"/>
        <v/>
      </c>
      <c r="F372" s="257" t="str">
        <f t="shared" si="43"/>
        <v/>
      </c>
      <c r="G372" s="257" t="str">
        <f t="shared" si="44"/>
        <v/>
      </c>
      <c r="H372" s="257" t="str">
        <f t="shared" si="45"/>
        <v/>
      </c>
    </row>
    <row r="373" spans="1:8" x14ac:dyDescent="0.25">
      <c r="A373" s="254" t="str">
        <f t="shared" ca="1" si="46"/>
        <v/>
      </c>
      <c r="B373" s="255"/>
      <c r="C373" s="256"/>
      <c r="D373" s="257" t="str">
        <f t="shared" si="42"/>
        <v/>
      </c>
      <c r="F373" s="257" t="str">
        <f t="shared" si="43"/>
        <v/>
      </c>
      <c r="G373" s="257" t="str">
        <f t="shared" si="44"/>
        <v/>
      </c>
      <c r="H373" s="257" t="str">
        <f t="shared" si="45"/>
        <v/>
      </c>
    </row>
    <row r="374" spans="1:8" x14ac:dyDescent="0.25">
      <c r="A374" s="254" t="str">
        <f t="shared" ca="1" si="46"/>
        <v/>
      </c>
      <c r="B374" s="255"/>
      <c r="C374" s="256"/>
      <c r="D374" s="257" t="str">
        <f t="shared" si="42"/>
        <v/>
      </c>
      <c r="F374" s="257" t="str">
        <f t="shared" si="43"/>
        <v/>
      </c>
      <c r="G374" s="257" t="str">
        <f t="shared" si="44"/>
        <v/>
      </c>
      <c r="H374" s="257" t="str">
        <f t="shared" si="45"/>
        <v/>
      </c>
    </row>
    <row r="375" spans="1:8" x14ac:dyDescent="0.25">
      <c r="A375" s="254" t="str">
        <f t="shared" ca="1" si="46"/>
        <v/>
      </c>
      <c r="B375" s="255"/>
      <c r="C375" s="256"/>
      <c r="D375" s="257" t="str">
        <f t="shared" si="42"/>
        <v/>
      </c>
      <c r="F375" s="257" t="str">
        <f t="shared" si="43"/>
        <v/>
      </c>
      <c r="G375" s="257" t="str">
        <f t="shared" si="44"/>
        <v/>
      </c>
      <c r="H375" s="257" t="str">
        <f t="shared" si="45"/>
        <v/>
      </c>
    </row>
    <row r="376" spans="1:8" x14ac:dyDescent="0.25">
      <c r="A376" s="254" t="str">
        <f t="shared" ca="1" si="46"/>
        <v/>
      </c>
      <c r="B376" s="255"/>
      <c r="C376" s="256"/>
      <c r="D376" s="257" t="str">
        <f t="shared" si="42"/>
        <v/>
      </c>
      <c r="F376" s="257" t="str">
        <f t="shared" si="43"/>
        <v/>
      </c>
      <c r="G376" s="257" t="str">
        <f t="shared" si="44"/>
        <v/>
      </c>
      <c r="H376" s="257" t="str">
        <f t="shared" si="45"/>
        <v/>
      </c>
    </row>
    <row r="377" spans="1:8" x14ac:dyDescent="0.25">
      <c r="A377" s="254" t="str">
        <f t="shared" ca="1" si="46"/>
        <v/>
      </c>
      <c r="B377" s="255"/>
      <c r="C377" s="256"/>
      <c r="D377" s="257" t="str">
        <f t="shared" si="42"/>
        <v/>
      </c>
      <c r="F377" s="257" t="str">
        <f t="shared" si="43"/>
        <v/>
      </c>
      <c r="G377" s="257" t="str">
        <f t="shared" si="44"/>
        <v/>
      </c>
      <c r="H377" s="257" t="str">
        <f t="shared" si="45"/>
        <v/>
      </c>
    </row>
    <row r="378" spans="1:8" x14ac:dyDescent="0.25">
      <c r="A378" s="254" t="str">
        <f t="shared" ca="1" si="46"/>
        <v/>
      </c>
      <c r="B378" s="255"/>
      <c r="C378" s="256"/>
      <c r="D378" s="257" t="str">
        <f t="shared" si="42"/>
        <v/>
      </c>
      <c r="F378" s="257" t="str">
        <f t="shared" si="43"/>
        <v/>
      </c>
      <c r="G378" s="257" t="str">
        <f t="shared" si="44"/>
        <v/>
      </c>
      <c r="H378" s="257" t="str">
        <f t="shared" si="45"/>
        <v/>
      </c>
    </row>
    <row r="379" spans="1:8" x14ac:dyDescent="0.25">
      <c r="A379" s="254" t="str">
        <f t="shared" ca="1" si="46"/>
        <v/>
      </c>
      <c r="B379" s="255"/>
      <c r="C379" s="256"/>
      <c r="D379" s="257" t="str">
        <f t="shared" si="42"/>
        <v/>
      </c>
      <c r="F379" s="257" t="str">
        <f t="shared" si="43"/>
        <v/>
      </c>
      <c r="G379" s="257" t="str">
        <f t="shared" si="44"/>
        <v/>
      </c>
      <c r="H379" s="257" t="str">
        <f t="shared" si="45"/>
        <v/>
      </c>
    </row>
    <row r="380" spans="1:8" x14ac:dyDescent="0.25">
      <c r="A380" s="254" t="str">
        <f t="shared" ca="1" si="46"/>
        <v/>
      </c>
      <c r="B380" s="255"/>
      <c r="C380" s="256"/>
      <c r="D380" s="257" t="str">
        <f t="shared" si="42"/>
        <v/>
      </c>
      <c r="F380" s="257" t="str">
        <f t="shared" si="43"/>
        <v/>
      </c>
      <c r="G380" s="257" t="str">
        <f t="shared" si="44"/>
        <v/>
      </c>
      <c r="H380" s="257" t="str">
        <f t="shared" si="45"/>
        <v/>
      </c>
    </row>
    <row r="381" spans="1:8" x14ac:dyDescent="0.25">
      <c r="A381" s="254" t="str">
        <f t="shared" ca="1" si="46"/>
        <v/>
      </c>
      <c r="B381" s="255"/>
      <c r="C381" s="256"/>
      <c r="D381" s="257" t="str">
        <f t="shared" si="42"/>
        <v/>
      </c>
      <c r="F381" s="257" t="str">
        <f t="shared" si="43"/>
        <v/>
      </c>
      <c r="G381" s="257" t="str">
        <f t="shared" si="44"/>
        <v/>
      </c>
      <c r="H381" s="257" t="str">
        <f t="shared" si="45"/>
        <v/>
      </c>
    </row>
    <row r="382" spans="1:8" x14ac:dyDescent="0.25">
      <c r="A382" s="254" t="str">
        <f t="shared" ca="1" si="46"/>
        <v/>
      </c>
      <c r="B382" s="255"/>
      <c r="C382" s="256"/>
      <c r="D382" s="257" t="str">
        <f t="shared" si="42"/>
        <v/>
      </c>
      <c r="F382" s="257" t="str">
        <f t="shared" si="43"/>
        <v/>
      </c>
      <c r="G382" s="257" t="str">
        <f t="shared" si="44"/>
        <v/>
      </c>
      <c r="H382" s="257" t="str">
        <f t="shared" si="45"/>
        <v/>
      </c>
    </row>
    <row r="383" spans="1:8" x14ac:dyDescent="0.25">
      <c r="A383" s="254" t="str">
        <f t="shared" ca="1" si="46"/>
        <v/>
      </c>
      <c r="B383" s="255"/>
      <c r="C383" s="256"/>
      <c r="D383" s="257" t="str">
        <f t="shared" si="42"/>
        <v/>
      </c>
      <c r="F383" s="257" t="str">
        <f t="shared" si="43"/>
        <v/>
      </c>
      <c r="G383" s="257" t="str">
        <f t="shared" si="44"/>
        <v/>
      </c>
      <c r="H383" s="257" t="str">
        <f t="shared" si="45"/>
        <v/>
      </c>
    </row>
    <row r="384" spans="1:8" x14ac:dyDescent="0.25">
      <c r="A384" s="254" t="str">
        <f t="shared" ca="1" si="46"/>
        <v/>
      </c>
      <c r="B384" s="255"/>
      <c r="C384" s="256"/>
      <c r="D384" s="257" t="str">
        <f t="shared" si="42"/>
        <v/>
      </c>
      <c r="F384" s="257" t="str">
        <f t="shared" si="43"/>
        <v/>
      </c>
      <c r="G384" s="257" t="str">
        <f t="shared" si="44"/>
        <v/>
      </c>
      <c r="H384" s="257" t="str">
        <f t="shared" si="45"/>
        <v/>
      </c>
    </row>
    <row r="385" spans="1:8" x14ac:dyDescent="0.25">
      <c r="A385" s="254" t="str">
        <f t="shared" ca="1" si="46"/>
        <v/>
      </c>
      <c r="B385" s="255"/>
      <c r="C385" s="256"/>
      <c r="D385" s="257" t="str">
        <f t="shared" si="42"/>
        <v/>
      </c>
      <c r="F385" s="257" t="str">
        <f t="shared" si="43"/>
        <v/>
      </c>
      <c r="G385" s="257" t="str">
        <f t="shared" si="44"/>
        <v/>
      </c>
      <c r="H385" s="257" t="str">
        <f t="shared" si="45"/>
        <v/>
      </c>
    </row>
    <row r="386" spans="1:8" x14ac:dyDescent="0.25">
      <c r="A386" s="254" t="str">
        <f t="shared" ca="1" si="46"/>
        <v/>
      </c>
      <c r="B386" s="255"/>
      <c r="C386" s="256"/>
      <c r="D386" s="257" t="str">
        <f t="shared" si="42"/>
        <v/>
      </c>
      <c r="F386" s="257" t="str">
        <f t="shared" si="43"/>
        <v/>
      </c>
      <c r="G386" s="257" t="str">
        <f t="shared" si="44"/>
        <v/>
      </c>
      <c r="H386" s="257" t="str">
        <f t="shared" si="45"/>
        <v/>
      </c>
    </row>
    <row r="387" spans="1:8" x14ac:dyDescent="0.25">
      <c r="A387" s="254" t="str">
        <f t="shared" ca="1" si="46"/>
        <v/>
      </c>
      <c r="B387" s="255"/>
      <c r="C387" s="256"/>
      <c r="D387" s="257" t="str">
        <f t="shared" si="42"/>
        <v/>
      </c>
      <c r="F387" s="257" t="str">
        <f t="shared" si="43"/>
        <v/>
      </c>
      <c r="G387" s="257" t="str">
        <f t="shared" si="44"/>
        <v/>
      </c>
      <c r="H387" s="257" t="str">
        <f t="shared" si="45"/>
        <v/>
      </c>
    </row>
    <row r="388" spans="1:8" x14ac:dyDescent="0.25">
      <c r="A388" s="254" t="str">
        <f t="shared" ca="1" si="46"/>
        <v/>
      </c>
      <c r="B388" s="255"/>
      <c r="C388" s="256"/>
      <c r="D388" s="257" t="str">
        <f t="shared" si="42"/>
        <v/>
      </c>
      <c r="F388" s="257" t="str">
        <f t="shared" si="43"/>
        <v/>
      </c>
      <c r="G388" s="257" t="str">
        <f t="shared" si="44"/>
        <v/>
      </c>
      <c r="H388" s="257" t="str">
        <f t="shared" si="45"/>
        <v/>
      </c>
    </row>
    <row r="389" spans="1:8" x14ac:dyDescent="0.25">
      <c r="A389" s="254" t="str">
        <f t="shared" ca="1" si="46"/>
        <v/>
      </c>
      <c r="B389" s="255"/>
      <c r="C389" s="256"/>
      <c r="D389" s="257" t="str">
        <f t="shared" si="42"/>
        <v/>
      </c>
      <c r="F389" s="257" t="str">
        <f t="shared" si="43"/>
        <v/>
      </c>
      <c r="G389" s="257" t="str">
        <f t="shared" si="44"/>
        <v/>
      </c>
      <c r="H389" s="257" t="str">
        <f t="shared" si="45"/>
        <v/>
      </c>
    </row>
    <row r="390" spans="1:8" x14ac:dyDescent="0.25">
      <c r="A390" s="254" t="str">
        <f t="shared" ca="1" si="46"/>
        <v/>
      </c>
      <c r="B390" s="255"/>
      <c r="C390" s="256"/>
      <c r="D390" s="257" t="str">
        <f t="shared" si="42"/>
        <v/>
      </c>
      <c r="F390" s="257" t="str">
        <f t="shared" si="43"/>
        <v/>
      </c>
      <c r="G390" s="257" t="str">
        <f t="shared" si="44"/>
        <v/>
      </c>
      <c r="H390" s="257" t="str">
        <f t="shared" si="45"/>
        <v/>
      </c>
    </row>
    <row r="391" spans="1:8" x14ac:dyDescent="0.25">
      <c r="A391" s="254" t="str">
        <f t="shared" ca="1" si="46"/>
        <v/>
      </c>
      <c r="B391" s="255"/>
      <c r="C391" s="256"/>
      <c r="D391" s="257" t="str">
        <f t="shared" si="42"/>
        <v/>
      </c>
      <c r="F391" s="257" t="str">
        <f t="shared" si="43"/>
        <v/>
      </c>
      <c r="G391" s="257" t="str">
        <f t="shared" si="44"/>
        <v/>
      </c>
      <c r="H391" s="257" t="str">
        <f t="shared" si="45"/>
        <v/>
      </c>
    </row>
    <row r="392" spans="1:8" x14ac:dyDescent="0.25">
      <c r="A392" s="254" t="str">
        <f t="shared" ca="1" si="46"/>
        <v/>
      </c>
      <c r="B392" s="255"/>
      <c r="C392" s="256"/>
      <c r="D392" s="257" t="str">
        <f t="shared" si="42"/>
        <v/>
      </c>
      <c r="F392" s="257" t="str">
        <f t="shared" si="43"/>
        <v/>
      </c>
      <c r="G392" s="257" t="str">
        <f t="shared" si="44"/>
        <v/>
      </c>
      <c r="H392" s="257" t="str">
        <f t="shared" si="45"/>
        <v/>
      </c>
    </row>
    <row r="393" spans="1:8" x14ac:dyDescent="0.25">
      <c r="A393" s="254" t="str">
        <f t="shared" ca="1" si="46"/>
        <v/>
      </c>
      <c r="B393" s="255"/>
      <c r="C393" s="256"/>
      <c r="D393" s="257" t="str">
        <f t="shared" si="42"/>
        <v/>
      </c>
      <c r="F393" s="257" t="str">
        <f t="shared" si="43"/>
        <v/>
      </c>
      <c r="G393" s="257" t="str">
        <f t="shared" si="44"/>
        <v/>
      </c>
      <c r="H393" s="257" t="str">
        <f t="shared" si="45"/>
        <v/>
      </c>
    </row>
    <row r="394" spans="1:8" x14ac:dyDescent="0.25">
      <c r="A394" s="254" t="str">
        <f t="shared" ca="1" si="46"/>
        <v/>
      </c>
      <c r="B394" s="255"/>
      <c r="C394" s="256"/>
      <c r="D394" s="257" t="str">
        <f t="shared" si="42"/>
        <v/>
      </c>
      <c r="F394" s="257" t="str">
        <f t="shared" si="43"/>
        <v/>
      </c>
      <c r="G394" s="257" t="str">
        <f t="shared" si="44"/>
        <v/>
      </c>
      <c r="H394" s="257" t="str">
        <f t="shared" si="45"/>
        <v/>
      </c>
    </row>
    <row r="395" spans="1:8" x14ac:dyDescent="0.25">
      <c r="A395" s="254" t="str">
        <f t="shared" ca="1" si="46"/>
        <v/>
      </c>
      <c r="B395" s="255"/>
      <c r="C395" s="256"/>
      <c r="D395" s="257" t="str">
        <f t="shared" si="42"/>
        <v/>
      </c>
      <c r="F395" s="257" t="str">
        <f t="shared" si="43"/>
        <v/>
      </c>
      <c r="G395" s="257" t="str">
        <f t="shared" si="44"/>
        <v/>
      </c>
      <c r="H395" s="257" t="str">
        <f t="shared" si="45"/>
        <v/>
      </c>
    </row>
    <row r="396" spans="1:8" x14ac:dyDescent="0.25">
      <c r="A396" s="254" t="str">
        <f t="shared" ca="1" si="46"/>
        <v/>
      </c>
      <c r="B396" s="255"/>
      <c r="C396" s="256"/>
      <c r="D396" s="257" t="str">
        <f t="shared" si="42"/>
        <v/>
      </c>
      <c r="F396" s="257" t="str">
        <f t="shared" si="43"/>
        <v/>
      </c>
      <c r="G396" s="257" t="str">
        <f t="shared" si="44"/>
        <v/>
      </c>
      <c r="H396" s="257" t="str">
        <f t="shared" si="45"/>
        <v/>
      </c>
    </row>
    <row r="397" spans="1:8" x14ac:dyDescent="0.25">
      <c r="A397" s="254" t="str">
        <f t="shared" ca="1" si="46"/>
        <v/>
      </c>
      <c r="B397" s="255"/>
      <c r="C397" s="256"/>
      <c r="D397" s="257" t="str">
        <f t="shared" si="42"/>
        <v/>
      </c>
      <c r="F397" s="257" t="str">
        <f t="shared" si="43"/>
        <v/>
      </c>
      <c r="G397" s="257" t="str">
        <f t="shared" si="44"/>
        <v/>
      </c>
      <c r="H397" s="257" t="str">
        <f t="shared" si="45"/>
        <v/>
      </c>
    </row>
    <row r="398" spans="1:8" x14ac:dyDescent="0.25">
      <c r="A398" s="254" t="str">
        <f t="shared" ca="1" si="46"/>
        <v/>
      </c>
      <c r="B398" s="255"/>
      <c r="C398" s="256"/>
      <c r="D398" s="257" t="str">
        <f t="shared" si="42"/>
        <v/>
      </c>
      <c r="F398" s="257" t="str">
        <f t="shared" si="43"/>
        <v/>
      </c>
      <c r="G398" s="257" t="str">
        <f t="shared" si="44"/>
        <v/>
      </c>
      <c r="H398" s="257" t="str">
        <f t="shared" si="45"/>
        <v/>
      </c>
    </row>
    <row r="399" spans="1:8" x14ac:dyDescent="0.25">
      <c r="A399" s="254" t="str">
        <f t="shared" ca="1" si="46"/>
        <v/>
      </c>
      <c r="B399" s="255"/>
      <c r="C399" s="256"/>
      <c r="D399" s="257" t="str">
        <f t="shared" si="42"/>
        <v/>
      </c>
      <c r="F399" s="257" t="str">
        <f t="shared" si="43"/>
        <v/>
      </c>
      <c r="G399" s="257" t="str">
        <f t="shared" si="44"/>
        <v/>
      </c>
      <c r="H399" s="257" t="str">
        <f t="shared" si="45"/>
        <v/>
      </c>
    </row>
    <row r="400" spans="1:8" x14ac:dyDescent="0.25">
      <c r="A400" s="254" t="str">
        <f t="shared" ca="1" si="46"/>
        <v/>
      </c>
      <c r="B400" s="255"/>
      <c r="C400" s="256"/>
      <c r="D400" s="257" t="str">
        <f t="shared" si="42"/>
        <v/>
      </c>
      <c r="F400" s="257" t="str">
        <f t="shared" si="43"/>
        <v/>
      </c>
      <c r="G400" s="257" t="str">
        <f t="shared" si="44"/>
        <v/>
      </c>
      <c r="H400" s="257" t="str">
        <f t="shared" si="45"/>
        <v/>
      </c>
    </row>
    <row r="401" spans="1:8" x14ac:dyDescent="0.25">
      <c r="A401" s="254" t="str">
        <f t="shared" ca="1" si="46"/>
        <v/>
      </c>
      <c r="B401" s="255"/>
      <c r="C401" s="256"/>
      <c r="D401" s="257" t="str">
        <f t="shared" si="42"/>
        <v/>
      </c>
      <c r="F401" s="257" t="str">
        <f t="shared" si="43"/>
        <v/>
      </c>
      <c r="G401" s="257" t="str">
        <f t="shared" si="44"/>
        <v/>
      </c>
      <c r="H401" s="257" t="str">
        <f t="shared" si="45"/>
        <v/>
      </c>
    </row>
    <row r="402" spans="1:8" x14ac:dyDescent="0.25">
      <c r="A402" s="254" t="str">
        <f t="shared" ca="1" si="46"/>
        <v/>
      </c>
      <c r="B402" s="255"/>
      <c r="C402" s="256"/>
      <c r="D402" s="257" t="str">
        <f t="shared" si="42"/>
        <v/>
      </c>
      <c r="F402" s="257" t="str">
        <f t="shared" si="43"/>
        <v/>
      </c>
      <c r="G402" s="257" t="str">
        <f t="shared" si="44"/>
        <v/>
      </c>
      <c r="H402" s="257" t="str">
        <f t="shared" si="45"/>
        <v/>
      </c>
    </row>
    <row r="403" spans="1:8" x14ac:dyDescent="0.25">
      <c r="A403" s="254" t="str">
        <f t="shared" ca="1" si="46"/>
        <v/>
      </c>
      <c r="B403" s="255"/>
      <c r="C403" s="256"/>
      <c r="D403" s="257" t="str">
        <f t="shared" ref="D403:D466" si="47">IF(B403="","",ROUND((B403-B402)*$H$9*G402,2))</f>
        <v/>
      </c>
      <c r="F403" s="257" t="str">
        <f t="shared" ref="F403:F466" si="48">IF(B403="","",IF(C403&gt;F402+D403,0,F402+D403-C403))</f>
        <v/>
      </c>
      <c r="G403" s="257" t="str">
        <f t="shared" ref="G403:G466" si="49">IF(B403="","",IF(C403&gt;D403+F402,G402+F402+D403-C403,G402))</f>
        <v/>
      </c>
      <c r="H403" s="257" t="str">
        <f t="shared" ref="H403:H466" si="50">IF(B403="","",G403+F403)</f>
        <v/>
      </c>
    </row>
    <row r="404" spans="1:8" x14ac:dyDescent="0.25">
      <c r="A404" s="254" t="str">
        <f t="shared" ca="1" si="46"/>
        <v/>
      </c>
      <c r="B404" s="255"/>
      <c r="C404" s="256"/>
      <c r="D404" s="257" t="str">
        <f t="shared" si="47"/>
        <v/>
      </c>
      <c r="F404" s="257" t="str">
        <f t="shared" si="48"/>
        <v/>
      </c>
      <c r="G404" s="257" t="str">
        <f t="shared" si="49"/>
        <v/>
      </c>
      <c r="H404" s="257" t="str">
        <f t="shared" si="50"/>
        <v/>
      </c>
    </row>
    <row r="405" spans="1:8" x14ac:dyDescent="0.25">
      <c r="A405" s="254" t="str">
        <f t="shared" ca="1" si="46"/>
        <v/>
      </c>
      <c r="B405" s="255"/>
      <c r="C405" s="256"/>
      <c r="D405" s="257" t="str">
        <f t="shared" si="47"/>
        <v/>
      </c>
      <c r="F405" s="257" t="str">
        <f t="shared" si="48"/>
        <v/>
      </c>
      <c r="G405" s="257" t="str">
        <f t="shared" si="49"/>
        <v/>
      </c>
      <c r="H405" s="257" t="str">
        <f t="shared" si="50"/>
        <v/>
      </c>
    </row>
    <row r="406" spans="1:8" x14ac:dyDescent="0.25">
      <c r="A406" s="254" t="str">
        <f t="shared" ca="1" si="46"/>
        <v/>
      </c>
      <c r="B406" s="255"/>
      <c r="C406" s="256"/>
      <c r="D406" s="257" t="str">
        <f t="shared" si="47"/>
        <v/>
      </c>
      <c r="F406" s="257" t="str">
        <f t="shared" si="48"/>
        <v/>
      </c>
      <c r="G406" s="257" t="str">
        <f t="shared" si="49"/>
        <v/>
      </c>
      <c r="H406" s="257" t="str">
        <f t="shared" si="50"/>
        <v/>
      </c>
    </row>
    <row r="407" spans="1:8" x14ac:dyDescent="0.25">
      <c r="A407" s="254" t="str">
        <f t="shared" ca="1" si="46"/>
        <v/>
      </c>
      <c r="B407" s="255"/>
      <c r="C407" s="256"/>
      <c r="D407" s="257" t="str">
        <f t="shared" si="47"/>
        <v/>
      </c>
      <c r="F407" s="257" t="str">
        <f t="shared" si="48"/>
        <v/>
      </c>
      <c r="G407" s="257" t="str">
        <f t="shared" si="49"/>
        <v/>
      </c>
      <c r="H407" s="257" t="str">
        <f t="shared" si="50"/>
        <v/>
      </c>
    </row>
    <row r="408" spans="1:8" x14ac:dyDescent="0.25">
      <c r="A408" s="254" t="str">
        <f t="shared" ca="1" si="46"/>
        <v/>
      </c>
      <c r="B408" s="255"/>
      <c r="C408" s="256"/>
      <c r="D408" s="257" t="str">
        <f t="shared" si="47"/>
        <v/>
      </c>
      <c r="F408" s="257" t="str">
        <f t="shared" si="48"/>
        <v/>
      </c>
      <c r="G408" s="257" t="str">
        <f t="shared" si="49"/>
        <v/>
      </c>
      <c r="H408" s="257" t="str">
        <f t="shared" si="50"/>
        <v/>
      </c>
    </row>
    <row r="409" spans="1:8" x14ac:dyDescent="0.25">
      <c r="A409" s="254" t="str">
        <f t="shared" ca="1" si="46"/>
        <v/>
      </c>
      <c r="B409" s="255"/>
      <c r="C409" s="256"/>
      <c r="D409" s="257" t="str">
        <f t="shared" si="47"/>
        <v/>
      </c>
      <c r="F409" s="257" t="str">
        <f t="shared" si="48"/>
        <v/>
      </c>
      <c r="G409" s="257" t="str">
        <f t="shared" si="49"/>
        <v/>
      </c>
      <c r="H409" s="257" t="str">
        <f t="shared" si="50"/>
        <v/>
      </c>
    </row>
    <row r="410" spans="1:8" x14ac:dyDescent="0.25">
      <c r="A410" s="254" t="str">
        <f t="shared" ca="1" si="46"/>
        <v/>
      </c>
      <c r="B410" s="255"/>
      <c r="C410" s="256"/>
      <c r="D410" s="257" t="str">
        <f t="shared" si="47"/>
        <v/>
      </c>
      <c r="F410" s="257" t="str">
        <f t="shared" si="48"/>
        <v/>
      </c>
      <c r="G410" s="257" t="str">
        <f t="shared" si="49"/>
        <v/>
      </c>
      <c r="H410" s="257" t="str">
        <f t="shared" si="50"/>
        <v/>
      </c>
    </row>
    <row r="411" spans="1:8" x14ac:dyDescent="0.25">
      <c r="A411" s="254" t="str">
        <f t="shared" ca="1" si="46"/>
        <v/>
      </c>
      <c r="B411" s="255"/>
      <c r="C411" s="256"/>
      <c r="D411" s="257" t="str">
        <f t="shared" si="47"/>
        <v/>
      </c>
      <c r="F411" s="257" t="str">
        <f t="shared" si="48"/>
        <v/>
      </c>
      <c r="G411" s="257" t="str">
        <f t="shared" si="49"/>
        <v/>
      </c>
      <c r="H411" s="257" t="str">
        <f t="shared" si="50"/>
        <v/>
      </c>
    </row>
    <row r="412" spans="1:8" x14ac:dyDescent="0.25">
      <c r="A412" s="254" t="str">
        <f t="shared" ca="1" si="46"/>
        <v/>
      </c>
      <c r="B412" s="255"/>
      <c r="C412" s="256"/>
      <c r="D412" s="257" t="str">
        <f t="shared" si="47"/>
        <v/>
      </c>
      <c r="F412" s="257" t="str">
        <f t="shared" si="48"/>
        <v/>
      </c>
      <c r="G412" s="257" t="str">
        <f t="shared" si="49"/>
        <v/>
      </c>
      <c r="H412" s="257" t="str">
        <f t="shared" si="50"/>
        <v/>
      </c>
    </row>
    <row r="413" spans="1:8" x14ac:dyDescent="0.25">
      <c r="A413" s="254" t="str">
        <f t="shared" ca="1" si="46"/>
        <v/>
      </c>
      <c r="B413" s="255"/>
      <c r="C413" s="256"/>
      <c r="D413" s="257" t="str">
        <f t="shared" si="47"/>
        <v/>
      </c>
      <c r="F413" s="257" t="str">
        <f t="shared" si="48"/>
        <v/>
      </c>
      <c r="G413" s="257" t="str">
        <f t="shared" si="49"/>
        <v/>
      </c>
      <c r="H413" s="257" t="str">
        <f t="shared" si="50"/>
        <v/>
      </c>
    </row>
    <row r="414" spans="1:8" x14ac:dyDescent="0.25">
      <c r="A414" s="254" t="str">
        <f t="shared" ca="1" si="46"/>
        <v/>
      </c>
      <c r="B414" s="255"/>
      <c r="C414" s="256"/>
      <c r="D414" s="257" t="str">
        <f t="shared" si="47"/>
        <v/>
      </c>
      <c r="F414" s="257" t="str">
        <f t="shared" si="48"/>
        <v/>
      </c>
      <c r="G414" s="257" t="str">
        <f t="shared" si="49"/>
        <v/>
      </c>
      <c r="H414" s="257" t="str">
        <f t="shared" si="50"/>
        <v/>
      </c>
    </row>
    <row r="415" spans="1:8" x14ac:dyDescent="0.25">
      <c r="A415" s="254" t="str">
        <f t="shared" ca="1" si="46"/>
        <v/>
      </c>
      <c r="B415" s="255"/>
      <c r="C415" s="256"/>
      <c r="D415" s="257" t="str">
        <f t="shared" si="47"/>
        <v/>
      </c>
      <c r="F415" s="257" t="str">
        <f t="shared" si="48"/>
        <v/>
      </c>
      <c r="G415" s="257" t="str">
        <f t="shared" si="49"/>
        <v/>
      </c>
      <c r="H415" s="257" t="str">
        <f t="shared" si="50"/>
        <v/>
      </c>
    </row>
    <row r="416" spans="1:8" x14ac:dyDescent="0.25">
      <c r="A416" s="254" t="str">
        <f t="shared" ca="1" si="46"/>
        <v/>
      </c>
      <c r="B416" s="255"/>
      <c r="C416" s="256"/>
      <c r="D416" s="257" t="str">
        <f t="shared" si="47"/>
        <v/>
      </c>
      <c r="F416" s="257" t="str">
        <f t="shared" si="48"/>
        <v/>
      </c>
      <c r="G416" s="257" t="str">
        <f t="shared" si="49"/>
        <v/>
      </c>
      <c r="H416" s="257" t="str">
        <f t="shared" si="50"/>
        <v/>
      </c>
    </row>
    <row r="417" spans="1:8" x14ac:dyDescent="0.25">
      <c r="A417" s="254" t="str">
        <f t="shared" ca="1" si="46"/>
        <v/>
      </c>
      <c r="B417" s="255"/>
      <c r="C417" s="256"/>
      <c r="D417" s="257" t="str">
        <f t="shared" si="47"/>
        <v/>
      </c>
      <c r="F417" s="257" t="str">
        <f t="shared" si="48"/>
        <v/>
      </c>
      <c r="G417" s="257" t="str">
        <f t="shared" si="49"/>
        <v/>
      </c>
      <c r="H417" s="257" t="str">
        <f t="shared" si="50"/>
        <v/>
      </c>
    </row>
    <row r="418" spans="1:8" x14ac:dyDescent="0.25">
      <c r="A418" s="254" t="str">
        <f t="shared" ca="1" si="46"/>
        <v/>
      </c>
      <c r="B418" s="255"/>
      <c r="C418" s="256"/>
      <c r="D418" s="257" t="str">
        <f t="shared" si="47"/>
        <v/>
      </c>
      <c r="F418" s="257" t="str">
        <f t="shared" si="48"/>
        <v/>
      </c>
      <c r="G418" s="257" t="str">
        <f t="shared" si="49"/>
        <v/>
      </c>
      <c r="H418" s="257" t="str">
        <f t="shared" si="50"/>
        <v/>
      </c>
    </row>
    <row r="419" spans="1:8" x14ac:dyDescent="0.25">
      <c r="A419" s="254" t="str">
        <f t="shared" ca="1" si="46"/>
        <v/>
      </c>
      <c r="B419" s="255"/>
      <c r="C419" s="256"/>
      <c r="D419" s="257" t="str">
        <f t="shared" si="47"/>
        <v/>
      </c>
      <c r="F419" s="257" t="str">
        <f t="shared" si="48"/>
        <v/>
      </c>
      <c r="G419" s="257" t="str">
        <f t="shared" si="49"/>
        <v/>
      </c>
      <c r="H419" s="257" t="str">
        <f t="shared" si="50"/>
        <v/>
      </c>
    </row>
    <row r="420" spans="1:8" x14ac:dyDescent="0.25">
      <c r="A420" s="254" t="str">
        <f t="shared" ca="1" si="46"/>
        <v/>
      </c>
      <c r="B420" s="255"/>
      <c r="C420" s="256"/>
      <c r="D420" s="257" t="str">
        <f t="shared" si="47"/>
        <v/>
      </c>
      <c r="F420" s="257" t="str">
        <f t="shared" si="48"/>
        <v/>
      </c>
      <c r="G420" s="257" t="str">
        <f t="shared" si="49"/>
        <v/>
      </c>
      <c r="H420" s="257" t="str">
        <f t="shared" si="50"/>
        <v/>
      </c>
    </row>
    <row r="421" spans="1:8" x14ac:dyDescent="0.25">
      <c r="A421" s="254" t="str">
        <f t="shared" ca="1" si="46"/>
        <v/>
      </c>
      <c r="B421" s="255"/>
      <c r="C421" s="256"/>
      <c r="D421" s="257" t="str">
        <f t="shared" si="47"/>
        <v/>
      </c>
      <c r="F421" s="257" t="str">
        <f t="shared" si="48"/>
        <v/>
      </c>
      <c r="G421" s="257" t="str">
        <f t="shared" si="49"/>
        <v/>
      </c>
      <c r="H421" s="257" t="str">
        <f t="shared" si="50"/>
        <v/>
      </c>
    </row>
    <row r="422" spans="1:8" x14ac:dyDescent="0.25">
      <c r="A422" s="254" t="str">
        <f t="shared" ca="1" si="46"/>
        <v/>
      </c>
      <c r="B422" s="255"/>
      <c r="C422" s="256"/>
      <c r="D422" s="257" t="str">
        <f t="shared" si="47"/>
        <v/>
      </c>
      <c r="F422" s="257" t="str">
        <f t="shared" si="48"/>
        <v/>
      </c>
      <c r="G422" s="257" t="str">
        <f t="shared" si="49"/>
        <v/>
      </c>
      <c r="H422" s="257" t="str">
        <f t="shared" si="50"/>
        <v/>
      </c>
    </row>
    <row r="423" spans="1:8" x14ac:dyDescent="0.25">
      <c r="A423" s="254" t="str">
        <f t="shared" ca="1" si="46"/>
        <v/>
      </c>
      <c r="B423" s="255"/>
      <c r="C423" s="256"/>
      <c r="D423" s="257" t="str">
        <f t="shared" si="47"/>
        <v/>
      </c>
      <c r="F423" s="257" t="str">
        <f t="shared" si="48"/>
        <v/>
      </c>
      <c r="G423" s="257" t="str">
        <f t="shared" si="49"/>
        <v/>
      </c>
      <c r="H423" s="257" t="str">
        <f t="shared" si="50"/>
        <v/>
      </c>
    </row>
    <row r="424" spans="1:8" x14ac:dyDescent="0.25">
      <c r="A424" s="254" t="str">
        <f t="shared" ca="1" si="46"/>
        <v/>
      </c>
      <c r="B424" s="255"/>
      <c r="C424" s="256"/>
      <c r="D424" s="257" t="str">
        <f t="shared" si="47"/>
        <v/>
      </c>
      <c r="F424" s="257" t="str">
        <f t="shared" si="48"/>
        <v/>
      </c>
      <c r="G424" s="257" t="str">
        <f t="shared" si="49"/>
        <v/>
      </c>
      <c r="H424" s="257" t="str">
        <f t="shared" si="50"/>
        <v/>
      </c>
    </row>
    <row r="425" spans="1:8" x14ac:dyDescent="0.25">
      <c r="A425" s="254" t="str">
        <f t="shared" ref="A425:A488" ca="1" si="51">IF(OR(H424&lt;=0,H424=""),"",OFFSET(A425,-1,0,1,1)+1)</f>
        <v/>
      </c>
      <c r="B425" s="255"/>
      <c r="C425" s="256"/>
      <c r="D425" s="257" t="str">
        <f t="shared" si="47"/>
        <v/>
      </c>
      <c r="F425" s="257" t="str">
        <f t="shared" si="48"/>
        <v/>
      </c>
      <c r="G425" s="257" t="str">
        <f t="shared" si="49"/>
        <v/>
      </c>
      <c r="H425" s="257" t="str">
        <f t="shared" si="50"/>
        <v/>
      </c>
    </row>
    <row r="426" spans="1:8" x14ac:dyDescent="0.25">
      <c r="A426" s="254" t="str">
        <f t="shared" ca="1" si="51"/>
        <v/>
      </c>
      <c r="B426" s="255"/>
      <c r="C426" s="256"/>
      <c r="D426" s="257" t="str">
        <f t="shared" si="47"/>
        <v/>
      </c>
      <c r="F426" s="257" t="str">
        <f t="shared" si="48"/>
        <v/>
      </c>
      <c r="G426" s="257" t="str">
        <f t="shared" si="49"/>
        <v/>
      </c>
      <c r="H426" s="257" t="str">
        <f t="shared" si="50"/>
        <v/>
      </c>
    </row>
    <row r="427" spans="1:8" x14ac:dyDescent="0.25">
      <c r="A427" s="254" t="str">
        <f t="shared" ca="1" si="51"/>
        <v/>
      </c>
      <c r="B427" s="255"/>
      <c r="C427" s="256"/>
      <c r="D427" s="257" t="str">
        <f t="shared" si="47"/>
        <v/>
      </c>
      <c r="F427" s="257" t="str">
        <f t="shared" si="48"/>
        <v/>
      </c>
      <c r="G427" s="257" t="str">
        <f t="shared" si="49"/>
        <v/>
      </c>
      <c r="H427" s="257" t="str">
        <f t="shared" si="50"/>
        <v/>
      </c>
    </row>
    <row r="428" spans="1:8" x14ac:dyDescent="0.25">
      <c r="A428" s="254" t="str">
        <f t="shared" ca="1" si="51"/>
        <v/>
      </c>
      <c r="B428" s="255"/>
      <c r="C428" s="256"/>
      <c r="D428" s="257" t="str">
        <f t="shared" si="47"/>
        <v/>
      </c>
      <c r="F428" s="257" t="str">
        <f t="shared" si="48"/>
        <v/>
      </c>
      <c r="G428" s="257" t="str">
        <f t="shared" si="49"/>
        <v/>
      </c>
      <c r="H428" s="257" t="str">
        <f t="shared" si="50"/>
        <v/>
      </c>
    </row>
    <row r="429" spans="1:8" x14ac:dyDescent="0.25">
      <c r="A429" s="254" t="str">
        <f t="shared" ca="1" si="51"/>
        <v/>
      </c>
      <c r="B429" s="255"/>
      <c r="C429" s="256"/>
      <c r="D429" s="257" t="str">
        <f t="shared" si="47"/>
        <v/>
      </c>
      <c r="F429" s="257" t="str">
        <f t="shared" si="48"/>
        <v/>
      </c>
      <c r="G429" s="257" t="str">
        <f t="shared" si="49"/>
        <v/>
      </c>
      <c r="H429" s="257" t="str">
        <f t="shared" si="50"/>
        <v/>
      </c>
    </row>
    <row r="430" spans="1:8" x14ac:dyDescent="0.25">
      <c r="A430" s="254" t="str">
        <f t="shared" ca="1" si="51"/>
        <v/>
      </c>
      <c r="B430" s="255"/>
      <c r="C430" s="256"/>
      <c r="D430" s="257" t="str">
        <f t="shared" si="47"/>
        <v/>
      </c>
      <c r="F430" s="257" t="str">
        <f t="shared" si="48"/>
        <v/>
      </c>
      <c r="G430" s="257" t="str">
        <f t="shared" si="49"/>
        <v/>
      </c>
      <c r="H430" s="257" t="str">
        <f t="shared" si="50"/>
        <v/>
      </c>
    </row>
    <row r="431" spans="1:8" x14ac:dyDescent="0.25">
      <c r="A431" s="254" t="str">
        <f t="shared" ca="1" si="51"/>
        <v/>
      </c>
      <c r="B431" s="255"/>
      <c r="C431" s="256"/>
      <c r="D431" s="257" t="str">
        <f t="shared" si="47"/>
        <v/>
      </c>
      <c r="F431" s="257" t="str">
        <f t="shared" si="48"/>
        <v/>
      </c>
      <c r="G431" s="257" t="str">
        <f t="shared" si="49"/>
        <v/>
      </c>
      <c r="H431" s="257" t="str">
        <f t="shared" si="50"/>
        <v/>
      </c>
    </row>
    <row r="432" spans="1:8" x14ac:dyDescent="0.25">
      <c r="A432" s="254" t="str">
        <f t="shared" ca="1" si="51"/>
        <v/>
      </c>
      <c r="B432" s="255"/>
      <c r="C432" s="256"/>
      <c r="D432" s="257" t="str">
        <f t="shared" si="47"/>
        <v/>
      </c>
      <c r="F432" s="257" t="str">
        <f t="shared" si="48"/>
        <v/>
      </c>
      <c r="G432" s="257" t="str">
        <f t="shared" si="49"/>
        <v/>
      </c>
      <c r="H432" s="257" t="str">
        <f t="shared" si="50"/>
        <v/>
      </c>
    </row>
    <row r="433" spans="1:8" x14ac:dyDescent="0.25">
      <c r="A433" s="254" t="str">
        <f t="shared" ca="1" si="51"/>
        <v/>
      </c>
      <c r="B433" s="255"/>
      <c r="C433" s="256"/>
      <c r="D433" s="257" t="str">
        <f t="shared" si="47"/>
        <v/>
      </c>
      <c r="F433" s="257" t="str">
        <f t="shared" si="48"/>
        <v/>
      </c>
      <c r="G433" s="257" t="str">
        <f t="shared" si="49"/>
        <v/>
      </c>
      <c r="H433" s="257" t="str">
        <f t="shared" si="50"/>
        <v/>
      </c>
    </row>
    <row r="434" spans="1:8" x14ac:dyDescent="0.25">
      <c r="A434" s="254" t="str">
        <f t="shared" ca="1" si="51"/>
        <v/>
      </c>
      <c r="B434" s="255"/>
      <c r="C434" s="256"/>
      <c r="D434" s="257" t="str">
        <f t="shared" si="47"/>
        <v/>
      </c>
      <c r="F434" s="257" t="str">
        <f t="shared" si="48"/>
        <v/>
      </c>
      <c r="G434" s="257" t="str">
        <f t="shared" si="49"/>
        <v/>
      </c>
      <c r="H434" s="257" t="str">
        <f t="shared" si="50"/>
        <v/>
      </c>
    </row>
    <row r="435" spans="1:8" x14ac:dyDescent="0.25">
      <c r="A435" s="254" t="str">
        <f t="shared" ca="1" si="51"/>
        <v/>
      </c>
      <c r="B435" s="255"/>
      <c r="C435" s="256"/>
      <c r="D435" s="257" t="str">
        <f t="shared" si="47"/>
        <v/>
      </c>
      <c r="F435" s="257" t="str">
        <f t="shared" si="48"/>
        <v/>
      </c>
      <c r="G435" s="257" t="str">
        <f t="shared" si="49"/>
        <v/>
      </c>
      <c r="H435" s="257" t="str">
        <f t="shared" si="50"/>
        <v/>
      </c>
    </row>
    <row r="436" spans="1:8" x14ac:dyDescent="0.25">
      <c r="A436" s="254" t="str">
        <f t="shared" ca="1" si="51"/>
        <v/>
      </c>
      <c r="B436" s="255"/>
      <c r="C436" s="256"/>
      <c r="D436" s="257" t="str">
        <f t="shared" si="47"/>
        <v/>
      </c>
      <c r="F436" s="257" t="str">
        <f t="shared" si="48"/>
        <v/>
      </c>
      <c r="G436" s="257" t="str">
        <f t="shared" si="49"/>
        <v/>
      </c>
      <c r="H436" s="257" t="str">
        <f t="shared" si="50"/>
        <v/>
      </c>
    </row>
    <row r="437" spans="1:8" x14ac:dyDescent="0.25">
      <c r="A437" s="254" t="str">
        <f t="shared" ca="1" si="51"/>
        <v/>
      </c>
      <c r="B437" s="255"/>
      <c r="C437" s="256"/>
      <c r="D437" s="257" t="str">
        <f t="shared" si="47"/>
        <v/>
      </c>
      <c r="F437" s="257" t="str">
        <f t="shared" si="48"/>
        <v/>
      </c>
      <c r="G437" s="257" t="str">
        <f t="shared" si="49"/>
        <v/>
      </c>
      <c r="H437" s="257" t="str">
        <f t="shared" si="50"/>
        <v/>
      </c>
    </row>
    <row r="438" spans="1:8" x14ac:dyDescent="0.25">
      <c r="A438" s="254" t="str">
        <f t="shared" ca="1" si="51"/>
        <v/>
      </c>
      <c r="B438" s="255"/>
      <c r="C438" s="256"/>
      <c r="D438" s="257" t="str">
        <f t="shared" si="47"/>
        <v/>
      </c>
      <c r="F438" s="257" t="str">
        <f t="shared" si="48"/>
        <v/>
      </c>
      <c r="G438" s="257" t="str">
        <f t="shared" si="49"/>
        <v/>
      </c>
      <c r="H438" s="257" t="str">
        <f t="shared" si="50"/>
        <v/>
      </c>
    </row>
    <row r="439" spans="1:8" x14ac:dyDescent="0.25">
      <c r="A439" s="254" t="str">
        <f t="shared" ca="1" si="51"/>
        <v/>
      </c>
      <c r="B439" s="255"/>
      <c r="C439" s="256"/>
      <c r="D439" s="257" t="str">
        <f t="shared" si="47"/>
        <v/>
      </c>
      <c r="F439" s="257" t="str">
        <f t="shared" si="48"/>
        <v/>
      </c>
      <c r="G439" s="257" t="str">
        <f t="shared" si="49"/>
        <v/>
      </c>
      <c r="H439" s="257" t="str">
        <f t="shared" si="50"/>
        <v/>
      </c>
    </row>
    <row r="440" spans="1:8" x14ac:dyDescent="0.25">
      <c r="A440" s="254" t="str">
        <f t="shared" ca="1" si="51"/>
        <v/>
      </c>
      <c r="B440" s="255"/>
      <c r="C440" s="256"/>
      <c r="D440" s="257" t="str">
        <f t="shared" si="47"/>
        <v/>
      </c>
      <c r="F440" s="257" t="str">
        <f t="shared" si="48"/>
        <v/>
      </c>
      <c r="G440" s="257" t="str">
        <f t="shared" si="49"/>
        <v/>
      </c>
      <c r="H440" s="257" t="str">
        <f t="shared" si="50"/>
        <v/>
      </c>
    </row>
    <row r="441" spans="1:8" x14ac:dyDescent="0.25">
      <c r="A441" s="254" t="str">
        <f t="shared" ca="1" si="51"/>
        <v/>
      </c>
      <c r="B441" s="255"/>
      <c r="C441" s="256"/>
      <c r="D441" s="257" t="str">
        <f t="shared" si="47"/>
        <v/>
      </c>
      <c r="F441" s="257" t="str">
        <f t="shared" si="48"/>
        <v/>
      </c>
      <c r="G441" s="257" t="str">
        <f t="shared" si="49"/>
        <v/>
      </c>
      <c r="H441" s="257" t="str">
        <f t="shared" si="50"/>
        <v/>
      </c>
    </row>
    <row r="442" spans="1:8" x14ac:dyDescent="0.25">
      <c r="A442" s="254" t="str">
        <f t="shared" ca="1" si="51"/>
        <v/>
      </c>
      <c r="B442" s="255"/>
      <c r="C442" s="256"/>
      <c r="D442" s="257" t="str">
        <f t="shared" si="47"/>
        <v/>
      </c>
      <c r="F442" s="257" t="str">
        <f t="shared" si="48"/>
        <v/>
      </c>
      <c r="G442" s="257" t="str">
        <f t="shared" si="49"/>
        <v/>
      </c>
      <c r="H442" s="257" t="str">
        <f t="shared" si="50"/>
        <v/>
      </c>
    </row>
    <row r="443" spans="1:8" x14ac:dyDescent="0.25">
      <c r="A443" s="254" t="str">
        <f t="shared" ca="1" si="51"/>
        <v/>
      </c>
      <c r="B443" s="255"/>
      <c r="C443" s="256"/>
      <c r="D443" s="257" t="str">
        <f t="shared" si="47"/>
        <v/>
      </c>
      <c r="F443" s="257" t="str">
        <f t="shared" si="48"/>
        <v/>
      </c>
      <c r="G443" s="257" t="str">
        <f t="shared" si="49"/>
        <v/>
      </c>
      <c r="H443" s="257" t="str">
        <f t="shared" si="50"/>
        <v/>
      </c>
    </row>
    <row r="444" spans="1:8" x14ac:dyDescent="0.25">
      <c r="A444" s="254" t="str">
        <f t="shared" ca="1" si="51"/>
        <v/>
      </c>
      <c r="B444" s="255"/>
      <c r="C444" s="256"/>
      <c r="D444" s="257" t="str">
        <f t="shared" si="47"/>
        <v/>
      </c>
      <c r="F444" s="257" t="str">
        <f t="shared" si="48"/>
        <v/>
      </c>
      <c r="G444" s="257" t="str">
        <f t="shared" si="49"/>
        <v/>
      </c>
      <c r="H444" s="257" t="str">
        <f t="shared" si="50"/>
        <v/>
      </c>
    </row>
    <row r="445" spans="1:8" x14ac:dyDescent="0.25">
      <c r="A445" s="254" t="str">
        <f t="shared" ca="1" si="51"/>
        <v/>
      </c>
      <c r="B445" s="255"/>
      <c r="C445" s="256"/>
      <c r="D445" s="257" t="str">
        <f t="shared" si="47"/>
        <v/>
      </c>
      <c r="F445" s="257" t="str">
        <f t="shared" si="48"/>
        <v/>
      </c>
      <c r="G445" s="257" t="str">
        <f t="shared" si="49"/>
        <v/>
      </c>
      <c r="H445" s="257" t="str">
        <f t="shared" si="50"/>
        <v/>
      </c>
    </row>
    <row r="446" spans="1:8" x14ac:dyDescent="0.25">
      <c r="A446" s="254" t="str">
        <f t="shared" ca="1" si="51"/>
        <v/>
      </c>
      <c r="B446" s="255"/>
      <c r="C446" s="256"/>
      <c r="D446" s="257" t="str">
        <f t="shared" si="47"/>
        <v/>
      </c>
      <c r="F446" s="257" t="str">
        <f t="shared" si="48"/>
        <v/>
      </c>
      <c r="G446" s="257" t="str">
        <f t="shared" si="49"/>
        <v/>
      </c>
      <c r="H446" s="257" t="str">
        <f t="shared" si="50"/>
        <v/>
      </c>
    </row>
    <row r="447" spans="1:8" x14ac:dyDescent="0.25">
      <c r="A447" s="254" t="str">
        <f t="shared" ca="1" si="51"/>
        <v/>
      </c>
      <c r="B447" s="255"/>
      <c r="C447" s="256"/>
      <c r="D447" s="257" t="str">
        <f t="shared" si="47"/>
        <v/>
      </c>
      <c r="F447" s="257" t="str">
        <f t="shared" si="48"/>
        <v/>
      </c>
      <c r="G447" s="257" t="str">
        <f t="shared" si="49"/>
        <v/>
      </c>
      <c r="H447" s="257" t="str">
        <f t="shared" si="50"/>
        <v/>
      </c>
    </row>
    <row r="448" spans="1:8" x14ac:dyDescent="0.25">
      <c r="A448" s="254" t="str">
        <f t="shared" ca="1" si="51"/>
        <v/>
      </c>
      <c r="B448" s="255"/>
      <c r="C448" s="256"/>
      <c r="D448" s="257" t="str">
        <f t="shared" si="47"/>
        <v/>
      </c>
      <c r="F448" s="257" t="str">
        <f t="shared" si="48"/>
        <v/>
      </c>
      <c r="G448" s="257" t="str">
        <f t="shared" si="49"/>
        <v/>
      </c>
      <c r="H448" s="257" t="str">
        <f t="shared" si="50"/>
        <v/>
      </c>
    </row>
    <row r="449" spans="1:8" x14ac:dyDescent="0.25">
      <c r="A449" s="254" t="str">
        <f t="shared" ca="1" si="51"/>
        <v/>
      </c>
      <c r="B449" s="255"/>
      <c r="C449" s="256"/>
      <c r="D449" s="257" t="str">
        <f t="shared" si="47"/>
        <v/>
      </c>
      <c r="F449" s="257" t="str">
        <f t="shared" si="48"/>
        <v/>
      </c>
      <c r="G449" s="257" t="str">
        <f t="shared" si="49"/>
        <v/>
      </c>
      <c r="H449" s="257" t="str">
        <f t="shared" si="50"/>
        <v/>
      </c>
    </row>
    <row r="450" spans="1:8" x14ac:dyDescent="0.25">
      <c r="A450" s="254" t="str">
        <f t="shared" ca="1" si="51"/>
        <v/>
      </c>
      <c r="B450" s="255"/>
      <c r="C450" s="256"/>
      <c r="D450" s="257" t="str">
        <f t="shared" si="47"/>
        <v/>
      </c>
      <c r="F450" s="257" t="str">
        <f t="shared" si="48"/>
        <v/>
      </c>
      <c r="G450" s="257" t="str">
        <f t="shared" si="49"/>
        <v/>
      </c>
      <c r="H450" s="257" t="str">
        <f t="shared" si="50"/>
        <v/>
      </c>
    </row>
    <row r="451" spans="1:8" x14ac:dyDescent="0.25">
      <c r="A451" s="254" t="str">
        <f t="shared" ca="1" si="51"/>
        <v/>
      </c>
      <c r="B451" s="255"/>
      <c r="C451" s="256"/>
      <c r="D451" s="257" t="str">
        <f t="shared" si="47"/>
        <v/>
      </c>
      <c r="F451" s="257" t="str">
        <f t="shared" si="48"/>
        <v/>
      </c>
      <c r="G451" s="257" t="str">
        <f t="shared" si="49"/>
        <v/>
      </c>
      <c r="H451" s="257" t="str">
        <f t="shared" si="50"/>
        <v/>
      </c>
    </row>
    <row r="452" spans="1:8" x14ac:dyDescent="0.25">
      <c r="A452" s="254" t="str">
        <f t="shared" ca="1" si="51"/>
        <v/>
      </c>
      <c r="B452" s="255"/>
      <c r="C452" s="256"/>
      <c r="D452" s="257" t="str">
        <f t="shared" si="47"/>
        <v/>
      </c>
      <c r="F452" s="257" t="str">
        <f t="shared" si="48"/>
        <v/>
      </c>
      <c r="G452" s="257" t="str">
        <f t="shared" si="49"/>
        <v/>
      </c>
      <c r="H452" s="257" t="str">
        <f t="shared" si="50"/>
        <v/>
      </c>
    </row>
    <row r="453" spans="1:8" x14ac:dyDescent="0.25">
      <c r="A453" s="254" t="str">
        <f t="shared" ca="1" si="51"/>
        <v/>
      </c>
      <c r="B453" s="255"/>
      <c r="C453" s="256"/>
      <c r="D453" s="257" t="str">
        <f t="shared" si="47"/>
        <v/>
      </c>
      <c r="F453" s="257" t="str">
        <f t="shared" si="48"/>
        <v/>
      </c>
      <c r="G453" s="257" t="str">
        <f t="shared" si="49"/>
        <v/>
      </c>
      <c r="H453" s="257" t="str">
        <f t="shared" si="50"/>
        <v/>
      </c>
    </row>
    <row r="454" spans="1:8" x14ac:dyDescent="0.25">
      <c r="A454" s="254" t="str">
        <f t="shared" ca="1" si="51"/>
        <v/>
      </c>
      <c r="B454" s="255"/>
      <c r="C454" s="256"/>
      <c r="D454" s="257" t="str">
        <f t="shared" si="47"/>
        <v/>
      </c>
      <c r="F454" s="257" t="str">
        <f t="shared" si="48"/>
        <v/>
      </c>
      <c r="G454" s="257" t="str">
        <f t="shared" si="49"/>
        <v/>
      </c>
      <c r="H454" s="257" t="str">
        <f t="shared" si="50"/>
        <v/>
      </c>
    </row>
    <row r="455" spans="1:8" x14ac:dyDescent="0.25">
      <c r="A455" s="254" t="str">
        <f t="shared" ca="1" si="51"/>
        <v/>
      </c>
      <c r="B455" s="255"/>
      <c r="C455" s="256"/>
      <c r="D455" s="257" t="str">
        <f t="shared" si="47"/>
        <v/>
      </c>
      <c r="F455" s="257" t="str">
        <f t="shared" si="48"/>
        <v/>
      </c>
      <c r="G455" s="257" t="str">
        <f t="shared" si="49"/>
        <v/>
      </c>
      <c r="H455" s="257" t="str">
        <f t="shared" si="50"/>
        <v/>
      </c>
    </row>
    <row r="456" spans="1:8" x14ac:dyDescent="0.25">
      <c r="A456" s="254" t="str">
        <f t="shared" ca="1" si="51"/>
        <v/>
      </c>
      <c r="B456" s="255"/>
      <c r="C456" s="256"/>
      <c r="D456" s="257" t="str">
        <f t="shared" si="47"/>
        <v/>
      </c>
      <c r="F456" s="257" t="str">
        <f t="shared" si="48"/>
        <v/>
      </c>
      <c r="G456" s="257" t="str">
        <f t="shared" si="49"/>
        <v/>
      </c>
      <c r="H456" s="257" t="str">
        <f t="shared" si="50"/>
        <v/>
      </c>
    </row>
    <row r="457" spans="1:8" x14ac:dyDescent="0.25">
      <c r="A457" s="254" t="str">
        <f t="shared" ca="1" si="51"/>
        <v/>
      </c>
      <c r="B457" s="255"/>
      <c r="C457" s="256"/>
      <c r="D457" s="257" t="str">
        <f t="shared" si="47"/>
        <v/>
      </c>
      <c r="F457" s="257" t="str">
        <f t="shared" si="48"/>
        <v/>
      </c>
      <c r="G457" s="257" t="str">
        <f t="shared" si="49"/>
        <v/>
      </c>
      <c r="H457" s="257" t="str">
        <f t="shared" si="50"/>
        <v/>
      </c>
    </row>
    <row r="458" spans="1:8" x14ac:dyDescent="0.25">
      <c r="A458" s="254" t="str">
        <f t="shared" ca="1" si="51"/>
        <v/>
      </c>
      <c r="B458" s="255"/>
      <c r="C458" s="256"/>
      <c r="D458" s="257" t="str">
        <f t="shared" si="47"/>
        <v/>
      </c>
      <c r="F458" s="257" t="str">
        <f t="shared" si="48"/>
        <v/>
      </c>
      <c r="G458" s="257" t="str">
        <f t="shared" si="49"/>
        <v/>
      </c>
      <c r="H458" s="257" t="str">
        <f t="shared" si="50"/>
        <v/>
      </c>
    </row>
    <row r="459" spans="1:8" x14ac:dyDescent="0.25">
      <c r="A459" s="254" t="str">
        <f t="shared" ca="1" si="51"/>
        <v/>
      </c>
      <c r="B459" s="255"/>
      <c r="C459" s="256"/>
      <c r="D459" s="257" t="str">
        <f t="shared" si="47"/>
        <v/>
      </c>
      <c r="F459" s="257" t="str">
        <f t="shared" si="48"/>
        <v/>
      </c>
      <c r="G459" s="257" t="str">
        <f t="shared" si="49"/>
        <v/>
      </c>
      <c r="H459" s="257" t="str">
        <f t="shared" si="50"/>
        <v/>
      </c>
    </row>
    <row r="460" spans="1:8" x14ac:dyDescent="0.25">
      <c r="A460" s="254" t="str">
        <f t="shared" ca="1" si="51"/>
        <v/>
      </c>
      <c r="B460" s="255"/>
      <c r="C460" s="256"/>
      <c r="D460" s="257" t="str">
        <f t="shared" si="47"/>
        <v/>
      </c>
      <c r="F460" s="257" t="str">
        <f t="shared" si="48"/>
        <v/>
      </c>
      <c r="G460" s="257" t="str">
        <f t="shared" si="49"/>
        <v/>
      </c>
      <c r="H460" s="257" t="str">
        <f t="shared" si="50"/>
        <v/>
      </c>
    </row>
    <row r="461" spans="1:8" x14ac:dyDescent="0.25">
      <c r="A461" s="254" t="str">
        <f t="shared" ca="1" si="51"/>
        <v/>
      </c>
      <c r="B461" s="255"/>
      <c r="C461" s="256"/>
      <c r="D461" s="257" t="str">
        <f t="shared" si="47"/>
        <v/>
      </c>
      <c r="F461" s="257" t="str">
        <f t="shared" si="48"/>
        <v/>
      </c>
      <c r="G461" s="257" t="str">
        <f t="shared" si="49"/>
        <v/>
      </c>
      <c r="H461" s="257" t="str">
        <f t="shared" si="50"/>
        <v/>
      </c>
    </row>
    <row r="462" spans="1:8" x14ac:dyDescent="0.25">
      <c r="A462" s="254" t="str">
        <f t="shared" ca="1" si="51"/>
        <v/>
      </c>
      <c r="B462" s="255"/>
      <c r="C462" s="256"/>
      <c r="D462" s="257" t="str">
        <f t="shared" si="47"/>
        <v/>
      </c>
      <c r="F462" s="257" t="str">
        <f t="shared" si="48"/>
        <v/>
      </c>
      <c r="G462" s="257" t="str">
        <f t="shared" si="49"/>
        <v/>
      </c>
      <c r="H462" s="257" t="str">
        <f t="shared" si="50"/>
        <v/>
      </c>
    </row>
    <row r="463" spans="1:8" x14ac:dyDescent="0.25">
      <c r="A463" s="254" t="str">
        <f t="shared" ca="1" si="51"/>
        <v/>
      </c>
      <c r="B463" s="255"/>
      <c r="C463" s="256"/>
      <c r="D463" s="257" t="str">
        <f t="shared" si="47"/>
        <v/>
      </c>
      <c r="F463" s="257" t="str">
        <f t="shared" si="48"/>
        <v/>
      </c>
      <c r="G463" s="257" t="str">
        <f t="shared" si="49"/>
        <v/>
      </c>
      <c r="H463" s="257" t="str">
        <f t="shared" si="50"/>
        <v/>
      </c>
    </row>
    <row r="464" spans="1:8" x14ac:dyDescent="0.25">
      <c r="A464" s="254" t="str">
        <f t="shared" ca="1" si="51"/>
        <v/>
      </c>
      <c r="B464" s="255"/>
      <c r="C464" s="256"/>
      <c r="D464" s="257" t="str">
        <f t="shared" si="47"/>
        <v/>
      </c>
      <c r="F464" s="257" t="str">
        <f t="shared" si="48"/>
        <v/>
      </c>
      <c r="G464" s="257" t="str">
        <f t="shared" si="49"/>
        <v/>
      </c>
      <c r="H464" s="257" t="str">
        <f t="shared" si="50"/>
        <v/>
      </c>
    </row>
    <row r="465" spans="1:8" x14ac:dyDescent="0.25">
      <c r="A465" s="254" t="str">
        <f t="shared" ca="1" si="51"/>
        <v/>
      </c>
      <c r="B465" s="255"/>
      <c r="C465" s="256"/>
      <c r="D465" s="257" t="str">
        <f t="shared" si="47"/>
        <v/>
      </c>
      <c r="F465" s="257" t="str">
        <f t="shared" si="48"/>
        <v/>
      </c>
      <c r="G465" s="257" t="str">
        <f t="shared" si="49"/>
        <v/>
      </c>
      <c r="H465" s="257" t="str">
        <f t="shared" si="50"/>
        <v/>
      </c>
    </row>
    <row r="466" spans="1:8" x14ac:dyDescent="0.25">
      <c r="A466" s="254" t="str">
        <f t="shared" ca="1" si="51"/>
        <v/>
      </c>
      <c r="B466" s="255"/>
      <c r="C466" s="256"/>
      <c r="D466" s="257" t="str">
        <f t="shared" si="47"/>
        <v/>
      </c>
      <c r="F466" s="257" t="str">
        <f t="shared" si="48"/>
        <v/>
      </c>
      <c r="G466" s="257" t="str">
        <f t="shared" si="49"/>
        <v/>
      </c>
      <c r="H466" s="257" t="str">
        <f t="shared" si="50"/>
        <v/>
      </c>
    </row>
    <row r="467" spans="1:8" x14ac:dyDescent="0.25">
      <c r="A467" s="254" t="str">
        <f t="shared" ca="1" si="51"/>
        <v/>
      </c>
      <c r="B467" s="255"/>
      <c r="C467" s="256"/>
      <c r="D467" s="257" t="str">
        <f t="shared" ref="D467:D530" si="52">IF(B467="","",ROUND((B467-B466)*$H$9*G466,2))</f>
        <v/>
      </c>
      <c r="F467" s="257" t="str">
        <f t="shared" ref="F467:F530" si="53">IF(B467="","",IF(C467&gt;F466+D467,0,F466+D467-C467))</f>
        <v/>
      </c>
      <c r="G467" s="257" t="str">
        <f t="shared" ref="G467:G530" si="54">IF(B467="","",IF(C467&gt;D467+F466,G466+F466+D467-C467,G466))</f>
        <v/>
      </c>
      <c r="H467" s="257" t="str">
        <f t="shared" ref="H467:H530" si="55">IF(B467="","",G467+F467)</f>
        <v/>
      </c>
    </row>
    <row r="468" spans="1:8" x14ac:dyDescent="0.25">
      <c r="A468" s="254" t="str">
        <f t="shared" ca="1" si="51"/>
        <v/>
      </c>
      <c r="B468" s="255"/>
      <c r="C468" s="256"/>
      <c r="D468" s="257" t="str">
        <f t="shared" si="52"/>
        <v/>
      </c>
      <c r="F468" s="257" t="str">
        <f t="shared" si="53"/>
        <v/>
      </c>
      <c r="G468" s="257" t="str">
        <f t="shared" si="54"/>
        <v/>
      </c>
      <c r="H468" s="257" t="str">
        <f t="shared" si="55"/>
        <v/>
      </c>
    </row>
    <row r="469" spans="1:8" x14ac:dyDescent="0.25">
      <c r="A469" s="254" t="str">
        <f t="shared" ca="1" si="51"/>
        <v/>
      </c>
      <c r="B469" s="255"/>
      <c r="C469" s="256"/>
      <c r="D469" s="257" t="str">
        <f t="shared" si="52"/>
        <v/>
      </c>
      <c r="F469" s="257" t="str">
        <f t="shared" si="53"/>
        <v/>
      </c>
      <c r="G469" s="257" t="str">
        <f t="shared" si="54"/>
        <v/>
      </c>
      <c r="H469" s="257" t="str">
        <f t="shared" si="55"/>
        <v/>
      </c>
    </row>
    <row r="470" spans="1:8" x14ac:dyDescent="0.25">
      <c r="A470" s="254" t="str">
        <f t="shared" ca="1" si="51"/>
        <v/>
      </c>
      <c r="B470" s="255"/>
      <c r="C470" s="256"/>
      <c r="D470" s="257" t="str">
        <f t="shared" si="52"/>
        <v/>
      </c>
      <c r="F470" s="257" t="str">
        <f t="shared" si="53"/>
        <v/>
      </c>
      <c r="G470" s="257" t="str">
        <f t="shared" si="54"/>
        <v/>
      </c>
      <c r="H470" s="257" t="str">
        <f t="shared" si="55"/>
        <v/>
      </c>
    </row>
    <row r="471" spans="1:8" x14ac:dyDescent="0.25">
      <c r="A471" s="254" t="str">
        <f t="shared" ca="1" si="51"/>
        <v/>
      </c>
      <c r="B471" s="255"/>
      <c r="C471" s="256"/>
      <c r="D471" s="257" t="str">
        <f t="shared" si="52"/>
        <v/>
      </c>
      <c r="F471" s="257" t="str">
        <f t="shared" si="53"/>
        <v/>
      </c>
      <c r="G471" s="257" t="str">
        <f t="shared" si="54"/>
        <v/>
      </c>
      <c r="H471" s="257" t="str">
        <f t="shared" si="55"/>
        <v/>
      </c>
    </row>
    <row r="472" spans="1:8" x14ac:dyDescent="0.25">
      <c r="A472" s="254" t="str">
        <f t="shared" ca="1" si="51"/>
        <v/>
      </c>
      <c r="B472" s="255"/>
      <c r="C472" s="256"/>
      <c r="D472" s="257" t="str">
        <f t="shared" si="52"/>
        <v/>
      </c>
      <c r="F472" s="257" t="str">
        <f t="shared" si="53"/>
        <v/>
      </c>
      <c r="G472" s="257" t="str">
        <f t="shared" si="54"/>
        <v/>
      </c>
      <c r="H472" s="257" t="str">
        <f t="shared" si="55"/>
        <v/>
      </c>
    </row>
    <row r="473" spans="1:8" x14ac:dyDescent="0.25">
      <c r="A473" s="254" t="str">
        <f t="shared" ca="1" si="51"/>
        <v/>
      </c>
      <c r="B473" s="255"/>
      <c r="C473" s="256"/>
      <c r="D473" s="257" t="str">
        <f t="shared" si="52"/>
        <v/>
      </c>
      <c r="F473" s="257" t="str">
        <f t="shared" si="53"/>
        <v/>
      </c>
      <c r="G473" s="257" t="str">
        <f t="shared" si="54"/>
        <v/>
      </c>
      <c r="H473" s="257" t="str">
        <f t="shared" si="55"/>
        <v/>
      </c>
    </row>
    <row r="474" spans="1:8" x14ac:dyDescent="0.25">
      <c r="A474" s="254" t="str">
        <f t="shared" ca="1" si="51"/>
        <v/>
      </c>
      <c r="B474" s="255"/>
      <c r="C474" s="256"/>
      <c r="D474" s="257" t="str">
        <f t="shared" si="52"/>
        <v/>
      </c>
      <c r="F474" s="257" t="str">
        <f t="shared" si="53"/>
        <v/>
      </c>
      <c r="G474" s="257" t="str">
        <f t="shared" si="54"/>
        <v/>
      </c>
      <c r="H474" s="257" t="str">
        <f t="shared" si="55"/>
        <v/>
      </c>
    </row>
    <row r="475" spans="1:8" x14ac:dyDescent="0.25">
      <c r="A475" s="254" t="str">
        <f t="shared" ca="1" si="51"/>
        <v/>
      </c>
      <c r="B475" s="255"/>
      <c r="C475" s="256"/>
      <c r="D475" s="257" t="str">
        <f t="shared" si="52"/>
        <v/>
      </c>
      <c r="F475" s="257" t="str">
        <f t="shared" si="53"/>
        <v/>
      </c>
      <c r="G475" s="257" t="str">
        <f t="shared" si="54"/>
        <v/>
      </c>
      <c r="H475" s="257" t="str">
        <f t="shared" si="55"/>
        <v/>
      </c>
    </row>
    <row r="476" spans="1:8" x14ac:dyDescent="0.25">
      <c r="A476" s="254" t="str">
        <f t="shared" ca="1" si="51"/>
        <v/>
      </c>
      <c r="B476" s="255"/>
      <c r="C476" s="256"/>
      <c r="D476" s="257" t="str">
        <f t="shared" si="52"/>
        <v/>
      </c>
      <c r="F476" s="257" t="str">
        <f t="shared" si="53"/>
        <v/>
      </c>
      <c r="G476" s="257" t="str">
        <f t="shared" si="54"/>
        <v/>
      </c>
      <c r="H476" s="257" t="str">
        <f t="shared" si="55"/>
        <v/>
      </c>
    </row>
    <row r="477" spans="1:8" x14ac:dyDescent="0.25">
      <c r="A477" s="254" t="str">
        <f t="shared" ca="1" si="51"/>
        <v/>
      </c>
      <c r="B477" s="255"/>
      <c r="C477" s="256"/>
      <c r="D477" s="257" t="str">
        <f t="shared" si="52"/>
        <v/>
      </c>
      <c r="F477" s="257" t="str">
        <f t="shared" si="53"/>
        <v/>
      </c>
      <c r="G477" s="257" t="str">
        <f t="shared" si="54"/>
        <v/>
      </c>
      <c r="H477" s="257" t="str">
        <f t="shared" si="55"/>
        <v/>
      </c>
    </row>
    <row r="478" spans="1:8" x14ac:dyDescent="0.25">
      <c r="A478" s="254" t="str">
        <f t="shared" ca="1" si="51"/>
        <v/>
      </c>
      <c r="B478" s="255"/>
      <c r="C478" s="256"/>
      <c r="D478" s="257" t="str">
        <f t="shared" si="52"/>
        <v/>
      </c>
      <c r="F478" s="257" t="str">
        <f t="shared" si="53"/>
        <v/>
      </c>
      <c r="G478" s="257" t="str">
        <f t="shared" si="54"/>
        <v/>
      </c>
      <c r="H478" s="257" t="str">
        <f t="shared" si="55"/>
        <v/>
      </c>
    </row>
    <row r="479" spans="1:8" x14ac:dyDescent="0.25">
      <c r="A479" s="254" t="str">
        <f t="shared" ca="1" si="51"/>
        <v/>
      </c>
      <c r="B479" s="255"/>
      <c r="C479" s="256"/>
      <c r="D479" s="257" t="str">
        <f t="shared" si="52"/>
        <v/>
      </c>
      <c r="F479" s="257" t="str">
        <f t="shared" si="53"/>
        <v/>
      </c>
      <c r="G479" s="257" t="str">
        <f t="shared" si="54"/>
        <v/>
      </c>
      <c r="H479" s="257" t="str">
        <f t="shared" si="55"/>
        <v/>
      </c>
    </row>
    <row r="480" spans="1:8" x14ac:dyDescent="0.25">
      <c r="A480" s="254" t="str">
        <f t="shared" ca="1" si="51"/>
        <v/>
      </c>
      <c r="B480" s="255"/>
      <c r="C480" s="256"/>
      <c r="D480" s="257" t="str">
        <f t="shared" si="52"/>
        <v/>
      </c>
      <c r="F480" s="257" t="str">
        <f t="shared" si="53"/>
        <v/>
      </c>
      <c r="G480" s="257" t="str">
        <f t="shared" si="54"/>
        <v/>
      </c>
      <c r="H480" s="257" t="str">
        <f t="shared" si="55"/>
        <v/>
      </c>
    </row>
    <row r="481" spans="1:8" x14ac:dyDescent="0.25">
      <c r="A481" s="254" t="str">
        <f t="shared" ca="1" si="51"/>
        <v/>
      </c>
      <c r="B481" s="255"/>
      <c r="C481" s="256"/>
      <c r="D481" s="257" t="str">
        <f t="shared" si="52"/>
        <v/>
      </c>
      <c r="F481" s="257" t="str">
        <f t="shared" si="53"/>
        <v/>
      </c>
      <c r="G481" s="257" t="str">
        <f t="shared" si="54"/>
        <v/>
      </c>
      <c r="H481" s="257" t="str">
        <f t="shared" si="55"/>
        <v/>
      </c>
    </row>
    <row r="482" spans="1:8" x14ac:dyDescent="0.25">
      <c r="A482" s="254" t="str">
        <f t="shared" ca="1" si="51"/>
        <v/>
      </c>
      <c r="B482" s="255"/>
      <c r="C482" s="256"/>
      <c r="D482" s="257" t="str">
        <f t="shared" si="52"/>
        <v/>
      </c>
      <c r="F482" s="257" t="str">
        <f t="shared" si="53"/>
        <v/>
      </c>
      <c r="G482" s="257" t="str">
        <f t="shared" si="54"/>
        <v/>
      </c>
      <c r="H482" s="257" t="str">
        <f t="shared" si="55"/>
        <v/>
      </c>
    </row>
    <row r="483" spans="1:8" x14ac:dyDescent="0.25">
      <c r="A483" s="254" t="str">
        <f t="shared" ca="1" si="51"/>
        <v/>
      </c>
      <c r="B483" s="255"/>
      <c r="C483" s="256"/>
      <c r="D483" s="257" t="str">
        <f t="shared" si="52"/>
        <v/>
      </c>
      <c r="F483" s="257" t="str">
        <f t="shared" si="53"/>
        <v/>
      </c>
      <c r="G483" s="257" t="str">
        <f t="shared" si="54"/>
        <v/>
      </c>
      <c r="H483" s="257" t="str">
        <f t="shared" si="55"/>
        <v/>
      </c>
    </row>
    <row r="484" spans="1:8" x14ac:dyDescent="0.25">
      <c r="A484" s="254" t="str">
        <f t="shared" ca="1" si="51"/>
        <v/>
      </c>
      <c r="B484" s="255"/>
      <c r="C484" s="256"/>
      <c r="D484" s="257" t="str">
        <f t="shared" si="52"/>
        <v/>
      </c>
      <c r="F484" s="257" t="str">
        <f t="shared" si="53"/>
        <v/>
      </c>
      <c r="G484" s="257" t="str">
        <f t="shared" si="54"/>
        <v/>
      </c>
      <c r="H484" s="257" t="str">
        <f t="shared" si="55"/>
        <v/>
      </c>
    </row>
    <row r="485" spans="1:8" x14ac:dyDescent="0.25">
      <c r="A485" s="254" t="str">
        <f t="shared" ca="1" si="51"/>
        <v/>
      </c>
      <c r="B485" s="255"/>
      <c r="C485" s="256"/>
      <c r="D485" s="257" t="str">
        <f t="shared" si="52"/>
        <v/>
      </c>
      <c r="F485" s="257" t="str">
        <f t="shared" si="53"/>
        <v/>
      </c>
      <c r="G485" s="257" t="str">
        <f t="shared" si="54"/>
        <v/>
      </c>
      <c r="H485" s="257" t="str">
        <f t="shared" si="55"/>
        <v/>
      </c>
    </row>
    <row r="486" spans="1:8" x14ac:dyDescent="0.25">
      <c r="A486" s="254" t="str">
        <f t="shared" ca="1" si="51"/>
        <v/>
      </c>
      <c r="B486" s="255"/>
      <c r="C486" s="256"/>
      <c r="D486" s="257" t="str">
        <f t="shared" si="52"/>
        <v/>
      </c>
      <c r="F486" s="257" t="str">
        <f t="shared" si="53"/>
        <v/>
      </c>
      <c r="G486" s="257" t="str">
        <f t="shared" si="54"/>
        <v/>
      </c>
      <c r="H486" s="257" t="str">
        <f t="shared" si="55"/>
        <v/>
      </c>
    </row>
    <row r="487" spans="1:8" x14ac:dyDescent="0.25">
      <c r="A487" s="254" t="str">
        <f t="shared" ca="1" si="51"/>
        <v/>
      </c>
      <c r="B487" s="255"/>
      <c r="C487" s="256"/>
      <c r="D487" s="257" t="str">
        <f t="shared" si="52"/>
        <v/>
      </c>
      <c r="F487" s="257" t="str">
        <f t="shared" si="53"/>
        <v/>
      </c>
      <c r="G487" s="257" t="str">
        <f t="shared" si="54"/>
        <v/>
      </c>
      <c r="H487" s="257" t="str">
        <f t="shared" si="55"/>
        <v/>
      </c>
    </row>
    <row r="488" spans="1:8" x14ac:dyDescent="0.25">
      <c r="A488" s="254" t="str">
        <f t="shared" ca="1" si="51"/>
        <v/>
      </c>
      <c r="B488" s="255"/>
      <c r="C488" s="256"/>
      <c r="D488" s="257" t="str">
        <f t="shared" si="52"/>
        <v/>
      </c>
      <c r="F488" s="257" t="str">
        <f t="shared" si="53"/>
        <v/>
      </c>
      <c r="G488" s="257" t="str">
        <f t="shared" si="54"/>
        <v/>
      </c>
      <c r="H488" s="257" t="str">
        <f t="shared" si="55"/>
        <v/>
      </c>
    </row>
    <row r="489" spans="1:8" x14ac:dyDescent="0.25">
      <c r="A489" s="254" t="str">
        <f t="shared" ref="A489:A552" ca="1" si="56">IF(OR(H488&lt;=0,H488=""),"",OFFSET(A489,-1,0,1,1)+1)</f>
        <v/>
      </c>
      <c r="B489" s="255"/>
      <c r="C489" s="256"/>
      <c r="D489" s="257" t="str">
        <f t="shared" si="52"/>
        <v/>
      </c>
      <c r="F489" s="257" t="str">
        <f t="shared" si="53"/>
        <v/>
      </c>
      <c r="G489" s="257" t="str">
        <f t="shared" si="54"/>
        <v/>
      </c>
      <c r="H489" s="257" t="str">
        <f t="shared" si="55"/>
        <v/>
      </c>
    </row>
    <row r="490" spans="1:8" x14ac:dyDescent="0.25">
      <c r="A490" s="254" t="str">
        <f t="shared" ca="1" si="56"/>
        <v/>
      </c>
      <c r="B490" s="255"/>
      <c r="C490" s="256"/>
      <c r="D490" s="257" t="str">
        <f t="shared" si="52"/>
        <v/>
      </c>
      <c r="F490" s="257" t="str">
        <f t="shared" si="53"/>
        <v/>
      </c>
      <c r="G490" s="257" t="str">
        <f t="shared" si="54"/>
        <v/>
      </c>
      <c r="H490" s="257" t="str">
        <f t="shared" si="55"/>
        <v/>
      </c>
    </row>
    <row r="491" spans="1:8" x14ac:dyDescent="0.25">
      <c r="A491" s="254" t="str">
        <f t="shared" ca="1" si="56"/>
        <v/>
      </c>
      <c r="B491" s="255"/>
      <c r="C491" s="256"/>
      <c r="D491" s="257" t="str">
        <f t="shared" si="52"/>
        <v/>
      </c>
      <c r="F491" s="257" t="str">
        <f t="shared" si="53"/>
        <v/>
      </c>
      <c r="G491" s="257" t="str">
        <f t="shared" si="54"/>
        <v/>
      </c>
      <c r="H491" s="257" t="str">
        <f t="shared" si="55"/>
        <v/>
      </c>
    </row>
    <row r="492" spans="1:8" x14ac:dyDescent="0.25">
      <c r="A492" s="254" t="str">
        <f t="shared" ca="1" si="56"/>
        <v/>
      </c>
      <c r="B492" s="255"/>
      <c r="C492" s="256"/>
      <c r="D492" s="257" t="str">
        <f t="shared" si="52"/>
        <v/>
      </c>
      <c r="F492" s="257" t="str">
        <f t="shared" si="53"/>
        <v/>
      </c>
      <c r="G492" s="257" t="str">
        <f t="shared" si="54"/>
        <v/>
      </c>
      <c r="H492" s="257" t="str">
        <f t="shared" si="55"/>
        <v/>
      </c>
    </row>
    <row r="493" spans="1:8" x14ac:dyDescent="0.25">
      <c r="A493" s="254" t="str">
        <f t="shared" ca="1" si="56"/>
        <v/>
      </c>
      <c r="B493" s="255"/>
      <c r="C493" s="256"/>
      <c r="D493" s="257" t="str">
        <f t="shared" si="52"/>
        <v/>
      </c>
      <c r="F493" s="257" t="str">
        <f t="shared" si="53"/>
        <v/>
      </c>
      <c r="G493" s="257" t="str">
        <f t="shared" si="54"/>
        <v/>
      </c>
      <c r="H493" s="257" t="str">
        <f t="shared" si="55"/>
        <v/>
      </c>
    </row>
    <row r="494" spans="1:8" x14ac:dyDescent="0.25">
      <c r="A494" s="254" t="str">
        <f t="shared" ca="1" si="56"/>
        <v/>
      </c>
      <c r="B494" s="255"/>
      <c r="C494" s="256"/>
      <c r="D494" s="257" t="str">
        <f t="shared" si="52"/>
        <v/>
      </c>
      <c r="F494" s="257" t="str">
        <f t="shared" si="53"/>
        <v/>
      </c>
      <c r="G494" s="257" t="str">
        <f t="shared" si="54"/>
        <v/>
      </c>
      <c r="H494" s="257" t="str">
        <f t="shared" si="55"/>
        <v/>
      </c>
    </row>
    <row r="495" spans="1:8" x14ac:dyDescent="0.25">
      <c r="A495" s="254" t="str">
        <f t="shared" ca="1" si="56"/>
        <v/>
      </c>
      <c r="B495" s="255"/>
      <c r="C495" s="256"/>
      <c r="D495" s="257" t="str">
        <f t="shared" si="52"/>
        <v/>
      </c>
      <c r="F495" s="257" t="str">
        <f t="shared" si="53"/>
        <v/>
      </c>
      <c r="G495" s="257" t="str">
        <f t="shared" si="54"/>
        <v/>
      </c>
      <c r="H495" s="257" t="str">
        <f t="shared" si="55"/>
        <v/>
      </c>
    </row>
    <row r="496" spans="1:8" x14ac:dyDescent="0.25">
      <c r="A496" s="254" t="str">
        <f t="shared" ca="1" si="56"/>
        <v/>
      </c>
      <c r="B496" s="255"/>
      <c r="C496" s="256"/>
      <c r="D496" s="257" t="str">
        <f t="shared" si="52"/>
        <v/>
      </c>
      <c r="F496" s="257" t="str">
        <f t="shared" si="53"/>
        <v/>
      </c>
      <c r="G496" s="257" t="str">
        <f t="shared" si="54"/>
        <v/>
      </c>
      <c r="H496" s="257" t="str">
        <f t="shared" si="55"/>
        <v/>
      </c>
    </row>
    <row r="497" spans="1:8" x14ac:dyDescent="0.25">
      <c r="A497" s="254" t="str">
        <f t="shared" ca="1" si="56"/>
        <v/>
      </c>
      <c r="B497" s="255"/>
      <c r="C497" s="256"/>
      <c r="D497" s="257" t="str">
        <f t="shared" si="52"/>
        <v/>
      </c>
      <c r="F497" s="257" t="str">
        <f t="shared" si="53"/>
        <v/>
      </c>
      <c r="G497" s="257" t="str">
        <f t="shared" si="54"/>
        <v/>
      </c>
      <c r="H497" s="257" t="str">
        <f t="shared" si="55"/>
        <v/>
      </c>
    </row>
    <row r="498" spans="1:8" x14ac:dyDescent="0.25">
      <c r="A498" s="254" t="str">
        <f t="shared" ca="1" si="56"/>
        <v/>
      </c>
      <c r="B498" s="255"/>
      <c r="C498" s="256"/>
      <c r="D498" s="257" t="str">
        <f t="shared" si="52"/>
        <v/>
      </c>
      <c r="F498" s="257" t="str">
        <f t="shared" si="53"/>
        <v/>
      </c>
      <c r="G498" s="257" t="str">
        <f t="shared" si="54"/>
        <v/>
      </c>
      <c r="H498" s="257" t="str">
        <f t="shared" si="55"/>
        <v/>
      </c>
    </row>
    <row r="499" spans="1:8" x14ac:dyDescent="0.25">
      <c r="A499" s="254" t="str">
        <f t="shared" ca="1" si="56"/>
        <v/>
      </c>
      <c r="B499" s="255"/>
      <c r="C499" s="256"/>
      <c r="D499" s="257" t="str">
        <f t="shared" si="52"/>
        <v/>
      </c>
      <c r="F499" s="257" t="str">
        <f t="shared" si="53"/>
        <v/>
      </c>
      <c r="G499" s="257" t="str">
        <f t="shared" si="54"/>
        <v/>
      </c>
      <c r="H499" s="257" t="str">
        <f t="shared" si="55"/>
        <v/>
      </c>
    </row>
    <row r="500" spans="1:8" x14ac:dyDescent="0.25">
      <c r="A500" s="254" t="str">
        <f t="shared" ca="1" si="56"/>
        <v/>
      </c>
      <c r="B500" s="255"/>
      <c r="C500" s="256"/>
      <c r="D500" s="257" t="str">
        <f t="shared" si="52"/>
        <v/>
      </c>
      <c r="F500" s="257" t="str">
        <f t="shared" si="53"/>
        <v/>
      </c>
      <c r="G500" s="257" t="str">
        <f t="shared" si="54"/>
        <v/>
      </c>
      <c r="H500" s="257" t="str">
        <f t="shared" si="55"/>
        <v/>
      </c>
    </row>
    <row r="501" spans="1:8" x14ac:dyDescent="0.25">
      <c r="A501" s="254" t="str">
        <f t="shared" ca="1" si="56"/>
        <v/>
      </c>
      <c r="B501" s="255"/>
      <c r="C501" s="256"/>
      <c r="D501" s="257" t="str">
        <f t="shared" si="52"/>
        <v/>
      </c>
      <c r="F501" s="257" t="str">
        <f t="shared" si="53"/>
        <v/>
      </c>
      <c r="G501" s="257" t="str">
        <f t="shared" si="54"/>
        <v/>
      </c>
      <c r="H501" s="257" t="str">
        <f t="shared" si="55"/>
        <v/>
      </c>
    </row>
    <row r="502" spans="1:8" x14ac:dyDescent="0.25">
      <c r="A502" s="254" t="str">
        <f t="shared" ca="1" si="56"/>
        <v/>
      </c>
      <c r="B502" s="255"/>
      <c r="C502" s="256"/>
      <c r="D502" s="257" t="str">
        <f t="shared" si="52"/>
        <v/>
      </c>
      <c r="F502" s="257" t="str">
        <f t="shared" si="53"/>
        <v/>
      </c>
      <c r="G502" s="257" t="str">
        <f t="shared" si="54"/>
        <v/>
      </c>
      <c r="H502" s="257" t="str">
        <f t="shared" si="55"/>
        <v/>
      </c>
    </row>
    <row r="503" spans="1:8" x14ac:dyDescent="0.25">
      <c r="A503" s="254" t="str">
        <f t="shared" ca="1" si="56"/>
        <v/>
      </c>
      <c r="B503" s="255"/>
      <c r="C503" s="256"/>
      <c r="D503" s="257" t="str">
        <f t="shared" si="52"/>
        <v/>
      </c>
      <c r="F503" s="257" t="str">
        <f t="shared" si="53"/>
        <v/>
      </c>
      <c r="G503" s="257" t="str">
        <f t="shared" si="54"/>
        <v/>
      </c>
      <c r="H503" s="257" t="str">
        <f t="shared" si="55"/>
        <v/>
      </c>
    </row>
    <row r="504" spans="1:8" x14ac:dyDescent="0.25">
      <c r="A504" s="254" t="str">
        <f t="shared" ca="1" si="56"/>
        <v/>
      </c>
      <c r="B504" s="255"/>
      <c r="C504" s="256"/>
      <c r="D504" s="257" t="str">
        <f t="shared" si="52"/>
        <v/>
      </c>
      <c r="F504" s="257" t="str">
        <f t="shared" si="53"/>
        <v/>
      </c>
      <c r="G504" s="257" t="str">
        <f t="shared" si="54"/>
        <v/>
      </c>
      <c r="H504" s="257" t="str">
        <f t="shared" si="55"/>
        <v/>
      </c>
    </row>
    <row r="505" spans="1:8" x14ac:dyDescent="0.25">
      <c r="A505" s="254" t="str">
        <f t="shared" ca="1" si="56"/>
        <v/>
      </c>
      <c r="B505" s="255"/>
      <c r="C505" s="256"/>
      <c r="D505" s="257" t="str">
        <f t="shared" si="52"/>
        <v/>
      </c>
      <c r="F505" s="257" t="str">
        <f t="shared" si="53"/>
        <v/>
      </c>
      <c r="G505" s="257" t="str">
        <f t="shared" si="54"/>
        <v/>
      </c>
      <c r="H505" s="257" t="str">
        <f t="shared" si="55"/>
        <v/>
      </c>
    </row>
    <row r="506" spans="1:8" x14ac:dyDescent="0.25">
      <c r="A506" s="254" t="str">
        <f t="shared" ca="1" si="56"/>
        <v/>
      </c>
      <c r="B506" s="255"/>
      <c r="C506" s="256"/>
      <c r="D506" s="257" t="str">
        <f t="shared" si="52"/>
        <v/>
      </c>
      <c r="F506" s="257" t="str">
        <f t="shared" si="53"/>
        <v/>
      </c>
      <c r="G506" s="257" t="str">
        <f t="shared" si="54"/>
        <v/>
      </c>
      <c r="H506" s="257" t="str">
        <f t="shared" si="55"/>
        <v/>
      </c>
    </row>
    <row r="507" spans="1:8" x14ac:dyDescent="0.25">
      <c r="A507" s="254" t="str">
        <f t="shared" ca="1" si="56"/>
        <v/>
      </c>
      <c r="B507" s="255"/>
      <c r="C507" s="256"/>
      <c r="D507" s="257" t="str">
        <f t="shared" si="52"/>
        <v/>
      </c>
      <c r="F507" s="257" t="str">
        <f t="shared" si="53"/>
        <v/>
      </c>
      <c r="G507" s="257" t="str">
        <f t="shared" si="54"/>
        <v/>
      </c>
      <c r="H507" s="257" t="str">
        <f t="shared" si="55"/>
        <v/>
      </c>
    </row>
    <row r="508" spans="1:8" x14ac:dyDescent="0.25">
      <c r="A508" s="254" t="str">
        <f t="shared" ca="1" si="56"/>
        <v/>
      </c>
      <c r="B508" s="255"/>
      <c r="C508" s="256"/>
      <c r="D508" s="257" t="str">
        <f t="shared" si="52"/>
        <v/>
      </c>
      <c r="F508" s="257" t="str">
        <f t="shared" si="53"/>
        <v/>
      </c>
      <c r="G508" s="257" t="str">
        <f t="shared" si="54"/>
        <v/>
      </c>
      <c r="H508" s="257" t="str">
        <f t="shared" si="55"/>
        <v/>
      </c>
    </row>
    <row r="509" spans="1:8" x14ac:dyDescent="0.25">
      <c r="A509" s="254" t="str">
        <f t="shared" ca="1" si="56"/>
        <v/>
      </c>
      <c r="B509" s="255"/>
      <c r="C509" s="256"/>
      <c r="D509" s="257" t="str">
        <f t="shared" si="52"/>
        <v/>
      </c>
      <c r="F509" s="257" t="str">
        <f t="shared" si="53"/>
        <v/>
      </c>
      <c r="G509" s="257" t="str">
        <f t="shared" si="54"/>
        <v/>
      </c>
      <c r="H509" s="257" t="str">
        <f t="shared" si="55"/>
        <v/>
      </c>
    </row>
    <row r="510" spans="1:8" x14ac:dyDescent="0.25">
      <c r="A510" s="254" t="str">
        <f t="shared" ca="1" si="56"/>
        <v/>
      </c>
      <c r="B510" s="255"/>
      <c r="C510" s="256"/>
      <c r="D510" s="257" t="str">
        <f t="shared" si="52"/>
        <v/>
      </c>
      <c r="F510" s="257" t="str">
        <f t="shared" si="53"/>
        <v/>
      </c>
      <c r="G510" s="257" t="str">
        <f t="shared" si="54"/>
        <v/>
      </c>
      <c r="H510" s="257" t="str">
        <f t="shared" si="55"/>
        <v/>
      </c>
    </row>
    <row r="511" spans="1:8" x14ac:dyDescent="0.25">
      <c r="A511" s="254" t="str">
        <f t="shared" ca="1" si="56"/>
        <v/>
      </c>
      <c r="B511" s="255"/>
      <c r="C511" s="256"/>
      <c r="D511" s="257" t="str">
        <f t="shared" si="52"/>
        <v/>
      </c>
      <c r="F511" s="257" t="str">
        <f t="shared" si="53"/>
        <v/>
      </c>
      <c r="G511" s="257" t="str">
        <f t="shared" si="54"/>
        <v/>
      </c>
      <c r="H511" s="257" t="str">
        <f t="shared" si="55"/>
        <v/>
      </c>
    </row>
    <row r="512" spans="1:8" x14ac:dyDescent="0.25">
      <c r="A512" s="254" t="str">
        <f t="shared" ca="1" si="56"/>
        <v/>
      </c>
      <c r="B512" s="255"/>
      <c r="C512" s="256"/>
      <c r="D512" s="257" t="str">
        <f t="shared" si="52"/>
        <v/>
      </c>
      <c r="F512" s="257" t="str">
        <f t="shared" si="53"/>
        <v/>
      </c>
      <c r="G512" s="257" t="str">
        <f t="shared" si="54"/>
        <v/>
      </c>
      <c r="H512" s="257" t="str">
        <f t="shared" si="55"/>
        <v/>
      </c>
    </row>
    <row r="513" spans="1:8" x14ac:dyDescent="0.25">
      <c r="A513" s="254" t="str">
        <f t="shared" ca="1" si="56"/>
        <v/>
      </c>
      <c r="B513" s="255"/>
      <c r="C513" s="256"/>
      <c r="D513" s="257" t="str">
        <f t="shared" si="52"/>
        <v/>
      </c>
      <c r="F513" s="257" t="str">
        <f t="shared" si="53"/>
        <v/>
      </c>
      <c r="G513" s="257" t="str">
        <f t="shared" si="54"/>
        <v/>
      </c>
      <c r="H513" s="257" t="str">
        <f t="shared" si="55"/>
        <v/>
      </c>
    </row>
    <row r="514" spans="1:8" x14ac:dyDescent="0.25">
      <c r="A514" s="254" t="str">
        <f t="shared" ca="1" si="56"/>
        <v/>
      </c>
      <c r="B514" s="255"/>
      <c r="C514" s="256"/>
      <c r="D514" s="257" t="str">
        <f t="shared" si="52"/>
        <v/>
      </c>
      <c r="F514" s="257" t="str">
        <f t="shared" si="53"/>
        <v/>
      </c>
      <c r="G514" s="257" t="str">
        <f t="shared" si="54"/>
        <v/>
      </c>
      <c r="H514" s="257" t="str">
        <f t="shared" si="55"/>
        <v/>
      </c>
    </row>
    <row r="515" spans="1:8" x14ac:dyDescent="0.25">
      <c r="A515" s="254" t="str">
        <f t="shared" ca="1" si="56"/>
        <v/>
      </c>
      <c r="B515" s="255"/>
      <c r="C515" s="256"/>
      <c r="D515" s="257" t="str">
        <f t="shared" si="52"/>
        <v/>
      </c>
      <c r="F515" s="257" t="str">
        <f t="shared" si="53"/>
        <v/>
      </c>
      <c r="G515" s="257" t="str">
        <f t="shared" si="54"/>
        <v/>
      </c>
      <c r="H515" s="257" t="str">
        <f t="shared" si="55"/>
        <v/>
      </c>
    </row>
    <row r="516" spans="1:8" x14ac:dyDescent="0.25">
      <c r="A516" s="254" t="str">
        <f t="shared" ca="1" si="56"/>
        <v/>
      </c>
      <c r="B516" s="255"/>
      <c r="C516" s="256"/>
      <c r="D516" s="257" t="str">
        <f t="shared" si="52"/>
        <v/>
      </c>
      <c r="F516" s="257" t="str">
        <f t="shared" si="53"/>
        <v/>
      </c>
      <c r="G516" s="257" t="str">
        <f t="shared" si="54"/>
        <v/>
      </c>
      <c r="H516" s="257" t="str">
        <f t="shared" si="55"/>
        <v/>
      </c>
    </row>
    <row r="517" spans="1:8" x14ac:dyDescent="0.25">
      <c r="A517" s="254" t="str">
        <f t="shared" ca="1" si="56"/>
        <v/>
      </c>
      <c r="B517" s="255"/>
      <c r="C517" s="256"/>
      <c r="D517" s="257" t="str">
        <f t="shared" si="52"/>
        <v/>
      </c>
      <c r="F517" s="257" t="str">
        <f t="shared" si="53"/>
        <v/>
      </c>
      <c r="G517" s="257" t="str">
        <f t="shared" si="54"/>
        <v/>
      </c>
      <c r="H517" s="257" t="str">
        <f t="shared" si="55"/>
        <v/>
      </c>
    </row>
    <row r="518" spans="1:8" x14ac:dyDescent="0.25">
      <c r="A518" s="254" t="str">
        <f t="shared" ca="1" si="56"/>
        <v/>
      </c>
      <c r="B518" s="255"/>
      <c r="C518" s="256"/>
      <c r="D518" s="257" t="str">
        <f t="shared" si="52"/>
        <v/>
      </c>
      <c r="F518" s="257" t="str">
        <f t="shared" si="53"/>
        <v/>
      </c>
      <c r="G518" s="257" t="str">
        <f t="shared" si="54"/>
        <v/>
      </c>
      <c r="H518" s="257" t="str">
        <f t="shared" si="55"/>
        <v/>
      </c>
    </row>
    <row r="519" spans="1:8" x14ac:dyDescent="0.25">
      <c r="A519" s="254" t="str">
        <f t="shared" ca="1" si="56"/>
        <v/>
      </c>
      <c r="B519" s="255"/>
      <c r="C519" s="256"/>
      <c r="D519" s="257" t="str">
        <f t="shared" si="52"/>
        <v/>
      </c>
      <c r="F519" s="257" t="str">
        <f t="shared" si="53"/>
        <v/>
      </c>
      <c r="G519" s="257" t="str">
        <f t="shared" si="54"/>
        <v/>
      </c>
      <c r="H519" s="257" t="str">
        <f t="shared" si="55"/>
        <v/>
      </c>
    </row>
    <row r="520" spans="1:8" x14ac:dyDescent="0.25">
      <c r="A520" s="254" t="str">
        <f t="shared" ca="1" si="56"/>
        <v/>
      </c>
      <c r="B520" s="255"/>
      <c r="C520" s="256"/>
      <c r="D520" s="257" t="str">
        <f t="shared" si="52"/>
        <v/>
      </c>
      <c r="F520" s="257" t="str">
        <f t="shared" si="53"/>
        <v/>
      </c>
      <c r="G520" s="257" t="str">
        <f t="shared" si="54"/>
        <v/>
      </c>
      <c r="H520" s="257" t="str">
        <f t="shared" si="55"/>
        <v/>
      </c>
    </row>
    <row r="521" spans="1:8" x14ac:dyDescent="0.25">
      <c r="A521" s="254" t="str">
        <f t="shared" ca="1" si="56"/>
        <v/>
      </c>
      <c r="B521" s="255"/>
      <c r="C521" s="256"/>
      <c r="D521" s="257" t="str">
        <f t="shared" si="52"/>
        <v/>
      </c>
      <c r="F521" s="257" t="str">
        <f t="shared" si="53"/>
        <v/>
      </c>
      <c r="G521" s="257" t="str">
        <f t="shared" si="54"/>
        <v/>
      </c>
      <c r="H521" s="257" t="str">
        <f t="shared" si="55"/>
        <v/>
      </c>
    </row>
    <row r="522" spans="1:8" x14ac:dyDescent="0.25">
      <c r="A522" s="254" t="str">
        <f t="shared" ca="1" si="56"/>
        <v/>
      </c>
      <c r="B522" s="255"/>
      <c r="C522" s="256"/>
      <c r="D522" s="257" t="str">
        <f t="shared" si="52"/>
        <v/>
      </c>
      <c r="F522" s="257" t="str">
        <f t="shared" si="53"/>
        <v/>
      </c>
      <c r="G522" s="257" t="str">
        <f t="shared" si="54"/>
        <v/>
      </c>
      <c r="H522" s="257" t="str">
        <f t="shared" si="55"/>
        <v/>
      </c>
    </row>
    <row r="523" spans="1:8" x14ac:dyDescent="0.25">
      <c r="A523" s="254" t="str">
        <f t="shared" ca="1" si="56"/>
        <v/>
      </c>
      <c r="B523" s="255"/>
      <c r="C523" s="256"/>
      <c r="D523" s="257" t="str">
        <f t="shared" si="52"/>
        <v/>
      </c>
      <c r="F523" s="257" t="str">
        <f t="shared" si="53"/>
        <v/>
      </c>
      <c r="G523" s="257" t="str">
        <f t="shared" si="54"/>
        <v/>
      </c>
      <c r="H523" s="257" t="str">
        <f t="shared" si="55"/>
        <v/>
      </c>
    </row>
    <row r="524" spans="1:8" x14ac:dyDescent="0.25">
      <c r="A524" s="254" t="str">
        <f t="shared" ca="1" si="56"/>
        <v/>
      </c>
      <c r="B524" s="255"/>
      <c r="C524" s="256"/>
      <c r="D524" s="257" t="str">
        <f t="shared" si="52"/>
        <v/>
      </c>
      <c r="F524" s="257" t="str">
        <f t="shared" si="53"/>
        <v/>
      </c>
      <c r="G524" s="257" t="str">
        <f t="shared" si="54"/>
        <v/>
      </c>
      <c r="H524" s="257" t="str">
        <f t="shared" si="55"/>
        <v/>
      </c>
    </row>
    <row r="525" spans="1:8" x14ac:dyDescent="0.25">
      <c r="A525" s="254" t="str">
        <f t="shared" ca="1" si="56"/>
        <v/>
      </c>
      <c r="B525" s="255"/>
      <c r="C525" s="256"/>
      <c r="D525" s="257" t="str">
        <f t="shared" si="52"/>
        <v/>
      </c>
      <c r="F525" s="257" t="str">
        <f t="shared" si="53"/>
        <v/>
      </c>
      <c r="G525" s="257" t="str">
        <f t="shared" si="54"/>
        <v/>
      </c>
      <c r="H525" s="257" t="str">
        <f t="shared" si="55"/>
        <v/>
      </c>
    </row>
    <row r="526" spans="1:8" x14ac:dyDescent="0.25">
      <c r="A526" s="254" t="str">
        <f t="shared" ca="1" si="56"/>
        <v/>
      </c>
      <c r="B526" s="255"/>
      <c r="C526" s="256"/>
      <c r="D526" s="257" t="str">
        <f t="shared" si="52"/>
        <v/>
      </c>
      <c r="F526" s="257" t="str">
        <f t="shared" si="53"/>
        <v/>
      </c>
      <c r="G526" s="257" t="str">
        <f t="shared" si="54"/>
        <v/>
      </c>
      <c r="H526" s="257" t="str">
        <f t="shared" si="55"/>
        <v/>
      </c>
    </row>
    <row r="527" spans="1:8" x14ac:dyDescent="0.25">
      <c r="A527" s="254" t="str">
        <f t="shared" ca="1" si="56"/>
        <v/>
      </c>
      <c r="B527" s="255"/>
      <c r="C527" s="256"/>
      <c r="D527" s="257" t="str">
        <f t="shared" si="52"/>
        <v/>
      </c>
      <c r="F527" s="257" t="str">
        <f t="shared" si="53"/>
        <v/>
      </c>
      <c r="G527" s="257" t="str">
        <f t="shared" si="54"/>
        <v/>
      </c>
      <c r="H527" s="257" t="str">
        <f t="shared" si="55"/>
        <v/>
      </c>
    </row>
    <row r="528" spans="1:8" x14ac:dyDescent="0.25">
      <c r="A528" s="254" t="str">
        <f t="shared" ca="1" si="56"/>
        <v/>
      </c>
      <c r="B528" s="255"/>
      <c r="C528" s="256"/>
      <c r="D528" s="257" t="str">
        <f t="shared" si="52"/>
        <v/>
      </c>
      <c r="F528" s="257" t="str">
        <f t="shared" si="53"/>
        <v/>
      </c>
      <c r="G528" s="257" t="str">
        <f t="shared" si="54"/>
        <v/>
      </c>
      <c r="H528" s="257" t="str">
        <f t="shared" si="55"/>
        <v/>
      </c>
    </row>
    <row r="529" spans="1:8" x14ac:dyDescent="0.25">
      <c r="A529" s="254" t="str">
        <f t="shared" ca="1" si="56"/>
        <v/>
      </c>
      <c r="B529" s="255"/>
      <c r="C529" s="256"/>
      <c r="D529" s="257" t="str">
        <f t="shared" si="52"/>
        <v/>
      </c>
      <c r="F529" s="257" t="str">
        <f t="shared" si="53"/>
        <v/>
      </c>
      <c r="G529" s="257" t="str">
        <f t="shared" si="54"/>
        <v/>
      </c>
      <c r="H529" s="257" t="str">
        <f t="shared" si="55"/>
        <v/>
      </c>
    </row>
    <row r="530" spans="1:8" x14ac:dyDescent="0.25">
      <c r="A530" s="254" t="str">
        <f t="shared" ca="1" si="56"/>
        <v/>
      </c>
      <c r="B530" s="255"/>
      <c r="C530" s="256"/>
      <c r="D530" s="257" t="str">
        <f t="shared" si="52"/>
        <v/>
      </c>
      <c r="F530" s="257" t="str">
        <f t="shared" si="53"/>
        <v/>
      </c>
      <c r="G530" s="257" t="str">
        <f t="shared" si="54"/>
        <v/>
      </c>
      <c r="H530" s="257" t="str">
        <f t="shared" si="55"/>
        <v/>
      </c>
    </row>
    <row r="531" spans="1:8" x14ac:dyDescent="0.25">
      <c r="A531" s="254" t="str">
        <f t="shared" ca="1" si="56"/>
        <v/>
      </c>
      <c r="B531" s="255"/>
      <c r="C531" s="256"/>
      <c r="D531" s="257" t="str">
        <f t="shared" ref="D531:D594" si="57">IF(B531="","",ROUND((B531-B530)*$H$9*G530,2))</f>
        <v/>
      </c>
      <c r="F531" s="257" t="str">
        <f t="shared" ref="F531:F594" si="58">IF(B531="","",IF(C531&gt;F530+D531,0,F530+D531-C531))</f>
        <v/>
      </c>
      <c r="G531" s="257" t="str">
        <f t="shared" ref="G531:G594" si="59">IF(B531="","",IF(C531&gt;D531+F530,G530+F530+D531-C531,G530))</f>
        <v/>
      </c>
      <c r="H531" s="257" t="str">
        <f t="shared" ref="H531:H594" si="60">IF(B531="","",G531+F531)</f>
        <v/>
      </c>
    </row>
    <row r="532" spans="1:8" x14ac:dyDescent="0.25">
      <c r="A532" s="254" t="str">
        <f t="shared" ca="1" si="56"/>
        <v/>
      </c>
      <c r="B532" s="255"/>
      <c r="C532" s="256"/>
      <c r="D532" s="257" t="str">
        <f t="shared" si="57"/>
        <v/>
      </c>
      <c r="F532" s="257" t="str">
        <f t="shared" si="58"/>
        <v/>
      </c>
      <c r="G532" s="257" t="str">
        <f t="shared" si="59"/>
        <v/>
      </c>
      <c r="H532" s="257" t="str">
        <f t="shared" si="60"/>
        <v/>
      </c>
    </row>
    <row r="533" spans="1:8" x14ac:dyDescent="0.25">
      <c r="A533" s="254" t="str">
        <f t="shared" ca="1" si="56"/>
        <v/>
      </c>
      <c r="B533" s="255"/>
      <c r="C533" s="256"/>
      <c r="D533" s="257" t="str">
        <f t="shared" si="57"/>
        <v/>
      </c>
      <c r="F533" s="257" t="str">
        <f t="shared" si="58"/>
        <v/>
      </c>
      <c r="G533" s="257" t="str">
        <f t="shared" si="59"/>
        <v/>
      </c>
      <c r="H533" s="257" t="str">
        <f t="shared" si="60"/>
        <v/>
      </c>
    </row>
    <row r="534" spans="1:8" x14ac:dyDescent="0.25">
      <c r="A534" s="254" t="str">
        <f t="shared" ca="1" si="56"/>
        <v/>
      </c>
      <c r="B534" s="255"/>
      <c r="C534" s="256"/>
      <c r="D534" s="257" t="str">
        <f t="shared" si="57"/>
        <v/>
      </c>
      <c r="F534" s="257" t="str">
        <f t="shared" si="58"/>
        <v/>
      </c>
      <c r="G534" s="257" t="str">
        <f t="shared" si="59"/>
        <v/>
      </c>
      <c r="H534" s="257" t="str">
        <f t="shared" si="60"/>
        <v/>
      </c>
    </row>
    <row r="535" spans="1:8" x14ac:dyDescent="0.25">
      <c r="A535" s="254" t="str">
        <f t="shared" ca="1" si="56"/>
        <v/>
      </c>
      <c r="B535" s="255"/>
      <c r="C535" s="256"/>
      <c r="D535" s="257" t="str">
        <f t="shared" si="57"/>
        <v/>
      </c>
      <c r="F535" s="257" t="str">
        <f t="shared" si="58"/>
        <v/>
      </c>
      <c r="G535" s="257" t="str">
        <f t="shared" si="59"/>
        <v/>
      </c>
      <c r="H535" s="257" t="str">
        <f t="shared" si="60"/>
        <v/>
      </c>
    </row>
    <row r="536" spans="1:8" x14ac:dyDescent="0.25">
      <c r="A536" s="254" t="str">
        <f t="shared" ca="1" si="56"/>
        <v/>
      </c>
      <c r="B536" s="255"/>
      <c r="C536" s="256"/>
      <c r="D536" s="257" t="str">
        <f t="shared" si="57"/>
        <v/>
      </c>
      <c r="F536" s="257" t="str">
        <f t="shared" si="58"/>
        <v/>
      </c>
      <c r="G536" s="257" t="str">
        <f t="shared" si="59"/>
        <v/>
      </c>
      <c r="H536" s="257" t="str">
        <f t="shared" si="60"/>
        <v/>
      </c>
    </row>
    <row r="537" spans="1:8" x14ac:dyDescent="0.25">
      <c r="A537" s="254" t="str">
        <f t="shared" ca="1" si="56"/>
        <v/>
      </c>
      <c r="B537" s="255"/>
      <c r="C537" s="256"/>
      <c r="D537" s="257" t="str">
        <f t="shared" si="57"/>
        <v/>
      </c>
      <c r="F537" s="257" t="str">
        <f t="shared" si="58"/>
        <v/>
      </c>
      <c r="G537" s="257" t="str">
        <f t="shared" si="59"/>
        <v/>
      </c>
      <c r="H537" s="257" t="str">
        <f t="shared" si="60"/>
        <v/>
      </c>
    </row>
    <row r="538" spans="1:8" x14ac:dyDescent="0.25">
      <c r="A538" s="254" t="str">
        <f t="shared" ca="1" si="56"/>
        <v/>
      </c>
      <c r="B538" s="255"/>
      <c r="C538" s="256"/>
      <c r="D538" s="257" t="str">
        <f t="shared" si="57"/>
        <v/>
      </c>
      <c r="F538" s="257" t="str">
        <f t="shared" si="58"/>
        <v/>
      </c>
      <c r="G538" s="257" t="str">
        <f t="shared" si="59"/>
        <v/>
      </c>
      <c r="H538" s="257" t="str">
        <f t="shared" si="60"/>
        <v/>
      </c>
    </row>
    <row r="539" spans="1:8" x14ac:dyDescent="0.25">
      <c r="A539" s="254" t="str">
        <f t="shared" ca="1" si="56"/>
        <v/>
      </c>
      <c r="B539" s="255"/>
      <c r="C539" s="256"/>
      <c r="D539" s="257" t="str">
        <f t="shared" si="57"/>
        <v/>
      </c>
      <c r="F539" s="257" t="str">
        <f t="shared" si="58"/>
        <v/>
      </c>
      <c r="G539" s="257" t="str">
        <f t="shared" si="59"/>
        <v/>
      </c>
      <c r="H539" s="257" t="str">
        <f t="shared" si="60"/>
        <v/>
      </c>
    </row>
    <row r="540" spans="1:8" x14ac:dyDescent="0.25">
      <c r="A540" s="254" t="str">
        <f t="shared" ca="1" si="56"/>
        <v/>
      </c>
      <c r="B540" s="255"/>
      <c r="C540" s="256"/>
      <c r="D540" s="257" t="str">
        <f t="shared" si="57"/>
        <v/>
      </c>
      <c r="F540" s="257" t="str">
        <f t="shared" si="58"/>
        <v/>
      </c>
      <c r="G540" s="257" t="str">
        <f t="shared" si="59"/>
        <v/>
      </c>
      <c r="H540" s="257" t="str">
        <f t="shared" si="60"/>
        <v/>
      </c>
    </row>
    <row r="541" spans="1:8" x14ac:dyDescent="0.25">
      <c r="A541" s="254" t="str">
        <f t="shared" ca="1" si="56"/>
        <v/>
      </c>
      <c r="B541" s="255"/>
      <c r="C541" s="256"/>
      <c r="D541" s="257" t="str">
        <f t="shared" si="57"/>
        <v/>
      </c>
      <c r="F541" s="257" t="str">
        <f t="shared" si="58"/>
        <v/>
      </c>
      <c r="G541" s="257" t="str">
        <f t="shared" si="59"/>
        <v/>
      </c>
      <c r="H541" s="257" t="str">
        <f t="shared" si="60"/>
        <v/>
      </c>
    </row>
    <row r="542" spans="1:8" x14ac:dyDescent="0.25">
      <c r="A542" s="254" t="str">
        <f t="shared" ca="1" si="56"/>
        <v/>
      </c>
      <c r="B542" s="255"/>
      <c r="C542" s="256"/>
      <c r="D542" s="257" t="str">
        <f t="shared" si="57"/>
        <v/>
      </c>
      <c r="F542" s="257" t="str">
        <f t="shared" si="58"/>
        <v/>
      </c>
      <c r="G542" s="257" t="str">
        <f t="shared" si="59"/>
        <v/>
      </c>
      <c r="H542" s="257" t="str">
        <f t="shared" si="60"/>
        <v/>
      </c>
    </row>
    <row r="543" spans="1:8" x14ac:dyDescent="0.25">
      <c r="A543" s="254" t="str">
        <f t="shared" ca="1" si="56"/>
        <v/>
      </c>
      <c r="B543" s="255"/>
      <c r="C543" s="256"/>
      <c r="D543" s="257" t="str">
        <f t="shared" si="57"/>
        <v/>
      </c>
      <c r="F543" s="257" t="str">
        <f t="shared" si="58"/>
        <v/>
      </c>
      <c r="G543" s="257" t="str">
        <f t="shared" si="59"/>
        <v/>
      </c>
      <c r="H543" s="257" t="str">
        <f t="shared" si="60"/>
        <v/>
      </c>
    </row>
    <row r="544" spans="1:8" x14ac:dyDescent="0.25">
      <c r="A544" s="254" t="str">
        <f t="shared" ca="1" si="56"/>
        <v/>
      </c>
      <c r="B544" s="255"/>
      <c r="C544" s="256"/>
      <c r="D544" s="257" t="str">
        <f t="shared" si="57"/>
        <v/>
      </c>
      <c r="F544" s="257" t="str">
        <f t="shared" si="58"/>
        <v/>
      </c>
      <c r="G544" s="257" t="str">
        <f t="shared" si="59"/>
        <v/>
      </c>
      <c r="H544" s="257" t="str">
        <f t="shared" si="60"/>
        <v/>
      </c>
    </row>
    <row r="545" spans="1:8" x14ac:dyDescent="0.25">
      <c r="A545" s="254" t="str">
        <f t="shared" ca="1" si="56"/>
        <v/>
      </c>
      <c r="B545" s="255"/>
      <c r="C545" s="256"/>
      <c r="D545" s="257" t="str">
        <f t="shared" si="57"/>
        <v/>
      </c>
      <c r="F545" s="257" t="str">
        <f t="shared" si="58"/>
        <v/>
      </c>
      <c r="G545" s="257" t="str">
        <f t="shared" si="59"/>
        <v/>
      </c>
      <c r="H545" s="257" t="str">
        <f t="shared" si="60"/>
        <v/>
      </c>
    </row>
    <row r="546" spans="1:8" x14ac:dyDescent="0.25">
      <c r="A546" s="254" t="str">
        <f t="shared" ca="1" si="56"/>
        <v/>
      </c>
      <c r="B546" s="255"/>
      <c r="C546" s="256"/>
      <c r="D546" s="257" t="str">
        <f t="shared" si="57"/>
        <v/>
      </c>
      <c r="F546" s="257" t="str">
        <f t="shared" si="58"/>
        <v/>
      </c>
      <c r="G546" s="257" t="str">
        <f t="shared" si="59"/>
        <v/>
      </c>
      <c r="H546" s="257" t="str">
        <f t="shared" si="60"/>
        <v/>
      </c>
    </row>
    <row r="547" spans="1:8" x14ac:dyDescent="0.25">
      <c r="A547" s="254" t="str">
        <f t="shared" ca="1" si="56"/>
        <v/>
      </c>
      <c r="B547" s="255"/>
      <c r="C547" s="256"/>
      <c r="D547" s="257" t="str">
        <f t="shared" si="57"/>
        <v/>
      </c>
      <c r="F547" s="257" t="str">
        <f t="shared" si="58"/>
        <v/>
      </c>
      <c r="G547" s="257" t="str">
        <f t="shared" si="59"/>
        <v/>
      </c>
      <c r="H547" s="257" t="str">
        <f t="shared" si="60"/>
        <v/>
      </c>
    </row>
    <row r="548" spans="1:8" x14ac:dyDescent="0.25">
      <c r="A548" s="254" t="str">
        <f t="shared" ca="1" si="56"/>
        <v/>
      </c>
      <c r="B548" s="255"/>
      <c r="C548" s="256"/>
      <c r="D548" s="257" t="str">
        <f t="shared" si="57"/>
        <v/>
      </c>
      <c r="F548" s="257" t="str">
        <f t="shared" si="58"/>
        <v/>
      </c>
      <c r="G548" s="257" t="str">
        <f t="shared" si="59"/>
        <v/>
      </c>
      <c r="H548" s="257" t="str">
        <f t="shared" si="60"/>
        <v/>
      </c>
    </row>
    <row r="549" spans="1:8" x14ac:dyDescent="0.25">
      <c r="A549" s="254" t="str">
        <f t="shared" ca="1" si="56"/>
        <v/>
      </c>
      <c r="B549" s="255"/>
      <c r="C549" s="256"/>
      <c r="D549" s="257" t="str">
        <f t="shared" si="57"/>
        <v/>
      </c>
      <c r="F549" s="257" t="str">
        <f t="shared" si="58"/>
        <v/>
      </c>
      <c r="G549" s="257" t="str">
        <f t="shared" si="59"/>
        <v/>
      </c>
      <c r="H549" s="257" t="str">
        <f t="shared" si="60"/>
        <v/>
      </c>
    </row>
    <row r="550" spans="1:8" x14ac:dyDescent="0.25">
      <c r="A550" s="254" t="str">
        <f t="shared" ca="1" si="56"/>
        <v/>
      </c>
      <c r="B550" s="255"/>
      <c r="C550" s="256"/>
      <c r="D550" s="257" t="str">
        <f t="shared" si="57"/>
        <v/>
      </c>
      <c r="F550" s="257" t="str">
        <f t="shared" si="58"/>
        <v/>
      </c>
      <c r="G550" s="257" t="str">
        <f t="shared" si="59"/>
        <v/>
      </c>
      <c r="H550" s="257" t="str">
        <f t="shared" si="60"/>
        <v/>
      </c>
    </row>
    <row r="551" spans="1:8" x14ac:dyDescent="0.25">
      <c r="A551" s="254" t="str">
        <f t="shared" ca="1" si="56"/>
        <v/>
      </c>
      <c r="B551" s="255"/>
      <c r="C551" s="256"/>
      <c r="D551" s="257" t="str">
        <f t="shared" si="57"/>
        <v/>
      </c>
      <c r="F551" s="257" t="str">
        <f t="shared" si="58"/>
        <v/>
      </c>
      <c r="G551" s="257" t="str">
        <f t="shared" si="59"/>
        <v/>
      </c>
      <c r="H551" s="257" t="str">
        <f t="shared" si="60"/>
        <v/>
      </c>
    </row>
    <row r="552" spans="1:8" x14ac:dyDescent="0.25">
      <c r="A552" s="254" t="str">
        <f t="shared" ca="1" si="56"/>
        <v/>
      </c>
      <c r="B552" s="255"/>
      <c r="C552" s="256"/>
      <c r="D552" s="257" t="str">
        <f t="shared" si="57"/>
        <v/>
      </c>
      <c r="F552" s="257" t="str">
        <f t="shared" si="58"/>
        <v/>
      </c>
      <c r="G552" s="257" t="str">
        <f t="shared" si="59"/>
        <v/>
      </c>
      <c r="H552" s="257" t="str">
        <f t="shared" si="60"/>
        <v/>
      </c>
    </row>
    <row r="553" spans="1:8" x14ac:dyDescent="0.25">
      <c r="A553" s="254" t="str">
        <f t="shared" ref="A553:A616" ca="1" si="61">IF(OR(H552&lt;=0,H552=""),"",OFFSET(A553,-1,0,1,1)+1)</f>
        <v/>
      </c>
      <c r="B553" s="255"/>
      <c r="C553" s="256"/>
      <c r="D553" s="257" t="str">
        <f t="shared" si="57"/>
        <v/>
      </c>
      <c r="F553" s="257" t="str">
        <f t="shared" si="58"/>
        <v/>
      </c>
      <c r="G553" s="257" t="str">
        <f t="shared" si="59"/>
        <v/>
      </c>
      <c r="H553" s="257" t="str">
        <f t="shared" si="60"/>
        <v/>
      </c>
    </row>
    <row r="554" spans="1:8" x14ac:dyDescent="0.25">
      <c r="A554" s="254" t="str">
        <f t="shared" ca="1" si="61"/>
        <v/>
      </c>
      <c r="B554" s="255"/>
      <c r="C554" s="256"/>
      <c r="D554" s="257" t="str">
        <f t="shared" si="57"/>
        <v/>
      </c>
      <c r="F554" s="257" t="str">
        <f t="shared" si="58"/>
        <v/>
      </c>
      <c r="G554" s="257" t="str">
        <f t="shared" si="59"/>
        <v/>
      </c>
      <c r="H554" s="257" t="str">
        <f t="shared" si="60"/>
        <v/>
      </c>
    </row>
    <row r="555" spans="1:8" x14ac:dyDescent="0.25">
      <c r="A555" s="254" t="str">
        <f t="shared" ca="1" si="61"/>
        <v/>
      </c>
      <c r="B555" s="255"/>
      <c r="C555" s="256"/>
      <c r="D555" s="257" t="str">
        <f t="shared" si="57"/>
        <v/>
      </c>
      <c r="F555" s="257" t="str">
        <f t="shared" si="58"/>
        <v/>
      </c>
      <c r="G555" s="257" t="str">
        <f t="shared" si="59"/>
        <v/>
      </c>
      <c r="H555" s="257" t="str">
        <f t="shared" si="60"/>
        <v/>
      </c>
    </row>
    <row r="556" spans="1:8" x14ac:dyDescent="0.25">
      <c r="A556" s="254" t="str">
        <f t="shared" ca="1" si="61"/>
        <v/>
      </c>
      <c r="B556" s="255"/>
      <c r="C556" s="256"/>
      <c r="D556" s="257" t="str">
        <f t="shared" si="57"/>
        <v/>
      </c>
      <c r="F556" s="257" t="str">
        <f t="shared" si="58"/>
        <v/>
      </c>
      <c r="G556" s="257" t="str">
        <f t="shared" si="59"/>
        <v/>
      </c>
      <c r="H556" s="257" t="str">
        <f t="shared" si="60"/>
        <v/>
      </c>
    </row>
    <row r="557" spans="1:8" x14ac:dyDescent="0.25">
      <c r="A557" s="254" t="str">
        <f t="shared" ca="1" si="61"/>
        <v/>
      </c>
      <c r="B557" s="255"/>
      <c r="C557" s="256"/>
      <c r="D557" s="257" t="str">
        <f t="shared" si="57"/>
        <v/>
      </c>
      <c r="F557" s="257" t="str">
        <f t="shared" si="58"/>
        <v/>
      </c>
      <c r="G557" s="257" t="str">
        <f t="shared" si="59"/>
        <v/>
      </c>
      <c r="H557" s="257" t="str">
        <f t="shared" si="60"/>
        <v/>
      </c>
    </row>
    <row r="558" spans="1:8" x14ac:dyDescent="0.25">
      <c r="A558" s="254" t="str">
        <f t="shared" ca="1" si="61"/>
        <v/>
      </c>
      <c r="B558" s="255"/>
      <c r="C558" s="256"/>
      <c r="D558" s="257" t="str">
        <f t="shared" si="57"/>
        <v/>
      </c>
      <c r="F558" s="257" t="str">
        <f t="shared" si="58"/>
        <v/>
      </c>
      <c r="G558" s="257" t="str">
        <f t="shared" si="59"/>
        <v/>
      </c>
      <c r="H558" s="257" t="str">
        <f t="shared" si="60"/>
        <v/>
      </c>
    </row>
    <row r="559" spans="1:8" x14ac:dyDescent="0.25">
      <c r="A559" s="254" t="str">
        <f t="shared" ca="1" si="61"/>
        <v/>
      </c>
      <c r="B559" s="255"/>
      <c r="C559" s="256"/>
      <c r="D559" s="257" t="str">
        <f t="shared" si="57"/>
        <v/>
      </c>
      <c r="F559" s="257" t="str">
        <f t="shared" si="58"/>
        <v/>
      </c>
      <c r="G559" s="257" t="str">
        <f t="shared" si="59"/>
        <v/>
      </c>
      <c r="H559" s="257" t="str">
        <f t="shared" si="60"/>
        <v/>
      </c>
    </row>
    <row r="560" spans="1:8" x14ac:dyDescent="0.25">
      <c r="A560" s="254" t="str">
        <f t="shared" ca="1" si="61"/>
        <v/>
      </c>
      <c r="B560" s="255"/>
      <c r="C560" s="256"/>
      <c r="D560" s="257" t="str">
        <f t="shared" si="57"/>
        <v/>
      </c>
      <c r="F560" s="257" t="str">
        <f t="shared" si="58"/>
        <v/>
      </c>
      <c r="G560" s="257" t="str">
        <f t="shared" si="59"/>
        <v/>
      </c>
      <c r="H560" s="257" t="str">
        <f t="shared" si="60"/>
        <v/>
      </c>
    </row>
    <row r="561" spans="1:8" x14ac:dyDescent="0.25">
      <c r="A561" s="254" t="str">
        <f t="shared" ca="1" si="61"/>
        <v/>
      </c>
      <c r="B561" s="255"/>
      <c r="C561" s="256"/>
      <c r="D561" s="257" t="str">
        <f t="shared" si="57"/>
        <v/>
      </c>
      <c r="F561" s="257" t="str">
        <f t="shared" si="58"/>
        <v/>
      </c>
      <c r="G561" s="257" t="str">
        <f t="shared" si="59"/>
        <v/>
      </c>
      <c r="H561" s="257" t="str">
        <f t="shared" si="60"/>
        <v/>
      </c>
    </row>
    <row r="562" spans="1:8" x14ac:dyDescent="0.25">
      <c r="A562" s="254" t="str">
        <f t="shared" ca="1" si="61"/>
        <v/>
      </c>
      <c r="B562" s="255"/>
      <c r="C562" s="256"/>
      <c r="D562" s="257" t="str">
        <f t="shared" si="57"/>
        <v/>
      </c>
      <c r="F562" s="257" t="str">
        <f t="shared" si="58"/>
        <v/>
      </c>
      <c r="G562" s="257" t="str">
        <f t="shared" si="59"/>
        <v/>
      </c>
      <c r="H562" s="257" t="str">
        <f t="shared" si="60"/>
        <v/>
      </c>
    </row>
    <row r="563" spans="1:8" x14ac:dyDescent="0.25">
      <c r="A563" s="254" t="str">
        <f t="shared" ca="1" si="61"/>
        <v/>
      </c>
      <c r="B563" s="255"/>
      <c r="C563" s="256"/>
      <c r="D563" s="257" t="str">
        <f t="shared" si="57"/>
        <v/>
      </c>
      <c r="F563" s="257" t="str">
        <f t="shared" si="58"/>
        <v/>
      </c>
      <c r="G563" s="257" t="str">
        <f t="shared" si="59"/>
        <v/>
      </c>
      <c r="H563" s="257" t="str">
        <f t="shared" si="60"/>
        <v/>
      </c>
    </row>
    <row r="564" spans="1:8" x14ac:dyDescent="0.25">
      <c r="A564" s="254" t="str">
        <f t="shared" ca="1" si="61"/>
        <v/>
      </c>
      <c r="B564" s="255"/>
      <c r="C564" s="256"/>
      <c r="D564" s="257" t="str">
        <f t="shared" si="57"/>
        <v/>
      </c>
      <c r="F564" s="257" t="str">
        <f t="shared" si="58"/>
        <v/>
      </c>
      <c r="G564" s="257" t="str">
        <f t="shared" si="59"/>
        <v/>
      </c>
      <c r="H564" s="257" t="str">
        <f t="shared" si="60"/>
        <v/>
      </c>
    </row>
    <row r="565" spans="1:8" x14ac:dyDescent="0.25">
      <c r="A565" s="254" t="str">
        <f t="shared" ca="1" si="61"/>
        <v/>
      </c>
      <c r="B565" s="255"/>
      <c r="C565" s="256"/>
      <c r="D565" s="257" t="str">
        <f t="shared" si="57"/>
        <v/>
      </c>
      <c r="F565" s="257" t="str">
        <f t="shared" si="58"/>
        <v/>
      </c>
      <c r="G565" s="257" t="str">
        <f t="shared" si="59"/>
        <v/>
      </c>
      <c r="H565" s="257" t="str">
        <f t="shared" si="60"/>
        <v/>
      </c>
    </row>
    <row r="566" spans="1:8" x14ac:dyDescent="0.25">
      <c r="A566" s="254" t="str">
        <f t="shared" ca="1" si="61"/>
        <v/>
      </c>
      <c r="B566" s="255"/>
      <c r="C566" s="256"/>
      <c r="D566" s="257" t="str">
        <f t="shared" si="57"/>
        <v/>
      </c>
      <c r="F566" s="257" t="str">
        <f t="shared" si="58"/>
        <v/>
      </c>
      <c r="G566" s="257" t="str">
        <f t="shared" si="59"/>
        <v/>
      </c>
      <c r="H566" s="257" t="str">
        <f t="shared" si="60"/>
        <v/>
      </c>
    </row>
    <row r="567" spans="1:8" x14ac:dyDescent="0.25">
      <c r="A567" s="254" t="str">
        <f t="shared" ca="1" si="61"/>
        <v/>
      </c>
      <c r="B567" s="255"/>
      <c r="C567" s="256"/>
      <c r="D567" s="257" t="str">
        <f t="shared" si="57"/>
        <v/>
      </c>
      <c r="F567" s="257" t="str">
        <f t="shared" si="58"/>
        <v/>
      </c>
      <c r="G567" s="257" t="str">
        <f t="shared" si="59"/>
        <v/>
      </c>
      <c r="H567" s="257" t="str">
        <f t="shared" si="60"/>
        <v/>
      </c>
    </row>
    <row r="568" spans="1:8" x14ac:dyDescent="0.25">
      <c r="A568" s="254" t="str">
        <f t="shared" ca="1" si="61"/>
        <v/>
      </c>
      <c r="B568" s="255"/>
      <c r="C568" s="256"/>
      <c r="D568" s="257" t="str">
        <f t="shared" si="57"/>
        <v/>
      </c>
      <c r="F568" s="257" t="str">
        <f t="shared" si="58"/>
        <v/>
      </c>
      <c r="G568" s="257" t="str">
        <f t="shared" si="59"/>
        <v/>
      </c>
      <c r="H568" s="257" t="str">
        <f t="shared" si="60"/>
        <v/>
      </c>
    </row>
    <row r="569" spans="1:8" x14ac:dyDescent="0.25">
      <c r="A569" s="254" t="str">
        <f t="shared" ca="1" si="61"/>
        <v/>
      </c>
      <c r="B569" s="255"/>
      <c r="C569" s="256"/>
      <c r="D569" s="257" t="str">
        <f t="shared" si="57"/>
        <v/>
      </c>
      <c r="F569" s="257" t="str">
        <f t="shared" si="58"/>
        <v/>
      </c>
      <c r="G569" s="257" t="str">
        <f t="shared" si="59"/>
        <v/>
      </c>
      <c r="H569" s="257" t="str">
        <f t="shared" si="60"/>
        <v/>
      </c>
    </row>
    <row r="570" spans="1:8" x14ac:dyDescent="0.25">
      <c r="A570" s="254" t="str">
        <f t="shared" ca="1" si="61"/>
        <v/>
      </c>
      <c r="B570" s="255"/>
      <c r="C570" s="256"/>
      <c r="D570" s="257" t="str">
        <f t="shared" si="57"/>
        <v/>
      </c>
      <c r="F570" s="257" t="str">
        <f t="shared" si="58"/>
        <v/>
      </c>
      <c r="G570" s="257" t="str">
        <f t="shared" si="59"/>
        <v/>
      </c>
      <c r="H570" s="257" t="str">
        <f t="shared" si="60"/>
        <v/>
      </c>
    </row>
    <row r="571" spans="1:8" x14ac:dyDescent="0.25">
      <c r="A571" s="254" t="str">
        <f t="shared" ca="1" si="61"/>
        <v/>
      </c>
      <c r="B571" s="255"/>
      <c r="C571" s="256"/>
      <c r="D571" s="257" t="str">
        <f t="shared" si="57"/>
        <v/>
      </c>
      <c r="F571" s="257" t="str">
        <f t="shared" si="58"/>
        <v/>
      </c>
      <c r="G571" s="257" t="str">
        <f t="shared" si="59"/>
        <v/>
      </c>
      <c r="H571" s="257" t="str">
        <f t="shared" si="60"/>
        <v/>
      </c>
    </row>
    <row r="572" spans="1:8" x14ac:dyDescent="0.25">
      <c r="A572" s="254" t="str">
        <f t="shared" ca="1" si="61"/>
        <v/>
      </c>
      <c r="B572" s="255"/>
      <c r="C572" s="256"/>
      <c r="D572" s="257" t="str">
        <f t="shared" si="57"/>
        <v/>
      </c>
      <c r="F572" s="257" t="str">
        <f t="shared" si="58"/>
        <v/>
      </c>
      <c r="G572" s="257" t="str">
        <f t="shared" si="59"/>
        <v/>
      </c>
      <c r="H572" s="257" t="str">
        <f t="shared" si="60"/>
        <v/>
      </c>
    </row>
    <row r="573" spans="1:8" x14ac:dyDescent="0.25">
      <c r="A573" s="254" t="str">
        <f t="shared" ca="1" si="61"/>
        <v/>
      </c>
      <c r="B573" s="255"/>
      <c r="C573" s="256"/>
      <c r="D573" s="257" t="str">
        <f t="shared" si="57"/>
        <v/>
      </c>
      <c r="F573" s="257" t="str">
        <f t="shared" si="58"/>
        <v/>
      </c>
      <c r="G573" s="257" t="str">
        <f t="shared" si="59"/>
        <v/>
      </c>
      <c r="H573" s="257" t="str">
        <f t="shared" si="60"/>
        <v/>
      </c>
    </row>
    <row r="574" spans="1:8" x14ac:dyDescent="0.25">
      <c r="A574" s="254" t="str">
        <f t="shared" ca="1" si="61"/>
        <v/>
      </c>
      <c r="B574" s="255"/>
      <c r="C574" s="256"/>
      <c r="D574" s="257" t="str">
        <f t="shared" si="57"/>
        <v/>
      </c>
      <c r="F574" s="257" t="str">
        <f t="shared" si="58"/>
        <v/>
      </c>
      <c r="G574" s="257" t="str">
        <f t="shared" si="59"/>
        <v/>
      </c>
      <c r="H574" s="257" t="str">
        <f t="shared" si="60"/>
        <v/>
      </c>
    </row>
    <row r="575" spans="1:8" x14ac:dyDescent="0.25">
      <c r="A575" s="254" t="str">
        <f t="shared" ca="1" si="61"/>
        <v/>
      </c>
      <c r="B575" s="255"/>
      <c r="C575" s="256"/>
      <c r="D575" s="257" t="str">
        <f t="shared" si="57"/>
        <v/>
      </c>
      <c r="F575" s="257" t="str">
        <f t="shared" si="58"/>
        <v/>
      </c>
      <c r="G575" s="257" t="str">
        <f t="shared" si="59"/>
        <v/>
      </c>
      <c r="H575" s="257" t="str">
        <f t="shared" si="60"/>
        <v/>
      </c>
    </row>
    <row r="576" spans="1:8" x14ac:dyDescent="0.25">
      <c r="A576" s="254" t="str">
        <f t="shared" ca="1" si="61"/>
        <v/>
      </c>
      <c r="B576" s="255"/>
      <c r="C576" s="256"/>
      <c r="D576" s="257" t="str">
        <f t="shared" si="57"/>
        <v/>
      </c>
      <c r="F576" s="257" t="str">
        <f t="shared" si="58"/>
        <v/>
      </c>
      <c r="G576" s="257" t="str">
        <f t="shared" si="59"/>
        <v/>
      </c>
      <c r="H576" s="257" t="str">
        <f t="shared" si="60"/>
        <v/>
      </c>
    </row>
    <row r="577" spans="1:8" x14ac:dyDescent="0.25">
      <c r="A577" s="254" t="str">
        <f t="shared" ca="1" si="61"/>
        <v/>
      </c>
      <c r="B577" s="255"/>
      <c r="C577" s="256"/>
      <c r="D577" s="257" t="str">
        <f t="shared" si="57"/>
        <v/>
      </c>
      <c r="F577" s="257" t="str">
        <f t="shared" si="58"/>
        <v/>
      </c>
      <c r="G577" s="257" t="str">
        <f t="shared" si="59"/>
        <v/>
      </c>
      <c r="H577" s="257" t="str">
        <f t="shared" si="60"/>
        <v/>
      </c>
    </row>
    <row r="578" spans="1:8" x14ac:dyDescent="0.25">
      <c r="A578" s="254" t="str">
        <f t="shared" ca="1" si="61"/>
        <v/>
      </c>
      <c r="B578" s="255"/>
      <c r="C578" s="256"/>
      <c r="D578" s="257" t="str">
        <f t="shared" si="57"/>
        <v/>
      </c>
      <c r="F578" s="257" t="str">
        <f t="shared" si="58"/>
        <v/>
      </c>
      <c r="G578" s="257" t="str">
        <f t="shared" si="59"/>
        <v/>
      </c>
      <c r="H578" s="257" t="str">
        <f t="shared" si="60"/>
        <v/>
      </c>
    </row>
    <row r="579" spans="1:8" x14ac:dyDescent="0.25">
      <c r="A579" s="254" t="str">
        <f t="shared" ca="1" si="61"/>
        <v/>
      </c>
      <c r="B579" s="255"/>
      <c r="C579" s="256"/>
      <c r="D579" s="257" t="str">
        <f t="shared" si="57"/>
        <v/>
      </c>
      <c r="F579" s="257" t="str">
        <f t="shared" si="58"/>
        <v/>
      </c>
      <c r="G579" s="257" t="str">
        <f t="shared" si="59"/>
        <v/>
      </c>
      <c r="H579" s="257" t="str">
        <f t="shared" si="60"/>
        <v/>
      </c>
    </row>
    <row r="580" spans="1:8" x14ac:dyDescent="0.25">
      <c r="A580" s="254" t="str">
        <f t="shared" ca="1" si="61"/>
        <v/>
      </c>
      <c r="B580" s="255"/>
      <c r="C580" s="256"/>
      <c r="D580" s="257" t="str">
        <f t="shared" si="57"/>
        <v/>
      </c>
      <c r="F580" s="257" t="str">
        <f t="shared" si="58"/>
        <v/>
      </c>
      <c r="G580" s="257" t="str">
        <f t="shared" si="59"/>
        <v/>
      </c>
      <c r="H580" s="257" t="str">
        <f t="shared" si="60"/>
        <v/>
      </c>
    </row>
    <row r="581" spans="1:8" x14ac:dyDescent="0.25">
      <c r="A581" s="254" t="str">
        <f t="shared" ca="1" si="61"/>
        <v/>
      </c>
      <c r="B581" s="255"/>
      <c r="C581" s="256"/>
      <c r="D581" s="257" t="str">
        <f t="shared" si="57"/>
        <v/>
      </c>
      <c r="F581" s="257" t="str">
        <f t="shared" si="58"/>
        <v/>
      </c>
      <c r="G581" s="257" t="str">
        <f t="shared" si="59"/>
        <v/>
      </c>
      <c r="H581" s="257" t="str">
        <f t="shared" si="60"/>
        <v/>
      </c>
    </row>
    <row r="582" spans="1:8" x14ac:dyDescent="0.25">
      <c r="A582" s="254" t="str">
        <f t="shared" ca="1" si="61"/>
        <v/>
      </c>
      <c r="B582" s="255"/>
      <c r="C582" s="256"/>
      <c r="D582" s="257" t="str">
        <f t="shared" si="57"/>
        <v/>
      </c>
      <c r="F582" s="257" t="str">
        <f t="shared" si="58"/>
        <v/>
      </c>
      <c r="G582" s="257" t="str">
        <f t="shared" si="59"/>
        <v/>
      </c>
      <c r="H582" s="257" t="str">
        <f t="shared" si="60"/>
        <v/>
      </c>
    </row>
    <row r="583" spans="1:8" x14ac:dyDescent="0.25">
      <c r="A583" s="254" t="str">
        <f t="shared" ca="1" si="61"/>
        <v/>
      </c>
      <c r="B583" s="255"/>
      <c r="C583" s="256"/>
      <c r="D583" s="257" t="str">
        <f t="shared" si="57"/>
        <v/>
      </c>
      <c r="F583" s="257" t="str">
        <f t="shared" si="58"/>
        <v/>
      </c>
      <c r="G583" s="257" t="str">
        <f t="shared" si="59"/>
        <v/>
      </c>
      <c r="H583" s="257" t="str">
        <f t="shared" si="60"/>
        <v/>
      </c>
    </row>
    <row r="584" spans="1:8" x14ac:dyDescent="0.25">
      <c r="A584" s="254" t="str">
        <f t="shared" ca="1" si="61"/>
        <v/>
      </c>
      <c r="B584" s="255"/>
      <c r="C584" s="256"/>
      <c r="D584" s="257" t="str">
        <f t="shared" si="57"/>
        <v/>
      </c>
      <c r="F584" s="257" t="str">
        <f t="shared" si="58"/>
        <v/>
      </c>
      <c r="G584" s="257" t="str">
        <f t="shared" si="59"/>
        <v/>
      </c>
      <c r="H584" s="257" t="str">
        <f t="shared" si="60"/>
        <v/>
      </c>
    </row>
    <row r="585" spans="1:8" x14ac:dyDescent="0.25">
      <c r="A585" s="254" t="str">
        <f t="shared" ca="1" si="61"/>
        <v/>
      </c>
      <c r="B585" s="255"/>
      <c r="C585" s="256"/>
      <c r="D585" s="257" t="str">
        <f t="shared" si="57"/>
        <v/>
      </c>
      <c r="F585" s="257" t="str">
        <f t="shared" si="58"/>
        <v/>
      </c>
      <c r="G585" s="257" t="str">
        <f t="shared" si="59"/>
        <v/>
      </c>
      <c r="H585" s="257" t="str">
        <f t="shared" si="60"/>
        <v/>
      </c>
    </row>
    <row r="586" spans="1:8" x14ac:dyDescent="0.25">
      <c r="A586" s="254" t="str">
        <f t="shared" ca="1" si="61"/>
        <v/>
      </c>
      <c r="B586" s="255"/>
      <c r="C586" s="256"/>
      <c r="D586" s="257" t="str">
        <f t="shared" si="57"/>
        <v/>
      </c>
      <c r="F586" s="257" t="str">
        <f t="shared" si="58"/>
        <v/>
      </c>
      <c r="G586" s="257" t="str">
        <f t="shared" si="59"/>
        <v/>
      </c>
      <c r="H586" s="257" t="str">
        <f t="shared" si="60"/>
        <v/>
      </c>
    </row>
    <row r="587" spans="1:8" x14ac:dyDescent="0.25">
      <c r="A587" s="254" t="str">
        <f t="shared" ca="1" si="61"/>
        <v/>
      </c>
      <c r="B587" s="255"/>
      <c r="C587" s="256"/>
      <c r="D587" s="257" t="str">
        <f t="shared" si="57"/>
        <v/>
      </c>
      <c r="F587" s="257" t="str">
        <f t="shared" si="58"/>
        <v/>
      </c>
      <c r="G587" s="257" t="str">
        <f t="shared" si="59"/>
        <v/>
      </c>
      <c r="H587" s="257" t="str">
        <f t="shared" si="60"/>
        <v/>
      </c>
    </row>
    <row r="588" spans="1:8" x14ac:dyDescent="0.25">
      <c r="A588" s="254" t="str">
        <f t="shared" ca="1" si="61"/>
        <v/>
      </c>
      <c r="B588" s="255"/>
      <c r="C588" s="256"/>
      <c r="D588" s="257" t="str">
        <f t="shared" si="57"/>
        <v/>
      </c>
      <c r="F588" s="257" t="str">
        <f t="shared" si="58"/>
        <v/>
      </c>
      <c r="G588" s="257" t="str">
        <f t="shared" si="59"/>
        <v/>
      </c>
      <c r="H588" s="257" t="str">
        <f t="shared" si="60"/>
        <v/>
      </c>
    </row>
    <row r="589" spans="1:8" x14ac:dyDescent="0.25">
      <c r="A589" s="254" t="str">
        <f t="shared" ca="1" si="61"/>
        <v/>
      </c>
      <c r="B589" s="255"/>
      <c r="C589" s="256"/>
      <c r="D589" s="257" t="str">
        <f t="shared" si="57"/>
        <v/>
      </c>
      <c r="F589" s="257" t="str">
        <f t="shared" si="58"/>
        <v/>
      </c>
      <c r="G589" s="257" t="str">
        <f t="shared" si="59"/>
        <v/>
      </c>
      <c r="H589" s="257" t="str">
        <f t="shared" si="60"/>
        <v/>
      </c>
    </row>
    <row r="590" spans="1:8" x14ac:dyDescent="0.25">
      <c r="A590" s="254" t="str">
        <f t="shared" ca="1" si="61"/>
        <v/>
      </c>
      <c r="B590" s="255"/>
      <c r="C590" s="256"/>
      <c r="D590" s="257" t="str">
        <f t="shared" si="57"/>
        <v/>
      </c>
      <c r="F590" s="257" t="str">
        <f t="shared" si="58"/>
        <v/>
      </c>
      <c r="G590" s="257" t="str">
        <f t="shared" si="59"/>
        <v/>
      </c>
      <c r="H590" s="257" t="str">
        <f t="shared" si="60"/>
        <v/>
      </c>
    </row>
    <row r="591" spans="1:8" x14ac:dyDescent="0.25">
      <c r="A591" s="254" t="str">
        <f t="shared" ca="1" si="61"/>
        <v/>
      </c>
      <c r="B591" s="255"/>
      <c r="C591" s="256"/>
      <c r="D591" s="257" t="str">
        <f t="shared" si="57"/>
        <v/>
      </c>
      <c r="F591" s="257" t="str">
        <f t="shared" si="58"/>
        <v/>
      </c>
      <c r="G591" s="257" t="str">
        <f t="shared" si="59"/>
        <v/>
      </c>
      <c r="H591" s="257" t="str">
        <f t="shared" si="60"/>
        <v/>
      </c>
    </row>
    <row r="592" spans="1:8" x14ac:dyDescent="0.25">
      <c r="A592" s="254" t="str">
        <f t="shared" ca="1" si="61"/>
        <v/>
      </c>
      <c r="B592" s="255"/>
      <c r="C592" s="256"/>
      <c r="D592" s="257" t="str">
        <f t="shared" si="57"/>
        <v/>
      </c>
      <c r="F592" s="257" t="str">
        <f t="shared" si="58"/>
        <v/>
      </c>
      <c r="G592" s="257" t="str">
        <f t="shared" si="59"/>
        <v/>
      </c>
      <c r="H592" s="257" t="str">
        <f t="shared" si="60"/>
        <v/>
      </c>
    </row>
    <row r="593" spans="1:8" x14ac:dyDescent="0.25">
      <c r="A593" s="254" t="str">
        <f t="shared" ca="1" si="61"/>
        <v/>
      </c>
      <c r="B593" s="255"/>
      <c r="C593" s="256"/>
      <c r="D593" s="257" t="str">
        <f t="shared" si="57"/>
        <v/>
      </c>
      <c r="F593" s="257" t="str">
        <f t="shared" si="58"/>
        <v/>
      </c>
      <c r="G593" s="257" t="str">
        <f t="shared" si="59"/>
        <v/>
      </c>
      <c r="H593" s="257" t="str">
        <f t="shared" si="60"/>
        <v/>
      </c>
    </row>
    <row r="594" spans="1:8" x14ac:dyDescent="0.25">
      <c r="A594" s="254" t="str">
        <f t="shared" ca="1" si="61"/>
        <v/>
      </c>
      <c r="B594" s="255"/>
      <c r="C594" s="256"/>
      <c r="D594" s="257" t="str">
        <f t="shared" si="57"/>
        <v/>
      </c>
      <c r="F594" s="257" t="str">
        <f t="shared" si="58"/>
        <v/>
      </c>
      <c r="G594" s="257" t="str">
        <f t="shared" si="59"/>
        <v/>
      </c>
      <c r="H594" s="257" t="str">
        <f t="shared" si="60"/>
        <v/>
      </c>
    </row>
    <row r="595" spans="1:8" x14ac:dyDescent="0.25">
      <c r="A595" s="254" t="str">
        <f t="shared" ca="1" si="61"/>
        <v/>
      </c>
      <c r="B595" s="255"/>
      <c r="C595" s="256"/>
      <c r="D595" s="257" t="str">
        <f t="shared" ref="D595:D658" si="62">IF(B595="","",ROUND((B595-B594)*$H$9*G594,2))</f>
        <v/>
      </c>
      <c r="F595" s="257" t="str">
        <f t="shared" ref="F595:F658" si="63">IF(B595="","",IF(C595&gt;F594+D595,0,F594+D595-C595))</f>
        <v/>
      </c>
      <c r="G595" s="257" t="str">
        <f t="shared" ref="G595:G658" si="64">IF(B595="","",IF(C595&gt;D595+F594,G594+F594+D595-C595,G594))</f>
        <v/>
      </c>
      <c r="H595" s="257" t="str">
        <f t="shared" ref="H595:H658" si="65">IF(B595="","",G595+F595)</f>
        <v/>
      </c>
    </row>
    <row r="596" spans="1:8" x14ac:dyDescent="0.25">
      <c r="A596" s="254" t="str">
        <f t="shared" ca="1" si="61"/>
        <v/>
      </c>
      <c r="B596" s="255"/>
      <c r="C596" s="256"/>
      <c r="D596" s="257" t="str">
        <f t="shared" si="62"/>
        <v/>
      </c>
      <c r="F596" s="257" t="str">
        <f t="shared" si="63"/>
        <v/>
      </c>
      <c r="G596" s="257" t="str">
        <f t="shared" si="64"/>
        <v/>
      </c>
      <c r="H596" s="257" t="str">
        <f t="shared" si="65"/>
        <v/>
      </c>
    </row>
    <row r="597" spans="1:8" x14ac:dyDescent="0.25">
      <c r="A597" s="254" t="str">
        <f t="shared" ca="1" si="61"/>
        <v/>
      </c>
      <c r="B597" s="255"/>
      <c r="C597" s="256"/>
      <c r="D597" s="257" t="str">
        <f t="shared" si="62"/>
        <v/>
      </c>
      <c r="F597" s="257" t="str">
        <f t="shared" si="63"/>
        <v/>
      </c>
      <c r="G597" s="257" t="str">
        <f t="shared" si="64"/>
        <v/>
      </c>
      <c r="H597" s="257" t="str">
        <f t="shared" si="65"/>
        <v/>
      </c>
    </row>
    <row r="598" spans="1:8" x14ac:dyDescent="0.25">
      <c r="A598" s="254" t="str">
        <f t="shared" ca="1" si="61"/>
        <v/>
      </c>
      <c r="B598" s="255"/>
      <c r="C598" s="256"/>
      <c r="D598" s="257" t="str">
        <f t="shared" si="62"/>
        <v/>
      </c>
      <c r="F598" s="257" t="str">
        <f t="shared" si="63"/>
        <v/>
      </c>
      <c r="G598" s="257" t="str">
        <f t="shared" si="64"/>
        <v/>
      </c>
      <c r="H598" s="257" t="str">
        <f t="shared" si="65"/>
        <v/>
      </c>
    </row>
    <row r="599" spans="1:8" x14ac:dyDescent="0.25">
      <c r="A599" s="254" t="str">
        <f t="shared" ca="1" si="61"/>
        <v/>
      </c>
      <c r="B599" s="255"/>
      <c r="C599" s="256"/>
      <c r="D599" s="257" t="str">
        <f t="shared" si="62"/>
        <v/>
      </c>
      <c r="F599" s="257" t="str">
        <f t="shared" si="63"/>
        <v/>
      </c>
      <c r="G599" s="257" t="str">
        <f t="shared" si="64"/>
        <v/>
      </c>
      <c r="H599" s="257" t="str">
        <f t="shared" si="65"/>
        <v/>
      </c>
    </row>
    <row r="600" spans="1:8" x14ac:dyDescent="0.25">
      <c r="A600" s="254" t="str">
        <f t="shared" ca="1" si="61"/>
        <v/>
      </c>
      <c r="B600" s="255"/>
      <c r="C600" s="256"/>
      <c r="D600" s="257" t="str">
        <f t="shared" si="62"/>
        <v/>
      </c>
      <c r="F600" s="257" t="str">
        <f t="shared" si="63"/>
        <v/>
      </c>
      <c r="G600" s="257" t="str">
        <f t="shared" si="64"/>
        <v/>
      </c>
      <c r="H600" s="257" t="str">
        <f t="shared" si="65"/>
        <v/>
      </c>
    </row>
    <row r="601" spans="1:8" x14ac:dyDescent="0.25">
      <c r="A601" s="254" t="str">
        <f t="shared" ca="1" si="61"/>
        <v/>
      </c>
      <c r="B601" s="255"/>
      <c r="C601" s="256"/>
      <c r="D601" s="257" t="str">
        <f t="shared" si="62"/>
        <v/>
      </c>
      <c r="F601" s="257" t="str">
        <f t="shared" si="63"/>
        <v/>
      </c>
      <c r="G601" s="257" t="str">
        <f t="shared" si="64"/>
        <v/>
      </c>
      <c r="H601" s="257" t="str">
        <f t="shared" si="65"/>
        <v/>
      </c>
    </row>
    <row r="602" spans="1:8" x14ac:dyDescent="0.25">
      <c r="A602" s="254" t="str">
        <f t="shared" ca="1" si="61"/>
        <v/>
      </c>
      <c r="B602" s="255"/>
      <c r="C602" s="256"/>
      <c r="D602" s="257" t="str">
        <f t="shared" si="62"/>
        <v/>
      </c>
      <c r="F602" s="257" t="str">
        <f t="shared" si="63"/>
        <v/>
      </c>
      <c r="G602" s="257" t="str">
        <f t="shared" si="64"/>
        <v/>
      </c>
      <c r="H602" s="257" t="str">
        <f t="shared" si="65"/>
        <v/>
      </c>
    </row>
    <row r="603" spans="1:8" x14ac:dyDescent="0.25">
      <c r="A603" s="254" t="str">
        <f t="shared" ca="1" si="61"/>
        <v/>
      </c>
      <c r="B603" s="255"/>
      <c r="C603" s="256"/>
      <c r="D603" s="257" t="str">
        <f t="shared" si="62"/>
        <v/>
      </c>
      <c r="F603" s="257" t="str">
        <f t="shared" si="63"/>
        <v/>
      </c>
      <c r="G603" s="257" t="str">
        <f t="shared" si="64"/>
        <v/>
      </c>
      <c r="H603" s="257" t="str">
        <f t="shared" si="65"/>
        <v/>
      </c>
    </row>
    <row r="604" spans="1:8" x14ac:dyDescent="0.25">
      <c r="A604" s="254" t="str">
        <f t="shared" ca="1" si="61"/>
        <v/>
      </c>
      <c r="B604" s="255"/>
      <c r="C604" s="256"/>
      <c r="D604" s="257" t="str">
        <f t="shared" si="62"/>
        <v/>
      </c>
      <c r="F604" s="257" t="str">
        <f t="shared" si="63"/>
        <v/>
      </c>
      <c r="G604" s="257" t="str">
        <f t="shared" si="64"/>
        <v/>
      </c>
      <c r="H604" s="257" t="str">
        <f t="shared" si="65"/>
        <v/>
      </c>
    </row>
    <row r="605" spans="1:8" x14ac:dyDescent="0.25">
      <c r="A605" s="254" t="str">
        <f t="shared" ca="1" si="61"/>
        <v/>
      </c>
      <c r="B605" s="255"/>
      <c r="C605" s="256"/>
      <c r="D605" s="257" t="str">
        <f t="shared" si="62"/>
        <v/>
      </c>
      <c r="F605" s="257" t="str">
        <f t="shared" si="63"/>
        <v/>
      </c>
      <c r="G605" s="257" t="str">
        <f t="shared" si="64"/>
        <v/>
      </c>
      <c r="H605" s="257" t="str">
        <f t="shared" si="65"/>
        <v/>
      </c>
    </row>
    <row r="606" spans="1:8" x14ac:dyDescent="0.25">
      <c r="A606" s="254" t="str">
        <f t="shared" ca="1" si="61"/>
        <v/>
      </c>
      <c r="B606" s="255"/>
      <c r="C606" s="256"/>
      <c r="D606" s="257" t="str">
        <f t="shared" si="62"/>
        <v/>
      </c>
      <c r="F606" s="257" t="str">
        <f t="shared" si="63"/>
        <v/>
      </c>
      <c r="G606" s="257" t="str">
        <f t="shared" si="64"/>
        <v/>
      </c>
      <c r="H606" s="257" t="str">
        <f t="shared" si="65"/>
        <v/>
      </c>
    </row>
    <row r="607" spans="1:8" x14ac:dyDescent="0.25">
      <c r="A607" s="254" t="str">
        <f t="shared" ca="1" si="61"/>
        <v/>
      </c>
      <c r="B607" s="255"/>
      <c r="C607" s="256"/>
      <c r="D607" s="257" t="str">
        <f t="shared" si="62"/>
        <v/>
      </c>
      <c r="F607" s="257" t="str">
        <f t="shared" si="63"/>
        <v/>
      </c>
      <c r="G607" s="257" t="str">
        <f t="shared" si="64"/>
        <v/>
      </c>
      <c r="H607" s="257" t="str">
        <f t="shared" si="65"/>
        <v/>
      </c>
    </row>
    <row r="608" spans="1:8" x14ac:dyDescent="0.25">
      <c r="A608" s="254" t="str">
        <f t="shared" ca="1" si="61"/>
        <v/>
      </c>
      <c r="B608" s="255"/>
      <c r="C608" s="256"/>
      <c r="D608" s="257" t="str">
        <f t="shared" si="62"/>
        <v/>
      </c>
      <c r="F608" s="257" t="str">
        <f t="shared" si="63"/>
        <v/>
      </c>
      <c r="G608" s="257" t="str">
        <f t="shared" si="64"/>
        <v/>
      </c>
      <c r="H608" s="257" t="str">
        <f t="shared" si="65"/>
        <v/>
      </c>
    </row>
    <row r="609" spans="1:8" x14ac:dyDescent="0.25">
      <c r="A609" s="254" t="str">
        <f t="shared" ca="1" si="61"/>
        <v/>
      </c>
      <c r="B609" s="255"/>
      <c r="C609" s="256"/>
      <c r="D609" s="257" t="str">
        <f t="shared" si="62"/>
        <v/>
      </c>
      <c r="F609" s="257" t="str">
        <f t="shared" si="63"/>
        <v/>
      </c>
      <c r="G609" s="257" t="str">
        <f t="shared" si="64"/>
        <v/>
      </c>
      <c r="H609" s="257" t="str">
        <f t="shared" si="65"/>
        <v/>
      </c>
    </row>
    <row r="610" spans="1:8" x14ac:dyDescent="0.25">
      <c r="A610" s="254" t="str">
        <f t="shared" ca="1" si="61"/>
        <v/>
      </c>
      <c r="B610" s="255"/>
      <c r="C610" s="256"/>
      <c r="D610" s="257" t="str">
        <f t="shared" si="62"/>
        <v/>
      </c>
      <c r="F610" s="257" t="str">
        <f t="shared" si="63"/>
        <v/>
      </c>
      <c r="G610" s="257" t="str">
        <f t="shared" si="64"/>
        <v/>
      </c>
      <c r="H610" s="257" t="str">
        <f t="shared" si="65"/>
        <v/>
      </c>
    </row>
    <row r="611" spans="1:8" x14ac:dyDescent="0.25">
      <c r="A611" s="254" t="str">
        <f t="shared" ca="1" si="61"/>
        <v/>
      </c>
      <c r="B611" s="255"/>
      <c r="C611" s="256"/>
      <c r="D611" s="257" t="str">
        <f t="shared" si="62"/>
        <v/>
      </c>
      <c r="F611" s="257" t="str">
        <f t="shared" si="63"/>
        <v/>
      </c>
      <c r="G611" s="257" t="str">
        <f t="shared" si="64"/>
        <v/>
      </c>
      <c r="H611" s="257" t="str">
        <f t="shared" si="65"/>
        <v/>
      </c>
    </row>
    <row r="612" spans="1:8" x14ac:dyDescent="0.25">
      <c r="A612" s="254" t="str">
        <f t="shared" ca="1" si="61"/>
        <v/>
      </c>
      <c r="B612" s="255"/>
      <c r="C612" s="256"/>
      <c r="D612" s="257" t="str">
        <f t="shared" si="62"/>
        <v/>
      </c>
      <c r="F612" s="257" t="str">
        <f t="shared" si="63"/>
        <v/>
      </c>
      <c r="G612" s="257" t="str">
        <f t="shared" si="64"/>
        <v/>
      </c>
      <c r="H612" s="257" t="str">
        <f t="shared" si="65"/>
        <v/>
      </c>
    </row>
    <row r="613" spans="1:8" x14ac:dyDescent="0.25">
      <c r="A613" s="254" t="str">
        <f t="shared" ca="1" si="61"/>
        <v/>
      </c>
      <c r="B613" s="255"/>
      <c r="C613" s="256"/>
      <c r="D613" s="257" t="str">
        <f t="shared" si="62"/>
        <v/>
      </c>
      <c r="F613" s="257" t="str">
        <f t="shared" si="63"/>
        <v/>
      </c>
      <c r="G613" s="257" t="str">
        <f t="shared" si="64"/>
        <v/>
      </c>
      <c r="H613" s="257" t="str">
        <f t="shared" si="65"/>
        <v/>
      </c>
    </row>
    <row r="614" spans="1:8" x14ac:dyDescent="0.25">
      <c r="A614" s="254" t="str">
        <f t="shared" ca="1" si="61"/>
        <v/>
      </c>
      <c r="B614" s="255"/>
      <c r="C614" s="256"/>
      <c r="D614" s="257" t="str">
        <f t="shared" si="62"/>
        <v/>
      </c>
      <c r="F614" s="257" t="str">
        <f t="shared" si="63"/>
        <v/>
      </c>
      <c r="G614" s="257" t="str">
        <f t="shared" si="64"/>
        <v/>
      </c>
      <c r="H614" s="257" t="str">
        <f t="shared" si="65"/>
        <v/>
      </c>
    </row>
    <row r="615" spans="1:8" x14ac:dyDescent="0.25">
      <c r="A615" s="254" t="str">
        <f t="shared" ca="1" si="61"/>
        <v/>
      </c>
      <c r="B615" s="255"/>
      <c r="C615" s="256"/>
      <c r="D615" s="257" t="str">
        <f t="shared" si="62"/>
        <v/>
      </c>
      <c r="F615" s="257" t="str">
        <f t="shared" si="63"/>
        <v/>
      </c>
      <c r="G615" s="257" t="str">
        <f t="shared" si="64"/>
        <v/>
      </c>
      <c r="H615" s="257" t="str">
        <f t="shared" si="65"/>
        <v/>
      </c>
    </row>
    <row r="616" spans="1:8" x14ac:dyDescent="0.25">
      <c r="A616" s="254" t="str">
        <f t="shared" ca="1" si="61"/>
        <v/>
      </c>
      <c r="B616" s="255"/>
      <c r="C616" s="256"/>
      <c r="D616" s="257" t="str">
        <f t="shared" si="62"/>
        <v/>
      </c>
      <c r="F616" s="257" t="str">
        <f t="shared" si="63"/>
        <v/>
      </c>
      <c r="G616" s="257" t="str">
        <f t="shared" si="64"/>
        <v/>
      </c>
      <c r="H616" s="257" t="str">
        <f t="shared" si="65"/>
        <v/>
      </c>
    </row>
    <row r="617" spans="1:8" x14ac:dyDescent="0.25">
      <c r="A617" s="254" t="str">
        <f t="shared" ref="A617:A680" ca="1" si="66">IF(OR(H616&lt;=0,H616=""),"",OFFSET(A617,-1,0,1,1)+1)</f>
        <v/>
      </c>
      <c r="B617" s="255"/>
      <c r="C617" s="256"/>
      <c r="D617" s="257" t="str">
        <f t="shared" si="62"/>
        <v/>
      </c>
      <c r="F617" s="257" t="str">
        <f t="shared" si="63"/>
        <v/>
      </c>
      <c r="G617" s="257" t="str">
        <f t="shared" si="64"/>
        <v/>
      </c>
      <c r="H617" s="257" t="str">
        <f t="shared" si="65"/>
        <v/>
      </c>
    </row>
    <row r="618" spans="1:8" x14ac:dyDescent="0.25">
      <c r="A618" s="254" t="str">
        <f t="shared" ca="1" si="66"/>
        <v/>
      </c>
      <c r="B618" s="255"/>
      <c r="C618" s="256"/>
      <c r="D618" s="257" t="str">
        <f t="shared" si="62"/>
        <v/>
      </c>
      <c r="F618" s="257" t="str">
        <f t="shared" si="63"/>
        <v/>
      </c>
      <c r="G618" s="257" t="str">
        <f t="shared" si="64"/>
        <v/>
      </c>
      <c r="H618" s="257" t="str">
        <f t="shared" si="65"/>
        <v/>
      </c>
    </row>
    <row r="619" spans="1:8" x14ac:dyDescent="0.25">
      <c r="A619" s="254" t="str">
        <f t="shared" ca="1" si="66"/>
        <v/>
      </c>
      <c r="B619" s="255"/>
      <c r="C619" s="256"/>
      <c r="D619" s="257" t="str">
        <f t="shared" si="62"/>
        <v/>
      </c>
      <c r="F619" s="257" t="str">
        <f t="shared" si="63"/>
        <v/>
      </c>
      <c r="G619" s="257" t="str">
        <f t="shared" si="64"/>
        <v/>
      </c>
      <c r="H619" s="257" t="str">
        <f t="shared" si="65"/>
        <v/>
      </c>
    </row>
    <row r="620" spans="1:8" x14ac:dyDescent="0.25">
      <c r="A620" s="254" t="str">
        <f t="shared" ca="1" si="66"/>
        <v/>
      </c>
      <c r="B620" s="255"/>
      <c r="C620" s="256"/>
      <c r="D620" s="257" t="str">
        <f t="shared" si="62"/>
        <v/>
      </c>
      <c r="F620" s="257" t="str">
        <f t="shared" si="63"/>
        <v/>
      </c>
      <c r="G620" s="257" t="str">
        <f t="shared" si="64"/>
        <v/>
      </c>
      <c r="H620" s="257" t="str">
        <f t="shared" si="65"/>
        <v/>
      </c>
    </row>
    <row r="621" spans="1:8" x14ac:dyDescent="0.25">
      <c r="A621" s="254" t="str">
        <f t="shared" ca="1" si="66"/>
        <v/>
      </c>
      <c r="B621" s="255"/>
      <c r="C621" s="256"/>
      <c r="D621" s="257" t="str">
        <f t="shared" si="62"/>
        <v/>
      </c>
      <c r="F621" s="257" t="str">
        <f t="shared" si="63"/>
        <v/>
      </c>
      <c r="G621" s="257" t="str">
        <f t="shared" si="64"/>
        <v/>
      </c>
      <c r="H621" s="257" t="str">
        <f t="shared" si="65"/>
        <v/>
      </c>
    </row>
    <row r="622" spans="1:8" x14ac:dyDescent="0.25">
      <c r="A622" s="254" t="str">
        <f t="shared" ca="1" si="66"/>
        <v/>
      </c>
      <c r="B622" s="255"/>
      <c r="C622" s="256"/>
      <c r="D622" s="257" t="str">
        <f t="shared" si="62"/>
        <v/>
      </c>
      <c r="F622" s="257" t="str">
        <f t="shared" si="63"/>
        <v/>
      </c>
      <c r="G622" s="257" t="str">
        <f t="shared" si="64"/>
        <v/>
      </c>
      <c r="H622" s="257" t="str">
        <f t="shared" si="65"/>
        <v/>
      </c>
    </row>
    <row r="623" spans="1:8" x14ac:dyDescent="0.25">
      <c r="A623" s="254" t="str">
        <f t="shared" ca="1" si="66"/>
        <v/>
      </c>
      <c r="B623" s="255"/>
      <c r="C623" s="256"/>
      <c r="D623" s="257" t="str">
        <f t="shared" si="62"/>
        <v/>
      </c>
      <c r="F623" s="257" t="str">
        <f t="shared" si="63"/>
        <v/>
      </c>
      <c r="G623" s="257" t="str">
        <f t="shared" si="64"/>
        <v/>
      </c>
      <c r="H623" s="257" t="str">
        <f t="shared" si="65"/>
        <v/>
      </c>
    </row>
    <row r="624" spans="1:8" x14ac:dyDescent="0.25">
      <c r="A624" s="254" t="str">
        <f t="shared" ca="1" si="66"/>
        <v/>
      </c>
      <c r="B624" s="255"/>
      <c r="C624" s="256"/>
      <c r="D624" s="257" t="str">
        <f t="shared" si="62"/>
        <v/>
      </c>
      <c r="F624" s="257" t="str">
        <f t="shared" si="63"/>
        <v/>
      </c>
      <c r="G624" s="257" t="str">
        <f t="shared" si="64"/>
        <v/>
      </c>
      <c r="H624" s="257" t="str">
        <f t="shared" si="65"/>
        <v/>
      </c>
    </row>
    <row r="625" spans="1:8" x14ac:dyDescent="0.25">
      <c r="A625" s="254" t="str">
        <f t="shared" ca="1" si="66"/>
        <v/>
      </c>
      <c r="B625" s="255"/>
      <c r="C625" s="256"/>
      <c r="D625" s="257" t="str">
        <f t="shared" si="62"/>
        <v/>
      </c>
      <c r="F625" s="257" t="str">
        <f t="shared" si="63"/>
        <v/>
      </c>
      <c r="G625" s="257" t="str">
        <f t="shared" si="64"/>
        <v/>
      </c>
      <c r="H625" s="257" t="str">
        <f t="shared" si="65"/>
        <v/>
      </c>
    </row>
    <row r="626" spans="1:8" x14ac:dyDescent="0.25">
      <c r="A626" s="254" t="str">
        <f t="shared" ca="1" si="66"/>
        <v/>
      </c>
      <c r="B626" s="255"/>
      <c r="C626" s="256"/>
      <c r="D626" s="257" t="str">
        <f t="shared" si="62"/>
        <v/>
      </c>
      <c r="F626" s="257" t="str">
        <f t="shared" si="63"/>
        <v/>
      </c>
      <c r="G626" s="257" t="str">
        <f t="shared" si="64"/>
        <v/>
      </c>
      <c r="H626" s="257" t="str">
        <f t="shared" si="65"/>
        <v/>
      </c>
    </row>
    <row r="627" spans="1:8" x14ac:dyDescent="0.25">
      <c r="A627" s="254" t="str">
        <f t="shared" ca="1" si="66"/>
        <v/>
      </c>
      <c r="B627" s="255"/>
      <c r="C627" s="256"/>
      <c r="D627" s="257" t="str">
        <f t="shared" si="62"/>
        <v/>
      </c>
      <c r="F627" s="257" t="str">
        <f t="shared" si="63"/>
        <v/>
      </c>
      <c r="G627" s="257" t="str">
        <f t="shared" si="64"/>
        <v/>
      </c>
      <c r="H627" s="257" t="str">
        <f t="shared" si="65"/>
        <v/>
      </c>
    </row>
    <row r="628" spans="1:8" x14ac:dyDescent="0.25">
      <c r="A628" s="254" t="str">
        <f t="shared" ca="1" si="66"/>
        <v/>
      </c>
      <c r="B628" s="255"/>
      <c r="C628" s="256"/>
      <c r="D628" s="257" t="str">
        <f t="shared" si="62"/>
        <v/>
      </c>
      <c r="F628" s="257" t="str">
        <f t="shared" si="63"/>
        <v/>
      </c>
      <c r="G628" s="257" t="str">
        <f t="shared" si="64"/>
        <v/>
      </c>
      <c r="H628" s="257" t="str">
        <f t="shared" si="65"/>
        <v/>
      </c>
    </row>
    <row r="629" spans="1:8" x14ac:dyDescent="0.25">
      <c r="A629" s="254" t="str">
        <f t="shared" ca="1" si="66"/>
        <v/>
      </c>
      <c r="B629" s="255"/>
      <c r="C629" s="256"/>
      <c r="D629" s="257" t="str">
        <f t="shared" si="62"/>
        <v/>
      </c>
      <c r="F629" s="257" t="str">
        <f t="shared" si="63"/>
        <v/>
      </c>
      <c r="G629" s="257" t="str">
        <f t="shared" si="64"/>
        <v/>
      </c>
      <c r="H629" s="257" t="str">
        <f t="shared" si="65"/>
        <v/>
      </c>
    </row>
    <row r="630" spans="1:8" x14ac:dyDescent="0.25">
      <c r="A630" s="254" t="str">
        <f t="shared" ca="1" si="66"/>
        <v/>
      </c>
      <c r="B630" s="255"/>
      <c r="C630" s="256"/>
      <c r="D630" s="257" t="str">
        <f t="shared" si="62"/>
        <v/>
      </c>
      <c r="F630" s="257" t="str">
        <f t="shared" si="63"/>
        <v/>
      </c>
      <c r="G630" s="257" t="str">
        <f t="shared" si="64"/>
        <v/>
      </c>
      <c r="H630" s="257" t="str">
        <f t="shared" si="65"/>
        <v/>
      </c>
    </row>
    <row r="631" spans="1:8" x14ac:dyDescent="0.25">
      <c r="A631" s="254" t="str">
        <f t="shared" ca="1" si="66"/>
        <v/>
      </c>
      <c r="B631" s="255"/>
      <c r="C631" s="256"/>
      <c r="D631" s="257" t="str">
        <f t="shared" si="62"/>
        <v/>
      </c>
      <c r="F631" s="257" t="str">
        <f t="shared" si="63"/>
        <v/>
      </c>
      <c r="G631" s="257" t="str">
        <f t="shared" si="64"/>
        <v/>
      </c>
      <c r="H631" s="257" t="str">
        <f t="shared" si="65"/>
        <v/>
      </c>
    </row>
    <row r="632" spans="1:8" x14ac:dyDescent="0.25">
      <c r="A632" s="254" t="str">
        <f t="shared" ca="1" si="66"/>
        <v/>
      </c>
      <c r="B632" s="255"/>
      <c r="C632" s="256"/>
      <c r="D632" s="257" t="str">
        <f t="shared" si="62"/>
        <v/>
      </c>
      <c r="F632" s="257" t="str">
        <f t="shared" si="63"/>
        <v/>
      </c>
      <c r="G632" s="257" t="str">
        <f t="shared" si="64"/>
        <v/>
      </c>
      <c r="H632" s="257" t="str">
        <f t="shared" si="65"/>
        <v/>
      </c>
    </row>
    <row r="633" spans="1:8" x14ac:dyDescent="0.25">
      <c r="A633" s="254" t="str">
        <f t="shared" ca="1" si="66"/>
        <v/>
      </c>
      <c r="B633" s="255"/>
      <c r="C633" s="256"/>
      <c r="D633" s="257" t="str">
        <f t="shared" si="62"/>
        <v/>
      </c>
      <c r="F633" s="257" t="str">
        <f t="shared" si="63"/>
        <v/>
      </c>
      <c r="G633" s="257" t="str">
        <f t="shared" si="64"/>
        <v/>
      </c>
      <c r="H633" s="257" t="str">
        <f t="shared" si="65"/>
        <v/>
      </c>
    </row>
    <row r="634" spans="1:8" x14ac:dyDescent="0.25">
      <c r="A634" s="254" t="str">
        <f t="shared" ca="1" si="66"/>
        <v/>
      </c>
      <c r="B634" s="255"/>
      <c r="C634" s="256"/>
      <c r="D634" s="257" t="str">
        <f t="shared" si="62"/>
        <v/>
      </c>
      <c r="F634" s="257" t="str">
        <f t="shared" si="63"/>
        <v/>
      </c>
      <c r="G634" s="257" t="str">
        <f t="shared" si="64"/>
        <v/>
      </c>
      <c r="H634" s="257" t="str">
        <f t="shared" si="65"/>
        <v/>
      </c>
    </row>
    <row r="635" spans="1:8" x14ac:dyDescent="0.25">
      <c r="A635" s="254" t="str">
        <f t="shared" ca="1" si="66"/>
        <v/>
      </c>
      <c r="B635" s="255"/>
      <c r="C635" s="256"/>
      <c r="D635" s="257" t="str">
        <f t="shared" si="62"/>
        <v/>
      </c>
      <c r="F635" s="257" t="str">
        <f t="shared" si="63"/>
        <v/>
      </c>
      <c r="G635" s="257" t="str">
        <f t="shared" si="64"/>
        <v/>
      </c>
      <c r="H635" s="257" t="str">
        <f t="shared" si="65"/>
        <v/>
      </c>
    </row>
    <row r="636" spans="1:8" x14ac:dyDescent="0.25">
      <c r="A636" s="254" t="str">
        <f t="shared" ca="1" si="66"/>
        <v/>
      </c>
      <c r="B636" s="255"/>
      <c r="C636" s="256"/>
      <c r="D636" s="257" t="str">
        <f t="shared" si="62"/>
        <v/>
      </c>
      <c r="F636" s="257" t="str">
        <f t="shared" si="63"/>
        <v/>
      </c>
      <c r="G636" s="257" t="str">
        <f t="shared" si="64"/>
        <v/>
      </c>
      <c r="H636" s="257" t="str">
        <f t="shared" si="65"/>
        <v/>
      </c>
    </row>
    <row r="637" spans="1:8" x14ac:dyDescent="0.25">
      <c r="A637" s="254" t="str">
        <f t="shared" ca="1" si="66"/>
        <v/>
      </c>
      <c r="B637" s="255"/>
      <c r="C637" s="256"/>
      <c r="D637" s="257" t="str">
        <f t="shared" si="62"/>
        <v/>
      </c>
      <c r="F637" s="257" t="str">
        <f t="shared" si="63"/>
        <v/>
      </c>
      <c r="G637" s="257" t="str">
        <f t="shared" si="64"/>
        <v/>
      </c>
      <c r="H637" s="257" t="str">
        <f t="shared" si="65"/>
        <v/>
      </c>
    </row>
    <row r="638" spans="1:8" x14ac:dyDescent="0.25">
      <c r="A638" s="254" t="str">
        <f t="shared" ca="1" si="66"/>
        <v/>
      </c>
      <c r="B638" s="255"/>
      <c r="C638" s="256"/>
      <c r="D638" s="257" t="str">
        <f t="shared" si="62"/>
        <v/>
      </c>
      <c r="F638" s="257" t="str">
        <f t="shared" si="63"/>
        <v/>
      </c>
      <c r="G638" s="257" t="str">
        <f t="shared" si="64"/>
        <v/>
      </c>
      <c r="H638" s="257" t="str">
        <f t="shared" si="65"/>
        <v/>
      </c>
    </row>
    <row r="639" spans="1:8" x14ac:dyDescent="0.25">
      <c r="A639" s="254" t="str">
        <f t="shared" ca="1" si="66"/>
        <v/>
      </c>
      <c r="B639" s="255"/>
      <c r="C639" s="256"/>
      <c r="D639" s="257" t="str">
        <f t="shared" si="62"/>
        <v/>
      </c>
      <c r="F639" s="257" t="str">
        <f t="shared" si="63"/>
        <v/>
      </c>
      <c r="G639" s="257" t="str">
        <f t="shared" si="64"/>
        <v/>
      </c>
      <c r="H639" s="257" t="str">
        <f t="shared" si="65"/>
        <v/>
      </c>
    </row>
    <row r="640" spans="1:8" x14ac:dyDescent="0.25">
      <c r="A640" s="254" t="str">
        <f t="shared" ca="1" si="66"/>
        <v/>
      </c>
      <c r="B640" s="255"/>
      <c r="C640" s="256"/>
      <c r="D640" s="257" t="str">
        <f t="shared" si="62"/>
        <v/>
      </c>
      <c r="F640" s="257" t="str">
        <f t="shared" si="63"/>
        <v/>
      </c>
      <c r="G640" s="257" t="str">
        <f t="shared" si="64"/>
        <v/>
      </c>
      <c r="H640" s="257" t="str">
        <f t="shared" si="65"/>
        <v/>
      </c>
    </row>
    <row r="641" spans="1:8" x14ac:dyDescent="0.25">
      <c r="A641" s="254" t="str">
        <f t="shared" ca="1" si="66"/>
        <v/>
      </c>
      <c r="B641" s="255"/>
      <c r="C641" s="256"/>
      <c r="D641" s="257" t="str">
        <f t="shared" si="62"/>
        <v/>
      </c>
      <c r="F641" s="257" t="str">
        <f t="shared" si="63"/>
        <v/>
      </c>
      <c r="G641" s="257" t="str">
        <f t="shared" si="64"/>
        <v/>
      </c>
      <c r="H641" s="257" t="str">
        <f t="shared" si="65"/>
        <v/>
      </c>
    </row>
    <row r="642" spans="1:8" x14ac:dyDescent="0.25">
      <c r="A642" s="254" t="str">
        <f t="shared" ca="1" si="66"/>
        <v/>
      </c>
      <c r="B642" s="255"/>
      <c r="C642" s="256"/>
      <c r="D642" s="257" t="str">
        <f t="shared" si="62"/>
        <v/>
      </c>
      <c r="F642" s="257" t="str">
        <f t="shared" si="63"/>
        <v/>
      </c>
      <c r="G642" s="257" t="str">
        <f t="shared" si="64"/>
        <v/>
      </c>
      <c r="H642" s="257" t="str">
        <f t="shared" si="65"/>
        <v/>
      </c>
    </row>
    <row r="643" spans="1:8" x14ac:dyDescent="0.25">
      <c r="A643" s="254" t="str">
        <f t="shared" ca="1" si="66"/>
        <v/>
      </c>
      <c r="B643" s="255"/>
      <c r="C643" s="256"/>
      <c r="D643" s="257" t="str">
        <f t="shared" si="62"/>
        <v/>
      </c>
      <c r="F643" s="257" t="str">
        <f t="shared" si="63"/>
        <v/>
      </c>
      <c r="G643" s="257" t="str">
        <f t="shared" si="64"/>
        <v/>
      </c>
      <c r="H643" s="257" t="str">
        <f t="shared" si="65"/>
        <v/>
      </c>
    </row>
    <row r="644" spans="1:8" x14ac:dyDescent="0.25">
      <c r="A644" s="254" t="str">
        <f t="shared" ca="1" si="66"/>
        <v/>
      </c>
      <c r="B644" s="255"/>
      <c r="C644" s="256"/>
      <c r="D644" s="257" t="str">
        <f t="shared" si="62"/>
        <v/>
      </c>
      <c r="F644" s="257" t="str">
        <f t="shared" si="63"/>
        <v/>
      </c>
      <c r="G644" s="257" t="str">
        <f t="shared" si="64"/>
        <v/>
      </c>
      <c r="H644" s="257" t="str">
        <f t="shared" si="65"/>
        <v/>
      </c>
    </row>
    <row r="645" spans="1:8" x14ac:dyDescent="0.25">
      <c r="A645" s="254" t="str">
        <f t="shared" ca="1" si="66"/>
        <v/>
      </c>
      <c r="B645" s="255"/>
      <c r="C645" s="256"/>
      <c r="D645" s="257" t="str">
        <f t="shared" si="62"/>
        <v/>
      </c>
      <c r="F645" s="257" t="str">
        <f t="shared" si="63"/>
        <v/>
      </c>
      <c r="G645" s="257" t="str">
        <f t="shared" si="64"/>
        <v/>
      </c>
      <c r="H645" s="257" t="str">
        <f t="shared" si="65"/>
        <v/>
      </c>
    </row>
    <row r="646" spans="1:8" x14ac:dyDescent="0.25">
      <c r="A646" s="254" t="str">
        <f t="shared" ca="1" si="66"/>
        <v/>
      </c>
      <c r="B646" s="255"/>
      <c r="C646" s="256"/>
      <c r="D646" s="257" t="str">
        <f t="shared" si="62"/>
        <v/>
      </c>
      <c r="F646" s="257" t="str">
        <f t="shared" si="63"/>
        <v/>
      </c>
      <c r="G646" s="257" t="str">
        <f t="shared" si="64"/>
        <v/>
      </c>
      <c r="H646" s="257" t="str">
        <f t="shared" si="65"/>
        <v/>
      </c>
    </row>
    <row r="647" spans="1:8" x14ac:dyDescent="0.25">
      <c r="A647" s="254" t="str">
        <f t="shared" ca="1" si="66"/>
        <v/>
      </c>
      <c r="B647" s="255"/>
      <c r="C647" s="256"/>
      <c r="D647" s="257" t="str">
        <f t="shared" si="62"/>
        <v/>
      </c>
      <c r="F647" s="257" t="str">
        <f t="shared" si="63"/>
        <v/>
      </c>
      <c r="G647" s="257" t="str">
        <f t="shared" si="64"/>
        <v/>
      </c>
      <c r="H647" s="257" t="str">
        <f t="shared" si="65"/>
        <v/>
      </c>
    </row>
    <row r="648" spans="1:8" x14ac:dyDescent="0.25">
      <c r="A648" s="254" t="str">
        <f t="shared" ca="1" si="66"/>
        <v/>
      </c>
      <c r="B648" s="255"/>
      <c r="C648" s="256"/>
      <c r="D648" s="257" t="str">
        <f t="shared" si="62"/>
        <v/>
      </c>
      <c r="F648" s="257" t="str">
        <f t="shared" si="63"/>
        <v/>
      </c>
      <c r="G648" s="257" t="str">
        <f t="shared" si="64"/>
        <v/>
      </c>
      <c r="H648" s="257" t="str">
        <f t="shared" si="65"/>
        <v/>
      </c>
    </row>
    <row r="649" spans="1:8" x14ac:dyDescent="0.25">
      <c r="A649" s="254" t="str">
        <f t="shared" ca="1" si="66"/>
        <v/>
      </c>
      <c r="B649" s="255"/>
      <c r="C649" s="256"/>
      <c r="D649" s="257" t="str">
        <f t="shared" si="62"/>
        <v/>
      </c>
      <c r="F649" s="257" t="str">
        <f t="shared" si="63"/>
        <v/>
      </c>
      <c r="G649" s="257" t="str">
        <f t="shared" si="64"/>
        <v/>
      </c>
      <c r="H649" s="257" t="str">
        <f t="shared" si="65"/>
        <v/>
      </c>
    </row>
    <row r="650" spans="1:8" x14ac:dyDescent="0.25">
      <c r="A650" s="254" t="str">
        <f t="shared" ca="1" si="66"/>
        <v/>
      </c>
      <c r="B650" s="255"/>
      <c r="C650" s="256"/>
      <c r="D650" s="257" t="str">
        <f t="shared" si="62"/>
        <v/>
      </c>
      <c r="F650" s="257" t="str">
        <f t="shared" si="63"/>
        <v/>
      </c>
      <c r="G650" s="257" t="str">
        <f t="shared" si="64"/>
        <v/>
      </c>
      <c r="H650" s="257" t="str">
        <f t="shared" si="65"/>
        <v/>
      </c>
    </row>
    <row r="651" spans="1:8" x14ac:dyDescent="0.25">
      <c r="A651" s="254" t="str">
        <f t="shared" ca="1" si="66"/>
        <v/>
      </c>
      <c r="B651" s="255"/>
      <c r="C651" s="256"/>
      <c r="D651" s="257" t="str">
        <f t="shared" si="62"/>
        <v/>
      </c>
      <c r="F651" s="257" t="str">
        <f t="shared" si="63"/>
        <v/>
      </c>
      <c r="G651" s="257" t="str">
        <f t="shared" si="64"/>
        <v/>
      </c>
      <c r="H651" s="257" t="str">
        <f t="shared" si="65"/>
        <v/>
      </c>
    </row>
    <row r="652" spans="1:8" x14ac:dyDescent="0.25">
      <c r="A652" s="254" t="str">
        <f t="shared" ca="1" si="66"/>
        <v/>
      </c>
      <c r="B652" s="255"/>
      <c r="C652" s="256"/>
      <c r="D652" s="257" t="str">
        <f t="shared" si="62"/>
        <v/>
      </c>
      <c r="F652" s="257" t="str">
        <f t="shared" si="63"/>
        <v/>
      </c>
      <c r="G652" s="257" t="str">
        <f t="shared" si="64"/>
        <v/>
      </c>
      <c r="H652" s="257" t="str">
        <f t="shared" si="65"/>
        <v/>
      </c>
    </row>
    <row r="653" spans="1:8" x14ac:dyDescent="0.25">
      <c r="A653" s="254" t="str">
        <f t="shared" ca="1" si="66"/>
        <v/>
      </c>
      <c r="B653" s="255"/>
      <c r="C653" s="256"/>
      <c r="D653" s="257" t="str">
        <f t="shared" si="62"/>
        <v/>
      </c>
      <c r="F653" s="257" t="str">
        <f t="shared" si="63"/>
        <v/>
      </c>
      <c r="G653" s="257" t="str">
        <f t="shared" si="64"/>
        <v/>
      </c>
      <c r="H653" s="257" t="str">
        <f t="shared" si="65"/>
        <v/>
      </c>
    </row>
    <row r="654" spans="1:8" x14ac:dyDescent="0.25">
      <c r="A654" s="254" t="str">
        <f t="shared" ca="1" si="66"/>
        <v/>
      </c>
      <c r="B654" s="255"/>
      <c r="C654" s="256"/>
      <c r="D654" s="257" t="str">
        <f t="shared" si="62"/>
        <v/>
      </c>
      <c r="F654" s="257" t="str">
        <f t="shared" si="63"/>
        <v/>
      </c>
      <c r="G654" s="257" t="str">
        <f t="shared" si="64"/>
        <v/>
      </c>
      <c r="H654" s="257" t="str">
        <f t="shared" si="65"/>
        <v/>
      </c>
    </row>
    <row r="655" spans="1:8" x14ac:dyDescent="0.25">
      <c r="A655" s="254" t="str">
        <f t="shared" ca="1" si="66"/>
        <v/>
      </c>
      <c r="B655" s="255"/>
      <c r="C655" s="256"/>
      <c r="D655" s="257" t="str">
        <f t="shared" si="62"/>
        <v/>
      </c>
      <c r="F655" s="257" t="str">
        <f t="shared" si="63"/>
        <v/>
      </c>
      <c r="G655" s="257" t="str">
        <f t="shared" si="64"/>
        <v/>
      </c>
      <c r="H655" s="257" t="str">
        <f t="shared" si="65"/>
        <v/>
      </c>
    </row>
    <row r="656" spans="1:8" x14ac:dyDescent="0.25">
      <c r="A656" s="254" t="str">
        <f t="shared" ca="1" si="66"/>
        <v/>
      </c>
      <c r="B656" s="255"/>
      <c r="C656" s="256"/>
      <c r="D656" s="257" t="str">
        <f t="shared" si="62"/>
        <v/>
      </c>
      <c r="F656" s="257" t="str">
        <f t="shared" si="63"/>
        <v/>
      </c>
      <c r="G656" s="257" t="str">
        <f t="shared" si="64"/>
        <v/>
      </c>
      <c r="H656" s="257" t="str">
        <f t="shared" si="65"/>
        <v/>
      </c>
    </row>
    <row r="657" spans="1:8" x14ac:dyDescent="0.25">
      <c r="A657" s="254" t="str">
        <f t="shared" ca="1" si="66"/>
        <v/>
      </c>
      <c r="B657" s="255"/>
      <c r="C657" s="256"/>
      <c r="D657" s="257" t="str">
        <f t="shared" si="62"/>
        <v/>
      </c>
      <c r="F657" s="257" t="str">
        <f t="shared" si="63"/>
        <v/>
      </c>
      <c r="G657" s="257" t="str">
        <f t="shared" si="64"/>
        <v/>
      </c>
      <c r="H657" s="257" t="str">
        <f t="shared" si="65"/>
        <v/>
      </c>
    </row>
    <row r="658" spans="1:8" x14ac:dyDescent="0.25">
      <c r="A658" s="254" t="str">
        <f t="shared" ca="1" si="66"/>
        <v/>
      </c>
      <c r="B658" s="255"/>
      <c r="C658" s="256"/>
      <c r="D658" s="257" t="str">
        <f t="shared" si="62"/>
        <v/>
      </c>
      <c r="F658" s="257" t="str">
        <f t="shared" si="63"/>
        <v/>
      </c>
      <c r="G658" s="257" t="str">
        <f t="shared" si="64"/>
        <v/>
      </c>
      <c r="H658" s="257" t="str">
        <f t="shared" si="65"/>
        <v/>
      </c>
    </row>
    <row r="659" spans="1:8" x14ac:dyDescent="0.25">
      <c r="A659" s="254" t="str">
        <f t="shared" ca="1" si="66"/>
        <v/>
      </c>
      <c r="B659" s="255"/>
      <c r="C659" s="256"/>
      <c r="D659" s="257" t="str">
        <f t="shared" ref="D659:D722" si="67">IF(B659="","",ROUND((B659-B658)*$H$9*G658,2))</f>
        <v/>
      </c>
      <c r="F659" s="257" t="str">
        <f t="shared" ref="F659:F722" si="68">IF(B659="","",IF(C659&gt;F658+D659,0,F658+D659-C659))</f>
        <v/>
      </c>
      <c r="G659" s="257" t="str">
        <f t="shared" ref="G659:G722" si="69">IF(B659="","",IF(C659&gt;D659+F658,G658+F658+D659-C659,G658))</f>
        <v/>
      </c>
      <c r="H659" s="257" t="str">
        <f t="shared" ref="H659:H722" si="70">IF(B659="","",G659+F659)</f>
        <v/>
      </c>
    </row>
    <row r="660" spans="1:8" x14ac:dyDescent="0.25">
      <c r="A660" s="254" t="str">
        <f t="shared" ca="1" si="66"/>
        <v/>
      </c>
      <c r="B660" s="255"/>
      <c r="C660" s="256"/>
      <c r="D660" s="257" t="str">
        <f t="shared" si="67"/>
        <v/>
      </c>
      <c r="F660" s="257" t="str">
        <f t="shared" si="68"/>
        <v/>
      </c>
      <c r="G660" s="257" t="str">
        <f t="shared" si="69"/>
        <v/>
      </c>
      <c r="H660" s="257" t="str">
        <f t="shared" si="70"/>
        <v/>
      </c>
    </row>
    <row r="661" spans="1:8" x14ac:dyDescent="0.25">
      <c r="A661" s="254" t="str">
        <f t="shared" ca="1" si="66"/>
        <v/>
      </c>
      <c r="B661" s="255"/>
      <c r="C661" s="256"/>
      <c r="D661" s="257" t="str">
        <f t="shared" si="67"/>
        <v/>
      </c>
      <c r="F661" s="257" t="str">
        <f t="shared" si="68"/>
        <v/>
      </c>
      <c r="G661" s="257" t="str">
        <f t="shared" si="69"/>
        <v/>
      </c>
      <c r="H661" s="257" t="str">
        <f t="shared" si="70"/>
        <v/>
      </c>
    </row>
    <row r="662" spans="1:8" x14ac:dyDescent="0.25">
      <c r="A662" s="254" t="str">
        <f t="shared" ca="1" si="66"/>
        <v/>
      </c>
      <c r="B662" s="255"/>
      <c r="C662" s="256"/>
      <c r="D662" s="257" t="str">
        <f t="shared" si="67"/>
        <v/>
      </c>
      <c r="F662" s="257" t="str">
        <f t="shared" si="68"/>
        <v/>
      </c>
      <c r="G662" s="257" t="str">
        <f t="shared" si="69"/>
        <v/>
      </c>
      <c r="H662" s="257" t="str">
        <f t="shared" si="70"/>
        <v/>
      </c>
    </row>
    <row r="663" spans="1:8" x14ac:dyDescent="0.25">
      <c r="A663" s="254" t="str">
        <f t="shared" ca="1" si="66"/>
        <v/>
      </c>
      <c r="B663" s="255"/>
      <c r="C663" s="256"/>
      <c r="D663" s="257" t="str">
        <f t="shared" si="67"/>
        <v/>
      </c>
      <c r="F663" s="257" t="str">
        <f t="shared" si="68"/>
        <v/>
      </c>
      <c r="G663" s="257" t="str">
        <f t="shared" si="69"/>
        <v/>
      </c>
      <c r="H663" s="257" t="str">
        <f t="shared" si="70"/>
        <v/>
      </c>
    </row>
    <row r="664" spans="1:8" x14ac:dyDescent="0.25">
      <c r="A664" s="254" t="str">
        <f t="shared" ca="1" si="66"/>
        <v/>
      </c>
      <c r="B664" s="255"/>
      <c r="C664" s="256"/>
      <c r="D664" s="257" t="str">
        <f t="shared" si="67"/>
        <v/>
      </c>
      <c r="F664" s="257" t="str">
        <f t="shared" si="68"/>
        <v/>
      </c>
      <c r="G664" s="257" t="str">
        <f t="shared" si="69"/>
        <v/>
      </c>
      <c r="H664" s="257" t="str">
        <f t="shared" si="70"/>
        <v/>
      </c>
    </row>
    <row r="665" spans="1:8" x14ac:dyDescent="0.25">
      <c r="A665" s="254" t="str">
        <f t="shared" ca="1" si="66"/>
        <v/>
      </c>
      <c r="B665" s="255"/>
      <c r="C665" s="256"/>
      <c r="D665" s="257" t="str">
        <f t="shared" si="67"/>
        <v/>
      </c>
      <c r="F665" s="257" t="str">
        <f t="shared" si="68"/>
        <v/>
      </c>
      <c r="G665" s="257" t="str">
        <f t="shared" si="69"/>
        <v/>
      </c>
      <c r="H665" s="257" t="str">
        <f t="shared" si="70"/>
        <v/>
      </c>
    </row>
    <row r="666" spans="1:8" x14ac:dyDescent="0.25">
      <c r="A666" s="254" t="str">
        <f t="shared" ca="1" si="66"/>
        <v/>
      </c>
      <c r="B666" s="255"/>
      <c r="C666" s="256"/>
      <c r="D666" s="257" t="str">
        <f t="shared" si="67"/>
        <v/>
      </c>
      <c r="F666" s="257" t="str">
        <f t="shared" si="68"/>
        <v/>
      </c>
      <c r="G666" s="257" t="str">
        <f t="shared" si="69"/>
        <v/>
      </c>
      <c r="H666" s="257" t="str">
        <f t="shared" si="70"/>
        <v/>
      </c>
    </row>
    <row r="667" spans="1:8" x14ac:dyDescent="0.25">
      <c r="A667" s="254" t="str">
        <f t="shared" ca="1" si="66"/>
        <v/>
      </c>
      <c r="B667" s="255"/>
      <c r="C667" s="256"/>
      <c r="D667" s="257" t="str">
        <f t="shared" si="67"/>
        <v/>
      </c>
      <c r="F667" s="257" t="str">
        <f t="shared" si="68"/>
        <v/>
      </c>
      <c r="G667" s="257" t="str">
        <f t="shared" si="69"/>
        <v/>
      </c>
      <c r="H667" s="257" t="str">
        <f t="shared" si="70"/>
        <v/>
      </c>
    </row>
    <row r="668" spans="1:8" x14ac:dyDescent="0.25">
      <c r="A668" s="254" t="str">
        <f t="shared" ca="1" si="66"/>
        <v/>
      </c>
      <c r="B668" s="255"/>
      <c r="C668" s="256"/>
      <c r="D668" s="257" t="str">
        <f t="shared" si="67"/>
        <v/>
      </c>
      <c r="F668" s="257" t="str">
        <f t="shared" si="68"/>
        <v/>
      </c>
      <c r="G668" s="257" t="str">
        <f t="shared" si="69"/>
        <v/>
      </c>
      <c r="H668" s="257" t="str">
        <f t="shared" si="70"/>
        <v/>
      </c>
    </row>
    <row r="669" spans="1:8" x14ac:dyDescent="0.25">
      <c r="A669" s="254" t="str">
        <f t="shared" ca="1" si="66"/>
        <v/>
      </c>
      <c r="B669" s="255"/>
      <c r="C669" s="256"/>
      <c r="D669" s="257" t="str">
        <f t="shared" si="67"/>
        <v/>
      </c>
      <c r="F669" s="257" t="str">
        <f t="shared" si="68"/>
        <v/>
      </c>
      <c r="G669" s="257" t="str">
        <f t="shared" si="69"/>
        <v/>
      </c>
      <c r="H669" s="257" t="str">
        <f t="shared" si="70"/>
        <v/>
      </c>
    </row>
    <row r="670" spans="1:8" x14ac:dyDescent="0.25">
      <c r="A670" s="254" t="str">
        <f t="shared" ca="1" si="66"/>
        <v/>
      </c>
      <c r="B670" s="255"/>
      <c r="C670" s="256"/>
      <c r="D670" s="257" t="str">
        <f t="shared" si="67"/>
        <v/>
      </c>
      <c r="F670" s="257" t="str">
        <f t="shared" si="68"/>
        <v/>
      </c>
      <c r="G670" s="257" t="str">
        <f t="shared" si="69"/>
        <v/>
      </c>
      <c r="H670" s="257" t="str">
        <f t="shared" si="70"/>
        <v/>
      </c>
    </row>
    <row r="671" spans="1:8" x14ac:dyDescent="0.25">
      <c r="A671" s="254" t="str">
        <f t="shared" ca="1" si="66"/>
        <v/>
      </c>
      <c r="B671" s="255"/>
      <c r="C671" s="256"/>
      <c r="D671" s="257" t="str">
        <f t="shared" si="67"/>
        <v/>
      </c>
      <c r="F671" s="257" t="str">
        <f t="shared" si="68"/>
        <v/>
      </c>
      <c r="G671" s="257" t="str">
        <f t="shared" si="69"/>
        <v/>
      </c>
      <c r="H671" s="257" t="str">
        <f t="shared" si="70"/>
        <v/>
      </c>
    </row>
    <row r="672" spans="1:8" x14ac:dyDescent="0.25">
      <c r="A672" s="254" t="str">
        <f t="shared" ca="1" si="66"/>
        <v/>
      </c>
      <c r="B672" s="255"/>
      <c r="C672" s="256"/>
      <c r="D672" s="257" t="str">
        <f t="shared" si="67"/>
        <v/>
      </c>
      <c r="F672" s="257" t="str">
        <f t="shared" si="68"/>
        <v/>
      </c>
      <c r="G672" s="257" t="str">
        <f t="shared" si="69"/>
        <v/>
      </c>
      <c r="H672" s="257" t="str">
        <f t="shared" si="70"/>
        <v/>
      </c>
    </row>
    <row r="673" spans="1:8" x14ac:dyDescent="0.25">
      <c r="A673" s="254" t="str">
        <f t="shared" ca="1" si="66"/>
        <v/>
      </c>
      <c r="B673" s="255"/>
      <c r="C673" s="256"/>
      <c r="D673" s="257" t="str">
        <f t="shared" si="67"/>
        <v/>
      </c>
      <c r="F673" s="257" t="str">
        <f t="shared" si="68"/>
        <v/>
      </c>
      <c r="G673" s="257" t="str">
        <f t="shared" si="69"/>
        <v/>
      </c>
      <c r="H673" s="257" t="str">
        <f t="shared" si="70"/>
        <v/>
      </c>
    </row>
    <row r="674" spans="1:8" x14ac:dyDescent="0.25">
      <c r="A674" s="254" t="str">
        <f t="shared" ca="1" si="66"/>
        <v/>
      </c>
      <c r="B674" s="255"/>
      <c r="C674" s="256"/>
      <c r="D674" s="257" t="str">
        <f t="shared" si="67"/>
        <v/>
      </c>
      <c r="F674" s="257" t="str">
        <f t="shared" si="68"/>
        <v/>
      </c>
      <c r="G674" s="257" t="str">
        <f t="shared" si="69"/>
        <v/>
      </c>
      <c r="H674" s="257" t="str">
        <f t="shared" si="70"/>
        <v/>
      </c>
    </row>
    <row r="675" spans="1:8" x14ac:dyDescent="0.25">
      <c r="A675" s="254" t="str">
        <f t="shared" ca="1" si="66"/>
        <v/>
      </c>
      <c r="B675" s="255"/>
      <c r="C675" s="256"/>
      <c r="D675" s="257" t="str">
        <f t="shared" si="67"/>
        <v/>
      </c>
      <c r="F675" s="257" t="str">
        <f t="shared" si="68"/>
        <v/>
      </c>
      <c r="G675" s="257" t="str">
        <f t="shared" si="69"/>
        <v/>
      </c>
      <c r="H675" s="257" t="str">
        <f t="shared" si="70"/>
        <v/>
      </c>
    </row>
    <row r="676" spans="1:8" x14ac:dyDescent="0.25">
      <c r="A676" s="254" t="str">
        <f t="shared" ca="1" si="66"/>
        <v/>
      </c>
      <c r="B676" s="255"/>
      <c r="C676" s="256"/>
      <c r="D676" s="257" t="str">
        <f t="shared" si="67"/>
        <v/>
      </c>
      <c r="F676" s="257" t="str">
        <f t="shared" si="68"/>
        <v/>
      </c>
      <c r="G676" s="257" t="str">
        <f t="shared" si="69"/>
        <v/>
      </c>
      <c r="H676" s="257" t="str">
        <f t="shared" si="70"/>
        <v/>
      </c>
    </row>
    <row r="677" spans="1:8" x14ac:dyDescent="0.25">
      <c r="A677" s="254" t="str">
        <f t="shared" ca="1" si="66"/>
        <v/>
      </c>
      <c r="B677" s="255"/>
      <c r="C677" s="256"/>
      <c r="D677" s="257" t="str">
        <f t="shared" si="67"/>
        <v/>
      </c>
      <c r="F677" s="257" t="str">
        <f t="shared" si="68"/>
        <v/>
      </c>
      <c r="G677" s="257" t="str">
        <f t="shared" si="69"/>
        <v/>
      </c>
      <c r="H677" s="257" t="str">
        <f t="shared" si="70"/>
        <v/>
      </c>
    </row>
    <row r="678" spans="1:8" x14ac:dyDescent="0.25">
      <c r="A678" s="254" t="str">
        <f t="shared" ca="1" si="66"/>
        <v/>
      </c>
      <c r="B678" s="255"/>
      <c r="C678" s="256"/>
      <c r="D678" s="257" t="str">
        <f t="shared" si="67"/>
        <v/>
      </c>
      <c r="F678" s="257" t="str">
        <f t="shared" si="68"/>
        <v/>
      </c>
      <c r="G678" s="257" t="str">
        <f t="shared" si="69"/>
        <v/>
      </c>
      <c r="H678" s="257" t="str">
        <f t="shared" si="70"/>
        <v/>
      </c>
    </row>
    <row r="679" spans="1:8" x14ac:dyDescent="0.25">
      <c r="A679" s="254" t="str">
        <f t="shared" ca="1" si="66"/>
        <v/>
      </c>
      <c r="B679" s="255"/>
      <c r="C679" s="256"/>
      <c r="D679" s="257" t="str">
        <f t="shared" si="67"/>
        <v/>
      </c>
      <c r="F679" s="257" t="str">
        <f t="shared" si="68"/>
        <v/>
      </c>
      <c r="G679" s="257" t="str">
        <f t="shared" si="69"/>
        <v/>
      </c>
      <c r="H679" s="257" t="str">
        <f t="shared" si="70"/>
        <v/>
      </c>
    </row>
    <row r="680" spans="1:8" x14ac:dyDescent="0.25">
      <c r="A680" s="254" t="str">
        <f t="shared" ca="1" si="66"/>
        <v/>
      </c>
      <c r="B680" s="255"/>
      <c r="C680" s="256"/>
      <c r="D680" s="257" t="str">
        <f t="shared" si="67"/>
        <v/>
      </c>
      <c r="F680" s="257" t="str">
        <f t="shared" si="68"/>
        <v/>
      </c>
      <c r="G680" s="257" t="str">
        <f t="shared" si="69"/>
        <v/>
      </c>
      <c r="H680" s="257" t="str">
        <f t="shared" si="70"/>
        <v/>
      </c>
    </row>
    <row r="681" spans="1:8" x14ac:dyDescent="0.25">
      <c r="A681" s="254" t="str">
        <f t="shared" ref="A681:A744" ca="1" si="71">IF(OR(H680&lt;=0,H680=""),"",OFFSET(A681,-1,0,1,1)+1)</f>
        <v/>
      </c>
      <c r="B681" s="255"/>
      <c r="C681" s="256"/>
      <c r="D681" s="257" t="str">
        <f t="shared" si="67"/>
        <v/>
      </c>
      <c r="F681" s="257" t="str">
        <f t="shared" si="68"/>
        <v/>
      </c>
      <c r="G681" s="257" t="str">
        <f t="shared" si="69"/>
        <v/>
      </c>
      <c r="H681" s="257" t="str">
        <f t="shared" si="70"/>
        <v/>
      </c>
    </row>
    <row r="682" spans="1:8" x14ac:dyDescent="0.25">
      <c r="A682" s="254" t="str">
        <f t="shared" ca="1" si="71"/>
        <v/>
      </c>
      <c r="B682" s="255"/>
      <c r="C682" s="256"/>
      <c r="D682" s="257" t="str">
        <f t="shared" si="67"/>
        <v/>
      </c>
      <c r="F682" s="257" t="str">
        <f t="shared" si="68"/>
        <v/>
      </c>
      <c r="G682" s="257" t="str">
        <f t="shared" si="69"/>
        <v/>
      </c>
      <c r="H682" s="257" t="str">
        <f t="shared" si="70"/>
        <v/>
      </c>
    </row>
    <row r="683" spans="1:8" x14ac:dyDescent="0.25">
      <c r="A683" s="254" t="str">
        <f t="shared" ca="1" si="71"/>
        <v/>
      </c>
      <c r="B683" s="255"/>
      <c r="C683" s="256"/>
      <c r="D683" s="257" t="str">
        <f t="shared" si="67"/>
        <v/>
      </c>
      <c r="F683" s="257" t="str">
        <f t="shared" si="68"/>
        <v/>
      </c>
      <c r="G683" s="257" t="str">
        <f t="shared" si="69"/>
        <v/>
      </c>
      <c r="H683" s="257" t="str">
        <f t="shared" si="70"/>
        <v/>
      </c>
    </row>
    <row r="684" spans="1:8" x14ac:dyDescent="0.25">
      <c r="A684" s="254" t="str">
        <f t="shared" ca="1" si="71"/>
        <v/>
      </c>
      <c r="B684" s="255"/>
      <c r="C684" s="256"/>
      <c r="D684" s="257" t="str">
        <f t="shared" si="67"/>
        <v/>
      </c>
      <c r="F684" s="257" t="str">
        <f t="shared" si="68"/>
        <v/>
      </c>
      <c r="G684" s="257" t="str">
        <f t="shared" si="69"/>
        <v/>
      </c>
      <c r="H684" s="257" t="str">
        <f t="shared" si="70"/>
        <v/>
      </c>
    </row>
    <row r="685" spans="1:8" x14ac:dyDescent="0.25">
      <c r="A685" s="254" t="str">
        <f t="shared" ca="1" si="71"/>
        <v/>
      </c>
      <c r="B685" s="255"/>
      <c r="C685" s="256"/>
      <c r="D685" s="257" t="str">
        <f t="shared" si="67"/>
        <v/>
      </c>
      <c r="F685" s="257" t="str">
        <f t="shared" si="68"/>
        <v/>
      </c>
      <c r="G685" s="257" t="str">
        <f t="shared" si="69"/>
        <v/>
      </c>
      <c r="H685" s="257" t="str">
        <f t="shared" si="70"/>
        <v/>
      </c>
    </row>
    <row r="686" spans="1:8" x14ac:dyDescent="0.25">
      <c r="A686" s="254" t="str">
        <f t="shared" ca="1" si="71"/>
        <v/>
      </c>
      <c r="B686" s="255"/>
      <c r="C686" s="256"/>
      <c r="D686" s="257" t="str">
        <f t="shared" si="67"/>
        <v/>
      </c>
      <c r="F686" s="257" t="str">
        <f t="shared" si="68"/>
        <v/>
      </c>
      <c r="G686" s="257" t="str">
        <f t="shared" si="69"/>
        <v/>
      </c>
      <c r="H686" s="257" t="str">
        <f t="shared" si="70"/>
        <v/>
      </c>
    </row>
    <row r="687" spans="1:8" x14ac:dyDescent="0.25">
      <c r="A687" s="254" t="str">
        <f t="shared" ca="1" si="71"/>
        <v/>
      </c>
      <c r="B687" s="255"/>
      <c r="C687" s="256"/>
      <c r="D687" s="257" t="str">
        <f t="shared" si="67"/>
        <v/>
      </c>
      <c r="F687" s="257" t="str">
        <f t="shared" si="68"/>
        <v/>
      </c>
      <c r="G687" s="257" t="str">
        <f t="shared" si="69"/>
        <v/>
      </c>
      <c r="H687" s="257" t="str">
        <f t="shared" si="70"/>
        <v/>
      </c>
    </row>
    <row r="688" spans="1:8" x14ac:dyDescent="0.25">
      <c r="A688" s="254" t="str">
        <f t="shared" ca="1" si="71"/>
        <v/>
      </c>
      <c r="B688" s="255"/>
      <c r="C688" s="256"/>
      <c r="D688" s="257" t="str">
        <f t="shared" si="67"/>
        <v/>
      </c>
      <c r="F688" s="257" t="str">
        <f t="shared" si="68"/>
        <v/>
      </c>
      <c r="G688" s="257" t="str">
        <f t="shared" si="69"/>
        <v/>
      </c>
      <c r="H688" s="257" t="str">
        <f t="shared" si="70"/>
        <v/>
      </c>
    </row>
    <row r="689" spans="1:8" x14ac:dyDescent="0.25">
      <c r="A689" s="254" t="str">
        <f t="shared" ca="1" si="71"/>
        <v/>
      </c>
      <c r="B689" s="255"/>
      <c r="C689" s="256"/>
      <c r="D689" s="257" t="str">
        <f t="shared" si="67"/>
        <v/>
      </c>
      <c r="F689" s="257" t="str">
        <f t="shared" si="68"/>
        <v/>
      </c>
      <c r="G689" s="257" t="str">
        <f t="shared" si="69"/>
        <v/>
      </c>
      <c r="H689" s="257" t="str">
        <f t="shared" si="70"/>
        <v/>
      </c>
    </row>
    <row r="690" spans="1:8" x14ac:dyDescent="0.25">
      <c r="A690" s="254" t="str">
        <f t="shared" ca="1" si="71"/>
        <v/>
      </c>
      <c r="B690" s="255"/>
      <c r="C690" s="256"/>
      <c r="D690" s="257" t="str">
        <f t="shared" si="67"/>
        <v/>
      </c>
      <c r="F690" s="257" t="str">
        <f t="shared" si="68"/>
        <v/>
      </c>
      <c r="G690" s="257" t="str">
        <f t="shared" si="69"/>
        <v/>
      </c>
      <c r="H690" s="257" t="str">
        <f t="shared" si="70"/>
        <v/>
      </c>
    </row>
    <row r="691" spans="1:8" x14ac:dyDescent="0.25">
      <c r="A691" s="254" t="str">
        <f t="shared" ca="1" si="71"/>
        <v/>
      </c>
      <c r="B691" s="255"/>
      <c r="C691" s="256"/>
      <c r="D691" s="257" t="str">
        <f t="shared" si="67"/>
        <v/>
      </c>
      <c r="F691" s="257" t="str">
        <f t="shared" si="68"/>
        <v/>
      </c>
      <c r="G691" s="257" t="str">
        <f t="shared" si="69"/>
        <v/>
      </c>
      <c r="H691" s="257" t="str">
        <f t="shared" si="70"/>
        <v/>
      </c>
    </row>
    <row r="692" spans="1:8" x14ac:dyDescent="0.25">
      <c r="A692" s="254" t="str">
        <f t="shared" ca="1" si="71"/>
        <v/>
      </c>
      <c r="B692" s="255"/>
      <c r="C692" s="256"/>
      <c r="D692" s="257" t="str">
        <f t="shared" si="67"/>
        <v/>
      </c>
      <c r="F692" s="257" t="str">
        <f t="shared" si="68"/>
        <v/>
      </c>
      <c r="G692" s="257" t="str">
        <f t="shared" si="69"/>
        <v/>
      </c>
      <c r="H692" s="257" t="str">
        <f t="shared" si="70"/>
        <v/>
      </c>
    </row>
    <row r="693" spans="1:8" x14ac:dyDescent="0.25">
      <c r="A693" s="254" t="str">
        <f t="shared" ca="1" si="71"/>
        <v/>
      </c>
      <c r="B693" s="255"/>
      <c r="C693" s="256"/>
      <c r="D693" s="257" t="str">
        <f t="shared" si="67"/>
        <v/>
      </c>
      <c r="F693" s="257" t="str">
        <f t="shared" si="68"/>
        <v/>
      </c>
      <c r="G693" s="257" t="str">
        <f t="shared" si="69"/>
        <v/>
      </c>
      <c r="H693" s="257" t="str">
        <f t="shared" si="70"/>
        <v/>
      </c>
    </row>
    <row r="694" spans="1:8" x14ac:dyDescent="0.25">
      <c r="A694" s="254" t="str">
        <f t="shared" ca="1" si="71"/>
        <v/>
      </c>
      <c r="B694" s="255"/>
      <c r="C694" s="256"/>
      <c r="D694" s="257" t="str">
        <f t="shared" si="67"/>
        <v/>
      </c>
      <c r="F694" s="257" t="str">
        <f t="shared" si="68"/>
        <v/>
      </c>
      <c r="G694" s="257" t="str">
        <f t="shared" si="69"/>
        <v/>
      </c>
      <c r="H694" s="257" t="str">
        <f t="shared" si="70"/>
        <v/>
      </c>
    </row>
    <row r="695" spans="1:8" x14ac:dyDescent="0.25">
      <c r="A695" s="254" t="str">
        <f t="shared" ca="1" si="71"/>
        <v/>
      </c>
      <c r="B695" s="255"/>
      <c r="C695" s="256"/>
      <c r="D695" s="257" t="str">
        <f t="shared" si="67"/>
        <v/>
      </c>
      <c r="F695" s="257" t="str">
        <f t="shared" si="68"/>
        <v/>
      </c>
      <c r="G695" s="257" t="str">
        <f t="shared" si="69"/>
        <v/>
      </c>
      <c r="H695" s="257" t="str">
        <f t="shared" si="70"/>
        <v/>
      </c>
    </row>
    <row r="696" spans="1:8" x14ac:dyDescent="0.25">
      <c r="A696" s="254" t="str">
        <f t="shared" ca="1" si="71"/>
        <v/>
      </c>
      <c r="B696" s="255"/>
      <c r="C696" s="256"/>
      <c r="D696" s="257" t="str">
        <f t="shared" si="67"/>
        <v/>
      </c>
      <c r="F696" s="257" t="str">
        <f t="shared" si="68"/>
        <v/>
      </c>
      <c r="G696" s="257" t="str">
        <f t="shared" si="69"/>
        <v/>
      </c>
      <c r="H696" s="257" t="str">
        <f t="shared" si="70"/>
        <v/>
      </c>
    </row>
    <row r="697" spans="1:8" x14ac:dyDescent="0.25">
      <c r="A697" s="254" t="str">
        <f t="shared" ca="1" si="71"/>
        <v/>
      </c>
      <c r="B697" s="255"/>
      <c r="C697" s="256"/>
      <c r="D697" s="257" t="str">
        <f t="shared" si="67"/>
        <v/>
      </c>
      <c r="F697" s="257" t="str">
        <f t="shared" si="68"/>
        <v/>
      </c>
      <c r="G697" s="257" t="str">
        <f t="shared" si="69"/>
        <v/>
      </c>
      <c r="H697" s="257" t="str">
        <f t="shared" si="70"/>
        <v/>
      </c>
    </row>
    <row r="698" spans="1:8" x14ac:dyDescent="0.25">
      <c r="A698" s="254" t="str">
        <f t="shared" ca="1" si="71"/>
        <v/>
      </c>
      <c r="B698" s="255"/>
      <c r="C698" s="256"/>
      <c r="D698" s="257" t="str">
        <f t="shared" si="67"/>
        <v/>
      </c>
      <c r="F698" s="257" t="str">
        <f t="shared" si="68"/>
        <v/>
      </c>
      <c r="G698" s="257" t="str">
        <f t="shared" si="69"/>
        <v/>
      </c>
      <c r="H698" s="257" t="str">
        <f t="shared" si="70"/>
        <v/>
      </c>
    </row>
    <row r="699" spans="1:8" x14ac:dyDescent="0.25">
      <c r="A699" s="254" t="str">
        <f t="shared" ca="1" si="71"/>
        <v/>
      </c>
      <c r="B699" s="255"/>
      <c r="C699" s="256"/>
      <c r="D699" s="257" t="str">
        <f t="shared" si="67"/>
        <v/>
      </c>
      <c r="F699" s="257" t="str">
        <f t="shared" si="68"/>
        <v/>
      </c>
      <c r="G699" s="257" t="str">
        <f t="shared" si="69"/>
        <v/>
      </c>
      <c r="H699" s="257" t="str">
        <f t="shared" si="70"/>
        <v/>
      </c>
    </row>
    <row r="700" spans="1:8" x14ac:dyDescent="0.25">
      <c r="A700" s="254" t="str">
        <f t="shared" ca="1" si="71"/>
        <v/>
      </c>
      <c r="B700" s="255"/>
      <c r="C700" s="256"/>
      <c r="D700" s="257" t="str">
        <f t="shared" si="67"/>
        <v/>
      </c>
      <c r="F700" s="257" t="str">
        <f t="shared" si="68"/>
        <v/>
      </c>
      <c r="G700" s="257" t="str">
        <f t="shared" si="69"/>
        <v/>
      </c>
      <c r="H700" s="257" t="str">
        <f t="shared" si="70"/>
        <v/>
      </c>
    </row>
    <row r="701" spans="1:8" x14ac:dyDescent="0.25">
      <c r="A701" s="254" t="str">
        <f t="shared" ca="1" si="71"/>
        <v/>
      </c>
      <c r="B701" s="255"/>
      <c r="C701" s="256"/>
      <c r="D701" s="257" t="str">
        <f t="shared" si="67"/>
        <v/>
      </c>
      <c r="F701" s="257" t="str">
        <f t="shared" si="68"/>
        <v/>
      </c>
      <c r="G701" s="257" t="str">
        <f t="shared" si="69"/>
        <v/>
      </c>
      <c r="H701" s="257" t="str">
        <f t="shared" si="70"/>
        <v/>
      </c>
    </row>
    <row r="702" spans="1:8" x14ac:dyDescent="0.25">
      <c r="A702" s="254" t="str">
        <f t="shared" ca="1" si="71"/>
        <v/>
      </c>
      <c r="B702" s="255"/>
      <c r="C702" s="256"/>
      <c r="D702" s="257" t="str">
        <f t="shared" si="67"/>
        <v/>
      </c>
      <c r="F702" s="257" t="str">
        <f t="shared" si="68"/>
        <v/>
      </c>
      <c r="G702" s="257" t="str">
        <f t="shared" si="69"/>
        <v/>
      </c>
      <c r="H702" s="257" t="str">
        <f t="shared" si="70"/>
        <v/>
      </c>
    </row>
    <row r="703" spans="1:8" x14ac:dyDescent="0.25">
      <c r="A703" s="254" t="str">
        <f t="shared" ca="1" si="71"/>
        <v/>
      </c>
      <c r="B703" s="255"/>
      <c r="C703" s="256"/>
      <c r="D703" s="257" t="str">
        <f t="shared" si="67"/>
        <v/>
      </c>
      <c r="F703" s="257" t="str">
        <f t="shared" si="68"/>
        <v/>
      </c>
      <c r="G703" s="257" t="str">
        <f t="shared" si="69"/>
        <v/>
      </c>
      <c r="H703" s="257" t="str">
        <f t="shared" si="70"/>
        <v/>
      </c>
    </row>
    <row r="704" spans="1:8" x14ac:dyDescent="0.25">
      <c r="A704" s="254" t="str">
        <f t="shared" ca="1" si="71"/>
        <v/>
      </c>
      <c r="B704" s="255"/>
      <c r="C704" s="256"/>
      <c r="D704" s="257" t="str">
        <f t="shared" si="67"/>
        <v/>
      </c>
      <c r="F704" s="257" t="str">
        <f t="shared" si="68"/>
        <v/>
      </c>
      <c r="G704" s="257" t="str">
        <f t="shared" si="69"/>
        <v/>
      </c>
      <c r="H704" s="257" t="str">
        <f t="shared" si="70"/>
        <v/>
      </c>
    </row>
    <row r="705" spans="1:8" x14ac:dyDescent="0.25">
      <c r="A705" s="254" t="str">
        <f t="shared" ca="1" si="71"/>
        <v/>
      </c>
      <c r="B705" s="255"/>
      <c r="C705" s="256"/>
      <c r="D705" s="257" t="str">
        <f t="shared" si="67"/>
        <v/>
      </c>
      <c r="F705" s="257" t="str">
        <f t="shared" si="68"/>
        <v/>
      </c>
      <c r="G705" s="257" t="str">
        <f t="shared" si="69"/>
        <v/>
      </c>
      <c r="H705" s="257" t="str">
        <f t="shared" si="70"/>
        <v/>
      </c>
    </row>
    <row r="706" spans="1:8" x14ac:dyDescent="0.25">
      <c r="A706" s="254" t="str">
        <f t="shared" ca="1" si="71"/>
        <v/>
      </c>
      <c r="B706" s="255"/>
      <c r="C706" s="256"/>
      <c r="D706" s="257" t="str">
        <f t="shared" si="67"/>
        <v/>
      </c>
      <c r="F706" s="257" t="str">
        <f t="shared" si="68"/>
        <v/>
      </c>
      <c r="G706" s="257" t="str">
        <f t="shared" si="69"/>
        <v/>
      </c>
      <c r="H706" s="257" t="str">
        <f t="shared" si="70"/>
        <v/>
      </c>
    </row>
    <row r="707" spans="1:8" x14ac:dyDescent="0.25">
      <c r="A707" s="254" t="str">
        <f t="shared" ca="1" si="71"/>
        <v/>
      </c>
      <c r="B707" s="255"/>
      <c r="C707" s="256"/>
      <c r="D707" s="257" t="str">
        <f t="shared" si="67"/>
        <v/>
      </c>
      <c r="F707" s="257" t="str">
        <f t="shared" si="68"/>
        <v/>
      </c>
      <c r="G707" s="257" t="str">
        <f t="shared" si="69"/>
        <v/>
      </c>
      <c r="H707" s="257" t="str">
        <f t="shared" si="70"/>
        <v/>
      </c>
    </row>
    <row r="708" spans="1:8" x14ac:dyDescent="0.25">
      <c r="A708" s="254" t="str">
        <f t="shared" ca="1" si="71"/>
        <v/>
      </c>
      <c r="B708" s="255"/>
      <c r="C708" s="256"/>
      <c r="D708" s="257" t="str">
        <f t="shared" si="67"/>
        <v/>
      </c>
      <c r="F708" s="257" t="str">
        <f t="shared" si="68"/>
        <v/>
      </c>
      <c r="G708" s="257" t="str">
        <f t="shared" si="69"/>
        <v/>
      </c>
      <c r="H708" s="257" t="str">
        <f t="shared" si="70"/>
        <v/>
      </c>
    </row>
    <row r="709" spans="1:8" x14ac:dyDescent="0.25">
      <c r="A709" s="254" t="str">
        <f t="shared" ca="1" si="71"/>
        <v/>
      </c>
      <c r="B709" s="255"/>
      <c r="C709" s="256"/>
      <c r="D709" s="257" t="str">
        <f t="shared" si="67"/>
        <v/>
      </c>
      <c r="F709" s="257" t="str">
        <f t="shared" si="68"/>
        <v/>
      </c>
      <c r="G709" s="257" t="str">
        <f t="shared" si="69"/>
        <v/>
      </c>
      <c r="H709" s="257" t="str">
        <f t="shared" si="70"/>
        <v/>
      </c>
    </row>
    <row r="710" spans="1:8" x14ac:dyDescent="0.25">
      <c r="A710" s="254" t="str">
        <f t="shared" ca="1" si="71"/>
        <v/>
      </c>
      <c r="B710" s="255"/>
      <c r="C710" s="256"/>
      <c r="D710" s="257" t="str">
        <f t="shared" si="67"/>
        <v/>
      </c>
      <c r="F710" s="257" t="str">
        <f t="shared" si="68"/>
        <v/>
      </c>
      <c r="G710" s="257" t="str">
        <f t="shared" si="69"/>
        <v/>
      </c>
      <c r="H710" s="257" t="str">
        <f t="shared" si="70"/>
        <v/>
      </c>
    </row>
    <row r="711" spans="1:8" x14ac:dyDescent="0.25">
      <c r="A711" s="254" t="str">
        <f t="shared" ca="1" si="71"/>
        <v/>
      </c>
      <c r="B711" s="255"/>
      <c r="C711" s="256"/>
      <c r="D711" s="257" t="str">
        <f t="shared" si="67"/>
        <v/>
      </c>
      <c r="F711" s="257" t="str">
        <f t="shared" si="68"/>
        <v/>
      </c>
      <c r="G711" s="257" t="str">
        <f t="shared" si="69"/>
        <v/>
      </c>
      <c r="H711" s="257" t="str">
        <f t="shared" si="70"/>
        <v/>
      </c>
    </row>
    <row r="712" spans="1:8" x14ac:dyDescent="0.25">
      <c r="A712" s="254" t="str">
        <f t="shared" ca="1" si="71"/>
        <v/>
      </c>
      <c r="B712" s="255"/>
      <c r="C712" s="256"/>
      <c r="D712" s="257" t="str">
        <f t="shared" si="67"/>
        <v/>
      </c>
      <c r="F712" s="257" t="str">
        <f t="shared" si="68"/>
        <v/>
      </c>
      <c r="G712" s="257" t="str">
        <f t="shared" si="69"/>
        <v/>
      </c>
      <c r="H712" s="257" t="str">
        <f t="shared" si="70"/>
        <v/>
      </c>
    </row>
    <row r="713" spans="1:8" x14ac:dyDescent="0.25">
      <c r="A713" s="254" t="str">
        <f t="shared" ca="1" si="71"/>
        <v/>
      </c>
      <c r="B713" s="255"/>
      <c r="C713" s="256"/>
      <c r="D713" s="257" t="str">
        <f t="shared" si="67"/>
        <v/>
      </c>
      <c r="F713" s="257" t="str">
        <f t="shared" si="68"/>
        <v/>
      </c>
      <c r="G713" s="257" t="str">
        <f t="shared" si="69"/>
        <v/>
      </c>
      <c r="H713" s="257" t="str">
        <f t="shared" si="70"/>
        <v/>
      </c>
    </row>
    <row r="714" spans="1:8" x14ac:dyDescent="0.25">
      <c r="A714" s="254" t="str">
        <f t="shared" ca="1" si="71"/>
        <v/>
      </c>
      <c r="B714" s="255"/>
      <c r="C714" s="256"/>
      <c r="D714" s="257" t="str">
        <f t="shared" si="67"/>
        <v/>
      </c>
      <c r="F714" s="257" t="str">
        <f t="shared" si="68"/>
        <v/>
      </c>
      <c r="G714" s="257" t="str">
        <f t="shared" si="69"/>
        <v/>
      </c>
      <c r="H714" s="257" t="str">
        <f t="shared" si="70"/>
        <v/>
      </c>
    </row>
    <row r="715" spans="1:8" x14ac:dyDescent="0.25">
      <c r="A715" s="254" t="str">
        <f t="shared" ca="1" si="71"/>
        <v/>
      </c>
      <c r="B715" s="255"/>
      <c r="C715" s="256"/>
      <c r="D715" s="257" t="str">
        <f t="shared" si="67"/>
        <v/>
      </c>
      <c r="F715" s="257" t="str">
        <f t="shared" si="68"/>
        <v/>
      </c>
      <c r="G715" s="257" t="str">
        <f t="shared" si="69"/>
        <v/>
      </c>
      <c r="H715" s="257" t="str">
        <f t="shared" si="70"/>
        <v/>
      </c>
    </row>
    <row r="716" spans="1:8" x14ac:dyDescent="0.25">
      <c r="A716" s="254" t="str">
        <f t="shared" ca="1" si="71"/>
        <v/>
      </c>
      <c r="B716" s="255"/>
      <c r="C716" s="256"/>
      <c r="D716" s="257" t="str">
        <f t="shared" si="67"/>
        <v/>
      </c>
      <c r="F716" s="257" t="str">
        <f t="shared" si="68"/>
        <v/>
      </c>
      <c r="G716" s="257" t="str">
        <f t="shared" si="69"/>
        <v/>
      </c>
      <c r="H716" s="257" t="str">
        <f t="shared" si="70"/>
        <v/>
      </c>
    </row>
    <row r="717" spans="1:8" x14ac:dyDescent="0.25">
      <c r="A717" s="254" t="str">
        <f t="shared" ca="1" si="71"/>
        <v/>
      </c>
      <c r="B717" s="255"/>
      <c r="C717" s="256"/>
      <c r="D717" s="257" t="str">
        <f t="shared" si="67"/>
        <v/>
      </c>
      <c r="F717" s="257" t="str">
        <f t="shared" si="68"/>
        <v/>
      </c>
      <c r="G717" s="257" t="str">
        <f t="shared" si="69"/>
        <v/>
      </c>
      <c r="H717" s="257" t="str">
        <f t="shared" si="70"/>
        <v/>
      </c>
    </row>
    <row r="718" spans="1:8" x14ac:dyDescent="0.25">
      <c r="A718" s="254" t="str">
        <f t="shared" ca="1" si="71"/>
        <v/>
      </c>
      <c r="B718" s="255"/>
      <c r="C718" s="256"/>
      <c r="D718" s="257" t="str">
        <f t="shared" si="67"/>
        <v/>
      </c>
      <c r="F718" s="257" t="str">
        <f t="shared" si="68"/>
        <v/>
      </c>
      <c r="G718" s="257" t="str">
        <f t="shared" si="69"/>
        <v/>
      </c>
      <c r="H718" s="257" t="str">
        <f t="shared" si="70"/>
        <v/>
      </c>
    </row>
    <row r="719" spans="1:8" x14ac:dyDescent="0.25">
      <c r="A719" s="254" t="str">
        <f t="shared" ca="1" si="71"/>
        <v/>
      </c>
      <c r="B719" s="255"/>
      <c r="C719" s="256"/>
      <c r="D719" s="257" t="str">
        <f t="shared" si="67"/>
        <v/>
      </c>
      <c r="F719" s="257" t="str">
        <f t="shared" si="68"/>
        <v/>
      </c>
      <c r="G719" s="257" t="str">
        <f t="shared" si="69"/>
        <v/>
      </c>
      <c r="H719" s="257" t="str">
        <f t="shared" si="70"/>
        <v/>
      </c>
    </row>
    <row r="720" spans="1:8" x14ac:dyDescent="0.25">
      <c r="A720" s="254" t="str">
        <f t="shared" ca="1" si="71"/>
        <v/>
      </c>
      <c r="B720" s="255"/>
      <c r="C720" s="256"/>
      <c r="D720" s="257" t="str">
        <f t="shared" si="67"/>
        <v/>
      </c>
      <c r="F720" s="257" t="str">
        <f t="shared" si="68"/>
        <v/>
      </c>
      <c r="G720" s="257" t="str">
        <f t="shared" si="69"/>
        <v/>
      </c>
      <c r="H720" s="257" t="str">
        <f t="shared" si="70"/>
        <v/>
      </c>
    </row>
    <row r="721" spans="1:8" x14ac:dyDescent="0.25">
      <c r="A721" s="254" t="str">
        <f t="shared" ca="1" si="71"/>
        <v/>
      </c>
      <c r="B721" s="255"/>
      <c r="C721" s="256"/>
      <c r="D721" s="257" t="str">
        <f t="shared" si="67"/>
        <v/>
      </c>
      <c r="F721" s="257" t="str">
        <f t="shared" si="68"/>
        <v/>
      </c>
      <c r="G721" s="257" t="str">
        <f t="shared" si="69"/>
        <v/>
      </c>
      <c r="H721" s="257" t="str">
        <f t="shared" si="70"/>
        <v/>
      </c>
    </row>
    <row r="722" spans="1:8" x14ac:dyDescent="0.25">
      <c r="A722" s="254" t="str">
        <f t="shared" ca="1" si="71"/>
        <v/>
      </c>
      <c r="B722" s="255"/>
      <c r="C722" s="256"/>
      <c r="D722" s="257" t="str">
        <f t="shared" si="67"/>
        <v/>
      </c>
      <c r="F722" s="257" t="str">
        <f t="shared" si="68"/>
        <v/>
      </c>
      <c r="G722" s="257" t="str">
        <f t="shared" si="69"/>
        <v/>
      </c>
      <c r="H722" s="257" t="str">
        <f t="shared" si="70"/>
        <v/>
      </c>
    </row>
    <row r="723" spans="1:8" x14ac:dyDescent="0.25">
      <c r="A723" s="254" t="str">
        <f t="shared" ca="1" si="71"/>
        <v/>
      </c>
      <c r="B723" s="255"/>
      <c r="C723" s="256"/>
      <c r="D723" s="257" t="str">
        <f t="shared" ref="D723:D786" si="72">IF(B723="","",ROUND((B723-B722)*$H$9*G722,2))</f>
        <v/>
      </c>
      <c r="F723" s="257" t="str">
        <f t="shared" ref="F723:F786" si="73">IF(B723="","",IF(C723&gt;F722+D723,0,F722+D723-C723))</f>
        <v/>
      </c>
      <c r="G723" s="257" t="str">
        <f t="shared" ref="G723:G786" si="74">IF(B723="","",IF(C723&gt;D723+F722,G722+F722+D723-C723,G722))</f>
        <v/>
      </c>
      <c r="H723" s="257" t="str">
        <f t="shared" ref="H723:H786" si="75">IF(B723="","",G723+F723)</f>
        <v/>
      </c>
    </row>
    <row r="724" spans="1:8" x14ac:dyDescent="0.25">
      <c r="A724" s="254" t="str">
        <f t="shared" ca="1" si="71"/>
        <v/>
      </c>
      <c r="B724" s="255"/>
      <c r="C724" s="256"/>
      <c r="D724" s="257" t="str">
        <f t="shared" si="72"/>
        <v/>
      </c>
      <c r="F724" s="257" t="str">
        <f t="shared" si="73"/>
        <v/>
      </c>
      <c r="G724" s="257" t="str">
        <f t="shared" si="74"/>
        <v/>
      </c>
      <c r="H724" s="257" t="str">
        <f t="shared" si="75"/>
        <v/>
      </c>
    </row>
    <row r="725" spans="1:8" x14ac:dyDescent="0.25">
      <c r="A725" s="254" t="str">
        <f t="shared" ca="1" si="71"/>
        <v/>
      </c>
      <c r="B725" s="255"/>
      <c r="C725" s="256"/>
      <c r="D725" s="257" t="str">
        <f t="shared" si="72"/>
        <v/>
      </c>
      <c r="F725" s="257" t="str">
        <f t="shared" si="73"/>
        <v/>
      </c>
      <c r="G725" s="257" t="str">
        <f t="shared" si="74"/>
        <v/>
      </c>
      <c r="H725" s="257" t="str">
        <f t="shared" si="75"/>
        <v/>
      </c>
    </row>
    <row r="726" spans="1:8" x14ac:dyDescent="0.25">
      <c r="A726" s="254" t="str">
        <f t="shared" ca="1" si="71"/>
        <v/>
      </c>
      <c r="B726" s="255"/>
      <c r="C726" s="256"/>
      <c r="D726" s="257" t="str">
        <f t="shared" si="72"/>
        <v/>
      </c>
      <c r="F726" s="257" t="str">
        <f t="shared" si="73"/>
        <v/>
      </c>
      <c r="G726" s="257" t="str">
        <f t="shared" si="74"/>
        <v/>
      </c>
      <c r="H726" s="257" t="str">
        <f t="shared" si="75"/>
        <v/>
      </c>
    </row>
    <row r="727" spans="1:8" x14ac:dyDescent="0.25">
      <c r="A727" s="254" t="str">
        <f t="shared" ca="1" si="71"/>
        <v/>
      </c>
      <c r="B727" s="255"/>
      <c r="C727" s="256"/>
      <c r="D727" s="257" t="str">
        <f t="shared" si="72"/>
        <v/>
      </c>
      <c r="F727" s="257" t="str">
        <f t="shared" si="73"/>
        <v/>
      </c>
      <c r="G727" s="257" t="str">
        <f t="shared" si="74"/>
        <v/>
      </c>
      <c r="H727" s="257" t="str">
        <f t="shared" si="75"/>
        <v/>
      </c>
    </row>
    <row r="728" spans="1:8" x14ac:dyDescent="0.25">
      <c r="A728" s="254" t="str">
        <f t="shared" ca="1" si="71"/>
        <v/>
      </c>
      <c r="B728" s="255"/>
      <c r="C728" s="256"/>
      <c r="D728" s="257" t="str">
        <f t="shared" si="72"/>
        <v/>
      </c>
      <c r="F728" s="257" t="str">
        <f t="shared" si="73"/>
        <v/>
      </c>
      <c r="G728" s="257" t="str">
        <f t="shared" si="74"/>
        <v/>
      </c>
      <c r="H728" s="257" t="str">
        <f t="shared" si="75"/>
        <v/>
      </c>
    </row>
    <row r="729" spans="1:8" x14ac:dyDescent="0.25">
      <c r="A729" s="254" t="str">
        <f t="shared" ca="1" si="71"/>
        <v/>
      </c>
      <c r="B729" s="255"/>
      <c r="C729" s="256"/>
      <c r="D729" s="257" t="str">
        <f t="shared" si="72"/>
        <v/>
      </c>
      <c r="F729" s="257" t="str">
        <f t="shared" si="73"/>
        <v/>
      </c>
      <c r="G729" s="257" t="str">
        <f t="shared" si="74"/>
        <v/>
      </c>
      <c r="H729" s="257" t="str">
        <f t="shared" si="75"/>
        <v/>
      </c>
    </row>
    <row r="730" spans="1:8" x14ac:dyDescent="0.25">
      <c r="A730" s="254" t="str">
        <f t="shared" ca="1" si="71"/>
        <v/>
      </c>
      <c r="B730" s="255"/>
      <c r="C730" s="256"/>
      <c r="D730" s="257" t="str">
        <f t="shared" si="72"/>
        <v/>
      </c>
      <c r="F730" s="257" t="str">
        <f t="shared" si="73"/>
        <v/>
      </c>
      <c r="G730" s="257" t="str">
        <f t="shared" si="74"/>
        <v/>
      </c>
      <c r="H730" s="257" t="str">
        <f t="shared" si="75"/>
        <v/>
      </c>
    </row>
    <row r="731" spans="1:8" x14ac:dyDescent="0.25">
      <c r="A731" s="254" t="str">
        <f t="shared" ca="1" si="71"/>
        <v/>
      </c>
      <c r="B731" s="255"/>
      <c r="C731" s="256"/>
      <c r="D731" s="257" t="str">
        <f t="shared" si="72"/>
        <v/>
      </c>
      <c r="F731" s="257" t="str">
        <f t="shared" si="73"/>
        <v/>
      </c>
      <c r="G731" s="257" t="str">
        <f t="shared" si="74"/>
        <v/>
      </c>
      <c r="H731" s="257" t="str">
        <f t="shared" si="75"/>
        <v/>
      </c>
    </row>
    <row r="732" spans="1:8" x14ac:dyDescent="0.25">
      <c r="A732" s="254" t="str">
        <f t="shared" ca="1" si="71"/>
        <v/>
      </c>
      <c r="B732" s="255"/>
      <c r="C732" s="256"/>
      <c r="D732" s="257" t="str">
        <f t="shared" si="72"/>
        <v/>
      </c>
      <c r="F732" s="257" t="str">
        <f t="shared" si="73"/>
        <v/>
      </c>
      <c r="G732" s="257" t="str">
        <f t="shared" si="74"/>
        <v/>
      </c>
      <c r="H732" s="257" t="str">
        <f t="shared" si="75"/>
        <v/>
      </c>
    </row>
    <row r="733" spans="1:8" x14ac:dyDescent="0.25">
      <c r="A733" s="254" t="str">
        <f t="shared" ca="1" si="71"/>
        <v/>
      </c>
      <c r="B733" s="255"/>
      <c r="C733" s="256"/>
      <c r="D733" s="257" t="str">
        <f t="shared" si="72"/>
        <v/>
      </c>
      <c r="F733" s="257" t="str">
        <f t="shared" si="73"/>
        <v/>
      </c>
      <c r="G733" s="257" t="str">
        <f t="shared" si="74"/>
        <v/>
      </c>
      <c r="H733" s="257" t="str">
        <f t="shared" si="75"/>
        <v/>
      </c>
    </row>
    <row r="734" spans="1:8" x14ac:dyDescent="0.25">
      <c r="A734" s="254" t="str">
        <f t="shared" ca="1" si="71"/>
        <v/>
      </c>
      <c r="B734" s="255"/>
      <c r="C734" s="256"/>
      <c r="D734" s="257" t="str">
        <f t="shared" si="72"/>
        <v/>
      </c>
      <c r="F734" s="257" t="str">
        <f t="shared" si="73"/>
        <v/>
      </c>
      <c r="G734" s="257" t="str">
        <f t="shared" si="74"/>
        <v/>
      </c>
      <c r="H734" s="257" t="str">
        <f t="shared" si="75"/>
        <v/>
      </c>
    </row>
    <row r="735" spans="1:8" x14ac:dyDescent="0.25">
      <c r="A735" s="254" t="str">
        <f t="shared" ca="1" si="71"/>
        <v/>
      </c>
      <c r="B735" s="255"/>
      <c r="C735" s="256"/>
      <c r="D735" s="257" t="str">
        <f t="shared" si="72"/>
        <v/>
      </c>
      <c r="F735" s="257" t="str">
        <f t="shared" si="73"/>
        <v/>
      </c>
      <c r="G735" s="257" t="str">
        <f t="shared" si="74"/>
        <v/>
      </c>
      <c r="H735" s="257" t="str">
        <f t="shared" si="75"/>
        <v/>
      </c>
    </row>
    <row r="736" spans="1:8" x14ac:dyDescent="0.25">
      <c r="A736" s="254" t="str">
        <f t="shared" ca="1" si="71"/>
        <v/>
      </c>
      <c r="B736" s="255"/>
      <c r="C736" s="256"/>
      <c r="D736" s="257" t="str">
        <f t="shared" si="72"/>
        <v/>
      </c>
      <c r="F736" s="257" t="str">
        <f t="shared" si="73"/>
        <v/>
      </c>
      <c r="G736" s="257" t="str">
        <f t="shared" si="74"/>
        <v/>
      </c>
      <c r="H736" s="257" t="str">
        <f t="shared" si="75"/>
        <v/>
      </c>
    </row>
    <row r="737" spans="1:8" x14ac:dyDescent="0.25">
      <c r="A737" s="254" t="str">
        <f t="shared" ca="1" si="71"/>
        <v/>
      </c>
      <c r="B737" s="255"/>
      <c r="C737" s="256"/>
      <c r="D737" s="257" t="str">
        <f t="shared" si="72"/>
        <v/>
      </c>
      <c r="F737" s="257" t="str">
        <f t="shared" si="73"/>
        <v/>
      </c>
      <c r="G737" s="257" t="str">
        <f t="shared" si="74"/>
        <v/>
      </c>
      <c r="H737" s="257" t="str">
        <f t="shared" si="75"/>
        <v/>
      </c>
    </row>
    <row r="738" spans="1:8" x14ac:dyDescent="0.25">
      <c r="A738" s="254" t="str">
        <f t="shared" ca="1" si="71"/>
        <v/>
      </c>
      <c r="B738" s="255"/>
      <c r="C738" s="256"/>
      <c r="D738" s="257" t="str">
        <f t="shared" si="72"/>
        <v/>
      </c>
      <c r="F738" s="257" t="str">
        <f t="shared" si="73"/>
        <v/>
      </c>
      <c r="G738" s="257" t="str">
        <f t="shared" si="74"/>
        <v/>
      </c>
      <c r="H738" s="257" t="str">
        <f t="shared" si="75"/>
        <v/>
      </c>
    </row>
    <row r="739" spans="1:8" x14ac:dyDescent="0.25">
      <c r="A739" s="254" t="str">
        <f t="shared" ca="1" si="71"/>
        <v/>
      </c>
      <c r="B739" s="255"/>
      <c r="C739" s="256"/>
      <c r="D739" s="257" t="str">
        <f t="shared" si="72"/>
        <v/>
      </c>
      <c r="F739" s="257" t="str">
        <f t="shared" si="73"/>
        <v/>
      </c>
      <c r="G739" s="257" t="str">
        <f t="shared" si="74"/>
        <v/>
      </c>
      <c r="H739" s="257" t="str">
        <f t="shared" si="75"/>
        <v/>
      </c>
    </row>
    <row r="740" spans="1:8" x14ac:dyDescent="0.25">
      <c r="A740" s="254" t="str">
        <f t="shared" ca="1" si="71"/>
        <v/>
      </c>
      <c r="B740" s="255"/>
      <c r="C740" s="256"/>
      <c r="D740" s="257" t="str">
        <f t="shared" si="72"/>
        <v/>
      </c>
      <c r="F740" s="257" t="str">
        <f t="shared" si="73"/>
        <v/>
      </c>
      <c r="G740" s="257" t="str">
        <f t="shared" si="74"/>
        <v/>
      </c>
      <c r="H740" s="257" t="str">
        <f t="shared" si="75"/>
        <v/>
      </c>
    </row>
    <row r="741" spans="1:8" x14ac:dyDescent="0.25">
      <c r="A741" s="254" t="str">
        <f t="shared" ca="1" si="71"/>
        <v/>
      </c>
      <c r="B741" s="255"/>
      <c r="C741" s="256"/>
      <c r="D741" s="257" t="str">
        <f t="shared" si="72"/>
        <v/>
      </c>
      <c r="F741" s="257" t="str">
        <f t="shared" si="73"/>
        <v/>
      </c>
      <c r="G741" s="257" t="str">
        <f t="shared" si="74"/>
        <v/>
      </c>
      <c r="H741" s="257" t="str">
        <f t="shared" si="75"/>
        <v/>
      </c>
    </row>
    <row r="742" spans="1:8" x14ac:dyDescent="0.25">
      <c r="A742" s="254" t="str">
        <f t="shared" ca="1" si="71"/>
        <v/>
      </c>
      <c r="B742" s="255"/>
      <c r="C742" s="256"/>
      <c r="D742" s="257" t="str">
        <f t="shared" si="72"/>
        <v/>
      </c>
      <c r="F742" s="257" t="str">
        <f t="shared" si="73"/>
        <v/>
      </c>
      <c r="G742" s="257" t="str">
        <f t="shared" si="74"/>
        <v/>
      </c>
      <c r="H742" s="257" t="str">
        <f t="shared" si="75"/>
        <v/>
      </c>
    </row>
    <row r="743" spans="1:8" x14ac:dyDescent="0.25">
      <c r="A743" s="254" t="str">
        <f t="shared" ca="1" si="71"/>
        <v/>
      </c>
      <c r="B743" s="255"/>
      <c r="C743" s="256"/>
      <c r="D743" s="257" t="str">
        <f t="shared" si="72"/>
        <v/>
      </c>
      <c r="F743" s="257" t="str">
        <f t="shared" si="73"/>
        <v/>
      </c>
      <c r="G743" s="257" t="str">
        <f t="shared" si="74"/>
        <v/>
      </c>
      <c r="H743" s="257" t="str">
        <f t="shared" si="75"/>
        <v/>
      </c>
    </row>
    <row r="744" spans="1:8" x14ac:dyDescent="0.25">
      <c r="A744" s="254" t="str">
        <f t="shared" ca="1" si="71"/>
        <v/>
      </c>
      <c r="B744" s="255"/>
      <c r="C744" s="256"/>
      <c r="D744" s="257" t="str">
        <f t="shared" si="72"/>
        <v/>
      </c>
      <c r="F744" s="257" t="str">
        <f t="shared" si="73"/>
        <v/>
      </c>
      <c r="G744" s="257" t="str">
        <f t="shared" si="74"/>
        <v/>
      </c>
      <c r="H744" s="257" t="str">
        <f t="shared" si="75"/>
        <v/>
      </c>
    </row>
    <row r="745" spans="1:8" x14ac:dyDescent="0.25">
      <c r="A745" s="254" t="str">
        <f t="shared" ref="A745:A798" ca="1" si="76">IF(OR(H744&lt;=0,H744=""),"",OFFSET(A745,-1,0,1,1)+1)</f>
        <v/>
      </c>
      <c r="B745" s="255"/>
      <c r="C745" s="256"/>
      <c r="D745" s="257" t="str">
        <f t="shared" si="72"/>
        <v/>
      </c>
      <c r="F745" s="257" t="str">
        <f t="shared" si="73"/>
        <v/>
      </c>
      <c r="G745" s="257" t="str">
        <f t="shared" si="74"/>
        <v/>
      </c>
      <c r="H745" s="257" t="str">
        <f t="shared" si="75"/>
        <v/>
      </c>
    </row>
    <row r="746" spans="1:8" x14ac:dyDescent="0.25">
      <c r="A746" s="254" t="str">
        <f t="shared" ca="1" si="76"/>
        <v/>
      </c>
      <c r="B746" s="255"/>
      <c r="C746" s="256"/>
      <c r="D746" s="257" t="str">
        <f t="shared" si="72"/>
        <v/>
      </c>
      <c r="F746" s="257" t="str">
        <f t="shared" si="73"/>
        <v/>
      </c>
      <c r="G746" s="257" t="str">
        <f t="shared" si="74"/>
        <v/>
      </c>
      <c r="H746" s="257" t="str">
        <f t="shared" si="75"/>
        <v/>
      </c>
    </row>
    <row r="747" spans="1:8" x14ac:dyDescent="0.25">
      <c r="A747" s="254" t="str">
        <f t="shared" ca="1" si="76"/>
        <v/>
      </c>
      <c r="B747" s="255"/>
      <c r="C747" s="256"/>
      <c r="D747" s="257" t="str">
        <f t="shared" si="72"/>
        <v/>
      </c>
      <c r="F747" s="257" t="str">
        <f t="shared" si="73"/>
        <v/>
      </c>
      <c r="G747" s="257" t="str">
        <f t="shared" si="74"/>
        <v/>
      </c>
      <c r="H747" s="257" t="str">
        <f t="shared" si="75"/>
        <v/>
      </c>
    </row>
    <row r="748" spans="1:8" x14ac:dyDescent="0.25">
      <c r="A748" s="254" t="str">
        <f t="shared" ca="1" si="76"/>
        <v/>
      </c>
      <c r="B748" s="255"/>
      <c r="C748" s="256"/>
      <c r="D748" s="257" t="str">
        <f t="shared" si="72"/>
        <v/>
      </c>
      <c r="F748" s="257" t="str">
        <f t="shared" si="73"/>
        <v/>
      </c>
      <c r="G748" s="257" t="str">
        <f t="shared" si="74"/>
        <v/>
      </c>
      <c r="H748" s="257" t="str">
        <f t="shared" si="75"/>
        <v/>
      </c>
    </row>
    <row r="749" spans="1:8" x14ac:dyDescent="0.25">
      <c r="A749" s="254" t="str">
        <f t="shared" ca="1" si="76"/>
        <v/>
      </c>
      <c r="B749" s="255"/>
      <c r="C749" s="256"/>
      <c r="D749" s="257" t="str">
        <f t="shared" si="72"/>
        <v/>
      </c>
      <c r="F749" s="257" t="str">
        <f t="shared" si="73"/>
        <v/>
      </c>
      <c r="G749" s="257" t="str">
        <f t="shared" si="74"/>
        <v/>
      </c>
      <c r="H749" s="257" t="str">
        <f t="shared" si="75"/>
        <v/>
      </c>
    </row>
    <row r="750" spans="1:8" x14ac:dyDescent="0.25">
      <c r="A750" s="254" t="str">
        <f t="shared" ca="1" si="76"/>
        <v/>
      </c>
      <c r="B750" s="255"/>
      <c r="C750" s="256"/>
      <c r="D750" s="257" t="str">
        <f t="shared" si="72"/>
        <v/>
      </c>
      <c r="F750" s="257" t="str">
        <f t="shared" si="73"/>
        <v/>
      </c>
      <c r="G750" s="257" t="str">
        <f t="shared" si="74"/>
        <v/>
      </c>
      <c r="H750" s="257" t="str">
        <f t="shared" si="75"/>
        <v/>
      </c>
    </row>
    <row r="751" spans="1:8" x14ac:dyDescent="0.25">
      <c r="A751" s="254" t="str">
        <f t="shared" ca="1" si="76"/>
        <v/>
      </c>
      <c r="B751" s="255"/>
      <c r="C751" s="256"/>
      <c r="D751" s="257" t="str">
        <f t="shared" si="72"/>
        <v/>
      </c>
      <c r="F751" s="257" t="str">
        <f t="shared" si="73"/>
        <v/>
      </c>
      <c r="G751" s="257" t="str">
        <f t="shared" si="74"/>
        <v/>
      </c>
      <c r="H751" s="257" t="str">
        <f t="shared" si="75"/>
        <v/>
      </c>
    </row>
    <row r="752" spans="1:8" x14ac:dyDescent="0.25">
      <c r="A752" s="254" t="str">
        <f t="shared" ca="1" si="76"/>
        <v/>
      </c>
      <c r="B752" s="255"/>
      <c r="C752" s="256"/>
      <c r="D752" s="257" t="str">
        <f t="shared" si="72"/>
        <v/>
      </c>
      <c r="F752" s="257" t="str">
        <f t="shared" si="73"/>
        <v/>
      </c>
      <c r="G752" s="257" t="str">
        <f t="shared" si="74"/>
        <v/>
      </c>
      <c r="H752" s="257" t="str">
        <f t="shared" si="75"/>
        <v/>
      </c>
    </row>
    <row r="753" spans="1:8" x14ac:dyDescent="0.25">
      <c r="A753" s="254" t="str">
        <f t="shared" ca="1" si="76"/>
        <v/>
      </c>
      <c r="B753" s="255"/>
      <c r="C753" s="256"/>
      <c r="D753" s="257" t="str">
        <f t="shared" si="72"/>
        <v/>
      </c>
      <c r="F753" s="257" t="str">
        <f t="shared" si="73"/>
        <v/>
      </c>
      <c r="G753" s="257" t="str">
        <f t="shared" si="74"/>
        <v/>
      </c>
      <c r="H753" s="257" t="str">
        <f t="shared" si="75"/>
        <v/>
      </c>
    </row>
    <row r="754" spans="1:8" x14ac:dyDescent="0.25">
      <c r="A754" s="254" t="str">
        <f t="shared" ca="1" si="76"/>
        <v/>
      </c>
      <c r="B754" s="255"/>
      <c r="C754" s="256"/>
      <c r="D754" s="257" t="str">
        <f t="shared" si="72"/>
        <v/>
      </c>
      <c r="F754" s="257" t="str">
        <f t="shared" si="73"/>
        <v/>
      </c>
      <c r="G754" s="257" t="str">
        <f t="shared" si="74"/>
        <v/>
      </c>
      <c r="H754" s="257" t="str">
        <f t="shared" si="75"/>
        <v/>
      </c>
    </row>
    <row r="755" spans="1:8" x14ac:dyDescent="0.25">
      <c r="A755" s="254" t="str">
        <f t="shared" ca="1" si="76"/>
        <v/>
      </c>
      <c r="B755" s="255"/>
      <c r="C755" s="256"/>
      <c r="D755" s="257" t="str">
        <f t="shared" si="72"/>
        <v/>
      </c>
      <c r="F755" s="257" t="str">
        <f t="shared" si="73"/>
        <v/>
      </c>
      <c r="G755" s="257" t="str">
        <f t="shared" si="74"/>
        <v/>
      </c>
      <c r="H755" s="257" t="str">
        <f t="shared" si="75"/>
        <v/>
      </c>
    </row>
    <row r="756" spans="1:8" x14ac:dyDescent="0.25">
      <c r="A756" s="254" t="str">
        <f t="shared" ca="1" si="76"/>
        <v/>
      </c>
      <c r="B756" s="255"/>
      <c r="C756" s="256"/>
      <c r="D756" s="257" t="str">
        <f t="shared" si="72"/>
        <v/>
      </c>
      <c r="F756" s="257" t="str">
        <f t="shared" si="73"/>
        <v/>
      </c>
      <c r="G756" s="257" t="str">
        <f t="shared" si="74"/>
        <v/>
      </c>
      <c r="H756" s="257" t="str">
        <f t="shared" si="75"/>
        <v/>
      </c>
    </row>
    <row r="757" spans="1:8" x14ac:dyDescent="0.25">
      <c r="A757" s="254" t="str">
        <f t="shared" ca="1" si="76"/>
        <v/>
      </c>
      <c r="B757" s="255"/>
      <c r="C757" s="256"/>
      <c r="D757" s="257" t="str">
        <f t="shared" si="72"/>
        <v/>
      </c>
      <c r="F757" s="257" t="str">
        <f t="shared" si="73"/>
        <v/>
      </c>
      <c r="G757" s="257" t="str">
        <f t="shared" si="74"/>
        <v/>
      </c>
      <c r="H757" s="257" t="str">
        <f t="shared" si="75"/>
        <v/>
      </c>
    </row>
    <row r="758" spans="1:8" x14ac:dyDescent="0.25">
      <c r="A758" s="254" t="str">
        <f t="shared" ca="1" si="76"/>
        <v/>
      </c>
      <c r="B758" s="255"/>
      <c r="C758" s="256"/>
      <c r="D758" s="257" t="str">
        <f t="shared" si="72"/>
        <v/>
      </c>
      <c r="F758" s="257" t="str">
        <f t="shared" si="73"/>
        <v/>
      </c>
      <c r="G758" s="257" t="str">
        <f t="shared" si="74"/>
        <v/>
      </c>
      <c r="H758" s="257" t="str">
        <f t="shared" si="75"/>
        <v/>
      </c>
    </row>
    <row r="759" spans="1:8" x14ac:dyDescent="0.25">
      <c r="A759" s="254" t="str">
        <f t="shared" ca="1" si="76"/>
        <v/>
      </c>
      <c r="B759" s="255"/>
      <c r="C759" s="256"/>
      <c r="D759" s="257" t="str">
        <f t="shared" si="72"/>
        <v/>
      </c>
      <c r="F759" s="257" t="str">
        <f t="shared" si="73"/>
        <v/>
      </c>
      <c r="G759" s="257" t="str">
        <f t="shared" si="74"/>
        <v/>
      </c>
      <c r="H759" s="257" t="str">
        <f t="shared" si="75"/>
        <v/>
      </c>
    </row>
    <row r="760" spans="1:8" x14ac:dyDescent="0.25">
      <c r="A760" s="254" t="str">
        <f t="shared" ca="1" si="76"/>
        <v/>
      </c>
      <c r="B760" s="255"/>
      <c r="C760" s="256"/>
      <c r="D760" s="257" t="str">
        <f t="shared" si="72"/>
        <v/>
      </c>
      <c r="F760" s="257" t="str">
        <f t="shared" si="73"/>
        <v/>
      </c>
      <c r="G760" s="257" t="str">
        <f t="shared" si="74"/>
        <v/>
      </c>
      <c r="H760" s="257" t="str">
        <f t="shared" si="75"/>
        <v/>
      </c>
    </row>
    <row r="761" spans="1:8" x14ac:dyDescent="0.25">
      <c r="A761" s="254" t="str">
        <f t="shared" ca="1" si="76"/>
        <v/>
      </c>
      <c r="B761" s="255"/>
      <c r="C761" s="256"/>
      <c r="D761" s="257" t="str">
        <f t="shared" si="72"/>
        <v/>
      </c>
      <c r="F761" s="257" t="str">
        <f t="shared" si="73"/>
        <v/>
      </c>
      <c r="G761" s="257" t="str">
        <f t="shared" si="74"/>
        <v/>
      </c>
      <c r="H761" s="257" t="str">
        <f t="shared" si="75"/>
        <v/>
      </c>
    </row>
    <row r="762" spans="1:8" x14ac:dyDescent="0.25">
      <c r="A762" s="254" t="str">
        <f t="shared" ca="1" si="76"/>
        <v/>
      </c>
      <c r="B762" s="255"/>
      <c r="C762" s="256"/>
      <c r="D762" s="257" t="str">
        <f t="shared" si="72"/>
        <v/>
      </c>
      <c r="F762" s="257" t="str">
        <f t="shared" si="73"/>
        <v/>
      </c>
      <c r="G762" s="257" t="str">
        <f t="shared" si="74"/>
        <v/>
      </c>
      <c r="H762" s="257" t="str">
        <f t="shared" si="75"/>
        <v/>
      </c>
    </row>
    <row r="763" spans="1:8" x14ac:dyDescent="0.25">
      <c r="A763" s="254" t="str">
        <f t="shared" ca="1" si="76"/>
        <v/>
      </c>
      <c r="B763" s="255"/>
      <c r="C763" s="256"/>
      <c r="D763" s="257" t="str">
        <f t="shared" si="72"/>
        <v/>
      </c>
      <c r="F763" s="257" t="str">
        <f t="shared" si="73"/>
        <v/>
      </c>
      <c r="G763" s="257" t="str">
        <f t="shared" si="74"/>
        <v/>
      </c>
      <c r="H763" s="257" t="str">
        <f t="shared" si="75"/>
        <v/>
      </c>
    </row>
    <row r="764" spans="1:8" x14ac:dyDescent="0.25">
      <c r="A764" s="254" t="str">
        <f t="shared" ca="1" si="76"/>
        <v/>
      </c>
      <c r="B764" s="255"/>
      <c r="C764" s="256"/>
      <c r="D764" s="257" t="str">
        <f t="shared" si="72"/>
        <v/>
      </c>
      <c r="F764" s="257" t="str">
        <f t="shared" si="73"/>
        <v/>
      </c>
      <c r="G764" s="257" t="str">
        <f t="shared" si="74"/>
        <v/>
      </c>
      <c r="H764" s="257" t="str">
        <f t="shared" si="75"/>
        <v/>
      </c>
    </row>
    <row r="765" spans="1:8" x14ac:dyDescent="0.25">
      <c r="A765" s="254" t="str">
        <f t="shared" ca="1" si="76"/>
        <v/>
      </c>
      <c r="B765" s="255"/>
      <c r="C765" s="256"/>
      <c r="D765" s="257" t="str">
        <f t="shared" si="72"/>
        <v/>
      </c>
      <c r="F765" s="257" t="str">
        <f t="shared" si="73"/>
        <v/>
      </c>
      <c r="G765" s="257" t="str">
        <f t="shared" si="74"/>
        <v/>
      </c>
      <c r="H765" s="257" t="str">
        <f t="shared" si="75"/>
        <v/>
      </c>
    </row>
    <row r="766" spans="1:8" x14ac:dyDescent="0.25">
      <c r="A766" s="254" t="str">
        <f t="shared" ca="1" si="76"/>
        <v/>
      </c>
      <c r="B766" s="255"/>
      <c r="C766" s="256"/>
      <c r="D766" s="257" t="str">
        <f t="shared" si="72"/>
        <v/>
      </c>
      <c r="F766" s="257" t="str">
        <f t="shared" si="73"/>
        <v/>
      </c>
      <c r="G766" s="257" t="str">
        <f t="shared" si="74"/>
        <v/>
      </c>
      <c r="H766" s="257" t="str">
        <f t="shared" si="75"/>
        <v/>
      </c>
    </row>
    <row r="767" spans="1:8" x14ac:dyDescent="0.25">
      <c r="A767" s="254" t="str">
        <f t="shared" ca="1" si="76"/>
        <v/>
      </c>
      <c r="B767" s="255"/>
      <c r="C767" s="256"/>
      <c r="D767" s="257" t="str">
        <f t="shared" si="72"/>
        <v/>
      </c>
      <c r="F767" s="257" t="str">
        <f t="shared" si="73"/>
        <v/>
      </c>
      <c r="G767" s="257" t="str">
        <f t="shared" si="74"/>
        <v/>
      </c>
      <c r="H767" s="257" t="str">
        <f t="shared" si="75"/>
        <v/>
      </c>
    </row>
    <row r="768" spans="1:8" x14ac:dyDescent="0.25">
      <c r="A768" s="254" t="str">
        <f t="shared" ca="1" si="76"/>
        <v/>
      </c>
      <c r="B768" s="255"/>
      <c r="C768" s="256"/>
      <c r="D768" s="257" t="str">
        <f t="shared" si="72"/>
        <v/>
      </c>
      <c r="F768" s="257" t="str">
        <f t="shared" si="73"/>
        <v/>
      </c>
      <c r="G768" s="257" t="str">
        <f t="shared" si="74"/>
        <v/>
      </c>
      <c r="H768" s="257" t="str">
        <f t="shared" si="75"/>
        <v/>
      </c>
    </row>
    <row r="769" spans="1:8" x14ac:dyDescent="0.25">
      <c r="A769" s="254" t="str">
        <f t="shared" ca="1" si="76"/>
        <v/>
      </c>
      <c r="B769" s="255"/>
      <c r="C769" s="256"/>
      <c r="D769" s="257" t="str">
        <f t="shared" si="72"/>
        <v/>
      </c>
      <c r="F769" s="257" t="str">
        <f t="shared" si="73"/>
        <v/>
      </c>
      <c r="G769" s="257" t="str">
        <f t="shared" si="74"/>
        <v/>
      </c>
      <c r="H769" s="257" t="str">
        <f t="shared" si="75"/>
        <v/>
      </c>
    </row>
    <row r="770" spans="1:8" x14ac:dyDescent="0.25">
      <c r="A770" s="254" t="str">
        <f t="shared" ca="1" si="76"/>
        <v/>
      </c>
      <c r="B770" s="255"/>
      <c r="C770" s="256"/>
      <c r="D770" s="257" t="str">
        <f t="shared" si="72"/>
        <v/>
      </c>
      <c r="F770" s="257" t="str">
        <f t="shared" si="73"/>
        <v/>
      </c>
      <c r="G770" s="257" t="str">
        <f t="shared" si="74"/>
        <v/>
      </c>
      <c r="H770" s="257" t="str">
        <f t="shared" si="75"/>
        <v/>
      </c>
    </row>
    <row r="771" spans="1:8" x14ac:dyDescent="0.25">
      <c r="A771" s="254" t="str">
        <f t="shared" ca="1" si="76"/>
        <v/>
      </c>
      <c r="B771" s="255"/>
      <c r="C771" s="256"/>
      <c r="D771" s="257" t="str">
        <f t="shared" si="72"/>
        <v/>
      </c>
      <c r="F771" s="257" t="str">
        <f t="shared" si="73"/>
        <v/>
      </c>
      <c r="G771" s="257" t="str">
        <f t="shared" si="74"/>
        <v/>
      </c>
      <c r="H771" s="257" t="str">
        <f t="shared" si="75"/>
        <v/>
      </c>
    </row>
    <row r="772" spans="1:8" x14ac:dyDescent="0.25">
      <c r="A772" s="254" t="str">
        <f t="shared" ca="1" si="76"/>
        <v/>
      </c>
      <c r="B772" s="255"/>
      <c r="C772" s="256"/>
      <c r="D772" s="257" t="str">
        <f t="shared" si="72"/>
        <v/>
      </c>
      <c r="F772" s="257" t="str">
        <f t="shared" si="73"/>
        <v/>
      </c>
      <c r="G772" s="257" t="str">
        <f t="shared" si="74"/>
        <v/>
      </c>
      <c r="H772" s="257" t="str">
        <f t="shared" si="75"/>
        <v/>
      </c>
    </row>
    <row r="773" spans="1:8" x14ac:dyDescent="0.25">
      <c r="A773" s="254" t="str">
        <f t="shared" ca="1" si="76"/>
        <v/>
      </c>
      <c r="B773" s="255"/>
      <c r="C773" s="256"/>
      <c r="D773" s="257" t="str">
        <f t="shared" si="72"/>
        <v/>
      </c>
      <c r="F773" s="257" t="str">
        <f t="shared" si="73"/>
        <v/>
      </c>
      <c r="G773" s="257" t="str">
        <f t="shared" si="74"/>
        <v/>
      </c>
      <c r="H773" s="257" t="str">
        <f t="shared" si="75"/>
        <v/>
      </c>
    </row>
    <row r="774" spans="1:8" x14ac:dyDescent="0.25">
      <c r="A774" s="254" t="str">
        <f t="shared" ca="1" si="76"/>
        <v/>
      </c>
      <c r="B774" s="255"/>
      <c r="C774" s="256"/>
      <c r="D774" s="257" t="str">
        <f t="shared" si="72"/>
        <v/>
      </c>
      <c r="F774" s="257" t="str">
        <f t="shared" si="73"/>
        <v/>
      </c>
      <c r="G774" s="257" t="str">
        <f t="shared" si="74"/>
        <v/>
      </c>
      <c r="H774" s="257" t="str">
        <f t="shared" si="75"/>
        <v/>
      </c>
    </row>
    <row r="775" spans="1:8" x14ac:dyDescent="0.25">
      <c r="A775" s="254" t="str">
        <f t="shared" ca="1" si="76"/>
        <v/>
      </c>
      <c r="B775" s="255"/>
      <c r="C775" s="256"/>
      <c r="D775" s="257" t="str">
        <f t="shared" si="72"/>
        <v/>
      </c>
      <c r="F775" s="257" t="str">
        <f t="shared" si="73"/>
        <v/>
      </c>
      <c r="G775" s="257" t="str">
        <f t="shared" si="74"/>
        <v/>
      </c>
      <c r="H775" s="257" t="str">
        <f t="shared" si="75"/>
        <v/>
      </c>
    </row>
    <row r="776" spans="1:8" x14ac:dyDescent="0.25">
      <c r="A776" s="254" t="str">
        <f t="shared" ca="1" si="76"/>
        <v/>
      </c>
      <c r="B776" s="255"/>
      <c r="C776" s="256"/>
      <c r="D776" s="257" t="str">
        <f t="shared" si="72"/>
        <v/>
      </c>
      <c r="F776" s="257" t="str">
        <f t="shared" si="73"/>
        <v/>
      </c>
      <c r="G776" s="257" t="str">
        <f t="shared" si="74"/>
        <v/>
      </c>
      <c r="H776" s="257" t="str">
        <f t="shared" si="75"/>
        <v/>
      </c>
    </row>
    <row r="777" spans="1:8" x14ac:dyDescent="0.25">
      <c r="A777" s="254" t="str">
        <f t="shared" ca="1" si="76"/>
        <v/>
      </c>
      <c r="B777" s="255"/>
      <c r="C777" s="256"/>
      <c r="D777" s="257" t="str">
        <f t="shared" si="72"/>
        <v/>
      </c>
      <c r="F777" s="257" t="str">
        <f t="shared" si="73"/>
        <v/>
      </c>
      <c r="G777" s="257" t="str">
        <f t="shared" si="74"/>
        <v/>
      </c>
      <c r="H777" s="257" t="str">
        <f t="shared" si="75"/>
        <v/>
      </c>
    </row>
    <row r="778" spans="1:8" x14ac:dyDescent="0.25">
      <c r="A778" s="254" t="str">
        <f t="shared" ca="1" si="76"/>
        <v/>
      </c>
      <c r="B778" s="255"/>
      <c r="C778" s="256"/>
      <c r="D778" s="257" t="str">
        <f t="shared" si="72"/>
        <v/>
      </c>
      <c r="F778" s="257" t="str">
        <f t="shared" si="73"/>
        <v/>
      </c>
      <c r="G778" s="257" t="str">
        <f t="shared" si="74"/>
        <v/>
      </c>
      <c r="H778" s="257" t="str">
        <f t="shared" si="75"/>
        <v/>
      </c>
    </row>
    <row r="779" spans="1:8" x14ac:dyDescent="0.25">
      <c r="A779" s="254" t="str">
        <f t="shared" ca="1" si="76"/>
        <v/>
      </c>
      <c r="B779" s="255"/>
      <c r="C779" s="256"/>
      <c r="D779" s="257" t="str">
        <f t="shared" si="72"/>
        <v/>
      </c>
      <c r="F779" s="257" t="str">
        <f t="shared" si="73"/>
        <v/>
      </c>
      <c r="G779" s="257" t="str">
        <f t="shared" si="74"/>
        <v/>
      </c>
      <c r="H779" s="257" t="str">
        <f t="shared" si="75"/>
        <v/>
      </c>
    </row>
    <row r="780" spans="1:8" x14ac:dyDescent="0.25">
      <c r="A780" s="254" t="str">
        <f t="shared" ca="1" si="76"/>
        <v/>
      </c>
      <c r="B780" s="255"/>
      <c r="C780" s="256"/>
      <c r="D780" s="257" t="str">
        <f t="shared" si="72"/>
        <v/>
      </c>
      <c r="F780" s="257" t="str">
        <f t="shared" si="73"/>
        <v/>
      </c>
      <c r="G780" s="257" t="str">
        <f t="shared" si="74"/>
        <v/>
      </c>
      <c r="H780" s="257" t="str">
        <f t="shared" si="75"/>
        <v/>
      </c>
    </row>
    <row r="781" spans="1:8" x14ac:dyDescent="0.25">
      <c r="A781" s="254" t="str">
        <f t="shared" ca="1" si="76"/>
        <v/>
      </c>
      <c r="B781" s="255"/>
      <c r="C781" s="256"/>
      <c r="D781" s="257" t="str">
        <f t="shared" si="72"/>
        <v/>
      </c>
      <c r="F781" s="257" t="str">
        <f t="shared" si="73"/>
        <v/>
      </c>
      <c r="G781" s="257" t="str">
        <f t="shared" si="74"/>
        <v/>
      </c>
      <c r="H781" s="257" t="str">
        <f t="shared" si="75"/>
        <v/>
      </c>
    </row>
    <row r="782" spans="1:8" x14ac:dyDescent="0.25">
      <c r="A782" s="254" t="str">
        <f t="shared" ca="1" si="76"/>
        <v/>
      </c>
      <c r="B782" s="255"/>
      <c r="C782" s="256"/>
      <c r="D782" s="257" t="str">
        <f t="shared" si="72"/>
        <v/>
      </c>
      <c r="F782" s="257" t="str">
        <f t="shared" si="73"/>
        <v/>
      </c>
      <c r="G782" s="257" t="str">
        <f t="shared" si="74"/>
        <v/>
      </c>
      <c r="H782" s="257" t="str">
        <f t="shared" si="75"/>
        <v/>
      </c>
    </row>
    <row r="783" spans="1:8" x14ac:dyDescent="0.25">
      <c r="A783" s="254" t="str">
        <f t="shared" ca="1" si="76"/>
        <v/>
      </c>
      <c r="B783" s="255"/>
      <c r="C783" s="256"/>
      <c r="D783" s="257" t="str">
        <f t="shared" si="72"/>
        <v/>
      </c>
      <c r="F783" s="257" t="str">
        <f t="shared" si="73"/>
        <v/>
      </c>
      <c r="G783" s="257" t="str">
        <f t="shared" si="74"/>
        <v/>
      </c>
      <c r="H783" s="257" t="str">
        <f t="shared" si="75"/>
        <v/>
      </c>
    </row>
    <row r="784" spans="1:8" x14ac:dyDescent="0.25">
      <c r="A784" s="254" t="str">
        <f t="shared" ca="1" si="76"/>
        <v/>
      </c>
      <c r="B784" s="255"/>
      <c r="C784" s="256"/>
      <c r="D784" s="257" t="str">
        <f t="shared" si="72"/>
        <v/>
      </c>
      <c r="F784" s="257" t="str">
        <f t="shared" si="73"/>
        <v/>
      </c>
      <c r="G784" s="257" t="str">
        <f t="shared" si="74"/>
        <v/>
      </c>
      <c r="H784" s="257" t="str">
        <f t="shared" si="75"/>
        <v/>
      </c>
    </row>
    <row r="785" spans="1:8" x14ac:dyDescent="0.25">
      <c r="A785" s="254" t="str">
        <f t="shared" ca="1" si="76"/>
        <v/>
      </c>
      <c r="B785" s="255"/>
      <c r="C785" s="256"/>
      <c r="D785" s="257" t="str">
        <f t="shared" si="72"/>
        <v/>
      </c>
      <c r="F785" s="257" t="str">
        <f t="shared" si="73"/>
        <v/>
      </c>
      <c r="G785" s="257" t="str">
        <f t="shared" si="74"/>
        <v/>
      </c>
      <c r="H785" s="257" t="str">
        <f t="shared" si="75"/>
        <v/>
      </c>
    </row>
    <row r="786" spans="1:8" x14ac:dyDescent="0.25">
      <c r="A786" s="254" t="str">
        <f t="shared" ca="1" si="76"/>
        <v/>
      </c>
      <c r="B786" s="255"/>
      <c r="C786" s="256"/>
      <c r="D786" s="257" t="str">
        <f t="shared" si="72"/>
        <v/>
      </c>
      <c r="F786" s="257" t="str">
        <f t="shared" si="73"/>
        <v/>
      </c>
      <c r="G786" s="257" t="str">
        <f t="shared" si="74"/>
        <v/>
      </c>
      <c r="H786" s="257" t="str">
        <f t="shared" si="75"/>
        <v/>
      </c>
    </row>
    <row r="787" spans="1:8" x14ac:dyDescent="0.25">
      <c r="A787" s="254" t="str">
        <f t="shared" ca="1" si="76"/>
        <v/>
      </c>
      <c r="B787" s="255"/>
      <c r="C787" s="256"/>
      <c r="D787" s="257" t="str">
        <f t="shared" ref="D787:D798" si="77">IF(B787="","",ROUND((B787-B786)*$H$9*G786,2))</f>
        <v/>
      </c>
      <c r="F787" s="257" t="str">
        <f t="shared" ref="F787:F798" si="78">IF(B787="","",IF(C787&gt;F786+D787,0,F786+D787-C787))</f>
        <v/>
      </c>
      <c r="G787" s="257" t="str">
        <f t="shared" ref="G787:G798" si="79">IF(B787="","",IF(C787&gt;D787+F786,G786+F786+D787-C787,G786))</f>
        <v/>
      </c>
      <c r="H787" s="257" t="str">
        <f t="shared" ref="H787:H798" si="80">IF(B787="","",G787+F787)</f>
        <v/>
      </c>
    </row>
    <row r="788" spans="1:8" x14ac:dyDescent="0.25">
      <c r="A788" s="254" t="str">
        <f t="shared" ca="1" si="76"/>
        <v/>
      </c>
      <c r="B788" s="255"/>
      <c r="C788" s="256"/>
      <c r="D788" s="257" t="str">
        <f t="shared" si="77"/>
        <v/>
      </c>
      <c r="F788" s="257" t="str">
        <f t="shared" si="78"/>
        <v/>
      </c>
      <c r="G788" s="257" t="str">
        <f t="shared" si="79"/>
        <v/>
      </c>
      <c r="H788" s="257" t="str">
        <f t="shared" si="80"/>
        <v/>
      </c>
    </row>
    <row r="789" spans="1:8" x14ac:dyDescent="0.25">
      <c r="A789" s="254" t="str">
        <f t="shared" ca="1" si="76"/>
        <v/>
      </c>
      <c r="B789" s="255"/>
      <c r="C789" s="256"/>
      <c r="D789" s="257" t="str">
        <f t="shared" si="77"/>
        <v/>
      </c>
      <c r="F789" s="257" t="str">
        <f t="shared" si="78"/>
        <v/>
      </c>
      <c r="G789" s="257" t="str">
        <f t="shared" si="79"/>
        <v/>
      </c>
      <c r="H789" s="257" t="str">
        <f t="shared" si="80"/>
        <v/>
      </c>
    </row>
    <row r="790" spans="1:8" x14ac:dyDescent="0.25">
      <c r="A790" s="254" t="str">
        <f t="shared" ca="1" si="76"/>
        <v/>
      </c>
      <c r="B790" s="255"/>
      <c r="C790" s="256"/>
      <c r="D790" s="257" t="str">
        <f t="shared" si="77"/>
        <v/>
      </c>
      <c r="F790" s="257" t="str">
        <f t="shared" si="78"/>
        <v/>
      </c>
      <c r="G790" s="257" t="str">
        <f t="shared" si="79"/>
        <v/>
      </c>
      <c r="H790" s="257" t="str">
        <f t="shared" si="80"/>
        <v/>
      </c>
    </row>
    <row r="791" spans="1:8" x14ac:dyDescent="0.25">
      <c r="A791" s="254" t="str">
        <f t="shared" ca="1" si="76"/>
        <v/>
      </c>
      <c r="B791" s="255"/>
      <c r="C791" s="256"/>
      <c r="D791" s="257" t="str">
        <f t="shared" si="77"/>
        <v/>
      </c>
      <c r="F791" s="257" t="str">
        <f t="shared" si="78"/>
        <v/>
      </c>
      <c r="G791" s="257" t="str">
        <f t="shared" si="79"/>
        <v/>
      </c>
      <c r="H791" s="257" t="str">
        <f t="shared" si="80"/>
        <v/>
      </c>
    </row>
    <row r="792" spans="1:8" x14ac:dyDescent="0.25">
      <c r="A792" s="254" t="str">
        <f t="shared" ca="1" si="76"/>
        <v/>
      </c>
      <c r="B792" s="255"/>
      <c r="C792" s="256"/>
      <c r="D792" s="257" t="str">
        <f t="shared" si="77"/>
        <v/>
      </c>
      <c r="F792" s="257" t="str">
        <f t="shared" si="78"/>
        <v/>
      </c>
      <c r="G792" s="257" t="str">
        <f t="shared" si="79"/>
        <v/>
      </c>
      <c r="H792" s="257" t="str">
        <f t="shared" si="80"/>
        <v/>
      </c>
    </row>
    <row r="793" spans="1:8" x14ac:dyDescent="0.25">
      <c r="A793" s="254" t="str">
        <f t="shared" ca="1" si="76"/>
        <v/>
      </c>
      <c r="B793" s="255"/>
      <c r="C793" s="256"/>
      <c r="D793" s="257" t="str">
        <f t="shared" si="77"/>
        <v/>
      </c>
      <c r="F793" s="257" t="str">
        <f t="shared" si="78"/>
        <v/>
      </c>
      <c r="G793" s="257" t="str">
        <f t="shared" si="79"/>
        <v/>
      </c>
      <c r="H793" s="257" t="str">
        <f t="shared" si="80"/>
        <v/>
      </c>
    </row>
    <row r="794" spans="1:8" x14ac:dyDescent="0.25">
      <c r="A794" s="254" t="str">
        <f t="shared" ca="1" si="76"/>
        <v/>
      </c>
      <c r="B794" s="255"/>
      <c r="C794" s="256"/>
      <c r="D794" s="257" t="str">
        <f t="shared" si="77"/>
        <v/>
      </c>
      <c r="F794" s="257" t="str">
        <f t="shared" si="78"/>
        <v/>
      </c>
      <c r="G794" s="257" t="str">
        <f t="shared" si="79"/>
        <v/>
      </c>
      <c r="H794" s="257" t="str">
        <f t="shared" si="80"/>
        <v/>
      </c>
    </row>
    <row r="795" spans="1:8" x14ac:dyDescent="0.25">
      <c r="A795" s="254" t="str">
        <f t="shared" ca="1" si="76"/>
        <v/>
      </c>
      <c r="B795" s="255"/>
      <c r="C795" s="256"/>
      <c r="D795" s="257" t="str">
        <f t="shared" si="77"/>
        <v/>
      </c>
      <c r="F795" s="257" t="str">
        <f t="shared" si="78"/>
        <v/>
      </c>
      <c r="G795" s="257" t="str">
        <f t="shared" si="79"/>
        <v/>
      </c>
      <c r="H795" s="257" t="str">
        <f t="shared" si="80"/>
        <v/>
      </c>
    </row>
    <row r="796" spans="1:8" x14ac:dyDescent="0.25">
      <c r="A796" s="254" t="str">
        <f t="shared" ca="1" si="76"/>
        <v/>
      </c>
      <c r="B796" s="255"/>
      <c r="C796" s="256"/>
      <c r="D796" s="257" t="str">
        <f t="shared" si="77"/>
        <v/>
      </c>
      <c r="F796" s="257" t="str">
        <f t="shared" si="78"/>
        <v/>
      </c>
      <c r="G796" s="257" t="str">
        <f t="shared" si="79"/>
        <v/>
      </c>
      <c r="H796" s="257" t="str">
        <f t="shared" si="80"/>
        <v/>
      </c>
    </row>
    <row r="797" spans="1:8" x14ac:dyDescent="0.25">
      <c r="A797" s="254" t="str">
        <f t="shared" ca="1" si="76"/>
        <v/>
      </c>
      <c r="B797" s="255"/>
      <c r="C797" s="256"/>
      <c r="D797" s="257" t="str">
        <f t="shared" si="77"/>
        <v/>
      </c>
      <c r="F797" s="257" t="str">
        <f t="shared" si="78"/>
        <v/>
      </c>
      <c r="G797" s="257" t="str">
        <f t="shared" si="79"/>
        <v/>
      </c>
      <c r="H797" s="257" t="str">
        <f t="shared" si="80"/>
        <v/>
      </c>
    </row>
    <row r="798" spans="1:8" x14ac:dyDescent="0.25">
      <c r="A798" s="254" t="str">
        <f t="shared" ca="1" si="76"/>
        <v/>
      </c>
      <c r="B798" s="255"/>
      <c r="C798" s="256"/>
      <c r="D798" s="257" t="str">
        <f t="shared" si="77"/>
        <v/>
      </c>
      <c r="F798" s="257" t="str">
        <f t="shared" si="78"/>
        <v/>
      </c>
      <c r="G798" s="257" t="str">
        <f t="shared" si="79"/>
        <v/>
      </c>
      <c r="H798" s="257" t="str">
        <f t="shared" si="80"/>
        <v/>
      </c>
    </row>
    <row r="799" spans="1:8" x14ac:dyDescent="0.25">
      <c r="A799" s="264" t="s">
        <v>355</v>
      </c>
      <c r="B799" s="264"/>
      <c r="C799" s="264"/>
      <c r="D799" s="265"/>
      <c r="E799" s="265"/>
      <c r="F799" s="265"/>
      <c r="G799" s="265"/>
      <c r="H799" s="265"/>
    </row>
  </sheetData>
  <mergeCells count="3">
    <mergeCell ref="K2:K15"/>
    <mergeCell ref="C4:D4"/>
    <mergeCell ref="A16:D16"/>
  </mergeCells>
  <hyperlinks>
    <hyperlink ref="A2" r:id="rId1" xr:uid="{FABE94E0-DDB2-4950-BCF5-B84275355F2D}"/>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A79F-4FD8-4E72-82DE-6D1313B6727A}">
  <sheetPr codeName="Sheet22">
    <tabColor rgb="FF0070C0"/>
  </sheetPr>
  <dimension ref="A1:EA799"/>
  <sheetViews>
    <sheetView showGridLines="0" zoomScale="80" zoomScaleNormal="80" workbookViewId="0">
      <selection activeCell="D11" sqref="D11"/>
    </sheetView>
  </sheetViews>
  <sheetFormatPr defaultColWidth="8.5546875" defaultRowHeight="13.2" x14ac:dyDescent="0.25"/>
  <cols>
    <col min="1" max="1" width="5.33203125" style="220" customWidth="1"/>
    <col min="2" max="2" width="16.5546875" style="220" customWidth="1"/>
    <col min="3" max="3" width="11.33203125" style="220" customWidth="1"/>
    <col min="4" max="4" width="16.109375" style="220" customWidth="1"/>
    <col min="5" max="5" width="10.88671875" style="220" customWidth="1"/>
    <col min="6" max="6" width="10" style="220" customWidth="1"/>
    <col min="7" max="7" width="12.44140625" style="220" customWidth="1"/>
    <col min="8" max="8" width="14.6640625" style="220" customWidth="1"/>
    <col min="9" max="10" width="10.5546875" style="220" customWidth="1"/>
    <col min="11" max="11" width="48.109375" style="220" customWidth="1"/>
    <col min="12" max="12" width="13.88671875" style="220" customWidth="1"/>
    <col min="13" max="14" width="11" style="220" customWidth="1"/>
    <col min="15" max="131" width="10.5546875" style="220" bestFit="1" customWidth="1"/>
    <col min="132" max="16384" width="8.5546875" style="220"/>
  </cols>
  <sheetData>
    <row r="1" spans="1:11" ht="30" customHeight="1" x14ac:dyDescent="0.4">
      <c r="A1" s="217" t="s">
        <v>313</v>
      </c>
      <c r="B1" s="218"/>
      <c r="C1" s="218"/>
      <c r="D1" s="218"/>
      <c r="E1" s="218"/>
      <c r="F1" s="218"/>
      <c r="G1" s="219"/>
      <c r="H1" s="219"/>
      <c r="K1" s="221" t="s">
        <v>314</v>
      </c>
    </row>
    <row r="2" spans="1:11" ht="12.75" customHeight="1" x14ac:dyDescent="0.25">
      <c r="A2" s="222" t="s">
        <v>315</v>
      </c>
      <c r="H2" s="223" t="str">
        <f ca="1">"© 2008-" &amp; YEAR(TODAY()) &amp; " Vertex42 LLC"</f>
        <v>© 2008-2024 Vertex42 LLC</v>
      </c>
      <c r="K2" s="1785" t="s">
        <v>316</v>
      </c>
    </row>
    <row r="3" spans="1:11" x14ac:dyDescent="0.25">
      <c r="A3" s="222"/>
      <c r="H3" s="223"/>
      <c r="K3" s="1786"/>
    </row>
    <row r="4" spans="1:11" ht="15.6" x14ac:dyDescent="0.3">
      <c r="B4" s="224" t="s">
        <v>317</v>
      </c>
      <c r="C4" s="1787"/>
      <c r="D4" s="1787"/>
      <c r="H4" s="225" t="s">
        <v>318</v>
      </c>
      <c r="K4" s="1786"/>
    </row>
    <row r="5" spans="1:11" x14ac:dyDescent="0.25">
      <c r="C5" s="220" t="s">
        <v>319</v>
      </c>
      <c r="H5" s="226" t="s">
        <v>320</v>
      </c>
      <c r="K5" s="1786"/>
    </row>
    <row r="6" spans="1:11" x14ac:dyDescent="0.25">
      <c r="C6" s="227" t="s">
        <v>321</v>
      </c>
      <c r="H6" s="226" t="s">
        <v>321</v>
      </c>
      <c r="K6" s="1786"/>
    </row>
    <row r="7" spans="1:11" x14ac:dyDescent="0.25">
      <c r="K7" s="1786"/>
    </row>
    <row r="8" spans="1:11" ht="13.8" x14ac:dyDescent="0.25">
      <c r="A8" s="228" t="s">
        <v>322</v>
      </c>
      <c r="B8" s="229"/>
      <c r="C8" s="229"/>
      <c r="D8" s="229"/>
      <c r="E8" s="230" t="s">
        <v>323</v>
      </c>
      <c r="F8" s="228" t="s">
        <v>324</v>
      </c>
      <c r="G8" s="231"/>
      <c r="H8" s="231"/>
      <c r="K8" s="1786"/>
    </row>
    <row r="9" spans="1:11" ht="15" customHeight="1" x14ac:dyDescent="0.25">
      <c r="A9" s="232"/>
      <c r="B9" s="232"/>
      <c r="C9" s="233" t="s">
        <v>325</v>
      </c>
      <c r="D9" s="887">
        <f>'Sources and Uses'!J4*1000</f>
        <v>1000000</v>
      </c>
      <c r="F9" s="232"/>
      <c r="G9" s="233" t="s">
        <v>326</v>
      </c>
      <c r="H9" s="235">
        <f>D10/D12</f>
        <v>1.9178082191780824E-4</v>
      </c>
      <c r="K9" s="1786"/>
    </row>
    <row r="10" spans="1:11" ht="15" customHeight="1" x14ac:dyDescent="0.25">
      <c r="A10" s="232"/>
      <c r="B10" s="232"/>
      <c r="C10" s="233" t="s">
        <v>328</v>
      </c>
      <c r="D10" s="236">
        <v>7.0000000000000007E-2</v>
      </c>
      <c r="F10" s="232"/>
      <c r="G10" s="233" t="s">
        <v>331</v>
      </c>
      <c r="H10" s="233">
        <f>5*12</f>
        <v>60</v>
      </c>
      <c r="K10" s="1786"/>
    </row>
    <row r="11" spans="1:11" ht="15" customHeight="1" x14ac:dyDescent="0.25">
      <c r="A11" s="232"/>
      <c r="B11" s="232"/>
      <c r="C11" s="233" t="s">
        <v>332</v>
      </c>
      <c r="D11" s="238">
        <v>44929</v>
      </c>
      <c r="F11" s="232"/>
      <c r="G11" s="233" t="s">
        <v>333</v>
      </c>
      <c r="H11" s="888">
        <f ca="1">SUM(C19:C798)</f>
        <v>1189122.1800000009</v>
      </c>
      <c r="K11" s="1786"/>
    </row>
    <row r="12" spans="1:11" ht="15" customHeight="1" x14ac:dyDescent="0.25">
      <c r="A12" s="232"/>
      <c r="B12" s="232"/>
      <c r="C12" s="233" t="s">
        <v>334</v>
      </c>
      <c r="D12" s="239">
        <v>365</v>
      </c>
      <c r="F12" s="232"/>
      <c r="G12" s="233" t="s">
        <v>335</v>
      </c>
      <c r="H12" s="888">
        <f ca="1">SUM(D18:D798)</f>
        <v>189122.18000000011</v>
      </c>
      <c r="K12" s="1786"/>
    </row>
    <row r="13" spans="1:11" ht="15" customHeight="1" x14ac:dyDescent="0.25">
      <c r="G13" s="220" t="s">
        <v>337</v>
      </c>
      <c r="H13" s="220">
        <v>60</v>
      </c>
      <c r="K13" s="1786"/>
    </row>
    <row r="14" spans="1:11" ht="15" x14ac:dyDescent="0.25">
      <c r="C14" s="240" t="s">
        <v>336</v>
      </c>
      <c r="D14" s="241">
        <f>PMT(D10/12,H10,D9,0,1)</f>
        <v>-19686.361431996225</v>
      </c>
      <c r="K14" s="1786"/>
    </row>
    <row r="15" spans="1:11" x14ac:dyDescent="0.25">
      <c r="K15" s="1786"/>
    </row>
    <row r="16" spans="1:11" ht="15.6" x14ac:dyDescent="0.3">
      <c r="A16" s="1788" t="s">
        <v>338</v>
      </c>
      <c r="B16" s="1788"/>
      <c r="C16" s="1788"/>
      <c r="D16" s="1788"/>
      <c r="E16" s="242"/>
      <c r="F16" s="242"/>
      <c r="G16" s="242"/>
      <c r="H16" s="223" t="s">
        <v>339</v>
      </c>
      <c r="K16" s="243" t="s">
        <v>340</v>
      </c>
    </row>
    <row r="17" spans="1:131" ht="30" customHeight="1" thickBot="1" x14ac:dyDescent="0.3">
      <c r="A17" s="244" t="s">
        <v>341</v>
      </c>
      <c r="B17" s="245" t="s">
        <v>342</v>
      </c>
      <c r="C17" s="245" t="s">
        <v>343</v>
      </c>
      <c r="D17" s="245" t="s">
        <v>344</v>
      </c>
      <c r="E17" s="245" t="s">
        <v>378</v>
      </c>
      <c r="F17" s="245" t="s">
        <v>345</v>
      </c>
      <c r="G17" s="245" t="s">
        <v>346</v>
      </c>
      <c r="H17" s="245" t="s">
        <v>347</v>
      </c>
      <c r="K17" s="246"/>
      <c r="M17" s="247"/>
    </row>
    <row r="18" spans="1:131" x14ac:dyDescent="0.25">
      <c r="A18" s="1302"/>
      <c r="B18" s="1303">
        <f>D11-1</f>
        <v>44928</v>
      </c>
      <c r="C18" s="1304" t="s">
        <v>348</v>
      </c>
      <c r="D18" s="1304" t="s">
        <v>348</v>
      </c>
      <c r="E18" s="1305"/>
      <c r="F18" s="1306">
        <v>0</v>
      </c>
      <c r="G18" s="1307">
        <f>$D$9</f>
        <v>1000000</v>
      </c>
      <c r="H18" s="1307">
        <f>F18+G18</f>
        <v>1000000</v>
      </c>
      <c r="I18" s="253"/>
      <c r="J18" s="253"/>
      <c r="L18" s="220">
        <v>2021</v>
      </c>
      <c r="M18" s="220">
        <f t="shared" ref="M18:W18" si="0">L18+1</f>
        <v>2022</v>
      </c>
      <c r="N18" s="220">
        <f t="shared" si="0"/>
        <v>2023</v>
      </c>
      <c r="O18" s="220">
        <f t="shared" si="0"/>
        <v>2024</v>
      </c>
      <c r="P18" s="220">
        <f t="shared" si="0"/>
        <v>2025</v>
      </c>
      <c r="Q18" s="220">
        <f t="shared" si="0"/>
        <v>2026</v>
      </c>
      <c r="R18" s="220">
        <f t="shared" si="0"/>
        <v>2027</v>
      </c>
      <c r="S18" s="220">
        <f t="shared" si="0"/>
        <v>2028</v>
      </c>
      <c r="T18" s="220">
        <f t="shared" si="0"/>
        <v>2029</v>
      </c>
      <c r="U18" s="220">
        <f t="shared" si="0"/>
        <v>2030</v>
      </c>
      <c r="V18" s="220">
        <f t="shared" si="0"/>
        <v>2031</v>
      </c>
      <c r="W18" s="220">
        <f t="shared" si="0"/>
        <v>2032</v>
      </c>
    </row>
    <row r="19" spans="1:131" x14ac:dyDescent="0.25">
      <c r="A19" s="254">
        <v>1</v>
      </c>
      <c r="B19" s="255">
        <f>IF(A19&lt;$H$10+1,DATE(YEAR(B18),MONTH(B18)+1,1),"")</f>
        <v>44958</v>
      </c>
      <c r="C19" s="256">
        <f>-D14</f>
        <v>19686.361431996225</v>
      </c>
      <c r="D19" s="257">
        <f t="shared" ref="D19:D82" si="1">IF(B19="","",ROUND((B19-B18)*$H$9*G18,2))</f>
        <v>5753.42</v>
      </c>
      <c r="E19" s="253">
        <f>C19-D19</f>
        <v>13932.941431996225</v>
      </c>
      <c r="F19" s="257">
        <f t="shared" ref="F19:F82" si="2">IF(B19="","",IF(C19&gt;F18+D19,0,F18+D19-C19))</f>
        <v>0</v>
      </c>
      <c r="G19" s="257">
        <f t="shared" ref="G19:G82" si="3">IF(B19="","",IF(C19&gt;D19+F18,G18+F18+D19-C19,G18))</f>
        <v>986067.05856800382</v>
      </c>
      <c r="H19" s="257">
        <f t="shared" ref="H19:H82" si="4">IF(B19="","",G19+F19)</f>
        <v>986067.05856800382</v>
      </c>
      <c r="I19" s="220">
        <f t="shared" ref="I19:I82" si="5">YEAR(B19)</f>
        <v>2023</v>
      </c>
      <c r="K19" s="226" t="s">
        <v>349</v>
      </c>
      <c r="L19" s="260">
        <v>0</v>
      </c>
      <c r="M19" s="258">
        <f t="shared" ref="M19:W19" si="6">L23</f>
        <v>1000000</v>
      </c>
      <c r="N19" s="258">
        <f t="shared" ca="1" si="6"/>
        <v>1000000</v>
      </c>
      <c r="O19" s="258">
        <f t="shared" ca="1" si="6"/>
        <v>842759.50424804154</v>
      </c>
      <c r="P19" s="258">
        <f t="shared" ca="1" si="6"/>
        <v>659872.3070640869</v>
      </c>
      <c r="Q19" s="258">
        <f t="shared" ca="1" si="6"/>
        <v>463599.8098801322</v>
      </c>
      <c r="R19" s="258">
        <f t="shared" ca="1" si="6"/>
        <v>253138.80269617753</v>
      </c>
      <c r="S19" s="258">
        <f t="shared" ca="1" si="6"/>
        <v>27463.575512222829</v>
      </c>
      <c r="T19" s="258">
        <f t="shared" ca="1" si="6"/>
        <v>0</v>
      </c>
      <c r="U19" s="258">
        <f t="shared" ca="1" si="6"/>
        <v>0</v>
      </c>
      <c r="V19" s="258">
        <f t="shared" ca="1" si="6"/>
        <v>0</v>
      </c>
      <c r="W19" s="258">
        <f t="shared" ca="1" si="6"/>
        <v>0</v>
      </c>
    </row>
    <row r="20" spans="1:131" x14ac:dyDescent="0.25">
      <c r="A20" s="254">
        <f t="shared" ref="A20:A36" ca="1" si="7">IF(OR(H19&lt;=0,H19=""),"",OFFSET(A20,-1,0,1,1)+1)</f>
        <v>2</v>
      </c>
      <c r="B20" s="255">
        <f t="shared" ref="B20:B83" ca="1" si="8">IF(A20&lt;$H$10+1,DATE(YEAR(B19),MONTH(B19)+1,1),"")</f>
        <v>44986</v>
      </c>
      <c r="C20" s="256">
        <f ca="1">IF(OR(A20=$H$10,A20=$H$13),D20+G19,IF(A20&lt;$H$10,C19,""))</f>
        <v>19686.361431996225</v>
      </c>
      <c r="D20" s="257">
        <f t="shared" ca="1" si="1"/>
        <v>5295.05</v>
      </c>
      <c r="E20" s="253">
        <f t="shared" ref="E20:E78" ca="1" si="9">C20-D20</f>
        <v>14391.311431996226</v>
      </c>
      <c r="F20" s="257">
        <f t="shared" ca="1" si="2"/>
        <v>0</v>
      </c>
      <c r="G20" s="257">
        <f t="shared" ca="1" si="3"/>
        <v>971675.74713600765</v>
      </c>
      <c r="H20" s="257">
        <f t="shared" ca="1" si="4"/>
        <v>971675.74713600765</v>
      </c>
      <c r="I20" s="220">
        <f t="shared" ca="1" si="5"/>
        <v>2023</v>
      </c>
      <c r="K20" s="226" t="s">
        <v>343</v>
      </c>
      <c r="L20" s="259">
        <f ca="1">SUMIF($I$19:$I$138,L18,$C$19:$C$138)</f>
        <v>0</v>
      </c>
      <c r="M20" s="259">
        <f t="shared" ref="M20:W20" ca="1" si="10">IF(M18=YEAR($D$11)+$H$10/12,L23+M21,IF(M19&lt;SUMIF($I$19:$I$138,M18,$C$19:$C$138),M19+M21,SUMIF($I$19:$I$138,M18,$C$19:$C$138)))</f>
        <v>0</v>
      </c>
      <c r="N20" s="259">
        <f t="shared" ca="1" si="10"/>
        <v>216549.97575195847</v>
      </c>
      <c r="O20" s="259">
        <f t="shared" ca="1" si="10"/>
        <v>236236.33718395469</v>
      </c>
      <c r="P20" s="259">
        <f t="shared" ca="1" si="10"/>
        <v>236236.33718395469</v>
      </c>
      <c r="Q20" s="259">
        <f t="shared" ca="1" si="10"/>
        <v>236236.33718395469</v>
      </c>
      <c r="R20" s="259">
        <f t="shared" ca="1" si="10"/>
        <v>236236.33718395469</v>
      </c>
      <c r="S20" s="259">
        <f t="shared" ca="1" si="10"/>
        <v>27626.855512222828</v>
      </c>
      <c r="T20" s="259">
        <f t="shared" ca="1" si="10"/>
        <v>0</v>
      </c>
      <c r="U20" s="259">
        <f t="shared" ca="1" si="10"/>
        <v>0</v>
      </c>
      <c r="V20" s="259">
        <f t="shared" ca="1" si="10"/>
        <v>0</v>
      </c>
      <c r="W20" s="259">
        <f t="shared" ca="1" si="10"/>
        <v>0</v>
      </c>
    </row>
    <row r="21" spans="1:131" x14ac:dyDescent="0.25">
      <c r="A21" s="254">
        <f t="shared" ca="1" si="7"/>
        <v>3</v>
      </c>
      <c r="B21" s="255">
        <f t="shared" ca="1" si="8"/>
        <v>45017</v>
      </c>
      <c r="C21" s="256">
        <f ca="1">IF(OR(A21=$H$10,A21=$H$13),D21+G20,IF(A21&lt;$H$10,C20,""))</f>
        <v>19686.361431996225</v>
      </c>
      <c r="D21" s="257">
        <f t="shared" ca="1" si="1"/>
        <v>5776.81</v>
      </c>
      <c r="E21" s="253">
        <f t="shared" ca="1" si="9"/>
        <v>13909.551431996224</v>
      </c>
      <c r="F21" s="257">
        <f ca="1">IF(B21="","",IF(C21&gt;F20+D21,0,F20+D21-C21))</f>
        <v>0</v>
      </c>
      <c r="G21" s="257">
        <f t="shared" ca="1" si="3"/>
        <v>957766.19570401148</v>
      </c>
      <c r="H21" s="257">
        <f t="shared" ca="1" si="4"/>
        <v>957766.19570401148</v>
      </c>
      <c r="I21" s="220">
        <f t="shared" ca="1" si="5"/>
        <v>2023</v>
      </c>
      <c r="K21" s="226" t="s">
        <v>350</v>
      </c>
      <c r="L21" s="260">
        <f ca="1">SUMIF($I$19:$I$138,L18,$D$19:$D$138)</f>
        <v>0</v>
      </c>
      <c r="M21" s="260">
        <f t="shared" ref="M21:W21" ca="1" si="11">IF(SUMIF($I$19:$I$138,M18,$D$19:$D$138)&gt;0,SUMIF($I$19:$I$138,M18,$D$19:$D$138),0)</f>
        <v>0</v>
      </c>
      <c r="N21" s="260">
        <f t="shared" ca="1" si="11"/>
        <v>59309.48</v>
      </c>
      <c r="O21" s="260">
        <f t="shared" ca="1" si="11"/>
        <v>53349.14</v>
      </c>
      <c r="P21" s="260">
        <f t="shared" ca="1" si="11"/>
        <v>39963.840000000004</v>
      </c>
      <c r="Q21" s="260">
        <f t="shared" ca="1" si="11"/>
        <v>25775.330000000005</v>
      </c>
      <c r="R21" s="260">
        <f t="shared" ca="1" si="11"/>
        <v>10561.109999999997</v>
      </c>
      <c r="S21" s="260">
        <f t="shared" ca="1" si="11"/>
        <v>163.28</v>
      </c>
      <c r="T21" s="260">
        <f t="shared" ca="1" si="11"/>
        <v>0</v>
      </c>
      <c r="U21" s="260">
        <f t="shared" ca="1" si="11"/>
        <v>0</v>
      </c>
      <c r="V21" s="260">
        <f t="shared" ca="1" si="11"/>
        <v>0</v>
      </c>
      <c r="W21" s="260">
        <f t="shared" ca="1" si="11"/>
        <v>0</v>
      </c>
    </row>
    <row r="22" spans="1:131" x14ac:dyDescent="0.25">
      <c r="A22" s="254">
        <f t="shared" ca="1" si="7"/>
        <v>4</v>
      </c>
      <c r="B22" s="255">
        <f t="shared" ca="1" si="8"/>
        <v>45047</v>
      </c>
      <c r="C22" s="256">
        <f ca="1">IF(OR(A22=$H$10,A22=$H$13),D22+G21,IF(A22&lt;$H$10,C21,""))</f>
        <v>19686.361431996225</v>
      </c>
      <c r="D22" s="257">
        <f ca="1">IF(B22="","",ROUND((B22-B21)*$H$9*G21,2))</f>
        <v>5510.44</v>
      </c>
      <c r="E22" s="253">
        <f t="shared" ca="1" si="9"/>
        <v>14175.921431996227</v>
      </c>
      <c r="F22" s="257">
        <f t="shared" ca="1" si="2"/>
        <v>0</v>
      </c>
      <c r="G22" s="257">
        <f ca="1">IF(B22="","",IF(C22&gt;D22+F21,G21+F21+D22-C22,G21))</f>
        <v>943590.2742720152</v>
      </c>
      <c r="H22" s="257">
        <f t="shared" ca="1" si="4"/>
        <v>943590.2742720152</v>
      </c>
      <c r="I22" s="220">
        <f t="shared" ca="1" si="5"/>
        <v>2023</v>
      </c>
      <c r="K22" s="226" t="s">
        <v>532</v>
      </c>
      <c r="L22" s="258">
        <f t="shared" ref="L22:W22" ca="1" si="12">L20-L21</f>
        <v>0</v>
      </c>
      <c r="M22" s="258">
        <f t="shared" ca="1" si="12"/>
        <v>0</v>
      </c>
      <c r="N22" s="258">
        <f t="shared" ca="1" si="12"/>
        <v>157240.49575195846</v>
      </c>
      <c r="O22" s="258">
        <f t="shared" ca="1" si="12"/>
        <v>182887.1971839547</v>
      </c>
      <c r="P22" s="258">
        <f t="shared" ca="1" si="12"/>
        <v>196272.49718395469</v>
      </c>
      <c r="Q22" s="258">
        <f t="shared" ca="1" si="12"/>
        <v>210461.00718395467</v>
      </c>
      <c r="R22" s="258">
        <f t="shared" ca="1" si="12"/>
        <v>225675.2271839547</v>
      </c>
      <c r="S22" s="258">
        <f t="shared" ca="1" si="12"/>
        <v>27463.575512222829</v>
      </c>
      <c r="T22" s="258">
        <f t="shared" ca="1" si="12"/>
        <v>0</v>
      </c>
      <c r="U22" s="258">
        <f t="shared" ca="1" si="12"/>
        <v>0</v>
      </c>
      <c r="V22" s="258">
        <f t="shared" ca="1" si="12"/>
        <v>0</v>
      </c>
      <c r="W22" s="258">
        <f t="shared" ca="1" si="12"/>
        <v>0</v>
      </c>
    </row>
    <row r="23" spans="1:131" x14ac:dyDescent="0.25">
      <c r="A23" s="254">
        <f t="shared" ca="1" si="7"/>
        <v>5</v>
      </c>
      <c r="B23" s="255">
        <f t="shared" ca="1" si="8"/>
        <v>45078</v>
      </c>
      <c r="C23" s="256">
        <f ca="1">IF(OR(A23=$H$10,A23=$H$13),D23+G22,IF(A23&lt;$H$10,C22,""))</f>
        <v>19686.361431996225</v>
      </c>
      <c r="D23" s="257">
        <f t="shared" ca="1" si="1"/>
        <v>5609.84</v>
      </c>
      <c r="E23" s="253">
        <f t="shared" ca="1" si="9"/>
        <v>14076.521431996225</v>
      </c>
      <c r="F23" s="257">
        <f t="shared" ca="1" si="2"/>
        <v>0</v>
      </c>
      <c r="G23" s="257">
        <f t="shared" ca="1" si="3"/>
        <v>929513.75284001895</v>
      </c>
      <c r="H23" s="257">
        <f t="shared" ca="1" si="4"/>
        <v>929513.75284001895</v>
      </c>
      <c r="I23" s="220">
        <f t="shared" ca="1" si="5"/>
        <v>2023</v>
      </c>
      <c r="J23" s="253">
        <f ca="1">SUM(C19:C23)</f>
        <v>98431.807159981123</v>
      </c>
      <c r="K23" s="226" t="s">
        <v>353</v>
      </c>
      <c r="L23" s="258">
        <f>G18</f>
        <v>1000000</v>
      </c>
      <c r="M23" s="258">
        <f t="shared" ref="M23:W23" ca="1" si="13">M19-M22</f>
        <v>1000000</v>
      </c>
      <c r="N23" s="258">
        <f t="shared" ca="1" si="13"/>
        <v>842759.50424804154</v>
      </c>
      <c r="O23" s="258">
        <f t="shared" ca="1" si="13"/>
        <v>659872.3070640869</v>
      </c>
      <c r="P23" s="258">
        <f t="shared" ca="1" si="13"/>
        <v>463599.8098801322</v>
      </c>
      <c r="Q23" s="258">
        <f t="shared" ca="1" si="13"/>
        <v>253138.80269617753</v>
      </c>
      <c r="R23" s="258">
        <f t="shared" ca="1" si="13"/>
        <v>27463.575512222829</v>
      </c>
      <c r="S23" s="258">
        <f t="shared" ca="1" si="13"/>
        <v>0</v>
      </c>
      <c r="T23" s="258">
        <f t="shared" ca="1" si="13"/>
        <v>0</v>
      </c>
      <c r="U23" s="258">
        <f t="shared" ca="1" si="13"/>
        <v>0</v>
      </c>
      <c r="V23" s="258">
        <f t="shared" ca="1" si="13"/>
        <v>0</v>
      </c>
      <c r="W23" s="258">
        <f t="shared" ca="1" si="13"/>
        <v>0</v>
      </c>
    </row>
    <row r="24" spans="1:131" x14ac:dyDescent="0.25">
      <c r="A24" s="254">
        <f t="shared" ca="1" si="7"/>
        <v>6</v>
      </c>
      <c r="B24" s="255">
        <f t="shared" ca="1" si="8"/>
        <v>45108</v>
      </c>
      <c r="C24" s="256">
        <f t="shared" ref="C24:C32" ca="1" si="14">IF(OR(A24=$H$10,A24=$H$13),D24+G23,IF(A24&lt;$H$10,C23,""))</f>
        <v>19686.361431996225</v>
      </c>
      <c r="D24" s="257">
        <f t="shared" ca="1" si="1"/>
        <v>5347.89</v>
      </c>
      <c r="E24" s="253">
        <f t="shared" ca="1" si="9"/>
        <v>14338.471431996226</v>
      </c>
      <c r="F24" s="257">
        <f t="shared" ca="1" si="2"/>
        <v>0</v>
      </c>
      <c r="G24" s="257">
        <f t="shared" ca="1" si="3"/>
        <v>915175.28140802274</v>
      </c>
      <c r="H24" s="257">
        <f t="shared" ca="1" si="4"/>
        <v>915175.28140802274</v>
      </c>
      <c r="I24" s="220">
        <f t="shared" ca="1" si="5"/>
        <v>2023</v>
      </c>
      <c r="K24" s="261" t="s">
        <v>354</v>
      </c>
      <c r="L24" s="262">
        <v>0</v>
      </c>
      <c r="M24" s="262">
        <v>0</v>
      </c>
      <c r="N24" s="262">
        <v>0</v>
      </c>
      <c r="O24" s="262">
        <v>0</v>
      </c>
      <c r="P24" s="262">
        <v>0</v>
      </c>
      <c r="Q24" s="262">
        <v>0</v>
      </c>
      <c r="R24" s="262"/>
    </row>
    <row r="25" spans="1:131" x14ac:dyDescent="0.25">
      <c r="A25" s="254">
        <f t="shared" ca="1" si="7"/>
        <v>7</v>
      </c>
      <c r="B25" s="255">
        <f t="shared" ca="1" si="8"/>
        <v>45139</v>
      </c>
      <c r="C25" s="256">
        <f t="shared" ca="1" si="14"/>
        <v>19686.361431996225</v>
      </c>
      <c r="D25" s="257">
        <f t="shared" ca="1" si="1"/>
        <v>5440.91</v>
      </c>
      <c r="E25" s="253">
        <f t="shared" ca="1" si="9"/>
        <v>14245.451431996225</v>
      </c>
      <c r="F25" s="257">
        <f t="shared" ca="1" si="2"/>
        <v>0</v>
      </c>
      <c r="G25" s="257">
        <f t="shared" ca="1" si="3"/>
        <v>900929.82997602655</v>
      </c>
      <c r="H25" s="257">
        <f t="shared" ca="1" si="4"/>
        <v>900929.82997602655</v>
      </c>
      <c r="I25" s="220">
        <f t="shared" ca="1" si="5"/>
        <v>2023</v>
      </c>
      <c r="K25" s="892"/>
      <c r="L25" s="220">
        <v>-24.029650617966269</v>
      </c>
      <c r="M25" s="220">
        <v>-56.235717621653464</v>
      </c>
      <c r="N25" s="220">
        <v>-31.512220076247672</v>
      </c>
      <c r="O25" s="220">
        <v>-6.6508553360682754</v>
      </c>
    </row>
    <row r="26" spans="1:131" x14ac:dyDescent="0.25">
      <c r="A26" s="254">
        <f t="shared" ca="1" si="7"/>
        <v>8</v>
      </c>
      <c r="B26" s="255">
        <f t="shared" ca="1" si="8"/>
        <v>45170</v>
      </c>
      <c r="C26" s="256">
        <f t="shared" ca="1" si="14"/>
        <v>19686.361431996225</v>
      </c>
      <c r="D26" s="257">
        <f t="shared" ca="1" si="1"/>
        <v>5356.21</v>
      </c>
      <c r="E26" s="253">
        <f t="shared" ca="1" si="9"/>
        <v>14330.151431996226</v>
      </c>
      <c r="F26" s="257">
        <f t="shared" ca="1" si="2"/>
        <v>0</v>
      </c>
      <c r="G26" s="257">
        <f t="shared" ca="1" si="3"/>
        <v>886599.67854403029</v>
      </c>
      <c r="H26" s="257">
        <f t="shared" ca="1" si="4"/>
        <v>886599.67854403029</v>
      </c>
      <c r="I26" s="220">
        <f t="shared" ca="1" si="5"/>
        <v>2023</v>
      </c>
      <c r="K26" s="263"/>
    </row>
    <row r="27" spans="1:131" x14ac:dyDescent="0.25">
      <c r="A27" s="254">
        <f t="shared" ca="1" si="7"/>
        <v>9</v>
      </c>
      <c r="B27" s="255">
        <f t="shared" ca="1" si="8"/>
        <v>45200</v>
      </c>
      <c r="C27" s="256">
        <f t="shared" ca="1" si="14"/>
        <v>19686.361431996225</v>
      </c>
      <c r="D27" s="257">
        <f t="shared" ca="1" si="1"/>
        <v>5100.9799999999996</v>
      </c>
      <c r="E27" s="253">
        <f t="shared" ca="1" si="9"/>
        <v>14585.381431996226</v>
      </c>
      <c r="F27" s="257">
        <f t="shared" ca="1" si="2"/>
        <v>0</v>
      </c>
      <c r="G27" s="257">
        <f ca="1">IF(B27="","",IF(C27&gt;D27+F26,G26+F26+D27-C27,G26))</f>
        <v>872014.29711203405</v>
      </c>
      <c r="H27" s="257">
        <f t="shared" ca="1" si="4"/>
        <v>872014.29711203405</v>
      </c>
      <c r="I27" s="220">
        <f t="shared" ca="1" si="5"/>
        <v>2023</v>
      </c>
    </row>
    <row r="28" spans="1:131" x14ac:dyDescent="0.25">
      <c r="A28" s="254">
        <f t="shared" ca="1" si="7"/>
        <v>10</v>
      </c>
      <c r="B28" s="255">
        <f t="shared" ca="1" si="8"/>
        <v>45231</v>
      </c>
      <c r="C28" s="256">
        <f ca="1">IF(OR(A28=$H$10,A28=$H$13),D28+G27,IF(A28&lt;$H$10,C27,""))</f>
        <v>19686.361431996225</v>
      </c>
      <c r="D28" s="257">
        <f t="shared" ca="1" si="1"/>
        <v>5184.3</v>
      </c>
      <c r="E28" s="253">
        <f t="shared" ca="1" si="9"/>
        <v>14502.061431996226</v>
      </c>
      <c r="F28" s="257">
        <f t="shared" ca="1" si="2"/>
        <v>0</v>
      </c>
      <c r="G28" s="257">
        <f t="shared" ca="1" si="3"/>
        <v>857512.23568003788</v>
      </c>
      <c r="H28" s="257">
        <f t="shared" ca="1" si="4"/>
        <v>857512.23568003788</v>
      </c>
      <c r="I28" s="220">
        <f t="shared" ca="1" si="5"/>
        <v>2023</v>
      </c>
    </row>
    <row r="29" spans="1:131" x14ac:dyDescent="0.25">
      <c r="A29" s="254">
        <f t="shared" ca="1" si="7"/>
        <v>11</v>
      </c>
      <c r="B29" s="255">
        <f t="shared" ca="1" si="8"/>
        <v>45261</v>
      </c>
      <c r="C29" s="256">
        <f ca="1">IF(OR(A29=$H$10,A29=$H$13),D29+G28,IF(A29&lt;$H$10,C28,""))</f>
        <v>19686.361431996225</v>
      </c>
      <c r="D29" s="257">
        <f t="shared" ca="1" si="1"/>
        <v>4933.63</v>
      </c>
      <c r="E29" s="253">
        <f t="shared" ca="1" si="9"/>
        <v>14752.731431996224</v>
      </c>
      <c r="F29" s="257">
        <f t="shared" ca="1" si="2"/>
        <v>0</v>
      </c>
      <c r="G29" s="257">
        <f t="shared" ca="1" si="3"/>
        <v>842759.50424804166</v>
      </c>
      <c r="H29" s="257">
        <f t="shared" ca="1" si="4"/>
        <v>842759.50424804166</v>
      </c>
      <c r="I29" s="220">
        <f t="shared" ca="1" si="5"/>
        <v>2023</v>
      </c>
      <c r="L29" s="220">
        <v>1</v>
      </c>
      <c r="M29" s="220">
        <v>2</v>
      </c>
      <c r="N29" s="220">
        <v>3</v>
      </c>
      <c r="O29" s="220">
        <v>4</v>
      </c>
      <c r="P29" s="220">
        <v>5</v>
      </c>
      <c r="Q29" s="220">
        <v>6</v>
      </c>
      <c r="R29" s="220">
        <v>7</v>
      </c>
      <c r="S29" s="220">
        <v>8</v>
      </c>
      <c r="T29" s="220">
        <v>9</v>
      </c>
      <c r="U29" s="220">
        <v>10</v>
      </c>
      <c r="V29" s="220">
        <v>11</v>
      </c>
      <c r="W29" s="220">
        <v>12</v>
      </c>
      <c r="X29" s="220">
        <v>13</v>
      </c>
      <c r="Y29" s="220">
        <v>14</v>
      </c>
      <c r="Z29" s="220">
        <v>15</v>
      </c>
      <c r="AA29" s="220">
        <v>16</v>
      </c>
      <c r="AB29" s="220">
        <v>17</v>
      </c>
      <c r="AC29" s="220">
        <v>18</v>
      </c>
      <c r="AD29" s="220">
        <v>19</v>
      </c>
      <c r="AE29" s="220">
        <v>20</v>
      </c>
      <c r="AF29" s="220">
        <v>21</v>
      </c>
      <c r="AG29" s="220">
        <v>22</v>
      </c>
      <c r="AH29" s="220">
        <v>23</v>
      </c>
      <c r="AI29" s="220">
        <v>24</v>
      </c>
      <c r="AJ29" s="220">
        <v>25</v>
      </c>
      <c r="AK29" s="220">
        <v>26</v>
      </c>
      <c r="AL29" s="220">
        <v>27</v>
      </c>
      <c r="AM29" s="220">
        <v>28</v>
      </c>
      <c r="AN29" s="220">
        <v>29</v>
      </c>
      <c r="AO29" s="220">
        <v>30</v>
      </c>
      <c r="AP29" s="220">
        <v>31</v>
      </c>
      <c r="AQ29" s="220">
        <v>32</v>
      </c>
      <c r="AR29" s="220">
        <v>33</v>
      </c>
      <c r="AS29" s="220">
        <v>34</v>
      </c>
      <c r="AT29" s="220">
        <v>35</v>
      </c>
      <c r="AU29" s="220">
        <v>36</v>
      </c>
      <c r="AV29" s="220">
        <v>37</v>
      </c>
      <c r="AW29" s="220">
        <v>38</v>
      </c>
      <c r="AX29" s="220">
        <v>39</v>
      </c>
      <c r="AY29" s="220">
        <v>40</v>
      </c>
      <c r="AZ29" s="220">
        <v>41</v>
      </c>
      <c r="BA29" s="220">
        <v>42</v>
      </c>
      <c r="BB29" s="220">
        <v>43</v>
      </c>
      <c r="BC29" s="220">
        <v>44</v>
      </c>
      <c r="BD29" s="220">
        <v>45</v>
      </c>
      <c r="BE29" s="220">
        <v>46</v>
      </c>
      <c r="BF29" s="220">
        <v>47</v>
      </c>
      <c r="BG29" s="220">
        <v>48</v>
      </c>
      <c r="BH29" s="220">
        <v>49</v>
      </c>
      <c r="BI29" s="220">
        <v>50</v>
      </c>
      <c r="BJ29" s="220">
        <v>51</v>
      </c>
      <c r="BK29" s="220">
        <v>52</v>
      </c>
      <c r="BL29" s="220">
        <v>53</v>
      </c>
      <c r="BM29" s="220">
        <v>54</v>
      </c>
      <c r="BN29" s="220">
        <v>55</v>
      </c>
      <c r="BO29" s="220">
        <v>56</v>
      </c>
      <c r="BP29" s="220">
        <v>57</v>
      </c>
      <c r="BQ29" s="220">
        <v>58</v>
      </c>
      <c r="BR29" s="220">
        <v>59</v>
      </c>
      <c r="BS29" s="220">
        <v>60</v>
      </c>
      <c r="BT29" s="220">
        <v>61</v>
      </c>
      <c r="BU29" s="220">
        <v>62</v>
      </c>
      <c r="BV29" s="220">
        <v>63</v>
      </c>
      <c r="BW29" s="220">
        <v>64</v>
      </c>
      <c r="BX29" s="220">
        <v>65</v>
      </c>
      <c r="BY29" s="220">
        <v>66</v>
      </c>
      <c r="BZ29" s="220">
        <v>67</v>
      </c>
      <c r="CA29" s="220">
        <v>68</v>
      </c>
      <c r="CB29" s="220">
        <v>69</v>
      </c>
      <c r="CC29" s="220">
        <v>70</v>
      </c>
      <c r="CD29" s="220">
        <v>71</v>
      </c>
      <c r="CE29" s="220">
        <v>72</v>
      </c>
      <c r="CF29" s="220">
        <v>73</v>
      </c>
      <c r="CG29" s="220">
        <v>74</v>
      </c>
      <c r="CH29" s="220">
        <v>75</v>
      </c>
      <c r="CI29" s="220">
        <v>76</v>
      </c>
      <c r="CJ29" s="220">
        <v>77</v>
      </c>
      <c r="CK29" s="220">
        <v>78</v>
      </c>
      <c r="CL29" s="220">
        <v>79</v>
      </c>
      <c r="CM29" s="220">
        <v>80</v>
      </c>
      <c r="CN29" s="220">
        <v>81</v>
      </c>
      <c r="CO29" s="220">
        <v>82</v>
      </c>
      <c r="CP29" s="220">
        <v>83</v>
      </c>
      <c r="CQ29" s="220">
        <v>84</v>
      </c>
      <c r="CR29" s="220">
        <v>85</v>
      </c>
      <c r="CS29" s="220">
        <v>86</v>
      </c>
      <c r="CT29" s="220">
        <v>87</v>
      </c>
      <c r="CU29" s="220">
        <v>88</v>
      </c>
      <c r="CV29" s="220">
        <v>89</v>
      </c>
      <c r="CW29" s="220">
        <v>90</v>
      </c>
      <c r="CX29" s="220">
        <v>91</v>
      </c>
      <c r="CY29" s="220">
        <v>92</v>
      </c>
      <c r="CZ29" s="220">
        <v>93</v>
      </c>
      <c r="DA29" s="220">
        <v>94</v>
      </c>
      <c r="DB29" s="220">
        <v>95</v>
      </c>
      <c r="DC29" s="220">
        <v>96</v>
      </c>
      <c r="DD29" s="220">
        <v>97</v>
      </c>
      <c r="DE29" s="220">
        <v>98</v>
      </c>
      <c r="DF29" s="220">
        <v>99</v>
      </c>
      <c r="DG29" s="220">
        <v>100</v>
      </c>
      <c r="DH29" s="220">
        <v>101</v>
      </c>
      <c r="DI29" s="220">
        <v>102</v>
      </c>
      <c r="DJ29" s="220">
        <v>103</v>
      </c>
      <c r="DK29" s="220">
        <v>104</v>
      </c>
      <c r="DL29" s="220">
        <v>105</v>
      </c>
      <c r="DM29" s="220">
        <v>106</v>
      </c>
      <c r="DN29" s="220">
        <v>107</v>
      </c>
      <c r="DO29" s="220">
        <v>108</v>
      </c>
      <c r="DP29" s="220">
        <v>109</v>
      </c>
      <c r="DQ29" s="220">
        <v>110</v>
      </c>
      <c r="DR29" s="220">
        <v>111</v>
      </c>
      <c r="DS29" s="220">
        <v>112</v>
      </c>
      <c r="DT29" s="220">
        <v>113</v>
      </c>
      <c r="DU29" s="220">
        <v>114</v>
      </c>
      <c r="DV29" s="220">
        <v>115</v>
      </c>
      <c r="DW29" s="220">
        <v>116</v>
      </c>
      <c r="DX29" s="220">
        <v>117</v>
      </c>
      <c r="DY29" s="220">
        <v>118</v>
      </c>
      <c r="DZ29" s="220">
        <v>119</v>
      </c>
      <c r="EA29" s="220">
        <v>120</v>
      </c>
    </row>
    <row r="30" spans="1:131" x14ac:dyDescent="0.25">
      <c r="A30" s="254">
        <f t="shared" ca="1" si="7"/>
        <v>12</v>
      </c>
      <c r="B30" s="255">
        <f t="shared" ca="1" si="8"/>
        <v>45292</v>
      </c>
      <c r="C30" s="256">
        <f t="shared" ca="1" si="14"/>
        <v>19686.361431996225</v>
      </c>
      <c r="D30" s="257">
        <f t="shared" ca="1" si="1"/>
        <v>5010.38</v>
      </c>
      <c r="E30" s="253">
        <f t="shared" ca="1" si="9"/>
        <v>14675.981431996224</v>
      </c>
      <c r="F30" s="257">
        <f t="shared" ca="1" si="2"/>
        <v>0</v>
      </c>
      <c r="G30" s="257">
        <f t="shared" ca="1" si="3"/>
        <v>828083.52281604544</v>
      </c>
      <c r="H30" s="257">
        <f t="shared" ca="1" si="4"/>
        <v>828083.52281604544</v>
      </c>
      <c r="I30" s="220">
        <f t="shared" ca="1" si="5"/>
        <v>2024</v>
      </c>
      <c r="K30" s="220" t="s">
        <v>378</v>
      </c>
      <c r="L30" s="1521">
        <f t="array" ref="L30:EA30">TRANSPOSE(E19:E138)</f>
        <v>13932.941431996225</v>
      </c>
      <c r="M30" s="1521">
        <f ca="1"/>
        <v>14391.311431996226</v>
      </c>
      <c r="N30" s="1521">
        <f ca="1"/>
        <v>13909.551431996224</v>
      </c>
      <c r="O30" s="1521">
        <f ca="1"/>
        <v>14175.921431996227</v>
      </c>
      <c r="P30" s="1521">
        <f ca="1"/>
        <v>14076.521431996225</v>
      </c>
      <c r="Q30" s="1521">
        <f ca="1"/>
        <v>14338.471431996226</v>
      </c>
      <c r="R30" s="1521">
        <f ca="1"/>
        <v>14245.451431996225</v>
      </c>
      <c r="S30" s="1521">
        <f ca="1"/>
        <v>14330.151431996226</v>
      </c>
      <c r="T30" s="1521">
        <f ca="1"/>
        <v>14585.381431996226</v>
      </c>
      <c r="U30" s="1521">
        <f ca="1"/>
        <v>14502.061431996226</v>
      </c>
      <c r="V30" s="1521">
        <f ca="1"/>
        <v>14752.731431996224</v>
      </c>
      <c r="W30" s="1521">
        <f ca="1"/>
        <v>14675.981431996224</v>
      </c>
      <c r="X30" s="1521">
        <f ca="1"/>
        <v>14763.231431996224</v>
      </c>
      <c r="Y30" s="1521">
        <f ca="1"/>
        <v>15162.961431996226</v>
      </c>
      <c r="Z30" s="1521">
        <f ca="1"/>
        <v>14941.151431996226</v>
      </c>
      <c r="AA30" s="1521">
        <f ca="1"/>
        <v>15180.181431996225</v>
      </c>
      <c r="AB30" s="1521">
        <f ca="1"/>
        <v>15120.231431996224</v>
      </c>
      <c r="AC30" s="1521">
        <f ca="1"/>
        <v>15354.521431996225</v>
      </c>
      <c r="AD30" s="1521">
        <f ca="1"/>
        <v>15301.411431996225</v>
      </c>
      <c r="AE30" s="1521">
        <f ca="1"/>
        <v>15392.381431996226</v>
      </c>
      <c r="AF30" s="1521">
        <f ca="1"/>
        <v>15619.451431996225</v>
      </c>
      <c r="AG30" s="1521">
        <f ca="1"/>
        <v>15576.751431996225</v>
      </c>
      <c r="AH30" s="1521">
        <f ca="1"/>
        <v>15798.941431996225</v>
      </c>
      <c r="AI30" s="1521">
        <f ca="1"/>
        <v>15763.281431996225</v>
      </c>
      <c r="AJ30" s="1521">
        <f ca="1"/>
        <v>15857.001431996225</v>
      </c>
      <c r="AK30" s="1521">
        <f ca="1"/>
        <v>16312.731431996224</v>
      </c>
      <c r="AL30" s="1521">
        <f ca="1"/>
        <v>16048.261431996225</v>
      </c>
      <c r="AM30" s="1521">
        <f ca="1"/>
        <v>16257.951431996225</v>
      </c>
      <c r="AN30" s="1521">
        <f ca="1"/>
        <v>16240.321431996224</v>
      </c>
      <c r="AO30" s="1521">
        <f ca="1"/>
        <v>16444.921431996227</v>
      </c>
      <c r="AP30" s="1521">
        <f ca="1"/>
        <v>16434.641431996224</v>
      </c>
      <c r="AQ30" s="1521">
        <f ca="1"/>
        <v>16532.351431996227</v>
      </c>
      <c r="AR30" s="1521">
        <f ca="1"/>
        <v>16729.211431996224</v>
      </c>
      <c r="AS30" s="1521">
        <f ca="1"/>
        <v>16730.101431996227</v>
      </c>
      <c r="AT30" s="1521">
        <f ca="1"/>
        <v>16921.721431996226</v>
      </c>
      <c r="AU30" s="1521">
        <f ca="1"/>
        <v>16930.161431996225</v>
      </c>
      <c r="AV30" s="1521">
        <f ca="1"/>
        <v>17030.821431996224</v>
      </c>
      <c r="AW30" s="1521">
        <f ca="1"/>
        <v>17379.261431996227</v>
      </c>
      <c r="AX30" s="1521">
        <f ca="1"/>
        <v>17235.391431996224</v>
      </c>
      <c r="AY30" s="1521">
        <f ca="1"/>
        <v>17413.621431996224</v>
      </c>
      <c r="AZ30" s="1521">
        <f ca="1"/>
        <v>17441.391431996224</v>
      </c>
      <c r="BA30" s="1521">
        <f ca="1"/>
        <v>17614.151431996226</v>
      </c>
      <c r="BB30" s="1521">
        <f ca="1"/>
        <v>17649.801431996224</v>
      </c>
      <c r="BC30" s="1521">
        <f ca="1"/>
        <v>17754.731431996224</v>
      </c>
      <c r="BD30" s="1521">
        <f ca="1"/>
        <v>17919.191431996223</v>
      </c>
      <c r="BE30" s="1521">
        <f ca="1"/>
        <v>17966.821431996224</v>
      </c>
      <c r="BF30" s="1521">
        <f ca="1"/>
        <v>18125.661431996225</v>
      </c>
      <c r="BG30" s="1521">
        <f ca="1"/>
        <v>18181.401431996226</v>
      </c>
      <c r="BH30" s="1521">
        <f ca="1"/>
        <v>18289.491431996226</v>
      </c>
      <c r="BI30" s="1521">
        <f ca="1"/>
        <v>18522.881431996226</v>
      </c>
      <c r="BJ30" s="1521">
        <f ca="1"/>
        <v>18508.351431996227</v>
      </c>
      <c r="BK30" s="1521">
        <f ca="1"/>
        <v>18652.831431996226</v>
      </c>
      <c r="BL30" s="1521">
        <f ca="1"/>
        <v>18729.281431996224</v>
      </c>
      <c r="BM30" s="1521">
        <f ca="1"/>
        <v>18867.911431996225</v>
      </c>
      <c r="BN30" s="1521">
        <f ca="1"/>
        <v>18952.801431996224</v>
      </c>
      <c r="BO30" s="1521">
        <f ca="1"/>
        <v>19065.481431996224</v>
      </c>
      <c r="BP30" s="1521">
        <f ca="1"/>
        <v>19195.201431996225</v>
      </c>
      <c r="BQ30" s="1521">
        <f ca="1"/>
        <v>19292.951431996225</v>
      </c>
      <c r="BR30" s="1521">
        <f ca="1"/>
        <v>19416.641431996224</v>
      </c>
      <c r="BS30" s="1521">
        <f ca="1"/>
        <v>27463.575512222913</v>
      </c>
      <c r="BT30" s="1521">
        <v>0</v>
      </c>
      <c r="BU30" s="1521">
        <v>0</v>
      </c>
      <c r="BV30" s="1521">
        <v>0</v>
      </c>
      <c r="BW30" s="1521">
        <v>0</v>
      </c>
      <c r="BX30" s="1521">
        <v>0</v>
      </c>
      <c r="BY30" s="1521">
        <v>0</v>
      </c>
      <c r="BZ30" s="1521">
        <v>0</v>
      </c>
      <c r="CA30" s="1521">
        <v>0</v>
      </c>
      <c r="CB30" s="1521">
        <v>0</v>
      </c>
      <c r="CC30" s="1521">
        <v>0</v>
      </c>
      <c r="CD30" s="1521">
        <v>0</v>
      </c>
      <c r="CE30" s="1521">
        <v>0</v>
      </c>
      <c r="CF30" s="1521">
        <v>0</v>
      </c>
      <c r="CG30" s="1521">
        <v>0</v>
      </c>
      <c r="CH30" s="1521">
        <v>0</v>
      </c>
      <c r="CI30" s="1521">
        <v>0</v>
      </c>
      <c r="CJ30" s="1521">
        <v>0</v>
      </c>
      <c r="CK30" s="1521">
        <v>0</v>
      </c>
      <c r="CL30" s="1521">
        <v>0</v>
      </c>
      <c r="CM30" s="1521">
        <v>0</v>
      </c>
      <c r="CN30" s="1521">
        <v>0</v>
      </c>
      <c r="CO30" s="1521">
        <v>0</v>
      </c>
      <c r="CP30" s="1521">
        <v>0</v>
      </c>
      <c r="CQ30" s="1521">
        <v>0</v>
      </c>
      <c r="CR30" s="1521">
        <v>0</v>
      </c>
      <c r="CS30" s="1521">
        <v>0</v>
      </c>
      <c r="CT30" s="1521">
        <v>0</v>
      </c>
      <c r="CU30" s="1521">
        <v>0</v>
      </c>
      <c r="CV30" s="1521">
        <v>0</v>
      </c>
      <c r="CW30" s="1521">
        <v>0</v>
      </c>
      <c r="CX30" s="1521">
        <v>0</v>
      </c>
      <c r="CY30" s="1521">
        <v>0</v>
      </c>
      <c r="CZ30" s="1521">
        <v>0</v>
      </c>
      <c r="DA30" s="1521">
        <v>0</v>
      </c>
      <c r="DB30" s="1521">
        <v>0</v>
      </c>
      <c r="DC30" s="1521">
        <v>0</v>
      </c>
      <c r="DD30" s="1521">
        <v>0</v>
      </c>
      <c r="DE30" s="1521">
        <v>0</v>
      </c>
      <c r="DF30" s="1521">
        <v>0</v>
      </c>
      <c r="DG30" s="1521">
        <v>0</v>
      </c>
      <c r="DH30" s="1521">
        <v>0</v>
      </c>
      <c r="DI30" s="1521">
        <v>0</v>
      </c>
      <c r="DJ30" s="1521">
        <v>0</v>
      </c>
      <c r="DK30" s="1521">
        <v>0</v>
      </c>
      <c r="DL30" s="1521">
        <v>0</v>
      </c>
      <c r="DM30" s="1521">
        <v>0</v>
      </c>
      <c r="DN30" s="1521">
        <v>0</v>
      </c>
      <c r="DO30" s="1521">
        <v>0</v>
      </c>
      <c r="DP30" s="1521">
        <v>0</v>
      </c>
      <c r="DQ30" s="1521">
        <v>0</v>
      </c>
      <c r="DR30" s="1521">
        <v>0</v>
      </c>
      <c r="DS30" s="1521">
        <v>0</v>
      </c>
      <c r="DT30" s="1521">
        <v>0</v>
      </c>
      <c r="DU30" s="1521">
        <v>0</v>
      </c>
      <c r="DV30" s="1521">
        <v>0</v>
      </c>
      <c r="DW30" s="1521">
        <v>0</v>
      </c>
      <c r="DX30" s="1521">
        <v>0</v>
      </c>
      <c r="DY30" s="1521">
        <v>0</v>
      </c>
      <c r="DZ30" s="1521">
        <v>0</v>
      </c>
      <c r="EA30" s="1521">
        <v>0</v>
      </c>
    </row>
    <row r="31" spans="1:131" x14ac:dyDescent="0.25">
      <c r="A31" s="254">
        <f t="shared" ca="1" si="7"/>
        <v>13</v>
      </c>
      <c r="B31" s="255">
        <f t="shared" ca="1" si="8"/>
        <v>45323</v>
      </c>
      <c r="C31" s="256">
        <f t="shared" ca="1" si="14"/>
        <v>19686.361431996225</v>
      </c>
      <c r="D31" s="257">
        <f t="shared" ca="1" si="1"/>
        <v>4923.13</v>
      </c>
      <c r="E31" s="253">
        <f t="shared" ca="1" si="9"/>
        <v>14763.231431996224</v>
      </c>
      <c r="F31" s="257">
        <f t="shared" ca="1" si="2"/>
        <v>0</v>
      </c>
      <c r="G31" s="257">
        <f t="shared" ca="1" si="3"/>
        <v>813320.29138404923</v>
      </c>
      <c r="H31" s="257">
        <f t="shared" ca="1" si="4"/>
        <v>813320.29138404923</v>
      </c>
      <c r="I31" s="220">
        <f t="shared" ca="1" si="5"/>
        <v>2024</v>
      </c>
      <c r="K31" s="220" t="s">
        <v>379</v>
      </c>
      <c r="L31" s="220">
        <f t="array" ref="L31:EA31">TRANSPOSE(D19:D138)</f>
        <v>5753.42</v>
      </c>
      <c r="M31" s="220">
        <f ca="1"/>
        <v>5295.05</v>
      </c>
      <c r="N31" s="220">
        <f ca="1"/>
        <v>5776.81</v>
      </c>
      <c r="O31" s="220">
        <f ca="1"/>
        <v>5510.44</v>
      </c>
      <c r="P31" s="220">
        <f ca="1"/>
        <v>5609.84</v>
      </c>
      <c r="Q31" s="220">
        <f ca="1"/>
        <v>5347.89</v>
      </c>
      <c r="R31" s="220">
        <f ca="1"/>
        <v>5440.91</v>
      </c>
      <c r="S31" s="220">
        <f ca="1"/>
        <v>5356.21</v>
      </c>
      <c r="T31" s="220">
        <f ca="1"/>
        <v>5100.9799999999996</v>
      </c>
      <c r="U31" s="220">
        <f ca="1"/>
        <v>5184.3</v>
      </c>
      <c r="V31" s="220">
        <f ca="1"/>
        <v>4933.63</v>
      </c>
      <c r="W31" s="220">
        <f ca="1"/>
        <v>5010.38</v>
      </c>
      <c r="X31" s="220">
        <f ca="1"/>
        <v>4923.13</v>
      </c>
      <c r="Y31" s="220">
        <f ca="1"/>
        <v>4523.3999999999996</v>
      </c>
      <c r="Z31" s="220">
        <f ca="1"/>
        <v>4745.21</v>
      </c>
      <c r="AA31" s="220">
        <f ca="1"/>
        <v>4506.18</v>
      </c>
      <c r="AB31" s="220">
        <f ca="1"/>
        <v>4566.13</v>
      </c>
      <c r="AC31" s="220">
        <f ca="1"/>
        <v>4331.84</v>
      </c>
      <c r="AD31" s="220">
        <f ca="1"/>
        <v>4384.95</v>
      </c>
      <c r="AE31" s="220">
        <f ca="1"/>
        <v>4293.9799999999996</v>
      </c>
      <c r="AF31" s="220">
        <f ca="1"/>
        <v>4066.91</v>
      </c>
      <c r="AG31" s="220">
        <f ca="1"/>
        <v>4109.6099999999997</v>
      </c>
      <c r="AH31" s="220">
        <f ca="1"/>
        <v>3887.42</v>
      </c>
      <c r="AI31" s="220">
        <f ca="1"/>
        <v>3923.08</v>
      </c>
      <c r="AJ31" s="220">
        <f ca="1"/>
        <v>3829.36</v>
      </c>
      <c r="AK31" s="220">
        <f ca="1"/>
        <v>3373.63</v>
      </c>
      <c r="AL31" s="220">
        <f ca="1"/>
        <v>3638.1</v>
      </c>
      <c r="AM31" s="220">
        <f ca="1"/>
        <v>3428.41</v>
      </c>
      <c r="AN31" s="220">
        <f ca="1"/>
        <v>3446.04</v>
      </c>
      <c r="AO31" s="220">
        <f ca="1"/>
        <v>3241.44</v>
      </c>
      <c r="AP31" s="220">
        <f ca="1"/>
        <v>3251.72</v>
      </c>
      <c r="AQ31" s="220">
        <f ca="1"/>
        <v>3154.01</v>
      </c>
      <c r="AR31" s="220">
        <f ca="1"/>
        <v>2957.15</v>
      </c>
      <c r="AS31" s="220">
        <f ca="1"/>
        <v>2956.26</v>
      </c>
      <c r="AT31" s="220">
        <f ca="1"/>
        <v>2764.64</v>
      </c>
      <c r="AU31" s="220">
        <f ca="1"/>
        <v>2756.2</v>
      </c>
      <c r="AV31" s="220">
        <f ca="1"/>
        <v>2655.54</v>
      </c>
      <c r="AW31" s="220">
        <f ca="1"/>
        <v>2307.1</v>
      </c>
      <c r="AX31" s="220">
        <f ca="1"/>
        <v>2450.9699999999998</v>
      </c>
      <c r="AY31" s="220">
        <f ca="1"/>
        <v>2272.7399999999998</v>
      </c>
      <c r="AZ31" s="220">
        <f ca="1"/>
        <v>2244.9699999999998</v>
      </c>
      <c r="BA31" s="220">
        <f ca="1"/>
        <v>2072.21</v>
      </c>
      <c r="BB31" s="220">
        <f ca="1"/>
        <v>2036.56</v>
      </c>
      <c r="BC31" s="220">
        <f ca="1"/>
        <v>1931.63</v>
      </c>
      <c r="BD31" s="220">
        <f ca="1"/>
        <v>1767.17</v>
      </c>
      <c r="BE31" s="220">
        <f ca="1"/>
        <v>1719.54</v>
      </c>
      <c r="BF31" s="220">
        <f ca="1"/>
        <v>1560.7</v>
      </c>
      <c r="BG31" s="220">
        <f ca="1"/>
        <v>1504.96</v>
      </c>
      <c r="BH31" s="220">
        <f ca="1"/>
        <v>1396.87</v>
      </c>
      <c r="BI31" s="220">
        <f ca="1"/>
        <v>1163.48</v>
      </c>
      <c r="BJ31" s="220">
        <f ca="1"/>
        <v>1178.01</v>
      </c>
      <c r="BK31" s="220">
        <f ca="1"/>
        <v>1033.53</v>
      </c>
      <c r="BL31" s="220">
        <f ca="1"/>
        <v>957.08</v>
      </c>
      <c r="BM31" s="220">
        <f ca="1"/>
        <v>818.45</v>
      </c>
      <c r="BN31" s="220">
        <f ca="1"/>
        <v>733.56</v>
      </c>
      <c r="BO31" s="220">
        <f ca="1"/>
        <v>620.88</v>
      </c>
      <c r="BP31" s="220">
        <f ca="1"/>
        <v>491.16</v>
      </c>
      <c r="BQ31" s="220">
        <f ca="1"/>
        <v>393.41</v>
      </c>
      <c r="BR31" s="220">
        <f ca="1"/>
        <v>269.72000000000003</v>
      </c>
      <c r="BS31" s="220">
        <f ca="1"/>
        <v>163.28</v>
      </c>
      <c r="BT31" s="220" t="str">
        <f ca="1"/>
        <v/>
      </c>
      <c r="BU31" s="220" t="str">
        <f ca="1"/>
        <v/>
      </c>
      <c r="BV31" s="220" t="str">
        <f ca="1"/>
        <v/>
      </c>
      <c r="BW31" s="220" t="str">
        <f ca="1"/>
        <v/>
      </c>
      <c r="BX31" s="220" t="str">
        <f ca="1"/>
        <v/>
      </c>
      <c r="BY31" s="220" t="str">
        <f ca="1"/>
        <v/>
      </c>
      <c r="BZ31" s="220" t="str">
        <f ca="1"/>
        <v/>
      </c>
      <c r="CA31" s="220" t="str">
        <f ca="1"/>
        <v/>
      </c>
      <c r="CB31" s="220" t="str">
        <f ca="1"/>
        <v/>
      </c>
      <c r="CC31" s="220" t="str">
        <f ca="1"/>
        <v/>
      </c>
      <c r="CD31" s="220" t="str">
        <f ca="1"/>
        <v/>
      </c>
      <c r="CE31" s="220" t="str">
        <f ca="1"/>
        <v/>
      </c>
      <c r="CF31" s="220" t="str">
        <f ca="1"/>
        <v/>
      </c>
      <c r="CG31" s="220" t="str">
        <f ca="1"/>
        <v/>
      </c>
      <c r="CH31" s="220" t="str">
        <f ca="1"/>
        <v/>
      </c>
      <c r="CI31" s="220" t="str">
        <f ca="1"/>
        <v/>
      </c>
      <c r="CJ31" s="220" t="str">
        <f ca="1"/>
        <v/>
      </c>
      <c r="CK31" s="220" t="str">
        <f ca="1"/>
        <v/>
      </c>
      <c r="CL31" s="220" t="str">
        <f ca="1"/>
        <v/>
      </c>
      <c r="CM31" s="220" t="str">
        <f ca="1"/>
        <v/>
      </c>
      <c r="CN31" s="220" t="str">
        <f ca="1"/>
        <v/>
      </c>
      <c r="CO31" s="220" t="str">
        <f ca="1"/>
        <v/>
      </c>
      <c r="CP31" s="220" t="str">
        <f ca="1"/>
        <v/>
      </c>
      <c r="CQ31" s="220" t="str">
        <f ca="1"/>
        <v/>
      </c>
      <c r="CR31" s="220" t="str">
        <f ca="1"/>
        <v/>
      </c>
      <c r="CS31" s="220" t="str">
        <f ca="1"/>
        <v/>
      </c>
      <c r="CT31" s="220" t="str">
        <f ca="1"/>
        <v/>
      </c>
      <c r="CU31" s="220" t="str">
        <f ca="1"/>
        <v/>
      </c>
      <c r="CV31" s="220" t="str">
        <f ca="1"/>
        <v/>
      </c>
      <c r="CW31" s="220" t="str">
        <f ca="1"/>
        <v/>
      </c>
      <c r="CX31" s="220" t="str">
        <f ca="1"/>
        <v/>
      </c>
      <c r="CY31" s="220" t="str">
        <f ca="1"/>
        <v/>
      </c>
      <c r="CZ31" s="220" t="str">
        <f ca="1"/>
        <v/>
      </c>
      <c r="DA31" s="220" t="str">
        <f ca="1"/>
        <v/>
      </c>
      <c r="DB31" s="220" t="str">
        <f ca="1"/>
        <v/>
      </c>
      <c r="DC31" s="220" t="str">
        <f ca="1"/>
        <v/>
      </c>
      <c r="DD31" s="220" t="str">
        <f ca="1"/>
        <v/>
      </c>
      <c r="DE31" s="220" t="str">
        <f ca="1"/>
        <v/>
      </c>
      <c r="DF31" s="220" t="str">
        <f ca="1"/>
        <v/>
      </c>
      <c r="DG31" s="220" t="str">
        <f ca="1"/>
        <v/>
      </c>
      <c r="DH31" s="220" t="str">
        <f ca="1"/>
        <v/>
      </c>
      <c r="DI31" s="220" t="str">
        <f ca="1"/>
        <v/>
      </c>
      <c r="DJ31" s="220" t="str">
        <f ca="1"/>
        <v/>
      </c>
      <c r="DK31" s="220" t="str">
        <f ca="1"/>
        <v/>
      </c>
      <c r="DL31" s="220" t="str">
        <f ca="1"/>
        <v/>
      </c>
      <c r="DM31" s="220" t="str">
        <f ca="1"/>
        <v/>
      </c>
      <c r="DN31" s="220" t="str">
        <f ca="1"/>
        <v/>
      </c>
      <c r="DO31" s="220" t="str">
        <f ca="1"/>
        <v/>
      </c>
      <c r="DP31" s="220" t="str">
        <f ca="1"/>
        <v/>
      </c>
      <c r="DQ31" s="220" t="str">
        <f ca="1"/>
        <v/>
      </c>
      <c r="DR31" s="220" t="str">
        <f ca="1"/>
        <v/>
      </c>
      <c r="DS31" s="220" t="str">
        <f ca="1"/>
        <v/>
      </c>
      <c r="DT31" s="220" t="str">
        <f ca="1"/>
        <v/>
      </c>
      <c r="DU31" s="220" t="str">
        <f ca="1"/>
        <v/>
      </c>
      <c r="DV31" s="220" t="str">
        <f ca="1"/>
        <v/>
      </c>
      <c r="DW31" s="220" t="str">
        <f ca="1"/>
        <v/>
      </c>
      <c r="DX31" s="220" t="str">
        <f ca="1"/>
        <v/>
      </c>
      <c r="DY31" s="220" t="str">
        <f ca="1"/>
        <v/>
      </c>
      <c r="DZ31" s="220" t="str">
        <f ca="1"/>
        <v/>
      </c>
      <c r="EA31" s="220" t="str">
        <f ca="1"/>
        <v/>
      </c>
    </row>
    <row r="32" spans="1:131" x14ac:dyDescent="0.25">
      <c r="A32" s="254">
        <f t="shared" ca="1" si="7"/>
        <v>14</v>
      </c>
      <c r="B32" s="255">
        <f t="shared" ca="1" si="8"/>
        <v>45352</v>
      </c>
      <c r="C32" s="256">
        <f t="shared" ca="1" si="14"/>
        <v>19686.361431996225</v>
      </c>
      <c r="D32" s="257">
        <f t="shared" ca="1" si="1"/>
        <v>4523.3999999999996</v>
      </c>
      <c r="E32" s="253">
        <f t="shared" ca="1" si="9"/>
        <v>15162.961431996226</v>
      </c>
      <c r="F32" s="257">
        <f t="shared" ca="1" si="2"/>
        <v>0</v>
      </c>
      <c r="G32" s="257">
        <f t="shared" ca="1" si="3"/>
        <v>798157.32995205303</v>
      </c>
      <c r="H32" s="257">
        <f t="shared" ca="1" si="4"/>
        <v>798157.32995205303</v>
      </c>
      <c r="I32" s="220">
        <f t="shared" ca="1" si="5"/>
        <v>2024</v>
      </c>
    </row>
    <row r="33" spans="1:10" x14ac:dyDescent="0.25">
      <c r="A33" s="254">
        <f t="shared" ca="1" si="7"/>
        <v>15</v>
      </c>
      <c r="B33" s="255">
        <f t="shared" ca="1" si="8"/>
        <v>45383</v>
      </c>
      <c r="C33" s="256">
        <f ca="1">IF(OR(A33=$H$10,A33=$H$13),D33+G32,IF(A33&lt;$H$10,C32,""))</f>
        <v>19686.361431996225</v>
      </c>
      <c r="D33" s="257">
        <f t="shared" ca="1" si="1"/>
        <v>4745.21</v>
      </c>
      <c r="E33" s="253">
        <f t="shared" ca="1" si="9"/>
        <v>14941.151431996226</v>
      </c>
      <c r="F33" s="257">
        <f t="shared" ca="1" si="2"/>
        <v>0</v>
      </c>
      <c r="G33" s="257">
        <f t="shared" ca="1" si="3"/>
        <v>783216.17852005677</v>
      </c>
      <c r="H33" s="257">
        <f t="shared" ca="1" si="4"/>
        <v>783216.17852005677</v>
      </c>
      <c r="I33" s="220">
        <f t="shared" ca="1" si="5"/>
        <v>2024</v>
      </c>
    </row>
    <row r="34" spans="1:10" x14ac:dyDescent="0.25">
      <c r="A34" s="254">
        <f t="shared" ca="1" si="7"/>
        <v>16</v>
      </c>
      <c r="B34" s="255">
        <f t="shared" ca="1" si="8"/>
        <v>45413</v>
      </c>
      <c r="C34" s="256">
        <f t="shared" ref="C34:C97" ca="1" si="15">IF(OR(A34=$H$10,A34=$H$13),D34+G33,IF(A34&lt;$H$10,C33,""))</f>
        <v>19686.361431996225</v>
      </c>
      <c r="D34" s="257">
        <f t="shared" ca="1" si="1"/>
        <v>4506.18</v>
      </c>
      <c r="E34" s="253">
        <f t="shared" ca="1" si="9"/>
        <v>15180.181431996225</v>
      </c>
      <c r="F34" s="257">
        <f t="shared" ca="1" si="2"/>
        <v>0</v>
      </c>
      <c r="G34" s="257">
        <f t="shared" ca="1" si="3"/>
        <v>768035.9970880606</v>
      </c>
      <c r="H34" s="257">
        <f t="shared" ca="1" si="4"/>
        <v>768035.9970880606</v>
      </c>
      <c r="I34" s="220">
        <f t="shared" ca="1" si="5"/>
        <v>2024</v>
      </c>
    </row>
    <row r="35" spans="1:10" x14ac:dyDescent="0.25">
      <c r="A35" s="254">
        <f t="shared" ca="1" si="7"/>
        <v>17</v>
      </c>
      <c r="B35" s="255">
        <f t="shared" ca="1" si="8"/>
        <v>45444</v>
      </c>
      <c r="C35" s="256">
        <f t="shared" ca="1" si="15"/>
        <v>19686.361431996225</v>
      </c>
      <c r="D35" s="257">
        <f t="shared" ca="1" si="1"/>
        <v>4566.13</v>
      </c>
      <c r="E35" s="253">
        <f t="shared" ca="1" si="9"/>
        <v>15120.231431996224</v>
      </c>
      <c r="F35" s="257">
        <f t="shared" ca="1" si="2"/>
        <v>0</v>
      </c>
      <c r="G35" s="257">
        <f t="shared" ca="1" si="3"/>
        <v>752915.76565606438</v>
      </c>
      <c r="H35" s="257">
        <f t="shared" ca="1" si="4"/>
        <v>752915.76565606438</v>
      </c>
      <c r="I35" s="220">
        <f t="shared" ca="1" si="5"/>
        <v>2024</v>
      </c>
      <c r="J35" s="253">
        <f ca="1">SUM(C24:C35)</f>
        <v>236236.33718395469</v>
      </c>
    </row>
    <row r="36" spans="1:10" x14ac:dyDescent="0.25">
      <c r="A36" s="254">
        <f t="shared" ca="1" si="7"/>
        <v>18</v>
      </c>
      <c r="B36" s="255">
        <f t="shared" ca="1" si="8"/>
        <v>45474</v>
      </c>
      <c r="C36" s="256">
        <f t="shared" ca="1" si="15"/>
        <v>19686.361431996225</v>
      </c>
      <c r="D36" s="257">
        <f t="shared" ca="1" si="1"/>
        <v>4331.84</v>
      </c>
      <c r="E36" s="253">
        <f t="shared" ca="1" si="9"/>
        <v>15354.521431996225</v>
      </c>
      <c r="F36" s="257">
        <f t="shared" ca="1" si="2"/>
        <v>0</v>
      </c>
      <c r="G36" s="257">
        <f t="shared" ca="1" si="3"/>
        <v>737561.24422406813</v>
      </c>
      <c r="H36" s="257">
        <f t="shared" ca="1" si="4"/>
        <v>737561.24422406813</v>
      </c>
      <c r="I36" s="220">
        <f t="shared" ca="1" si="5"/>
        <v>2024</v>
      </c>
    </row>
    <row r="37" spans="1:10" x14ac:dyDescent="0.25">
      <c r="A37" s="254">
        <v>19</v>
      </c>
      <c r="B37" s="255">
        <f t="shared" ca="1" si="8"/>
        <v>45505</v>
      </c>
      <c r="C37" s="256">
        <f t="shared" ca="1" si="15"/>
        <v>19686.361431996225</v>
      </c>
      <c r="D37" s="257">
        <f t="shared" ca="1" si="1"/>
        <v>4384.95</v>
      </c>
      <c r="E37" s="253">
        <f t="shared" ca="1" si="9"/>
        <v>15301.411431996225</v>
      </c>
      <c r="F37" s="257">
        <f t="shared" ca="1" si="2"/>
        <v>0</v>
      </c>
      <c r="G37" s="257">
        <f t="shared" ca="1" si="3"/>
        <v>722259.83279207186</v>
      </c>
      <c r="H37" s="257">
        <f t="shared" ca="1" si="4"/>
        <v>722259.83279207186</v>
      </c>
      <c r="I37" s="220">
        <f t="shared" ca="1" si="5"/>
        <v>2024</v>
      </c>
    </row>
    <row r="38" spans="1:10" x14ac:dyDescent="0.25">
      <c r="A38" s="254">
        <f ca="1">IF(OR(H37&lt;=0,H37=""),"",OFFSET(A38,-1,0,1,1)+1)</f>
        <v>20</v>
      </c>
      <c r="B38" s="255">
        <f t="shared" ca="1" si="8"/>
        <v>45536</v>
      </c>
      <c r="C38" s="256">
        <f t="shared" ca="1" si="15"/>
        <v>19686.361431996225</v>
      </c>
      <c r="D38" s="257">
        <f t="shared" ca="1" si="1"/>
        <v>4293.9799999999996</v>
      </c>
      <c r="E38" s="253">
        <f t="shared" ca="1" si="9"/>
        <v>15392.381431996226</v>
      </c>
      <c r="F38" s="257">
        <f t="shared" ca="1" si="2"/>
        <v>0</v>
      </c>
      <c r="G38" s="257">
        <f t="shared" ca="1" si="3"/>
        <v>706867.45136007562</v>
      </c>
      <c r="H38" s="257">
        <f t="shared" ca="1" si="4"/>
        <v>706867.45136007562</v>
      </c>
      <c r="I38" s="220">
        <f t="shared" ca="1" si="5"/>
        <v>2024</v>
      </c>
    </row>
    <row r="39" spans="1:10" x14ac:dyDescent="0.25">
      <c r="A39" s="254">
        <f ca="1">IF(OR(H38&lt;=0,H38=""),"",OFFSET(A39,-1,0,1,1)+1)</f>
        <v>21</v>
      </c>
      <c r="B39" s="255">
        <f t="shared" ca="1" si="8"/>
        <v>45566</v>
      </c>
      <c r="C39" s="256">
        <f t="shared" ca="1" si="15"/>
        <v>19686.361431996225</v>
      </c>
      <c r="D39" s="257">
        <f t="shared" ca="1" si="1"/>
        <v>4066.91</v>
      </c>
      <c r="E39" s="253">
        <f t="shared" ca="1" si="9"/>
        <v>15619.451431996225</v>
      </c>
      <c r="F39" s="257">
        <f t="shared" ca="1" si="2"/>
        <v>0</v>
      </c>
      <c r="G39" s="257">
        <f t="shared" ca="1" si="3"/>
        <v>691247.99992807943</v>
      </c>
      <c r="H39" s="257">
        <f t="shared" ca="1" si="4"/>
        <v>691247.99992807943</v>
      </c>
      <c r="I39" s="220">
        <f t="shared" ca="1" si="5"/>
        <v>2024</v>
      </c>
    </row>
    <row r="40" spans="1:10" x14ac:dyDescent="0.25">
      <c r="A40" s="254">
        <v>22</v>
      </c>
      <c r="B40" s="255">
        <f t="shared" ca="1" si="8"/>
        <v>45597</v>
      </c>
      <c r="C40" s="256">
        <f t="shared" ca="1" si="15"/>
        <v>19686.361431996225</v>
      </c>
      <c r="D40" s="257">
        <f t="shared" ca="1" si="1"/>
        <v>4109.6099999999997</v>
      </c>
      <c r="E40" s="253">
        <f t="shared" ca="1" si="9"/>
        <v>15576.751431996225</v>
      </c>
      <c r="F40" s="257">
        <f t="shared" ca="1" si="2"/>
        <v>0</v>
      </c>
      <c r="G40" s="257">
        <f t="shared" ca="1" si="3"/>
        <v>675671.24849608319</v>
      </c>
      <c r="H40" s="257">
        <f t="shared" ca="1" si="4"/>
        <v>675671.24849608319</v>
      </c>
      <c r="I40" s="220">
        <f t="shared" ca="1" si="5"/>
        <v>2024</v>
      </c>
    </row>
    <row r="41" spans="1:10" x14ac:dyDescent="0.25">
      <c r="A41" s="254">
        <f t="shared" ref="A41:A104" ca="1" si="16">IF(OR(H40&lt;=0,H40=""),"",OFFSET(A41,-1,0,1,1)+1)</f>
        <v>23</v>
      </c>
      <c r="B41" s="255">
        <f t="shared" ca="1" si="8"/>
        <v>45627</v>
      </c>
      <c r="C41" s="256">
        <f t="shared" ca="1" si="15"/>
        <v>19686.361431996225</v>
      </c>
      <c r="D41" s="257">
        <f t="shared" ca="1" si="1"/>
        <v>3887.42</v>
      </c>
      <c r="E41" s="253">
        <f t="shared" ca="1" si="9"/>
        <v>15798.941431996225</v>
      </c>
      <c r="F41" s="257">
        <f t="shared" ca="1" si="2"/>
        <v>0</v>
      </c>
      <c r="G41" s="257">
        <f t="shared" ca="1" si="3"/>
        <v>659872.30706408701</v>
      </c>
      <c r="H41" s="257">
        <f t="shared" ca="1" si="4"/>
        <v>659872.30706408701</v>
      </c>
      <c r="I41" s="220">
        <f t="shared" ca="1" si="5"/>
        <v>2024</v>
      </c>
    </row>
    <row r="42" spans="1:10" x14ac:dyDescent="0.25">
      <c r="A42" s="254">
        <f t="shared" ca="1" si="16"/>
        <v>24</v>
      </c>
      <c r="B42" s="255">
        <f t="shared" ca="1" si="8"/>
        <v>45658</v>
      </c>
      <c r="C42" s="256">
        <f t="shared" ca="1" si="15"/>
        <v>19686.361431996225</v>
      </c>
      <c r="D42" s="257">
        <f t="shared" ca="1" si="1"/>
        <v>3923.08</v>
      </c>
      <c r="E42" s="253">
        <f t="shared" ca="1" si="9"/>
        <v>15763.281431996225</v>
      </c>
      <c r="F42" s="257">
        <f t="shared" ca="1" si="2"/>
        <v>0</v>
      </c>
      <c r="G42" s="257">
        <f t="shared" ca="1" si="3"/>
        <v>644109.02563209075</v>
      </c>
      <c r="H42" s="257">
        <f t="shared" ca="1" si="4"/>
        <v>644109.02563209075</v>
      </c>
      <c r="I42" s="220">
        <f t="shared" ca="1" si="5"/>
        <v>2025</v>
      </c>
    </row>
    <row r="43" spans="1:10" x14ac:dyDescent="0.25">
      <c r="A43" s="254">
        <f t="shared" ca="1" si="16"/>
        <v>25</v>
      </c>
      <c r="B43" s="255">
        <f t="shared" ca="1" si="8"/>
        <v>45689</v>
      </c>
      <c r="C43" s="256">
        <f t="shared" ca="1" si="15"/>
        <v>19686.361431996225</v>
      </c>
      <c r="D43" s="257">
        <f t="shared" ca="1" si="1"/>
        <v>3829.36</v>
      </c>
      <c r="E43" s="253">
        <f t="shared" ca="1" si="9"/>
        <v>15857.001431996225</v>
      </c>
      <c r="F43" s="257">
        <f t="shared" ca="1" si="2"/>
        <v>0</v>
      </c>
      <c r="G43" s="257">
        <f t="shared" ca="1" si="3"/>
        <v>628252.02420009451</v>
      </c>
      <c r="H43" s="257">
        <f t="shared" ca="1" si="4"/>
        <v>628252.02420009451</v>
      </c>
      <c r="I43" s="220">
        <f t="shared" ca="1" si="5"/>
        <v>2025</v>
      </c>
    </row>
    <row r="44" spans="1:10" x14ac:dyDescent="0.25">
      <c r="A44" s="254">
        <f t="shared" ca="1" si="16"/>
        <v>26</v>
      </c>
      <c r="B44" s="255">
        <f t="shared" ca="1" si="8"/>
        <v>45717</v>
      </c>
      <c r="C44" s="256">
        <f t="shared" ca="1" si="15"/>
        <v>19686.361431996225</v>
      </c>
      <c r="D44" s="257">
        <f t="shared" ca="1" si="1"/>
        <v>3373.63</v>
      </c>
      <c r="E44" s="253">
        <f t="shared" ca="1" si="9"/>
        <v>16312.731431996224</v>
      </c>
      <c r="F44" s="257">
        <f t="shared" ca="1" si="2"/>
        <v>0</v>
      </c>
      <c r="G44" s="257">
        <f t="shared" ca="1" si="3"/>
        <v>611939.2927680983</v>
      </c>
      <c r="H44" s="257">
        <f t="shared" ca="1" si="4"/>
        <v>611939.2927680983</v>
      </c>
      <c r="I44" s="220">
        <f t="shared" ca="1" si="5"/>
        <v>2025</v>
      </c>
    </row>
    <row r="45" spans="1:10" x14ac:dyDescent="0.25">
      <c r="A45" s="254">
        <f t="shared" ca="1" si="16"/>
        <v>27</v>
      </c>
      <c r="B45" s="255">
        <f t="shared" ca="1" si="8"/>
        <v>45748</v>
      </c>
      <c r="C45" s="256">
        <f t="shared" ca="1" si="15"/>
        <v>19686.361431996225</v>
      </c>
      <c r="D45" s="257">
        <f t="shared" ca="1" si="1"/>
        <v>3638.1</v>
      </c>
      <c r="E45" s="253">
        <f t="shared" ca="1" si="9"/>
        <v>16048.261431996225</v>
      </c>
      <c r="F45" s="257">
        <f t="shared" ca="1" si="2"/>
        <v>0</v>
      </c>
      <c r="G45" s="257">
        <f t="shared" ca="1" si="3"/>
        <v>595891.03133610205</v>
      </c>
      <c r="H45" s="257">
        <f t="shared" ca="1" si="4"/>
        <v>595891.03133610205</v>
      </c>
      <c r="I45" s="220">
        <f t="shared" ca="1" si="5"/>
        <v>2025</v>
      </c>
    </row>
    <row r="46" spans="1:10" x14ac:dyDescent="0.25">
      <c r="A46" s="254">
        <f t="shared" ca="1" si="16"/>
        <v>28</v>
      </c>
      <c r="B46" s="255">
        <f t="shared" ca="1" si="8"/>
        <v>45778</v>
      </c>
      <c r="C46" s="256">
        <f t="shared" ca="1" si="15"/>
        <v>19686.361431996225</v>
      </c>
      <c r="D46" s="257">
        <f t="shared" ca="1" si="1"/>
        <v>3428.41</v>
      </c>
      <c r="E46" s="253">
        <f t="shared" ca="1" si="9"/>
        <v>16257.951431996225</v>
      </c>
      <c r="F46" s="257">
        <f t="shared" ca="1" si="2"/>
        <v>0</v>
      </c>
      <c r="G46" s="257">
        <f t="shared" ca="1" si="3"/>
        <v>579633.07990410586</v>
      </c>
      <c r="H46" s="257">
        <f t="shared" ca="1" si="4"/>
        <v>579633.07990410586</v>
      </c>
      <c r="I46" s="220">
        <f t="shared" ca="1" si="5"/>
        <v>2025</v>
      </c>
    </row>
    <row r="47" spans="1:10" x14ac:dyDescent="0.25">
      <c r="A47" s="254">
        <f t="shared" ca="1" si="16"/>
        <v>29</v>
      </c>
      <c r="B47" s="255">
        <f t="shared" ca="1" si="8"/>
        <v>45809</v>
      </c>
      <c r="C47" s="256">
        <f t="shared" ca="1" si="15"/>
        <v>19686.361431996225</v>
      </c>
      <c r="D47" s="257">
        <f t="shared" ca="1" si="1"/>
        <v>3446.04</v>
      </c>
      <c r="E47" s="253">
        <f t="shared" ca="1" si="9"/>
        <v>16240.321431996224</v>
      </c>
      <c r="F47" s="257">
        <f t="shared" ca="1" si="2"/>
        <v>0</v>
      </c>
      <c r="G47" s="257">
        <f t="shared" ca="1" si="3"/>
        <v>563392.75847210968</v>
      </c>
      <c r="H47" s="257">
        <f t="shared" ca="1" si="4"/>
        <v>563392.75847210968</v>
      </c>
      <c r="I47" s="220">
        <f t="shared" ca="1" si="5"/>
        <v>2025</v>
      </c>
      <c r="J47" s="253">
        <f ca="1">SUM(C36:C47)</f>
        <v>236236.33718395469</v>
      </c>
    </row>
    <row r="48" spans="1:10" x14ac:dyDescent="0.25">
      <c r="A48" s="254">
        <f t="shared" ca="1" si="16"/>
        <v>30</v>
      </c>
      <c r="B48" s="255">
        <f t="shared" ca="1" si="8"/>
        <v>45839</v>
      </c>
      <c r="C48" s="256">
        <f t="shared" ca="1" si="15"/>
        <v>19686.361431996225</v>
      </c>
      <c r="D48" s="257">
        <f t="shared" ca="1" si="1"/>
        <v>3241.44</v>
      </c>
      <c r="E48" s="253">
        <f t="shared" ca="1" si="9"/>
        <v>16444.921431996227</v>
      </c>
      <c r="F48" s="257">
        <f t="shared" ca="1" si="2"/>
        <v>0</v>
      </c>
      <c r="G48" s="257">
        <f t="shared" ca="1" si="3"/>
        <v>546947.8370401134</v>
      </c>
      <c r="H48" s="257">
        <f t="shared" ca="1" si="4"/>
        <v>546947.8370401134</v>
      </c>
      <c r="I48" s="220">
        <f t="shared" ca="1" si="5"/>
        <v>2025</v>
      </c>
    </row>
    <row r="49" spans="1:12" x14ac:dyDescent="0.25">
      <c r="A49" s="254">
        <f t="shared" ca="1" si="16"/>
        <v>31</v>
      </c>
      <c r="B49" s="255">
        <f t="shared" ca="1" si="8"/>
        <v>45870</v>
      </c>
      <c r="C49" s="256">
        <f t="shared" ca="1" si="15"/>
        <v>19686.361431996225</v>
      </c>
      <c r="D49" s="257">
        <f t="shared" ca="1" si="1"/>
        <v>3251.72</v>
      </c>
      <c r="E49" s="253">
        <f t="shared" ca="1" si="9"/>
        <v>16434.641431996224</v>
      </c>
      <c r="F49" s="257">
        <f t="shared" ca="1" si="2"/>
        <v>0</v>
      </c>
      <c r="G49" s="257">
        <f t="shared" ca="1" si="3"/>
        <v>530513.19560811715</v>
      </c>
      <c r="H49" s="257">
        <f t="shared" ca="1" si="4"/>
        <v>530513.19560811715</v>
      </c>
      <c r="I49" s="220">
        <f t="shared" ca="1" si="5"/>
        <v>2025</v>
      </c>
    </row>
    <row r="50" spans="1:12" x14ac:dyDescent="0.25">
      <c r="A50" s="254">
        <f t="shared" ca="1" si="16"/>
        <v>32</v>
      </c>
      <c r="B50" s="255">
        <f t="shared" ca="1" si="8"/>
        <v>45901</v>
      </c>
      <c r="C50" s="256">
        <f t="shared" ca="1" si="15"/>
        <v>19686.361431996225</v>
      </c>
      <c r="D50" s="257">
        <f t="shared" ca="1" si="1"/>
        <v>3154.01</v>
      </c>
      <c r="E50" s="253">
        <f t="shared" ca="1" si="9"/>
        <v>16532.351431996227</v>
      </c>
      <c r="F50" s="257">
        <f t="shared" ca="1" si="2"/>
        <v>0</v>
      </c>
      <c r="G50" s="257">
        <f t="shared" ca="1" si="3"/>
        <v>513980.84417612094</v>
      </c>
      <c r="H50" s="257">
        <f t="shared" ca="1" si="4"/>
        <v>513980.84417612094</v>
      </c>
      <c r="I50" s="220">
        <f t="shared" ca="1" si="5"/>
        <v>2025</v>
      </c>
    </row>
    <row r="51" spans="1:12" x14ac:dyDescent="0.25">
      <c r="A51" s="254">
        <f t="shared" ca="1" si="16"/>
        <v>33</v>
      </c>
      <c r="B51" s="255">
        <f t="shared" ca="1" si="8"/>
        <v>45931</v>
      </c>
      <c r="C51" s="256">
        <f t="shared" ca="1" si="15"/>
        <v>19686.361431996225</v>
      </c>
      <c r="D51" s="257">
        <f t="shared" ca="1" si="1"/>
        <v>2957.15</v>
      </c>
      <c r="E51" s="253">
        <f t="shared" ca="1" si="9"/>
        <v>16729.211431996224</v>
      </c>
      <c r="F51" s="257">
        <f t="shared" ca="1" si="2"/>
        <v>0</v>
      </c>
      <c r="G51" s="257">
        <f t="shared" ca="1" si="3"/>
        <v>497251.63274412474</v>
      </c>
      <c r="H51" s="257">
        <f t="shared" ca="1" si="4"/>
        <v>497251.63274412474</v>
      </c>
      <c r="I51" s="220">
        <f t="shared" ca="1" si="5"/>
        <v>2025</v>
      </c>
    </row>
    <row r="52" spans="1:12" x14ac:dyDescent="0.25">
      <c r="A52" s="254">
        <f t="shared" ca="1" si="16"/>
        <v>34</v>
      </c>
      <c r="B52" s="255">
        <f t="shared" ca="1" si="8"/>
        <v>45962</v>
      </c>
      <c r="C52" s="256">
        <f t="shared" ca="1" si="15"/>
        <v>19686.361431996225</v>
      </c>
      <c r="D52" s="257">
        <f t="shared" ca="1" si="1"/>
        <v>2956.26</v>
      </c>
      <c r="E52" s="253">
        <f t="shared" ca="1" si="9"/>
        <v>16730.101431996227</v>
      </c>
      <c r="F52" s="257">
        <f t="shared" ca="1" si="2"/>
        <v>0</v>
      </c>
      <c r="G52" s="257">
        <f t="shared" ca="1" si="3"/>
        <v>480521.53131212853</v>
      </c>
      <c r="H52" s="257">
        <f t="shared" ca="1" si="4"/>
        <v>480521.53131212853</v>
      </c>
      <c r="I52" s="220">
        <f t="shared" ca="1" si="5"/>
        <v>2025</v>
      </c>
    </row>
    <row r="53" spans="1:12" x14ac:dyDescent="0.25">
      <c r="A53" s="254">
        <f t="shared" ca="1" si="16"/>
        <v>35</v>
      </c>
      <c r="B53" s="255">
        <f t="shared" ca="1" si="8"/>
        <v>45992</v>
      </c>
      <c r="C53" s="256">
        <f t="shared" ca="1" si="15"/>
        <v>19686.361431996225</v>
      </c>
      <c r="D53" s="257">
        <f t="shared" ca="1" si="1"/>
        <v>2764.64</v>
      </c>
      <c r="E53" s="253">
        <f t="shared" ca="1" si="9"/>
        <v>16921.721431996226</v>
      </c>
      <c r="F53" s="257">
        <f t="shared" ca="1" si="2"/>
        <v>0</v>
      </c>
      <c r="G53" s="257">
        <f t="shared" ca="1" si="3"/>
        <v>463599.80988013232</v>
      </c>
      <c r="H53" s="257">
        <f t="shared" ca="1" si="4"/>
        <v>463599.80988013232</v>
      </c>
      <c r="I53" s="220">
        <f t="shared" ca="1" si="5"/>
        <v>2025</v>
      </c>
    </row>
    <row r="54" spans="1:12" x14ac:dyDescent="0.25">
      <c r="A54" s="254">
        <f t="shared" ca="1" si="16"/>
        <v>36</v>
      </c>
      <c r="B54" s="255">
        <f t="shared" ca="1" si="8"/>
        <v>46023</v>
      </c>
      <c r="C54" s="256">
        <f ca="1">IF(OR(A54=$H$10,A54=$H$13),D54+G53,IF(A54&lt;$H$10,C53,""))</f>
        <v>19686.361431996225</v>
      </c>
      <c r="D54" s="257">
        <f t="shared" ca="1" si="1"/>
        <v>2756.2</v>
      </c>
      <c r="E54" s="253">
        <f t="shared" ca="1" si="9"/>
        <v>16930.161431996225</v>
      </c>
      <c r="F54" s="257">
        <f t="shared" ca="1" si="2"/>
        <v>0</v>
      </c>
      <c r="G54" s="257">
        <f t="shared" ca="1" si="3"/>
        <v>446669.64844813611</v>
      </c>
      <c r="H54" s="257">
        <f t="shared" ca="1" si="4"/>
        <v>446669.64844813611</v>
      </c>
      <c r="I54" s="220">
        <f t="shared" ca="1" si="5"/>
        <v>2026</v>
      </c>
      <c r="J54" s="253">
        <f ca="1">SUM(C48:C54)</f>
        <v>137804.53002397358</v>
      </c>
    </row>
    <row r="55" spans="1:12" x14ac:dyDescent="0.25">
      <c r="A55" s="254">
        <f t="shared" ca="1" si="16"/>
        <v>37</v>
      </c>
      <c r="B55" s="255">
        <f t="shared" ca="1" si="8"/>
        <v>46054</v>
      </c>
      <c r="C55" s="256">
        <f t="shared" ca="1" si="15"/>
        <v>19686.361431996225</v>
      </c>
      <c r="D55" s="257">
        <f t="shared" ca="1" si="1"/>
        <v>2655.54</v>
      </c>
      <c r="E55" s="253">
        <f t="shared" ca="1" si="9"/>
        <v>17030.821431996224</v>
      </c>
      <c r="F55" s="257">
        <f t="shared" ca="1" si="2"/>
        <v>0</v>
      </c>
      <c r="G55" s="257">
        <f t="shared" ca="1" si="3"/>
        <v>429638.82701613987</v>
      </c>
      <c r="H55" s="257">
        <f t="shared" ca="1" si="4"/>
        <v>429638.82701613987</v>
      </c>
      <c r="I55" s="220">
        <f t="shared" ca="1" si="5"/>
        <v>2026</v>
      </c>
    </row>
    <row r="56" spans="1:12" x14ac:dyDescent="0.25">
      <c r="A56" s="254">
        <f t="shared" ca="1" si="16"/>
        <v>38</v>
      </c>
      <c r="B56" s="255">
        <f t="shared" ca="1" si="8"/>
        <v>46082</v>
      </c>
      <c r="C56" s="256">
        <f t="shared" ca="1" si="15"/>
        <v>19686.361431996225</v>
      </c>
      <c r="D56" s="257">
        <f t="shared" ca="1" si="1"/>
        <v>2307.1</v>
      </c>
      <c r="E56" s="253">
        <f t="shared" ca="1" si="9"/>
        <v>17379.261431996227</v>
      </c>
      <c r="F56" s="257">
        <f t="shared" ca="1" si="2"/>
        <v>0</v>
      </c>
      <c r="G56" s="257">
        <f t="shared" ca="1" si="3"/>
        <v>412259.56558414362</v>
      </c>
      <c r="H56" s="257">
        <f t="shared" ca="1" si="4"/>
        <v>412259.56558414362</v>
      </c>
      <c r="I56" s="220">
        <f t="shared" ca="1" si="5"/>
        <v>2026</v>
      </c>
    </row>
    <row r="57" spans="1:12" x14ac:dyDescent="0.25">
      <c r="A57" s="254">
        <f t="shared" ca="1" si="16"/>
        <v>39</v>
      </c>
      <c r="B57" s="255">
        <f t="shared" ca="1" si="8"/>
        <v>46113</v>
      </c>
      <c r="C57" s="256">
        <f t="shared" ca="1" si="15"/>
        <v>19686.361431996225</v>
      </c>
      <c r="D57" s="257">
        <f t="shared" ca="1" si="1"/>
        <v>2450.9699999999998</v>
      </c>
      <c r="E57" s="253">
        <f t="shared" ca="1" si="9"/>
        <v>17235.391431996224</v>
      </c>
      <c r="F57" s="257">
        <f t="shared" ca="1" si="2"/>
        <v>0</v>
      </c>
      <c r="G57" s="257">
        <f t="shared" ca="1" si="3"/>
        <v>395024.17415214737</v>
      </c>
      <c r="H57" s="257">
        <f t="shared" ca="1" si="4"/>
        <v>395024.17415214737</v>
      </c>
      <c r="I57" s="220">
        <f t="shared" ca="1" si="5"/>
        <v>2026</v>
      </c>
    </row>
    <row r="58" spans="1:12" x14ac:dyDescent="0.25">
      <c r="A58" s="254">
        <f t="shared" ca="1" si="16"/>
        <v>40</v>
      </c>
      <c r="B58" s="255">
        <f t="shared" ca="1" si="8"/>
        <v>46143</v>
      </c>
      <c r="C58" s="256">
        <f t="shared" ca="1" si="15"/>
        <v>19686.361431996225</v>
      </c>
      <c r="D58" s="257">
        <f t="shared" ca="1" si="1"/>
        <v>2272.7399999999998</v>
      </c>
      <c r="E58" s="253">
        <f t="shared" ca="1" si="9"/>
        <v>17413.621431996224</v>
      </c>
      <c r="F58" s="257">
        <f t="shared" ca="1" si="2"/>
        <v>0</v>
      </c>
      <c r="G58" s="257">
        <f t="shared" ca="1" si="3"/>
        <v>377610.55272015114</v>
      </c>
      <c r="H58" s="257">
        <f t="shared" ca="1" si="4"/>
        <v>377610.55272015114</v>
      </c>
      <c r="I58" s="220">
        <f t="shared" ca="1" si="5"/>
        <v>2026</v>
      </c>
    </row>
    <row r="59" spans="1:12" x14ac:dyDescent="0.25">
      <c r="A59" s="254">
        <f t="shared" ca="1" si="16"/>
        <v>41</v>
      </c>
      <c r="B59" s="255">
        <f t="shared" ca="1" si="8"/>
        <v>46174</v>
      </c>
      <c r="C59" s="256">
        <f t="shared" ca="1" si="15"/>
        <v>19686.361431996225</v>
      </c>
      <c r="D59" s="257">
        <f t="shared" ca="1" si="1"/>
        <v>2244.9699999999998</v>
      </c>
      <c r="E59" s="253">
        <f t="shared" ca="1" si="9"/>
        <v>17441.391431996224</v>
      </c>
      <c r="F59" s="257">
        <f t="shared" ca="1" si="2"/>
        <v>0</v>
      </c>
      <c r="G59" s="257">
        <f t="shared" ca="1" si="3"/>
        <v>360169.16128815489</v>
      </c>
      <c r="H59" s="257">
        <f t="shared" ca="1" si="4"/>
        <v>360169.16128815489</v>
      </c>
      <c r="I59" s="220">
        <f t="shared" ca="1" si="5"/>
        <v>2026</v>
      </c>
    </row>
    <row r="60" spans="1:12" x14ac:dyDescent="0.25">
      <c r="A60" s="254">
        <f t="shared" ca="1" si="16"/>
        <v>42</v>
      </c>
      <c r="B60" s="255">
        <f t="shared" ca="1" si="8"/>
        <v>46204</v>
      </c>
      <c r="C60" s="256">
        <f t="shared" ca="1" si="15"/>
        <v>19686.361431996225</v>
      </c>
      <c r="D60" s="257">
        <f t="shared" ca="1" si="1"/>
        <v>2072.21</v>
      </c>
      <c r="E60" s="253">
        <f t="shared" ca="1" si="9"/>
        <v>17614.151431996226</v>
      </c>
      <c r="F60" s="257">
        <f t="shared" ca="1" si="2"/>
        <v>0</v>
      </c>
      <c r="G60" s="257">
        <f t="shared" ca="1" si="3"/>
        <v>342555.00985615869</v>
      </c>
      <c r="H60" s="257">
        <f t="shared" ca="1" si="4"/>
        <v>342555.00985615869</v>
      </c>
      <c r="I60" s="220">
        <f t="shared" ca="1" si="5"/>
        <v>2026</v>
      </c>
    </row>
    <row r="61" spans="1:12" x14ac:dyDescent="0.25">
      <c r="A61" s="254">
        <f t="shared" ca="1" si="16"/>
        <v>43</v>
      </c>
      <c r="B61" s="255">
        <f t="shared" ca="1" si="8"/>
        <v>46235</v>
      </c>
      <c r="C61" s="256">
        <f t="shared" ca="1" si="15"/>
        <v>19686.361431996225</v>
      </c>
      <c r="D61" s="257">
        <f t="shared" ca="1" si="1"/>
        <v>2036.56</v>
      </c>
      <c r="E61" s="253">
        <f t="shared" ca="1" si="9"/>
        <v>17649.801431996224</v>
      </c>
      <c r="F61" s="257">
        <f t="shared" ca="1" si="2"/>
        <v>0</v>
      </c>
      <c r="G61" s="257">
        <f t="shared" ca="1" si="3"/>
        <v>324905.20842416247</v>
      </c>
      <c r="H61" s="257">
        <f t="shared" ca="1" si="4"/>
        <v>324905.20842416247</v>
      </c>
      <c r="I61" s="220">
        <f t="shared" ca="1" si="5"/>
        <v>2026</v>
      </c>
    </row>
    <row r="62" spans="1:12" x14ac:dyDescent="0.25">
      <c r="A62" s="254">
        <f t="shared" ca="1" si="16"/>
        <v>44</v>
      </c>
      <c r="B62" s="255">
        <f t="shared" ca="1" si="8"/>
        <v>46266</v>
      </c>
      <c r="C62" s="256">
        <f t="shared" ca="1" si="15"/>
        <v>19686.361431996225</v>
      </c>
      <c r="D62" s="257">
        <f t="shared" ca="1" si="1"/>
        <v>1931.63</v>
      </c>
      <c r="E62" s="253">
        <f t="shared" ca="1" si="9"/>
        <v>17754.731431996224</v>
      </c>
      <c r="F62" s="257">
        <f t="shared" ca="1" si="2"/>
        <v>0</v>
      </c>
      <c r="G62" s="257">
        <f t="shared" ca="1" si="3"/>
        <v>307150.47699216625</v>
      </c>
      <c r="H62" s="257">
        <f t="shared" ca="1" si="4"/>
        <v>307150.47699216625</v>
      </c>
      <c r="I62" s="220">
        <f t="shared" ca="1" si="5"/>
        <v>2026</v>
      </c>
    </row>
    <row r="63" spans="1:12" x14ac:dyDescent="0.25">
      <c r="A63" s="254">
        <f t="shared" ca="1" si="16"/>
        <v>45</v>
      </c>
      <c r="B63" s="255">
        <f t="shared" ca="1" si="8"/>
        <v>46296</v>
      </c>
      <c r="C63" s="256">
        <f t="shared" ca="1" si="15"/>
        <v>19686.361431996225</v>
      </c>
      <c r="D63" s="257">
        <f t="shared" ca="1" si="1"/>
        <v>1767.17</v>
      </c>
      <c r="E63" s="253">
        <f t="shared" ca="1" si="9"/>
        <v>17919.191431996223</v>
      </c>
      <c r="F63" s="257">
        <f t="shared" ca="1" si="2"/>
        <v>0</v>
      </c>
      <c r="G63" s="257">
        <f t="shared" ca="1" si="3"/>
        <v>289231.28556017001</v>
      </c>
      <c r="H63" s="257">
        <f t="shared" ca="1" si="4"/>
        <v>289231.28556017001</v>
      </c>
      <c r="I63" s="220">
        <f t="shared" ca="1" si="5"/>
        <v>2026</v>
      </c>
      <c r="K63" s="253"/>
    </row>
    <row r="64" spans="1:12" x14ac:dyDescent="0.25">
      <c r="A64" s="254">
        <f t="shared" ca="1" si="16"/>
        <v>46</v>
      </c>
      <c r="B64" s="255">
        <f t="shared" ca="1" si="8"/>
        <v>46327</v>
      </c>
      <c r="C64" s="256">
        <f t="shared" ca="1" si="15"/>
        <v>19686.361431996225</v>
      </c>
      <c r="D64" s="257">
        <f t="shared" ca="1" si="1"/>
        <v>1719.54</v>
      </c>
      <c r="E64" s="253">
        <f t="shared" ca="1" si="9"/>
        <v>17966.821431996224</v>
      </c>
      <c r="F64" s="257">
        <f t="shared" ca="1" si="2"/>
        <v>0</v>
      </c>
      <c r="G64" s="257">
        <f t="shared" ca="1" si="3"/>
        <v>271264.46412817377</v>
      </c>
      <c r="H64" s="257">
        <f t="shared" ca="1" si="4"/>
        <v>271264.46412817377</v>
      </c>
      <c r="I64" s="220">
        <f t="shared" ca="1" si="5"/>
        <v>2026</v>
      </c>
      <c r="K64" s="260">
        <f t="shared" ref="K64:K127" ca="1" si="17">HLOOKUP(I64,$L$18:$W$24,7,0)/12</f>
        <v>0</v>
      </c>
      <c r="L64" s="253">
        <f ca="1">G62-G68</f>
        <v>109005.44859197736</v>
      </c>
    </row>
    <row r="65" spans="1:13" x14ac:dyDescent="0.25">
      <c r="A65" s="254">
        <f t="shared" ca="1" si="16"/>
        <v>47</v>
      </c>
      <c r="B65" s="255">
        <f t="shared" ca="1" si="8"/>
        <v>46357</v>
      </c>
      <c r="C65" s="256">
        <f t="shared" ca="1" si="15"/>
        <v>19686.361431996225</v>
      </c>
      <c r="D65" s="257">
        <f t="shared" ca="1" si="1"/>
        <v>1560.7</v>
      </c>
      <c r="E65" s="253">
        <f t="shared" ca="1" si="9"/>
        <v>18125.661431996225</v>
      </c>
      <c r="F65" s="257">
        <f t="shared" ca="1" si="2"/>
        <v>0</v>
      </c>
      <c r="G65" s="257">
        <f t="shared" ca="1" si="3"/>
        <v>253138.80269617756</v>
      </c>
      <c r="H65" s="257">
        <f t="shared" ca="1" si="4"/>
        <v>253138.80269617756</v>
      </c>
      <c r="I65" s="220">
        <f t="shared" ca="1" si="5"/>
        <v>2026</v>
      </c>
      <c r="K65" s="260">
        <f t="shared" ca="1" si="17"/>
        <v>0</v>
      </c>
    </row>
    <row r="66" spans="1:13" x14ac:dyDescent="0.25">
      <c r="A66" s="254">
        <f t="shared" ca="1" si="16"/>
        <v>48</v>
      </c>
      <c r="B66" s="255">
        <f t="shared" ca="1" si="8"/>
        <v>46388</v>
      </c>
      <c r="C66" s="256">
        <f t="shared" ca="1" si="15"/>
        <v>19686.361431996225</v>
      </c>
      <c r="D66" s="257">
        <f t="shared" ca="1" si="1"/>
        <v>1504.96</v>
      </c>
      <c r="E66" s="253">
        <f t="shared" ca="1" si="9"/>
        <v>18181.401431996226</v>
      </c>
      <c r="F66" s="257">
        <f t="shared" ca="1" si="2"/>
        <v>0</v>
      </c>
      <c r="G66" s="257">
        <f t="shared" ca="1" si="3"/>
        <v>234957.40126418133</v>
      </c>
      <c r="H66" s="257">
        <f t="shared" ca="1" si="4"/>
        <v>234957.40126418133</v>
      </c>
      <c r="I66" s="220">
        <f t="shared" ca="1" si="5"/>
        <v>2027</v>
      </c>
      <c r="K66" s="260">
        <f t="shared" ca="1" si="17"/>
        <v>0</v>
      </c>
    </row>
    <row r="67" spans="1:13" x14ac:dyDescent="0.25">
      <c r="A67" s="254">
        <f t="shared" ca="1" si="16"/>
        <v>49</v>
      </c>
      <c r="B67" s="255">
        <f t="shared" ca="1" si="8"/>
        <v>46419</v>
      </c>
      <c r="C67" s="256">
        <f t="shared" ca="1" si="15"/>
        <v>19686.361431996225</v>
      </c>
      <c r="D67" s="257">
        <f t="shared" ca="1" si="1"/>
        <v>1396.87</v>
      </c>
      <c r="E67" s="253">
        <f t="shared" ca="1" si="9"/>
        <v>18289.491431996226</v>
      </c>
      <c r="F67" s="257">
        <f t="shared" ca="1" si="2"/>
        <v>0</v>
      </c>
      <c r="G67" s="257">
        <f t="shared" ca="1" si="3"/>
        <v>216667.90983218511</v>
      </c>
      <c r="H67" s="257">
        <f t="shared" ca="1" si="4"/>
        <v>216667.90983218511</v>
      </c>
      <c r="I67" s="220">
        <f t="shared" ca="1" si="5"/>
        <v>2027</v>
      </c>
      <c r="K67" s="260">
        <f t="shared" ca="1" si="17"/>
        <v>0</v>
      </c>
    </row>
    <row r="68" spans="1:13" x14ac:dyDescent="0.25">
      <c r="A68" s="254">
        <f t="shared" ca="1" si="16"/>
        <v>50</v>
      </c>
      <c r="B68" s="255">
        <f t="shared" ca="1" si="8"/>
        <v>46447</v>
      </c>
      <c r="C68" s="256">
        <f t="shared" ca="1" si="15"/>
        <v>19686.361431996225</v>
      </c>
      <c r="D68" s="257">
        <f t="shared" ca="1" si="1"/>
        <v>1163.48</v>
      </c>
      <c r="E68" s="253">
        <f t="shared" ca="1" si="9"/>
        <v>18522.881431996226</v>
      </c>
      <c r="F68" s="257">
        <f t="shared" ca="1" si="2"/>
        <v>0</v>
      </c>
      <c r="G68" s="257">
        <f t="shared" ca="1" si="3"/>
        <v>198145.02840018889</v>
      </c>
      <c r="H68" s="257">
        <f t="shared" ca="1" si="4"/>
        <v>198145.02840018889</v>
      </c>
      <c r="I68" s="220">
        <f t="shared" ca="1" si="5"/>
        <v>2027</v>
      </c>
      <c r="K68" s="260">
        <f t="shared" ca="1" si="17"/>
        <v>0</v>
      </c>
      <c r="L68" s="253">
        <f ca="1">G68-G74</f>
        <v>112776.65859197732</v>
      </c>
      <c r="M68" s="247">
        <f ca="1">L22-L64</f>
        <v>-109005.44859197736</v>
      </c>
    </row>
    <row r="69" spans="1:13" x14ac:dyDescent="0.25">
      <c r="A69" s="254">
        <f t="shared" ca="1" si="16"/>
        <v>51</v>
      </c>
      <c r="B69" s="255">
        <f t="shared" ca="1" si="8"/>
        <v>46478</v>
      </c>
      <c r="C69" s="256">
        <f t="shared" ca="1" si="15"/>
        <v>19686.361431996225</v>
      </c>
      <c r="D69" s="257">
        <f t="shared" ca="1" si="1"/>
        <v>1178.01</v>
      </c>
      <c r="E69" s="253">
        <f t="shared" ca="1" si="9"/>
        <v>18508.351431996227</v>
      </c>
      <c r="F69" s="257">
        <f t="shared" ca="1" si="2"/>
        <v>0</v>
      </c>
      <c r="G69" s="257">
        <f t="shared" ca="1" si="3"/>
        <v>179636.67696819268</v>
      </c>
      <c r="H69" s="257">
        <f t="shared" ca="1" si="4"/>
        <v>179636.67696819268</v>
      </c>
      <c r="I69" s="220">
        <f t="shared" ca="1" si="5"/>
        <v>2027</v>
      </c>
      <c r="K69" s="260">
        <f t="shared" ca="1" si="17"/>
        <v>0</v>
      </c>
      <c r="L69" s="253">
        <f ca="1">L68+L64</f>
        <v>221782.10718395468</v>
      </c>
    </row>
    <row r="70" spans="1:13" x14ac:dyDescent="0.25">
      <c r="A70" s="254">
        <f t="shared" ca="1" si="16"/>
        <v>52</v>
      </c>
      <c r="B70" s="255">
        <f t="shared" ca="1" si="8"/>
        <v>46508</v>
      </c>
      <c r="C70" s="256">
        <f t="shared" ca="1" si="15"/>
        <v>19686.361431996225</v>
      </c>
      <c r="D70" s="257">
        <f t="shared" ca="1" si="1"/>
        <v>1033.53</v>
      </c>
      <c r="E70" s="253">
        <f t="shared" ca="1" si="9"/>
        <v>18652.831431996226</v>
      </c>
      <c r="F70" s="257">
        <f t="shared" ca="1" si="2"/>
        <v>0</v>
      </c>
      <c r="G70" s="257">
        <f t="shared" ca="1" si="3"/>
        <v>160983.84553619646</v>
      </c>
      <c r="H70" s="257">
        <f t="shared" ca="1" si="4"/>
        <v>160983.84553619646</v>
      </c>
      <c r="I70" s="220">
        <f t="shared" ca="1" si="5"/>
        <v>2027</v>
      </c>
      <c r="K70" s="260">
        <f t="shared" ca="1" si="17"/>
        <v>0</v>
      </c>
    </row>
    <row r="71" spans="1:13" x14ac:dyDescent="0.25">
      <c r="A71" s="254">
        <f t="shared" ca="1" si="16"/>
        <v>53</v>
      </c>
      <c r="B71" s="255">
        <f t="shared" ca="1" si="8"/>
        <v>46539</v>
      </c>
      <c r="C71" s="256">
        <f t="shared" ca="1" si="15"/>
        <v>19686.361431996225</v>
      </c>
      <c r="D71" s="257">
        <f t="shared" ca="1" si="1"/>
        <v>957.08</v>
      </c>
      <c r="E71" s="253">
        <f t="shared" ca="1" si="9"/>
        <v>18729.281431996224</v>
      </c>
      <c r="F71" s="257">
        <f t="shared" ca="1" si="2"/>
        <v>0</v>
      </c>
      <c r="G71" s="257">
        <f t="shared" ca="1" si="3"/>
        <v>142254.56410420022</v>
      </c>
      <c r="H71" s="257">
        <f t="shared" ca="1" si="4"/>
        <v>142254.56410420022</v>
      </c>
      <c r="I71" s="220">
        <f t="shared" ca="1" si="5"/>
        <v>2027</v>
      </c>
      <c r="K71" s="260">
        <f t="shared" ca="1" si="17"/>
        <v>0</v>
      </c>
    </row>
    <row r="72" spans="1:13" x14ac:dyDescent="0.25">
      <c r="A72" s="254">
        <f t="shared" ca="1" si="16"/>
        <v>54</v>
      </c>
      <c r="B72" s="255">
        <f t="shared" ca="1" si="8"/>
        <v>46569</v>
      </c>
      <c r="C72" s="256">
        <f t="shared" ca="1" si="15"/>
        <v>19686.361431996225</v>
      </c>
      <c r="D72" s="257">
        <f t="shared" ca="1" si="1"/>
        <v>818.45</v>
      </c>
      <c r="E72" s="253">
        <f t="shared" ca="1" si="9"/>
        <v>18867.911431996225</v>
      </c>
      <c r="F72" s="257">
        <f t="shared" ca="1" si="2"/>
        <v>0</v>
      </c>
      <c r="G72" s="257">
        <f t="shared" ca="1" si="3"/>
        <v>123386.65267220401</v>
      </c>
      <c r="H72" s="257">
        <f t="shared" ca="1" si="4"/>
        <v>123386.65267220401</v>
      </c>
      <c r="I72" s="220">
        <f t="shared" ca="1" si="5"/>
        <v>2027</v>
      </c>
      <c r="K72" s="260">
        <f t="shared" ca="1" si="17"/>
        <v>0</v>
      </c>
    </row>
    <row r="73" spans="1:13" x14ac:dyDescent="0.25">
      <c r="A73" s="254">
        <f t="shared" ca="1" si="16"/>
        <v>55</v>
      </c>
      <c r="B73" s="255">
        <f t="shared" ca="1" si="8"/>
        <v>46600</v>
      </c>
      <c r="C73" s="256">
        <f t="shared" ca="1" si="15"/>
        <v>19686.361431996225</v>
      </c>
      <c r="D73" s="257">
        <f t="shared" ca="1" si="1"/>
        <v>733.56</v>
      </c>
      <c r="E73" s="253">
        <f t="shared" ca="1" si="9"/>
        <v>18952.801431996224</v>
      </c>
      <c r="F73" s="257">
        <f t="shared" ca="1" si="2"/>
        <v>0</v>
      </c>
      <c r="G73" s="257">
        <f t="shared" ca="1" si="3"/>
        <v>104433.85124020779</v>
      </c>
      <c r="H73" s="257">
        <f t="shared" ca="1" si="4"/>
        <v>104433.85124020779</v>
      </c>
      <c r="I73" s="220">
        <f t="shared" ca="1" si="5"/>
        <v>2027</v>
      </c>
      <c r="K73" s="260">
        <f t="shared" ca="1" si="17"/>
        <v>0</v>
      </c>
    </row>
    <row r="74" spans="1:13" x14ac:dyDescent="0.25">
      <c r="A74" s="254">
        <f t="shared" ca="1" si="16"/>
        <v>56</v>
      </c>
      <c r="B74" s="255">
        <f t="shared" ca="1" si="8"/>
        <v>46631</v>
      </c>
      <c r="C74" s="256">
        <f t="shared" ca="1" si="15"/>
        <v>19686.361431996225</v>
      </c>
      <c r="D74" s="257">
        <f t="shared" ca="1" si="1"/>
        <v>620.88</v>
      </c>
      <c r="E74" s="253">
        <f t="shared" ca="1" si="9"/>
        <v>19065.481431996224</v>
      </c>
      <c r="F74" s="257">
        <f t="shared" ca="1" si="2"/>
        <v>0</v>
      </c>
      <c r="G74" s="257">
        <f t="shared" ca="1" si="3"/>
        <v>85368.369808211573</v>
      </c>
      <c r="H74" s="257">
        <f t="shared" ca="1" si="4"/>
        <v>85368.369808211573</v>
      </c>
      <c r="I74" s="220">
        <f t="shared" ca="1" si="5"/>
        <v>2027</v>
      </c>
      <c r="K74" s="260">
        <f t="shared" ca="1" si="17"/>
        <v>0</v>
      </c>
    </row>
    <row r="75" spans="1:13" x14ac:dyDescent="0.25">
      <c r="A75" s="254">
        <f t="shared" ca="1" si="16"/>
        <v>57</v>
      </c>
      <c r="B75" s="255">
        <f t="shared" ca="1" si="8"/>
        <v>46661</v>
      </c>
      <c r="C75" s="256">
        <f t="shared" ca="1" si="15"/>
        <v>19686.361431996225</v>
      </c>
      <c r="D75" s="257">
        <f t="shared" ca="1" si="1"/>
        <v>491.16</v>
      </c>
      <c r="E75" s="253">
        <f t="shared" ca="1" si="9"/>
        <v>19195.201431996225</v>
      </c>
      <c r="F75" s="257">
        <f t="shared" ca="1" si="2"/>
        <v>0</v>
      </c>
      <c r="G75" s="257">
        <f t="shared" ca="1" si="3"/>
        <v>66173.168376215355</v>
      </c>
      <c r="H75" s="257">
        <f t="shared" ca="1" si="4"/>
        <v>66173.168376215355</v>
      </c>
      <c r="I75" s="220">
        <f t="shared" ca="1" si="5"/>
        <v>2027</v>
      </c>
      <c r="K75" s="260">
        <f t="shared" ca="1" si="17"/>
        <v>0</v>
      </c>
    </row>
    <row r="76" spans="1:13" x14ac:dyDescent="0.25">
      <c r="A76" s="254">
        <f t="shared" ca="1" si="16"/>
        <v>58</v>
      </c>
      <c r="B76" s="255">
        <f t="shared" ca="1" si="8"/>
        <v>46692</v>
      </c>
      <c r="C76" s="256">
        <f t="shared" ca="1" si="15"/>
        <v>19686.361431996225</v>
      </c>
      <c r="D76" s="257">
        <f t="shared" ca="1" si="1"/>
        <v>393.41</v>
      </c>
      <c r="E76" s="253">
        <f t="shared" ca="1" si="9"/>
        <v>19292.951431996225</v>
      </c>
      <c r="F76" s="257">
        <f t="shared" ca="1" si="2"/>
        <v>0</v>
      </c>
      <c r="G76" s="257">
        <f t="shared" ca="1" si="3"/>
        <v>46880.216944219137</v>
      </c>
      <c r="H76" s="257">
        <f t="shared" ca="1" si="4"/>
        <v>46880.216944219137</v>
      </c>
      <c r="I76" s="220">
        <f t="shared" ca="1" si="5"/>
        <v>2027</v>
      </c>
      <c r="K76" s="260">
        <f t="shared" ca="1" si="17"/>
        <v>0</v>
      </c>
    </row>
    <row r="77" spans="1:13" x14ac:dyDescent="0.25">
      <c r="A77" s="254">
        <f t="shared" ca="1" si="16"/>
        <v>59</v>
      </c>
      <c r="B77" s="255">
        <f t="shared" ca="1" si="8"/>
        <v>46722</v>
      </c>
      <c r="C77" s="256">
        <f t="shared" ca="1" si="15"/>
        <v>19686.361431996225</v>
      </c>
      <c r="D77" s="257">
        <f t="shared" ca="1" si="1"/>
        <v>269.72000000000003</v>
      </c>
      <c r="E77" s="253">
        <f t="shared" ca="1" si="9"/>
        <v>19416.641431996224</v>
      </c>
      <c r="F77" s="257">
        <f t="shared" ca="1" si="2"/>
        <v>0</v>
      </c>
      <c r="G77" s="257">
        <f t="shared" ca="1" si="3"/>
        <v>27463.575512222913</v>
      </c>
      <c r="H77" s="257">
        <f t="shared" ca="1" si="4"/>
        <v>27463.575512222913</v>
      </c>
      <c r="I77" s="220">
        <f t="shared" ca="1" si="5"/>
        <v>2027</v>
      </c>
      <c r="K77" s="260">
        <f t="shared" ca="1" si="17"/>
        <v>0</v>
      </c>
    </row>
    <row r="78" spans="1:13" x14ac:dyDescent="0.25">
      <c r="A78" s="254">
        <f t="shared" ca="1" si="16"/>
        <v>60</v>
      </c>
      <c r="B78" s="255">
        <f t="shared" ca="1" si="8"/>
        <v>46753</v>
      </c>
      <c r="C78" s="256">
        <f t="shared" ca="1" si="15"/>
        <v>27626.855512222912</v>
      </c>
      <c r="D78" s="257">
        <f t="shared" ca="1" si="1"/>
        <v>163.28</v>
      </c>
      <c r="E78" s="253">
        <f t="shared" ca="1" si="9"/>
        <v>27463.575512222913</v>
      </c>
      <c r="F78" s="257">
        <f t="shared" ca="1" si="2"/>
        <v>0</v>
      </c>
      <c r="G78" s="257">
        <f t="shared" ca="1" si="3"/>
        <v>0</v>
      </c>
      <c r="H78" s="257">
        <f t="shared" ca="1" si="4"/>
        <v>0</v>
      </c>
      <c r="I78" s="220">
        <f t="shared" ca="1" si="5"/>
        <v>2028</v>
      </c>
      <c r="K78" s="260">
        <f t="shared" ca="1" si="17"/>
        <v>0</v>
      </c>
    </row>
    <row r="79" spans="1:13" x14ac:dyDescent="0.25">
      <c r="A79" s="254" t="str">
        <f t="shared" ca="1" si="16"/>
        <v/>
      </c>
      <c r="B79" s="255" t="str">
        <f t="shared" ca="1" si="8"/>
        <v/>
      </c>
      <c r="C79" s="256" t="str">
        <f t="shared" ca="1" si="15"/>
        <v/>
      </c>
      <c r="D79" s="257" t="str">
        <f t="shared" ca="1" si="1"/>
        <v/>
      </c>
      <c r="F79" s="257" t="str">
        <f t="shared" ca="1" si="2"/>
        <v/>
      </c>
      <c r="G79" s="257" t="str">
        <f t="shared" ca="1" si="3"/>
        <v/>
      </c>
      <c r="H79" s="257" t="str">
        <f t="shared" ca="1" si="4"/>
        <v/>
      </c>
      <c r="I79" s="220" t="e">
        <f t="shared" ca="1" si="5"/>
        <v>#VALUE!</v>
      </c>
      <c r="K79" s="260" t="e">
        <f t="shared" ca="1" si="17"/>
        <v>#VALUE!</v>
      </c>
    </row>
    <row r="80" spans="1:13" x14ac:dyDescent="0.25">
      <c r="A80" s="254" t="str">
        <f t="shared" ca="1" si="16"/>
        <v/>
      </c>
      <c r="B80" s="255" t="str">
        <f t="shared" ca="1" si="8"/>
        <v/>
      </c>
      <c r="C80" s="256" t="str">
        <f t="shared" ca="1" si="15"/>
        <v/>
      </c>
      <c r="D80" s="257" t="str">
        <f t="shared" ca="1" si="1"/>
        <v/>
      </c>
      <c r="F80" s="257" t="str">
        <f t="shared" ca="1" si="2"/>
        <v/>
      </c>
      <c r="G80" s="257" t="str">
        <f t="shared" ca="1" si="3"/>
        <v/>
      </c>
      <c r="H80" s="257" t="str">
        <f t="shared" ca="1" si="4"/>
        <v/>
      </c>
      <c r="I80" s="220" t="e">
        <f t="shared" ca="1" si="5"/>
        <v>#VALUE!</v>
      </c>
      <c r="K80" s="260" t="e">
        <f t="shared" ca="1" si="17"/>
        <v>#VALUE!</v>
      </c>
    </row>
    <row r="81" spans="1:11" x14ac:dyDescent="0.25">
      <c r="A81" s="254" t="str">
        <f t="shared" ca="1" si="16"/>
        <v/>
      </c>
      <c r="B81" s="255" t="str">
        <f t="shared" ca="1" si="8"/>
        <v/>
      </c>
      <c r="C81" s="256" t="str">
        <f t="shared" ca="1" si="15"/>
        <v/>
      </c>
      <c r="D81" s="257" t="str">
        <f t="shared" ca="1" si="1"/>
        <v/>
      </c>
      <c r="F81" s="257" t="str">
        <f t="shared" ca="1" si="2"/>
        <v/>
      </c>
      <c r="G81" s="257" t="str">
        <f t="shared" ca="1" si="3"/>
        <v/>
      </c>
      <c r="H81" s="257" t="str">
        <f t="shared" ca="1" si="4"/>
        <v/>
      </c>
      <c r="I81" s="220" t="e">
        <f t="shared" ca="1" si="5"/>
        <v>#VALUE!</v>
      </c>
      <c r="K81" s="260" t="e">
        <f t="shared" ca="1" si="17"/>
        <v>#VALUE!</v>
      </c>
    </row>
    <row r="82" spans="1:11" x14ac:dyDescent="0.25">
      <c r="A82" s="254" t="str">
        <f t="shared" ca="1" si="16"/>
        <v/>
      </c>
      <c r="B82" s="255" t="str">
        <f t="shared" ca="1" si="8"/>
        <v/>
      </c>
      <c r="C82" s="256" t="str">
        <f t="shared" ca="1" si="15"/>
        <v/>
      </c>
      <c r="D82" s="257" t="str">
        <f t="shared" ca="1" si="1"/>
        <v/>
      </c>
      <c r="F82" s="257" t="str">
        <f t="shared" ca="1" si="2"/>
        <v/>
      </c>
      <c r="G82" s="257" t="str">
        <f t="shared" ca="1" si="3"/>
        <v/>
      </c>
      <c r="H82" s="257" t="str">
        <f t="shared" ca="1" si="4"/>
        <v/>
      </c>
      <c r="I82" s="220" t="e">
        <f t="shared" ca="1" si="5"/>
        <v>#VALUE!</v>
      </c>
      <c r="K82" s="260" t="e">
        <f t="shared" ca="1" si="17"/>
        <v>#VALUE!</v>
      </c>
    </row>
    <row r="83" spans="1:11" x14ac:dyDescent="0.25">
      <c r="A83" s="254" t="str">
        <f t="shared" ca="1" si="16"/>
        <v/>
      </c>
      <c r="B83" s="255" t="str">
        <f t="shared" ca="1" si="8"/>
        <v/>
      </c>
      <c r="C83" s="256" t="str">
        <f t="shared" ca="1" si="15"/>
        <v/>
      </c>
      <c r="D83" s="257" t="str">
        <f t="shared" ref="D83:D146" ca="1" si="18">IF(B83="","",ROUND((B83-B82)*$H$9*G82,2))</f>
        <v/>
      </c>
      <c r="F83" s="257" t="str">
        <f t="shared" ref="F83:F146" ca="1" si="19">IF(B83="","",IF(C83&gt;F82+D83,0,F82+D83-C83))</f>
        <v/>
      </c>
      <c r="G83" s="257" t="str">
        <f t="shared" ref="G83:G146" ca="1" si="20">IF(B83="","",IF(C83&gt;D83+F82,G82+F82+D83-C83,G82))</f>
        <v/>
      </c>
      <c r="H83" s="257" t="str">
        <f t="shared" ref="H83:H146" ca="1" si="21">IF(B83="","",G83+F83)</f>
        <v/>
      </c>
      <c r="I83" s="220" t="e">
        <f t="shared" ref="I83:I138" ca="1" si="22">YEAR(B83)</f>
        <v>#VALUE!</v>
      </c>
      <c r="K83" s="260" t="e">
        <f t="shared" ca="1" si="17"/>
        <v>#VALUE!</v>
      </c>
    </row>
    <row r="84" spans="1:11" x14ac:dyDescent="0.25">
      <c r="A84" s="254" t="str">
        <f t="shared" ca="1" si="16"/>
        <v/>
      </c>
      <c r="B84" s="255" t="str">
        <f t="shared" ref="B84:B138" ca="1" si="23">IF(A84&lt;$H$10+1,DATE(YEAR(B83),MONTH(B83)+1,1),"")</f>
        <v/>
      </c>
      <c r="C84" s="256" t="str">
        <f t="shared" ca="1" si="15"/>
        <v/>
      </c>
      <c r="D84" s="257" t="str">
        <f t="shared" ca="1" si="18"/>
        <v/>
      </c>
      <c r="F84" s="257" t="str">
        <f t="shared" ca="1" si="19"/>
        <v/>
      </c>
      <c r="G84" s="257" t="str">
        <f t="shared" ca="1" si="20"/>
        <v/>
      </c>
      <c r="H84" s="257" t="str">
        <f t="shared" ca="1" si="21"/>
        <v/>
      </c>
      <c r="I84" s="220" t="e">
        <f t="shared" ca="1" si="22"/>
        <v>#VALUE!</v>
      </c>
      <c r="K84" s="260" t="e">
        <f t="shared" ca="1" si="17"/>
        <v>#VALUE!</v>
      </c>
    </row>
    <row r="85" spans="1:11" x14ac:dyDescent="0.25">
      <c r="A85" s="254" t="str">
        <f t="shared" ca="1" si="16"/>
        <v/>
      </c>
      <c r="B85" s="255" t="str">
        <f t="shared" ca="1" si="23"/>
        <v/>
      </c>
      <c r="C85" s="256" t="str">
        <f t="shared" ca="1" si="15"/>
        <v/>
      </c>
      <c r="D85" s="257" t="str">
        <f t="shared" ca="1" si="18"/>
        <v/>
      </c>
      <c r="F85" s="257" t="str">
        <f t="shared" ca="1" si="19"/>
        <v/>
      </c>
      <c r="G85" s="257" t="str">
        <f t="shared" ca="1" si="20"/>
        <v/>
      </c>
      <c r="H85" s="257" t="str">
        <f t="shared" ca="1" si="21"/>
        <v/>
      </c>
      <c r="I85" s="220" t="e">
        <f t="shared" ca="1" si="22"/>
        <v>#VALUE!</v>
      </c>
      <c r="K85" s="260" t="e">
        <f t="shared" ca="1" si="17"/>
        <v>#VALUE!</v>
      </c>
    </row>
    <row r="86" spans="1:11" x14ac:dyDescent="0.25">
      <c r="A86" s="254" t="str">
        <f t="shared" ca="1" si="16"/>
        <v/>
      </c>
      <c r="B86" s="255" t="str">
        <f t="shared" ca="1" si="23"/>
        <v/>
      </c>
      <c r="C86" s="256" t="str">
        <f t="shared" ca="1" si="15"/>
        <v/>
      </c>
      <c r="D86" s="257" t="str">
        <f t="shared" ca="1" si="18"/>
        <v/>
      </c>
      <c r="F86" s="257" t="str">
        <f t="shared" ca="1" si="19"/>
        <v/>
      </c>
      <c r="G86" s="257" t="str">
        <f t="shared" ca="1" si="20"/>
        <v/>
      </c>
      <c r="H86" s="257" t="str">
        <f t="shared" ca="1" si="21"/>
        <v/>
      </c>
      <c r="I86" s="220" t="e">
        <f t="shared" ca="1" si="22"/>
        <v>#VALUE!</v>
      </c>
      <c r="K86" s="260" t="e">
        <f t="shared" ca="1" si="17"/>
        <v>#VALUE!</v>
      </c>
    </row>
    <row r="87" spans="1:11" x14ac:dyDescent="0.25">
      <c r="A87" s="254" t="str">
        <f t="shared" ca="1" si="16"/>
        <v/>
      </c>
      <c r="B87" s="255" t="str">
        <f t="shared" ca="1" si="23"/>
        <v/>
      </c>
      <c r="C87" s="256" t="str">
        <f t="shared" ca="1" si="15"/>
        <v/>
      </c>
      <c r="D87" s="257" t="str">
        <f t="shared" ca="1" si="18"/>
        <v/>
      </c>
      <c r="F87" s="257" t="str">
        <f t="shared" ca="1" si="19"/>
        <v/>
      </c>
      <c r="G87" s="257" t="str">
        <f t="shared" ca="1" si="20"/>
        <v/>
      </c>
      <c r="H87" s="257" t="str">
        <f t="shared" ca="1" si="21"/>
        <v/>
      </c>
      <c r="I87" s="220" t="e">
        <f t="shared" ca="1" si="22"/>
        <v>#VALUE!</v>
      </c>
      <c r="K87" s="260" t="e">
        <f t="shared" ca="1" si="17"/>
        <v>#VALUE!</v>
      </c>
    </row>
    <row r="88" spans="1:11" x14ac:dyDescent="0.25">
      <c r="A88" s="254" t="str">
        <f t="shared" ca="1" si="16"/>
        <v/>
      </c>
      <c r="B88" s="255" t="str">
        <f t="shared" ca="1" si="23"/>
        <v/>
      </c>
      <c r="C88" s="256" t="str">
        <f t="shared" ca="1" si="15"/>
        <v/>
      </c>
      <c r="D88" s="257" t="str">
        <f t="shared" ca="1" si="18"/>
        <v/>
      </c>
      <c r="F88" s="257" t="str">
        <f t="shared" ca="1" si="19"/>
        <v/>
      </c>
      <c r="G88" s="257" t="str">
        <f t="shared" ca="1" si="20"/>
        <v/>
      </c>
      <c r="H88" s="257" t="str">
        <f t="shared" ca="1" si="21"/>
        <v/>
      </c>
      <c r="I88" s="220" t="e">
        <f t="shared" ca="1" si="22"/>
        <v>#VALUE!</v>
      </c>
      <c r="K88" s="260" t="e">
        <f t="shared" ca="1" si="17"/>
        <v>#VALUE!</v>
      </c>
    </row>
    <row r="89" spans="1:11" x14ac:dyDescent="0.25">
      <c r="A89" s="254" t="str">
        <f t="shared" ca="1" si="16"/>
        <v/>
      </c>
      <c r="B89" s="255" t="str">
        <f t="shared" ca="1" si="23"/>
        <v/>
      </c>
      <c r="C89" s="256" t="str">
        <f t="shared" ca="1" si="15"/>
        <v/>
      </c>
      <c r="D89" s="257" t="str">
        <f t="shared" ca="1" si="18"/>
        <v/>
      </c>
      <c r="F89" s="257" t="str">
        <f t="shared" ca="1" si="19"/>
        <v/>
      </c>
      <c r="G89" s="257" t="str">
        <f t="shared" ca="1" si="20"/>
        <v/>
      </c>
      <c r="H89" s="257" t="str">
        <f t="shared" ca="1" si="21"/>
        <v/>
      </c>
      <c r="I89" s="220" t="e">
        <f t="shared" ca="1" si="22"/>
        <v>#VALUE!</v>
      </c>
      <c r="K89" s="260" t="e">
        <f t="shared" ca="1" si="17"/>
        <v>#VALUE!</v>
      </c>
    </row>
    <row r="90" spans="1:11" x14ac:dyDescent="0.25">
      <c r="A90" s="254" t="str">
        <f t="shared" ca="1" si="16"/>
        <v/>
      </c>
      <c r="B90" s="255" t="str">
        <f t="shared" ca="1" si="23"/>
        <v/>
      </c>
      <c r="C90" s="256" t="str">
        <f t="shared" ca="1" si="15"/>
        <v/>
      </c>
      <c r="D90" s="257" t="str">
        <f t="shared" ca="1" si="18"/>
        <v/>
      </c>
      <c r="F90" s="257" t="str">
        <f t="shared" ca="1" si="19"/>
        <v/>
      </c>
      <c r="G90" s="257" t="str">
        <f t="shared" ca="1" si="20"/>
        <v/>
      </c>
      <c r="H90" s="257" t="str">
        <f t="shared" ca="1" si="21"/>
        <v/>
      </c>
      <c r="I90" s="220" t="e">
        <f t="shared" ca="1" si="22"/>
        <v>#VALUE!</v>
      </c>
      <c r="K90" s="260" t="e">
        <f t="shared" ca="1" si="17"/>
        <v>#VALUE!</v>
      </c>
    </row>
    <row r="91" spans="1:11" x14ac:dyDescent="0.25">
      <c r="A91" s="254" t="str">
        <f t="shared" ca="1" si="16"/>
        <v/>
      </c>
      <c r="B91" s="255" t="str">
        <f t="shared" ca="1" si="23"/>
        <v/>
      </c>
      <c r="C91" s="256" t="str">
        <f t="shared" ca="1" si="15"/>
        <v/>
      </c>
      <c r="D91" s="257" t="str">
        <f t="shared" ca="1" si="18"/>
        <v/>
      </c>
      <c r="F91" s="257" t="str">
        <f t="shared" ca="1" si="19"/>
        <v/>
      </c>
      <c r="G91" s="257" t="str">
        <f t="shared" ca="1" si="20"/>
        <v/>
      </c>
      <c r="H91" s="257" t="str">
        <f t="shared" ca="1" si="21"/>
        <v/>
      </c>
      <c r="I91" s="220" t="e">
        <f t="shared" ca="1" si="22"/>
        <v>#VALUE!</v>
      </c>
      <c r="K91" s="260" t="e">
        <f t="shared" ca="1" si="17"/>
        <v>#VALUE!</v>
      </c>
    </row>
    <row r="92" spans="1:11" x14ac:dyDescent="0.25">
      <c r="A92" s="254" t="str">
        <f t="shared" ca="1" si="16"/>
        <v/>
      </c>
      <c r="B92" s="255" t="str">
        <f t="shared" ca="1" si="23"/>
        <v/>
      </c>
      <c r="C92" s="256" t="str">
        <f t="shared" ca="1" si="15"/>
        <v/>
      </c>
      <c r="D92" s="257" t="str">
        <f t="shared" ca="1" si="18"/>
        <v/>
      </c>
      <c r="F92" s="257" t="str">
        <f t="shared" ca="1" si="19"/>
        <v/>
      </c>
      <c r="G92" s="257" t="str">
        <f t="shared" ca="1" si="20"/>
        <v/>
      </c>
      <c r="H92" s="257" t="str">
        <f t="shared" ca="1" si="21"/>
        <v/>
      </c>
      <c r="I92" s="220" t="e">
        <f t="shared" ca="1" si="22"/>
        <v>#VALUE!</v>
      </c>
      <c r="K92" s="260" t="e">
        <f t="shared" ca="1" si="17"/>
        <v>#VALUE!</v>
      </c>
    </row>
    <row r="93" spans="1:11" x14ac:dyDescent="0.25">
      <c r="A93" s="254" t="str">
        <f t="shared" ca="1" si="16"/>
        <v/>
      </c>
      <c r="B93" s="255" t="str">
        <f t="shared" ca="1" si="23"/>
        <v/>
      </c>
      <c r="C93" s="256" t="str">
        <f t="shared" ca="1" si="15"/>
        <v/>
      </c>
      <c r="D93" s="257" t="str">
        <f t="shared" ca="1" si="18"/>
        <v/>
      </c>
      <c r="F93" s="257" t="str">
        <f t="shared" ca="1" si="19"/>
        <v/>
      </c>
      <c r="G93" s="257" t="str">
        <f t="shared" ca="1" si="20"/>
        <v/>
      </c>
      <c r="H93" s="257" t="str">
        <f t="shared" ca="1" si="21"/>
        <v/>
      </c>
      <c r="I93" s="220" t="e">
        <f t="shared" ca="1" si="22"/>
        <v>#VALUE!</v>
      </c>
      <c r="K93" s="260" t="e">
        <f t="shared" ca="1" si="17"/>
        <v>#VALUE!</v>
      </c>
    </row>
    <row r="94" spans="1:11" x14ac:dyDescent="0.25">
      <c r="A94" s="254" t="str">
        <f t="shared" ca="1" si="16"/>
        <v/>
      </c>
      <c r="B94" s="255" t="str">
        <f t="shared" ca="1" si="23"/>
        <v/>
      </c>
      <c r="C94" s="256" t="str">
        <f t="shared" ca="1" si="15"/>
        <v/>
      </c>
      <c r="D94" s="257" t="str">
        <f t="shared" ca="1" si="18"/>
        <v/>
      </c>
      <c r="F94" s="257" t="str">
        <f t="shared" ca="1" si="19"/>
        <v/>
      </c>
      <c r="G94" s="257" t="str">
        <f t="shared" ca="1" si="20"/>
        <v/>
      </c>
      <c r="H94" s="257" t="str">
        <f t="shared" ca="1" si="21"/>
        <v/>
      </c>
      <c r="I94" s="220" t="e">
        <f t="shared" ca="1" si="22"/>
        <v>#VALUE!</v>
      </c>
      <c r="K94" s="260" t="e">
        <f t="shared" ca="1" si="17"/>
        <v>#VALUE!</v>
      </c>
    </row>
    <row r="95" spans="1:11" x14ac:dyDescent="0.25">
      <c r="A95" s="254" t="str">
        <f t="shared" ca="1" si="16"/>
        <v/>
      </c>
      <c r="B95" s="255" t="str">
        <f t="shared" ca="1" si="23"/>
        <v/>
      </c>
      <c r="C95" s="256" t="str">
        <f t="shared" ca="1" si="15"/>
        <v/>
      </c>
      <c r="D95" s="257" t="str">
        <f t="shared" ca="1" si="18"/>
        <v/>
      </c>
      <c r="F95" s="257" t="str">
        <f t="shared" ca="1" si="19"/>
        <v/>
      </c>
      <c r="G95" s="257" t="str">
        <f t="shared" ca="1" si="20"/>
        <v/>
      </c>
      <c r="H95" s="257" t="str">
        <f t="shared" ca="1" si="21"/>
        <v/>
      </c>
      <c r="I95" s="220" t="e">
        <f t="shared" ca="1" si="22"/>
        <v>#VALUE!</v>
      </c>
      <c r="K95" s="260" t="e">
        <f t="shared" ca="1" si="17"/>
        <v>#VALUE!</v>
      </c>
    </row>
    <row r="96" spans="1:11" x14ac:dyDescent="0.25">
      <c r="A96" s="254" t="str">
        <f t="shared" ca="1" si="16"/>
        <v/>
      </c>
      <c r="B96" s="255" t="str">
        <f t="shared" ca="1" si="23"/>
        <v/>
      </c>
      <c r="C96" s="256" t="str">
        <f t="shared" ca="1" si="15"/>
        <v/>
      </c>
      <c r="D96" s="257" t="str">
        <f t="shared" ca="1" si="18"/>
        <v/>
      </c>
      <c r="F96" s="257" t="str">
        <f t="shared" ca="1" si="19"/>
        <v/>
      </c>
      <c r="G96" s="257" t="str">
        <f t="shared" ca="1" si="20"/>
        <v/>
      </c>
      <c r="H96" s="257" t="str">
        <f t="shared" ca="1" si="21"/>
        <v/>
      </c>
      <c r="I96" s="220" t="e">
        <f t="shared" ca="1" si="22"/>
        <v>#VALUE!</v>
      </c>
      <c r="K96" s="260" t="e">
        <f t="shared" ca="1" si="17"/>
        <v>#VALUE!</v>
      </c>
    </row>
    <row r="97" spans="1:11" x14ac:dyDescent="0.25">
      <c r="A97" s="254" t="str">
        <f t="shared" ca="1" si="16"/>
        <v/>
      </c>
      <c r="B97" s="255" t="str">
        <f t="shared" ca="1" si="23"/>
        <v/>
      </c>
      <c r="C97" s="256" t="str">
        <f t="shared" ca="1" si="15"/>
        <v/>
      </c>
      <c r="D97" s="257" t="str">
        <f t="shared" ca="1" si="18"/>
        <v/>
      </c>
      <c r="F97" s="257" t="str">
        <f t="shared" ca="1" si="19"/>
        <v/>
      </c>
      <c r="G97" s="257" t="str">
        <f t="shared" ca="1" si="20"/>
        <v/>
      </c>
      <c r="H97" s="257" t="str">
        <f t="shared" ca="1" si="21"/>
        <v/>
      </c>
      <c r="I97" s="220" t="e">
        <f t="shared" ca="1" si="22"/>
        <v>#VALUE!</v>
      </c>
      <c r="K97" s="260" t="e">
        <f t="shared" ca="1" si="17"/>
        <v>#VALUE!</v>
      </c>
    </row>
    <row r="98" spans="1:11" x14ac:dyDescent="0.25">
      <c r="A98" s="254" t="str">
        <f t="shared" ca="1" si="16"/>
        <v/>
      </c>
      <c r="B98" s="255" t="str">
        <f t="shared" ca="1" si="23"/>
        <v/>
      </c>
      <c r="C98" s="256" t="str">
        <f t="shared" ref="C98:C138" ca="1" si="24">IF(OR(A98=$H$10,A98=$H$13),D98+G97,IF(A98&lt;$H$10,C97,""))</f>
        <v/>
      </c>
      <c r="D98" s="257" t="str">
        <f t="shared" ca="1" si="18"/>
        <v/>
      </c>
      <c r="F98" s="257" t="str">
        <f t="shared" ca="1" si="19"/>
        <v/>
      </c>
      <c r="G98" s="257" t="str">
        <f t="shared" ca="1" si="20"/>
        <v/>
      </c>
      <c r="H98" s="257" t="str">
        <f t="shared" ca="1" si="21"/>
        <v/>
      </c>
      <c r="I98" s="220" t="e">
        <f t="shared" ca="1" si="22"/>
        <v>#VALUE!</v>
      </c>
      <c r="K98" s="260" t="e">
        <f t="shared" ca="1" si="17"/>
        <v>#VALUE!</v>
      </c>
    </row>
    <row r="99" spans="1:11" x14ac:dyDescent="0.25">
      <c r="A99" s="254" t="str">
        <f t="shared" ca="1" si="16"/>
        <v/>
      </c>
      <c r="B99" s="255" t="str">
        <f t="shared" ca="1" si="23"/>
        <v/>
      </c>
      <c r="C99" s="256" t="str">
        <f t="shared" ca="1" si="24"/>
        <v/>
      </c>
      <c r="D99" s="257" t="str">
        <f t="shared" ca="1" si="18"/>
        <v/>
      </c>
      <c r="F99" s="257" t="str">
        <f t="shared" ca="1" si="19"/>
        <v/>
      </c>
      <c r="G99" s="257" t="str">
        <f t="shared" ca="1" si="20"/>
        <v/>
      </c>
      <c r="H99" s="257" t="str">
        <f t="shared" ca="1" si="21"/>
        <v/>
      </c>
      <c r="I99" s="220" t="e">
        <f t="shared" ca="1" si="22"/>
        <v>#VALUE!</v>
      </c>
      <c r="K99" s="260" t="e">
        <f t="shared" ca="1" si="17"/>
        <v>#VALUE!</v>
      </c>
    </row>
    <row r="100" spans="1:11" x14ac:dyDescent="0.25">
      <c r="A100" s="254" t="str">
        <f t="shared" ca="1" si="16"/>
        <v/>
      </c>
      <c r="B100" s="255" t="str">
        <f t="shared" ca="1" si="23"/>
        <v/>
      </c>
      <c r="C100" s="256" t="str">
        <f t="shared" ca="1" si="24"/>
        <v/>
      </c>
      <c r="D100" s="257" t="str">
        <f t="shared" ca="1" si="18"/>
        <v/>
      </c>
      <c r="F100" s="257" t="str">
        <f t="shared" ca="1" si="19"/>
        <v/>
      </c>
      <c r="G100" s="257" t="str">
        <f t="shared" ca="1" si="20"/>
        <v/>
      </c>
      <c r="H100" s="257" t="str">
        <f t="shared" ca="1" si="21"/>
        <v/>
      </c>
      <c r="I100" s="220" t="e">
        <f t="shared" ca="1" si="22"/>
        <v>#VALUE!</v>
      </c>
      <c r="K100" s="260" t="e">
        <f t="shared" ca="1" si="17"/>
        <v>#VALUE!</v>
      </c>
    </row>
    <row r="101" spans="1:11" x14ac:dyDescent="0.25">
      <c r="A101" s="254" t="str">
        <f t="shared" ca="1" si="16"/>
        <v/>
      </c>
      <c r="B101" s="255" t="str">
        <f t="shared" ca="1" si="23"/>
        <v/>
      </c>
      <c r="C101" s="256" t="str">
        <f t="shared" ca="1" si="24"/>
        <v/>
      </c>
      <c r="D101" s="257" t="str">
        <f t="shared" ca="1" si="18"/>
        <v/>
      </c>
      <c r="F101" s="257" t="str">
        <f t="shared" ca="1" si="19"/>
        <v/>
      </c>
      <c r="G101" s="257" t="str">
        <f t="shared" ca="1" si="20"/>
        <v/>
      </c>
      <c r="H101" s="257" t="str">
        <f t="shared" ca="1" si="21"/>
        <v/>
      </c>
      <c r="I101" s="220" t="e">
        <f t="shared" ca="1" si="22"/>
        <v>#VALUE!</v>
      </c>
      <c r="K101" s="260" t="e">
        <f t="shared" ca="1" si="17"/>
        <v>#VALUE!</v>
      </c>
    </row>
    <row r="102" spans="1:11" x14ac:dyDescent="0.25">
      <c r="A102" s="254" t="str">
        <f t="shared" ca="1" si="16"/>
        <v/>
      </c>
      <c r="B102" s="255" t="str">
        <f t="shared" ca="1" si="23"/>
        <v/>
      </c>
      <c r="C102" s="256" t="str">
        <f t="shared" ca="1" si="24"/>
        <v/>
      </c>
      <c r="D102" s="257" t="str">
        <f t="shared" ca="1" si="18"/>
        <v/>
      </c>
      <c r="F102" s="257" t="str">
        <f t="shared" ca="1" si="19"/>
        <v/>
      </c>
      <c r="G102" s="257" t="str">
        <f t="shared" ca="1" si="20"/>
        <v/>
      </c>
      <c r="H102" s="257" t="str">
        <f t="shared" ca="1" si="21"/>
        <v/>
      </c>
      <c r="I102" s="220" t="e">
        <f t="shared" ca="1" si="22"/>
        <v>#VALUE!</v>
      </c>
      <c r="K102" s="260" t="e">
        <f t="shared" ca="1" si="17"/>
        <v>#VALUE!</v>
      </c>
    </row>
    <row r="103" spans="1:11" x14ac:dyDescent="0.25">
      <c r="A103" s="254" t="str">
        <f t="shared" ca="1" si="16"/>
        <v/>
      </c>
      <c r="B103" s="255" t="str">
        <f t="shared" ca="1" si="23"/>
        <v/>
      </c>
      <c r="C103" s="256" t="str">
        <f t="shared" ca="1" si="24"/>
        <v/>
      </c>
      <c r="D103" s="257" t="str">
        <f t="shared" ca="1" si="18"/>
        <v/>
      </c>
      <c r="F103" s="257" t="str">
        <f t="shared" ca="1" si="19"/>
        <v/>
      </c>
      <c r="G103" s="257" t="str">
        <f t="shared" ca="1" si="20"/>
        <v/>
      </c>
      <c r="H103" s="257" t="str">
        <f t="shared" ca="1" si="21"/>
        <v/>
      </c>
      <c r="I103" s="220" t="e">
        <f t="shared" ca="1" si="22"/>
        <v>#VALUE!</v>
      </c>
      <c r="K103" s="260" t="e">
        <f t="shared" ca="1" si="17"/>
        <v>#VALUE!</v>
      </c>
    </row>
    <row r="104" spans="1:11" x14ac:dyDescent="0.25">
      <c r="A104" s="254" t="str">
        <f t="shared" ca="1" si="16"/>
        <v/>
      </c>
      <c r="B104" s="255" t="str">
        <f t="shared" ca="1" si="23"/>
        <v/>
      </c>
      <c r="C104" s="256" t="str">
        <f t="shared" ca="1" si="24"/>
        <v/>
      </c>
      <c r="D104" s="257" t="str">
        <f t="shared" ca="1" si="18"/>
        <v/>
      </c>
      <c r="F104" s="257" t="str">
        <f t="shared" ca="1" si="19"/>
        <v/>
      </c>
      <c r="G104" s="257" t="str">
        <f t="shared" ca="1" si="20"/>
        <v/>
      </c>
      <c r="H104" s="257" t="str">
        <f t="shared" ca="1" si="21"/>
        <v/>
      </c>
      <c r="I104" s="220" t="e">
        <f t="shared" ca="1" si="22"/>
        <v>#VALUE!</v>
      </c>
      <c r="K104" s="260" t="e">
        <f t="shared" ca="1" si="17"/>
        <v>#VALUE!</v>
      </c>
    </row>
    <row r="105" spans="1:11" x14ac:dyDescent="0.25">
      <c r="A105" s="254" t="str">
        <f t="shared" ref="A105:A168" ca="1" si="25">IF(OR(H104&lt;=0,H104=""),"",OFFSET(A105,-1,0,1,1)+1)</f>
        <v/>
      </c>
      <c r="B105" s="255" t="str">
        <f t="shared" ca="1" si="23"/>
        <v/>
      </c>
      <c r="C105" s="256" t="str">
        <f t="shared" ca="1" si="24"/>
        <v/>
      </c>
      <c r="D105" s="257" t="str">
        <f t="shared" ca="1" si="18"/>
        <v/>
      </c>
      <c r="F105" s="257" t="str">
        <f t="shared" ca="1" si="19"/>
        <v/>
      </c>
      <c r="G105" s="257" t="str">
        <f t="shared" ca="1" si="20"/>
        <v/>
      </c>
      <c r="H105" s="257" t="str">
        <f t="shared" ca="1" si="21"/>
        <v/>
      </c>
      <c r="I105" s="220" t="e">
        <f t="shared" ca="1" si="22"/>
        <v>#VALUE!</v>
      </c>
      <c r="K105" s="260" t="e">
        <f t="shared" ca="1" si="17"/>
        <v>#VALUE!</v>
      </c>
    </row>
    <row r="106" spans="1:11" x14ac:dyDescent="0.25">
      <c r="A106" s="254" t="str">
        <f t="shared" ca="1" si="25"/>
        <v/>
      </c>
      <c r="B106" s="255" t="str">
        <f t="shared" ca="1" si="23"/>
        <v/>
      </c>
      <c r="C106" s="256" t="str">
        <f t="shared" ca="1" si="24"/>
        <v/>
      </c>
      <c r="D106" s="257" t="str">
        <f t="shared" ca="1" si="18"/>
        <v/>
      </c>
      <c r="F106" s="257" t="str">
        <f t="shared" ca="1" si="19"/>
        <v/>
      </c>
      <c r="G106" s="257" t="str">
        <f t="shared" ca="1" si="20"/>
        <v/>
      </c>
      <c r="H106" s="257" t="str">
        <f t="shared" ca="1" si="21"/>
        <v/>
      </c>
      <c r="I106" s="220" t="e">
        <f t="shared" ca="1" si="22"/>
        <v>#VALUE!</v>
      </c>
      <c r="K106" s="260" t="e">
        <f t="shared" ca="1" si="17"/>
        <v>#VALUE!</v>
      </c>
    </row>
    <row r="107" spans="1:11" x14ac:dyDescent="0.25">
      <c r="A107" s="254" t="str">
        <f t="shared" ca="1" si="25"/>
        <v/>
      </c>
      <c r="B107" s="255" t="str">
        <f t="shared" ca="1" si="23"/>
        <v/>
      </c>
      <c r="C107" s="256" t="str">
        <f t="shared" ca="1" si="24"/>
        <v/>
      </c>
      <c r="D107" s="257" t="str">
        <f t="shared" ca="1" si="18"/>
        <v/>
      </c>
      <c r="F107" s="257" t="str">
        <f t="shared" ca="1" si="19"/>
        <v/>
      </c>
      <c r="G107" s="257" t="str">
        <f t="shared" ca="1" si="20"/>
        <v/>
      </c>
      <c r="H107" s="257" t="str">
        <f t="shared" ca="1" si="21"/>
        <v/>
      </c>
      <c r="I107" s="220" t="e">
        <f t="shared" ca="1" si="22"/>
        <v>#VALUE!</v>
      </c>
      <c r="K107" s="260" t="e">
        <f t="shared" ca="1" si="17"/>
        <v>#VALUE!</v>
      </c>
    </row>
    <row r="108" spans="1:11" x14ac:dyDescent="0.25">
      <c r="A108" s="254" t="str">
        <f t="shared" ca="1" si="25"/>
        <v/>
      </c>
      <c r="B108" s="255" t="str">
        <f t="shared" ca="1" si="23"/>
        <v/>
      </c>
      <c r="C108" s="256" t="str">
        <f t="shared" ca="1" si="24"/>
        <v/>
      </c>
      <c r="D108" s="257" t="str">
        <f t="shared" ca="1" si="18"/>
        <v/>
      </c>
      <c r="F108" s="257" t="str">
        <f t="shared" ca="1" si="19"/>
        <v/>
      </c>
      <c r="G108" s="257" t="str">
        <f t="shared" ca="1" si="20"/>
        <v/>
      </c>
      <c r="H108" s="257" t="str">
        <f t="shared" ca="1" si="21"/>
        <v/>
      </c>
      <c r="I108" s="220" t="e">
        <f t="shared" ca="1" si="22"/>
        <v>#VALUE!</v>
      </c>
      <c r="K108" s="260" t="e">
        <f t="shared" ca="1" si="17"/>
        <v>#VALUE!</v>
      </c>
    </row>
    <row r="109" spans="1:11" x14ac:dyDescent="0.25">
      <c r="A109" s="254" t="str">
        <f t="shared" ca="1" si="25"/>
        <v/>
      </c>
      <c r="B109" s="255" t="str">
        <f t="shared" ca="1" si="23"/>
        <v/>
      </c>
      <c r="C109" s="256" t="str">
        <f t="shared" ca="1" si="24"/>
        <v/>
      </c>
      <c r="D109" s="257" t="str">
        <f t="shared" ca="1" si="18"/>
        <v/>
      </c>
      <c r="F109" s="257" t="str">
        <f t="shared" ca="1" si="19"/>
        <v/>
      </c>
      <c r="G109" s="257" t="str">
        <f t="shared" ca="1" si="20"/>
        <v/>
      </c>
      <c r="H109" s="257" t="str">
        <f t="shared" ca="1" si="21"/>
        <v/>
      </c>
      <c r="I109" s="220" t="e">
        <f t="shared" ca="1" si="22"/>
        <v>#VALUE!</v>
      </c>
      <c r="K109" s="260" t="e">
        <f t="shared" ca="1" si="17"/>
        <v>#VALUE!</v>
      </c>
    </row>
    <row r="110" spans="1:11" x14ac:dyDescent="0.25">
      <c r="A110" s="254" t="str">
        <f t="shared" ca="1" si="25"/>
        <v/>
      </c>
      <c r="B110" s="255" t="str">
        <f t="shared" ca="1" si="23"/>
        <v/>
      </c>
      <c r="C110" s="256" t="str">
        <f t="shared" ca="1" si="24"/>
        <v/>
      </c>
      <c r="D110" s="257" t="str">
        <f t="shared" ca="1" si="18"/>
        <v/>
      </c>
      <c r="F110" s="257" t="str">
        <f t="shared" ca="1" si="19"/>
        <v/>
      </c>
      <c r="G110" s="257" t="str">
        <f t="shared" ca="1" si="20"/>
        <v/>
      </c>
      <c r="H110" s="257" t="str">
        <f t="shared" ca="1" si="21"/>
        <v/>
      </c>
      <c r="I110" s="220" t="e">
        <f t="shared" ca="1" si="22"/>
        <v>#VALUE!</v>
      </c>
      <c r="K110" s="260" t="e">
        <f t="shared" ca="1" si="17"/>
        <v>#VALUE!</v>
      </c>
    </row>
    <row r="111" spans="1:11" x14ac:dyDescent="0.25">
      <c r="A111" s="254" t="str">
        <f t="shared" ca="1" si="25"/>
        <v/>
      </c>
      <c r="B111" s="255" t="str">
        <f t="shared" ca="1" si="23"/>
        <v/>
      </c>
      <c r="C111" s="256" t="str">
        <f t="shared" ca="1" si="24"/>
        <v/>
      </c>
      <c r="D111" s="257" t="str">
        <f t="shared" ca="1" si="18"/>
        <v/>
      </c>
      <c r="F111" s="257" t="str">
        <f t="shared" ca="1" si="19"/>
        <v/>
      </c>
      <c r="G111" s="257" t="str">
        <f t="shared" ca="1" si="20"/>
        <v/>
      </c>
      <c r="H111" s="257" t="str">
        <f t="shared" ca="1" si="21"/>
        <v/>
      </c>
      <c r="I111" s="220" t="e">
        <f t="shared" ca="1" si="22"/>
        <v>#VALUE!</v>
      </c>
      <c r="K111" s="260" t="e">
        <f t="shared" ca="1" si="17"/>
        <v>#VALUE!</v>
      </c>
    </row>
    <row r="112" spans="1:11" x14ac:dyDescent="0.25">
      <c r="A112" s="254" t="str">
        <f t="shared" ca="1" si="25"/>
        <v/>
      </c>
      <c r="B112" s="255" t="str">
        <f t="shared" ca="1" si="23"/>
        <v/>
      </c>
      <c r="C112" s="256" t="str">
        <f t="shared" ca="1" si="24"/>
        <v/>
      </c>
      <c r="D112" s="257" t="str">
        <f t="shared" ca="1" si="18"/>
        <v/>
      </c>
      <c r="F112" s="257" t="str">
        <f t="shared" ca="1" si="19"/>
        <v/>
      </c>
      <c r="G112" s="257" t="str">
        <f t="shared" ca="1" si="20"/>
        <v/>
      </c>
      <c r="H112" s="257" t="str">
        <f t="shared" ca="1" si="21"/>
        <v/>
      </c>
      <c r="I112" s="220" t="e">
        <f t="shared" ca="1" si="22"/>
        <v>#VALUE!</v>
      </c>
      <c r="K112" s="260" t="e">
        <f t="shared" ca="1" si="17"/>
        <v>#VALUE!</v>
      </c>
    </row>
    <row r="113" spans="1:11" x14ac:dyDescent="0.25">
      <c r="A113" s="254" t="str">
        <f t="shared" ca="1" si="25"/>
        <v/>
      </c>
      <c r="B113" s="255" t="str">
        <f t="shared" ca="1" si="23"/>
        <v/>
      </c>
      <c r="C113" s="256" t="str">
        <f t="shared" ca="1" si="24"/>
        <v/>
      </c>
      <c r="D113" s="257" t="str">
        <f t="shared" ca="1" si="18"/>
        <v/>
      </c>
      <c r="F113" s="257" t="str">
        <f t="shared" ca="1" si="19"/>
        <v/>
      </c>
      <c r="G113" s="257" t="str">
        <f t="shared" ca="1" si="20"/>
        <v/>
      </c>
      <c r="H113" s="257" t="str">
        <f t="shared" ca="1" si="21"/>
        <v/>
      </c>
      <c r="I113" s="220" t="e">
        <f t="shared" ca="1" si="22"/>
        <v>#VALUE!</v>
      </c>
      <c r="K113" s="260" t="e">
        <f t="shared" ca="1" si="17"/>
        <v>#VALUE!</v>
      </c>
    </row>
    <row r="114" spans="1:11" x14ac:dyDescent="0.25">
      <c r="A114" s="254" t="str">
        <f t="shared" ca="1" si="25"/>
        <v/>
      </c>
      <c r="B114" s="255" t="str">
        <f t="shared" ca="1" si="23"/>
        <v/>
      </c>
      <c r="C114" s="256" t="str">
        <f t="shared" ca="1" si="24"/>
        <v/>
      </c>
      <c r="D114" s="257" t="str">
        <f t="shared" ca="1" si="18"/>
        <v/>
      </c>
      <c r="F114" s="257" t="str">
        <f t="shared" ca="1" si="19"/>
        <v/>
      </c>
      <c r="G114" s="257" t="str">
        <f t="shared" ca="1" si="20"/>
        <v/>
      </c>
      <c r="H114" s="257" t="str">
        <f t="shared" ca="1" si="21"/>
        <v/>
      </c>
      <c r="I114" s="220" t="e">
        <f t="shared" ca="1" si="22"/>
        <v>#VALUE!</v>
      </c>
      <c r="K114" s="260" t="e">
        <f t="shared" ca="1" si="17"/>
        <v>#VALUE!</v>
      </c>
    </row>
    <row r="115" spans="1:11" x14ac:dyDescent="0.25">
      <c r="A115" s="254" t="str">
        <f t="shared" ca="1" si="25"/>
        <v/>
      </c>
      <c r="B115" s="255" t="str">
        <f t="shared" ca="1" si="23"/>
        <v/>
      </c>
      <c r="C115" s="256" t="str">
        <f t="shared" ca="1" si="24"/>
        <v/>
      </c>
      <c r="D115" s="257" t="str">
        <f t="shared" ca="1" si="18"/>
        <v/>
      </c>
      <c r="F115" s="257" t="str">
        <f t="shared" ca="1" si="19"/>
        <v/>
      </c>
      <c r="G115" s="257" t="str">
        <f t="shared" ca="1" si="20"/>
        <v/>
      </c>
      <c r="H115" s="257" t="str">
        <f t="shared" ca="1" si="21"/>
        <v/>
      </c>
      <c r="I115" s="220" t="e">
        <f t="shared" ca="1" si="22"/>
        <v>#VALUE!</v>
      </c>
      <c r="K115" s="260" t="e">
        <f t="shared" ca="1" si="17"/>
        <v>#VALUE!</v>
      </c>
    </row>
    <row r="116" spans="1:11" x14ac:dyDescent="0.25">
      <c r="A116" s="254" t="str">
        <f t="shared" ca="1" si="25"/>
        <v/>
      </c>
      <c r="B116" s="255" t="str">
        <f t="shared" ca="1" si="23"/>
        <v/>
      </c>
      <c r="C116" s="256" t="str">
        <f t="shared" ca="1" si="24"/>
        <v/>
      </c>
      <c r="D116" s="257" t="str">
        <f t="shared" ca="1" si="18"/>
        <v/>
      </c>
      <c r="F116" s="257" t="str">
        <f t="shared" ca="1" si="19"/>
        <v/>
      </c>
      <c r="G116" s="257" t="str">
        <f t="shared" ca="1" si="20"/>
        <v/>
      </c>
      <c r="H116" s="257" t="str">
        <f t="shared" ca="1" si="21"/>
        <v/>
      </c>
      <c r="I116" s="220" t="e">
        <f t="shared" ca="1" si="22"/>
        <v>#VALUE!</v>
      </c>
      <c r="K116" s="260" t="e">
        <f t="shared" ca="1" si="17"/>
        <v>#VALUE!</v>
      </c>
    </row>
    <row r="117" spans="1:11" x14ac:dyDescent="0.25">
      <c r="A117" s="254" t="str">
        <f t="shared" ca="1" si="25"/>
        <v/>
      </c>
      <c r="B117" s="255" t="str">
        <f t="shared" ca="1" si="23"/>
        <v/>
      </c>
      <c r="C117" s="256" t="str">
        <f t="shared" ca="1" si="24"/>
        <v/>
      </c>
      <c r="D117" s="257" t="str">
        <f t="shared" ca="1" si="18"/>
        <v/>
      </c>
      <c r="F117" s="257" t="str">
        <f t="shared" ca="1" si="19"/>
        <v/>
      </c>
      <c r="G117" s="257" t="str">
        <f t="shared" ca="1" si="20"/>
        <v/>
      </c>
      <c r="H117" s="257" t="str">
        <f t="shared" ca="1" si="21"/>
        <v/>
      </c>
      <c r="I117" s="220" t="e">
        <f t="shared" ca="1" si="22"/>
        <v>#VALUE!</v>
      </c>
      <c r="K117" s="260" t="e">
        <f t="shared" ca="1" si="17"/>
        <v>#VALUE!</v>
      </c>
    </row>
    <row r="118" spans="1:11" x14ac:dyDescent="0.25">
      <c r="A118" s="254" t="str">
        <f t="shared" ca="1" si="25"/>
        <v/>
      </c>
      <c r="B118" s="255" t="str">
        <f t="shared" ca="1" si="23"/>
        <v/>
      </c>
      <c r="C118" s="256" t="str">
        <f t="shared" ca="1" si="24"/>
        <v/>
      </c>
      <c r="D118" s="257" t="str">
        <f t="shared" ca="1" si="18"/>
        <v/>
      </c>
      <c r="F118" s="257" t="str">
        <f t="shared" ca="1" si="19"/>
        <v/>
      </c>
      <c r="G118" s="257" t="str">
        <f t="shared" ca="1" si="20"/>
        <v/>
      </c>
      <c r="H118" s="257" t="str">
        <f t="shared" ca="1" si="21"/>
        <v/>
      </c>
      <c r="I118" s="220" t="e">
        <f t="shared" ca="1" si="22"/>
        <v>#VALUE!</v>
      </c>
      <c r="K118" s="260" t="e">
        <f t="shared" ca="1" si="17"/>
        <v>#VALUE!</v>
      </c>
    </row>
    <row r="119" spans="1:11" x14ac:dyDescent="0.25">
      <c r="A119" s="254" t="str">
        <f t="shared" ca="1" si="25"/>
        <v/>
      </c>
      <c r="B119" s="255" t="str">
        <f t="shared" ca="1" si="23"/>
        <v/>
      </c>
      <c r="C119" s="256" t="str">
        <f t="shared" ca="1" si="24"/>
        <v/>
      </c>
      <c r="D119" s="257" t="str">
        <f t="shared" ca="1" si="18"/>
        <v/>
      </c>
      <c r="F119" s="257" t="str">
        <f t="shared" ca="1" si="19"/>
        <v/>
      </c>
      <c r="G119" s="257" t="str">
        <f t="shared" ca="1" si="20"/>
        <v/>
      </c>
      <c r="H119" s="257" t="str">
        <f t="shared" ca="1" si="21"/>
        <v/>
      </c>
      <c r="I119" s="220" t="e">
        <f t="shared" ca="1" si="22"/>
        <v>#VALUE!</v>
      </c>
      <c r="K119" s="260" t="e">
        <f t="shared" ca="1" si="17"/>
        <v>#VALUE!</v>
      </c>
    </row>
    <row r="120" spans="1:11" x14ac:dyDescent="0.25">
      <c r="A120" s="254" t="str">
        <f t="shared" ca="1" si="25"/>
        <v/>
      </c>
      <c r="B120" s="255" t="str">
        <f t="shared" ca="1" si="23"/>
        <v/>
      </c>
      <c r="C120" s="256" t="str">
        <f t="shared" ca="1" si="24"/>
        <v/>
      </c>
      <c r="D120" s="257" t="str">
        <f t="shared" ca="1" si="18"/>
        <v/>
      </c>
      <c r="F120" s="257" t="str">
        <f t="shared" ca="1" si="19"/>
        <v/>
      </c>
      <c r="G120" s="257" t="str">
        <f t="shared" ca="1" si="20"/>
        <v/>
      </c>
      <c r="H120" s="257" t="str">
        <f t="shared" ca="1" si="21"/>
        <v/>
      </c>
      <c r="I120" s="220" t="e">
        <f t="shared" ca="1" si="22"/>
        <v>#VALUE!</v>
      </c>
      <c r="K120" s="260" t="e">
        <f t="shared" ca="1" si="17"/>
        <v>#VALUE!</v>
      </c>
    </row>
    <row r="121" spans="1:11" x14ac:dyDescent="0.25">
      <c r="A121" s="254" t="str">
        <f t="shared" ca="1" si="25"/>
        <v/>
      </c>
      <c r="B121" s="255" t="str">
        <f t="shared" ca="1" si="23"/>
        <v/>
      </c>
      <c r="C121" s="256" t="str">
        <f t="shared" ca="1" si="24"/>
        <v/>
      </c>
      <c r="D121" s="257" t="str">
        <f t="shared" ca="1" si="18"/>
        <v/>
      </c>
      <c r="F121" s="257" t="str">
        <f t="shared" ca="1" si="19"/>
        <v/>
      </c>
      <c r="G121" s="257" t="str">
        <f t="shared" ca="1" si="20"/>
        <v/>
      </c>
      <c r="H121" s="257" t="str">
        <f t="shared" ca="1" si="21"/>
        <v/>
      </c>
      <c r="I121" s="220" t="e">
        <f t="shared" ca="1" si="22"/>
        <v>#VALUE!</v>
      </c>
      <c r="K121" s="260" t="e">
        <f t="shared" ca="1" si="17"/>
        <v>#VALUE!</v>
      </c>
    </row>
    <row r="122" spans="1:11" x14ac:dyDescent="0.25">
      <c r="A122" s="254" t="str">
        <f t="shared" ca="1" si="25"/>
        <v/>
      </c>
      <c r="B122" s="255" t="str">
        <f t="shared" ca="1" si="23"/>
        <v/>
      </c>
      <c r="C122" s="256" t="str">
        <f t="shared" ca="1" si="24"/>
        <v/>
      </c>
      <c r="D122" s="257" t="str">
        <f t="shared" ca="1" si="18"/>
        <v/>
      </c>
      <c r="F122" s="257" t="str">
        <f t="shared" ca="1" si="19"/>
        <v/>
      </c>
      <c r="G122" s="257" t="str">
        <f t="shared" ca="1" si="20"/>
        <v/>
      </c>
      <c r="H122" s="257" t="str">
        <f t="shared" ca="1" si="21"/>
        <v/>
      </c>
      <c r="I122" s="220" t="e">
        <f t="shared" ca="1" si="22"/>
        <v>#VALUE!</v>
      </c>
      <c r="K122" s="260" t="e">
        <f t="shared" ca="1" si="17"/>
        <v>#VALUE!</v>
      </c>
    </row>
    <row r="123" spans="1:11" x14ac:dyDescent="0.25">
      <c r="A123" s="254" t="str">
        <f t="shared" ca="1" si="25"/>
        <v/>
      </c>
      <c r="B123" s="255" t="str">
        <f t="shared" ca="1" si="23"/>
        <v/>
      </c>
      <c r="C123" s="256" t="str">
        <f t="shared" ca="1" si="24"/>
        <v/>
      </c>
      <c r="D123" s="257" t="str">
        <f t="shared" ca="1" si="18"/>
        <v/>
      </c>
      <c r="F123" s="257" t="str">
        <f t="shared" ca="1" si="19"/>
        <v/>
      </c>
      <c r="G123" s="257" t="str">
        <f t="shared" ca="1" si="20"/>
        <v/>
      </c>
      <c r="H123" s="257" t="str">
        <f t="shared" ca="1" si="21"/>
        <v/>
      </c>
      <c r="I123" s="220" t="e">
        <f t="shared" ca="1" si="22"/>
        <v>#VALUE!</v>
      </c>
      <c r="K123" s="260" t="e">
        <f t="shared" ca="1" si="17"/>
        <v>#VALUE!</v>
      </c>
    </row>
    <row r="124" spans="1:11" x14ac:dyDescent="0.25">
      <c r="A124" s="254" t="str">
        <f t="shared" ca="1" si="25"/>
        <v/>
      </c>
      <c r="B124" s="255" t="str">
        <f t="shared" ca="1" si="23"/>
        <v/>
      </c>
      <c r="C124" s="256" t="str">
        <f t="shared" ca="1" si="24"/>
        <v/>
      </c>
      <c r="D124" s="257" t="str">
        <f t="shared" ca="1" si="18"/>
        <v/>
      </c>
      <c r="F124" s="257" t="str">
        <f t="shared" ca="1" si="19"/>
        <v/>
      </c>
      <c r="G124" s="257" t="str">
        <f t="shared" ca="1" si="20"/>
        <v/>
      </c>
      <c r="H124" s="257" t="str">
        <f t="shared" ca="1" si="21"/>
        <v/>
      </c>
      <c r="I124" s="220" t="e">
        <f t="shared" ca="1" si="22"/>
        <v>#VALUE!</v>
      </c>
      <c r="K124" s="260" t="e">
        <f t="shared" ca="1" si="17"/>
        <v>#VALUE!</v>
      </c>
    </row>
    <row r="125" spans="1:11" x14ac:dyDescent="0.25">
      <c r="A125" s="254" t="str">
        <f t="shared" ca="1" si="25"/>
        <v/>
      </c>
      <c r="B125" s="255" t="str">
        <f t="shared" ca="1" si="23"/>
        <v/>
      </c>
      <c r="C125" s="256" t="str">
        <f t="shared" ca="1" si="24"/>
        <v/>
      </c>
      <c r="D125" s="257" t="str">
        <f t="shared" ca="1" si="18"/>
        <v/>
      </c>
      <c r="F125" s="257" t="str">
        <f t="shared" ca="1" si="19"/>
        <v/>
      </c>
      <c r="G125" s="257" t="str">
        <f t="shared" ca="1" si="20"/>
        <v/>
      </c>
      <c r="H125" s="257" t="str">
        <f t="shared" ca="1" si="21"/>
        <v/>
      </c>
      <c r="I125" s="220" t="e">
        <f t="shared" ca="1" si="22"/>
        <v>#VALUE!</v>
      </c>
      <c r="K125" s="260" t="e">
        <f t="shared" ca="1" si="17"/>
        <v>#VALUE!</v>
      </c>
    </row>
    <row r="126" spans="1:11" x14ac:dyDescent="0.25">
      <c r="A126" s="254" t="str">
        <f t="shared" ca="1" si="25"/>
        <v/>
      </c>
      <c r="B126" s="255" t="str">
        <f t="shared" ca="1" si="23"/>
        <v/>
      </c>
      <c r="C126" s="256" t="str">
        <f t="shared" ca="1" si="24"/>
        <v/>
      </c>
      <c r="D126" s="257" t="str">
        <f t="shared" ca="1" si="18"/>
        <v/>
      </c>
      <c r="F126" s="257" t="str">
        <f t="shared" ca="1" si="19"/>
        <v/>
      </c>
      <c r="G126" s="257" t="str">
        <f t="shared" ca="1" si="20"/>
        <v/>
      </c>
      <c r="H126" s="257" t="str">
        <f t="shared" ca="1" si="21"/>
        <v/>
      </c>
      <c r="I126" s="220" t="e">
        <f t="shared" ca="1" si="22"/>
        <v>#VALUE!</v>
      </c>
      <c r="K126" s="260" t="e">
        <f t="shared" ca="1" si="17"/>
        <v>#VALUE!</v>
      </c>
    </row>
    <row r="127" spans="1:11" x14ac:dyDescent="0.25">
      <c r="A127" s="254" t="str">
        <f t="shared" ca="1" si="25"/>
        <v/>
      </c>
      <c r="B127" s="255" t="str">
        <f t="shared" ca="1" si="23"/>
        <v/>
      </c>
      <c r="C127" s="256" t="str">
        <f t="shared" ca="1" si="24"/>
        <v/>
      </c>
      <c r="D127" s="257" t="str">
        <f t="shared" ca="1" si="18"/>
        <v/>
      </c>
      <c r="F127" s="257" t="str">
        <f t="shared" ca="1" si="19"/>
        <v/>
      </c>
      <c r="G127" s="257" t="str">
        <f t="shared" ca="1" si="20"/>
        <v/>
      </c>
      <c r="H127" s="257" t="str">
        <f t="shared" ca="1" si="21"/>
        <v/>
      </c>
      <c r="I127" s="220" t="e">
        <f t="shared" ca="1" si="22"/>
        <v>#VALUE!</v>
      </c>
      <c r="K127" s="260" t="e">
        <f t="shared" ca="1" si="17"/>
        <v>#VALUE!</v>
      </c>
    </row>
    <row r="128" spans="1:11" x14ac:dyDescent="0.25">
      <c r="A128" s="254" t="str">
        <f t="shared" ca="1" si="25"/>
        <v/>
      </c>
      <c r="B128" s="255" t="str">
        <f t="shared" ca="1" si="23"/>
        <v/>
      </c>
      <c r="C128" s="256" t="str">
        <f t="shared" ca="1" si="24"/>
        <v/>
      </c>
      <c r="D128" s="257" t="str">
        <f t="shared" ca="1" si="18"/>
        <v/>
      </c>
      <c r="F128" s="257" t="str">
        <f t="shared" ca="1" si="19"/>
        <v/>
      </c>
      <c r="G128" s="257" t="str">
        <f t="shared" ca="1" si="20"/>
        <v/>
      </c>
      <c r="H128" s="257" t="str">
        <f t="shared" ca="1" si="21"/>
        <v/>
      </c>
      <c r="I128" s="220" t="e">
        <f t="shared" ca="1" si="22"/>
        <v>#VALUE!</v>
      </c>
      <c r="K128" s="260" t="e">
        <f t="shared" ref="K128:K138" ca="1" si="26">HLOOKUP(I128,$L$18:$W$24,7,0)/12</f>
        <v>#VALUE!</v>
      </c>
    </row>
    <row r="129" spans="1:11" x14ac:dyDescent="0.25">
      <c r="A129" s="254" t="str">
        <f t="shared" ca="1" si="25"/>
        <v/>
      </c>
      <c r="B129" s="255" t="str">
        <f t="shared" ca="1" si="23"/>
        <v/>
      </c>
      <c r="C129" s="256" t="str">
        <f t="shared" ca="1" si="24"/>
        <v/>
      </c>
      <c r="D129" s="257" t="str">
        <f t="shared" ca="1" si="18"/>
        <v/>
      </c>
      <c r="F129" s="257" t="str">
        <f t="shared" ca="1" si="19"/>
        <v/>
      </c>
      <c r="G129" s="257" t="str">
        <f t="shared" ca="1" si="20"/>
        <v/>
      </c>
      <c r="H129" s="257" t="str">
        <f t="shared" ca="1" si="21"/>
        <v/>
      </c>
      <c r="I129" s="220" t="e">
        <f t="shared" ca="1" si="22"/>
        <v>#VALUE!</v>
      </c>
      <c r="K129" s="260" t="e">
        <f t="shared" ca="1" si="26"/>
        <v>#VALUE!</v>
      </c>
    </row>
    <row r="130" spans="1:11" x14ac:dyDescent="0.25">
      <c r="A130" s="254" t="str">
        <f t="shared" ca="1" si="25"/>
        <v/>
      </c>
      <c r="B130" s="255" t="str">
        <f t="shared" ca="1" si="23"/>
        <v/>
      </c>
      <c r="C130" s="256" t="str">
        <f t="shared" ca="1" si="24"/>
        <v/>
      </c>
      <c r="D130" s="257" t="str">
        <f t="shared" ca="1" si="18"/>
        <v/>
      </c>
      <c r="F130" s="257" t="str">
        <f t="shared" ca="1" si="19"/>
        <v/>
      </c>
      <c r="G130" s="257" t="str">
        <f t="shared" ca="1" si="20"/>
        <v/>
      </c>
      <c r="H130" s="257" t="str">
        <f t="shared" ca="1" si="21"/>
        <v/>
      </c>
      <c r="I130" s="220" t="e">
        <f t="shared" ca="1" si="22"/>
        <v>#VALUE!</v>
      </c>
      <c r="K130" s="260" t="e">
        <f t="shared" ca="1" si="26"/>
        <v>#VALUE!</v>
      </c>
    </row>
    <row r="131" spans="1:11" x14ac:dyDescent="0.25">
      <c r="A131" s="254" t="str">
        <f t="shared" ca="1" si="25"/>
        <v/>
      </c>
      <c r="B131" s="255" t="str">
        <f t="shared" ca="1" si="23"/>
        <v/>
      </c>
      <c r="C131" s="256" t="str">
        <f t="shared" ca="1" si="24"/>
        <v/>
      </c>
      <c r="D131" s="257" t="str">
        <f t="shared" ca="1" si="18"/>
        <v/>
      </c>
      <c r="F131" s="257" t="str">
        <f t="shared" ca="1" si="19"/>
        <v/>
      </c>
      <c r="G131" s="257" t="str">
        <f t="shared" ca="1" si="20"/>
        <v/>
      </c>
      <c r="H131" s="257" t="str">
        <f t="shared" ca="1" si="21"/>
        <v/>
      </c>
      <c r="I131" s="220" t="e">
        <f t="shared" ca="1" si="22"/>
        <v>#VALUE!</v>
      </c>
      <c r="K131" s="260" t="e">
        <f t="shared" ca="1" si="26"/>
        <v>#VALUE!</v>
      </c>
    </row>
    <row r="132" spans="1:11" x14ac:dyDescent="0.25">
      <c r="A132" s="254" t="str">
        <f t="shared" ca="1" si="25"/>
        <v/>
      </c>
      <c r="B132" s="255" t="str">
        <f t="shared" ca="1" si="23"/>
        <v/>
      </c>
      <c r="C132" s="256" t="str">
        <f t="shared" ca="1" si="24"/>
        <v/>
      </c>
      <c r="D132" s="257" t="str">
        <f t="shared" ca="1" si="18"/>
        <v/>
      </c>
      <c r="F132" s="257" t="str">
        <f t="shared" ca="1" si="19"/>
        <v/>
      </c>
      <c r="G132" s="257" t="str">
        <f t="shared" ca="1" si="20"/>
        <v/>
      </c>
      <c r="H132" s="257" t="str">
        <f t="shared" ca="1" si="21"/>
        <v/>
      </c>
      <c r="I132" s="220" t="e">
        <f t="shared" ca="1" si="22"/>
        <v>#VALUE!</v>
      </c>
      <c r="K132" s="260" t="e">
        <f t="shared" ca="1" si="26"/>
        <v>#VALUE!</v>
      </c>
    </row>
    <row r="133" spans="1:11" x14ac:dyDescent="0.25">
      <c r="A133" s="254" t="str">
        <f t="shared" ca="1" si="25"/>
        <v/>
      </c>
      <c r="B133" s="255" t="str">
        <f t="shared" ca="1" si="23"/>
        <v/>
      </c>
      <c r="C133" s="256" t="str">
        <f t="shared" ca="1" si="24"/>
        <v/>
      </c>
      <c r="D133" s="257" t="str">
        <f t="shared" ca="1" si="18"/>
        <v/>
      </c>
      <c r="F133" s="257" t="str">
        <f t="shared" ca="1" si="19"/>
        <v/>
      </c>
      <c r="G133" s="257" t="str">
        <f t="shared" ca="1" si="20"/>
        <v/>
      </c>
      <c r="H133" s="257" t="str">
        <f t="shared" ca="1" si="21"/>
        <v/>
      </c>
      <c r="I133" s="220" t="e">
        <f t="shared" ca="1" si="22"/>
        <v>#VALUE!</v>
      </c>
      <c r="K133" s="260" t="e">
        <f t="shared" ca="1" si="26"/>
        <v>#VALUE!</v>
      </c>
    </row>
    <row r="134" spans="1:11" x14ac:dyDescent="0.25">
      <c r="A134" s="254" t="str">
        <f t="shared" ca="1" si="25"/>
        <v/>
      </c>
      <c r="B134" s="255" t="str">
        <f t="shared" ca="1" si="23"/>
        <v/>
      </c>
      <c r="C134" s="256" t="str">
        <f t="shared" ca="1" si="24"/>
        <v/>
      </c>
      <c r="D134" s="257" t="str">
        <f t="shared" ca="1" si="18"/>
        <v/>
      </c>
      <c r="F134" s="257" t="str">
        <f t="shared" ca="1" si="19"/>
        <v/>
      </c>
      <c r="G134" s="257" t="str">
        <f t="shared" ca="1" si="20"/>
        <v/>
      </c>
      <c r="H134" s="257" t="str">
        <f t="shared" ca="1" si="21"/>
        <v/>
      </c>
      <c r="I134" s="220" t="e">
        <f t="shared" ca="1" si="22"/>
        <v>#VALUE!</v>
      </c>
      <c r="K134" s="260" t="e">
        <f t="shared" ca="1" si="26"/>
        <v>#VALUE!</v>
      </c>
    </row>
    <row r="135" spans="1:11" x14ac:dyDescent="0.25">
      <c r="A135" s="254" t="str">
        <f t="shared" ca="1" si="25"/>
        <v/>
      </c>
      <c r="B135" s="255" t="str">
        <f t="shared" ca="1" si="23"/>
        <v/>
      </c>
      <c r="C135" s="256" t="str">
        <f t="shared" ca="1" si="24"/>
        <v/>
      </c>
      <c r="D135" s="257" t="str">
        <f t="shared" ca="1" si="18"/>
        <v/>
      </c>
      <c r="F135" s="257" t="str">
        <f t="shared" ca="1" si="19"/>
        <v/>
      </c>
      <c r="G135" s="257" t="str">
        <f t="shared" ca="1" si="20"/>
        <v/>
      </c>
      <c r="H135" s="257" t="str">
        <f t="shared" ca="1" si="21"/>
        <v/>
      </c>
      <c r="I135" s="220" t="e">
        <f t="shared" ca="1" si="22"/>
        <v>#VALUE!</v>
      </c>
      <c r="K135" s="260" t="e">
        <f t="shared" ca="1" si="26"/>
        <v>#VALUE!</v>
      </c>
    </row>
    <row r="136" spans="1:11" x14ac:dyDescent="0.25">
      <c r="A136" s="254" t="str">
        <f t="shared" ca="1" si="25"/>
        <v/>
      </c>
      <c r="B136" s="255" t="str">
        <f t="shared" ca="1" si="23"/>
        <v/>
      </c>
      <c r="C136" s="256" t="str">
        <f t="shared" ca="1" si="24"/>
        <v/>
      </c>
      <c r="D136" s="257" t="str">
        <f t="shared" ca="1" si="18"/>
        <v/>
      </c>
      <c r="F136" s="257" t="str">
        <f t="shared" ca="1" si="19"/>
        <v/>
      </c>
      <c r="G136" s="257" t="str">
        <f t="shared" ca="1" si="20"/>
        <v/>
      </c>
      <c r="H136" s="257" t="str">
        <f t="shared" ca="1" si="21"/>
        <v/>
      </c>
      <c r="I136" s="220" t="e">
        <f t="shared" ca="1" si="22"/>
        <v>#VALUE!</v>
      </c>
      <c r="K136" s="260" t="e">
        <f t="shared" ca="1" si="26"/>
        <v>#VALUE!</v>
      </c>
    </row>
    <row r="137" spans="1:11" x14ac:dyDescent="0.25">
      <c r="A137" s="254" t="str">
        <f t="shared" ca="1" si="25"/>
        <v/>
      </c>
      <c r="B137" s="255" t="str">
        <f t="shared" ca="1" si="23"/>
        <v/>
      </c>
      <c r="C137" s="256" t="str">
        <f t="shared" ca="1" si="24"/>
        <v/>
      </c>
      <c r="D137" s="257" t="str">
        <f t="shared" ca="1" si="18"/>
        <v/>
      </c>
      <c r="F137" s="257" t="str">
        <f t="shared" ca="1" si="19"/>
        <v/>
      </c>
      <c r="G137" s="257" t="str">
        <f t="shared" ca="1" si="20"/>
        <v/>
      </c>
      <c r="H137" s="257" t="str">
        <f t="shared" ca="1" si="21"/>
        <v/>
      </c>
      <c r="I137" s="220" t="e">
        <f t="shared" ca="1" si="22"/>
        <v>#VALUE!</v>
      </c>
      <c r="K137" s="260" t="e">
        <f t="shared" ca="1" si="26"/>
        <v>#VALUE!</v>
      </c>
    </row>
    <row r="138" spans="1:11" x14ac:dyDescent="0.25">
      <c r="A138" s="254" t="str">
        <f t="shared" ca="1" si="25"/>
        <v/>
      </c>
      <c r="B138" s="255" t="str">
        <f t="shared" ca="1" si="23"/>
        <v/>
      </c>
      <c r="C138" s="256" t="str">
        <f t="shared" ca="1" si="24"/>
        <v/>
      </c>
      <c r="D138" s="257" t="str">
        <f t="shared" ca="1" si="18"/>
        <v/>
      </c>
      <c r="F138" s="257" t="str">
        <f t="shared" ca="1" si="19"/>
        <v/>
      </c>
      <c r="G138" s="257" t="str">
        <f t="shared" ca="1" si="20"/>
        <v/>
      </c>
      <c r="H138" s="257" t="str">
        <f t="shared" ca="1" si="21"/>
        <v/>
      </c>
      <c r="I138" s="220" t="e">
        <f t="shared" ca="1" si="22"/>
        <v>#VALUE!</v>
      </c>
      <c r="K138" s="260" t="e">
        <f t="shared" ca="1" si="26"/>
        <v>#VALUE!</v>
      </c>
    </row>
    <row r="139" spans="1:11" x14ac:dyDescent="0.25">
      <c r="A139" s="254" t="str">
        <f t="shared" ca="1" si="25"/>
        <v/>
      </c>
      <c r="B139" s="255"/>
      <c r="C139" s="256"/>
      <c r="D139" s="257" t="str">
        <f t="shared" si="18"/>
        <v/>
      </c>
      <c r="F139" s="257" t="str">
        <f t="shared" si="19"/>
        <v/>
      </c>
      <c r="G139" s="257" t="str">
        <f t="shared" si="20"/>
        <v/>
      </c>
      <c r="H139" s="257" t="str">
        <f t="shared" si="21"/>
        <v/>
      </c>
    </row>
    <row r="140" spans="1:11" x14ac:dyDescent="0.25">
      <c r="A140" s="254" t="str">
        <f t="shared" ca="1" si="25"/>
        <v/>
      </c>
      <c r="B140" s="255"/>
      <c r="C140" s="256"/>
      <c r="D140" s="257" t="str">
        <f t="shared" si="18"/>
        <v/>
      </c>
      <c r="F140" s="257" t="str">
        <f t="shared" si="19"/>
        <v/>
      </c>
      <c r="G140" s="257" t="str">
        <f t="shared" si="20"/>
        <v/>
      </c>
      <c r="H140" s="257" t="str">
        <f t="shared" si="21"/>
        <v/>
      </c>
    </row>
    <row r="141" spans="1:11" x14ac:dyDescent="0.25">
      <c r="A141" s="254" t="str">
        <f t="shared" ca="1" si="25"/>
        <v/>
      </c>
      <c r="B141" s="255"/>
      <c r="C141" s="256"/>
      <c r="D141" s="257" t="str">
        <f t="shared" si="18"/>
        <v/>
      </c>
      <c r="F141" s="257" t="str">
        <f t="shared" si="19"/>
        <v/>
      </c>
      <c r="G141" s="257" t="str">
        <f t="shared" si="20"/>
        <v/>
      </c>
      <c r="H141" s="257" t="str">
        <f t="shared" si="21"/>
        <v/>
      </c>
    </row>
    <row r="142" spans="1:11" x14ac:dyDescent="0.25">
      <c r="A142" s="254" t="str">
        <f t="shared" ca="1" si="25"/>
        <v/>
      </c>
      <c r="B142" s="255"/>
      <c r="C142" s="256"/>
      <c r="D142" s="257" t="str">
        <f t="shared" si="18"/>
        <v/>
      </c>
      <c r="F142" s="257" t="str">
        <f t="shared" si="19"/>
        <v/>
      </c>
      <c r="G142" s="257" t="str">
        <f t="shared" si="20"/>
        <v/>
      </c>
      <c r="H142" s="257" t="str">
        <f t="shared" si="21"/>
        <v/>
      </c>
    </row>
    <row r="143" spans="1:11" x14ac:dyDescent="0.25">
      <c r="A143" s="254" t="str">
        <f t="shared" ca="1" si="25"/>
        <v/>
      </c>
      <c r="B143" s="255"/>
      <c r="C143" s="256"/>
      <c r="D143" s="257" t="str">
        <f t="shared" si="18"/>
        <v/>
      </c>
      <c r="F143" s="257" t="str">
        <f t="shared" si="19"/>
        <v/>
      </c>
      <c r="G143" s="257" t="str">
        <f t="shared" si="20"/>
        <v/>
      </c>
      <c r="H143" s="257" t="str">
        <f t="shared" si="21"/>
        <v/>
      </c>
    </row>
    <row r="144" spans="1:11" x14ac:dyDescent="0.25">
      <c r="A144" s="254" t="str">
        <f t="shared" ca="1" si="25"/>
        <v/>
      </c>
      <c r="B144" s="255"/>
      <c r="C144" s="256"/>
      <c r="D144" s="257" t="str">
        <f t="shared" si="18"/>
        <v/>
      </c>
      <c r="F144" s="257" t="str">
        <f t="shared" si="19"/>
        <v/>
      </c>
      <c r="G144" s="257" t="str">
        <f t="shared" si="20"/>
        <v/>
      </c>
      <c r="H144" s="257" t="str">
        <f t="shared" si="21"/>
        <v/>
      </c>
    </row>
    <row r="145" spans="1:8" x14ac:dyDescent="0.25">
      <c r="A145" s="254" t="str">
        <f t="shared" ca="1" si="25"/>
        <v/>
      </c>
      <c r="B145" s="255"/>
      <c r="C145" s="256"/>
      <c r="D145" s="257" t="str">
        <f t="shared" si="18"/>
        <v/>
      </c>
      <c r="F145" s="257" t="str">
        <f t="shared" si="19"/>
        <v/>
      </c>
      <c r="G145" s="257" t="str">
        <f t="shared" si="20"/>
        <v/>
      </c>
      <c r="H145" s="257" t="str">
        <f t="shared" si="21"/>
        <v/>
      </c>
    </row>
    <row r="146" spans="1:8" x14ac:dyDescent="0.25">
      <c r="A146" s="254" t="str">
        <f t="shared" ca="1" si="25"/>
        <v/>
      </c>
      <c r="B146" s="255"/>
      <c r="C146" s="256"/>
      <c r="D146" s="257" t="str">
        <f t="shared" si="18"/>
        <v/>
      </c>
      <c r="F146" s="257" t="str">
        <f t="shared" si="19"/>
        <v/>
      </c>
      <c r="G146" s="257" t="str">
        <f t="shared" si="20"/>
        <v/>
      </c>
      <c r="H146" s="257" t="str">
        <f t="shared" si="21"/>
        <v/>
      </c>
    </row>
    <row r="147" spans="1:8" x14ac:dyDescent="0.25">
      <c r="A147" s="254" t="str">
        <f t="shared" ca="1" si="25"/>
        <v/>
      </c>
      <c r="B147" s="255"/>
      <c r="C147" s="256"/>
      <c r="D147" s="257" t="str">
        <f t="shared" ref="D147:D210" si="27">IF(B147="","",ROUND((B147-B146)*$H$9*G146,2))</f>
        <v/>
      </c>
      <c r="F147" s="257" t="str">
        <f t="shared" ref="F147:F210" si="28">IF(B147="","",IF(C147&gt;F146+D147,0,F146+D147-C147))</f>
        <v/>
      </c>
      <c r="G147" s="257" t="str">
        <f t="shared" ref="G147:G210" si="29">IF(B147="","",IF(C147&gt;D147+F146,G146+F146+D147-C147,G146))</f>
        <v/>
      </c>
      <c r="H147" s="257" t="str">
        <f t="shared" ref="H147:H210" si="30">IF(B147="","",G147+F147)</f>
        <v/>
      </c>
    </row>
    <row r="148" spans="1:8" x14ac:dyDescent="0.25">
      <c r="A148" s="254" t="str">
        <f t="shared" ca="1" si="25"/>
        <v/>
      </c>
      <c r="B148" s="255"/>
      <c r="C148" s="256"/>
      <c r="D148" s="257" t="str">
        <f t="shared" si="27"/>
        <v/>
      </c>
      <c r="F148" s="257" t="str">
        <f t="shared" si="28"/>
        <v/>
      </c>
      <c r="G148" s="257" t="str">
        <f t="shared" si="29"/>
        <v/>
      </c>
      <c r="H148" s="257" t="str">
        <f t="shared" si="30"/>
        <v/>
      </c>
    </row>
    <row r="149" spans="1:8" x14ac:dyDescent="0.25">
      <c r="A149" s="254" t="str">
        <f t="shared" ca="1" si="25"/>
        <v/>
      </c>
      <c r="B149" s="255"/>
      <c r="C149" s="256"/>
      <c r="D149" s="257" t="str">
        <f t="shared" si="27"/>
        <v/>
      </c>
      <c r="F149" s="257" t="str">
        <f t="shared" si="28"/>
        <v/>
      </c>
      <c r="G149" s="257" t="str">
        <f t="shared" si="29"/>
        <v/>
      </c>
      <c r="H149" s="257" t="str">
        <f t="shared" si="30"/>
        <v/>
      </c>
    </row>
    <row r="150" spans="1:8" x14ac:dyDescent="0.25">
      <c r="A150" s="254" t="str">
        <f t="shared" ca="1" si="25"/>
        <v/>
      </c>
      <c r="B150" s="255"/>
      <c r="C150" s="256"/>
      <c r="D150" s="257" t="str">
        <f t="shared" si="27"/>
        <v/>
      </c>
      <c r="F150" s="257" t="str">
        <f t="shared" si="28"/>
        <v/>
      </c>
      <c r="G150" s="257" t="str">
        <f t="shared" si="29"/>
        <v/>
      </c>
      <c r="H150" s="257" t="str">
        <f t="shared" si="30"/>
        <v/>
      </c>
    </row>
    <row r="151" spans="1:8" x14ac:dyDescent="0.25">
      <c r="A151" s="254" t="str">
        <f t="shared" ca="1" si="25"/>
        <v/>
      </c>
      <c r="B151" s="255"/>
      <c r="C151" s="256"/>
      <c r="D151" s="257" t="str">
        <f t="shared" si="27"/>
        <v/>
      </c>
      <c r="F151" s="257" t="str">
        <f t="shared" si="28"/>
        <v/>
      </c>
      <c r="G151" s="257" t="str">
        <f t="shared" si="29"/>
        <v/>
      </c>
      <c r="H151" s="257" t="str">
        <f t="shared" si="30"/>
        <v/>
      </c>
    </row>
    <row r="152" spans="1:8" x14ac:dyDescent="0.25">
      <c r="A152" s="254" t="str">
        <f t="shared" ca="1" si="25"/>
        <v/>
      </c>
      <c r="B152" s="255"/>
      <c r="C152" s="256"/>
      <c r="D152" s="257" t="str">
        <f t="shared" si="27"/>
        <v/>
      </c>
      <c r="F152" s="257" t="str">
        <f t="shared" si="28"/>
        <v/>
      </c>
      <c r="G152" s="257" t="str">
        <f t="shared" si="29"/>
        <v/>
      </c>
      <c r="H152" s="257" t="str">
        <f t="shared" si="30"/>
        <v/>
      </c>
    </row>
    <row r="153" spans="1:8" x14ac:dyDescent="0.25">
      <c r="A153" s="254" t="str">
        <f t="shared" ca="1" si="25"/>
        <v/>
      </c>
      <c r="B153" s="255"/>
      <c r="C153" s="256"/>
      <c r="D153" s="257" t="str">
        <f t="shared" si="27"/>
        <v/>
      </c>
      <c r="F153" s="257" t="str">
        <f t="shared" si="28"/>
        <v/>
      </c>
      <c r="G153" s="257" t="str">
        <f t="shared" si="29"/>
        <v/>
      </c>
      <c r="H153" s="257" t="str">
        <f t="shared" si="30"/>
        <v/>
      </c>
    </row>
    <row r="154" spans="1:8" x14ac:dyDescent="0.25">
      <c r="A154" s="254" t="str">
        <f t="shared" ca="1" si="25"/>
        <v/>
      </c>
      <c r="B154" s="255"/>
      <c r="C154" s="256"/>
      <c r="D154" s="257" t="str">
        <f t="shared" si="27"/>
        <v/>
      </c>
      <c r="F154" s="257" t="str">
        <f t="shared" si="28"/>
        <v/>
      </c>
      <c r="G154" s="257" t="str">
        <f t="shared" si="29"/>
        <v/>
      </c>
      <c r="H154" s="257" t="str">
        <f t="shared" si="30"/>
        <v/>
      </c>
    </row>
    <row r="155" spans="1:8" x14ac:dyDescent="0.25">
      <c r="A155" s="254" t="str">
        <f t="shared" ca="1" si="25"/>
        <v/>
      </c>
      <c r="B155" s="255"/>
      <c r="C155" s="256"/>
      <c r="D155" s="257" t="str">
        <f t="shared" si="27"/>
        <v/>
      </c>
      <c r="F155" s="257" t="str">
        <f t="shared" si="28"/>
        <v/>
      </c>
      <c r="G155" s="257" t="str">
        <f t="shared" si="29"/>
        <v/>
      </c>
      <c r="H155" s="257" t="str">
        <f t="shared" si="30"/>
        <v/>
      </c>
    </row>
    <row r="156" spans="1:8" x14ac:dyDescent="0.25">
      <c r="A156" s="254" t="str">
        <f t="shared" ca="1" si="25"/>
        <v/>
      </c>
      <c r="B156" s="255"/>
      <c r="C156" s="256"/>
      <c r="D156" s="257" t="str">
        <f t="shared" si="27"/>
        <v/>
      </c>
      <c r="F156" s="257" t="str">
        <f t="shared" si="28"/>
        <v/>
      </c>
      <c r="G156" s="257" t="str">
        <f t="shared" si="29"/>
        <v/>
      </c>
      <c r="H156" s="257" t="str">
        <f t="shared" si="30"/>
        <v/>
      </c>
    </row>
    <row r="157" spans="1:8" x14ac:dyDescent="0.25">
      <c r="A157" s="254" t="str">
        <f t="shared" ca="1" si="25"/>
        <v/>
      </c>
      <c r="B157" s="255"/>
      <c r="C157" s="256"/>
      <c r="D157" s="257" t="str">
        <f t="shared" si="27"/>
        <v/>
      </c>
      <c r="F157" s="257" t="str">
        <f t="shared" si="28"/>
        <v/>
      </c>
      <c r="G157" s="257" t="str">
        <f t="shared" si="29"/>
        <v/>
      </c>
      <c r="H157" s="257" t="str">
        <f t="shared" si="30"/>
        <v/>
      </c>
    </row>
    <row r="158" spans="1:8" x14ac:dyDescent="0.25">
      <c r="A158" s="254" t="str">
        <f t="shared" ca="1" si="25"/>
        <v/>
      </c>
      <c r="B158" s="255"/>
      <c r="C158" s="256"/>
      <c r="D158" s="257" t="str">
        <f t="shared" si="27"/>
        <v/>
      </c>
      <c r="F158" s="257" t="str">
        <f t="shared" si="28"/>
        <v/>
      </c>
      <c r="G158" s="257" t="str">
        <f t="shared" si="29"/>
        <v/>
      </c>
      <c r="H158" s="257" t="str">
        <f t="shared" si="30"/>
        <v/>
      </c>
    </row>
    <row r="159" spans="1:8" x14ac:dyDescent="0.25">
      <c r="A159" s="254" t="str">
        <f t="shared" ca="1" si="25"/>
        <v/>
      </c>
      <c r="B159" s="255"/>
      <c r="C159" s="256"/>
      <c r="D159" s="257" t="str">
        <f t="shared" si="27"/>
        <v/>
      </c>
      <c r="F159" s="257" t="str">
        <f t="shared" si="28"/>
        <v/>
      </c>
      <c r="G159" s="257" t="str">
        <f t="shared" si="29"/>
        <v/>
      </c>
      <c r="H159" s="257" t="str">
        <f t="shared" si="30"/>
        <v/>
      </c>
    </row>
    <row r="160" spans="1:8" x14ac:dyDescent="0.25">
      <c r="A160" s="254" t="str">
        <f t="shared" ca="1" si="25"/>
        <v/>
      </c>
      <c r="B160" s="255"/>
      <c r="C160" s="256"/>
      <c r="D160" s="257" t="str">
        <f t="shared" si="27"/>
        <v/>
      </c>
      <c r="F160" s="257" t="str">
        <f t="shared" si="28"/>
        <v/>
      </c>
      <c r="G160" s="257" t="str">
        <f t="shared" si="29"/>
        <v/>
      </c>
      <c r="H160" s="257" t="str">
        <f t="shared" si="30"/>
        <v/>
      </c>
    </row>
    <row r="161" spans="1:8" x14ac:dyDescent="0.25">
      <c r="A161" s="254" t="str">
        <f t="shared" ca="1" si="25"/>
        <v/>
      </c>
      <c r="B161" s="255"/>
      <c r="C161" s="256"/>
      <c r="D161" s="257" t="str">
        <f t="shared" si="27"/>
        <v/>
      </c>
      <c r="F161" s="257" t="str">
        <f t="shared" si="28"/>
        <v/>
      </c>
      <c r="G161" s="257" t="str">
        <f t="shared" si="29"/>
        <v/>
      </c>
      <c r="H161" s="257" t="str">
        <f t="shared" si="30"/>
        <v/>
      </c>
    </row>
    <row r="162" spans="1:8" x14ac:dyDescent="0.25">
      <c r="A162" s="254" t="str">
        <f t="shared" ca="1" si="25"/>
        <v/>
      </c>
      <c r="B162" s="255"/>
      <c r="C162" s="256"/>
      <c r="D162" s="257" t="str">
        <f t="shared" si="27"/>
        <v/>
      </c>
      <c r="F162" s="257" t="str">
        <f t="shared" si="28"/>
        <v/>
      </c>
      <c r="G162" s="257" t="str">
        <f t="shared" si="29"/>
        <v/>
      </c>
      <c r="H162" s="257" t="str">
        <f t="shared" si="30"/>
        <v/>
      </c>
    </row>
    <row r="163" spans="1:8" x14ac:dyDescent="0.25">
      <c r="A163" s="254" t="str">
        <f t="shared" ca="1" si="25"/>
        <v/>
      </c>
      <c r="B163" s="255"/>
      <c r="C163" s="256"/>
      <c r="D163" s="257" t="str">
        <f t="shared" si="27"/>
        <v/>
      </c>
      <c r="F163" s="257" t="str">
        <f t="shared" si="28"/>
        <v/>
      </c>
      <c r="G163" s="257" t="str">
        <f t="shared" si="29"/>
        <v/>
      </c>
      <c r="H163" s="257" t="str">
        <f t="shared" si="30"/>
        <v/>
      </c>
    </row>
    <row r="164" spans="1:8" x14ac:dyDescent="0.25">
      <c r="A164" s="254" t="str">
        <f t="shared" ca="1" si="25"/>
        <v/>
      </c>
      <c r="B164" s="255"/>
      <c r="C164" s="256"/>
      <c r="D164" s="257" t="str">
        <f t="shared" si="27"/>
        <v/>
      </c>
      <c r="F164" s="257" t="str">
        <f t="shared" si="28"/>
        <v/>
      </c>
      <c r="G164" s="257" t="str">
        <f t="shared" si="29"/>
        <v/>
      </c>
      <c r="H164" s="257" t="str">
        <f t="shared" si="30"/>
        <v/>
      </c>
    </row>
    <row r="165" spans="1:8" x14ac:dyDescent="0.25">
      <c r="A165" s="254" t="str">
        <f t="shared" ca="1" si="25"/>
        <v/>
      </c>
      <c r="B165" s="255"/>
      <c r="C165" s="256"/>
      <c r="D165" s="257" t="str">
        <f t="shared" si="27"/>
        <v/>
      </c>
      <c r="F165" s="257" t="str">
        <f t="shared" si="28"/>
        <v/>
      </c>
      <c r="G165" s="257" t="str">
        <f t="shared" si="29"/>
        <v/>
      </c>
      <c r="H165" s="257" t="str">
        <f t="shared" si="30"/>
        <v/>
      </c>
    </row>
    <row r="166" spans="1:8" x14ac:dyDescent="0.25">
      <c r="A166" s="254" t="str">
        <f t="shared" ca="1" si="25"/>
        <v/>
      </c>
      <c r="B166" s="255"/>
      <c r="C166" s="256"/>
      <c r="D166" s="257" t="str">
        <f t="shared" si="27"/>
        <v/>
      </c>
      <c r="F166" s="257" t="str">
        <f t="shared" si="28"/>
        <v/>
      </c>
      <c r="G166" s="257" t="str">
        <f t="shared" si="29"/>
        <v/>
      </c>
      <c r="H166" s="257" t="str">
        <f t="shared" si="30"/>
        <v/>
      </c>
    </row>
    <row r="167" spans="1:8" x14ac:dyDescent="0.25">
      <c r="A167" s="254" t="str">
        <f t="shared" ca="1" si="25"/>
        <v/>
      </c>
      <c r="B167" s="255"/>
      <c r="C167" s="256"/>
      <c r="D167" s="257" t="str">
        <f t="shared" si="27"/>
        <v/>
      </c>
      <c r="F167" s="257" t="str">
        <f t="shared" si="28"/>
        <v/>
      </c>
      <c r="G167" s="257" t="str">
        <f t="shared" si="29"/>
        <v/>
      </c>
      <c r="H167" s="257" t="str">
        <f t="shared" si="30"/>
        <v/>
      </c>
    </row>
    <row r="168" spans="1:8" x14ac:dyDescent="0.25">
      <c r="A168" s="254" t="str">
        <f t="shared" ca="1" si="25"/>
        <v/>
      </c>
      <c r="B168" s="255"/>
      <c r="C168" s="256"/>
      <c r="D168" s="257" t="str">
        <f t="shared" si="27"/>
        <v/>
      </c>
      <c r="F168" s="257" t="str">
        <f t="shared" si="28"/>
        <v/>
      </c>
      <c r="G168" s="257" t="str">
        <f t="shared" si="29"/>
        <v/>
      </c>
      <c r="H168" s="257" t="str">
        <f t="shared" si="30"/>
        <v/>
      </c>
    </row>
    <row r="169" spans="1:8" x14ac:dyDescent="0.25">
      <c r="A169" s="254" t="str">
        <f t="shared" ref="A169:A232" ca="1" si="31">IF(OR(H168&lt;=0,H168=""),"",OFFSET(A169,-1,0,1,1)+1)</f>
        <v/>
      </c>
      <c r="B169" s="255"/>
      <c r="C169" s="256"/>
      <c r="D169" s="257" t="str">
        <f t="shared" si="27"/>
        <v/>
      </c>
      <c r="F169" s="257" t="str">
        <f t="shared" si="28"/>
        <v/>
      </c>
      <c r="G169" s="257" t="str">
        <f t="shared" si="29"/>
        <v/>
      </c>
      <c r="H169" s="257" t="str">
        <f t="shared" si="30"/>
        <v/>
      </c>
    </row>
    <row r="170" spans="1:8" x14ac:dyDescent="0.25">
      <c r="A170" s="254" t="str">
        <f t="shared" ca="1" si="31"/>
        <v/>
      </c>
      <c r="B170" s="255"/>
      <c r="C170" s="256"/>
      <c r="D170" s="257" t="str">
        <f t="shared" si="27"/>
        <v/>
      </c>
      <c r="F170" s="257" t="str">
        <f t="shared" si="28"/>
        <v/>
      </c>
      <c r="G170" s="257" t="str">
        <f t="shared" si="29"/>
        <v/>
      </c>
      <c r="H170" s="257" t="str">
        <f t="shared" si="30"/>
        <v/>
      </c>
    </row>
    <row r="171" spans="1:8" x14ac:dyDescent="0.25">
      <c r="A171" s="254" t="str">
        <f t="shared" ca="1" si="31"/>
        <v/>
      </c>
      <c r="B171" s="255"/>
      <c r="C171" s="256"/>
      <c r="D171" s="257" t="str">
        <f t="shared" si="27"/>
        <v/>
      </c>
      <c r="F171" s="257" t="str">
        <f t="shared" si="28"/>
        <v/>
      </c>
      <c r="G171" s="257" t="str">
        <f t="shared" si="29"/>
        <v/>
      </c>
      <c r="H171" s="257" t="str">
        <f t="shared" si="30"/>
        <v/>
      </c>
    </row>
    <row r="172" spans="1:8" x14ac:dyDescent="0.25">
      <c r="A172" s="254" t="str">
        <f t="shared" ca="1" si="31"/>
        <v/>
      </c>
      <c r="B172" s="255"/>
      <c r="C172" s="256"/>
      <c r="D172" s="257" t="str">
        <f t="shared" si="27"/>
        <v/>
      </c>
      <c r="F172" s="257" t="str">
        <f t="shared" si="28"/>
        <v/>
      </c>
      <c r="G172" s="257" t="str">
        <f t="shared" si="29"/>
        <v/>
      </c>
      <c r="H172" s="257" t="str">
        <f t="shared" si="30"/>
        <v/>
      </c>
    </row>
    <row r="173" spans="1:8" x14ac:dyDescent="0.25">
      <c r="A173" s="254" t="str">
        <f t="shared" ca="1" si="31"/>
        <v/>
      </c>
      <c r="B173" s="255"/>
      <c r="C173" s="256"/>
      <c r="D173" s="257" t="str">
        <f t="shared" si="27"/>
        <v/>
      </c>
      <c r="F173" s="257" t="str">
        <f t="shared" si="28"/>
        <v/>
      </c>
      <c r="G173" s="257" t="str">
        <f t="shared" si="29"/>
        <v/>
      </c>
      <c r="H173" s="257" t="str">
        <f t="shared" si="30"/>
        <v/>
      </c>
    </row>
    <row r="174" spans="1:8" x14ac:dyDescent="0.25">
      <c r="A174" s="254" t="str">
        <f t="shared" ca="1" si="31"/>
        <v/>
      </c>
      <c r="B174" s="255"/>
      <c r="C174" s="256"/>
      <c r="D174" s="257" t="str">
        <f t="shared" si="27"/>
        <v/>
      </c>
      <c r="F174" s="257" t="str">
        <f t="shared" si="28"/>
        <v/>
      </c>
      <c r="G174" s="257" t="str">
        <f t="shared" si="29"/>
        <v/>
      </c>
      <c r="H174" s="257" t="str">
        <f t="shared" si="30"/>
        <v/>
      </c>
    </row>
    <row r="175" spans="1:8" x14ac:dyDescent="0.25">
      <c r="A175" s="254" t="str">
        <f t="shared" ca="1" si="31"/>
        <v/>
      </c>
      <c r="B175" s="255"/>
      <c r="C175" s="256"/>
      <c r="D175" s="257" t="str">
        <f t="shared" si="27"/>
        <v/>
      </c>
      <c r="F175" s="257" t="str">
        <f t="shared" si="28"/>
        <v/>
      </c>
      <c r="G175" s="257" t="str">
        <f t="shared" si="29"/>
        <v/>
      </c>
      <c r="H175" s="257" t="str">
        <f t="shared" si="30"/>
        <v/>
      </c>
    </row>
    <row r="176" spans="1:8" x14ac:dyDescent="0.25">
      <c r="A176" s="254" t="str">
        <f t="shared" ca="1" si="31"/>
        <v/>
      </c>
      <c r="B176" s="255"/>
      <c r="C176" s="256"/>
      <c r="D176" s="257" t="str">
        <f t="shared" si="27"/>
        <v/>
      </c>
      <c r="F176" s="257" t="str">
        <f t="shared" si="28"/>
        <v/>
      </c>
      <c r="G176" s="257" t="str">
        <f t="shared" si="29"/>
        <v/>
      </c>
      <c r="H176" s="257" t="str">
        <f t="shared" si="30"/>
        <v/>
      </c>
    </row>
    <row r="177" spans="1:8" x14ac:dyDescent="0.25">
      <c r="A177" s="254" t="str">
        <f t="shared" ca="1" si="31"/>
        <v/>
      </c>
      <c r="B177" s="255"/>
      <c r="C177" s="256"/>
      <c r="D177" s="257" t="str">
        <f t="shared" si="27"/>
        <v/>
      </c>
      <c r="F177" s="257" t="str">
        <f t="shared" si="28"/>
        <v/>
      </c>
      <c r="G177" s="257" t="str">
        <f t="shared" si="29"/>
        <v/>
      </c>
      <c r="H177" s="257" t="str">
        <f t="shared" si="30"/>
        <v/>
      </c>
    </row>
    <row r="178" spans="1:8" x14ac:dyDescent="0.25">
      <c r="A178" s="254" t="str">
        <f t="shared" ca="1" si="31"/>
        <v/>
      </c>
      <c r="B178" s="255"/>
      <c r="C178" s="256"/>
      <c r="D178" s="257" t="str">
        <f t="shared" si="27"/>
        <v/>
      </c>
      <c r="F178" s="257" t="str">
        <f t="shared" si="28"/>
        <v/>
      </c>
      <c r="G178" s="257" t="str">
        <f t="shared" si="29"/>
        <v/>
      </c>
      <c r="H178" s="257" t="str">
        <f t="shared" si="30"/>
        <v/>
      </c>
    </row>
    <row r="179" spans="1:8" x14ac:dyDescent="0.25">
      <c r="A179" s="254" t="str">
        <f t="shared" ca="1" si="31"/>
        <v/>
      </c>
      <c r="B179" s="255"/>
      <c r="C179" s="256"/>
      <c r="D179" s="257" t="str">
        <f t="shared" si="27"/>
        <v/>
      </c>
      <c r="F179" s="257" t="str">
        <f t="shared" si="28"/>
        <v/>
      </c>
      <c r="G179" s="257" t="str">
        <f t="shared" si="29"/>
        <v/>
      </c>
      <c r="H179" s="257" t="str">
        <f t="shared" si="30"/>
        <v/>
      </c>
    </row>
    <row r="180" spans="1:8" x14ac:dyDescent="0.25">
      <c r="A180" s="254" t="str">
        <f t="shared" ca="1" si="31"/>
        <v/>
      </c>
      <c r="B180" s="255"/>
      <c r="C180" s="256"/>
      <c r="D180" s="257" t="str">
        <f t="shared" si="27"/>
        <v/>
      </c>
      <c r="F180" s="257" t="str">
        <f t="shared" si="28"/>
        <v/>
      </c>
      <c r="G180" s="257" t="str">
        <f t="shared" si="29"/>
        <v/>
      </c>
      <c r="H180" s="257" t="str">
        <f t="shared" si="30"/>
        <v/>
      </c>
    </row>
    <row r="181" spans="1:8" x14ac:dyDescent="0.25">
      <c r="A181" s="254" t="str">
        <f t="shared" ca="1" si="31"/>
        <v/>
      </c>
      <c r="B181" s="255"/>
      <c r="C181" s="256"/>
      <c r="D181" s="257" t="str">
        <f t="shared" si="27"/>
        <v/>
      </c>
      <c r="F181" s="257" t="str">
        <f t="shared" si="28"/>
        <v/>
      </c>
      <c r="G181" s="257" t="str">
        <f t="shared" si="29"/>
        <v/>
      </c>
      <c r="H181" s="257" t="str">
        <f t="shared" si="30"/>
        <v/>
      </c>
    </row>
    <row r="182" spans="1:8" x14ac:dyDescent="0.25">
      <c r="A182" s="254" t="str">
        <f t="shared" ca="1" si="31"/>
        <v/>
      </c>
      <c r="B182" s="255"/>
      <c r="C182" s="256"/>
      <c r="D182" s="257" t="str">
        <f t="shared" si="27"/>
        <v/>
      </c>
      <c r="F182" s="257" t="str">
        <f t="shared" si="28"/>
        <v/>
      </c>
      <c r="G182" s="257" t="str">
        <f t="shared" si="29"/>
        <v/>
      </c>
      <c r="H182" s="257" t="str">
        <f t="shared" si="30"/>
        <v/>
      </c>
    </row>
    <row r="183" spans="1:8" x14ac:dyDescent="0.25">
      <c r="A183" s="254" t="str">
        <f t="shared" ca="1" si="31"/>
        <v/>
      </c>
      <c r="B183" s="255"/>
      <c r="C183" s="256"/>
      <c r="D183" s="257" t="str">
        <f t="shared" si="27"/>
        <v/>
      </c>
      <c r="F183" s="257" t="str">
        <f t="shared" si="28"/>
        <v/>
      </c>
      <c r="G183" s="257" t="str">
        <f t="shared" si="29"/>
        <v/>
      </c>
      <c r="H183" s="257" t="str">
        <f t="shared" si="30"/>
        <v/>
      </c>
    </row>
    <row r="184" spans="1:8" x14ac:dyDescent="0.25">
      <c r="A184" s="254" t="str">
        <f t="shared" ca="1" si="31"/>
        <v/>
      </c>
      <c r="B184" s="255"/>
      <c r="C184" s="256"/>
      <c r="D184" s="257" t="str">
        <f t="shared" si="27"/>
        <v/>
      </c>
      <c r="F184" s="257" t="str">
        <f t="shared" si="28"/>
        <v/>
      </c>
      <c r="G184" s="257" t="str">
        <f t="shared" si="29"/>
        <v/>
      </c>
      <c r="H184" s="257" t="str">
        <f t="shared" si="30"/>
        <v/>
      </c>
    </row>
    <row r="185" spans="1:8" x14ac:dyDescent="0.25">
      <c r="A185" s="254" t="str">
        <f t="shared" ca="1" si="31"/>
        <v/>
      </c>
      <c r="B185" s="255"/>
      <c r="C185" s="256"/>
      <c r="D185" s="257" t="str">
        <f t="shared" si="27"/>
        <v/>
      </c>
      <c r="F185" s="257" t="str">
        <f t="shared" si="28"/>
        <v/>
      </c>
      <c r="G185" s="257" t="str">
        <f t="shared" si="29"/>
        <v/>
      </c>
      <c r="H185" s="257" t="str">
        <f t="shared" si="30"/>
        <v/>
      </c>
    </row>
    <row r="186" spans="1:8" x14ac:dyDescent="0.25">
      <c r="A186" s="254" t="str">
        <f t="shared" ca="1" si="31"/>
        <v/>
      </c>
      <c r="B186" s="255"/>
      <c r="C186" s="256"/>
      <c r="D186" s="257" t="str">
        <f t="shared" si="27"/>
        <v/>
      </c>
      <c r="F186" s="257" t="str">
        <f t="shared" si="28"/>
        <v/>
      </c>
      <c r="G186" s="257" t="str">
        <f t="shared" si="29"/>
        <v/>
      </c>
      <c r="H186" s="257" t="str">
        <f t="shared" si="30"/>
        <v/>
      </c>
    </row>
    <row r="187" spans="1:8" x14ac:dyDescent="0.25">
      <c r="A187" s="254" t="str">
        <f t="shared" ca="1" si="31"/>
        <v/>
      </c>
      <c r="B187" s="255"/>
      <c r="C187" s="256"/>
      <c r="D187" s="257" t="str">
        <f t="shared" si="27"/>
        <v/>
      </c>
      <c r="F187" s="257" t="str">
        <f t="shared" si="28"/>
        <v/>
      </c>
      <c r="G187" s="257" t="str">
        <f t="shared" si="29"/>
        <v/>
      </c>
      <c r="H187" s="257" t="str">
        <f t="shared" si="30"/>
        <v/>
      </c>
    </row>
    <row r="188" spans="1:8" x14ac:dyDescent="0.25">
      <c r="A188" s="254" t="str">
        <f t="shared" ca="1" si="31"/>
        <v/>
      </c>
      <c r="B188" s="255"/>
      <c r="C188" s="256"/>
      <c r="D188" s="257" t="str">
        <f t="shared" si="27"/>
        <v/>
      </c>
      <c r="F188" s="257" t="str">
        <f t="shared" si="28"/>
        <v/>
      </c>
      <c r="G188" s="257" t="str">
        <f t="shared" si="29"/>
        <v/>
      </c>
      <c r="H188" s="257" t="str">
        <f t="shared" si="30"/>
        <v/>
      </c>
    </row>
    <row r="189" spans="1:8" x14ac:dyDescent="0.25">
      <c r="A189" s="254" t="str">
        <f t="shared" ca="1" si="31"/>
        <v/>
      </c>
      <c r="B189" s="255"/>
      <c r="C189" s="256"/>
      <c r="D189" s="257" t="str">
        <f t="shared" si="27"/>
        <v/>
      </c>
      <c r="F189" s="257" t="str">
        <f t="shared" si="28"/>
        <v/>
      </c>
      <c r="G189" s="257" t="str">
        <f t="shared" si="29"/>
        <v/>
      </c>
      <c r="H189" s="257" t="str">
        <f t="shared" si="30"/>
        <v/>
      </c>
    </row>
    <row r="190" spans="1:8" x14ac:dyDescent="0.25">
      <c r="A190" s="254" t="str">
        <f t="shared" ca="1" si="31"/>
        <v/>
      </c>
      <c r="B190" s="255"/>
      <c r="C190" s="256"/>
      <c r="D190" s="257" t="str">
        <f t="shared" si="27"/>
        <v/>
      </c>
      <c r="F190" s="257" t="str">
        <f t="shared" si="28"/>
        <v/>
      </c>
      <c r="G190" s="257" t="str">
        <f t="shared" si="29"/>
        <v/>
      </c>
      <c r="H190" s="257" t="str">
        <f t="shared" si="30"/>
        <v/>
      </c>
    </row>
    <row r="191" spans="1:8" x14ac:dyDescent="0.25">
      <c r="A191" s="254" t="str">
        <f t="shared" ca="1" si="31"/>
        <v/>
      </c>
      <c r="B191" s="255"/>
      <c r="C191" s="256"/>
      <c r="D191" s="257" t="str">
        <f t="shared" si="27"/>
        <v/>
      </c>
      <c r="F191" s="257" t="str">
        <f t="shared" si="28"/>
        <v/>
      </c>
      <c r="G191" s="257" t="str">
        <f t="shared" si="29"/>
        <v/>
      </c>
      <c r="H191" s="257" t="str">
        <f t="shared" si="30"/>
        <v/>
      </c>
    </row>
    <row r="192" spans="1:8" x14ac:dyDescent="0.25">
      <c r="A192" s="254" t="str">
        <f t="shared" ca="1" si="31"/>
        <v/>
      </c>
      <c r="B192" s="255"/>
      <c r="C192" s="256"/>
      <c r="D192" s="257" t="str">
        <f t="shared" si="27"/>
        <v/>
      </c>
      <c r="F192" s="257" t="str">
        <f t="shared" si="28"/>
        <v/>
      </c>
      <c r="G192" s="257" t="str">
        <f t="shared" si="29"/>
        <v/>
      </c>
      <c r="H192" s="257" t="str">
        <f t="shared" si="30"/>
        <v/>
      </c>
    </row>
    <row r="193" spans="1:8" x14ac:dyDescent="0.25">
      <c r="A193" s="254" t="str">
        <f t="shared" ca="1" si="31"/>
        <v/>
      </c>
      <c r="B193" s="255"/>
      <c r="C193" s="256"/>
      <c r="D193" s="257" t="str">
        <f t="shared" si="27"/>
        <v/>
      </c>
      <c r="F193" s="257" t="str">
        <f t="shared" si="28"/>
        <v/>
      </c>
      <c r="G193" s="257" t="str">
        <f t="shared" si="29"/>
        <v/>
      </c>
      <c r="H193" s="257" t="str">
        <f t="shared" si="30"/>
        <v/>
      </c>
    </row>
    <row r="194" spans="1:8" x14ac:dyDescent="0.25">
      <c r="A194" s="254" t="str">
        <f t="shared" ca="1" si="31"/>
        <v/>
      </c>
      <c r="B194" s="255"/>
      <c r="C194" s="256"/>
      <c r="D194" s="257" t="str">
        <f t="shared" si="27"/>
        <v/>
      </c>
      <c r="F194" s="257" t="str">
        <f t="shared" si="28"/>
        <v/>
      </c>
      <c r="G194" s="257" t="str">
        <f t="shared" si="29"/>
        <v/>
      </c>
      <c r="H194" s="257" t="str">
        <f t="shared" si="30"/>
        <v/>
      </c>
    </row>
    <row r="195" spans="1:8" x14ac:dyDescent="0.25">
      <c r="A195" s="254" t="str">
        <f t="shared" ca="1" si="31"/>
        <v/>
      </c>
      <c r="B195" s="255"/>
      <c r="C195" s="256"/>
      <c r="D195" s="257" t="str">
        <f t="shared" si="27"/>
        <v/>
      </c>
      <c r="F195" s="257" t="str">
        <f t="shared" si="28"/>
        <v/>
      </c>
      <c r="G195" s="257" t="str">
        <f t="shared" si="29"/>
        <v/>
      </c>
      <c r="H195" s="257" t="str">
        <f t="shared" si="30"/>
        <v/>
      </c>
    </row>
    <row r="196" spans="1:8" x14ac:dyDescent="0.25">
      <c r="A196" s="254" t="str">
        <f t="shared" ca="1" si="31"/>
        <v/>
      </c>
      <c r="B196" s="255"/>
      <c r="C196" s="256"/>
      <c r="D196" s="257" t="str">
        <f t="shared" si="27"/>
        <v/>
      </c>
      <c r="F196" s="257" t="str">
        <f t="shared" si="28"/>
        <v/>
      </c>
      <c r="G196" s="257" t="str">
        <f t="shared" si="29"/>
        <v/>
      </c>
      <c r="H196" s="257" t="str">
        <f t="shared" si="30"/>
        <v/>
      </c>
    </row>
    <row r="197" spans="1:8" x14ac:dyDescent="0.25">
      <c r="A197" s="254" t="str">
        <f t="shared" ca="1" si="31"/>
        <v/>
      </c>
      <c r="B197" s="255"/>
      <c r="C197" s="256"/>
      <c r="D197" s="257" t="str">
        <f t="shared" si="27"/>
        <v/>
      </c>
      <c r="F197" s="257" t="str">
        <f t="shared" si="28"/>
        <v/>
      </c>
      <c r="G197" s="257" t="str">
        <f t="shared" si="29"/>
        <v/>
      </c>
      <c r="H197" s="257" t="str">
        <f t="shared" si="30"/>
        <v/>
      </c>
    </row>
    <row r="198" spans="1:8" x14ac:dyDescent="0.25">
      <c r="A198" s="254" t="str">
        <f t="shared" ca="1" si="31"/>
        <v/>
      </c>
      <c r="B198" s="255"/>
      <c r="C198" s="256"/>
      <c r="D198" s="257" t="str">
        <f t="shared" si="27"/>
        <v/>
      </c>
      <c r="F198" s="257" t="str">
        <f t="shared" si="28"/>
        <v/>
      </c>
      <c r="G198" s="257" t="str">
        <f t="shared" si="29"/>
        <v/>
      </c>
      <c r="H198" s="257" t="str">
        <f t="shared" si="30"/>
        <v/>
      </c>
    </row>
    <row r="199" spans="1:8" x14ac:dyDescent="0.25">
      <c r="A199" s="254" t="str">
        <f t="shared" ca="1" si="31"/>
        <v/>
      </c>
      <c r="B199" s="255"/>
      <c r="C199" s="256"/>
      <c r="D199" s="257" t="str">
        <f t="shared" si="27"/>
        <v/>
      </c>
      <c r="F199" s="257" t="str">
        <f t="shared" si="28"/>
        <v/>
      </c>
      <c r="G199" s="257" t="str">
        <f t="shared" si="29"/>
        <v/>
      </c>
      <c r="H199" s="257" t="str">
        <f t="shared" si="30"/>
        <v/>
      </c>
    </row>
    <row r="200" spans="1:8" x14ac:dyDescent="0.25">
      <c r="A200" s="254" t="str">
        <f t="shared" ca="1" si="31"/>
        <v/>
      </c>
      <c r="B200" s="255"/>
      <c r="C200" s="256"/>
      <c r="D200" s="257" t="str">
        <f t="shared" si="27"/>
        <v/>
      </c>
      <c r="F200" s="257" t="str">
        <f t="shared" si="28"/>
        <v/>
      </c>
      <c r="G200" s="257" t="str">
        <f t="shared" si="29"/>
        <v/>
      </c>
      <c r="H200" s="257" t="str">
        <f t="shared" si="30"/>
        <v/>
      </c>
    </row>
    <row r="201" spans="1:8" x14ac:dyDescent="0.25">
      <c r="A201" s="254" t="str">
        <f t="shared" ca="1" si="31"/>
        <v/>
      </c>
      <c r="B201" s="255"/>
      <c r="C201" s="256"/>
      <c r="D201" s="257" t="str">
        <f t="shared" si="27"/>
        <v/>
      </c>
      <c r="F201" s="257" t="str">
        <f t="shared" si="28"/>
        <v/>
      </c>
      <c r="G201" s="257" t="str">
        <f t="shared" si="29"/>
        <v/>
      </c>
      <c r="H201" s="257" t="str">
        <f t="shared" si="30"/>
        <v/>
      </c>
    </row>
    <row r="202" spans="1:8" x14ac:dyDescent="0.25">
      <c r="A202" s="254" t="str">
        <f t="shared" ca="1" si="31"/>
        <v/>
      </c>
      <c r="B202" s="255"/>
      <c r="C202" s="256"/>
      <c r="D202" s="257" t="str">
        <f t="shared" si="27"/>
        <v/>
      </c>
      <c r="F202" s="257" t="str">
        <f t="shared" si="28"/>
        <v/>
      </c>
      <c r="G202" s="257" t="str">
        <f t="shared" si="29"/>
        <v/>
      </c>
      <c r="H202" s="257" t="str">
        <f t="shared" si="30"/>
        <v/>
      </c>
    </row>
    <row r="203" spans="1:8" x14ac:dyDescent="0.25">
      <c r="A203" s="254" t="str">
        <f t="shared" ca="1" si="31"/>
        <v/>
      </c>
      <c r="B203" s="255"/>
      <c r="C203" s="256"/>
      <c r="D203" s="257" t="str">
        <f t="shared" si="27"/>
        <v/>
      </c>
      <c r="F203" s="257" t="str">
        <f t="shared" si="28"/>
        <v/>
      </c>
      <c r="G203" s="257" t="str">
        <f t="shared" si="29"/>
        <v/>
      </c>
      <c r="H203" s="257" t="str">
        <f t="shared" si="30"/>
        <v/>
      </c>
    </row>
    <row r="204" spans="1:8" x14ac:dyDescent="0.25">
      <c r="A204" s="254" t="str">
        <f t="shared" ca="1" si="31"/>
        <v/>
      </c>
      <c r="B204" s="255"/>
      <c r="C204" s="256"/>
      <c r="D204" s="257" t="str">
        <f t="shared" si="27"/>
        <v/>
      </c>
      <c r="F204" s="257" t="str">
        <f t="shared" si="28"/>
        <v/>
      </c>
      <c r="G204" s="257" t="str">
        <f t="shared" si="29"/>
        <v/>
      </c>
      <c r="H204" s="257" t="str">
        <f t="shared" si="30"/>
        <v/>
      </c>
    </row>
    <row r="205" spans="1:8" x14ac:dyDescent="0.25">
      <c r="A205" s="254" t="str">
        <f t="shared" ca="1" si="31"/>
        <v/>
      </c>
      <c r="B205" s="255"/>
      <c r="C205" s="256"/>
      <c r="D205" s="257" t="str">
        <f t="shared" si="27"/>
        <v/>
      </c>
      <c r="F205" s="257" t="str">
        <f t="shared" si="28"/>
        <v/>
      </c>
      <c r="G205" s="257" t="str">
        <f t="shared" si="29"/>
        <v/>
      </c>
      <c r="H205" s="257" t="str">
        <f t="shared" si="30"/>
        <v/>
      </c>
    </row>
    <row r="206" spans="1:8" x14ac:dyDescent="0.25">
      <c r="A206" s="254" t="str">
        <f t="shared" ca="1" si="31"/>
        <v/>
      </c>
      <c r="B206" s="255"/>
      <c r="C206" s="256"/>
      <c r="D206" s="257" t="str">
        <f t="shared" si="27"/>
        <v/>
      </c>
      <c r="F206" s="257" t="str">
        <f t="shared" si="28"/>
        <v/>
      </c>
      <c r="G206" s="257" t="str">
        <f t="shared" si="29"/>
        <v/>
      </c>
      <c r="H206" s="257" t="str">
        <f t="shared" si="30"/>
        <v/>
      </c>
    </row>
    <row r="207" spans="1:8" x14ac:dyDescent="0.25">
      <c r="A207" s="254" t="str">
        <f t="shared" ca="1" si="31"/>
        <v/>
      </c>
      <c r="B207" s="255"/>
      <c r="C207" s="256"/>
      <c r="D207" s="257" t="str">
        <f t="shared" si="27"/>
        <v/>
      </c>
      <c r="F207" s="257" t="str">
        <f t="shared" si="28"/>
        <v/>
      </c>
      <c r="G207" s="257" t="str">
        <f t="shared" si="29"/>
        <v/>
      </c>
      <c r="H207" s="257" t="str">
        <f t="shared" si="30"/>
        <v/>
      </c>
    </row>
    <row r="208" spans="1:8" x14ac:dyDescent="0.25">
      <c r="A208" s="254" t="str">
        <f t="shared" ca="1" si="31"/>
        <v/>
      </c>
      <c r="B208" s="255"/>
      <c r="C208" s="256"/>
      <c r="D208" s="257" t="str">
        <f t="shared" si="27"/>
        <v/>
      </c>
      <c r="F208" s="257" t="str">
        <f t="shared" si="28"/>
        <v/>
      </c>
      <c r="G208" s="257" t="str">
        <f t="shared" si="29"/>
        <v/>
      </c>
      <c r="H208" s="257" t="str">
        <f t="shared" si="30"/>
        <v/>
      </c>
    </row>
    <row r="209" spans="1:8" x14ac:dyDescent="0.25">
      <c r="A209" s="254" t="str">
        <f t="shared" ca="1" si="31"/>
        <v/>
      </c>
      <c r="B209" s="255"/>
      <c r="C209" s="256"/>
      <c r="D209" s="257" t="str">
        <f t="shared" si="27"/>
        <v/>
      </c>
      <c r="F209" s="257" t="str">
        <f t="shared" si="28"/>
        <v/>
      </c>
      <c r="G209" s="257" t="str">
        <f t="shared" si="29"/>
        <v/>
      </c>
      <c r="H209" s="257" t="str">
        <f t="shared" si="30"/>
        <v/>
      </c>
    </row>
    <row r="210" spans="1:8" x14ac:dyDescent="0.25">
      <c r="A210" s="254" t="str">
        <f t="shared" ca="1" si="31"/>
        <v/>
      </c>
      <c r="B210" s="255"/>
      <c r="C210" s="256"/>
      <c r="D210" s="257" t="str">
        <f t="shared" si="27"/>
        <v/>
      </c>
      <c r="F210" s="257" t="str">
        <f t="shared" si="28"/>
        <v/>
      </c>
      <c r="G210" s="257" t="str">
        <f t="shared" si="29"/>
        <v/>
      </c>
      <c r="H210" s="257" t="str">
        <f t="shared" si="30"/>
        <v/>
      </c>
    </row>
    <row r="211" spans="1:8" x14ac:dyDescent="0.25">
      <c r="A211" s="254" t="str">
        <f t="shared" ca="1" si="31"/>
        <v/>
      </c>
      <c r="B211" s="255"/>
      <c r="C211" s="256"/>
      <c r="D211" s="257" t="str">
        <f t="shared" ref="D211:D274" si="32">IF(B211="","",ROUND((B211-B210)*$H$9*G210,2))</f>
        <v/>
      </c>
      <c r="F211" s="257" t="str">
        <f t="shared" ref="F211:F274" si="33">IF(B211="","",IF(C211&gt;F210+D211,0,F210+D211-C211))</f>
        <v/>
      </c>
      <c r="G211" s="257" t="str">
        <f t="shared" ref="G211:G274" si="34">IF(B211="","",IF(C211&gt;D211+F210,G210+F210+D211-C211,G210))</f>
        <v/>
      </c>
      <c r="H211" s="257" t="str">
        <f t="shared" ref="H211:H274" si="35">IF(B211="","",G211+F211)</f>
        <v/>
      </c>
    </row>
    <row r="212" spans="1:8" x14ac:dyDescent="0.25">
      <c r="A212" s="254" t="str">
        <f t="shared" ca="1" si="31"/>
        <v/>
      </c>
      <c r="B212" s="255"/>
      <c r="C212" s="256"/>
      <c r="D212" s="257" t="str">
        <f t="shared" si="32"/>
        <v/>
      </c>
      <c r="F212" s="257" t="str">
        <f t="shared" si="33"/>
        <v/>
      </c>
      <c r="G212" s="257" t="str">
        <f t="shared" si="34"/>
        <v/>
      </c>
      <c r="H212" s="257" t="str">
        <f t="shared" si="35"/>
        <v/>
      </c>
    </row>
    <row r="213" spans="1:8" x14ac:dyDescent="0.25">
      <c r="A213" s="254" t="str">
        <f t="shared" ca="1" si="31"/>
        <v/>
      </c>
      <c r="B213" s="255"/>
      <c r="C213" s="256"/>
      <c r="D213" s="257" t="str">
        <f t="shared" si="32"/>
        <v/>
      </c>
      <c r="F213" s="257" t="str">
        <f t="shared" si="33"/>
        <v/>
      </c>
      <c r="G213" s="257" t="str">
        <f t="shared" si="34"/>
        <v/>
      </c>
      <c r="H213" s="257" t="str">
        <f t="shared" si="35"/>
        <v/>
      </c>
    </row>
    <row r="214" spans="1:8" x14ac:dyDescent="0.25">
      <c r="A214" s="254" t="str">
        <f t="shared" ca="1" si="31"/>
        <v/>
      </c>
      <c r="B214" s="255"/>
      <c r="C214" s="256"/>
      <c r="D214" s="257" t="str">
        <f t="shared" si="32"/>
        <v/>
      </c>
      <c r="F214" s="257" t="str">
        <f t="shared" si="33"/>
        <v/>
      </c>
      <c r="G214" s="257" t="str">
        <f t="shared" si="34"/>
        <v/>
      </c>
      <c r="H214" s="257" t="str">
        <f t="shared" si="35"/>
        <v/>
      </c>
    </row>
    <row r="215" spans="1:8" x14ac:dyDescent="0.25">
      <c r="A215" s="254" t="str">
        <f t="shared" ca="1" si="31"/>
        <v/>
      </c>
      <c r="B215" s="255"/>
      <c r="C215" s="256"/>
      <c r="D215" s="257" t="str">
        <f t="shared" si="32"/>
        <v/>
      </c>
      <c r="F215" s="257" t="str">
        <f t="shared" si="33"/>
        <v/>
      </c>
      <c r="G215" s="257" t="str">
        <f t="shared" si="34"/>
        <v/>
      </c>
      <c r="H215" s="257" t="str">
        <f t="shared" si="35"/>
        <v/>
      </c>
    </row>
    <row r="216" spans="1:8" x14ac:dyDescent="0.25">
      <c r="A216" s="254" t="str">
        <f t="shared" ca="1" si="31"/>
        <v/>
      </c>
      <c r="B216" s="255"/>
      <c r="C216" s="256"/>
      <c r="D216" s="257" t="str">
        <f t="shared" si="32"/>
        <v/>
      </c>
      <c r="F216" s="257" t="str">
        <f t="shared" si="33"/>
        <v/>
      </c>
      <c r="G216" s="257" t="str">
        <f t="shared" si="34"/>
        <v/>
      </c>
      <c r="H216" s="257" t="str">
        <f t="shared" si="35"/>
        <v/>
      </c>
    </row>
    <row r="217" spans="1:8" x14ac:dyDescent="0.25">
      <c r="A217" s="254" t="str">
        <f t="shared" ca="1" si="31"/>
        <v/>
      </c>
      <c r="B217" s="255"/>
      <c r="C217" s="256"/>
      <c r="D217" s="257" t="str">
        <f t="shared" si="32"/>
        <v/>
      </c>
      <c r="F217" s="257" t="str">
        <f t="shared" si="33"/>
        <v/>
      </c>
      <c r="G217" s="257" t="str">
        <f t="shared" si="34"/>
        <v/>
      </c>
      <c r="H217" s="257" t="str">
        <f t="shared" si="35"/>
        <v/>
      </c>
    </row>
    <row r="218" spans="1:8" x14ac:dyDescent="0.25">
      <c r="A218" s="254" t="str">
        <f t="shared" ca="1" si="31"/>
        <v/>
      </c>
      <c r="B218" s="255"/>
      <c r="C218" s="256"/>
      <c r="D218" s="257" t="str">
        <f t="shared" si="32"/>
        <v/>
      </c>
      <c r="F218" s="257" t="str">
        <f t="shared" si="33"/>
        <v/>
      </c>
      <c r="G218" s="257" t="str">
        <f t="shared" si="34"/>
        <v/>
      </c>
      <c r="H218" s="257" t="str">
        <f t="shared" si="35"/>
        <v/>
      </c>
    </row>
    <row r="219" spans="1:8" x14ac:dyDescent="0.25">
      <c r="A219" s="254" t="str">
        <f t="shared" ca="1" si="31"/>
        <v/>
      </c>
      <c r="B219" s="255"/>
      <c r="C219" s="256"/>
      <c r="D219" s="257" t="str">
        <f t="shared" si="32"/>
        <v/>
      </c>
      <c r="F219" s="257" t="str">
        <f t="shared" si="33"/>
        <v/>
      </c>
      <c r="G219" s="257" t="str">
        <f t="shared" si="34"/>
        <v/>
      </c>
      <c r="H219" s="257" t="str">
        <f t="shared" si="35"/>
        <v/>
      </c>
    </row>
    <row r="220" spans="1:8" x14ac:dyDescent="0.25">
      <c r="A220" s="254" t="str">
        <f t="shared" ca="1" si="31"/>
        <v/>
      </c>
      <c r="B220" s="255"/>
      <c r="C220" s="256"/>
      <c r="D220" s="257" t="str">
        <f t="shared" si="32"/>
        <v/>
      </c>
      <c r="F220" s="257" t="str">
        <f t="shared" si="33"/>
        <v/>
      </c>
      <c r="G220" s="257" t="str">
        <f t="shared" si="34"/>
        <v/>
      </c>
      <c r="H220" s="257" t="str">
        <f t="shared" si="35"/>
        <v/>
      </c>
    </row>
    <row r="221" spans="1:8" x14ac:dyDescent="0.25">
      <c r="A221" s="254" t="str">
        <f t="shared" ca="1" si="31"/>
        <v/>
      </c>
      <c r="B221" s="255"/>
      <c r="C221" s="256"/>
      <c r="D221" s="257" t="str">
        <f t="shared" si="32"/>
        <v/>
      </c>
      <c r="F221" s="257" t="str">
        <f t="shared" si="33"/>
        <v/>
      </c>
      <c r="G221" s="257" t="str">
        <f t="shared" si="34"/>
        <v/>
      </c>
      <c r="H221" s="257" t="str">
        <f t="shared" si="35"/>
        <v/>
      </c>
    </row>
    <row r="222" spans="1:8" x14ac:dyDescent="0.25">
      <c r="A222" s="254" t="str">
        <f t="shared" ca="1" si="31"/>
        <v/>
      </c>
      <c r="B222" s="255"/>
      <c r="C222" s="256"/>
      <c r="D222" s="257" t="str">
        <f t="shared" si="32"/>
        <v/>
      </c>
      <c r="F222" s="257" t="str">
        <f t="shared" si="33"/>
        <v/>
      </c>
      <c r="G222" s="257" t="str">
        <f t="shared" si="34"/>
        <v/>
      </c>
      <c r="H222" s="257" t="str">
        <f t="shared" si="35"/>
        <v/>
      </c>
    </row>
    <row r="223" spans="1:8" x14ac:dyDescent="0.25">
      <c r="A223" s="254" t="str">
        <f t="shared" ca="1" si="31"/>
        <v/>
      </c>
      <c r="B223" s="255"/>
      <c r="C223" s="256"/>
      <c r="D223" s="257" t="str">
        <f t="shared" si="32"/>
        <v/>
      </c>
      <c r="F223" s="257" t="str">
        <f t="shared" si="33"/>
        <v/>
      </c>
      <c r="G223" s="257" t="str">
        <f t="shared" si="34"/>
        <v/>
      </c>
      <c r="H223" s="257" t="str">
        <f t="shared" si="35"/>
        <v/>
      </c>
    </row>
    <row r="224" spans="1:8" x14ac:dyDescent="0.25">
      <c r="A224" s="254" t="str">
        <f t="shared" ca="1" si="31"/>
        <v/>
      </c>
      <c r="B224" s="255"/>
      <c r="C224" s="256"/>
      <c r="D224" s="257" t="str">
        <f t="shared" si="32"/>
        <v/>
      </c>
      <c r="F224" s="257" t="str">
        <f t="shared" si="33"/>
        <v/>
      </c>
      <c r="G224" s="257" t="str">
        <f t="shared" si="34"/>
        <v/>
      </c>
      <c r="H224" s="257" t="str">
        <f t="shared" si="35"/>
        <v/>
      </c>
    </row>
    <row r="225" spans="1:8" x14ac:dyDescent="0.25">
      <c r="A225" s="254" t="str">
        <f t="shared" ca="1" si="31"/>
        <v/>
      </c>
      <c r="B225" s="255"/>
      <c r="C225" s="256"/>
      <c r="D225" s="257" t="str">
        <f t="shared" si="32"/>
        <v/>
      </c>
      <c r="F225" s="257" t="str">
        <f t="shared" si="33"/>
        <v/>
      </c>
      <c r="G225" s="257" t="str">
        <f t="shared" si="34"/>
        <v/>
      </c>
      <c r="H225" s="257" t="str">
        <f t="shared" si="35"/>
        <v/>
      </c>
    </row>
    <row r="226" spans="1:8" x14ac:dyDescent="0.25">
      <c r="A226" s="254" t="str">
        <f t="shared" ca="1" si="31"/>
        <v/>
      </c>
      <c r="B226" s="255"/>
      <c r="C226" s="256"/>
      <c r="D226" s="257" t="str">
        <f t="shared" si="32"/>
        <v/>
      </c>
      <c r="F226" s="257" t="str">
        <f t="shared" si="33"/>
        <v/>
      </c>
      <c r="G226" s="257" t="str">
        <f t="shared" si="34"/>
        <v/>
      </c>
      <c r="H226" s="257" t="str">
        <f t="shared" si="35"/>
        <v/>
      </c>
    </row>
    <row r="227" spans="1:8" x14ac:dyDescent="0.25">
      <c r="A227" s="254" t="str">
        <f t="shared" ca="1" si="31"/>
        <v/>
      </c>
      <c r="B227" s="255"/>
      <c r="C227" s="256"/>
      <c r="D227" s="257" t="str">
        <f t="shared" si="32"/>
        <v/>
      </c>
      <c r="F227" s="257" t="str">
        <f t="shared" si="33"/>
        <v/>
      </c>
      <c r="G227" s="257" t="str">
        <f t="shared" si="34"/>
        <v/>
      </c>
      <c r="H227" s="257" t="str">
        <f t="shared" si="35"/>
        <v/>
      </c>
    </row>
    <row r="228" spans="1:8" x14ac:dyDescent="0.25">
      <c r="A228" s="254" t="str">
        <f t="shared" ca="1" si="31"/>
        <v/>
      </c>
      <c r="B228" s="255"/>
      <c r="C228" s="256"/>
      <c r="D228" s="257" t="str">
        <f t="shared" si="32"/>
        <v/>
      </c>
      <c r="F228" s="257" t="str">
        <f t="shared" si="33"/>
        <v/>
      </c>
      <c r="G228" s="257" t="str">
        <f t="shared" si="34"/>
        <v/>
      </c>
      <c r="H228" s="257" t="str">
        <f t="shared" si="35"/>
        <v/>
      </c>
    </row>
    <row r="229" spans="1:8" x14ac:dyDescent="0.25">
      <c r="A229" s="254" t="str">
        <f t="shared" ca="1" si="31"/>
        <v/>
      </c>
      <c r="B229" s="255"/>
      <c r="C229" s="256"/>
      <c r="D229" s="257" t="str">
        <f t="shared" si="32"/>
        <v/>
      </c>
      <c r="F229" s="257" t="str">
        <f t="shared" si="33"/>
        <v/>
      </c>
      <c r="G229" s="257" t="str">
        <f t="shared" si="34"/>
        <v/>
      </c>
      <c r="H229" s="257" t="str">
        <f t="shared" si="35"/>
        <v/>
      </c>
    </row>
    <row r="230" spans="1:8" x14ac:dyDescent="0.25">
      <c r="A230" s="254" t="str">
        <f t="shared" ca="1" si="31"/>
        <v/>
      </c>
      <c r="B230" s="255"/>
      <c r="C230" s="256"/>
      <c r="D230" s="257" t="str">
        <f t="shared" si="32"/>
        <v/>
      </c>
      <c r="F230" s="257" t="str">
        <f t="shared" si="33"/>
        <v/>
      </c>
      <c r="G230" s="257" t="str">
        <f t="shared" si="34"/>
        <v/>
      </c>
      <c r="H230" s="257" t="str">
        <f t="shared" si="35"/>
        <v/>
      </c>
    </row>
    <row r="231" spans="1:8" x14ac:dyDescent="0.25">
      <c r="A231" s="254" t="str">
        <f t="shared" ca="1" si="31"/>
        <v/>
      </c>
      <c r="B231" s="255"/>
      <c r="C231" s="256"/>
      <c r="D231" s="257" t="str">
        <f t="shared" si="32"/>
        <v/>
      </c>
      <c r="F231" s="257" t="str">
        <f t="shared" si="33"/>
        <v/>
      </c>
      <c r="G231" s="257" t="str">
        <f t="shared" si="34"/>
        <v/>
      </c>
      <c r="H231" s="257" t="str">
        <f t="shared" si="35"/>
        <v/>
      </c>
    </row>
    <row r="232" spans="1:8" x14ac:dyDescent="0.25">
      <c r="A232" s="254" t="str">
        <f t="shared" ca="1" si="31"/>
        <v/>
      </c>
      <c r="B232" s="255"/>
      <c r="C232" s="256"/>
      <c r="D232" s="257" t="str">
        <f t="shared" si="32"/>
        <v/>
      </c>
      <c r="F232" s="257" t="str">
        <f t="shared" si="33"/>
        <v/>
      </c>
      <c r="G232" s="257" t="str">
        <f t="shared" si="34"/>
        <v/>
      </c>
      <c r="H232" s="257" t="str">
        <f t="shared" si="35"/>
        <v/>
      </c>
    </row>
    <row r="233" spans="1:8" x14ac:dyDescent="0.25">
      <c r="A233" s="254" t="str">
        <f t="shared" ref="A233:A296" ca="1" si="36">IF(OR(H232&lt;=0,H232=""),"",OFFSET(A233,-1,0,1,1)+1)</f>
        <v/>
      </c>
      <c r="B233" s="255"/>
      <c r="C233" s="256"/>
      <c r="D233" s="257" t="str">
        <f t="shared" si="32"/>
        <v/>
      </c>
      <c r="F233" s="257" t="str">
        <f t="shared" si="33"/>
        <v/>
      </c>
      <c r="G233" s="257" t="str">
        <f t="shared" si="34"/>
        <v/>
      </c>
      <c r="H233" s="257" t="str">
        <f t="shared" si="35"/>
        <v/>
      </c>
    </row>
    <row r="234" spans="1:8" x14ac:dyDescent="0.25">
      <c r="A234" s="254" t="str">
        <f t="shared" ca="1" si="36"/>
        <v/>
      </c>
      <c r="B234" s="255"/>
      <c r="C234" s="256"/>
      <c r="D234" s="257" t="str">
        <f t="shared" si="32"/>
        <v/>
      </c>
      <c r="F234" s="257" t="str">
        <f t="shared" si="33"/>
        <v/>
      </c>
      <c r="G234" s="257" t="str">
        <f t="shared" si="34"/>
        <v/>
      </c>
      <c r="H234" s="257" t="str">
        <f t="shared" si="35"/>
        <v/>
      </c>
    </row>
    <row r="235" spans="1:8" x14ac:dyDescent="0.25">
      <c r="A235" s="254" t="str">
        <f t="shared" ca="1" si="36"/>
        <v/>
      </c>
      <c r="B235" s="255"/>
      <c r="C235" s="256"/>
      <c r="D235" s="257" t="str">
        <f t="shared" si="32"/>
        <v/>
      </c>
      <c r="F235" s="257" t="str">
        <f t="shared" si="33"/>
        <v/>
      </c>
      <c r="G235" s="257" t="str">
        <f t="shared" si="34"/>
        <v/>
      </c>
      <c r="H235" s="257" t="str">
        <f t="shared" si="35"/>
        <v/>
      </c>
    </row>
    <row r="236" spans="1:8" x14ac:dyDescent="0.25">
      <c r="A236" s="254" t="str">
        <f t="shared" ca="1" si="36"/>
        <v/>
      </c>
      <c r="B236" s="255"/>
      <c r="C236" s="256"/>
      <c r="D236" s="257" t="str">
        <f t="shared" si="32"/>
        <v/>
      </c>
      <c r="F236" s="257" t="str">
        <f t="shared" si="33"/>
        <v/>
      </c>
      <c r="G236" s="257" t="str">
        <f t="shared" si="34"/>
        <v/>
      </c>
      <c r="H236" s="257" t="str">
        <f t="shared" si="35"/>
        <v/>
      </c>
    </row>
    <row r="237" spans="1:8" x14ac:dyDescent="0.25">
      <c r="A237" s="254" t="str">
        <f t="shared" ca="1" si="36"/>
        <v/>
      </c>
      <c r="B237" s="255"/>
      <c r="C237" s="256"/>
      <c r="D237" s="257" t="str">
        <f t="shared" si="32"/>
        <v/>
      </c>
      <c r="F237" s="257" t="str">
        <f t="shared" si="33"/>
        <v/>
      </c>
      <c r="G237" s="257" t="str">
        <f t="shared" si="34"/>
        <v/>
      </c>
      <c r="H237" s="257" t="str">
        <f t="shared" si="35"/>
        <v/>
      </c>
    </row>
    <row r="238" spans="1:8" x14ac:dyDescent="0.25">
      <c r="A238" s="254" t="str">
        <f t="shared" ca="1" si="36"/>
        <v/>
      </c>
      <c r="B238" s="255"/>
      <c r="C238" s="256"/>
      <c r="D238" s="257" t="str">
        <f t="shared" si="32"/>
        <v/>
      </c>
      <c r="F238" s="257" t="str">
        <f t="shared" si="33"/>
        <v/>
      </c>
      <c r="G238" s="257" t="str">
        <f t="shared" si="34"/>
        <v/>
      </c>
      <c r="H238" s="257" t="str">
        <f t="shared" si="35"/>
        <v/>
      </c>
    </row>
    <row r="239" spans="1:8" x14ac:dyDescent="0.25">
      <c r="A239" s="254" t="str">
        <f t="shared" ca="1" si="36"/>
        <v/>
      </c>
      <c r="B239" s="255"/>
      <c r="C239" s="256"/>
      <c r="D239" s="257" t="str">
        <f t="shared" si="32"/>
        <v/>
      </c>
      <c r="F239" s="257" t="str">
        <f t="shared" si="33"/>
        <v/>
      </c>
      <c r="G239" s="257" t="str">
        <f t="shared" si="34"/>
        <v/>
      </c>
      <c r="H239" s="257" t="str">
        <f t="shared" si="35"/>
        <v/>
      </c>
    </row>
    <row r="240" spans="1:8" x14ac:dyDescent="0.25">
      <c r="A240" s="254" t="str">
        <f t="shared" ca="1" si="36"/>
        <v/>
      </c>
      <c r="B240" s="255"/>
      <c r="C240" s="256"/>
      <c r="D240" s="257" t="str">
        <f t="shared" si="32"/>
        <v/>
      </c>
      <c r="F240" s="257" t="str">
        <f t="shared" si="33"/>
        <v/>
      </c>
      <c r="G240" s="257" t="str">
        <f t="shared" si="34"/>
        <v/>
      </c>
      <c r="H240" s="257" t="str">
        <f t="shared" si="35"/>
        <v/>
      </c>
    </row>
    <row r="241" spans="1:8" x14ac:dyDescent="0.25">
      <c r="A241" s="254" t="str">
        <f t="shared" ca="1" si="36"/>
        <v/>
      </c>
      <c r="B241" s="255"/>
      <c r="C241" s="256"/>
      <c r="D241" s="257" t="str">
        <f t="shared" si="32"/>
        <v/>
      </c>
      <c r="F241" s="257" t="str">
        <f t="shared" si="33"/>
        <v/>
      </c>
      <c r="G241" s="257" t="str">
        <f t="shared" si="34"/>
        <v/>
      </c>
      <c r="H241" s="257" t="str">
        <f t="shared" si="35"/>
        <v/>
      </c>
    </row>
    <row r="242" spans="1:8" x14ac:dyDescent="0.25">
      <c r="A242" s="254" t="str">
        <f t="shared" ca="1" si="36"/>
        <v/>
      </c>
      <c r="B242" s="255"/>
      <c r="C242" s="256"/>
      <c r="D242" s="257" t="str">
        <f t="shared" si="32"/>
        <v/>
      </c>
      <c r="F242" s="257" t="str">
        <f t="shared" si="33"/>
        <v/>
      </c>
      <c r="G242" s="257" t="str">
        <f t="shared" si="34"/>
        <v/>
      </c>
      <c r="H242" s="257" t="str">
        <f t="shared" si="35"/>
        <v/>
      </c>
    </row>
    <row r="243" spans="1:8" x14ac:dyDescent="0.25">
      <c r="A243" s="254" t="str">
        <f t="shared" ca="1" si="36"/>
        <v/>
      </c>
      <c r="B243" s="255"/>
      <c r="C243" s="256"/>
      <c r="D243" s="257" t="str">
        <f t="shared" si="32"/>
        <v/>
      </c>
      <c r="F243" s="257" t="str">
        <f t="shared" si="33"/>
        <v/>
      </c>
      <c r="G243" s="257" t="str">
        <f t="shared" si="34"/>
        <v/>
      </c>
      <c r="H243" s="257" t="str">
        <f t="shared" si="35"/>
        <v/>
      </c>
    </row>
    <row r="244" spans="1:8" x14ac:dyDescent="0.25">
      <c r="A244" s="254" t="str">
        <f t="shared" ca="1" si="36"/>
        <v/>
      </c>
      <c r="B244" s="255"/>
      <c r="C244" s="256"/>
      <c r="D244" s="257" t="str">
        <f t="shared" si="32"/>
        <v/>
      </c>
      <c r="F244" s="257" t="str">
        <f t="shared" si="33"/>
        <v/>
      </c>
      <c r="G244" s="257" t="str">
        <f t="shared" si="34"/>
        <v/>
      </c>
      <c r="H244" s="257" t="str">
        <f t="shared" si="35"/>
        <v/>
      </c>
    </row>
    <row r="245" spans="1:8" x14ac:dyDescent="0.25">
      <c r="A245" s="254" t="str">
        <f t="shared" ca="1" si="36"/>
        <v/>
      </c>
      <c r="B245" s="255"/>
      <c r="C245" s="256"/>
      <c r="D245" s="257" t="str">
        <f t="shared" si="32"/>
        <v/>
      </c>
      <c r="F245" s="257" t="str">
        <f t="shared" si="33"/>
        <v/>
      </c>
      <c r="G245" s="257" t="str">
        <f t="shared" si="34"/>
        <v/>
      </c>
      <c r="H245" s="257" t="str">
        <f t="shared" si="35"/>
        <v/>
      </c>
    </row>
    <row r="246" spans="1:8" x14ac:dyDescent="0.25">
      <c r="A246" s="254" t="str">
        <f t="shared" ca="1" si="36"/>
        <v/>
      </c>
      <c r="B246" s="255"/>
      <c r="C246" s="256"/>
      <c r="D246" s="257" t="str">
        <f t="shared" si="32"/>
        <v/>
      </c>
      <c r="F246" s="257" t="str">
        <f t="shared" si="33"/>
        <v/>
      </c>
      <c r="G246" s="257" t="str">
        <f t="shared" si="34"/>
        <v/>
      </c>
      <c r="H246" s="257" t="str">
        <f t="shared" si="35"/>
        <v/>
      </c>
    </row>
    <row r="247" spans="1:8" x14ac:dyDescent="0.25">
      <c r="A247" s="254" t="str">
        <f t="shared" ca="1" si="36"/>
        <v/>
      </c>
      <c r="B247" s="255"/>
      <c r="C247" s="256"/>
      <c r="D247" s="257" t="str">
        <f t="shared" si="32"/>
        <v/>
      </c>
      <c r="F247" s="257" t="str">
        <f t="shared" si="33"/>
        <v/>
      </c>
      <c r="G247" s="257" t="str">
        <f t="shared" si="34"/>
        <v/>
      </c>
      <c r="H247" s="257" t="str">
        <f t="shared" si="35"/>
        <v/>
      </c>
    </row>
    <row r="248" spans="1:8" x14ac:dyDescent="0.25">
      <c r="A248" s="254" t="str">
        <f t="shared" ca="1" si="36"/>
        <v/>
      </c>
      <c r="B248" s="255"/>
      <c r="C248" s="256"/>
      <c r="D248" s="257" t="str">
        <f t="shared" si="32"/>
        <v/>
      </c>
      <c r="F248" s="257" t="str">
        <f t="shared" si="33"/>
        <v/>
      </c>
      <c r="G248" s="257" t="str">
        <f t="shared" si="34"/>
        <v/>
      </c>
      <c r="H248" s="257" t="str">
        <f t="shared" si="35"/>
        <v/>
      </c>
    </row>
    <row r="249" spans="1:8" x14ac:dyDescent="0.25">
      <c r="A249" s="254" t="str">
        <f t="shared" ca="1" si="36"/>
        <v/>
      </c>
      <c r="B249" s="255"/>
      <c r="C249" s="256"/>
      <c r="D249" s="257" t="str">
        <f t="shared" si="32"/>
        <v/>
      </c>
      <c r="F249" s="257" t="str">
        <f t="shared" si="33"/>
        <v/>
      </c>
      <c r="G249" s="257" t="str">
        <f t="shared" si="34"/>
        <v/>
      </c>
      <c r="H249" s="257" t="str">
        <f t="shared" si="35"/>
        <v/>
      </c>
    </row>
    <row r="250" spans="1:8" x14ac:dyDescent="0.25">
      <c r="A250" s="254" t="str">
        <f t="shared" ca="1" si="36"/>
        <v/>
      </c>
      <c r="B250" s="255"/>
      <c r="C250" s="256"/>
      <c r="D250" s="257" t="str">
        <f t="shared" si="32"/>
        <v/>
      </c>
      <c r="F250" s="257" t="str">
        <f t="shared" si="33"/>
        <v/>
      </c>
      <c r="G250" s="257" t="str">
        <f t="shared" si="34"/>
        <v/>
      </c>
      <c r="H250" s="257" t="str">
        <f t="shared" si="35"/>
        <v/>
      </c>
    </row>
    <row r="251" spans="1:8" x14ac:dyDescent="0.25">
      <c r="A251" s="254" t="str">
        <f t="shared" ca="1" si="36"/>
        <v/>
      </c>
      <c r="B251" s="255"/>
      <c r="C251" s="256"/>
      <c r="D251" s="257" t="str">
        <f t="shared" si="32"/>
        <v/>
      </c>
      <c r="F251" s="257" t="str">
        <f t="shared" si="33"/>
        <v/>
      </c>
      <c r="G251" s="257" t="str">
        <f t="shared" si="34"/>
        <v/>
      </c>
      <c r="H251" s="257" t="str">
        <f t="shared" si="35"/>
        <v/>
      </c>
    </row>
    <row r="252" spans="1:8" x14ac:dyDescent="0.25">
      <c r="A252" s="254" t="str">
        <f t="shared" ca="1" si="36"/>
        <v/>
      </c>
      <c r="B252" s="255"/>
      <c r="C252" s="256"/>
      <c r="D252" s="257" t="str">
        <f t="shared" si="32"/>
        <v/>
      </c>
      <c r="F252" s="257" t="str">
        <f t="shared" si="33"/>
        <v/>
      </c>
      <c r="G252" s="257" t="str">
        <f t="shared" si="34"/>
        <v/>
      </c>
      <c r="H252" s="257" t="str">
        <f t="shared" si="35"/>
        <v/>
      </c>
    </row>
    <row r="253" spans="1:8" x14ac:dyDescent="0.25">
      <c r="A253" s="254" t="str">
        <f t="shared" ca="1" si="36"/>
        <v/>
      </c>
      <c r="B253" s="255"/>
      <c r="C253" s="256"/>
      <c r="D253" s="257" t="str">
        <f t="shared" si="32"/>
        <v/>
      </c>
      <c r="F253" s="257" t="str">
        <f t="shared" si="33"/>
        <v/>
      </c>
      <c r="G253" s="257" t="str">
        <f t="shared" si="34"/>
        <v/>
      </c>
      <c r="H253" s="257" t="str">
        <f t="shared" si="35"/>
        <v/>
      </c>
    </row>
    <row r="254" spans="1:8" x14ac:dyDescent="0.25">
      <c r="A254" s="254" t="str">
        <f t="shared" ca="1" si="36"/>
        <v/>
      </c>
      <c r="B254" s="255"/>
      <c r="C254" s="256"/>
      <c r="D254" s="257" t="str">
        <f t="shared" si="32"/>
        <v/>
      </c>
      <c r="F254" s="257" t="str">
        <f t="shared" si="33"/>
        <v/>
      </c>
      <c r="G254" s="257" t="str">
        <f t="shared" si="34"/>
        <v/>
      </c>
      <c r="H254" s="257" t="str">
        <f t="shared" si="35"/>
        <v/>
      </c>
    </row>
    <row r="255" spans="1:8" x14ac:dyDescent="0.25">
      <c r="A255" s="254" t="str">
        <f t="shared" ca="1" si="36"/>
        <v/>
      </c>
      <c r="B255" s="255"/>
      <c r="C255" s="256"/>
      <c r="D255" s="257" t="str">
        <f t="shared" si="32"/>
        <v/>
      </c>
      <c r="F255" s="257" t="str">
        <f t="shared" si="33"/>
        <v/>
      </c>
      <c r="G255" s="257" t="str">
        <f t="shared" si="34"/>
        <v/>
      </c>
      <c r="H255" s="257" t="str">
        <f t="shared" si="35"/>
        <v/>
      </c>
    </row>
    <row r="256" spans="1:8" x14ac:dyDescent="0.25">
      <c r="A256" s="254" t="str">
        <f t="shared" ca="1" si="36"/>
        <v/>
      </c>
      <c r="B256" s="255"/>
      <c r="C256" s="256"/>
      <c r="D256" s="257" t="str">
        <f t="shared" si="32"/>
        <v/>
      </c>
      <c r="F256" s="257" t="str">
        <f t="shared" si="33"/>
        <v/>
      </c>
      <c r="G256" s="257" t="str">
        <f t="shared" si="34"/>
        <v/>
      </c>
      <c r="H256" s="257" t="str">
        <f t="shared" si="35"/>
        <v/>
      </c>
    </row>
    <row r="257" spans="1:8" x14ac:dyDescent="0.25">
      <c r="A257" s="254" t="str">
        <f t="shared" ca="1" si="36"/>
        <v/>
      </c>
      <c r="B257" s="255"/>
      <c r="C257" s="256"/>
      <c r="D257" s="257" t="str">
        <f t="shared" si="32"/>
        <v/>
      </c>
      <c r="F257" s="257" t="str">
        <f t="shared" si="33"/>
        <v/>
      </c>
      <c r="G257" s="257" t="str">
        <f t="shared" si="34"/>
        <v/>
      </c>
      <c r="H257" s="257" t="str">
        <f t="shared" si="35"/>
        <v/>
      </c>
    </row>
    <row r="258" spans="1:8" x14ac:dyDescent="0.25">
      <c r="A258" s="254" t="str">
        <f t="shared" ca="1" si="36"/>
        <v/>
      </c>
      <c r="B258" s="255"/>
      <c r="C258" s="256"/>
      <c r="D258" s="257" t="str">
        <f t="shared" si="32"/>
        <v/>
      </c>
      <c r="F258" s="257" t="str">
        <f t="shared" si="33"/>
        <v/>
      </c>
      <c r="G258" s="257" t="str">
        <f t="shared" si="34"/>
        <v/>
      </c>
      <c r="H258" s="257" t="str">
        <f t="shared" si="35"/>
        <v/>
      </c>
    </row>
    <row r="259" spans="1:8" x14ac:dyDescent="0.25">
      <c r="A259" s="254" t="str">
        <f t="shared" ca="1" si="36"/>
        <v/>
      </c>
      <c r="B259" s="255"/>
      <c r="C259" s="256"/>
      <c r="D259" s="257" t="str">
        <f t="shared" si="32"/>
        <v/>
      </c>
      <c r="F259" s="257" t="str">
        <f t="shared" si="33"/>
        <v/>
      </c>
      <c r="G259" s="257" t="str">
        <f t="shared" si="34"/>
        <v/>
      </c>
      <c r="H259" s="257" t="str">
        <f t="shared" si="35"/>
        <v/>
      </c>
    </row>
    <row r="260" spans="1:8" x14ac:dyDescent="0.25">
      <c r="A260" s="254" t="str">
        <f t="shared" ca="1" si="36"/>
        <v/>
      </c>
      <c r="B260" s="255"/>
      <c r="C260" s="256"/>
      <c r="D260" s="257" t="str">
        <f t="shared" si="32"/>
        <v/>
      </c>
      <c r="F260" s="257" t="str">
        <f t="shared" si="33"/>
        <v/>
      </c>
      <c r="G260" s="257" t="str">
        <f t="shared" si="34"/>
        <v/>
      </c>
      <c r="H260" s="257" t="str">
        <f t="shared" si="35"/>
        <v/>
      </c>
    </row>
    <row r="261" spans="1:8" x14ac:dyDescent="0.25">
      <c r="A261" s="254" t="str">
        <f t="shared" ca="1" si="36"/>
        <v/>
      </c>
      <c r="B261" s="255"/>
      <c r="C261" s="256"/>
      <c r="D261" s="257" t="str">
        <f t="shared" si="32"/>
        <v/>
      </c>
      <c r="F261" s="257" t="str">
        <f t="shared" si="33"/>
        <v/>
      </c>
      <c r="G261" s="257" t="str">
        <f t="shared" si="34"/>
        <v/>
      </c>
      <c r="H261" s="257" t="str">
        <f t="shared" si="35"/>
        <v/>
      </c>
    </row>
    <row r="262" spans="1:8" x14ac:dyDescent="0.25">
      <c r="A262" s="254" t="str">
        <f t="shared" ca="1" si="36"/>
        <v/>
      </c>
      <c r="B262" s="255"/>
      <c r="C262" s="256"/>
      <c r="D262" s="257" t="str">
        <f t="shared" si="32"/>
        <v/>
      </c>
      <c r="F262" s="257" t="str">
        <f t="shared" si="33"/>
        <v/>
      </c>
      <c r="G262" s="257" t="str">
        <f t="shared" si="34"/>
        <v/>
      </c>
      <c r="H262" s="257" t="str">
        <f t="shared" si="35"/>
        <v/>
      </c>
    </row>
    <row r="263" spans="1:8" x14ac:dyDescent="0.25">
      <c r="A263" s="254" t="str">
        <f t="shared" ca="1" si="36"/>
        <v/>
      </c>
      <c r="B263" s="255"/>
      <c r="C263" s="256"/>
      <c r="D263" s="257" t="str">
        <f t="shared" si="32"/>
        <v/>
      </c>
      <c r="F263" s="257" t="str">
        <f t="shared" si="33"/>
        <v/>
      </c>
      <c r="G263" s="257" t="str">
        <f t="shared" si="34"/>
        <v/>
      </c>
      <c r="H263" s="257" t="str">
        <f t="shared" si="35"/>
        <v/>
      </c>
    </row>
    <row r="264" spans="1:8" x14ac:dyDescent="0.25">
      <c r="A264" s="254" t="str">
        <f t="shared" ca="1" si="36"/>
        <v/>
      </c>
      <c r="B264" s="255"/>
      <c r="C264" s="256"/>
      <c r="D264" s="257" t="str">
        <f t="shared" si="32"/>
        <v/>
      </c>
      <c r="F264" s="257" t="str">
        <f t="shared" si="33"/>
        <v/>
      </c>
      <c r="G264" s="257" t="str">
        <f t="shared" si="34"/>
        <v/>
      </c>
      <c r="H264" s="257" t="str">
        <f t="shared" si="35"/>
        <v/>
      </c>
    </row>
    <row r="265" spans="1:8" x14ac:dyDescent="0.25">
      <c r="A265" s="254" t="str">
        <f t="shared" ca="1" si="36"/>
        <v/>
      </c>
      <c r="B265" s="255"/>
      <c r="C265" s="256"/>
      <c r="D265" s="257" t="str">
        <f t="shared" si="32"/>
        <v/>
      </c>
      <c r="F265" s="257" t="str">
        <f t="shared" si="33"/>
        <v/>
      </c>
      <c r="G265" s="257" t="str">
        <f t="shared" si="34"/>
        <v/>
      </c>
      <c r="H265" s="257" t="str">
        <f t="shared" si="35"/>
        <v/>
      </c>
    </row>
    <row r="266" spans="1:8" x14ac:dyDescent="0.25">
      <c r="A266" s="254" t="str">
        <f t="shared" ca="1" si="36"/>
        <v/>
      </c>
      <c r="B266" s="255"/>
      <c r="C266" s="256"/>
      <c r="D266" s="257" t="str">
        <f t="shared" si="32"/>
        <v/>
      </c>
      <c r="F266" s="257" t="str">
        <f t="shared" si="33"/>
        <v/>
      </c>
      <c r="G266" s="257" t="str">
        <f t="shared" si="34"/>
        <v/>
      </c>
      <c r="H266" s="257" t="str">
        <f t="shared" si="35"/>
        <v/>
      </c>
    </row>
    <row r="267" spans="1:8" x14ac:dyDescent="0.25">
      <c r="A267" s="254" t="str">
        <f t="shared" ca="1" si="36"/>
        <v/>
      </c>
      <c r="B267" s="255"/>
      <c r="C267" s="256"/>
      <c r="D267" s="257" t="str">
        <f t="shared" si="32"/>
        <v/>
      </c>
      <c r="F267" s="257" t="str">
        <f t="shared" si="33"/>
        <v/>
      </c>
      <c r="G267" s="257" t="str">
        <f t="shared" si="34"/>
        <v/>
      </c>
      <c r="H267" s="257" t="str">
        <f t="shared" si="35"/>
        <v/>
      </c>
    </row>
    <row r="268" spans="1:8" x14ac:dyDescent="0.25">
      <c r="A268" s="254" t="str">
        <f t="shared" ca="1" si="36"/>
        <v/>
      </c>
      <c r="B268" s="255"/>
      <c r="C268" s="256"/>
      <c r="D268" s="257" t="str">
        <f t="shared" si="32"/>
        <v/>
      </c>
      <c r="F268" s="257" t="str">
        <f t="shared" si="33"/>
        <v/>
      </c>
      <c r="G268" s="257" t="str">
        <f t="shared" si="34"/>
        <v/>
      </c>
      <c r="H268" s="257" t="str">
        <f t="shared" si="35"/>
        <v/>
      </c>
    </row>
    <row r="269" spans="1:8" x14ac:dyDescent="0.25">
      <c r="A269" s="254" t="str">
        <f t="shared" ca="1" si="36"/>
        <v/>
      </c>
      <c r="B269" s="255"/>
      <c r="C269" s="256"/>
      <c r="D269" s="257" t="str">
        <f t="shared" si="32"/>
        <v/>
      </c>
      <c r="F269" s="257" t="str">
        <f t="shared" si="33"/>
        <v/>
      </c>
      <c r="G269" s="257" t="str">
        <f t="shared" si="34"/>
        <v/>
      </c>
      <c r="H269" s="257" t="str">
        <f t="shared" si="35"/>
        <v/>
      </c>
    </row>
    <row r="270" spans="1:8" x14ac:dyDescent="0.25">
      <c r="A270" s="254" t="str">
        <f t="shared" ca="1" si="36"/>
        <v/>
      </c>
      <c r="B270" s="255"/>
      <c r="C270" s="256"/>
      <c r="D270" s="257" t="str">
        <f t="shared" si="32"/>
        <v/>
      </c>
      <c r="F270" s="257" t="str">
        <f t="shared" si="33"/>
        <v/>
      </c>
      <c r="G270" s="257" t="str">
        <f t="shared" si="34"/>
        <v/>
      </c>
      <c r="H270" s="257" t="str">
        <f t="shared" si="35"/>
        <v/>
      </c>
    </row>
    <row r="271" spans="1:8" x14ac:dyDescent="0.25">
      <c r="A271" s="254" t="str">
        <f t="shared" ca="1" si="36"/>
        <v/>
      </c>
      <c r="B271" s="255"/>
      <c r="C271" s="256"/>
      <c r="D271" s="257" t="str">
        <f t="shared" si="32"/>
        <v/>
      </c>
      <c r="F271" s="257" t="str">
        <f t="shared" si="33"/>
        <v/>
      </c>
      <c r="G271" s="257" t="str">
        <f t="shared" si="34"/>
        <v/>
      </c>
      <c r="H271" s="257" t="str">
        <f t="shared" si="35"/>
        <v/>
      </c>
    </row>
    <row r="272" spans="1:8" x14ac:dyDescent="0.25">
      <c r="A272" s="254" t="str">
        <f t="shared" ca="1" si="36"/>
        <v/>
      </c>
      <c r="B272" s="255"/>
      <c r="C272" s="256"/>
      <c r="D272" s="257" t="str">
        <f t="shared" si="32"/>
        <v/>
      </c>
      <c r="F272" s="257" t="str">
        <f t="shared" si="33"/>
        <v/>
      </c>
      <c r="G272" s="257" t="str">
        <f t="shared" si="34"/>
        <v/>
      </c>
      <c r="H272" s="257" t="str">
        <f t="shared" si="35"/>
        <v/>
      </c>
    </row>
    <row r="273" spans="1:8" x14ac:dyDescent="0.25">
      <c r="A273" s="254" t="str">
        <f t="shared" ca="1" si="36"/>
        <v/>
      </c>
      <c r="B273" s="255"/>
      <c r="C273" s="256"/>
      <c r="D273" s="257" t="str">
        <f t="shared" si="32"/>
        <v/>
      </c>
      <c r="F273" s="257" t="str">
        <f t="shared" si="33"/>
        <v/>
      </c>
      <c r="G273" s="257" t="str">
        <f t="shared" si="34"/>
        <v/>
      </c>
      <c r="H273" s="257" t="str">
        <f t="shared" si="35"/>
        <v/>
      </c>
    </row>
    <row r="274" spans="1:8" x14ac:dyDescent="0.25">
      <c r="A274" s="254" t="str">
        <f t="shared" ca="1" si="36"/>
        <v/>
      </c>
      <c r="B274" s="255"/>
      <c r="C274" s="256"/>
      <c r="D274" s="257" t="str">
        <f t="shared" si="32"/>
        <v/>
      </c>
      <c r="F274" s="257" t="str">
        <f t="shared" si="33"/>
        <v/>
      </c>
      <c r="G274" s="257" t="str">
        <f t="shared" si="34"/>
        <v/>
      </c>
      <c r="H274" s="257" t="str">
        <f t="shared" si="35"/>
        <v/>
      </c>
    </row>
    <row r="275" spans="1:8" x14ac:dyDescent="0.25">
      <c r="A275" s="254" t="str">
        <f t="shared" ca="1" si="36"/>
        <v/>
      </c>
      <c r="B275" s="255"/>
      <c r="C275" s="256"/>
      <c r="D275" s="257" t="str">
        <f t="shared" ref="D275:D338" si="37">IF(B275="","",ROUND((B275-B274)*$H$9*G274,2))</f>
        <v/>
      </c>
      <c r="F275" s="257" t="str">
        <f t="shared" ref="F275:F338" si="38">IF(B275="","",IF(C275&gt;F274+D275,0,F274+D275-C275))</f>
        <v/>
      </c>
      <c r="G275" s="257" t="str">
        <f t="shared" ref="G275:G338" si="39">IF(B275="","",IF(C275&gt;D275+F274,G274+F274+D275-C275,G274))</f>
        <v/>
      </c>
      <c r="H275" s="257" t="str">
        <f t="shared" ref="H275:H338" si="40">IF(B275="","",G275+F275)</f>
        <v/>
      </c>
    </row>
    <row r="276" spans="1:8" x14ac:dyDescent="0.25">
      <c r="A276" s="254" t="str">
        <f t="shared" ca="1" si="36"/>
        <v/>
      </c>
      <c r="B276" s="255"/>
      <c r="C276" s="256"/>
      <c r="D276" s="257" t="str">
        <f t="shared" si="37"/>
        <v/>
      </c>
      <c r="F276" s="257" t="str">
        <f t="shared" si="38"/>
        <v/>
      </c>
      <c r="G276" s="257" t="str">
        <f t="shared" si="39"/>
        <v/>
      </c>
      <c r="H276" s="257" t="str">
        <f t="shared" si="40"/>
        <v/>
      </c>
    </row>
    <row r="277" spans="1:8" x14ac:dyDescent="0.25">
      <c r="A277" s="254" t="str">
        <f t="shared" ca="1" si="36"/>
        <v/>
      </c>
      <c r="B277" s="255"/>
      <c r="C277" s="256"/>
      <c r="D277" s="257" t="str">
        <f t="shared" si="37"/>
        <v/>
      </c>
      <c r="F277" s="257" t="str">
        <f t="shared" si="38"/>
        <v/>
      </c>
      <c r="G277" s="257" t="str">
        <f t="shared" si="39"/>
        <v/>
      </c>
      <c r="H277" s="257" t="str">
        <f t="shared" si="40"/>
        <v/>
      </c>
    </row>
    <row r="278" spans="1:8" x14ac:dyDescent="0.25">
      <c r="A278" s="254" t="str">
        <f t="shared" ca="1" si="36"/>
        <v/>
      </c>
      <c r="B278" s="255"/>
      <c r="C278" s="256"/>
      <c r="D278" s="257" t="str">
        <f t="shared" si="37"/>
        <v/>
      </c>
      <c r="F278" s="257" t="str">
        <f t="shared" si="38"/>
        <v/>
      </c>
      <c r="G278" s="257" t="str">
        <f t="shared" si="39"/>
        <v/>
      </c>
      <c r="H278" s="257" t="str">
        <f t="shared" si="40"/>
        <v/>
      </c>
    </row>
    <row r="279" spans="1:8" x14ac:dyDescent="0.25">
      <c r="A279" s="254" t="str">
        <f t="shared" ca="1" si="36"/>
        <v/>
      </c>
      <c r="B279" s="255"/>
      <c r="C279" s="256"/>
      <c r="D279" s="257" t="str">
        <f t="shared" si="37"/>
        <v/>
      </c>
      <c r="F279" s="257" t="str">
        <f t="shared" si="38"/>
        <v/>
      </c>
      <c r="G279" s="257" t="str">
        <f t="shared" si="39"/>
        <v/>
      </c>
      <c r="H279" s="257" t="str">
        <f t="shared" si="40"/>
        <v/>
      </c>
    </row>
    <row r="280" spans="1:8" x14ac:dyDescent="0.25">
      <c r="A280" s="254" t="str">
        <f t="shared" ca="1" si="36"/>
        <v/>
      </c>
      <c r="B280" s="255"/>
      <c r="C280" s="256"/>
      <c r="D280" s="257" t="str">
        <f t="shared" si="37"/>
        <v/>
      </c>
      <c r="F280" s="257" t="str">
        <f t="shared" si="38"/>
        <v/>
      </c>
      <c r="G280" s="257" t="str">
        <f t="shared" si="39"/>
        <v/>
      </c>
      <c r="H280" s="257" t="str">
        <f t="shared" si="40"/>
        <v/>
      </c>
    </row>
    <row r="281" spans="1:8" x14ac:dyDescent="0.25">
      <c r="A281" s="254" t="str">
        <f t="shared" ca="1" si="36"/>
        <v/>
      </c>
      <c r="B281" s="255"/>
      <c r="C281" s="256"/>
      <c r="D281" s="257" t="str">
        <f t="shared" si="37"/>
        <v/>
      </c>
      <c r="F281" s="257" t="str">
        <f t="shared" si="38"/>
        <v/>
      </c>
      <c r="G281" s="257" t="str">
        <f t="shared" si="39"/>
        <v/>
      </c>
      <c r="H281" s="257" t="str">
        <f t="shared" si="40"/>
        <v/>
      </c>
    </row>
    <row r="282" spans="1:8" x14ac:dyDescent="0.25">
      <c r="A282" s="254" t="str">
        <f t="shared" ca="1" si="36"/>
        <v/>
      </c>
      <c r="B282" s="255"/>
      <c r="C282" s="256"/>
      <c r="D282" s="257" t="str">
        <f t="shared" si="37"/>
        <v/>
      </c>
      <c r="F282" s="257" t="str">
        <f t="shared" si="38"/>
        <v/>
      </c>
      <c r="G282" s="257" t="str">
        <f t="shared" si="39"/>
        <v/>
      </c>
      <c r="H282" s="257" t="str">
        <f t="shared" si="40"/>
        <v/>
      </c>
    </row>
    <row r="283" spans="1:8" x14ac:dyDescent="0.25">
      <c r="A283" s="254" t="str">
        <f t="shared" ca="1" si="36"/>
        <v/>
      </c>
      <c r="B283" s="255"/>
      <c r="C283" s="256"/>
      <c r="D283" s="257" t="str">
        <f t="shared" si="37"/>
        <v/>
      </c>
      <c r="F283" s="257" t="str">
        <f t="shared" si="38"/>
        <v/>
      </c>
      <c r="G283" s="257" t="str">
        <f t="shared" si="39"/>
        <v/>
      </c>
      <c r="H283" s="257" t="str">
        <f t="shared" si="40"/>
        <v/>
      </c>
    </row>
    <row r="284" spans="1:8" x14ac:dyDescent="0.25">
      <c r="A284" s="254" t="str">
        <f t="shared" ca="1" si="36"/>
        <v/>
      </c>
      <c r="B284" s="255"/>
      <c r="C284" s="256"/>
      <c r="D284" s="257" t="str">
        <f t="shared" si="37"/>
        <v/>
      </c>
      <c r="F284" s="257" t="str">
        <f t="shared" si="38"/>
        <v/>
      </c>
      <c r="G284" s="257" t="str">
        <f t="shared" si="39"/>
        <v/>
      </c>
      <c r="H284" s="257" t="str">
        <f t="shared" si="40"/>
        <v/>
      </c>
    </row>
    <row r="285" spans="1:8" x14ac:dyDescent="0.25">
      <c r="A285" s="254" t="str">
        <f t="shared" ca="1" si="36"/>
        <v/>
      </c>
      <c r="B285" s="255"/>
      <c r="C285" s="256"/>
      <c r="D285" s="257" t="str">
        <f t="shared" si="37"/>
        <v/>
      </c>
      <c r="F285" s="257" t="str">
        <f t="shared" si="38"/>
        <v/>
      </c>
      <c r="G285" s="257" t="str">
        <f t="shared" si="39"/>
        <v/>
      </c>
      <c r="H285" s="257" t="str">
        <f t="shared" si="40"/>
        <v/>
      </c>
    </row>
    <row r="286" spans="1:8" x14ac:dyDescent="0.25">
      <c r="A286" s="254" t="str">
        <f t="shared" ca="1" si="36"/>
        <v/>
      </c>
      <c r="B286" s="255"/>
      <c r="C286" s="256"/>
      <c r="D286" s="257" t="str">
        <f t="shared" si="37"/>
        <v/>
      </c>
      <c r="F286" s="257" t="str">
        <f t="shared" si="38"/>
        <v/>
      </c>
      <c r="G286" s="257" t="str">
        <f t="shared" si="39"/>
        <v/>
      </c>
      <c r="H286" s="257" t="str">
        <f t="shared" si="40"/>
        <v/>
      </c>
    </row>
    <row r="287" spans="1:8" x14ac:dyDescent="0.25">
      <c r="A287" s="254" t="str">
        <f t="shared" ca="1" si="36"/>
        <v/>
      </c>
      <c r="B287" s="255"/>
      <c r="C287" s="256"/>
      <c r="D287" s="257" t="str">
        <f t="shared" si="37"/>
        <v/>
      </c>
      <c r="F287" s="257" t="str">
        <f t="shared" si="38"/>
        <v/>
      </c>
      <c r="G287" s="257" t="str">
        <f t="shared" si="39"/>
        <v/>
      </c>
      <c r="H287" s="257" t="str">
        <f t="shared" si="40"/>
        <v/>
      </c>
    </row>
    <row r="288" spans="1:8" x14ac:dyDescent="0.25">
      <c r="A288" s="254" t="str">
        <f t="shared" ca="1" si="36"/>
        <v/>
      </c>
      <c r="B288" s="255"/>
      <c r="C288" s="256"/>
      <c r="D288" s="257" t="str">
        <f t="shared" si="37"/>
        <v/>
      </c>
      <c r="F288" s="257" t="str">
        <f t="shared" si="38"/>
        <v/>
      </c>
      <c r="G288" s="257" t="str">
        <f t="shared" si="39"/>
        <v/>
      </c>
      <c r="H288" s="257" t="str">
        <f t="shared" si="40"/>
        <v/>
      </c>
    </row>
    <row r="289" spans="1:8" x14ac:dyDescent="0.25">
      <c r="A289" s="254" t="str">
        <f t="shared" ca="1" si="36"/>
        <v/>
      </c>
      <c r="B289" s="255"/>
      <c r="C289" s="256"/>
      <c r="D289" s="257" t="str">
        <f t="shared" si="37"/>
        <v/>
      </c>
      <c r="F289" s="257" t="str">
        <f t="shared" si="38"/>
        <v/>
      </c>
      <c r="G289" s="257" t="str">
        <f t="shared" si="39"/>
        <v/>
      </c>
      <c r="H289" s="257" t="str">
        <f t="shared" si="40"/>
        <v/>
      </c>
    </row>
    <row r="290" spans="1:8" x14ac:dyDescent="0.25">
      <c r="A290" s="254" t="str">
        <f t="shared" ca="1" si="36"/>
        <v/>
      </c>
      <c r="B290" s="255"/>
      <c r="C290" s="256"/>
      <c r="D290" s="257" t="str">
        <f t="shared" si="37"/>
        <v/>
      </c>
      <c r="F290" s="257" t="str">
        <f t="shared" si="38"/>
        <v/>
      </c>
      <c r="G290" s="257" t="str">
        <f t="shared" si="39"/>
        <v/>
      </c>
      <c r="H290" s="257" t="str">
        <f t="shared" si="40"/>
        <v/>
      </c>
    </row>
    <row r="291" spans="1:8" x14ac:dyDescent="0.25">
      <c r="A291" s="254" t="str">
        <f t="shared" ca="1" si="36"/>
        <v/>
      </c>
      <c r="B291" s="255"/>
      <c r="C291" s="256"/>
      <c r="D291" s="257" t="str">
        <f t="shared" si="37"/>
        <v/>
      </c>
      <c r="F291" s="257" t="str">
        <f t="shared" si="38"/>
        <v/>
      </c>
      <c r="G291" s="257" t="str">
        <f t="shared" si="39"/>
        <v/>
      </c>
      <c r="H291" s="257" t="str">
        <f t="shared" si="40"/>
        <v/>
      </c>
    </row>
    <row r="292" spans="1:8" x14ac:dyDescent="0.25">
      <c r="A292" s="254" t="str">
        <f t="shared" ca="1" si="36"/>
        <v/>
      </c>
      <c r="B292" s="255"/>
      <c r="C292" s="256"/>
      <c r="D292" s="257" t="str">
        <f t="shared" si="37"/>
        <v/>
      </c>
      <c r="F292" s="257" t="str">
        <f t="shared" si="38"/>
        <v/>
      </c>
      <c r="G292" s="257" t="str">
        <f t="shared" si="39"/>
        <v/>
      </c>
      <c r="H292" s="257" t="str">
        <f t="shared" si="40"/>
        <v/>
      </c>
    </row>
    <row r="293" spans="1:8" x14ac:dyDescent="0.25">
      <c r="A293" s="254" t="str">
        <f t="shared" ca="1" si="36"/>
        <v/>
      </c>
      <c r="B293" s="255"/>
      <c r="C293" s="256"/>
      <c r="D293" s="257" t="str">
        <f t="shared" si="37"/>
        <v/>
      </c>
      <c r="F293" s="257" t="str">
        <f t="shared" si="38"/>
        <v/>
      </c>
      <c r="G293" s="257" t="str">
        <f t="shared" si="39"/>
        <v/>
      </c>
      <c r="H293" s="257" t="str">
        <f t="shared" si="40"/>
        <v/>
      </c>
    </row>
    <row r="294" spans="1:8" x14ac:dyDescent="0.25">
      <c r="A294" s="254" t="str">
        <f t="shared" ca="1" si="36"/>
        <v/>
      </c>
      <c r="B294" s="255"/>
      <c r="C294" s="256"/>
      <c r="D294" s="257" t="str">
        <f t="shared" si="37"/>
        <v/>
      </c>
      <c r="F294" s="257" t="str">
        <f t="shared" si="38"/>
        <v/>
      </c>
      <c r="G294" s="257" t="str">
        <f t="shared" si="39"/>
        <v/>
      </c>
      <c r="H294" s="257" t="str">
        <f t="shared" si="40"/>
        <v/>
      </c>
    </row>
    <row r="295" spans="1:8" x14ac:dyDescent="0.25">
      <c r="A295" s="254" t="str">
        <f t="shared" ca="1" si="36"/>
        <v/>
      </c>
      <c r="B295" s="255"/>
      <c r="C295" s="256"/>
      <c r="D295" s="257" t="str">
        <f t="shared" si="37"/>
        <v/>
      </c>
      <c r="F295" s="257" t="str">
        <f t="shared" si="38"/>
        <v/>
      </c>
      <c r="G295" s="257" t="str">
        <f t="shared" si="39"/>
        <v/>
      </c>
      <c r="H295" s="257" t="str">
        <f t="shared" si="40"/>
        <v/>
      </c>
    </row>
    <row r="296" spans="1:8" x14ac:dyDescent="0.25">
      <c r="A296" s="254" t="str">
        <f t="shared" ca="1" si="36"/>
        <v/>
      </c>
      <c r="B296" s="255"/>
      <c r="C296" s="256"/>
      <c r="D296" s="257" t="str">
        <f t="shared" si="37"/>
        <v/>
      </c>
      <c r="F296" s="257" t="str">
        <f t="shared" si="38"/>
        <v/>
      </c>
      <c r="G296" s="257" t="str">
        <f t="shared" si="39"/>
        <v/>
      </c>
      <c r="H296" s="257" t="str">
        <f t="shared" si="40"/>
        <v/>
      </c>
    </row>
    <row r="297" spans="1:8" x14ac:dyDescent="0.25">
      <c r="A297" s="254" t="str">
        <f t="shared" ref="A297:A360" ca="1" si="41">IF(OR(H296&lt;=0,H296=""),"",OFFSET(A297,-1,0,1,1)+1)</f>
        <v/>
      </c>
      <c r="B297" s="255"/>
      <c r="C297" s="256"/>
      <c r="D297" s="257" t="str">
        <f t="shared" si="37"/>
        <v/>
      </c>
      <c r="F297" s="257" t="str">
        <f t="shared" si="38"/>
        <v/>
      </c>
      <c r="G297" s="257" t="str">
        <f t="shared" si="39"/>
        <v/>
      </c>
      <c r="H297" s="257" t="str">
        <f t="shared" si="40"/>
        <v/>
      </c>
    </row>
    <row r="298" spans="1:8" x14ac:dyDescent="0.25">
      <c r="A298" s="254" t="str">
        <f t="shared" ca="1" si="41"/>
        <v/>
      </c>
      <c r="B298" s="255"/>
      <c r="C298" s="256"/>
      <c r="D298" s="257" t="str">
        <f t="shared" si="37"/>
        <v/>
      </c>
      <c r="F298" s="257" t="str">
        <f t="shared" si="38"/>
        <v/>
      </c>
      <c r="G298" s="257" t="str">
        <f t="shared" si="39"/>
        <v/>
      </c>
      <c r="H298" s="257" t="str">
        <f t="shared" si="40"/>
        <v/>
      </c>
    </row>
    <row r="299" spans="1:8" x14ac:dyDescent="0.25">
      <c r="A299" s="254" t="str">
        <f t="shared" ca="1" si="41"/>
        <v/>
      </c>
      <c r="B299" s="255"/>
      <c r="C299" s="256"/>
      <c r="D299" s="257" t="str">
        <f t="shared" si="37"/>
        <v/>
      </c>
      <c r="F299" s="257" t="str">
        <f t="shared" si="38"/>
        <v/>
      </c>
      <c r="G299" s="257" t="str">
        <f t="shared" si="39"/>
        <v/>
      </c>
      <c r="H299" s="257" t="str">
        <f t="shared" si="40"/>
        <v/>
      </c>
    </row>
    <row r="300" spans="1:8" x14ac:dyDescent="0.25">
      <c r="A300" s="254" t="str">
        <f t="shared" ca="1" si="41"/>
        <v/>
      </c>
      <c r="B300" s="255"/>
      <c r="C300" s="256"/>
      <c r="D300" s="257" t="str">
        <f t="shared" si="37"/>
        <v/>
      </c>
      <c r="F300" s="257" t="str">
        <f t="shared" si="38"/>
        <v/>
      </c>
      <c r="G300" s="257" t="str">
        <f t="shared" si="39"/>
        <v/>
      </c>
      <c r="H300" s="257" t="str">
        <f t="shared" si="40"/>
        <v/>
      </c>
    </row>
    <row r="301" spans="1:8" x14ac:dyDescent="0.25">
      <c r="A301" s="254" t="str">
        <f t="shared" ca="1" si="41"/>
        <v/>
      </c>
      <c r="B301" s="255"/>
      <c r="C301" s="256"/>
      <c r="D301" s="257" t="str">
        <f t="shared" si="37"/>
        <v/>
      </c>
      <c r="F301" s="257" t="str">
        <f t="shared" si="38"/>
        <v/>
      </c>
      <c r="G301" s="257" t="str">
        <f t="shared" si="39"/>
        <v/>
      </c>
      <c r="H301" s="257" t="str">
        <f t="shared" si="40"/>
        <v/>
      </c>
    </row>
    <row r="302" spans="1:8" x14ac:dyDescent="0.25">
      <c r="A302" s="254" t="str">
        <f t="shared" ca="1" si="41"/>
        <v/>
      </c>
      <c r="B302" s="255"/>
      <c r="C302" s="256"/>
      <c r="D302" s="257" t="str">
        <f t="shared" si="37"/>
        <v/>
      </c>
      <c r="F302" s="257" t="str">
        <f t="shared" si="38"/>
        <v/>
      </c>
      <c r="G302" s="257" t="str">
        <f t="shared" si="39"/>
        <v/>
      </c>
      <c r="H302" s="257" t="str">
        <f t="shared" si="40"/>
        <v/>
      </c>
    </row>
    <row r="303" spans="1:8" x14ac:dyDescent="0.25">
      <c r="A303" s="254" t="str">
        <f t="shared" ca="1" si="41"/>
        <v/>
      </c>
      <c r="B303" s="255"/>
      <c r="C303" s="256"/>
      <c r="D303" s="257" t="str">
        <f t="shared" si="37"/>
        <v/>
      </c>
      <c r="F303" s="257" t="str">
        <f t="shared" si="38"/>
        <v/>
      </c>
      <c r="G303" s="257" t="str">
        <f t="shared" si="39"/>
        <v/>
      </c>
      <c r="H303" s="257" t="str">
        <f t="shared" si="40"/>
        <v/>
      </c>
    </row>
    <row r="304" spans="1:8" x14ac:dyDescent="0.25">
      <c r="A304" s="254" t="str">
        <f t="shared" ca="1" si="41"/>
        <v/>
      </c>
      <c r="B304" s="255"/>
      <c r="C304" s="256"/>
      <c r="D304" s="257" t="str">
        <f t="shared" si="37"/>
        <v/>
      </c>
      <c r="F304" s="257" t="str">
        <f t="shared" si="38"/>
        <v/>
      </c>
      <c r="G304" s="257" t="str">
        <f t="shared" si="39"/>
        <v/>
      </c>
      <c r="H304" s="257" t="str">
        <f t="shared" si="40"/>
        <v/>
      </c>
    </row>
    <row r="305" spans="1:8" x14ac:dyDescent="0.25">
      <c r="A305" s="254" t="str">
        <f t="shared" ca="1" si="41"/>
        <v/>
      </c>
      <c r="B305" s="255"/>
      <c r="C305" s="256"/>
      <c r="D305" s="257" t="str">
        <f t="shared" si="37"/>
        <v/>
      </c>
      <c r="F305" s="257" t="str">
        <f t="shared" si="38"/>
        <v/>
      </c>
      <c r="G305" s="257" t="str">
        <f t="shared" si="39"/>
        <v/>
      </c>
      <c r="H305" s="257" t="str">
        <f t="shared" si="40"/>
        <v/>
      </c>
    </row>
    <row r="306" spans="1:8" x14ac:dyDescent="0.25">
      <c r="A306" s="254" t="str">
        <f t="shared" ca="1" si="41"/>
        <v/>
      </c>
      <c r="B306" s="255"/>
      <c r="C306" s="256"/>
      <c r="D306" s="257" t="str">
        <f t="shared" si="37"/>
        <v/>
      </c>
      <c r="F306" s="257" t="str">
        <f t="shared" si="38"/>
        <v/>
      </c>
      <c r="G306" s="257" t="str">
        <f t="shared" si="39"/>
        <v/>
      </c>
      <c r="H306" s="257" t="str">
        <f t="shared" si="40"/>
        <v/>
      </c>
    </row>
    <row r="307" spans="1:8" x14ac:dyDescent="0.25">
      <c r="A307" s="254" t="str">
        <f t="shared" ca="1" si="41"/>
        <v/>
      </c>
      <c r="B307" s="255"/>
      <c r="C307" s="256"/>
      <c r="D307" s="257" t="str">
        <f t="shared" si="37"/>
        <v/>
      </c>
      <c r="F307" s="257" t="str">
        <f t="shared" si="38"/>
        <v/>
      </c>
      <c r="G307" s="257" t="str">
        <f t="shared" si="39"/>
        <v/>
      </c>
      <c r="H307" s="257" t="str">
        <f t="shared" si="40"/>
        <v/>
      </c>
    </row>
    <row r="308" spans="1:8" x14ac:dyDescent="0.25">
      <c r="A308" s="254" t="str">
        <f t="shared" ca="1" si="41"/>
        <v/>
      </c>
      <c r="B308" s="255"/>
      <c r="C308" s="256"/>
      <c r="D308" s="257" t="str">
        <f t="shared" si="37"/>
        <v/>
      </c>
      <c r="F308" s="257" t="str">
        <f t="shared" si="38"/>
        <v/>
      </c>
      <c r="G308" s="257" t="str">
        <f t="shared" si="39"/>
        <v/>
      </c>
      <c r="H308" s="257" t="str">
        <f t="shared" si="40"/>
        <v/>
      </c>
    </row>
    <row r="309" spans="1:8" x14ac:dyDescent="0.25">
      <c r="A309" s="254" t="str">
        <f t="shared" ca="1" si="41"/>
        <v/>
      </c>
      <c r="B309" s="255"/>
      <c r="C309" s="256"/>
      <c r="D309" s="257" t="str">
        <f t="shared" si="37"/>
        <v/>
      </c>
      <c r="F309" s="257" t="str">
        <f t="shared" si="38"/>
        <v/>
      </c>
      <c r="G309" s="257" t="str">
        <f t="shared" si="39"/>
        <v/>
      </c>
      <c r="H309" s="257" t="str">
        <f t="shared" si="40"/>
        <v/>
      </c>
    </row>
    <row r="310" spans="1:8" x14ac:dyDescent="0.25">
      <c r="A310" s="254" t="str">
        <f t="shared" ca="1" si="41"/>
        <v/>
      </c>
      <c r="B310" s="255"/>
      <c r="C310" s="256"/>
      <c r="D310" s="257" t="str">
        <f t="shared" si="37"/>
        <v/>
      </c>
      <c r="F310" s="257" t="str">
        <f t="shared" si="38"/>
        <v/>
      </c>
      <c r="G310" s="257" t="str">
        <f t="shared" si="39"/>
        <v/>
      </c>
      <c r="H310" s="257" t="str">
        <f t="shared" si="40"/>
        <v/>
      </c>
    </row>
    <row r="311" spans="1:8" x14ac:dyDescent="0.25">
      <c r="A311" s="254" t="str">
        <f t="shared" ca="1" si="41"/>
        <v/>
      </c>
      <c r="B311" s="255"/>
      <c r="C311" s="256"/>
      <c r="D311" s="257" t="str">
        <f t="shared" si="37"/>
        <v/>
      </c>
      <c r="F311" s="257" t="str">
        <f t="shared" si="38"/>
        <v/>
      </c>
      <c r="G311" s="257" t="str">
        <f t="shared" si="39"/>
        <v/>
      </c>
      <c r="H311" s="257" t="str">
        <f t="shared" si="40"/>
        <v/>
      </c>
    </row>
    <row r="312" spans="1:8" x14ac:dyDescent="0.25">
      <c r="A312" s="254" t="str">
        <f t="shared" ca="1" si="41"/>
        <v/>
      </c>
      <c r="B312" s="255"/>
      <c r="C312" s="256"/>
      <c r="D312" s="257" t="str">
        <f t="shared" si="37"/>
        <v/>
      </c>
      <c r="F312" s="257" t="str">
        <f t="shared" si="38"/>
        <v/>
      </c>
      <c r="G312" s="257" t="str">
        <f t="shared" si="39"/>
        <v/>
      </c>
      <c r="H312" s="257" t="str">
        <f t="shared" si="40"/>
        <v/>
      </c>
    </row>
    <row r="313" spans="1:8" x14ac:dyDescent="0.25">
      <c r="A313" s="254" t="str">
        <f t="shared" ca="1" si="41"/>
        <v/>
      </c>
      <c r="B313" s="255"/>
      <c r="C313" s="256"/>
      <c r="D313" s="257" t="str">
        <f t="shared" si="37"/>
        <v/>
      </c>
      <c r="F313" s="257" t="str">
        <f t="shared" si="38"/>
        <v/>
      </c>
      <c r="G313" s="257" t="str">
        <f t="shared" si="39"/>
        <v/>
      </c>
      <c r="H313" s="257" t="str">
        <f t="shared" si="40"/>
        <v/>
      </c>
    </row>
    <row r="314" spans="1:8" x14ac:dyDescent="0.25">
      <c r="A314" s="254" t="str">
        <f t="shared" ca="1" si="41"/>
        <v/>
      </c>
      <c r="B314" s="255"/>
      <c r="C314" s="256"/>
      <c r="D314" s="257" t="str">
        <f t="shared" si="37"/>
        <v/>
      </c>
      <c r="F314" s="257" t="str">
        <f t="shared" si="38"/>
        <v/>
      </c>
      <c r="G314" s="257" t="str">
        <f t="shared" si="39"/>
        <v/>
      </c>
      <c r="H314" s="257" t="str">
        <f t="shared" si="40"/>
        <v/>
      </c>
    </row>
    <row r="315" spans="1:8" x14ac:dyDescent="0.25">
      <c r="A315" s="254" t="str">
        <f t="shared" ca="1" si="41"/>
        <v/>
      </c>
      <c r="B315" s="255"/>
      <c r="C315" s="256"/>
      <c r="D315" s="257" t="str">
        <f t="shared" si="37"/>
        <v/>
      </c>
      <c r="F315" s="257" t="str">
        <f t="shared" si="38"/>
        <v/>
      </c>
      <c r="G315" s="257" t="str">
        <f t="shared" si="39"/>
        <v/>
      </c>
      <c r="H315" s="257" t="str">
        <f t="shared" si="40"/>
        <v/>
      </c>
    </row>
    <row r="316" spans="1:8" x14ac:dyDescent="0.25">
      <c r="A316" s="254" t="str">
        <f t="shared" ca="1" si="41"/>
        <v/>
      </c>
      <c r="B316" s="255"/>
      <c r="C316" s="256"/>
      <c r="D316" s="257" t="str">
        <f t="shared" si="37"/>
        <v/>
      </c>
      <c r="F316" s="257" t="str">
        <f t="shared" si="38"/>
        <v/>
      </c>
      <c r="G316" s="257" t="str">
        <f t="shared" si="39"/>
        <v/>
      </c>
      <c r="H316" s="257" t="str">
        <f t="shared" si="40"/>
        <v/>
      </c>
    </row>
    <row r="317" spans="1:8" x14ac:dyDescent="0.25">
      <c r="A317" s="254" t="str">
        <f t="shared" ca="1" si="41"/>
        <v/>
      </c>
      <c r="B317" s="255"/>
      <c r="C317" s="256"/>
      <c r="D317" s="257" t="str">
        <f t="shared" si="37"/>
        <v/>
      </c>
      <c r="F317" s="257" t="str">
        <f t="shared" si="38"/>
        <v/>
      </c>
      <c r="G317" s="257" t="str">
        <f t="shared" si="39"/>
        <v/>
      </c>
      <c r="H317" s="257" t="str">
        <f t="shared" si="40"/>
        <v/>
      </c>
    </row>
    <row r="318" spans="1:8" x14ac:dyDescent="0.25">
      <c r="A318" s="254" t="str">
        <f t="shared" ca="1" si="41"/>
        <v/>
      </c>
      <c r="B318" s="255"/>
      <c r="C318" s="256"/>
      <c r="D318" s="257" t="str">
        <f t="shared" si="37"/>
        <v/>
      </c>
      <c r="F318" s="257" t="str">
        <f t="shared" si="38"/>
        <v/>
      </c>
      <c r="G318" s="257" t="str">
        <f t="shared" si="39"/>
        <v/>
      </c>
      <c r="H318" s="257" t="str">
        <f t="shared" si="40"/>
        <v/>
      </c>
    </row>
    <row r="319" spans="1:8" x14ac:dyDescent="0.25">
      <c r="A319" s="254" t="str">
        <f t="shared" ca="1" si="41"/>
        <v/>
      </c>
      <c r="B319" s="255"/>
      <c r="C319" s="256"/>
      <c r="D319" s="257" t="str">
        <f t="shared" si="37"/>
        <v/>
      </c>
      <c r="F319" s="257" t="str">
        <f t="shared" si="38"/>
        <v/>
      </c>
      <c r="G319" s="257" t="str">
        <f t="shared" si="39"/>
        <v/>
      </c>
      <c r="H319" s="257" t="str">
        <f t="shared" si="40"/>
        <v/>
      </c>
    </row>
    <row r="320" spans="1:8" x14ac:dyDescent="0.25">
      <c r="A320" s="254" t="str">
        <f t="shared" ca="1" si="41"/>
        <v/>
      </c>
      <c r="B320" s="255"/>
      <c r="C320" s="256"/>
      <c r="D320" s="257" t="str">
        <f t="shared" si="37"/>
        <v/>
      </c>
      <c r="F320" s="257" t="str">
        <f t="shared" si="38"/>
        <v/>
      </c>
      <c r="G320" s="257" t="str">
        <f t="shared" si="39"/>
        <v/>
      </c>
      <c r="H320" s="257" t="str">
        <f t="shared" si="40"/>
        <v/>
      </c>
    </row>
    <row r="321" spans="1:8" x14ac:dyDescent="0.25">
      <c r="A321" s="254" t="str">
        <f t="shared" ca="1" si="41"/>
        <v/>
      </c>
      <c r="B321" s="255"/>
      <c r="C321" s="256"/>
      <c r="D321" s="257" t="str">
        <f t="shared" si="37"/>
        <v/>
      </c>
      <c r="F321" s="257" t="str">
        <f t="shared" si="38"/>
        <v/>
      </c>
      <c r="G321" s="257" t="str">
        <f t="shared" si="39"/>
        <v/>
      </c>
      <c r="H321" s="257" t="str">
        <f t="shared" si="40"/>
        <v/>
      </c>
    </row>
    <row r="322" spans="1:8" x14ac:dyDescent="0.25">
      <c r="A322" s="254" t="str">
        <f t="shared" ca="1" si="41"/>
        <v/>
      </c>
      <c r="B322" s="255"/>
      <c r="C322" s="256"/>
      <c r="D322" s="257" t="str">
        <f t="shared" si="37"/>
        <v/>
      </c>
      <c r="F322" s="257" t="str">
        <f t="shared" si="38"/>
        <v/>
      </c>
      <c r="G322" s="257" t="str">
        <f t="shared" si="39"/>
        <v/>
      </c>
      <c r="H322" s="257" t="str">
        <f t="shared" si="40"/>
        <v/>
      </c>
    </row>
    <row r="323" spans="1:8" x14ac:dyDescent="0.25">
      <c r="A323" s="254" t="str">
        <f t="shared" ca="1" si="41"/>
        <v/>
      </c>
      <c r="B323" s="255"/>
      <c r="C323" s="256"/>
      <c r="D323" s="257" t="str">
        <f t="shared" si="37"/>
        <v/>
      </c>
      <c r="F323" s="257" t="str">
        <f t="shared" si="38"/>
        <v/>
      </c>
      <c r="G323" s="257" t="str">
        <f t="shared" si="39"/>
        <v/>
      </c>
      <c r="H323" s="257" t="str">
        <f t="shared" si="40"/>
        <v/>
      </c>
    </row>
    <row r="324" spans="1:8" x14ac:dyDescent="0.25">
      <c r="A324" s="254" t="str">
        <f t="shared" ca="1" si="41"/>
        <v/>
      </c>
      <c r="B324" s="255"/>
      <c r="C324" s="256"/>
      <c r="D324" s="257" t="str">
        <f t="shared" si="37"/>
        <v/>
      </c>
      <c r="F324" s="257" t="str">
        <f t="shared" si="38"/>
        <v/>
      </c>
      <c r="G324" s="257" t="str">
        <f t="shared" si="39"/>
        <v/>
      </c>
      <c r="H324" s="257" t="str">
        <f t="shared" si="40"/>
        <v/>
      </c>
    </row>
    <row r="325" spans="1:8" x14ac:dyDescent="0.25">
      <c r="A325" s="254" t="str">
        <f t="shared" ca="1" si="41"/>
        <v/>
      </c>
      <c r="B325" s="255"/>
      <c r="C325" s="256"/>
      <c r="D325" s="257" t="str">
        <f t="shared" si="37"/>
        <v/>
      </c>
      <c r="F325" s="257" t="str">
        <f t="shared" si="38"/>
        <v/>
      </c>
      <c r="G325" s="257" t="str">
        <f t="shared" si="39"/>
        <v/>
      </c>
      <c r="H325" s="257" t="str">
        <f t="shared" si="40"/>
        <v/>
      </c>
    </row>
    <row r="326" spans="1:8" x14ac:dyDescent="0.25">
      <c r="A326" s="254" t="str">
        <f t="shared" ca="1" si="41"/>
        <v/>
      </c>
      <c r="B326" s="255"/>
      <c r="C326" s="256"/>
      <c r="D326" s="257" t="str">
        <f t="shared" si="37"/>
        <v/>
      </c>
      <c r="F326" s="257" t="str">
        <f t="shared" si="38"/>
        <v/>
      </c>
      <c r="G326" s="257" t="str">
        <f t="shared" si="39"/>
        <v/>
      </c>
      <c r="H326" s="257" t="str">
        <f t="shared" si="40"/>
        <v/>
      </c>
    </row>
    <row r="327" spans="1:8" x14ac:dyDescent="0.25">
      <c r="A327" s="254" t="str">
        <f t="shared" ca="1" si="41"/>
        <v/>
      </c>
      <c r="B327" s="255"/>
      <c r="C327" s="256"/>
      <c r="D327" s="257" t="str">
        <f t="shared" si="37"/>
        <v/>
      </c>
      <c r="F327" s="257" t="str">
        <f t="shared" si="38"/>
        <v/>
      </c>
      <c r="G327" s="257" t="str">
        <f t="shared" si="39"/>
        <v/>
      </c>
      <c r="H327" s="257" t="str">
        <f t="shared" si="40"/>
        <v/>
      </c>
    </row>
    <row r="328" spans="1:8" x14ac:dyDescent="0.25">
      <c r="A328" s="254" t="str">
        <f t="shared" ca="1" si="41"/>
        <v/>
      </c>
      <c r="B328" s="255"/>
      <c r="C328" s="256"/>
      <c r="D328" s="257" t="str">
        <f t="shared" si="37"/>
        <v/>
      </c>
      <c r="F328" s="257" t="str">
        <f t="shared" si="38"/>
        <v/>
      </c>
      <c r="G328" s="257" t="str">
        <f t="shared" si="39"/>
        <v/>
      </c>
      <c r="H328" s="257" t="str">
        <f t="shared" si="40"/>
        <v/>
      </c>
    </row>
    <row r="329" spans="1:8" x14ac:dyDescent="0.25">
      <c r="A329" s="254" t="str">
        <f t="shared" ca="1" si="41"/>
        <v/>
      </c>
      <c r="B329" s="255"/>
      <c r="C329" s="256"/>
      <c r="D329" s="257" t="str">
        <f t="shared" si="37"/>
        <v/>
      </c>
      <c r="F329" s="257" t="str">
        <f t="shared" si="38"/>
        <v/>
      </c>
      <c r="G329" s="257" t="str">
        <f t="shared" si="39"/>
        <v/>
      </c>
      <c r="H329" s="257" t="str">
        <f t="shared" si="40"/>
        <v/>
      </c>
    </row>
    <row r="330" spans="1:8" x14ac:dyDescent="0.25">
      <c r="A330" s="254" t="str">
        <f t="shared" ca="1" si="41"/>
        <v/>
      </c>
      <c r="B330" s="255"/>
      <c r="C330" s="256"/>
      <c r="D330" s="257" t="str">
        <f t="shared" si="37"/>
        <v/>
      </c>
      <c r="F330" s="257" t="str">
        <f t="shared" si="38"/>
        <v/>
      </c>
      <c r="G330" s="257" t="str">
        <f t="shared" si="39"/>
        <v/>
      </c>
      <c r="H330" s="257" t="str">
        <f t="shared" si="40"/>
        <v/>
      </c>
    </row>
    <row r="331" spans="1:8" x14ac:dyDescent="0.25">
      <c r="A331" s="254" t="str">
        <f t="shared" ca="1" si="41"/>
        <v/>
      </c>
      <c r="B331" s="255"/>
      <c r="C331" s="256"/>
      <c r="D331" s="257" t="str">
        <f t="shared" si="37"/>
        <v/>
      </c>
      <c r="F331" s="257" t="str">
        <f t="shared" si="38"/>
        <v/>
      </c>
      <c r="G331" s="257" t="str">
        <f t="shared" si="39"/>
        <v/>
      </c>
      <c r="H331" s="257" t="str">
        <f t="shared" si="40"/>
        <v/>
      </c>
    </row>
    <row r="332" spans="1:8" x14ac:dyDescent="0.25">
      <c r="A332" s="254" t="str">
        <f t="shared" ca="1" si="41"/>
        <v/>
      </c>
      <c r="B332" s="255"/>
      <c r="C332" s="256"/>
      <c r="D332" s="257" t="str">
        <f t="shared" si="37"/>
        <v/>
      </c>
      <c r="F332" s="257" t="str">
        <f t="shared" si="38"/>
        <v/>
      </c>
      <c r="G332" s="257" t="str">
        <f t="shared" si="39"/>
        <v/>
      </c>
      <c r="H332" s="257" t="str">
        <f t="shared" si="40"/>
        <v/>
      </c>
    </row>
    <row r="333" spans="1:8" x14ac:dyDescent="0.25">
      <c r="A333" s="254" t="str">
        <f t="shared" ca="1" si="41"/>
        <v/>
      </c>
      <c r="B333" s="255"/>
      <c r="C333" s="256"/>
      <c r="D333" s="257" t="str">
        <f t="shared" si="37"/>
        <v/>
      </c>
      <c r="F333" s="257" t="str">
        <f t="shared" si="38"/>
        <v/>
      </c>
      <c r="G333" s="257" t="str">
        <f t="shared" si="39"/>
        <v/>
      </c>
      <c r="H333" s="257" t="str">
        <f t="shared" si="40"/>
        <v/>
      </c>
    </row>
    <row r="334" spans="1:8" x14ac:dyDescent="0.25">
      <c r="A334" s="254" t="str">
        <f t="shared" ca="1" si="41"/>
        <v/>
      </c>
      <c r="B334" s="255"/>
      <c r="C334" s="256"/>
      <c r="D334" s="257" t="str">
        <f t="shared" si="37"/>
        <v/>
      </c>
      <c r="F334" s="257" t="str">
        <f t="shared" si="38"/>
        <v/>
      </c>
      <c r="G334" s="257" t="str">
        <f t="shared" si="39"/>
        <v/>
      </c>
      <c r="H334" s="257" t="str">
        <f t="shared" si="40"/>
        <v/>
      </c>
    </row>
    <row r="335" spans="1:8" x14ac:dyDescent="0.25">
      <c r="A335" s="254" t="str">
        <f t="shared" ca="1" si="41"/>
        <v/>
      </c>
      <c r="B335" s="255"/>
      <c r="C335" s="256"/>
      <c r="D335" s="257" t="str">
        <f t="shared" si="37"/>
        <v/>
      </c>
      <c r="F335" s="257" t="str">
        <f t="shared" si="38"/>
        <v/>
      </c>
      <c r="G335" s="257" t="str">
        <f t="shared" si="39"/>
        <v/>
      </c>
      <c r="H335" s="257" t="str">
        <f t="shared" si="40"/>
        <v/>
      </c>
    </row>
    <row r="336" spans="1:8" x14ac:dyDescent="0.25">
      <c r="A336" s="254" t="str">
        <f t="shared" ca="1" si="41"/>
        <v/>
      </c>
      <c r="B336" s="255"/>
      <c r="C336" s="256"/>
      <c r="D336" s="257" t="str">
        <f t="shared" si="37"/>
        <v/>
      </c>
      <c r="F336" s="257" t="str">
        <f t="shared" si="38"/>
        <v/>
      </c>
      <c r="G336" s="257" t="str">
        <f t="shared" si="39"/>
        <v/>
      </c>
      <c r="H336" s="257" t="str">
        <f t="shared" si="40"/>
        <v/>
      </c>
    </row>
    <row r="337" spans="1:8" x14ac:dyDescent="0.25">
      <c r="A337" s="254" t="str">
        <f t="shared" ca="1" si="41"/>
        <v/>
      </c>
      <c r="B337" s="255"/>
      <c r="C337" s="256"/>
      <c r="D337" s="257" t="str">
        <f t="shared" si="37"/>
        <v/>
      </c>
      <c r="F337" s="257" t="str">
        <f t="shared" si="38"/>
        <v/>
      </c>
      <c r="G337" s="257" t="str">
        <f t="shared" si="39"/>
        <v/>
      </c>
      <c r="H337" s="257" t="str">
        <f t="shared" si="40"/>
        <v/>
      </c>
    </row>
    <row r="338" spans="1:8" x14ac:dyDescent="0.25">
      <c r="A338" s="254" t="str">
        <f t="shared" ca="1" si="41"/>
        <v/>
      </c>
      <c r="B338" s="255"/>
      <c r="C338" s="256"/>
      <c r="D338" s="257" t="str">
        <f t="shared" si="37"/>
        <v/>
      </c>
      <c r="F338" s="257" t="str">
        <f t="shared" si="38"/>
        <v/>
      </c>
      <c r="G338" s="257" t="str">
        <f t="shared" si="39"/>
        <v/>
      </c>
      <c r="H338" s="257" t="str">
        <f t="shared" si="40"/>
        <v/>
      </c>
    </row>
    <row r="339" spans="1:8" x14ac:dyDescent="0.25">
      <c r="A339" s="254" t="str">
        <f t="shared" ca="1" si="41"/>
        <v/>
      </c>
      <c r="B339" s="255"/>
      <c r="C339" s="256"/>
      <c r="D339" s="257" t="str">
        <f t="shared" ref="D339:D402" si="42">IF(B339="","",ROUND((B339-B338)*$H$9*G338,2))</f>
        <v/>
      </c>
      <c r="F339" s="257" t="str">
        <f t="shared" ref="F339:F402" si="43">IF(B339="","",IF(C339&gt;F338+D339,0,F338+D339-C339))</f>
        <v/>
      </c>
      <c r="G339" s="257" t="str">
        <f t="shared" ref="G339:G402" si="44">IF(B339="","",IF(C339&gt;D339+F338,G338+F338+D339-C339,G338))</f>
        <v/>
      </c>
      <c r="H339" s="257" t="str">
        <f t="shared" ref="H339:H402" si="45">IF(B339="","",G339+F339)</f>
        <v/>
      </c>
    </row>
    <row r="340" spans="1:8" x14ac:dyDescent="0.25">
      <c r="A340" s="254" t="str">
        <f t="shared" ca="1" si="41"/>
        <v/>
      </c>
      <c r="B340" s="255"/>
      <c r="C340" s="256"/>
      <c r="D340" s="257" t="str">
        <f t="shared" si="42"/>
        <v/>
      </c>
      <c r="F340" s="257" t="str">
        <f t="shared" si="43"/>
        <v/>
      </c>
      <c r="G340" s="257" t="str">
        <f t="shared" si="44"/>
        <v/>
      </c>
      <c r="H340" s="257" t="str">
        <f t="shared" si="45"/>
        <v/>
      </c>
    </row>
    <row r="341" spans="1:8" x14ac:dyDescent="0.25">
      <c r="A341" s="254" t="str">
        <f t="shared" ca="1" si="41"/>
        <v/>
      </c>
      <c r="B341" s="255"/>
      <c r="C341" s="256"/>
      <c r="D341" s="257" t="str">
        <f t="shared" si="42"/>
        <v/>
      </c>
      <c r="F341" s="257" t="str">
        <f t="shared" si="43"/>
        <v/>
      </c>
      <c r="G341" s="257" t="str">
        <f t="shared" si="44"/>
        <v/>
      </c>
      <c r="H341" s="257" t="str">
        <f t="shared" si="45"/>
        <v/>
      </c>
    </row>
    <row r="342" spans="1:8" x14ac:dyDescent="0.25">
      <c r="A342" s="254" t="str">
        <f t="shared" ca="1" si="41"/>
        <v/>
      </c>
      <c r="B342" s="255"/>
      <c r="C342" s="256"/>
      <c r="D342" s="257" t="str">
        <f t="shared" si="42"/>
        <v/>
      </c>
      <c r="F342" s="257" t="str">
        <f t="shared" si="43"/>
        <v/>
      </c>
      <c r="G342" s="257" t="str">
        <f t="shared" si="44"/>
        <v/>
      </c>
      <c r="H342" s="257" t="str">
        <f t="shared" si="45"/>
        <v/>
      </c>
    </row>
    <row r="343" spans="1:8" x14ac:dyDescent="0.25">
      <c r="A343" s="254" t="str">
        <f t="shared" ca="1" si="41"/>
        <v/>
      </c>
      <c r="B343" s="255"/>
      <c r="C343" s="256"/>
      <c r="D343" s="257" t="str">
        <f t="shared" si="42"/>
        <v/>
      </c>
      <c r="F343" s="257" t="str">
        <f t="shared" si="43"/>
        <v/>
      </c>
      <c r="G343" s="257" t="str">
        <f t="shared" si="44"/>
        <v/>
      </c>
      <c r="H343" s="257" t="str">
        <f t="shared" si="45"/>
        <v/>
      </c>
    </row>
    <row r="344" spans="1:8" x14ac:dyDescent="0.25">
      <c r="A344" s="254" t="str">
        <f t="shared" ca="1" si="41"/>
        <v/>
      </c>
      <c r="B344" s="255"/>
      <c r="C344" s="256"/>
      <c r="D344" s="257" t="str">
        <f t="shared" si="42"/>
        <v/>
      </c>
      <c r="F344" s="257" t="str">
        <f t="shared" si="43"/>
        <v/>
      </c>
      <c r="G344" s="257" t="str">
        <f t="shared" si="44"/>
        <v/>
      </c>
      <c r="H344" s="257" t="str">
        <f t="shared" si="45"/>
        <v/>
      </c>
    </row>
    <row r="345" spans="1:8" x14ac:dyDescent="0.25">
      <c r="A345" s="254" t="str">
        <f t="shared" ca="1" si="41"/>
        <v/>
      </c>
      <c r="B345" s="255"/>
      <c r="C345" s="256"/>
      <c r="D345" s="257" t="str">
        <f t="shared" si="42"/>
        <v/>
      </c>
      <c r="F345" s="257" t="str">
        <f t="shared" si="43"/>
        <v/>
      </c>
      <c r="G345" s="257" t="str">
        <f t="shared" si="44"/>
        <v/>
      </c>
      <c r="H345" s="257" t="str">
        <f t="shared" si="45"/>
        <v/>
      </c>
    </row>
    <row r="346" spans="1:8" x14ac:dyDescent="0.25">
      <c r="A346" s="254" t="str">
        <f t="shared" ca="1" si="41"/>
        <v/>
      </c>
      <c r="B346" s="255"/>
      <c r="C346" s="256"/>
      <c r="D346" s="257" t="str">
        <f t="shared" si="42"/>
        <v/>
      </c>
      <c r="F346" s="257" t="str">
        <f t="shared" si="43"/>
        <v/>
      </c>
      <c r="G346" s="257" t="str">
        <f t="shared" si="44"/>
        <v/>
      </c>
      <c r="H346" s="257" t="str">
        <f t="shared" si="45"/>
        <v/>
      </c>
    </row>
    <row r="347" spans="1:8" x14ac:dyDescent="0.25">
      <c r="A347" s="254" t="str">
        <f t="shared" ca="1" si="41"/>
        <v/>
      </c>
      <c r="B347" s="255"/>
      <c r="C347" s="256"/>
      <c r="D347" s="257" t="str">
        <f t="shared" si="42"/>
        <v/>
      </c>
      <c r="F347" s="257" t="str">
        <f t="shared" si="43"/>
        <v/>
      </c>
      <c r="G347" s="257" t="str">
        <f t="shared" si="44"/>
        <v/>
      </c>
      <c r="H347" s="257" t="str">
        <f t="shared" si="45"/>
        <v/>
      </c>
    </row>
    <row r="348" spans="1:8" x14ac:dyDescent="0.25">
      <c r="A348" s="254" t="str">
        <f t="shared" ca="1" si="41"/>
        <v/>
      </c>
      <c r="B348" s="255"/>
      <c r="C348" s="256"/>
      <c r="D348" s="257" t="str">
        <f t="shared" si="42"/>
        <v/>
      </c>
      <c r="F348" s="257" t="str">
        <f t="shared" si="43"/>
        <v/>
      </c>
      <c r="G348" s="257" t="str">
        <f t="shared" si="44"/>
        <v/>
      </c>
      <c r="H348" s="257" t="str">
        <f t="shared" si="45"/>
        <v/>
      </c>
    </row>
    <row r="349" spans="1:8" x14ac:dyDescent="0.25">
      <c r="A349" s="254" t="str">
        <f t="shared" ca="1" si="41"/>
        <v/>
      </c>
      <c r="B349" s="255"/>
      <c r="C349" s="256"/>
      <c r="D349" s="257" t="str">
        <f t="shared" si="42"/>
        <v/>
      </c>
      <c r="F349" s="257" t="str">
        <f t="shared" si="43"/>
        <v/>
      </c>
      <c r="G349" s="257" t="str">
        <f t="shared" si="44"/>
        <v/>
      </c>
      <c r="H349" s="257" t="str">
        <f t="shared" si="45"/>
        <v/>
      </c>
    </row>
    <row r="350" spans="1:8" x14ac:dyDescent="0.25">
      <c r="A350" s="254" t="str">
        <f t="shared" ca="1" si="41"/>
        <v/>
      </c>
      <c r="B350" s="255"/>
      <c r="C350" s="256"/>
      <c r="D350" s="257" t="str">
        <f t="shared" si="42"/>
        <v/>
      </c>
      <c r="F350" s="257" t="str">
        <f t="shared" si="43"/>
        <v/>
      </c>
      <c r="G350" s="257" t="str">
        <f t="shared" si="44"/>
        <v/>
      </c>
      <c r="H350" s="257" t="str">
        <f t="shared" si="45"/>
        <v/>
      </c>
    </row>
    <row r="351" spans="1:8" x14ac:dyDescent="0.25">
      <c r="A351" s="254" t="str">
        <f t="shared" ca="1" si="41"/>
        <v/>
      </c>
      <c r="B351" s="255"/>
      <c r="C351" s="256"/>
      <c r="D351" s="257" t="str">
        <f t="shared" si="42"/>
        <v/>
      </c>
      <c r="F351" s="257" t="str">
        <f t="shared" si="43"/>
        <v/>
      </c>
      <c r="G351" s="257" t="str">
        <f t="shared" si="44"/>
        <v/>
      </c>
      <c r="H351" s="257" t="str">
        <f t="shared" si="45"/>
        <v/>
      </c>
    </row>
    <row r="352" spans="1:8" x14ac:dyDescent="0.25">
      <c r="A352" s="254" t="str">
        <f t="shared" ca="1" si="41"/>
        <v/>
      </c>
      <c r="B352" s="255"/>
      <c r="C352" s="256"/>
      <c r="D352" s="257" t="str">
        <f t="shared" si="42"/>
        <v/>
      </c>
      <c r="F352" s="257" t="str">
        <f t="shared" si="43"/>
        <v/>
      </c>
      <c r="G352" s="257" t="str">
        <f t="shared" si="44"/>
        <v/>
      </c>
      <c r="H352" s="257" t="str">
        <f t="shared" si="45"/>
        <v/>
      </c>
    </row>
    <row r="353" spans="1:8" x14ac:dyDescent="0.25">
      <c r="A353" s="254" t="str">
        <f t="shared" ca="1" si="41"/>
        <v/>
      </c>
      <c r="B353" s="255"/>
      <c r="C353" s="256"/>
      <c r="D353" s="257" t="str">
        <f t="shared" si="42"/>
        <v/>
      </c>
      <c r="F353" s="257" t="str">
        <f t="shared" si="43"/>
        <v/>
      </c>
      <c r="G353" s="257" t="str">
        <f t="shared" si="44"/>
        <v/>
      </c>
      <c r="H353" s="257" t="str">
        <f t="shared" si="45"/>
        <v/>
      </c>
    </row>
    <row r="354" spans="1:8" x14ac:dyDescent="0.25">
      <c r="A354" s="254" t="str">
        <f t="shared" ca="1" si="41"/>
        <v/>
      </c>
      <c r="B354" s="255"/>
      <c r="C354" s="256"/>
      <c r="D354" s="257" t="str">
        <f t="shared" si="42"/>
        <v/>
      </c>
      <c r="F354" s="257" t="str">
        <f t="shared" si="43"/>
        <v/>
      </c>
      <c r="G354" s="257" t="str">
        <f t="shared" si="44"/>
        <v/>
      </c>
      <c r="H354" s="257" t="str">
        <f t="shared" si="45"/>
        <v/>
      </c>
    </row>
    <row r="355" spans="1:8" x14ac:dyDescent="0.25">
      <c r="A355" s="254" t="str">
        <f t="shared" ca="1" si="41"/>
        <v/>
      </c>
      <c r="B355" s="255"/>
      <c r="C355" s="256"/>
      <c r="D355" s="257" t="str">
        <f t="shared" si="42"/>
        <v/>
      </c>
      <c r="F355" s="257" t="str">
        <f t="shared" si="43"/>
        <v/>
      </c>
      <c r="G355" s="257" t="str">
        <f t="shared" si="44"/>
        <v/>
      </c>
      <c r="H355" s="257" t="str">
        <f t="shared" si="45"/>
        <v/>
      </c>
    </row>
    <row r="356" spans="1:8" x14ac:dyDescent="0.25">
      <c r="A356" s="254" t="str">
        <f t="shared" ca="1" si="41"/>
        <v/>
      </c>
      <c r="B356" s="255"/>
      <c r="C356" s="256"/>
      <c r="D356" s="257" t="str">
        <f t="shared" si="42"/>
        <v/>
      </c>
      <c r="F356" s="257" t="str">
        <f t="shared" si="43"/>
        <v/>
      </c>
      <c r="G356" s="257" t="str">
        <f t="shared" si="44"/>
        <v/>
      </c>
      <c r="H356" s="257" t="str">
        <f t="shared" si="45"/>
        <v/>
      </c>
    </row>
    <row r="357" spans="1:8" x14ac:dyDescent="0.25">
      <c r="A357" s="254" t="str">
        <f t="shared" ca="1" si="41"/>
        <v/>
      </c>
      <c r="B357" s="255"/>
      <c r="C357" s="256"/>
      <c r="D357" s="257" t="str">
        <f t="shared" si="42"/>
        <v/>
      </c>
      <c r="F357" s="257" t="str">
        <f t="shared" si="43"/>
        <v/>
      </c>
      <c r="G357" s="257" t="str">
        <f t="shared" si="44"/>
        <v/>
      </c>
      <c r="H357" s="257" t="str">
        <f t="shared" si="45"/>
        <v/>
      </c>
    </row>
    <row r="358" spans="1:8" x14ac:dyDescent="0.25">
      <c r="A358" s="254" t="str">
        <f t="shared" ca="1" si="41"/>
        <v/>
      </c>
      <c r="B358" s="255"/>
      <c r="C358" s="256"/>
      <c r="D358" s="257" t="str">
        <f t="shared" si="42"/>
        <v/>
      </c>
      <c r="F358" s="257" t="str">
        <f t="shared" si="43"/>
        <v/>
      </c>
      <c r="G358" s="257" t="str">
        <f t="shared" si="44"/>
        <v/>
      </c>
      <c r="H358" s="257" t="str">
        <f t="shared" si="45"/>
        <v/>
      </c>
    </row>
    <row r="359" spans="1:8" x14ac:dyDescent="0.25">
      <c r="A359" s="254" t="str">
        <f t="shared" ca="1" si="41"/>
        <v/>
      </c>
      <c r="B359" s="255"/>
      <c r="C359" s="256"/>
      <c r="D359" s="257" t="str">
        <f t="shared" si="42"/>
        <v/>
      </c>
      <c r="F359" s="257" t="str">
        <f t="shared" si="43"/>
        <v/>
      </c>
      <c r="G359" s="257" t="str">
        <f t="shared" si="44"/>
        <v/>
      </c>
      <c r="H359" s="257" t="str">
        <f t="shared" si="45"/>
        <v/>
      </c>
    </row>
    <row r="360" spans="1:8" x14ac:dyDescent="0.25">
      <c r="A360" s="254" t="str">
        <f t="shared" ca="1" si="41"/>
        <v/>
      </c>
      <c r="B360" s="255"/>
      <c r="C360" s="256"/>
      <c r="D360" s="257" t="str">
        <f t="shared" si="42"/>
        <v/>
      </c>
      <c r="F360" s="257" t="str">
        <f t="shared" si="43"/>
        <v/>
      </c>
      <c r="G360" s="257" t="str">
        <f t="shared" si="44"/>
        <v/>
      </c>
      <c r="H360" s="257" t="str">
        <f t="shared" si="45"/>
        <v/>
      </c>
    </row>
    <row r="361" spans="1:8" x14ac:dyDescent="0.25">
      <c r="A361" s="254" t="str">
        <f t="shared" ref="A361:A424" ca="1" si="46">IF(OR(H360&lt;=0,H360=""),"",OFFSET(A361,-1,0,1,1)+1)</f>
        <v/>
      </c>
      <c r="B361" s="255"/>
      <c r="C361" s="256"/>
      <c r="D361" s="257" t="str">
        <f t="shared" si="42"/>
        <v/>
      </c>
      <c r="F361" s="257" t="str">
        <f t="shared" si="43"/>
        <v/>
      </c>
      <c r="G361" s="257" t="str">
        <f t="shared" si="44"/>
        <v/>
      </c>
      <c r="H361" s="257" t="str">
        <f t="shared" si="45"/>
        <v/>
      </c>
    </row>
    <row r="362" spans="1:8" x14ac:dyDescent="0.25">
      <c r="A362" s="254" t="str">
        <f t="shared" ca="1" si="46"/>
        <v/>
      </c>
      <c r="B362" s="255"/>
      <c r="C362" s="256"/>
      <c r="D362" s="257" t="str">
        <f t="shared" si="42"/>
        <v/>
      </c>
      <c r="F362" s="257" t="str">
        <f t="shared" si="43"/>
        <v/>
      </c>
      <c r="G362" s="257" t="str">
        <f t="shared" si="44"/>
        <v/>
      </c>
      <c r="H362" s="257" t="str">
        <f t="shared" si="45"/>
        <v/>
      </c>
    </row>
    <row r="363" spans="1:8" x14ac:dyDescent="0.25">
      <c r="A363" s="254" t="str">
        <f t="shared" ca="1" si="46"/>
        <v/>
      </c>
      <c r="B363" s="255"/>
      <c r="C363" s="256"/>
      <c r="D363" s="257" t="str">
        <f t="shared" si="42"/>
        <v/>
      </c>
      <c r="F363" s="257" t="str">
        <f t="shared" si="43"/>
        <v/>
      </c>
      <c r="G363" s="257" t="str">
        <f t="shared" si="44"/>
        <v/>
      </c>
      <c r="H363" s="257" t="str">
        <f t="shared" si="45"/>
        <v/>
      </c>
    </row>
    <row r="364" spans="1:8" x14ac:dyDescent="0.25">
      <c r="A364" s="254" t="str">
        <f t="shared" ca="1" si="46"/>
        <v/>
      </c>
      <c r="B364" s="255"/>
      <c r="C364" s="256"/>
      <c r="D364" s="257" t="str">
        <f t="shared" si="42"/>
        <v/>
      </c>
      <c r="F364" s="257" t="str">
        <f t="shared" si="43"/>
        <v/>
      </c>
      <c r="G364" s="257" t="str">
        <f t="shared" si="44"/>
        <v/>
      </c>
      <c r="H364" s="257" t="str">
        <f t="shared" si="45"/>
        <v/>
      </c>
    </row>
    <row r="365" spans="1:8" x14ac:dyDescent="0.25">
      <c r="A365" s="254" t="str">
        <f t="shared" ca="1" si="46"/>
        <v/>
      </c>
      <c r="B365" s="255"/>
      <c r="C365" s="256"/>
      <c r="D365" s="257" t="str">
        <f t="shared" si="42"/>
        <v/>
      </c>
      <c r="F365" s="257" t="str">
        <f t="shared" si="43"/>
        <v/>
      </c>
      <c r="G365" s="257" t="str">
        <f t="shared" si="44"/>
        <v/>
      </c>
      <c r="H365" s="257" t="str">
        <f t="shared" si="45"/>
        <v/>
      </c>
    </row>
    <row r="366" spans="1:8" x14ac:dyDescent="0.25">
      <c r="A366" s="254" t="str">
        <f t="shared" ca="1" si="46"/>
        <v/>
      </c>
      <c r="B366" s="255"/>
      <c r="C366" s="256"/>
      <c r="D366" s="257" t="str">
        <f t="shared" si="42"/>
        <v/>
      </c>
      <c r="F366" s="257" t="str">
        <f t="shared" si="43"/>
        <v/>
      </c>
      <c r="G366" s="257" t="str">
        <f t="shared" si="44"/>
        <v/>
      </c>
      <c r="H366" s="257" t="str">
        <f t="shared" si="45"/>
        <v/>
      </c>
    </row>
    <row r="367" spans="1:8" x14ac:dyDescent="0.25">
      <c r="A367" s="254" t="str">
        <f t="shared" ca="1" si="46"/>
        <v/>
      </c>
      <c r="B367" s="255"/>
      <c r="C367" s="256"/>
      <c r="D367" s="257" t="str">
        <f t="shared" si="42"/>
        <v/>
      </c>
      <c r="F367" s="257" t="str">
        <f t="shared" si="43"/>
        <v/>
      </c>
      <c r="G367" s="257" t="str">
        <f t="shared" si="44"/>
        <v/>
      </c>
      <c r="H367" s="257" t="str">
        <f t="shared" si="45"/>
        <v/>
      </c>
    </row>
    <row r="368" spans="1:8" x14ac:dyDescent="0.25">
      <c r="A368" s="254" t="str">
        <f t="shared" ca="1" si="46"/>
        <v/>
      </c>
      <c r="B368" s="255"/>
      <c r="C368" s="256"/>
      <c r="D368" s="257" t="str">
        <f t="shared" si="42"/>
        <v/>
      </c>
      <c r="F368" s="257" t="str">
        <f t="shared" si="43"/>
        <v/>
      </c>
      <c r="G368" s="257" t="str">
        <f t="shared" si="44"/>
        <v/>
      </c>
      <c r="H368" s="257" t="str">
        <f t="shared" si="45"/>
        <v/>
      </c>
    </row>
    <row r="369" spans="1:8" x14ac:dyDescent="0.25">
      <c r="A369" s="254" t="str">
        <f t="shared" ca="1" si="46"/>
        <v/>
      </c>
      <c r="B369" s="255"/>
      <c r="C369" s="256"/>
      <c r="D369" s="257" t="str">
        <f t="shared" si="42"/>
        <v/>
      </c>
      <c r="F369" s="257" t="str">
        <f t="shared" si="43"/>
        <v/>
      </c>
      <c r="G369" s="257" t="str">
        <f t="shared" si="44"/>
        <v/>
      </c>
      <c r="H369" s="257" t="str">
        <f t="shared" si="45"/>
        <v/>
      </c>
    </row>
    <row r="370" spans="1:8" x14ac:dyDescent="0.25">
      <c r="A370" s="254" t="str">
        <f t="shared" ca="1" si="46"/>
        <v/>
      </c>
      <c r="B370" s="255"/>
      <c r="C370" s="256"/>
      <c r="D370" s="257" t="str">
        <f t="shared" si="42"/>
        <v/>
      </c>
      <c r="F370" s="257" t="str">
        <f t="shared" si="43"/>
        <v/>
      </c>
      <c r="G370" s="257" t="str">
        <f t="shared" si="44"/>
        <v/>
      </c>
      <c r="H370" s="257" t="str">
        <f t="shared" si="45"/>
        <v/>
      </c>
    </row>
    <row r="371" spans="1:8" x14ac:dyDescent="0.25">
      <c r="A371" s="254" t="str">
        <f t="shared" ca="1" si="46"/>
        <v/>
      </c>
      <c r="B371" s="255"/>
      <c r="C371" s="256"/>
      <c r="D371" s="257" t="str">
        <f t="shared" si="42"/>
        <v/>
      </c>
      <c r="F371" s="257" t="str">
        <f t="shared" si="43"/>
        <v/>
      </c>
      <c r="G371" s="257" t="str">
        <f t="shared" si="44"/>
        <v/>
      </c>
      <c r="H371" s="257" t="str">
        <f t="shared" si="45"/>
        <v/>
      </c>
    </row>
    <row r="372" spans="1:8" x14ac:dyDescent="0.25">
      <c r="A372" s="254" t="str">
        <f t="shared" ca="1" si="46"/>
        <v/>
      </c>
      <c r="B372" s="255"/>
      <c r="C372" s="256"/>
      <c r="D372" s="257" t="str">
        <f t="shared" si="42"/>
        <v/>
      </c>
      <c r="F372" s="257" t="str">
        <f t="shared" si="43"/>
        <v/>
      </c>
      <c r="G372" s="257" t="str">
        <f t="shared" si="44"/>
        <v/>
      </c>
      <c r="H372" s="257" t="str">
        <f t="shared" si="45"/>
        <v/>
      </c>
    </row>
    <row r="373" spans="1:8" x14ac:dyDescent="0.25">
      <c r="A373" s="254" t="str">
        <f t="shared" ca="1" si="46"/>
        <v/>
      </c>
      <c r="B373" s="255"/>
      <c r="C373" s="256"/>
      <c r="D373" s="257" t="str">
        <f t="shared" si="42"/>
        <v/>
      </c>
      <c r="F373" s="257" t="str">
        <f t="shared" si="43"/>
        <v/>
      </c>
      <c r="G373" s="257" t="str">
        <f t="shared" si="44"/>
        <v/>
      </c>
      <c r="H373" s="257" t="str">
        <f t="shared" si="45"/>
        <v/>
      </c>
    </row>
    <row r="374" spans="1:8" x14ac:dyDescent="0.25">
      <c r="A374" s="254" t="str">
        <f t="shared" ca="1" si="46"/>
        <v/>
      </c>
      <c r="B374" s="255"/>
      <c r="C374" s="256"/>
      <c r="D374" s="257" t="str">
        <f t="shared" si="42"/>
        <v/>
      </c>
      <c r="F374" s="257" t="str">
        <f t="shared" si="43"/>
        <v/>
      </c>
      <c r="G374" s="257" t="str">
        <f t="shared" si="44"/>
        <v/>
      </c>
      <c r="H374" s="257" t="str">
        <f t="shared" si="45"/>
        <v/>
      </c>
    </row>
    <row r="375" spans="1:8" x14ac:dyDescent="0.25">
      <c r="A375" s="254" t="str">
        <f t="shared" ca="1" si="46"/>
        <v/>
      </c>
      <c r="B375" s="255"/>
      <c r="C375" s="256"/>
      <c r="D375" s="257" t="str">
        <f t="shared" si="42"/>
        <v/>
      </c>
      <c r="F375" s="257" t="str">
        <f t="shared" si="43"/>
        <v/>
      </c>
      <c r="G375" s="257" t="str">
        <f t="shared" si="44"/>
        <v/>
      </c>
      <c r="H375" s="257" t="str">
        <f t="shared" si="45"/>
        <v/>
      </c>
    </row>
    <row r="376" spans="1:8" x14ac:dyDescent="0.25">
      <c r="A376" s="254" t="str">
        <f t="shared" ca="1" si="46"/>
        <v/>
      </c>
      <c r="B376" s="255"/>
      <c r="C376" s="256"/>
      <c r="D376" s="257" t="str">
        <f t="shared" si="42"/>
        <v/>
      </c>
      <c r="F376" s="257" t="str">
        <f t="shared" si="43"/>
        <v/>
      </c>
      <c r="G376" s="257" t="str">
        <f t="shared" si="44"/>
        <v/>
      </c>
      <c r="H376" s="257" t="str">
        <f t="shared" si="45"/>
        <v/>
      </c>
    </row>
    <row r="377" spans="1:8" x14ac:dyDescent="0.25">
      <c r="A377" s="254" t="str">
        <f t="shared" ca="1" si="46"/>
        <v/>
      </c>
      <c r="B377" s="255"/>
      <c r="C377" s="256"/>
      <c r="D377" s="257" t="str">
        <f t="shared" si="42"/>
        <v/>
      </c>
      <c r="F377" s="257" t="str">
        <f t="shared" si="43"/>
        <v/>
      </c>
      <c r="G377" s="257" t="str">
        <f t="shared" si="44"/>
        <v/>
      </c>
      <c r="H377" s="257" t="str">
        <f t="shared" si="45"/>
        <v/>
      </c>
    </row>
    <row r="378" spans="1:8" x14ac:dyDescent="0.25">
      <c r="A378" s="254" t="str">
        <f t="shared" ca="1" si="46"/>
        <v/>
      </c>
      <c r="B378" s="255"/>
      <c r="C378" s="256"/>
      <c r="D378" s="257" t="str">
        <f t="shared" si="42"/>
        <v/>
      </c>
      <c r="F378" s="257" t="str">
        <f t="shared" si="43"/>
        <v/>
      </c>
      <c r="G378" s="257" t="str">
        <f t="shared" si="44"/>
        <v/>
      </c>
      <c r="H378" s="257" t="str">
        <f t="shared" si="45"/>
        <v/>
      </c>
    </row>
    <row r="379" spans="1:8" x14ac:dyDescent="0.25">
      <c r="A379" s="254" t="str">
        <f t="shared" ca="1" si="46"/>
        <v/>
      </c>
      <c r="B379" s="255"/>
      <c r="C379" s="256"/>
      <c r="D379" s="257" t="str">
        <f t="shared" si="42"/>
        <v/>
      </c>
      <c r="F379" s="257" t="str">
        <f t="shared" si="43"/>
        <v/>
      </c>
      <c r="G379" s="257" t="str">
        <f t="shared" si="44"/>
        <v/>
      </c>
      <c r="H379" s="257" t="str">
        <f t="shared" si="45"/>
        <v/>
      </c>
    </row>
    <row r="380" spans="1:8" x14ac:dyDescent="0.25">
      <c r="A380" s="254" t="str">
        <f t="shared" ca="1" si="46"/>
        <v/>
      </c>
      <c r="B380" s="255"/>
      <c r="C380" s="256"/>
      <c r="D380" s="257" t="str">
        <f t="shared" si="42"/>
        <v/>
      </c>
      <c r="F380" s="257" t="str">
        <f t="shared" si="43"/>
        <v/>
      </c>
      <c r="G380" s="257" t="str">
        <f t="shared" si="44"/>
        <v/>
      </c>
      <c r="H380" s="257" t="str">
        <f t="shared" si="45"/>
        <v/>
      </c>
    </row>
    <row r="381" spans="1:8" x14ac:dyDescent="0.25">
      <c r="A381" s="254" t="str">
        <f t="shared" ca="1" si="46"/>
        <v/>
      </c>
      <c r="B381" s="255"/>
      <c r="C381" s="256"/>
      <c r="D381" s="257" t="str">
        <f t="shared" si="42"/>
        <v/>
      </c>
      <c r="F381" s="257" t="str">
        <f t="shared" si="43"/>
        <v/>
      </c>
      <c r="G381" s="257" t="str">
        <f t="shared" si="44"/>
        <v/>
      </c>
      <c r="H381" s="257" t="str">
        <f t="shared" si="45"/>
        <v/>
      </c>
    </row>
    <row r="382" spans="1:8" x14ac:dyDescent="0.25">
      <c r="A382" s="254" t="str">
        <f t="shared" ca="1" si="46"/>
        <v/>
      </c>
      <c r="B382" s="255"/>
      <c r="C382" s="256"/>
      <c r="D382" s="257" t="str">
        <f t="shared" si="42"/>
        <v/>
      </c>
      <c r="F382" s="257" t="str">
        <f t="shared" si="43"/>
        <v/>
      </c>
      <c r="G382" s="257" t="str">
        <f t="shared" si="44"/>
        <v/>
      </c>
      <c r="H382" s="257" t="str">
        <f t="shared" si="45"/>
        <v/>
      </c>
    </row>
    <row r="383" spans="1:8" x14ac:dyDescent="0.25">
      <c r="A383" s="254" t="str">
        <f t="shared" ca="1" si="46"/>
        <v/>
      </c>
      <c r="B383" s="255"/>
      <c r="C383" s="256"/>
      <c r="D383" s="257" t="str">
        <f t="shared" si="42"/>
        <v/>
      </c>
      <c r="F383" s="257" t="str">
        <f t="shared" si="43"/>
        <v/>
      </c>
      <c r="G383" s="257" t="str">
        <f t="shared" si="44"/>
        <v/>
      </c>
      <c r="H383" s="257" t="str">
        <f t="shared" si="45"/>
        <v/>
      </c>
    </row>
    <row r="384" spans="1:8" x14ac:dyDescent="0.25">
      <c r="A384" s="254" t="str">
        <f t="shared" ca="1" si="46"/>
        <v/>
      </c>
      <c r="B384" s="255"/>
      <c r="C384" s="256"/>
      <c r="D384" s="257" t="str">
        <f t="shared" si="42"/>
        <v/>
      </c>
      <c r="F384" s="257" t="str">
        <f t="shared" si="43"/>
        <v/>
      </c>
      <c r="G384" s="257" t="str">
        <f t="shared" si="44"/>
        <v/>
      </c>
      <c r="H384" s="257" t="str">
        <f t="shared" si="45"/>
        <v/>
      </c>
    </row>
    <row r="385" spans="1:8" x14ac:dyDescent="0.25">
      <c r="A385" s="254" t="str">
        <f t="shared" ca="1" si="46"/>
        <v/>
      </c>
      <c r="B385" s="255"/>
      <c r="C385" s="256"/>
      <c r="D385" s="257" t="str">
        <f t="shared" si="42"/>
        <v/>
      </c>
      <c r="F385" s="257" t="str">
        <f t="shared" si="43"/>
        <v/>
      </c>
      <c r="G385" s="257" t="str">
        <f t="shared" si="44"/>
        <v/>
      </c>
      <c r="H385" s="257" t="str">
        <f t="shared" si="45"/>
        <v/>
      </c>
    </row>
    <row r="386" spans="1:8" x14ac:dyDescent="0.25">
      <c r="A386" s="254" t="str">
        <f t="shared" ca="1" si="46"/>
        <v/>
      </c>
      <c r="B386" s="255"/>
      <c r="C386" s="256"/>
      <c r="D386" s="257" t="str">
        <f t="shared" si="42"/>
        <v/>
      </c>
      <c r="F386" s="257" t="str">
        <f t="shared" si="43"/>
        <v/>
      </c>
      <c r="G386" s="257" t="str">
        <f t="shared" si="44"/>
        <v/>
      </c>
      <c r="H386" s="257" t="str">
        <f t="shared" si="45"/>
        <v/>
      </c>
    </row>
    <row r="387" spans="1:8" x14ac:dyDescent="0.25">
      <c r="A387" s="254" t="str">
        <f t="shared" ca="1" si="46"/>
        <v/>
      </c>
      <c r="B387" s="255"/>
      <c r="C387" s="256"/>
      <c r="D387" s="257" t="str">
        <f t="shared" si="42"/>
        <v/>
      </c>
      <c r="F387" s="257" t="str">
        <f t="shared" si="43"/>
        <v/>
      </c>
      <c r="G387" s="257" t="str">
        <f t="shared" si="44"/>
        <v/>
      </c>
      <c r="H387" s="257" t="str">
        <f t="shared" si="45"/>
        <v/>
      </c>
    </row>
    <row r="388" spans="1:8" x14ac:dyDescent="0.25">
      <c r="A388" s="254" t="str">
        <f t="shared" ca="1" si="46"/>
        <v/>
      </c>
      <c r="B388" s="255"/>
      <c r="C388" s="256"/>
      <c r="D388" s="257" t="str">
        <f t="shared" si="42"/>
        <v/>
      </c>
      <c r="F388" s="257" t="str">
        <f t="shared" si="43"/>
        <v/>
      </c>
      <c r="G388" s="257" t="str">
        <f t="shared" si="44"/>
        <v/>
      </c>
      <c r="H388" s="257" t="str">
        <f t="shared" si="45"/>
        <v/>
      </c>
    </row>
    <row r="389" spans="1:8" x14ac:dyDescent="0.25">
      <c r="A389" s="254" t="str">
        <f t="shared" ca="1" si="46"/>
        <v/>
      </c>
      <c r="B389" s="255"/>
      <c r="C389" s="256"/>
      <c r="D389" s="257" t="str">
        <f t="shared" si="42"/>
        <v/>
      </c>
      <c r="F389" s="257" t="str">
        <f t="shared" si="43"/>
        <v/>
      </c>
      <c r="G389" s="257" t="str">
        <f t="shared" si="44"/>
        <v/>
      </c>
      <c r="H389" s="257" t="str">
        <f t="shared" si="45"/>
        <v/>
      </c>
    </row>
    <row r="390" spans="1:8" x14ac:dyDescent="0.25">
      <c r="A390" s="254" t="str">
        <f t="shared" ca="1" si="46"/>
        <v/>
      </c>
      <c r="B390" s="255"/>
      <c r="C390" s="256"/>
      <c r="D390" s="257" t="str">
        <f t="shared" si="42"/>
        <v/>
      </c>
      <c r="F390" s="257" t="str">
        <f t="shared" si="43"/>
        <v/>
      </c>
      <c r="G390" s="257" t="str">
        <f t="shared" si="44"/>
        <v/>
      </c>
      <c r="H390" s="257" t="str">
        <f t="shared" si="45"/>
        <v/>
      </c>
    </row>
    <row r="391" spans="1:8" x14ac:dyDescent="0.25">
      <c r="A391" s="254" t="str">
        <f t="shared" ca="1" si="46"/>
        <v/>
      </c>
      <c r="B391" s="255"/>
      <c r="C391" s="256"/>
      <c r="D391" s="257" t="str">
        <f t="shared" si="42"/>
        <v/>
      </c>
      <c r="F391" s="257" t="str">
        <f t="shared" si="43"/>
        <v/>
      </c>
      <c r="G391" s="257" t="str">
        <f t="shared" si="44"/>
        <v/>
      </c>
      <c r="H391" s="257" t="str">
        <f t="shared" si="45"/>
        <v/>
      </c>
    </row>
    <row r="392" spans="1:8" x14ac:dyDescent="0.25">
      <c r="A392" s="254" t="str">
        <f t="shared" ca="1" si="46"/>
        <v/>
      </c>
      <c r="B392" s="255"/>
      <c r="C392" s="256"/>
      <c r="D392" s="257" t="str">
        <f t="shared" si="42"/>
        <v/>
      </c>
      <c r="F392" s="257" t="str">
        <f t="shared" si="43"/>
        <v/>
      </c>
      <c r="G392" s="257" t="str">
        <f t="shared" si="44"/>
        <v/>
      </c>
      <c r="H392" s="257" t="str">
        <f t="shared" si="45"/>
        <v/>
      </c>
    </row>
    <row r="393" spans="1:8" x14ac:dyDescent="0.25">
      <c r="A393" s="254" t="str">
        <f t="shared" ca="1" si="46"/>
        <v/>
      </c>
      <c r="B393" s="255"/>
      <c r="C393" s="256"/>
      <c r="D393" s="257" t="str">
        <f t="shared" si="42"/>
        <v/>
      </c>
      <c r="F393" s="257" t="str">
        <f t="shared" si="43"/>
        <v/>
      </c>
      <c r="G393" s="257" t="str">
        <f t="shared" si="44"/>
        <v/>
      </c>
      <c r="H393" s="257" t="str">
        <f t="shared" si="45"/>
        <v/>
      </c>
    </row>
    <row r="394" spans="1:8" x14ac:dyDescent="0.25">
      <c r="A394" s="254" t="str">
        <f t="shared" ca="1" si="46"/>
        <v/>
      </c>
      <c r="B394" s="255"/>
      <c r="C394" s="256"/>
      <c r="D394" s="257" t="str">
        <f t="shared" si="42"/>
        <v/>
      </c>
      <c r="F394" s="257" t="str">
        <f t="shared" si="43"/>
        <v/>
      </c>
      <c r="G394" s="257" t="str">
        <f t="shared" si="44"/>
        <v/>
      </c>
      <c r="H394" s="257" t="str">
        <f t="shared" si="45"/>
        <v/>
      </c>
    </row>
    <row r="395" spans="1:8" x14ac:dyDescent="0.25">
      <c r="A395" s="254" t="str">
        <f t="shared" ca="1" si="46"/>
        <v/>
      </c>
      <c r="B395" s="255"/>
      <c r="C395" s="256"/>
      <c r="D395" s="257" t="str">
        <f t="shared" si="42"/>
        <v/>
      </c>
      <c r="F395" s="257" t="str">
        <f t="shared" si="43"/>
        <v/>
      </c>
      <c r="G395" s="257" t="str">
        <f t="shared" si="44"/>
        <v/>
      </c>
      <c r="H395" s="257" t="str">
        <f t="shared" si="45"/>
        <v/>
      </c>
    </row>
    <row r="396" spans="1:8" x14ac:dyDescent="0.25">
      <c r="A396" s="254" t="str">
        <f t="shared" ca="1" si="46"/>
        <v/>
      </c>
      <c r="B396" s="255"/>
      <c r="C396" s="256"/>
      <c r="D396" s="257" t="str">
        <f t="shared" si="42"/>
        <v/>
      </c>
      <c r="F396" s="257" t="str">
        <f t="shared" si="43"/>
        <v/>
      </c>
      <c r="G396" s="257" t="str">
        <f t="shared" si="44"/>
        <v/>
      </c>
      <c r="H396" s="257" t="str">
        <f t="shared" si="45"/>
        <v/>
      </c>
    </row>
    <row r="397" spans="1:8" x14ac:dyDescent="0.25">
      <c r="A397" s="254" t="str">
        <f t="shared" ca="1" si="46"/>
        <v/>
      </c>
      <c r="B397" s="255"/>
      <c r="C397" s="256"/>
      <c r="D397" s="257" t="str">
        <f t="shared" si="42"/>
        <v/>
      </c>
      <c r="F397" s="257" t="str">
        <f t="shared" si="43"/>
        <v/>
      </c>
      <c r="G397" s="257" t="str">
        <f t="shared" si="44"/>
        <v/>
      </c>
      <c r="H397" s="257" t="str">
        <f t="shared" si="45"/>
        <v/>
      </c>
    </row>
    <row r="398" spans="1:8" x14ac:dyDescent="0.25">
      <c r="A398" s="254" t="str">
        <f t="shared" ca="1" si="46"/>
        <v/>
      </c>
      <c r="B398" s="255"/>
      <c r="C398" s="256"/>
      <c r="D398" s="257" t="str">
        <f t="shared" si="42"/>
        <v/>
      </c>
      <c r="F398" s="257" t="str">
        <f t="shared" si="43"/>
        <v/>
      </c>
      <c r="G398" s="257" t="str">
        <f t="shared" si="44"/>
        <v/>
      </c>
      <c r="H398" s="257" t="str">
        <f t="shared" si="45"/>
        <v/>
      </c>
    </row>
    <row r="399" spans="1:8" x14ac:dyDescent="0.25">
      <c r="A399" s="254" t="str">
        <f t="shared" ca="1" si="46"/>
        <v/>
      </c>
      <c r="B399" s="255"/>
      <c r="C399" s="256"/>
      <c r="D399" s="257" t="str">
        <f t="shared" si="42"/>
        <v/>
      </c>
      <c r="F399" s="257" t="str">
        <f t="shared" si="43"/>
        <v/>
      </c>
      <c r="G399" s="257" t="str">
        <f t="shared" si="44"/>
        <v/>
      </c>
      <c r="H399" s="257" t="str">
        <f t="shared" si="45"/>
        <v/>
      </c>
    </row>
    <row r="400" spans="1:8" x14ac:dyDescent="0.25">
      <c r="A400" s="254" t="str">
        <f t="shared" ca="1" si="46"/>
        <v/>
      </c>
      <c r="B400" s="255"/>
      <c r="C400" s="256"/>
      <c r="D400" s="257" t="str">
        <f t="shared" si="42"/>
        <v/>
      </c>
      <c r="F400" s="257" t="str">
        <f t="shared" si="43"/>
        <v/>
      </c>
      <c r="G400" s="257" t="str">
        <f t="shared" si="44"/>
        <v/>
      </c>
      <c r="H400" s="257" t="str">
        <f t="shared" si="45"/>
        <v/>
      </c>
    </row>
    <row r="401" spans="1:8" x14ac:dyDescent="0.25">
      <c r="A401" s="254" t="str">
        <f t="shared" ca="1" si="46"/>
        <v/>
      </c>
      <c r="B401" s="255"/>
      <c r="C401" s="256"/>
      <c r="D401" s="257" t="str">
        <f t="shared" si="42"/>
        <v/>
      </c>
      <c r="F401" s="257" t="str">
        <f t="shared" si="43"/>
        <v/>
      </c>
      <c r="G401" s="257" t="str">
        <f t="shared" si="44"/>
        <v/>
      </c>
      <c r="H401" s="257" t="str">
        <f t="shared" si="45"/>
        <v/>
      </c>
    </row>
    <row r="402" spans="1:8" x14ac:dyDescent="0.25">
      <c r="A402" s="254" t="str">
        <f t="shared" ca="1" si="46"/>
        <v/>
      </c>
      <c r="B402" s="255"/>
      <c r="C402" s="256"/>
      <c r="D402" s="257" t="str">
        <f t="shared" si="42"/>
        <v/>
      </c>
      <c r="F402" s="257" t="str">
        <f t="shared" si="43"/>
        <v/>
      </c>
      <c r="G402" s="257" t="str">
        <f t="shared" si="44"/>
        <v/>
      </c>
      <c r="H402" s="257" t="str">
        <f t="shared" si="45"/>
        <v/>
      </c>
    </row>
    <row r="403" spans="1:8" x14ac:dyDescent="0.25">
      <c r="A403" s="254" t="str">
        <f t="shared" ca="1" si="46"/>
        <v/>
      </c>
      <c r="B403" s="255"/>
      <c r="C403" s="256"/>
      <c r="D403" s="257" t="str">
        <f t="shared" ref="D403:D466" si="47">IF(B403="","",ROUND((B403-B402)*$H$9*G402,2))</f>
        <v/>
      </c>
      <c r="F403" s="257" t="str">
        <f t="shared" ref="F403:F466" si="48">IF(B403="","",IF(C403&gt;F402+D403,0,F402+D403-C403))</f>
        <v/>
      </c>
      <c r="G403" s="257" t="str">
        <f t="shared" ref="G403:G466" si="49">IF(B403="","",IF(C403&gt;D403+F402,G402+F402+D403-C403,G402))</f>
        <v/>
      </c>
      <c r="H403" s="257" t="str">
        <f t="shared" ref="H403:H466" si="50">IF(B403="","",G403+F403)</f>
        <v/>
      </c>
    </row>
    <row r="404" spans="1:8" x14ac:dyDescent="0.25">
      <c r="A404" s="254" t="str">
        <f t="shared" ca="1" si="46"/>
        <v/>
      </c>
      <c r="B404" s="255"/>
      <c r="C404" s="256"/>
      <c r="D404" s="257" t="str">
        <f t="shared" si="47"/>
        <v/>
      </c>
      <c r="F404" s="257" t="str">
        <f t="shared" si="48"/>
        <v/>
      </c>
      <c r="G404" s="257" t="str">
        <f t="shared" si="49"/>
        <v/>
      </c>
      <c r="H404" s="257" t="str">
        <f t="shared" si="50"/>
        <v/>
      </c>
    </row>
    <row r="405" spans="1:8" x14ac:dyDescent="0.25">
      <c r="A405" s="254" t="str">
        <f t="shared" ca="1" si="46"/>
        <v/>
      </c>
      <c r="B405" s="255"/>
      <c r="C405" s="256"/>
      <c r="D405" s="257" t="str">
        <f t="shared" si="47"/>
        <v/>
      </c>
      <c r="F405" s="257" t="str">
        <f t="shared" si="48"/>
        <v/>
      </c>
      <c r="G405" s="257" t="str">
        <f t="shared" si="49"/>
        <v/>
      </c>
      <c r="H405" s="257" t="str">
        <f t="shared" si="50"/>
        <v/>
      </c>
    </row>
    <row r="406" spans="1:8" x14ac:dyDescent="0.25">
      <c r="A406" s="254" t="str">
        <f t="shared" ca="1" si="46"/>
        <v/>
      </c>
      <c r="B406" s="255"/>
      <c r="C406" s="256"/>
      <c r="D406" s="257" t="str">
        <f t="shared" si="47"/>
        <v/>
      </c>
      <c r="F406" s="257" t="str">
        <f t="shared" si="48"/>
        <v/>
      </c>
      <c r="G406" s="257" t="str">
        <f t="shared" si="49"/>
        <v/>
      </c>
      <c r="H406" s="257" t="str">
        <f t="shared" si="50"/>
        <v/>
      </c>
    </row>
    <row r="407" spans="1:8" x14ac:dyDescent="0.25">
      <c r="A407" s="254" t="str">
        <f t="shared" ca="1" si="46"/>
        <v/>
      </c>
      <c r="B407" s="255"/>
      <c r="C407" s="256"/>
      <c r="D407" s="257" t="str">
        <f t="shared" si="47"/>
        <v/>
      </c>
      <c r="F407" s="257" t="str">
        <f t="shared" si="48"/>
        <v/>
      </c>
      <c r="G407" s="257" t="str">
        <f t="shared" si="49"/>
        <v/>
      </c>
      <c r="H407" s="257" t="str">
        <f t="shared" si="50"/>
        <v/>
      </c>
    </row>
    <row r="408" spans="1:8" x14ac:dyDescent="0.25">
      <c r="A408" s="254" t="str">
        <f t="shared" ca="1" si="46"/>
        <v/>
      </c>
      <c r="B408" s="255"/>
      <c r="C408" s="256"/>
      <c r="D408" s="257" t="str">
        <f t="shared" si="47"/>
        <v/>
      </c>
      <c r="F408" s="257" t="str">
        <f t="shared" si="48"/>
        <v/>
      </c>
      <c r="G408" s="257" t="str">
        <f t="shared" si="49"/>
        <v/>
      </c>
      <c r="H408" s="257" t="str">
        <f t="shared" si="50"/>
        <v/>
      </c>
    </row>
    <row r="409" spans="1:8" x14ac:dyDescent="0.25">
      <c r="A409" s="254" t="str">
        <f t="shared" ca="1" si="46"/>
        <v/>
      </c>
      <c r="B409" s="255"/>
      <c r="C409" s="256"/>
      <c r="D409" s="257" t="str">
        <f t="shared" si="47"/>
        <v/>
      </c>
      <c r="F409" s="257" t="str">
        <f t="shared" si="48"/>
        <v/>
      </c>
      <c r="G409" s="257" t="str">
        <f t="shared" si="49"/>
        <v/>
      </c>
      <c r="H409" s="257" t="str">
        <f t="shared" si="50"/>
        <v/>
      </c>
    </row>
    <row r="410" spans="1:8" x14ac:dyDescent="0.25">
      <c r="A410" s="254" t="str">
        <f t="shared" ca="1" si="46"/>
        <v/>
      </c>
      <c r="B410" s="255"/>
      <c r="C410" s="256"/>
      <c r="D410" s="257" t="str">
        <f t="shared" si="47"/>
        <v/>
      </c>
      <c r="F410" s="257" t="str">
        <f t="shared" si="48"/>
        <v/>
      </c>
      <c r="G410" s="257" t="str">
        <f t="shared" si="49"/>
        <v/>
      </c>
      <c r="H410" s="257" t="str">
        <f t="shared" si="50"/>
        <v/>
      </c>
    </row>
    <row r="411" spans="1:8" x14ac:dyDescent="0.25">
      <c r="A411" s="254" t="str">
        <f t="shared" ca="1" si="46"/>
        <v/>
      </c>
      <c r="B411" s="255"/>
      <c r="C411" s="256"/>
      <c r="D411" s="257" t="str">
        <f t="shared" si="47"/>
        <v/>
      </c>
      <c r="F411" s="257" t="str">
        <f t="shared" si="48"/>
        <v/>
      </c>
      <c r="G411" s="257" t="str">
        <f t="shared" si="49"/>
        <v/>
      </c>
      <c r="H411" s="257" t="str">
        <f t="shared" si="50"/>
        <v/>
      </c>
    </row>
    <row r="412" spans="1:8" x14ac:dyDescent="0.25">
      <c r="A412" s="254" t="str">
        <f t="shared" ca="1" si="46"/>
        <v/>
      </c>
      <c r="B412" s="255"/>
      <c r="C412" s="256"/>
      <c r="D412" s="257" t="str">
        <f t="shared" si="47"/>
        <v/>
      </c>
      <c r="F412" s="257" t="str">
        <f t="shared" si="48"/>
        <v/>
      </c>
      <c r="G412" s="257" t="str">
        <f t="shared" si="49"/>
        <v/>
      </c>
      <c r="H412" s="257" t="str">
        <f t="shared" si="50"/>
        <v/>
      </c>
    </row>
    <row r="413" spans="1:8" x14ac:dyDescent="0.25">
      <c r="A413" s="254" t="str">
        <f t="shared" ca="1" si="46"/>
        <v/>
      </c>
      <c r="B413" s="255"/>
      <c r="C413" s="256"/>
      <c r="D413" s="257" t="str">
        <f t="shared" si="47"/>
        <v/>
      </c>
      <c r="F413" s="257" t="str">
        <f t="shared" si="48"/>
        <v/>
      </c>
      <c r="G413" s="257" t="str">
        <f t="shared" si="49"/>
        <v/>
      </c>
      <c r="H413" s="257" t="str">
        <f t="shared" si="50"/>
        <v/>
      </c>
    </row>
    <row r="414" spans="1:8" x14ac:dyDescent="0.25">
      <c r="A414" s="254" t="str">
        <f t="shared" ca="1" si="46"/>
        <v/>
      </c>
      <c r="B414" s="255"/>
      <c r="C414" s="256"/>
      <c r="D414" s="257" t="str">
        <f t="shared" si="47"/>
        <v/>
      </c>
      <c r="F414" s="257" t="str">
        <f t="shared" si="48"/>
        <v/>
      </c>
      <c r="G414" s="257" t="str">
        <f t="shared" si="49"/>
        <v/>
      </c>
      <c r="H414" s="257" t="str">
        <f t="shared" si="50"/>
        <v/>
      </c>
    </row>
    <row r="415" spans="1:8" x14ac:dyDescent="0.25">
      <c r="A415" s="254" t="str">
        <f t="shared" ca="1" si="46"/>
        <v/>
      </c>
      <c r="B415" s="255"/>
      <c r="C415" s="256"/>
      <c r="D415" s="257" t="str">
        <f t="shared" si="47"/>
        <v/>
      </c>
      <c r="F415" s="257" t="str">
        <f t="shared" si="48"/>
        <v/>
      </c>
      <c r="G415" s="257" t="str">
        <f t="shared" si="49"/>
        <v/>
      </c>
      <c r="H415" s="257" t="str">
        <f t="shared" si="50"/>
        <v/>
      </c>
    </row>
    <row r="416" spans="1:8" x14ac:dyDescent="0.25">
      <c r="A416" s="254" t="str">
        <f t="shared" ca="1" si="46"/>
        <v/>
      </c>
      <c r="B416" s="255"/>
      <c r="C416" s="256"/>
      <c r="D416" s="257" t="str">
        <f t="shared" si="47"/>
        <v/>
      </c>
      <c r="F416" s="257" t="str">
        <f t="shared" si="48"/>
        <v/>
      </c>
      <c r="G416" s="257" t="str">
        <f t="shared" si="49"/>
        <v/>
      </c>
      <c r="H416" s="257" t="str">
        <f t="shared" si="50"/>
        <v/>
      </c>
    </row>
    <row r="417" spans="1:8" x14ac:dyDescent="0.25">
      <c r="A417" s="254" t="str">
        <f t="shared" ca="1" si="46"/>
        <v/>
      </c>
      <c r="B417" s="255"/>
      <c r="C417" s="256"/>
      <c r="D417" s="257" t="str">
        <f t="shared" si="47"/>
        <v/>
      </c>
      <c r="F417" s="257" t="str">
        <f t="shared" si="48"/>
        <v/>
      </c>
      <c r="G417" s="257" t="str">
        <f t="shared" si="49"/>
        <v/>
      </c>
      <c r="H417" s="257" t="str">
        <f t="shared" si="50"/>
        <v/>
      </c>
    </row>
    <row r="418" spans="1:8" x14ac:dyDescent="0.25">
      <c r="A418" s="254" t="str">
        <f t="shared" ca="1" si="46"/>
        <v/>
      </c>
      <c r="B418" s="255"/>
      <c r="C418" s="256"/>
      <c r="D418" s="257" t="str">
        <f t="shared" si="47"/>
        <v/>
      </c>
      <c r="F418" s="257" t="str">
        <f t="shared" si="48"/>
        <v/>
      </c>
      <c r="G418" s="257" t="str">
        <f t="shared" si="49"/>
        <v/>
      </c>
      <c r="H418" s="257" t="str">
        <f t="shared" si="50"/>
        <v/>
      </c>
    </row>
    <row r="419" spans="1:8" x14ac:dyDescent="0.25">
      <c r="A419" s="254" t="str">
        <f t="shared" ca="1" si="46"/>
        <v/>
      </c>
      <c r="B419" s="255"/>
      <c r="C419" s="256"/>
      <c r="D419" s="257" t="str">
        <f t="shared" si="47"/>
        <v/>
      </c>
      <c r="F419" s="257" t="str">
        <f t="shared" si="48"/>
        <v/>
      </c>
      <c r="G419" s="257" t="str">
        <f t="shared" si="49"/>
        <v/>
      </c>
      <c r="H419" s="257" t="str">
        <f t="shared" si="50"/>
        <v/>
      </c>
    </row>
    <row r="420" spans="1:8" x14ac:dyDescent="0.25">
      <c r="A420" s="254" t="str">
        <f t="shared" ca="1" si="46"/>
        <v/>
      </c>
      <c r="B420" s="255"/>
      <c r="C420" s="256"/>
      <c r="D420" s="257" t="str">
        <f t="shared" si="47"/>
        <v/>
      </c>
      <c r="F420" s="257" t="str">
        <f t="shared" si="48"/>
        <v/>
      </c>
      <c r="G420" s="257" t="str">
        <f t="shared" si="49"/>
        <v/>
      </c>
      <c r="H420" s="257" t="str">
        <f t="shared" si="50"/>
        <v/>
      </c>
    </row>
    <row r="421" spans="1:8" x14ac:dyDescent="0.25">
      <c r="A421" s="254" t="str">
        <f t="shared" ca="1" si="46"/>
        <v/>
      </c>
      <c r="B421" s="255"/>
      <c r="C421" s="256"/>
      <c r="D421" s="257" t="str">
        <f t="shared" si="47"/>
        <v/>
      </c>
      <c r="F421" s="257" t="str">
        <f t="shared" si="48"/>
        <v/>
      </c>
      <c r="G421" s="257" t="str">
        <f t="shared" si="49"/>
        <v/>
      </c>
      <c r="H421" s="257" t="str">
        <f t="shared" si="50"/>
        <v/>
      </c>
    </row>
    <row r="422" spans="1:8" x14ac:dyDescent="0.25">
      <c r="A422" s="254" t="str">
        <f t="shared" ca="1" si="46"/>
        <v/>
      </c>
      <c r="B422" s="255"/>
      <c r="C422" s="256"/>
      <c r="D422" s="257" t="str">
        <f t="shared" si="47"/>
        <v/>
      </c>
      <c r="F422" s="257" t="str">
        <f t="shared" si="48"/>
        <v/>
      </c>
      <c r="G422" s="257" t="str">
        <f t="shared" si="49"/>
        <v/>
      </c>
      <c r="H422" s="257" t="str">
        <f t="shared" si="50"/>
        <v/>
      </c>
    </row>
    <row r="423" spans="1:8" x14ac:dyDescent="0.25">
      <c r="A423" s="254" t="str">
        <f t="shared" ca="1" si="46"/>
        <v/>
      </c>
      <c r="B423" s="255"/>
      <c r="C423" s="256"/>
      <c r="D423" s="257" t="str">
        <f t="shared" si="47"/>
        <v/>
      </c>
      <c r="F423" s="257" t="str">
        <f t="shared" si="48"/>
        <v/>
      </c>
      <c r="G423" s="257" t="str">
        <f t="shared" si="49"/>
        <v/>
      </c>
      <c r="H423" s="257" t="str">
        <f t="shared" si="50"/>
        <v/>
      </c>
    </row>
    <row r="424" spans="1:8" x14ac:dyDescent="0.25">
      <c r="A424" s="254" t="str">
        <f t="shared" ca="1" si="46"/>
        <v/>
      </c>
      <c r="B424" s="255"/>
      <c r="C424" s="256"/>
      <c r="D424" s="257" t="str">
        <f t="shared" si="47"/>
        <v/>
      </c>
      <c r="F424" s="257" t="str">
        <f t="shared" si="48"/>
        <v/>
      </c>
      <c r="G424" s="257" t="str">
        <f t="shared" si="49"/>
        <v/>
      </c>
      <c r="H424" s="257" t="str">
        <f t="shared" si="50"/>
        <v/>
      </c>
    </row>
    <row r="425" spans="1:8" x14ac:dyDescent="0.25">
      <c r="A425" s="254" t="str">
        <f t="shared" ref="A425:A488" ca="1" si="51">IF(OR(H424&lt;=0,H424=""),"",OFFSET(A425,-1,0,1,1)+1)</f>
        <v/>
      </c>
      <c r="B425" s="255"/>
      <c r="C425" s="256"/>
      <c r="D425" s="257" t="str">
        <f t="shared" si="47"/>
        <v/>
      </c>
      <c r="F425" s="257" t="str">
        <f t="shared" si="48"/>
        <v/>
      </c>
      <c r="G425" s="257" t="str">
        <f t="shared" si="49"/>
        <v/>
      </c>
      <c r="H425" s="257" t="str">
        <f t="shared" si="50"/>
        <v/>
      </c>
    </row>
    <row r="426" spans="1:8" x14ac:dyDescent="0.25">
      <c r="A426" s="254" t="str">
        <f t="shared" ca="1" si="51"/>
        <v/>
      </c>
      <c r="B426" s="255"/>
      <c r="C426" s="256"/>
      <c r="D426" s="257" t="str">
        <f t="shared" si="47"/>
        <v/>
      </c>
      <c r="F426" s="257" t="str">
        <f t="shared" si="48"/>
        <v/>
      </c>
      <c r="G426" s="257" t="str">
        <f t="shared" si="49"/>
        <v/>
      </c>
      <c r="H426" s="257" t="str">
        <f t="shared" si="50"/>
        <v/>
      </c>
    </row>
    <row r="427" spans="1:8" x14ac:dyDescent="0.25">
      <c r="A427" s="254" t="str">
        <f t="shared" ca="1" si="51"/>
        <v/>
      </c>
      <c r="B427" s="255"/>
      <c r="C427" s="256"/>
      <c r="D427" s="257" t="str">
        <f t="shared" si="47"/>
        <v/>
      </c>
      <c r="F427" s="257" t="str">
        <f t="shared" si="48"/>
        <v/>
      </c>
      <c r="G427" s="257" t="str">
        <f t="shared" si="49"/>
        <v/>
      </c>
      <c r="H427" s="257" t="str">
        <f t="shared" si="50"/>
        <v/>
      </c>
    </row>
    <row r="428" spans="1:8" x14ac:dyDescent="0.25">
      <c r="A428" s="254" t="str">
        <f t="shared" ca="1" si="51"/>
        <v/>
      </c>
      <c r="B428" s="255"/>
      <c r="C428" s="256"/>
      <c r="D428" s="257" t="str">
        <f t="shared" si="47"/>
        <v/>
      </c>
      <c r="F428" s="257" t="str">
        <f t="shared" si="48"/>
        <v/>
      </c>
      <c r="G428" s="257" t="str">
        <f t="shared" si="49"/>
        <v/>
      </c>
      <c r="H428" s="257" t="str">
        <f t="shared" si="50"/>
        <v/>
      </c>
    </row>
    <row r="429" spans="1:8" x14ac:dyDescent="0.25">
      <c r="A429" s="254" t="str">
        <f t="shared" ca="1" si="51"/>
        <v/>
      </c>
      <c r="B429" s="255"/>
      <c r="C429" s="256"/>
      <c r="D429" s="257" t="str">
        <f t="shared" si="47"/>
        <v/>
      </c>
      <c r="F429" s="257" t="str">
        <f t="shared" si="48"/>
        <v/>
      </c>
      <c r="G429" s="257" t="str">
        <f t="shared" si="49"/>
        <v/>
      </c>
      <c r="H429" s="257" t="str">
        <f t="shared" si="50"/>
        <v/>
      </c>
    </row>
    <row r="430" spans="1:8" x14ac:dyDescent="0.25">
      <c r="A430" s="254" t="str">
        <f t="shared" ca="1" si="51"/>
        <v/>
      </c>
      <c r="B430" s="255"/>
      <c r="C430" s="256"/>
      <c r="D430" s="257" t="str">
        <f t="shared" si="47"/>
        <v/>
      </c>
      <c r="F430" s="257" t="str">
        <f t="shared" si="48"/>
        <v/>
      </c>
      <c r="G430" s="257" t="str">
        <f t="shared" si="49"/>
        <v/>
      </c>
      <c r="H430" s="257" t="str">
        <f t="shared" si="50"/>
        <v/>
      </c>
    </row>
    <row r="431" spans="1:8" x14ac:dyDescent="0.25">
      <c r="A431" s="254" t="str">
        <f t="shared" ca="1" si="51"/>
        <v/>
      </c>
      <c r="B431" s="255"/>
      <c r="C431" s="256"/>
      <c r="D431" s="257" t="str">
        <f t="shared" si="47"/>
        <v/>
      </c>
      <c r="F431" s="257" t="str">
        <f t="shared" si="48"/>
        <v/>
      </c>
      <c r="G431" s="257" t="str">
        <f t="shared" si="49"/>
        <v/>
      </c>
      <c r="H431" s="257" t="str">
        <f t="shared" si="50"/>
        <v/>
      </c>
    </row>
    <row r="432" spans="1:8" x14ac:dyDescent="0.25">
      <c r="A432" s="254" t="str">
        <f t="shared" ca="1" si="51"/>
        <v/>
      </c>
      <c r="B432" s="255"/>
      <c r="C432" s="256"/>
      <c r="D432" s="257" t="str">
        <f t="shared" si="47"/>
        <v/>
      </c>
      <c r="F432" s="257" t="str">
        <f t="shared" si="48"/>
        <v/>
      </c>
      <c r="G432" s="257" t="str">
        <f t="shared" si="49"/>
        <v/>
      </c>
      <c r="H432" s="257" t="str">
        <f t="shared" si="50"/>
        <v/>
      </c>
    </row>
    <row r="433" spans="1:8" x14ac:dyDescent="0.25">
      <c r="A433" s="254" t="str">
        <f t="shared" ca="1" si="51"/>
        <v/>
      </c>
      <c r="B433" s="255"/>
      <c r="C433" s="256"/>
      <c r="D433" s="257" t="str">
        <f t="shared" si="47"/>
        <v/>
      </c>
      <c r="F433" s="257" t="str">
        <f t="shared" si="48"/>
        <v/>
      </c>
      <c r="G433" s="257" t="str">
        <f t="shared" si="49"/>
        <v/>
      </c>
      <c r="H433" s="257" t="str">
        <f t="shared" si="50"/>
        <v/>
      </c>
    </row>
    <row r="434" spans="1:8" x14ac:dyDescent="0.25">
      <c r="A434" s="254" t="str">
        <f t="shared" ca="1" si="51"/>
        <v/>
      </c>
      <c r="B434" s="255"/>
      <c r="C434" s="256"/>
      <c r="D434" s="257" t="str">
        <f t="shared" si="47"/>
        <v/>
      </c>
      <c r="F434" s="257" t="str">
        <f t="shared" si="48"/>
        <v/>
      </c>
      <c r="G434" s="257" t="str">
        <f t="shared" si="49"/>
        <v/>
      </c>
      <c r="H434" s="257" t="str">
        <f t="shared" si="50"/>
        <v/>
      </c>
    </row>
    <row r="435" spans="1:8" x14ac:dyDescent="0.25">
      <c r="A435" s="254" t="str">
        <f t="shared" ca="1" si="51"/>
        <v/>
      </c>
      <c r="B435" s="255"/>
      <c r="C435" s="256"/>
      <c r="D435" s="257" t="str">
        <f t="shared" si="47"/>
        <v/>
      </c>
      <c r="F435" s="257" t="str">
        <f t="shared" si="48"/>
        <v/>
      </c>
      <c r="G435" s="257" t="str">
        <f t="shared" si="49"/>
        <v/>
      </c>
      <c r="H435" s="257" t="str">
        <f t="shared" si="50"/>
        <v/>
      </c>
    </row>
    <row r="436" spans="1:8" x14ac:dyDescent="0.25">
      <c r="A436" s="254" t="str">
        <f t="shared" ca="1" si="51"/>
        <v/>
      </c>
      <c r="B436" s="255"/>
      <c r="C436" s="256"/>
      <c r="D436" s="257" t="str">
        <f t="shared" si="47"/>
        <v/>
      </c>
      <c r="F436" s="257" t="str">
        <f t="shared" si="48"/>
        <v/>
      </c>
      <c r="G436" s="257" t="str">
        <f t="shared" si="49"/>
        <v/>
      </c>
      <c r="H436" s="257" t="str">
        <f t="shared" si="50"/>
        <v/>
      </c>
    </row>
    <row r="437" spans="1:8" x14ac:dyDescent="0.25">
      <c r="A437" s="254" t="str">
        <f t="shared" ca="1" si="51"/>
        <v/>
      </c>
      <c r="B437" s="255"/>
      <c r="C437" s="256"/>
      <c r="D437" s="257" t="str">
        <f t="shared" si="47"/>
        <v/>
      </c>
      <c r="F437" s="257" t="str">
        <f t="shared" si="48"/>
        <v/>
      </c>
      <c r="G437" s="257" t="str">
        <f t="shared" si="49"/>
        <v/>
      </c>
      <c r="H437" s="257" t="str">
        <f t="shared" si="50"/>
        <v/>
      </c>
    </row>
    <row r="438" spans="1:8" x14ac:dyDescent="0.25">
      <c r="A438" s="254" t="str">
        <f t="shared" ca="1" si="51"/>
        <v/>
      </c>
      <c r="B438" s="255"/>
      <c r="C438" s="256"/>
      <c r="D438" s="257" t="str">
        <f t="shared" si="47"/>
        <v/>
      </c>
      <c r="F438" s="257" t="str">
        <f t="shared" si="48"/>
        <v/>
      </c>
      <c r="G438" s="257" t="str">
        <f t="shared" si="49"/>
        <v/>
      </c>
      <c r="H438" s="257" t="str">
        <f t="shared" si="50"/>
        <v/>
      </c>
    </row>
    <row r="439" spans="1:8" x14ac:dyDescent="0.25">
      <c r="A439" s="254" t="str">
        <f t="shared" ca="1" si="51"/>
        <v/>
      </c>
      <c r="B439" s="255"/>
      <c r="C439" s="256"/>
      <c r="D439" s="257" t="str">
        <f t="shared" si="47"/>
        <v/>
      </c>
      <c r="F439" s="257" t="str">
        <f t="shared" si="48"/>
        <v/>
      </c>
      <c r="G439" s="257" t="str">
        <f t="shared" si="49"/>
        <v/>
      </c>
      <c r="H439" s="257" t="str">
        <f t="shared" si="50"/>
        <v/>
      </c>
    </row>
    <row r="440" spans="1:8" x14ac:dyDescent="0.25">
      <c r="A440" s="254" t="str">
        <f t="shared" ca="1" si="51"/>
        <v/>
      </c>
      <c r="B440" s="255"/>
      <c r="C440" s="256"/>
      <c r="D440" s="257" t="str">
        <f t="shared" si="47"/>
        <v/>
      </c>
      <c r="F440" s="257" t="str">
        <f t="shared" si="48"/>
        <v/>
      </c>
      <c r="G440" s="257" t="str">
        <f t="shared" si="49"/>
        <v/>
      </c>
      <c r="H440" s="257" t="str">
        <f t="shared" si="50"/>
        <v/>
      </c>
    </row>
    <row r="441" spans="1:8" x14ac:dyDescent="0.25">
      <c r="A441" s="254" t="str">
        <f t="shared" ca="1" si="51"/>
        <v/>
      </c>
      <c r="B441" s="255"/>
      <c r="C441" s="256"/>
      <c r="D441" s="257" t="str">
        <f t="shared" si="47"/>
        <v/>
      </c>
      <c r="F441" s="257" t="str">
        <f t="shared" si="48"/>
        <v/>
      </c>
      <c r="G441" s="257" t="str">
        <f t="shared" si="49"/>
        <v/>
      </c>
      <c r="H441" s="257" t="str">
        <f t="shared" si="50"/>
        <v/>
      </c>
    </row>
    <row r="442" spans="1:8" x14ac:dyDescent="0.25">
      <c r="A442" s="254" t="str">
        <f t="shared" ca="1" si="51"/>
        <v/>
      </c>
      <c r="B442" s="255"/>
      <c r="C442" s="256"/>
      <c r="D442" s="257" t="str">
        <f t="shared" si="47"/>
        <v/>
      </c>
      <c r="F442" s="257" t="str">
        <f t="shared" si="48"/>
        <v/>
      </c>
      <c r="G442" s="257" t="str">
        <f t="shared" si="49"/>
        <v/>
      </c>
      <c r="H442" s="257" t="str">
        <f t="shared" si="50"/>
        <v/>
      </c>
    </row>
    <row r="443" spans="1:8" x14ac:dyDescent="0.25">
      <c r="A443" s="254" t="str">
        <f t="shared" ca="1" si="51"/>
        <v/>
      </c>
      <c r="B443" s="255"/>
      <c r="C443" s="256"/>
      <c r="D443" s="257" t="str">
        <f t="shared" si="47"/>
        <v/>
      </c>
      <c r="F443" s="257" t="str">
        <f t="shared" si="48"/>
        <v/>
      </c>
      <c r="G443" s="257" t="str">
        <f t="shared" si="49"/>
        <v/>
      </c>
      <c r="H443" s="257" t="str">
        <f t="shared" si="50"/>
        <v/>
      </c>
    </row>
    <row r="444" spans="1:8" x14ac:dyDescent="0.25">
      <c r="A444" s="254" t="str">
        <f t="shared" ca="1" si="51"/>
        <v/>
      </c>
      <c r="B444" s="255"/>
      <c r="C444" s="256"/>
      <c r="D444" s="257" t="str">
        <f t="shared" si="47"/>
        <v/>
      </c>
      <c r="F444" s="257" t="str">
        <f t="shared" si="48"/>
        <v/>
      </c>
      <c r="G444" s="257" t="str">
        <f t="shared" si="49"/>
        <v/>
      </c>
      <c r="H444" s="257" t="str">
        <f t="shared" si="50"/>
        <v/>
      </c>
    </row>
    <row r="445" spans="1:8" x14ac:dyDescent="0.25">
      <c r="A445" s="254" t="str">
        <f t="shared" ca="1" si="51"/>
        <v/>
      </c>
      <c r="B445" s="255"/>
      <c r="C445" s="256"/>
      <c r="D445" s="257" t="str">
        <f t="shared" si="47"/>
        <v/>
      </c>
      <c r="F445" s="257" t="str">
        <f t="shared" si="48"/>
        <v/>
      </c>
      <c r="G445" s="257" t="str">
        <f t="shared" si="49"/>
        <v/>
      </c>
      <c r="H445" s="257" t="str">
        <f t="shared" si="50"/>
        <v/>
      </c>
    </row>
    <row r="446" spans="1:8" x14ac:dyDescent="0.25">
      <c r="A446" s="254" t="str">
        <f t="shared" ca="1" si="51"/>
        <v/>
      </c>
      <c r="B446" s="255"/>
      <c r="C446" s="256"/>
      <c r="D446" s="257" t="str">
        <f t="shared" si="47"/>
        <v/>
      </c>
      <c r="F446" s="257" t="str">
        <f t="shared" si="48"/>
        <v/>
      </c>
      <c r="G446" s="257" t="str">
        <f t="shared" si="49"/>
        <v/>
      </c>
      <c r="H446" s="257" t="str">
        <f t="shared" si="50"/>
        <v/>
      </c>
    </row>
    <row r="447" spans="1:8" x14ac:dyDescent="0.25">
      <c r="A447" s="254" t="str">
        <f t="shared" ca="1" si="51"/>
        <v/>
      </c>
      <c r="B447" s="255"/>
      <c r="C447" s="256"/>
      <c r="D447" s="257" t="str">
        <f t="shared" si="47"/>
        <v/>
      </c>
      <c r="F447" s="257" t="str">
        <f t="shared" si="48"/>
        <v/>
      </c>
      <c r="G447" s="257" t="str">
        <f t="shared" si="49"/>
        <v/>
      </c>
      <c r="H447" s="257" t="str">
        <f t="shared" si="50"/>
        <v/>
      </c>
    </row>
    <row r="448" spans="1:8" x14ac:dyDescent="0.25">
      <c r="A448" s="254" t="str">
        <f t="shared" ca="1" si="51"/>
        <v/>
      </c>
      <c r="B448" s="255"/>
      <c r="C448" s="256"/>
      <c r="D448" s="257" t="str">
        <f t="shared" si="47"/>
        <v/>
      </c>
      <c r="F448" s="257" t="str">
        <f t="shared" si="48"/>
        <v/>
      </c>
      <c r="G448" s="257" t="str">
        <f t="shared" si="49"/>
        <v/>
      </c>
      <c r="H448" s="257" t="str">
        <f t="shared" si="50"/>
        <v/>
      </c>
    </row>
    <row r="449" spans="1:8" x14ac:dyDescent="0.25">
      <c r="A449" s="254" t="str">
        <f t="shared" ca="1" si="51"/>
        <v/>
      </c>
      <c r="B449" s="255"/>
      <c r="C449" s="256"/>
      <c r="D449" s="257" t="str">
        <f t="shared" si="47"/>
        <v/>
      </c>
      <c r="F449" s="257" t="str">
        <f t="shared" si="48"/>
        <v/>
      </c>
      <c r="G449" s="257" t="str">
        <f t="shared" si="49"/>
        <v/>
      </c>
      <c r="H449" s="257" t="str">
        <f t="shared" si="50"/>
        <v/>
      </c>
    </row>
    <row r="450" spans="1:8" x14ac:dyDescent="0.25">
      <c r="A450" s="254" t="str">
        <f t="shared" ca="1" si="51"/>
        <v/>
      </c>
      <c r="B450" s="255"/>
      <c r="C450" s="256"/>
      <c r="D450" s="257" t="str">
        <f t="shared" si="47"/>
        <v/>
      </c>
      <c r="F450" s="257" t="str">
        <f t="shared" si="48"/>
        <v/>
      </c>
      <c r="G450" s="257" t="str">
        <f t="shared" si="49"/>
        <v/>
      </c>
      <c r="H450" s="257" t="str">
        <f t="shared" si="50"/>
        <v/>
      </c>
    </row>
    <row r="451" spans="1:8" x14ac:dyDescent="0.25">
      <c r="A451" s="254" t="str">
        <f t="shared" ca="1" si="51"/>
        <v/>
      </c>
      <c r="B451" s="255"/>
      <c r="C451" s="256"/>
      <c r="D451" s="257" t="str">
        <f t="shared" si="47"/>
        <v/>
      </c>
      <c r="F451" s="257" t="str">
        <f t="shared" si="48"/>
        <v/>
      </c>
      <c r="G451" s="257" t="str">
        <f t="shared" si="49"/>
        <v/>
      </c>
      <c r="H451" s="257" t="str">
        <f t="shared" si="50"/>
        <v/>
      </c>
    </row>
    <row r="452" spans="1:8" x14ac:dyDescent="0.25">
      <c r="A452" s="254" t="str">
        <f t="shared" ca="1" si="51"/>
        <v/>
      </c>
      <c r="B452" s="255"/>
      <c r="C452" s="256"/>
      <c r="D452" s="257" t="str">
        <f t="shared" si="47"/>
        <v/>
      </c>
      <c r="F452" s="257" t="str">
        <f t="shared" si="48"/>
        <v/>
      </c>
      <c r="G452" s="257" t="str">
        <f t="shared" si="49"/>
        <v/>
      </c>
      <c r="H452" s="257" t="str">
        <f t="shared" si="50"/>
        <v/>
      </c>
    </row>
    <row r="453" spans="1:8" x14ac:dyDescent="0.25">
      <c r="A453" s="254" t="str">
        <f t="shared" ca="1" si="51"/>
        <v/>
      </c>
      <c r="B453" s="255"/>
      <c r="C453" s="256"/>
      <c r="D453" s="257" t="str">
        <f t="shared" si="47"/>
        <v/>
      </c>
      <c r="F453" s="257" t="str">
        <f t="shared" si="48"/>
        <v/>
      </c>
      <c r="G453" s="257" t="str">
        <f t="shared" si="49"/>
        <v/>
      </c>
      <c r="H453" s="257" t="str">
        <f t="shared" si="50"/>
        <v/>
      </c>
    </row>
    <row r="454" spans="1:8" x14ac:dyDescent="0.25">
      <c r="A454" s="254" t="str">
        <f t="shared" ca="1" si="51"/>
        <v/>
      </c>
      <c r="B454" s="255"/>
      <c r="C454" s="256"/>
      <c r="D454" s="257" t="str">
        <f t="shared" si="47"/>
        <v/>
      </c>
      <c r="F454" s="257" t="str">
        <f t="shared" si="48"/>
        <v/>
      </c>
      <c r="G454" s="257" t="str">
        <f t="shared" si="49"/>
        <v/>
      </c>
      <c r="H454" s="257" t="str">
        <f t="shared" si="50"/>
        <v/>
      </c>
    </row>
    <row r="455" spans="1:8" x14ac:dyDescent="0.25">
      <c r="A455" s="254" t="str">
        <f t="shared" ca="1" si="51"/>
        <v/>
      </c>
      <c r="B455" s="255"/>
      <c r="C455" s="256"/>
      <c r="D455" s="257" t="str">
        <f t="shared" si="47"/>
        <v/>
      </c>
      <c r="F455" s="257" t="str">
        <f t="shared" si="48"/>
        <v/>
      </c>
      <c r="G455" s="257" t="str">
        <f t="shared" si="49"/>
        <v/>
      </c>
      <c r="H455" s="257" t="str">
        <f t="shared" si="50"/>
        <v/>
      </c>
    </row>
    <row r="456" spans="1:8" x14ac:dyDescent="0.25">
      <c r="A456" s="254" t="str">
        <f t="shared" ca="1" si="51"/>
        <v/>
      </c>
      <c r="B456" s="255"/>
      <c r="C456" s="256"/>
      <c r="D456" s="257" t="str">
        <f t="shared" si="47"/>
        <v/>
      </c>
      <c r="F456" s="257" t="str">
        <f t="shared" si="48"/>
        <v/>
      </c>
      <c r="G456" s="257" t="str">
        <f t="shared" si="49"/>
        <v/>
      </c>
      <c r="H456" s="257" t="str">
        <f t="shared" si="50"/>
        <v/>
      </c>
    </row>
    <row r="457" spans="1:8" x14ac:dyDescent="0.25">
      <c r="A457" s="254" t="str">
        <f t="shared" ca="1" si="51"/>
        <v/>
      </c>
      <c r="B457" s="255"/>
      <c r="C457" s="256"/>
      <c r="D457" s="257" t="str">
        <f t="shared" si="47"/>
        <v/>
      </c>
      <c r="F457" s="257" t="str">
        <f t="shared" si="48"/>
        <v/>
      </c>
      <c r="G457" s="257" t="str">
        <f t="shared" si="49"/>
        <v/>
      </c>
      <c r="H457" s="257" t="str">
        <f t="shared" si="50"/>
        <v/>
      </c>
    </row>
    <row r="458" spans="1:8" x14ac:dyDescent="0.25">
      <c r="A458" s="254" t="str">
        <f t="shared" ca="1" si="51"/>
        <v/>
      </c>
      <c r="B458" s="255"/>
      <c r="C458" s="256"/>
      <c r="D458" s="257" t="str">
        <f t="shared" si="47"/>
        <v/>
      </c>
      <c r="F458" s="257" t="str">
        <f t="shared" si="48"/>
        <v/>
      </c>
      <c r="G458" s="257" t="str">
        <f t="shared" si="49"/>
        <v/>
      </c>
      <c r="H458" s="257" t="str">
        <f t="shared" si="50"/>
        <v/>
      </c>
    </row>
    <row r="459" spans="1:8" x14ac:dyDescent="0.25">
      <c r="A459" s="254" t="str">
        <f t="shared" ca="1" si="51"/>
        <v/>
      </c>
      <c r="B459" s="255"/>
      <c r="C459" s="256"/>
      <c r="D459" s="257" t="str">
        <f t="shared" si="47"/>
        <v/>
      </c>
      <c r="F459" s="257" t="str">
        <f t="shared" si="48"/>
        <v/>
      </c>
      <c r="G459" s="257" t="str">
        <f t="shared" si="49"/>
        <v/>
      </c>
      <c r="H459" s="257" t="str">
        <f t="shared" si="50"/>
        <v/>
      </c>
    </row>
    <row r="460" spans="1:8" x14ac:dyDescent="0.25">
      <c r="A460" s="254" t="str">
        <f t="shared" ca="1" si="51"/>
        <v/>
      </c>
      <c r="B460" s="255"/>
      <c r="C460" s="256"/>
      <c r="D460" s="257" t="str">
        <f t="shared" si="47"/>
        <v/>
      </c>
      <c r="F460" s="257" t="str">
        <f t="shared" si="48"/>
        <v/>
      </c>
      <c r="G460" s="257" t="str">
        <f t="shared" si="49"/>
        <v/>
      </c>
      <c r="H460" s="257" t="str">
        <f t="shared" si="50"/>
        <v/>
      </c>
    </row>
    <row r="461" spans="1:8" x14ac:dyDescent="0.25">
      <c r="A461" s="254" t="str">
        <f t="shared" ca="1" si="51"/>
        <v/>
      </c>
      <c r="B461" s="255"/>
      <c r="C461" s="256"/>
      <c r="D461" s="257" t="str">
        <f t="shared" si="47"/>
        <v/>
      </c>
      <c r="F461" s="257" t="str">
        <f t="shared" si="48"/>
        <v/>
      </c>
      <c r="G461" s="257" t="str">
        <f t="shared" si="49"/>
        <v/>
      </c>
      <c r="H461" s="257" t="str">
        <f t="shared" si="50"/>
        <v/>
      </c>
    </row>
    <row r="462" spans="1:8" x14ac:dyDescent="0.25">
      <c r="A462" s="254" t="str">
        <f t="shared" ca="1" si="51"/>
        <v/>
      </c>
      <c r="B462" s="255"/>
      <c r="C462" s="256"/>
      <c r="D462" s="257" t="str">
        <f t="shared" si="47"/>
        <v/>
      </c>
      <c r="F462" s="257" t="str">
        <f t="shared" si="48"/>
        <v/>
      </c>
      <c r="G462" s="257" t="str">
        <f t="shared" si="49"/>
        <v/>
      </c>
      <c r="H462" s="257" t="str">
        <f t="shared" si="50"/>
        <v/>
      </c>
    </row>
    <row r="463" spans="1:8" x14ac:dyDescent="0.25">
      <c r="A463" s="254" t="str">
        <f t="shared" ca="1" si="51"/>
        <v/>
      </c>
      <c r="B463" s="255"/>
      <c r="C463" s="256"/>
      <c r="D463" s="257" t="str">
        <f t="shared" si="47"/>
        <v/>
      </c>
      <c r="F463" s="257" t="str">
        <f t="shared" si="48"/>
        <v/>
      </c>
      <c r="G463" s="257" t="str">
        <f t="shared" si="49"/>
        <v/>
      </c>
      <c r="H463" s="257" t="str">
        <f t="shared" si="50"/>
        <v/>
      </c>
    </row>
    <row r="464" spans="1:8" x14ac:dyDescent="0.25">
      <c r="A464" s="254" t="str">
        <f t="shared" ca="1" si="51"/>
        <v/>
      </c>
      <c r="B464" s="255"/>
      <c r="C464" s="256"/>
      <c r="D464" s="257" t="str">
        <f t="shared" si="47"/>
        <v/>
      </c>
      <c r="F464" s="257" t="str">
        <f t="shared" si="48"/>
        <v/>
      </c>
      <c r="G464" s="257" t="str">
        <f t="shared" si="49"/>
        <v/>
      </c>
      <c r="H464" s="257" t="str">
        <f t="shared" si="50"/>
        <v/>
      </c>
    </row>
    <row r="465" spans="1:8" x14ac:dyDescent="0.25">
      <c r="A465" s="254" t="str">
        <f t="shared" ca="1" si="51"/>
        <v/>
      </c>
      <c r="B465" s="255"/>
      <c r="C465" s="256"/>
      <c r="D465" s="257" t="str">
        <f t="shared" si="47"/>
        <v/>
      </c>
      <c r="F465" s="257" t="str">
        <f t="shared" si="48"/>
        <v/>
      </c>
      <c r="G465" s="257" t="str">
        <f t="shared" si="49"/>
        <v/>
      </c>
      <c r="H465" s="257" t="str">
        <f t="shared" si="50"/>
        <v/>
      </c>
    </row>
    <row r="466" spans="1:8" x14ac:dyDescent="0.25">
      <c r="A466" s="254" t="str">
        <f t="shared" ca="1" si="51"/>
        <v/>
      </c>
      <c r="B466" s="255"/>
      <c r="C466" s="256"/>
      <c r="D466" s="257" t="str">
        <f t="shared" si="47"/>
        <v/>
      </c>
      <c r="F466" s="257" t="str">
        <f t="shared" si="48"/>
        <v/>
      </c>
      <c r="G466" s="257" t="str">
        <f t="shared" si="49"/>
        <v/>
      </c>
      <c r="H466" s="257" t="str">
        <f t="shared" si="50"/>
        <v/>
      </c>
    </row>
    <row r="467" spans="1:8" x14ac:dyDescent="0.25">
      <c r="A467" s="254" t="str">
        <f t="shared" ca="1" si="51"/>
        <v/>
      </c>
      <c r="B467" s="255"/>
      <c r="C467" s="256"/>
      <c r="D467" s="257" t="str">
        <f t="shared" ref="D467:D530" si="52">IF(B467="","",ROUND((B467-B466)*$H$9*G466,2))</f>
        <v/>
      </c>
      <c r="F467" s="257" t="str">
        <f t="shared" ref="F467:F530" si="53">IF(B467="","",IF(C467&gt;F466+D467,0,F466+D467-C467))</f>
        <v/>
      </c>
      <c r="G467" s="257" t="str">
        <f t="shared" ref="G467:G530" si="54">IF(B467="","",IF(C467&gt;D467+F466,G466+F466+D467-C467,G466))</f>
        <v/>
      </c>
      <c r="H467" s="257" t="str">
        <f t="shared" ref="H467:H530" si="55">IF(B467="","",G467+F467)</f>
        <v/>
      </c>
    </row>
    <row r="468" spans="1:8" x14ac:dyDescent="0.25">
      <c r="A468" s="254" t="str">
        <f t="shared" ca="1" si="51"/>
        <v/>
      </c>
      <c r="B468" s="255"/>
      <c r="C468" s="256"/>
      <c r="D468" s="257" t="str">
        <f t="shared" si="52"/>
        <v/>
      </c>
      <c r="F468" s="257" t="str">
        <f t="shared" si="53"/>
        <v/>
      </c>
      <c r="G468" s="257" t="str">
        <f t="shared" si="54"/>
        <v/>
      </c>
      <c r="H468" s="257" t="str">
        <f t="shared" si="55"/>
        <v/>
      </c>
    </row>
    <row r="469" spans="1:8" x14ac:dyDescent="0.25">
      <c r="A469" s="254" t="str">
        <f t="shared" ca="1" si="51"/>
        <v/>
      </c>
      <c r="B469" s="255"/>
      <c r="C469" s="256"/>
      <c r="D469" s="257" t="str">
        <f t="shared" si="52"/>
        <v/>
      </c>
      <c r="F469" s="257" t="str">
        <f t="shared" si="53"/>
        <v/>
      </c>
      <c r="G469" s="257" t="str">
        <f t="shared" si="54"/>
        <v/>
      </c>
      <c r="H469" s="257" t="str">
        <f t="shared" si="55"/>
        <v/>
      </c>
    </row>
    <row r="470" spans="1:8" x14ac:dyDescent="0.25">
      <c r="A470" s="254" t="str">
        <f t="shared" ca="1" si="51"/>
        <v/>
      </c>
      <c r="B470" s="255"/>
      <c r="C470" s="256"/>
      <c r="D470" s="257" t="str">
        <f t="shared" si="52"/>
        <v/>
      </c>
      <c r="F470" s="257" t="str">
        <f t="shared" si="53"/>
        <v/>
      </c>
      <c r="G470" s="257" t="str">
        <f t="shared" si="54"/>
        <v/>
      </c>
      <c r="H470" s="257" t="str">
        <f t="shared" si="55"/>
        <v/>
      </c>
    </row>
    <row r="471" spans="1:8" x14ac:dyDescent="0.25">
      <c r="A471" s="254" t="str">
        <f t="shared" ca="1" si="51"/>
        <v/>
      </c>
      <c r="B471" s="255"/>
      <c r="C471" s="256"/>
      <c r="D471" s="257" t="str">
        <f t="shared" si="52"/>
        <v/>
      </c>
      <c r="F471" s="257" t="str">
        <f t="shared" si="53"/>
        <v/>
      </c>
      <c r="G471" s="257" t="str">
        <f t="shared" si="54"/>
        <v/>
      </c>
      <c r="H471" s="257" t="str">
        <f t="shared" si="55"/>
        <v/>
      </c>
    </row>
    <row r="472" spans="1:8" x14ac:dyDescent="0.25">
      <c r="A472" s="254" t="str">
        <f t="shared" ca="1" si="51"/>
        <v/>
      </c>
      <c r="B472" s="255"/>
      <c r="C472" s="256"/>
      <c r="D472" s="257" t="str">
        <f t="shared" si="52"/>
        <v/>
      </c>
      <c r="F472" s="257" t="str">
        <f t="shared" si="53"/>
        <v/>
      </c>
      <c r="G472" s="257" t="str">
        <f t="shared" si="54"/>
        <v/>
      </c>
      <c r="H472" s="257" t="str">
        <f t="shared" si="55"/>
        <v/>
      </c>
    </row>
    <row r="473" spans="1:8" x14ac:dyDescent="0.25">
      <c r="A473" s="254" t="str">
        <f t="shared" ca="1" si="51"/>
        <v/>
      </c>
      <c r="B473" s="255"/>
      <c r="C473" s="256"/>
      <c r="D473" s="257" t="str">
        <f t="shared" si="52"/>
        <v/>
      </c>
      <c r="F473" s="257" t="str">
        <f t="shared" si="53"/>
        <v/>
      </c>
      <c r="G473" s="257" t="str">
        <f t="shared" si="54"/>
        <v/>
      </c>
      <c r="H473" s="257" t="str">
        <f t="shared" si="55"/>
        <v/>
      </c>
    </row>
    <row r="474" spans="1:8" x14ac:dyDescent="0.25">
      <c r="A474" s="254" t="str">
        <f t="shared" ca="1" si="51"/>
        <v/>
      </c>
      <c r="B474" s="255"/>
      <c r="C474" s="256"/>
      <c r="D474" s="257" t="str">
        <f t="shared" si="52"/>
        <v/>
      </c>
      <c r="F474" s="257" t="str">
        <f t="shared" si="53"/>
        <v/>
      </c>
      <c r="G474" s="257" t="str">
        <f t="shared" si="54"/>
        <v/>
      </c>
      <c r="H474" s="257" t="str">
        <f t="shared" si="55"/>
        <v/>
      </c>
    </row>
    <row r="475" spans="1:8" x14ac:dyDescent="0.25">
      <c r="A475" s="254" t="str">
        <f t="shared" ca="1" si="51"/>
        <v/>
      </c>
      <c r="B475" s="255"/>
      <c r="C475" s="256"/>
      <c r="D475" s="257" t="str">
        <f t="shared" si="52"/>
        <v/>
      </c>
      <c r="F475" s="257" t="str">
        <f t="shared" si="53"/>
        <v/>
      </c>
      <c r="G475" s="257" t="str">
        <f t="shared" si="54"/>
        <v/>
      </c>
      <c r="H475" s="257" t="str">
        <f t="shared" si="55"/>
        <v/>
      </c>
    </row>
    <row r="476" spans="1:8" x14ac:dyDescent="0.25">
      <c r="A476" s="254" t="str">
        <f t="shared" ca="1" si="51"/>
        <v/>
      </c>
      <c r="B476" s="255"/>
      <c r="C476" s="256"/>
      <c r="D476" s="257" t="str">
        <f t="shared" si="52"/>
        <v/>
      </c>
      <c r="F476" s="257" t="str">
        <f t="shared" si="53"/>
        <v/>
      </c>
      <c r="G476" s="257" t="str">
        <f t="shared" si="54"/>
        <v/>
      </c>
      <c r="H476" s="257" t="str">
        <f t="shared" si="55"/>
        <v/>
      </c>
    </row>
    <row r="477" spans="1:8" x14ac:dyDescent="0.25">
      <c r="A477" s="254" t="str">
        <f t="shared" ca="1" si="51"/>
        <v/>
      </c>
      <c r="B477" s="255"/>
      <c r="C477" s="256"/>
      <c r="D477" s="257" t="str">
        <f t="shared" si="52"/>
        <v/>
      </c>
      <c r="F477" s="257" t="str">
        <f t="shared" si="53"/>
        <v/>
      </c>
      <c r="G477" s="257" t="str">
        <f t="shared" si="54"/>
        <v/>
      </c>
      <c r="H477" s="257" t="str">
        <f t="shared" si="55"/>
        <v/>
      </c>
    </row>
    <row r="478" spans="1:8" x14ac:dyDescent="0.25">
      <c r="A478" s="254" t="str">
        <f t="shared" ca="1" si="51"/>
        <v/>
      </c>
      <c r="B478" s="255"/>
      <c r="C478" s="256"/>
      <c r="D478" s="257" t="str">
        <f t="shared" si="52"/>
        <v/>
      </c>
      <c r="F478" s="257" t="str">
        <f t="shared" si="53"/>
        <v/>
      </c>
      <c r="G478" s="257" t="str">
        <f t="shared" si="54"/>
        <v/>
      </c>
      <c r="H478" s="257" t="str">
        <f t="shared" si="55"/>
        <v/>
      </c>
    </row>
    <row r="479" spans="1:8" x14ac:dyDescent="0.25">
      <c r="A479" s="254" t="str">
        <f t="shared" ca="1" si="51"/>
        <v/>
      </c>
      <c r="B479" s="255"/>
      <c r="C479" s="256"/>
      <c r="D479" s="257" t="str">
        <f t="shared" si="52"/>
        <v/>
      </c>
      <c r="F479" s="257" t="str">
        <f t="shared" si="53"/>
        <v/>
      </c>
      <c r="G479" s="257" t="str">
        <f t="shared" si="54"/>
        <v/>
      </c>
      <c r="H479" s="257" t="str">
        <f t="shared" si="55"/>
        <v/>
      </c>
    </row>
    <row r="480" spans="1:8" x14ac:dyDescent="0.25">
      <c r="A480" s="254" t="str">
        <f t="shared" ca="1" si="51"/>
        <v/>
      </c>
      <c r="B480" s="255"/>
      <c r="C480" s="256"/>
      <c r="D480" s="257" t="str">
        <f t="shared" si="52"/>
        <v/>
      </c>
      <c r="F480" s="257" t="str">
        <f t="shared" si="53"/>
        <v/>
      </c>
      <c r="G480" s="257" t="str">
        <f t="shared" si="54"/>
        <v/>
      </c>
      <c r="H480" s="257" t="str">
        <f t="shared" si="55"/>
        <v/>
      </c>
    </row>
    <row r="481" spans="1:8" x14ac:dyDescent="0.25">
      <c r="A481" s="254" t="str">
        <f t="shared" ca="1" si="51"/>
        <v/>
      </c>
      <c r="B481" s="255"/>
      <c r="C481" s="256"/>
      <c r="D481" s="257" t="str">
        <f t="shared" si="52"/>
        <v/>
      </c>
      <c r="F481" s="257" t="str">
        <f t="shared" si="53"/>
        <v/>
      </c>
      <c r="G481" s="257" t="str">
        <f t="shared" si="54"/>
        <v/>
      </c>
      <c r="H481" s="257" t="str">
        <f t="shared" si="55"/>
        <v/>
      </c>
    </row>
    <row r="482" spans="1:8" x14ac:dyDescent="0.25">
      <c r="A482" s="254" t="str">
        <f t="shared" ca="1" si="51"/>
        <v/>
      </c>
      <c r="B482" s="255"/>
      <c r="C482" s="256"/>
      <c r="D482" s="257" t="str">
        <f t="shared" si="52"/>
        <v/>
      </c>
      <c r="F482" s="257" t="str">
        <f t="shared" si="53"/>
        <v/>
      </c>
      <c r="G482" s="257" t="str">
        <f t="shared" si="54"/>
        <v/>
      </c>
      <c r="H482" s="257" t="str">
        <f t="shared" si="55"/>
        <v/>
      </c>
    </row>
    <row r="483" spans="1:8" x14ac:dyDescent="0.25">
      <c r="A483" s="254" t="str">
        <f t="shared" ca="1" si="51"/>
        <v/>
      </c>
      <c r="B483" s="255"/>
      <c r="C483" s="256"/>
      <c r="D483" s="257" t="str">
        <f t="shared" si="52"/>
        <v/>
      </c>
      <c r="F483" s="257" t="str">
        <f t="shared" si="53"/>
        <v/>
      </c>
      <c r="G483" s="257" t="str">
        <f t="shared" si="54"/>
        <v/>
      </c>
      <c r="H483" s="257" t="str">
        <f t="shared" si="55"/>
        <v/>
      </c>
    </row>
    <row r="484" spans="1:8" x14ac:dyDescent="0.25">
      <c r="A484" s="254" t="str">
        <f t="shared" ca="1" si="51"/>
        <v/>
      </c>
      <c r="B484" s="255"/>
      <c r="C484" s="256"/>
      <c r="D484" s="257" t="str">
        <f t="shared" si="52"/>
        <v/>
      </c>
      <c r="F484" s="257" t="str">
        <f t="shared" si="53"/>
        <v/>
      </c>
      <c r="G484" s="257" t="str">
        <f t="shared" si="54"/>
        <v/>
      </c>
      <c r="H484" s="257" t="str">
        <f t="shared" si="55"/>
        <v/>
      </c>
    </row>
    <row r="485" spans="1:8" x14ac:dyDescent="0.25">
      <c r="A485" s="254" t="str">
        <f t="shared" ca="1" si="51"/>
        <v/>
      </c>
      <c r="B485" s="255"/>
      <c r="C485" s="256"/>
      <c r="D485" s="257" t="str">
        <f t="shared" si="52"/>
        <v/>
      </c>
      <c r="F485" s="257" t="str">
        <f t="shared" si="53"/>
        <v/>
      </c>
      <c r="G485" s="257" t="str">
        <f t="shared" si="54"/>
        <v/>
      </c>
      <c r="H485" s="257" t="str">
        <f t="shared" si="55"/>
        <v/>
      </c>
    </row>
    <row r="486" spans="1:8" x14ac:dyDescent="0.25">
      <c r="A486" s="254" t="str">
        <f t="shared" ca="1" si="51"/>
        <v/>
      </c>
      <c r="B486" s="255"/>
      <c r="C486" s="256"/>
      <c r="D486" s="257" t="str">
        <f t="shared" si="52"/>
        <v/>
      </c>
      <c r="F486" s="257" t="str">
        <f t="shared" si="53"/>
        <v/>
      </c>
      <c r="G486" s="257" t="str">
        <f t="shared" si="54"/>
        <v/>
      </c>
      <c r="H486" s="257" t="str">
        <f t="shared" si="55"/>
        <v/>
      </c>
    </row>
    <row r="487" spans="1:8" x14ac:dyDescent="0.25">
      <c r="A487" s="254" t="str">
        <f t="shared" ca="1" si="51"/>
        <v/>
      </c>
      <c r="B487" s="255"/>
      <c r="C487" s="256"/>
      <c r="D487" s="257" t="str">
        <f t="shared" si="52"/>
        <v/>
      </c>
      <c r="F487" s="257" t="str">
        <f t="shared" si="53"/>
        <v/>
      </c>
      <c r="G487" s="257" t="str">
        <f t="shared" si="54"/>
        <v/>
      </c>
      <c r="H487" s="257" t="str">
        <f t="shared" si="55"/>
        <v/>
      </c>
    </row>
    <row r="488" spans="1:8" x14ac:dyDescent="0.25">
      <c r="A488" s="254" t="str">
        <f t="shared" ca="1" si="51"/>
        <v/>
      </c>
      <c r="B488" s="255"/>
      <c r="C488" s="256"/>
      <c r="D488" s="257" t="str">
        <f t="shared" si="52"/>
        <v/>
      </c>
      <c r="F488" s="257" t="str">
        <f t="shared" si="53"/>
        <v/>
      </c>
      <c r="G488" s="257" t="str">
        <f t="shared" si="54"/>
        <v/>
      </c>
      <c r="H488" s="257" t="str">
        <f t="shared" si="55"/>
        <v/>
      </c>
    </row>
    <row r="489" spans="1:8" x14ac:dyDescent="0.25">
      <c r="A489" s="254" t="str">
        <f t="shared" ref="A489:A552" ca="1" si="56">IF(OR(H488&lt;=0,H488=""),"",OFFSET(A489,-1,0,1,1)+1)</f>
        <v/>
      </c>
      <c r="B489" s="255"/>
      <c r="C489" s="256"/>
      <c r="D489" s="257" t="str">
        <f t="shared" si="52"/>
        <v/>
      </c>
      <c r="F489" s="257" t="str">
        <f t="shared" si="53"/>
        <v/>
      </c>
      <c r="G489" s="257" t="str">
        <f t="shared" si="54"/>
        <v/>
      </c>
      <c r="H489" s="257" t="str">
        <f t="shared" si="55"/>
        <v/>
      </c>
    </row>
    <row r="490" spans="1:8" x14ac:dyDescent="0.25">
      <c r="A490" s="254" t="str">
        <f t="shared" ca="1" si="56"/>
        <v/>
      </c>
      <c r="B490" s="255"/>
      <c r="C490" s="256"/>
      <c r="D490" s="257" t="str">
        <f t="shared" si="52"/>
        <v/>
      </c>
      <c r="F490" s="257" t="str">
        <f t="shared" si="53"/>
        <v/>
      </c>
      <c r="G490" s="257" t="str">
        <f t="shared" si="54"/>
        <v/>
      </c>
      <c r="H490" s="257" t="str">
        <f t="shared" si="55"/>
        <v/>
      </c>
    </row>
    <row r="491" spans="1:8" x14ac:dyDescent="0.25">
      <c r="A491" s="254" t="str">
        <f t="shared" ca="1" si="56"/>
        <v/>
      </c>
      <c r="B491" s="255"/>
      <c r="C491" s="256"/>
      <c r="D491" s="257" t="str">
        <f t="shared" si="52"/>
        <v/>
      </c>
      <c r="F491" s="257" t="str">
        <f t="shared" si="53"/>
        <v/>
      </c>
      <c r="G491" s="257" t="str">
        <f t="shared" si="54"/>
        <v/>
      </c>
      <c r="H491" s="257" t="str">
        <f t="shared" si="55"/>
        <v/>
      </c>
    </row>
    <row r="492" spans="1:8" x14ac:dyDescent="0.25">
      <c r="A492" s="254" t="str">
        <f t="shared" ca="1" si="56"/>
        <v/>
      </c>
      <c r="B492" s="255"/>
      <c r="C492" s="256"/>
      <c r="D492" s="257" t="str">
        <f t="shared" si="52"/>
        <v/>
      </c>
      <c r="F492" s="257" t="str">
        <f t="shared" si="53"/>
        <v/>
      </c>
      <c r="G492" s="257" t="str">
        <f t="shared" si="54"/>
        <v/>
      </c>
      <c r="H492" s="257" t="str">
        <f t="shared" si="55"/>
        <v/>
      </c>
    </row>
    <row r="493" spans="1:8" x14ac:dyDescent="0.25">
      <c r="A493" s="254" t="str">
        <f t="shared" ca="1" si="56"/>
        <v/>
      </c>
      <c r="B493" s="255"/>
      <c r="C493" s="256"/>
      <c r="D493" s="257" t="str">
        <f t="shared" si="52"/>
        <v/>
      </c>
      <c r="F493" s="257" t="str">
        <f t="shared" si="53"/>
        <v/>
      </c>
      <c r="G493" s="257" t="str">
        <f t="shared" si="54"/>
        <v/>
      </c>
      <c r="H493" s="257" t="str">
        <f t="shared" si="55"/>
        <v/>
      </c>
    </row>
    <row r="494" spans="1:8" x14ac:dyDescent="0.25">
      <c r="A494" s="254" t="str">
        <f t="shared" ca="1" si="56"/>
        <v/>
      </c>
      <c r="B494" s="255"/>
      <c r="C494" s="256"/>
      <c r="D494" s="257" t="str">
        <f t="shared" si="52"/>
        <v/>
      </c>
      <c r="F494" s="257" t="str">
        <f t="shared" si="53"/>
        <v/>
      </c>
      <c r="G494" s="257" t="str">
        <f t="shared" si="54"/>
        <v/>
      </c>
      <c r="H494" s="257" t="str">
        <f t="shared" si="55"/>
        <v/>
      </c>
    </row>
    <row r="495" spans="1:8" x14ac:dyDescent="0.25">
      <c r="A495" s="254" t="str">
        <f t="shared" ca="1" si="56"/>
        <v/>
      </c>
      <c r="B495" s="255"/>
      <c r="C495" s="256"/>
      <c r="D495" s="257" t="str">
        <f t="shared" si="52"/>
        <v/>
      </c>
      <c r="F495" s="257" t="str">
        <f t="shared" si="53"/>
        <v/>
      </c>
      <c r="G495" s="257" t="str">
        <f t="shared" si="54"/>
        <v/>
      </c>
      <c r="H495" s="257" t="str">
        <f t="shared" si="55"/>
        <v/>
      </c>
    </row>
    <row r="496" spans="1:8" x14ac:dyDescent="0.25">
      <c r="A496" s="254" t="str">
        <f t="shared" ca="1" si="56"/>
        <v/>
      </c>
      <c r="B496" s="255"/>
      <c r="C496" s="256"/>
      <c r="D496" s="257" t="str">
        <f t="shared" si="52"/>
        <v/>
      </c>
      <c r="F496" s="257" t="str">
        <f t="shared" si="53"/>
        <v/>
      </c>
      <c r="G496" s="257" t="str">
        <f t="shared" si="54"/>
        <v/>
      </c>
      <c r="H496" s="257" t="str">
        <f t="shared" si="55"/>
        <v/>
      </c>
    </row>
    <row r="497" spans="1:8" x14ac:dyDescent="0.25">
      <c r="A497" s="254" t="str">
        <f t="shared" ca="1" si="56"/>
        <v/>
      </c>
      <c r="B497" s="255"/>
      <c r="C497" s="256"/>
      <c r="D497" s="257" t="str">
        <f t="shared" si="52"/>
        <v/>
      </c>
      <c r="F497" s="257" t="str">
        <f t="shared" si="53"/>
        <v/>
      </c>
      <c r="G497" s="257" t="str">
        <f t="shared" si="54"/>
        <v/>
      </c>
      <c r="H497" s="257" t="str">
        <f t="shared" si="55"/>
        <v/>
      </c>
    </row>
    <row r="498" spans="1:8" x14ac:dyDescent="0.25">
      <c r="A498" s="254" t="str">
        <f t="shared" ca="1" si="56"/>
        <v/>
      </c>
      <c r="B498" s="255"/>
      <c r="C498" s="256"/>
      <c r="D498" s="257" t="str">
        <f t="shared" si="52"/>
        <v/>
      </c>
      <c r="F498" s="257" t="str">
        <f t="shared" si="53"/>
        <v/>
      </c>
      <c r="G498" s="257" t="str">
        <f t="shared" si="54"/>
        <v/>
      </c>
      <c r="H498" s="257" t="str">
        <f t="shared" si="55"/>
        <v/>
      </c>
    </row>
    <row r="499" spans="1:8" x14ac:dyDescent="0.25">
      <c r="A499" s="254" t="str">
        <f t="shared" ca="1" si="56"/>
        <v/>
      </c>
      <c r="B499" s="255"/>
      <c r="C499" s="256"/>
      <c r="D499" s="257" t="str">
        <f t="shared" si="52"/>
        <v/>
      </c>
      <c r="F499" s="257" t="str">
        <f t="shared" si="53"/>
        <v/>
      </c>
      <c r="G499" s="257" t="str">
        <f t="shared" si="54"/>
        <v/>
      </c>
      <c r="H499" s="257" t="str">
        <f t="shared" si="55"/>
        <v/>
      </c>
    </row>
    <row r="500" spans="1:8" x14ac:dyDescent="0.25">
      <c r="A500" s="254" t="str">
        <f t="shared" ca="1" si="56"/>
        <v/>
      </c>
      <c r="B500" s="255"/>
      <c r="C500" s="256"/>
      <c r="D500" s="257" t="str">
        <f t="shared" si="52"/>
        <v/>
      </c>
      <c r="F500" s="257" t="str">
        <f t="shared" si="53"/>
        <v/>
      </c>
      <c r="G500" s="257" t="str">
        <f t="shared" si="54"/>
        <v/>
      </c>
      <c r="H500" s="257" t="str">
        <f t="shared" si="55"/>
        <v/>
      </c>
    </row>
    <row r="501" spans="1:8" x14ac:dyDescent="0.25">
      <c r="A501" s="254" t="str">
        <f t="shared" ca="1" si="56"/>
        <v/>
      </c>
      <c r="B501" s="255"/>
      <c r="C501" s="256"/>
      <c r="D501" s="257" t="str">
        <f t="shared" si="52"/>
        <v/>
      </c>
      <c r="F501" s="257" t="str">
        <f t="shared" si="53"/>
        <v/>
      </c>
      <c r="G501" s="257" t="str">
        <f t="shared" si="54"/>
        <v/>
      </c>
      <c r="H501" s="257" t="str">
        <f t="shared" si="55"/>
        <v/>
      </c>
    </row>
    <row r="502" spans="1:8" x14ac:dyDescent="0.25">
      <c r="A502" s="254" t="str">
        <f t="shared" ca="1" si="56"/>
        <v/>
      </c>
      <c r="B502" s="255"/>
      <c r="C502" s="256"/>
      <c r="D502" s="257" t="str">
        <f t="shared" si="52"/>
        <v/>
      </c>
      <c r="F502" s="257" t="str">
        <f t="shared" si="53"/>
        <v/>
      </c>
      <c r="G502" s="257" t="str">
        <f t="shared" si="54"/>
        <v/>
      </c>
      <c r="H502" s="257" t="str">
        <f t="shared" si="55"/>
        <v/>
      </c>
    </row>
    <row r="503" spans="1:8" x14ac:dyDescent="0.25">
      <c r="A503" s="254" t="str">
        <f t="shared" ca="1" si="56"/>
        <v/>
      </c>
      <c r="B503" s="255"/>
      <c r="C503" s="256"/>
      <c r="D503" s="257" t="str">
        <f t="shared" si="52"/>
        <v/>
      </c>
      <c r="F503" s="257" t="str">
        <f t="shared" si="53"/>
        <v/>
      </c>
      <c r="G503" s="257" t="str">
        <f t="shared" si="54"/>
        <v/>
      </c>
      <c r="H503" s="257" t="str">
        <f t="shared" si="55"/>
        <v/>
      </c>
    </row>
    <row r="504" spans="1:8" x14ac:dyDescent="0.25">
      <c r="A504" s="254" t="str">
        <f t="shared" ca="1" si="56"/>
        <v/>
      </c>
      <c r="B504" s="255"/>
      <c r="C504" s="256"/>
      <c r="D504" s="257" t="str">
        <f t="shared" si="52"/>
        <v/>
      </c>
      <c r="F504" s="257" t="str">
        <f t="shared" si="53"/>
        <v/>
      </c>
      <c r="G504" s="257" t="str">
        <f t="shared" si="54"/>
        <v/>
      </c>
      <c r="H504" s="257" t="str">
        <f t="shared" si="55"/>
        <v/>
      </c>
    </row>
    <row r="505" spans="1:8" x14ac:dyDescent="0.25">
      <c r="A505" s="254" t="str">
        <f t="shared" ca="1" si="56"/>
        <v/>
      </c>
      <c r="B505" s="255"/>
      <c r="C505" s="256"/>
      <c r="D505" s="257" t="str">
        <f t="shared" si="52"/>
        <v/>
      </c>
      <c r="F505" s="257" t="str">
        <f t="shared" si="53"/>
        <v/>
      </c>
      <c r="G505" s="257" t="str">
        <f t="shared" si="54"/>
        <v/>
      </c>
      <c r="H505" s="257" t="str">
        <f t="shared" si="55"/>
        <v/>
      </c>
    </row>
    <row r="506" spans="1:8" x14ac:dyDescent="0.25">
      <c r="A506" s="254" t="str">
        <f t="shared" ca="1" si="56"/>
        <v/>
      </c>
      <c r="B506" s="255"/>
      <c r="C506" s="256"/>
      <c r="D506" s="257" t="str">
        <f t="shared" si="52"/>
        <v/>
      </c>
      <c r="F506" s="257" t="str">
        <f t="shared" si="53"/>
        <v/>
      </c>
      <c r="G506" s="257" t="str">
        <f t="shared" si="54"/>
        <v/>
      </c>
      <c r="H506" s="257" t="str">
        <f t="shared" si="55"/>
        <v/>
      </c>
    </row>
    <row r="507" spans="1:8" x14ac:dyDescent="0.25">
      <c r="A507" s="254" t="str">
        <f t="shared" ca="1" si="56"/>
        <v/>
      </c>
      <c r="B507" s="255"/>
      <c r="C507" s="256"/>
      <c r="D507" s="257" t="str">
        <f t="shared" si="52"/>
        <v/>
      </c>
      <c r="F507" s="257" t="str">
        <f t="shared" si="53"/>
        <v/>
      </c>
      <c r="G507" s="257" t="str">
        <f t="shared" si="54"/>
        <v/>
      </c>
      <c r="H507" s="257" t="str">
        <f t="shared" si="55"/>
        <v/>
      </c>
    </row>
    <row r="508" spans="1:8" x14ac:dyDescent="0.25">
      <c r="A508" s="254" t="str">
        <f t="shared" ca="1" si="56"/>
        <v/>
      </c>
      <c r="B508" s="255"/>
      <c r="C508" s="256"/>
      <c r="D508" s="257" t="str">
        <f t="shared" si="52"/>
        <v/>
      </c>
      <c r="F508" s="257" t="str">
        <f t="shared" si="53"/>
        <v/>
      </c>
      <c r="G508" s="257" t="str">
        <f t="shared" si="54"/>
        <v/>
      </c>
      <c r="H508" s="257" t="str">
        <f t="shared" si="55"/>
        <v/>
      </c>
    </row>
    <row r="509" spans="1:8" x14ac:dyDescent="0.25">
      <c r="A509" s="254" t="str">
        <f t="shared" ca="1" si="56"/>
        <v/>
      </c>
      <c r="B509" s="255"/>
      <c r="C509" s="256"/>
      <c r="D509" s="257" t="str">
        <f t="shared" si="52"/>
        <v/>
      </c>
      <c r="F509" s="257" t="str">
        <f t="shared" si="53"/>
        <v/>
      </c>
      <c r="G509" s="257" t="str">
        <f t="shared" si="54"/>
        <v/>
      </c>
      <c r="H509" s="257" t="str">
        <f t="shared" si="55"/>
        <v/>
      </c>
    </row>
    <row r="510" spans="1:8" x14ac:dyDescent="0.25">
      <c r="A510" s="254" t="str">
        <f t="shared" ca="1" si="56"/>
        <v/>
      </c>
      <c r="B510" s="255"/>
      <c r="C510" s="256"/>
      <c r="D510" s="257" t="str">
        <f t="shared" si="52"/>
        <v/>
      </c>
      <c r="F510" s="257" t="str">
        <f t="shared" si="53"/>
        <v/>
      </c>
      <c r="G510" s="257" t="str">
        <f t="shared" si="54"/>
        <v/>
      </c>
      <c r="H510" s="257" t="str">
        <f t="shared" si="55"/>
        <v/>
      </c>
    </row>
    <row r="511" spans="1:8" x14ac:dyDescent="0.25">
      <c r="A511" s="254" t="str">
        <f t="shared" ca="1" si="56"/>
        <v/>
      </c>
      <c r="B511" s="255"/>
      <c r="C511" s="256"/>
      <c r="D511" s="257" t="str">
        <f t="shared" si="52"/>
        <v/>
      </c>
      <c r="F511" s="257" t="str">
        <f t="shared" si="53"/>
        <v/>
      </c>
      <c r="G511" s="257" t="str">
        <f t="shared" si="54"/>
        <v/>
      </c>
      <c r="H511" s="257" t="str">
        <f t="shared" si="55"/>
        <v/>
      </c>
    </row>
    <row r="512" spans="1:8" x14ac:dyDescent="0.25">
      <c r="A512" s="254" t="str">
        <f t="shared" ca="1" si="56"/>
        <v/>
      </c>
      <c r="B512" s="255"/>
      <c r="C512" s="256"/>
      <c r="D512" s="257" t="str">
        <f t="shared" si="52"/>
        <v/>
      </c>
      <c r="F512" s="257" t="str">
        <f t="shared" si="53"/>
        <v/>
      </c>
      <c r="G512" s="257" t="str">
        <f t="shared" si="54"/>
        <v/>
      </c>
      <c r="H512" s="257" t="str">
        <f t="shared" si="55"/>
        <v/>
      </c>
    </row>
    <row r="513" spans="1:8" x14ac:dyDescent="0.25">
      <c r="A513" s="254" t="str">
        <f t="shared" ca="1" si="56"/>
        <v/>
      </c>
      <c r="B513" s="255"/>
      <c r="C513" s="256"/>
      <c r="D513" s="257" t="str">
        <f t="shared" si="52"/>
        <v/>
      </c>
      <c r="F513" s="257" t="str">
        <f t="shared" si="53"/>
        <v/>
      </c>
      <c r="G513" s="257" t="str">
        <f t="shared" si="54"/>
        <v/>
      </c>
      <c r="H513" s="257" t="str">
        <f t="shared" si="55"/>
        <v/>
      </c>
    </row>
    <row r="514" spans="1:8" x14ac:dyDescent="0.25">
      <c r="A514" s="254" t="str">
        <f t="shared" ca="1" si="56"/>
        <v/>
      </c>
      <c r="B514" s="255"/>
      <c r="C514" s="256"/>
      <c r="D514" s="257" t="str">
        <f t="shared" si="52"/>
        <v/>
      </c>
      <c r="F514" s="257" t="str">
        <f t="shared" si="53"/>
        <v/>
      </c>
      <c r="G514" s="257" t="str">
        <f t="shared" si="54"/>
        <v/>
      </c>
      <c r="H514" s="257" t="str">
        <f t="shared" si="55"/>
        <v/>
      </c>
    </row>
    <row r="515" spans="1:8" x14ac:dyDescent="0.25">
      <c r="A515" s="254" t="str">
        <f t="shared" ca="1" si="56"/>
        <v/>
      </c>
      <c r="B515" s="255"/>
      <c r="C515" s="256"/>
      <c r="D515" s="257" t="str">
        <f t="shared" si="52"/>
        <v/>
      </c>
      <c r="F515" s="257" t="str">
        <f t="shared" si="53"/>
        <v/>
      </c>
      <c r="G515" s="257" t="str">
        <f t="shared" si="54"/>
        <v/>
      </c>
      <c r="H515" s="257" t="str">
        <f t="shared" si="55"/>
        <v/>
      </c>
    </row>
    <row r="516" spans="1:8" x14ac:dyDescent="0.25">
      <c r="A516" s="254" t="str">
        <f t="shared" ca="1" si="56"/>
        <v/>
      </c>
      <c r="B516" s="255"/>
      <c r="C516" s="256"/>
      <c r="D516" s="257" t="str">
        <f t="shared" si="52"/>
        <v/>
      </c>
      <c r="F516" s="257" t="str">
        <f t="shared" si="53"/>
        <v/>
      </c>
      <c r="G516" s="257" t="str">
        <f t="shared" si="54"/>
        <v/>
      </c>
      <c r="H516" s="257" t="str">
        <f t="shared" si="55"/>
        <v/>
      </c>
    </row>
    <row r="517" spans="1:8" x14ac:dyDescent="0.25">
      <c r="A517" s="254" t="str">
        <f t="shared" ca="1" si="56"/>
        <v/>
      </c>
      <c r="B517" s="255"/>
      <c r="C517" s="256"/>
      <c r="D517" s="257" t="str">
        <f t="shared" si="52"/>
        <v/>
      </c>
      <c r="F517" s="257" t="str">
        <f t="shared" si="53"/>
        <v/>
      </c>
      <c r="G517" s="257" t="str">
        <f t="shared" si="54"/>
        <v/>
      </c>
      <c r="H517" s="257" t="str">
        <f t="shared" si="55"/>
        <v/>
      </c>
    </row>
    <row r="518" spans="1:8" x14ac:dyDescent="0.25">
      <c r="A518" s="254" t="str">
        <f t="shared" ca="1" si="56"/>
        <v/>
      </c>
      <c r="B518" s="255"/>
      <c r="C518" s="256"/>
      <c r="D518" s="257" t="str">
        <f t="shared" si="52"/>
        <v/>
      </c>
      <c r="F518" s="257" t="str">
        <f t="shared" si="53"/>
        <v/>
      </c>
      <c r="G518" s="257" t="str">
        <f t="shared" si="54"/>
        <v/>
      </c>
      <c r="H518" s="257" t="str">
        <f t="shared" si="55"/>
        <v/>
      </c>
    </row>
    <row r="519" spans="1:8" x14ac:dyDescent="0.25">
      <c r="A519" s="254" t="str">
        <f t="shared" ca="1" si="56"/>
        <v/>
      </c>
      <c r="B519" s="255"/>
      <c r="C519" s="256"/>
      <c r="D519" s="257" t="str">
        <f t="shared" si="52"/>
        <v/>
      </c>
      <c r="F519" s="257" t="str">
        <f t="shared" si="53"/>
        <v/>
      </c>
      <c r="G519" s="257" t="str">
        <f t="shared" si="54"/>
        <v/>
      </c>
      <c r="H519" s="257" t="str">
        <f t="shared" si="55"/>
        <v/>
      </c>
    </row>
    <row r="520" spans="1:8" x14ac:dyDescent="0.25">
      <c r="A520" s="254" t="str">
        <f t="shared" ca="1" si="56"/>
        <v/>
      </c>
      <c r="B520" s="255"/>
      <c r="C520" s="256"/>
      <c r="D520" s="257" t="str">
        <f t="shared" si="52"/>
        <v/>
      </c>
      <c r="F520" s="257" t="str">
        <f t="shared" si="53"/>
        <v/>
      </c>
      <c r="G520" s="257" t="str">
        <f t="shared" si="54"/>
        <v/>
      </c>
      <c r="H520" s="257" t="str">
        <f t="shared" si="55"/>
        <v/>
      </c>
    </row>
    <row r="521" spans="1:8" x14ac:dyDescent="0.25">
      <c r="A521" s="254" t="str">
        <f t="shared" ca="1" si="56"/>
        <v/>
      </c>
      <c r="B521" s="255"/>
      <c r="C521" s="256"/>
      <c r="D521" s="257" t="str">
        <f t="shared" si="52"/>
        <v/>
      </c>
      <c r="F521" s="257" t="str">
        <f t="shared" si="53"/>
        <v/>
      </c>
      <c r="G521" s="257" t="str">
        <f t="shared" si="54"/>
        <v/>
      </c>
      <c r="H521" s="257" t="str">
        <f t="shared" si="55"/>
        <v/>
      </c>
    </row>
    <row r="522" spans="1:8" x14ac:dyDescent="0.25">
      <c r="A522" s="254" t="str">
        <f t="shared" ca="1" si="56"/>
        <v/>
      </c>
      <c r="B522" s="255"/>
      <c r="C522" s="256"/>
      <c r="D522" s="257" t="str">
        <f t="shared" si="52"/>
        <v/>
      </c>
      <c r="F522" s="257" t="str">
        <f t="shared" si="53"/>
        <v/>
      </c>
      <c r="G522" s="257" t="str">
        <f t="shared" si="54"/>
        <v/>
      </c>
      <c r="H522" s="257" t="str">
        <f t="shared" si="55"/>
        <v/>
      </c>
    </row>
    <row r="523" spans="1:8" x14ac:dyDescent="0.25">
      <c r="A523" s="254" t="str">
        <f t="shared" ca="1" si="56"/>
        <v/>
      </c>
      <c r="B523" s="255"/>
      <c r="C523" s="256"/>
      <c r="D523" s="257" t="str">
        <f t="shared" si="52"/>
        <v/>
      </c>
      <c r="F523" s="257" t="str">
        <f t="shared" si="53"/>
        <v/>
      </c>
      <c r="G523" s="257" t="str">
        <f t="shared" si="54"/>
        <v/>
      </c>
      <c r="H523" s="257" t="str">
        <f t="shared" si="55"/>
        <v/>
      </c>
    </row>
    <row r="524" spans="1:8" x14ac:dyDescent="0.25">
      <c r="A524" s="254" t="str">
        <f t="shared" ca="1" si="56"/>
        <v/>
      </c>
      <c r="B524" s="255"/>
      <c r="C524" s="256"/>
      <c r="D524" s="257" t="str">
        <f t="shared" si="52"/>
        <v/>
      </c>
      <c r="F524" s="257" t="str">
        <f t="shared" si="53"/>
        <v/>
      </c>
      <c r="G524" s="257" t="str">
        <f t="shared" si="54"/>
        <v/>
      </c>
      <c r="H524" s="257" t="str">
        <f t="shared" si="55"/>
        <v/>
      </c>
    </row>
    <row r="525" spans="1:8" x14ac:dyDescent="0.25">
      <c r="A525" s="254" t="str">
        <f t="shared" ca="1" si="56"/>
        <v/>
      </c>
      <c r="B525" s="255"/>
      <c r="C525" s="256"/>
      <c r="D525" s="257" t="str">
        <f t="shared" si="52"/>
        <v/>
      </c>
      <c r="F525" s="257" t="str">
        <f t="shared" si="53"/>
        <v/>
      </c>
      <c r="G525" s="257" t="str">
        <f t="shared" si="54"/>
        <v/>
      </c>
      <c r="H525" s="257" t="str">
        <f t="shared" si="55"/>
        <v/>
      </c>
    </row>
    <row r="526" spans="1:8" x14ac:dyDescent="0.25">
      <c r="A526" s="254" t="str">
        <f t="shared" ca="1" si="56"/>
        <v/>
      </c>
      <c r="B526" s="255"/>
      <c r="C526" s="256"/>
      <c r="D526" s="257" t="str">
        <f t="shared" si="52"/>
        <v/>
      </c>
      <c r="F526" s="257" t="str">
        <f t="shared" si="53"/>
        <v/>
      </c>
      <c r="G526" s="257" t="str">
        <f t="shared" si="54"/>
        <v/>
      </c>
      <c r="H526" s="257" t="str">
        <f t="shared" si="55"/>
        <v/>
      </c>
    </row>
    <row r="527" spans="1:8" x14ac:dyDescent="0.25">
      <c r="A527" s="254" t="str">
        <f t="shared" ca="1" si="56"/>
        <v/>
      </c>
      <c r="B527" s="255"/>
      <c r="C527" s="256"/>
      <c r="D527" s="257" t="str">
        <f t="shared" si="52"/>
        <v/>
      </c>
      <c r="F527" s="257" t="str">
        <f t="shared" si="53"/>
        <v/>
      </c>
      <c r="G527" s="257" t="str">
        <f t="shared" si="54"/>
        <v/>
      </c>
      <c r="H527" s="257" t="str">
        <f t="shared" si="55"/>
        <v/>
      </c>
    </row>
    <row r="528" spans="1:8" x14ac:dyDescent="0.25">
      <c r="A528" s="254" t="str">
        <f t="shared" ca="1" si="56"/>
        <v/>
      </c>
      <c r="B528" s="255"/>
      <c r="C528" s="256"/>
      <c r="D528" s="257" t="str">
        <f t="shared" si="52"/>
        <v/>
      </c>
      <c r="F528" s="257" t="str">
        <f t="shared" si="53"/>
        <v/>
      </c>
      <c r="G528" s="257" t="str">
        <f t="shared" si="54"/>
        <v/>
      </c>
      <c r="H528" s="257" t="str">
        <f t="shared" si="55"/>
        <v/>
      </c>
    </row>
    <row r="529" spans="1:8" x14ac:dyDescent="0.25">
      <c r="A529" s="254" t="str">
        <f t="shared" ca="1" si="56"/>
        <v/>
      </c>
      <c r="B529" s="255"/>
      <c r="C529" s="256"/>
      <c r="D529" s="257" t="str">
        <f t="shared" si="52"/>
        <v/>
      </c>
      <c r="F529" s="257" t="str">
        <f t="shared" si="53"/>
        <v/>
      </c>
      <c r="G529" s="257" t="str">
        <f t="shared" si="54"/>
        <v/>
      </c>
      <c r="H529" s="257" t="str">
        <f t="shared" si="55"/>
        <v/>
      </c>
    </row>
    <row r="530" spans="1:8" x14ac:dyDescent="0.25">
      <c r="A530" s="254" t="str">
        <f t="shared" ca="1" si="56"/>
        <v/>
      </c>
      <c r="B530" s="255"/>
      <c r="C530" s="256"/>
      <c r="D530" s="257" t="str">
        <f t="shared" si="52"/>
        <v/>
      </c>
      <c r="F530" s="257" t="str">
        <f t="shared" si="53"/>
        <v/>
      </c>
      <c r="G530" s="257" t="str">
        <f t="shared" si="54"/>
        <v/>
      </c>
      <c r="H530" s="257" t="str">
        <f t="shared" si="55"/>
        <v/>
      </c>
    </row>
    <row r="531" spans="1:8" x14ac:dyDescent="0.25">
      <c r="A531" s="254" t="str">
        <f t="shared" ca="1" si="56"/>
        <v/>
      </c>
      <c r="B531" s="255"/>
      <c r="C531" s="256"/>
      <c r="D531" s="257" t="str">
        <f t="shared" ref="D531:D594" si="57">IF(B531="","",ROUND((B531-B530)*$H$9*G530,2))</f>
        <v/>
      </c>
      <c r="F531" s="257" t="str">
        <f t="shared" ref="F531:F594" si="58">IF(B531="","",IF(C531&gt;F530+D531,0,F530+D531-C531))</f>
        <v/>
      </c>
      <c r="G531" s="257" t="str">
        <f t="shared" ref="G531:G594" si="59">IF(B531="","",IF(C531&gt;D531+F530,G530+F530+D531-C531,G530))</f>
        <v/>
      </c>
      <c r="H531" s="257" t="str">
        <f t="shared" ref="H531:H594" si="60">IF(B531="","",G531+F531)</f>
        <v/>
      </c>
    </row>
    <row r="532" spans="1:8" x14ac:dyDescent="0.25">
      <c r="A532" s="254" t="str">
        <f t="shared" ca="1" si="56"/>
        <v/>
      </c>
      <c r="B532" s="255"/>
      <c r="C532" s="256"/>
      <c r="D532" s="257" t="str">
        <f t="shared" si="57"/>
        <v/>
      </c>
      <c r="F532" s="257" t="str">
        <f t="shared" si="58"/>
        <v/>
      </c>
      <c r="G532" s="257" t="str">
        <f t="shared" si="59"/>
        <v/>
      </c>
      <c r="H532" s="257" t="str">
        <f t="shared" si="60"/>
        <v/>
      </c>
    </row>
    <row r="533" spans="1:8" x14ac:dyDescent="0.25">
      <c r="A533" s="254" t="str">
        <f t="shared" ca="1" si="56"/>
        <v/>
      </c>
      <c r="B533" s="255"/>
      <c r="C533" s="256"/>
      <c r="D533" s="257" t="str">
        <f t="shared" si="57"/>
        <v/>
      </c>
      <c r="F533" s="257" t="str">
        <f t="shared" si="58"/>
        <v/>
      </c>
      <c r="G533" s="257" t="str">
        <f t="shared" si="59"/>
        <v/>
      </c>
      <c r="H533" s="257" t="str">
        <f t="shared" si="60"/>
        <v/>
      </c>
    </row>
    <row r="534" spans="1:8" x14ac:dyDescent="0.25">
      <c r="A534" s="254" t="str">
        <f t="shared" ca="1" si="56"/>
        <v/>
      </c>
      <c r="B534" s="255"/>
      <c r="C534" s="256"/>
      <c r="D534" s="257" t="str">
        <f t="shared" si="57"/>
        <v/>
      </c>
      <c r="F534" s="257" t="str">
        <f t="shared" si="58"/>
        <v/>
      </c>
      <c r="G534" s="257" t="str">
        <f t="shared" si="59"/>
        <v/>
      </c>
      <c r="H534" s="257" t="str">
        <f t="shared" si="60"/>
        <v/>
      </c>
    </row>
    <row r="535" spans="1:8" x14ac:dyDescent="0.25">
      <c r="A535" s="254" t="str">
        <f t="shared" ca="1" si="56"/>
        <v/>
      </c>
      <c r="B535" s="255"/>
      <c r="C535" s="256"/>
      <c r="D535" s="257" t="str">
        <f t="shared" si="57"/>
        <v/>
      </c>
      <c r="F535" s="257" t="str">
        <f t="shared" si="58"/>
        <v/>
      </c>
      <c r="G535" s="257" t="str">
        <f t="shared" si="59"/>
        <v/>
      </c>
      <c r="H535" s="257" t="str">
        <f t="shared" si="60"/>
        <v/>
      </c>
    </row>
    <row r="536" spans="1:8" x14ac:dyDescent="0.25">
      <c r="A536" s="254" t="str">
        <f t="shared" ca="1" si="56"/>
        <v/>
      </c>
      <c r="B536" s="255"/>
      <c r="C536" s="256"/>
      <c r="D536" s="257" t="str">
        <f t="shared" si="57"/>
        <v/>
      </c>
      <c r="F536" s="257" t="str">
        <f t="shared" si="58"/>
        <v/>
      </c>
      <c r="G536" s="257" t="str">
        <f t="shared" si="59"/>
        <v/>
      </c>
      <c r="H536" s="257" t="str">
        <f t="shared" si="60"/>
        <v/>
      </c>
    </row>
    <row r="537" spans="1:8" x14ac:dyDescent="0.25">
      <c r="A537" s="254" t="str">
        <f t="shared" ca="1" si="56"/>
        <v/>
      </c>
      <c r="B537" s="255"/>
      <c r="C537" s="256"/>
      <c r="D537" s="257" t="str">
        <f t="shared" si="57"/>
        <v/>
      </c>
      <c r="F537" s="257" t="str">
        <f t="shared" si="58"/>
        <v/>
      </c>
      <c r="G537" s="257" t="str">
        <f t="shared" si="59"/>
        <v/>
      </c>
      <c r="H537" s="257" t="str">
        <f t="shared" si="60"/>
        <v/>
      </c>
    </row>
    <row r="538" spans="1:8" x14ac:dyDescent="0.25">
      <c r="A538" s="254" t="str">
        <f t="shared" ca="1" si="56"/>
        <v/>
      </c>
      <c r="B538" s="255"/>
      <c r="C538" s="256"/>
      <c r="D538" s="257" t="str">
        <f t="shared" si="57"/>
        <v/>
      </c>
      <c r="F538" s="257" t="str">
        <f t="shared" si="58"/>
        <v/>
      </c>
      <c r="G538" s="257" t="str">
        <f t="shared" si="59"/>
        <v/>
      </c>
      <c r="H538" s="257" t="str">
        <f t="shared" si="60"/>
        <v/>
      </c>
    </row>
    <row r="539" spans="1:8" x14ac:dyDescent="0.25">
      <c r="A539" s="254" t="str">
        <f t="shared" ca="1" si="56"/>
        <v/>
      </c>
      <c r="B539" s="255"/>
      <c r="C539" s="256"/>
      <c r="D539" s="257" t="str">
        <f t="shared" si="57"/>
        <v/>
      </c>
      <c r="F539" s="257" t="str">
        <f t="shared" si="58"/>
        <v/>
      </c>
      <c r="G539" s="257" t="str">
        <f t="shared" si="59"/>
        <v/>
      </c>
      <c r="H539" s="257" t="str">
        <f t="shared" si="60"/>
        <v/>
      </c>
    </row>
    <row r="540" spans="1:8" x14ac:dyDescent="0.25">
      <c r="A540" s="254" t="str">
        <f t="shared" ca="1" si="56"/>
        <v/>
      </c>
      <c r="B540" s="255"/>
      <c r="C540" s="256"/>
      <c r="D540" s="257" t="str">
        <f t="shared" si="57"/>
        <v/>
      </c>
      <c r="F540" s="257" t="str">
        <f t="shared" si="58"/>
        <v/>
      </c>
      <c r="G540" s="257" t="str">
        <f t="shared" si="59"/>
        <v/>
      </c>
      <c r="H540" s="257" t="str">
        <f t="shared" si="60"/>
        <v/>
      </c>
    </row>
    <row r="541" spans="1:8" x14ac:dyDescent="0.25">
      <c r="A541" s="254" t="str">
        <f t="shared" ca="1" si="56"/>
        <v/>
      </c>
      <c r="B541" s="255"/>
      <c r="C541" s="256"/>
      <c r="D541" s="257" t="str">
        <f t="shared" si="57"/>
        <v/>
      </c>
      <c r="F541" s="257" t="str">
        <f t="shared" si="58"/>
        <v/>
      </c>
      <c r="G541" s="257" t="str">
        <f t="shared" si="59"/>
        <v/>
      </c>
      <c r="H541" s="257" t="str">
        <f t="shared" si="60"/>
        <v/>
      </c>
    </row>
    <row r="542" spans="1:8" x14ac:dyDescent="0.25">
      <c r="A542" s="254" t="str">
        <f t="shared" ca="1" si="56"/>
        <v/>
      </c>
      <c r="B542" s="255"/>
      <c r="C542" s="256"/>
      <c r="D542" s="257" t="str">
        <f t="shared" si="57"/>
        <v/>
      </c>
      <c r="F542" s="257" t="str">
        <f t="shared" si="58"/>
        <v/>
      </c>
      <c r="G542" s="257" t="str">
        <f t="shared" si="59"/>
        <v/>
      </c>
      <c r="H542" s="257" t="str">
        <f t="shared" si="60"/>
        <v/>
      </c>
    </row>
    <row r="543" spans="1:8" x14ac:dyDescent="0.25">
      <c r="A543" s="254" t="str">
        <f t="shared" ca="1" si="56"/>
        <v/>
      </c>
      <c r="B543" s="255"/>
      <c r="C543" s="256"/>
      <c r="D543" s="257" t="str">
        <f t="shared" si="57"/>
        <v/>
      </c>
      <c r="F543" s="257" t="str">
        <f t="shared" si="58"/>
        <v/>
      </c>
      <c r="G543" s="257" t="str">
        <f t="shared" si="59"/>
        <v/>
      </c>
      <c r="H543" s="257" t="str">
        <f t="shared" si="60"/>
        <v/>
      </c>
    </row>
    <row r="544" spans="1:8" x14ac:dyDescent="0.25">
      <c r="A544" s="254" t="str">
        <f t="shared" ca="1" si="56"/>
        <v/>
      </c>
      <c r="B544" s="255"/>
      <c r="C544" s="256"/>
      <c r="D544" s="257" t="str">
        <f t="shared" si="57"/>
        <v/>
      </c>
      <c r="F544" s="257" t="str">
        <f t="shared" si="58"/>
        <v/>
      </c>
      <c r="G544" s="257" t="str">
        <f t="shared" si="59"/>
        <v/>
      </c>
      <c r="H544" s="257" t="str">
        <f t="shared" si="60"/>
        <v/>
      </c>
    </row>
    <row r="545" spans="1:8" x14ac:dyDescent="0.25">
      <c r="A545" s="254" t="str">
        <f t="shared" ca="1" si="56"/>
        <v/>
      </c>
      <c r="B545" s="255"/>
      <c r="C545" s="256"/>
      <c r="D545" s="257" t="str">
        <f t="shared" si="57"/>
        <v/>
      </c>
      <c r="F545" s="257" t="str">
        <f t="shared" si="58"/>
        <v/>
      </c>
      <c r="G545" s="257" t="str">
        <f t="shared" si="59"/>
        <v/>
      </c>
      <c r="H545" s="257" t="str">
        <f t="shared" si="60"/>
        <v/>
      </c>
    </row>
    <row r="546" spans="1:8" x14ac:dyDescent="0.25">
      <c r="A546" s="254" t="str">
        <f t="shared" ca="1" si="56"/>
        <v/>
      </c>
      <c r="B546" s="255"/>
      <c r="C546" s="256"/>
      <c r="D546" s="257" t="str">
        <f t="shared" si="57"/>
        <v/>
      </c>
      <c r="F546" s="257" t="str">
        <f t="shared" si="58"/>
        <v/>
      </c>
      <c r="G546" s="257" t="str">
        <f t="shared" si="59"/>
        <v/>
      </c>
      <c r="H546" s="257" t="str">
        <f t="shared" si="60"/>
        <v/>
      </c>
    </row>
    <row r="547" spans="1:8" x14ac:dyDescent="0.25">
      <c r="A547" s="254" t="str">
        <f t="shared" ca="1" si="56"/>
        <v/>
      </c>
      <c r="B547" s="255"/>
      <c r="C547" s="256"/>
      <c r="D547" s="257" t="str">
        <f t="shared" si="57"/>
        <v/>
      </c>
      <c r="F547" s="257" t="str">
        <f t="shared" si="58"/>
        <v/>
      </c>
      <c r="G547" s="257" t="str">
        <f t="shared" si="59"/>
        <v/>
      </c>
      <c r="H547" s="257" t="str">
        <f t="shared" si="60"/>
        <v/>
      </c>
    </row>
    <row r="548" spans="1:8" x14ac:dyDescent="0.25">
      <c r="A548" s="254" t="str">
        <f t="shared" ca="1" si="56"/>
        <v/>
      </c>
      <c r="B548" s="255"/>
      <c r="C548" s="256"/>
      <c r="D548" s="257" t="str">
        <f t="shared" si="57"/>
        <v/>
      </c>
      <c r="F548" s="257" t="str">
        <f t="shared" si="58"/>
        <v/>
      </c>
      <c r="G548" s="257" t="str">
        <f t="shared" si="59"/>
        <v/>
      </c>
      <c r="H548" s="257" t="str">
        <f t="shared" si="60"/>
        <v/>
      </c>
    </row>
    <row r="549" spans="1:8" x14ac:dyDescent="0.25">
      <c r="A549" s="254" t="str">
        <f t="shared" ca="1" si="56"/>
        <v/>
      </c>
      <c r="B549" s="255"/>
      <c r="C549" s="256"/>
      <c r="D549" s="257" t="str">
        <f t="shared" si="57"/>
        <v/>
      </c>
      <c r="F549" s="257" t="str">
        <f t="shared" si="58"/>
        <v/>
      </c>
      <c r="G549" s="257" t="str">
        <f t="shared" si="59"/>
        <v/>
      </c>
      <c r="H549" s="257" t="str">
        <f t="shared" si="60"/>
        <v/>
      </c>
    </row>
    <row r="550" spans="1:8" x14ac:dyDescent="0.25">
      <c r="A550" s="254" t="str">
        <f t="shared" ca="1" si="56"/>
        <v/>
      </c>
      <c r="B550" s="255"/>
      <c r="C550" s="256"/>
      <c r="D550" s="257" t="str">
        <f t="shared" si="57"/>
        <v/>
      </c>
      <c r="F550" s="257" t="str">
        <f t="shared" si="58"/>
        <v/>
      </c>
      <c r="G550" s="257" t="str">
        <f t="shared" si="59"/>
        <v/>
      </c>
      <c r="H550" s="257" t="str">
        <f t="shared" si="60"/>
        <v/>
      </c>
    </row>
    <row r="551" spans="1:8" x14ac:dyDescent="0.25">
      <c r="A551" s="254" t="str">
        <f t="shared" ca="1" si="56"/>
        <v/>
      </c>
      <c r="B551" s="255"/>
      <c r="C551" s="256"/>
      <c r="D551" s="257" t="str">
        <f t="shared" si="57"/>
        <v/>
      </c>
      <c r="F551" s="257" t="str">
        <f t="shared" si="58"/>
        <v/>
      </c>
      <c r="G551" s="257" t="str">
        <f t="shared" si="59"/>
        <v/>
      </c>
      <c r="H551" s="257" t="str">
        <f t="shared" si="60"/>
        <v/>
      </c>
    </row>
    <row r="552" spans="1:8" x14ac:dyDescent="0.25">
      <c r="A552" s="254" t="str">
        <f t="shared" ca="1" si="56"/>
        <v/>
      </c>
      <c r="B552" s="255"/>
      <c r="C552" s="256"/>
      <c r="D552" s="257" t="str">
        <f t="shared" si="57"/>
        <v/>
      </c>
      <c r="F552" s="257" t="str">
        <f t="shared" si="58"/>
        <v/>
      </c>
      <c r="G552" s="257" t="str">
        <f t="shared" si="59"/>
        <v/>
      </c>
      <c r="H552" s="257" t="str">
        <f t="shared" si="60"/>
        <v/>
      </c>
    </row>
    <row r="553" spans="1:8" x14ac:dyDescent="0.25">
      <c r="A553" s="254" t="str">
        <f t="shared" ref="A553:A616" ca="1" si="61">IF(OR(H552&lt;=0,H552=""),"",OFFSET(A553,-1,0,1,1)+1)</f>
        <v/>
      </c>
      <c r="B553" s="255"/>
      <c r="C553" s="256"/>
      <c r="D553" s="257" t="str">
        <f t="shared" si="57"/>
        <v/>
      </c>
      <c r="F553" s="257" t="str">
        <f t="shared" si="58"/>
        <v/>
      </c>
      <c r="G553" s="257" t="str">
        <f t="shared" si="59"/>
        <v/>
      </c>
      <c r="H553" s="257" t="str">
        <f t="shared" si="60"/>
        <v/>
      </c>
    </row>
    <row r="554" spans="1:8" x14ac:dyDescent="0.25">
      <c r="A554" s="254" t="str">
        <f t="shared" ca="1" si="61"/>
        <v/>
      </c>
      <c r="B554" s="255"/>
      <c r="C554" s="256"/>
      <c r="D554" s="257" t="str">
        <f t="shared" si="57"/>
        <v/>
      </c>
      <c r="F554" s="257" t="str">
        <f t="shared" si="58"/>
        <v/>
      </c>
      <c r="G554" s="257" t="str">
        <f t="shared" si="59"/>
        <v/>
      </c>
      <c r="H554" s="257" t="str">
        <f t="shared" si="60"/>
        <v/>
      </c>
    </row>
    <row r="555" spans="1:8" x14ac:dyDescent="0.25">
      <c r="A555" s="254" t="str">
        <f t="shared" ca="1" si="61"/>
        <v/>
      </c>
      <c r="B555" s="255"/>
      <c r="C555" s="256"/>
      <c r="D555" s="257" t="str">
        <f t="shared" si="57"/>
        <v/>
      </c>
      <c r="F555" s="257" t="str">
        <f t="shared" si="58"/>
        <v/>
      </c>
      <c r="G555" s="257" t="str">
        <f t="shared" si="59"/>
        <v/>
      </c>
      <c r="H555" s="257" t="str">
        <f t="shared" si="60"/>
        <v/>
      </c>
    </row>
    <row r="556" spans="1:8" x14ac:dyDescent="0.25">
      <c r="A556" s="254" t="str">
        <f t="shared" ca="1" si="61"/>
        <v/>
      </c>
      <c r="B556" s="255"/>
      <c r="C556" s="256"/>
      <c r="D556" s="257" t="str">
        <f t="shared" si="57"/>
        <v/>
      </c>
      <c r="F556" s="257" t="str">
        <f t="shared" si="58"/>
        <v/>
      </c>
      <c r="G556" s="257" t="str">
        <f t="shared" si="59"/>
        <v/>
      </c>
      <c r="H556" s="257" t="str">
        <f t="shared" si="60"/>
        <v/>
      </c>
    </row>
    <row r="557" spans="1:8" x14ac:dyDescent="0.25">
      <c r="A557" s="254" t="str">
        <f t="shared" ca="1" si="61"/>
        <v/>
      </c>
      <c r="B557" s="255"/>
      <c r="C557" s="256"/>
      <c r="D557" s="257" t="str">
        <f t="shared" si="57"/>
        <v/>
      </c>
      <c r="F557" s="257" t="str">
        <f t="shared" si="58"/>
        <v/>
      </c>
      <c r="G557" s="257" t="str">
        <f t="shared" si="59"/>
        <v/>
      </c>
      <c r="H557" s="257" t="str">
        <f t="shared" si="60"/>
        <v/>
      </c>
    </row>
    <row r="558" spans="1:8" x14ac:dyDescent="0.25">
      <c r="A558" s="254" t="str">
        <f t="shared" ca="1" si="61"/>
        <v/>
      </c>
      <c r="B558" s="255"/>
      <c r="C558" s="256"/>
      <c r="D558" s="257" t="str">
        <f t="shared" si="57"/>
        <v/>
      </c>
      <c r="F558" s="257" t="str">
        <f t="shared" si="58"/>
        <v/>
      </c>
      <c r="G558" s="257" t="str">
        <f t="shared" si="59"/>
        <v/>
      </c>
      <c r="H558" s="257" t="str">
        <f t="shared" si="60"/>
        <v/>
      </c>
    </row>
    <row r="559" spans="1:8" x14ac:dyDescent="0.25">
      <c r="A559" s="254" t="str">
        <f t="shared" ca="1" si="61"/>
        <v/>
      </c>
      <c r="B559" s="255"/>
      <c r="C559" s="256"/>
      <c r="D559" s="257" t="str">
        <f t="shared" si="57"/>
        <v/>
      </c>
      <c r="F559" s="257" t="str">
        <f t="shared" si="58"/>
        <v/>
      </c>
      <c r="G559" s="257" t="str">
        <f t="shared" si="59"/>
        <v/>
      </c>
      <c r="H559" s="257" t="str">
        <f t="shared" si="60"/>
        <v/>
      </c>
    </row>
    <row r="560" spans="1:8" x14ac:dyDescent="0.25">
      <c r="A560" s="254" t="str">
        <f t="shared" ca="1" si="61"/>
        <v/>
      </c>
      <c r="B560" s="255"/>
      <c r="C560" s="256"/>
      <c r="D560" s="257" t="str">
        <f t="shared" si="57"/>
        <v/>
      </c>
      <c r="F560" s="257" t="str">
        <f t="shared" si="58"/>
        <v/>
      </c>
      <c r="G560" s="257" t="str">
        <f t="shared" si="59"/>
        <v/>
      </c>
      <c r="H560" s="257" t="str">
        <f t="shared" si="60"/>
        <v/>
      </c>
    </row>
    <row r="561" spans="1:8" x14ac:dyDescent="0.25">
      <c r="A561" s="254" t="str">
        <f t="shared" ca="1" si="61"/>
        <v/>
      </c>
      <c r="B561" s="255"/>
      <c r="C561" s="256"/>
      <c r="D561" s="257" t="str">
        <f t="shared" si="57"/>
        <v/>
      </c>
      <c r="F561" s="257" t="str">
        <f t="shared" si="58"/>
        <v/>
      </c>
      <c r="G561" s="257" t="str">
        <f t="shared" si="59"/>
        <v/>
      </c>
      <c r="H561" s="257" t="str">
        <f t="shared" si="60"/>
        <v/>
      </c>
    </row>
    <row r="562" spans="1:8" x14ac:dyDescent="0.25">
      <c r="A562" s="254" t="str">
        <f t="shared" ca="1" si="61"/>
        <v/>
      </c>
      <c r="B562" s="255"/>
      <c r="C562" s="256"/>
      <c r="D562" s="257" t="str">
        <f t="shared" si="57"/>
        <v/>
      </c>
      <c r="F562" s="257" t="str">
        <f t="shared" si="58"/>
        <v/>
      </c>
      <c r="G562" s="257" t="str">
        <f t="shared" si="59"/>
        <v/>
      </c>
      <c r="H562" s="257" t="str">
        <f t="shared" si="60"/>
        <v/>
      </c>
    </row>
    <row r="563" spans="1:8" x14ac:dyDescent="0.25">
      <c r="A563" s="254" t="str">
        <f t="shared" ca="1" si="61"/>
        <v/>
      </c>
      <c r="B563" s="255"/>
      <c r="C563" s="256"/>
      <c r="D563" s="257" t="str">
        <f t="shared" si="57"/>
        <v/>
      </c>
      <c r="F563" s="257" t="str">
        <f t="shared" si="58"/>
        <v/>
      </c>
      <c r="G563" s="257" t="str">
        <f t="shared" si="59"/>
        <v/>
      </c>
      <c r="H563" s="257" t="str">
        <f t="shared" si="60"/>
        <v/>
      </c>
    </row>
    <row r="564" spans="1:8" x14ac:dyDescent="0.25">
      <c r="A564" s="254" t="str">
        <f t="shared" ca="1" si="61"/>
        <v/>
      </c>
      <c r="B564" s="255"/>
      <c r="C564" s="256"/>
      <c r="D564" s="257" t="str">
        <f t="shared" si="57"/>
        <v/>
      </c>
      <c r="F564" s="257" t="str">
        <f t="shared" si="58"/>
        <v/>
      </c>
      <c r="G564" s="257" t="str">
        <f t="shared" si="59"/>
        <v/>
      </c>
      <c r="H564" s="257" t="str">
        <f t="shared" si="60"/>
        <v/>
      </c>
    </row>
    <row r="565" spans="1:8" x14ac:dyDescent="0.25">
      <c r="A565" s="254" t="str">
        <f t="shared" ca="1" si="61"/>
        <v/>
      </c>
      <c r="B565" s="255"/>
      <c r="C565" s="256"/>
      <c r="D565" s="257" t="str">
        <f t="shared" si="57"/>
        <v/>
      </c>
      <c r="F565" s="257" t="str">
        <f t="shared" si="58"/>
        <v/>
      </c>
      <c r="G565" s="257" t="str">
        <f t="shared" si="59"/>
        <v/>
      </c>
      <c r="H565" s="257" t="str">
        <f t="shared" si="60"/>
        <v/>
      </c>
    </row>
    <row r="566" spans="1:8" x14ac:dyDescent="0.25">
      <c r="A566" s="254" t="str">
        <f t="shared" ca="1" si="61"/>
        <v/>
      </c>
      <c r="B566" s="255"/>
      <c r="C566" s="256"/>
      <c r="D566" s="257" t="str">
        <f t="shared" si="57"/>
        <v/>
      </c>
      <c r="F566" s="257" t="str">
        <f t="shared" si="58"/>
        <v/>
      </c>
      <c r="G566" s="257" t="str">
        <f t="shared" si="59"/>
        <v/>
      </c>
      <c r="H566" s="257" t="str">
        <f t="shared" si="60"/>
        <v/>
      </c>
    </row>
    <row r="567" spans="1:8" x14ac:dyDescent="0.25">
      <c r="A567" s="254" t="str">
        <f t="shared" ca="1" si="61"/>
        <v/>
      </c>
      <c r="B567" s="255"/>
      <c r="C567" s="256"/>
      <c r="D567" s="257" t="str">
        <f t="shared" si="57"/>
        <v/>
      </c>
      <c r="F567" s="257" t="str">
        <f t="shared" si="58"/>
        <v/>
      </c>
      <c r="G567" s="257" t="str">
        <f t="shared" si="59"/>
        <v/>
      </c>
      <c r="H567" s="257" t="str">
        <f t="shared" si="60"/>
        <v/>
      </c>
    </row>
    <row r="568" spans="1:8" x14ac:dyDescent="0.25">
      <c r="A568" s="254" t="str">
        <f t="shared" ca="1" si="61"/>
        <v/>
      </c>
      <c r="B568" s="255"/>
      <c r="C568" s="256"/>
      <c r="D568" s="257" t="str">
        <f t="shared" si="57"/>
        <v/>
      </c>
      <c r="F568" s="257" t="str">
        <f t="shared" si="58"/>
        <v/>
      </c>
      <c r="G568" s="257" t="str">
        <f t="shared" si="59"/>
        <v/>
      </c>
      <c r="H568" s="257" t="str">
        <f t="shared" si="60"/>
        <v/>
      </c>
    </row>
    <row r="569" spans="1:8" x14ac:dyDescent="0.25">
      <c r="A569" s="254" t="str">
        <f t="shared" ca="1" si="61"/>
        <v/>
      </c>
      <c r="B569" s="255"/>
      <c r="C569" s="256"/>
      <c r="D569" s="257" t="str">
        <f t="shared" si="57"/>
        <v/>
      </c>
      <c r="F569" s="257" t="str">
        <f t="shared" si="58"/>
        <v/>
      </c>
      <c r="G569" s="257" t="str">
        <f t="shared" si="59"/>
        <v/>
      </c>
      <c r="H569" s="257" t="str">
        <f t="shared" si="60"/>
        <v/>
      </c>
    </row>
    <row r="570" spans="1:8" x14ac:dyDescent="0.25">
      <c r="A570" s="254" t="str">
        <f t="shared" ca="1" si="61"/>
        <v/>
      </c>
      <c r="B570" s="255"/>
      <c r="C570" s="256"/>
      <c r="D570" s="257" t="str">
        <f t="shared" si="57"/>
        <v/>
      </c>
      <c r="F570" s="257" t="str">
        <f t="shared" si="58"/>
        <v/>
      </c>
      <c r="G570" s="257" t="str">
        <f t="shared" si="59"/>
        <v/>
      </c>
      <c r="H570" s="257" t="str">
        <f t="shared" si="60"/>
        <v/>
      </c>
    </row>
    <row r="571" spans="1:8" x14ac:dyDescent="0.25">
      <c r="A571" s="254" t="str">
        <f t="shared" ca="1" si="61"/>
        <v/>
      </c>
      <c r="B571" s="255"/>
      <c r="C571" s="256"/>
      <c r="D571" s="257" t="str">
        <f t="shared" si="57"/>
        <v/>
      </c>
      <c r="F571" s="257" t="str">
        <f t="shared" si="58"/>
        <v/>
      </c>
      <c r="G571" s="257" t="str">
        <f t="shared" si="59"/>
        <v/>
      </c>
      <c r="H571" s="257" t="str">
        <f t="shared" si="60"/>
        <v/>
      </c>
    </row>
    <row r="572" spans="1:8" x14ac:dyDescent="0.25">
      <c r="A572" s="254" t="str">
        <f t="shared" ca="1" si="61"/>
        <v/>
      </c>
      <c r="B572" s="255"/>
      <c r="C572" s="256"/>
      <c r="D572" s="257" t="str">
        <f t="shared" si="57"/>
        <v/>
      </c>
      <c r="F572" s="257" t="str">
        <f t="shared" si="58"/>
        <v/>
      </c>
      <c r="G572" s="257" t="str">
        <f t="shared" si="59"/>
        <v/>
      </c>
      <c r="H572" s="257" t="str">
        <f t="shared" si="60"/>
        <v/>
      </c>
    </row>
    <row r="573" spans="1:8" x14ac:dyDescent="0.25">
      <c r="A573" s="254" t="str">
        <f t="shared" ca="1" si="61"/>
        <v/>
      </c>
      <c r="B573" s="255"/>
      <c r="C573" s="256"/>
      <c r="D573" s="257" t="str">
        <f t="shared" si="57"/>
        <v/>
      </c>
      <c r="F573" s="257" t="str">
        <f t="shared" si="58"/>
        <v/>
      </c>
      <c r="G573" s="257" t="str">
        <f t="shared" si="59"/>
        <v/>
      </c>
      <c r="H573" s="257" t="str">
        <f t="shared" si="60"/>
        <v/>
      </c>
    </row>
    <row r="574" spans="1:8" x14ac:dyDescent="0.25">
      <c r="A574" s="254" t="str">
        <f t="shared" ca="1" si="61"/>
        <v/>
      </c>
      <c r="B574" s="255"/>
      <c r="C574" s="256"/>
      <c r="D574" s="257" t="str">
        <f t="shared" si="57"/>
        <v/>
      </c>
      <c r="F574" s="257" t="str">
        <f t="shared" si="58"/>
        <v/>
      </c>
      <c r="G574" s="257" t="str">
        <f t="shared" si="59"/>
        <v/>
      </c>
      <c r="H574" s="257" t="str">
        <f t="shared" si="60"/>
        <v/>
      </c>
    </row>
    <row r="575" spans="1:8" x14ac:dyDescent="0.25">
      <c r="A575" s="254" t="str">
        <f t="shared" ca="1" si="61"/>
        <v/>
      </c>
      <c r="B575" s="255"/>
      <c r="C575" s="256"/>
      <c r="D575" s="257" t="str">
        <f t="shared" si="57"/>
        <v/>
      </c>
      <c r="F575" s="257" t="str">
        <f t="shared" si="58"/>
        <v/>
      </c>
      <c r="G575" s="257" t="str">
        <f t="shared" si="59"/>
        <v/>
      </c>
      <c r="H575" s="257" t="str">
        <f t="shared" si="60"/>
        <v/>
      </c>
    </row>
    <row r="576" spans="1:8" x14ac:dyDescent="0.25">
      <c r="A576" s="254" t="str">
        <f t="shared" ca="1" si="61"/>
        <v/>
      </c>
      <c r="B576" s="255"/>
      <c r="C576" s="256"/>
      <c r="D576" s="257" t="str">
        <f t="shared" si="57"/>
        <v/>
      </c>
      <c r="F576" s="257" t="str">
        <f t="shared" si="58"/>
        <v/>
      </c>
      <c r="G576" s="257" t="str">
        <f t="shared" si="59"/>
        <v/>
      </c>
      <c r="H576" s="257" t="str">
        <f t="shared" si="60"/>
        <v/>
      </c>
    </row>
    <row r="577" spans="1:8" x14ac:dyDescent="0.25">
      <c r="A577" s="254" t="str">
        <f t="shared" ca="1" si="61"/>
        <v/>
      </c>
      <c r="B577" s="255"/>
      <c r="C577" s="256"/>
      <c r="D577" s="257" t="str">
        <f t="shared" si="57"/>
        <v/>
      </c>
      <c r="F577" s="257" t="str">
        <f t="shared" si="58"/>
        <v/>
      </c>
      <c r="G577" s="257" t="str">
        <f t="shared" si="59"/>
        <v/>
      </c>
      <c r="H577" s="257" t="str">
        <f t="shared" si="60"/>
        <v/>
      </c>
    </row>
    <row r="578" spans="1:8" x14ac:dyDescent="0.25">
      <c r="A578" s="254" t="str">
        <f t="shared" ca="1" si="61"/>
        <v/>
      </c>
      <c r="B578" s="255"/>
      <c r="C578" s="256"/>
      <c r="D578" s="257" t="str">
        <f t="shared" si="57"/>
        <v/>
      </c>
      <c r="F578" s="257" t="str">
        <f t="shared" si="58"/>
        <v/>
      </c>
      <c r="G578" s="257" t="str">
        <f t="shared" si="59"/>
        <v/>
      </c>
      <c r="H578" s="257" t="str">
        <f t="shared" si="60"/>
        <v/>
      </c>
    </row>
    <row r="579" spans="1:8" x14ac:dyDescent="0.25">
      <c r="A579" s="254" t="str">
        <f t="shared" ca="1" si="61"/>
        <v/>
      </c>
      <c r="B579" s="255"/>
      <c r="C579" s="256"/>
      <c r="D579" s="257" t="str">
        <f t="shared" si="57"/>
        <v/>
      </c>
      <c r="F579" s="257" t="str">
        <f t="shared" si="58"/>
        <v/>
      </c>
      <c r="G579" s="257" t="str">
        <f t="shared" si="59"/>
        <v/>
      </c>
      <c r="H579" s="257" t="str">
        <f t="shared" si="60"/>
        <v/>
      </c>
    </row>
    <row r="580" spans="1:8" x14ac:dyDescent="0.25">
      <c r="A580" s="254" t="str">
        <f t="shared" ca="1" si="61"/>
        <v/>
      </c>
      <c r="B580" s="255"/>
      <c r="C580" s="256"/>
      <c r="D580" s="257" t="str">
        <f t="shared" si="57"/>
        <v/>
      </c>
      <c r="F580" s="257" t="str">
        <f t="shared" si="58"/>
        <v/>
      </c>
      <c r="G580" s="257" t="str">
        <f t="shared" si="59"/>
        <v/>
      </c>
      <c r="H580" s="257" t="str">
        <f t="shared" si="60"/>
        <v/>
      </c>
    </row>
    <row r="581" spans="1:8" x14ac:dyDescent="0.25">
      <c r="A581" s="254" t="str">
        <f t="shared" ca="1" si="61"/>
        <v/>
      </c>
      <c r="B581" s="255"/>
      <c r="C581" s="256"/>
      <c r="D581" s="257" t="str">
        <f t="shared" si="57"/>
        <v/>
      </c>
      <c r="F581" s="257" t="str">
        <f t="shared" si="58"/>
        <v/>
      </c>
      <c r="G581" s="257" t="str">
        <f t="shared" si="59"/>
        <v/>
      </c>
      <c r="H581" s="257" t="str">
        <f t="shared" si="60"/>
        <v/>
      </c>
    </row>
    <row r="582" spans="1:8" x14ac:dyDescent="0.25">
      <c r="A582" s="254" t="str">
        <f t="shared" ca="1" si="61"/>
        <v/>
      </c>
      <c r="B582" s="255"/>
      <c r="C582" s="256"/>
      <c r="D582" s="257" t="str">
        <f t="shared" si="57"/>
        <v/>
      </c>
      <c r="F582" s="257" t="str">
        <f t="shared" si="58"/>
        <v/>
      </c>
      <c r="G582" s="257" t="str">
        <f t="shared" si="59"/>
        <v/>
      </c>
      <c r="H582" s="257" t="str">
        <f t="shared" si="60"/>
        <v/>
      </c>
    </row>
    <row r="583" spans="1:8" x14ac:dyDescent="0.25">
      <c r="A583" s="254" t="str">
        <f t="shared" ca="1" si="61"/>
        <v/>
      </c>
      <c r="B583" s="255"/>
      <c r="C583" s="256"/>
      <c r="D583" s="257" t="str">
        <f t="shared" si="57"/>
        <v/>
      </c>
      <c r="F583" s="257" t="str">
        <f t="shared" si="58"/>
        <v/>
      </c>
      <c r="G583" s="257" t="str">
        <f t="shared" si="59"/>
        <v/>
      </c>
      <c r="H583" s="257" t="str">
        <f t="shared" si="60"/>
        <v/>
      </c>
    </row>
    <row r="584" spans="1:8" x14ac:dyDescent="0.25">
      <c r="A584" s="254" t="str">
        <f t="shared" ca="1" si="61"/>
        <v/>
      </c>
      <c r="B584" s="255"/>
      <c r="C584" s="256"/>
      <c r="D584" s="257" t="str">
        <f t="shared" si="57"/>
        <v/>
      </c>
      <c r="F584" s="257" t="str">
        <f t="shared" si="58"/>
        <v/>
      </c>
      <c r="G584" s="257" t="str">
        <f t="shared" si="59"/>
        <v/>
      </c>
      <c r="H584" s="257" t="str">
        <f t="shared" si="60"/>
        <v/>
      </c>
    </row>
    <row r="585" spans="1:8" x14ac:dyDescent="0.25">
      <c r="A585" s="254" t="str">
        <f t="shared" ca="1" si="61"/>
        <v/>
      </c>
      <c r="B585" s="255"/>
      <c r="C585" s="256"/>
      <c r="D585" s="257" t="str">
        <f t="shared" si="57"/>
        <v/>
      </c>
      <c r="F585" s="257" t="str">
        <f t="shared" si="58"/>
        <v/>
      </c>
      <c r="G585" s="257" t="str">
        <f t="shared" si="59"/>
        <v/>
      </c>
      <c r="H585" s="257" t="str">
        <f t="shared" si="60"/>
        <v/>
      </c>
    </row>
    <row r="586" spans="1:8" x14ac:dyDescent="0.25">
      <c r="A586" s="254" t="str">
        <f t="shared" ca="1" si="61"/>
        <v/>
      </c>
      <c r="B586" s="255"/>
      <c r="C586" s="256"/>
      <c r="D586" s="257" t="str">
        <f t="shared" si="57"/>
        <v/>
      </c>
      <c r="F586" s="257" t="str">
        <f t="shared" si="58"/>
        <v/>
      </c>
      <c r="G586" s="257" t="str">
        <f t="shared" si="59"/>
        <v/>
      </c>
      <c r="H586" s="257" t="str">
        <f t="shared" si="60"/>
        <v/>
      </c>
    </row>
    <row r="587" spans="1:8" x14ac:dyDescent="0.25">
      <c r="A587" s="254" t="str">
        <f t="shared" ca="1" si="61"/>
        <v/>
      </c>
      <c r="B587" s="255"/>
      <c r="C587" s="256"/>
      <c r="D587" s="257" t="str">
        <f t="shared" si="57"/>
        <v/>
      </c>
      <c r="F587" s="257" t="str">
        <f t="shared" si="58"/>
        <v/>
      </c>
      <c r="G587" s="257" t="str">
        <f t="shared" si="59"/>
        <v/>
      </c>
      <c r="H587" s="257" t="str">
        <f t="shared" si="60"/>
        <v/>
      </c>
    </row>
    <row r="588" spans="1:8" x14ac:dyDescent="0.25">
      <c r="A588" s="254" t="str">
        <f t="shared" ca="1" si="61"/>
        <v/>
      </c>
      <c r="B588" s="255"/>
      <c r="C588" s="256"/>
      <c r="D588" s="257" t="str">
        <f t="shared" si="57"/>
        <v/>
      </c>
      <c r="F588" s="257" t="str">
        <f t="shared" si="58"/>
        <v/>
      </c>
      <c r="G588" s="257" t="str">
        <f t="shared" si="59"/>
        <v/>
      </c>
      <c r="H588" s="257" t="str">
        <f t="shared" si="60"/>
        <v/>
      </c>
    </row>
    <row r="589" spans="1:8" x14ac:dyDescent="0.25">
      <c r="A589" s="254" t="str">
        <f t="shared" ca="1" si="61"/>
        <v/>
      </c>
      <c r="B589" s="255"/>
      <c r="C589" s="256"/>
      <c r="D589" s="257" t="str">
        <f t="shared" si="57"/>
        <v/>
      </c>
      <c r="F589" s="257" t="str">
        <f t="shared" si="58"/>
        <v/>
      </c>
      <c r="G589" s="257" t="str">
        <f t="shared" si="59"/>
        <v/>
      </c>
      <c r="H589" s="257" t="str">
        <f t="shared" si="60"/>
        <v/>
      </c>
    </row>
    <row r="590" spans="1:8" x14ac:dyDescent="0.25">
      <c r="A590" s="254" t="str">
        <f t="shared" ca="1" si="61"/>
        <v/>
      </c>
      <c r="B590" s="255"/>
      <c r="C590" s="256"/>
      <c r="D590" s="257" t="str">
        <f t="shared" si="57"/>
        <v/>
      </c>
      <c r="F590" s="257" t="str">
        <f t="shared" si="58"/>
        <v/>
      </c>
      <c r="G590" s="257" t="str">
        <f t="shared" si="59"/>
        <v/>
      </c>
      <c r="H590" s="257" t="str">
        <f t="shared" si="60"/>
        <v/>
      </c>
    </row>
    <row r="591" spans="1:8" x14ac:dyDescent="0.25">
      <c r="A591" s="254" t="str">
        <f t="shared" ca="1" si="61"/>
        <v/>
      </c>
      <c r="B591" s="255"/>
      <c r="C591" s="256"/>
      <c r="D591" s="257" t="str">
        <f t="shared" si="57"/>
        <v/>
      </c>
      <c r="F591" s="257" t="str">
        <f t="shared" si="58"/>
        <v/>
      </c>
      <c r="G591" s="257" t="str">
        <f t="shared" si="59"/>
        <v/>
      </c>
      <c r="H591" s="257" t="str">
        <f t="shared" si="60"/>
        <v/>
      </c>
    </row>
    <row r="592" spans="1:8" x14ac:dyDescent="0.25">
      <c r="A592" s="254" t="str">
        <f t="shared" ca="1" si="61"/>
        <v/>
      </c>
      <c r="B592" s="255"/>
      <c r="C592" s="256"/>
      <c r="D592" s="257" t="str">
        <f t="shared" si="57"/>
        <v/>
      </c>
      <c r="F592" s="257" t="str">
        <f t="shared" si="58"/>
        <v/>
      </c>
      <c r="G592" s="257" t="str">
        <f t="shared" si="59"/>
        <v/>
      </c>
      <c r="H592" s="257" t="str">
        <f t="shared" si="60"/>
        <v/>
      </c>
    </row>
    <row r="593" spans="1:8" x14ac:dyDescent="0.25">
      <c r="A593" s="254" t="str">
        <f t="shared" ca="1" si="61"/>
        <v/>
      </c>
      <c r="B593" s="255"/>
      <c r="C593" s="256"/>
      <c r="D593" s="257" t="str">
        <f t="shared" si="57"/>
        <v/>
      </c>
      <c r="F593" s="257" t="str">
        <f t="shared" si="58"/>
        <v/>
      </c>
      <c r="G593" s="257" t="str">
        <f t="shared" si="59"/>
        <v/>
      </c>
      <c r="H593" s="257" t="str">
        <f t="shared" si="60"/>
        <v/>
      </c>
    </row>
    <row r="594" spans="1:8" x14ac:dyDescent="0.25">
      <c r="A594" s="254" t="str">
        <f t="shared" ca="1" si="61"/>
        <v/>
      </c>
      <c r="B594" s="255"/>
      <c r="C594" s="256"/>
      <c r="D594" s="257" t="str">
        <f t="shared" si="57"/>
        <v/>
      </c>
      <c r="F594" s="257" t="str">
        <f t="shared" si="58"/>
        <v/>
      </c>
      <c r="G594" s="257" t="str">
        <f t="shared" si="59"/>
        <v/>
      </c>
      <c r="H594" s="257" t="str">
        <f t="shared" si="60"/>
        <v/>
      </c>
    </row>
    <row r="595" spans="1:8" x14ac:dyDescent="0.25">
      <c r="A595" s="254" t="str">
        <f t="shared" ca="1" si="61"/>
        <v/>
      </c>
      <c r="B595" s="255"/>
      <c r="C595" s="256"/>
      <c r="D595" s="257" t="str">
        <f t="shared" ref="D595:D658" si="62">IF(B595="","",ROUND((B595-B594)*$H$9*G594,2))</f>
        <v/>
      </c>
      <c r="F595" s="257" t="str">
        <f t="shared" ref="F595:F658" si="63">IF(B595="","",IF(C595&gt;F594+D595,0,F594+D595-C595))</f>
        <v/>
      </c>
      <c r="G595" s="257" t="str">
        <f t="shared" ref="G595:G658" si="64">IF(B595="","",IF(C595&gt;D595+F594,G594+F594+D595-C595,G594))</f>
        <v/>
      </c>
      <c r="H595" s="257" t="str">
        <f t="shared" ref="H595:H658" si="65">IF(B595="","",G595+F595)</f>
        <v/>
      </c>
    </row>
    <row r="596" spans="1:8" x14ac:dyDescent="0.25">
      <c r="A596" s="254" t="str">
        <f t="shared" ca="1" si="61"/>
        <v/>
      </c>
      <c r="B596" s="255"/>
      <c r="C596" s="256"/>
      <c r="D596" s="257" t="str">
        <f t="shared" si="62"/>
        <v/>
      </c>
      <c r="F596" s="257" t="str">
        <f t="shared" si="63"/>
        <v/>
      </c>
      <c r="G596" s="257" t="str">
        <f t="shared" si="64"/>
        <v/>
      </c>
      <c r="H596" s="257" t="str">
        <f t="shared" si="65"/>
        <v/>
      </c>
    </row>
    <row r="597" spans="1:8" x14ac:dyDescent="0.25">
      <c r="A597" s="254" t="str">
        <f t="shared" ca="1" si="61"/>
        <v/>
      </c>
      <c r="B597" s="255"/>
      <c r="C597" s="256"/>
      <c r="D597" s="257" t="str">
        <f t="shared" si="62"/>
        <v/>
      </c>
      <c r="F597" s="257" t="str">
        <f t="shared" si="63"/>
        <v/>
      </c>
      <c r="G597" s="257" t="str">
        <f t="shared" si="64"/>
        <v/>
      </c>
      <c r="H597" s="257" t="str">
        <f t="shared" si="65"/>
        <v/>
      </c>
    </row>
    <row r="598" spans="1:8" x14ac:dyDescent="0.25">
      <c r="A598" s="254" t="str">
        <f t="shared" ca="1" si="61"/>
        <v/>
      </c>
      <c r="B598" s="255"/>
      <c r="C598" s="256"/>
      <c r="D598" s="257" t="str">
        <f t="shared" si="62"/>
        <v/>
      </c>
      <c r="F598" s="257" t="str">
        <f t="shared" si="63"/>
        <v/>
      </c>
      <c r="G598" s="257" t="str">
        <f t="shared" si="64"/>
        <v/>
      </c>
      <c r="H598" s="257" t="str">
        <f t="shared" si="65"/>
        <v/>
      </c>
    </row>
    <row r="599" spans="1:8" x14ac:dyDescent="0.25">
      <c r="A599" s="254" t="str">
        <f t="shared" ca="1" si="61"/>
        <v/>
      </c>
      <c r="B599" s="255"/>
      <c r="C599" s="256"/>
      <c r="D599" s="257" t="str">
        <f t="shared" si="62"/>
        <v/>
      </c>
      <c r="F599" s="257" t="str">
        <f t="shared" si="63"/>
        <v/>
      </c>
      <c r="G599" s="257" t="str">
        <f t="shared" si="64"/>
        <v/>
      </c>
      <c r="H599" s="257" t="str">
        <f t="shared" si="65"/>
        <v/>
      </c>
    </row>
    <row r="600" spans="1:8" x14ac:dyDescent="0.25">
      <c r="A600" s="254" t="str">
        <f t="shared" ca="1" si="61"/>
        <v/>
      </c>
      <c r="B600" s="255"/>
      <c r="C600" s="256"/>
      <c r="D600" s="257" t="str">
        <f t="shared" si="62"/>
        <v/>
      </c>
      <c r="F600" s="257" t="str">
        <f t="shared" si="63"/>
        <v/>
      </c>
      <c r="G600" s="257" t="str">
        <f t="shared" si="64"/>
        <v/>
      </c>
      <c r="H600" s="257" t="str">
        <f t="shared" si="65"/>
        <v/>
      </c>
    </row>
    <row r="601" spans="1:8" x14ac:dyDescent="0.25">
      <c r="A601" s="254" t="str">
        <f t="shared" ca="1" si="61"/>
        <v/>
      </c>
      <c r="B601" s="255"/>
      <c r="C601" s="256"/>
      <c r="D601" s="257" t="str">
        <f t="shared" si="62"/>
        <v/>
      </c>
      <c r="F601" s="257" t="str">
        <f t="shared" si="63"/>
        <v/>
      </c>
      <c r="G601" s="257" t="str">
        <f t="shared" si="64"/>
        <v/>
      </c>
      <c r="H601" s="257" t="str">
        <f t="shared" si="65"/>
        <v/>
      </c>
    </row>
    <row r="602" spans="1:8" x14ac:dyDescent="0.25">
      <c r="A602" s="254" t="str">
        <f t="shared" ca="1" si="61"/>
        <v/>
      </c>
      <c r="B602" s="255"/>
      <c r="C602" s="256"/>
      <c r="D602" s="257" t="str">
        <f t="shared" si="62"/>
        <v/>
      </c>
      <c r="F602" s="257" t="str">
        <f t="shared" si="63"/>
        <v/>
      </c>
      <c r="G602" s="257" t="str">
        <f t="shared" si="64"/>
        <v/>
      </c>
      <c r="H602" s="257" t="str">
        <f t="shared" si="65"/>
        <v/>
      </c>
    </row>
    <row r="603" spans="1:8" x14ac:dyDescent="0.25">
      <c r="A603" s="254" t="str">
        <f t="shared" ca="1" si="61"/>
        <v/>
      </c>
      <c r="B603" s="255"/>
      <c r="C603" s="256"/>
      <c r="D603" s="257" t="str">
        <f t="shared" si="62"/>
        <v/>
      </c>
      <c r="F603" s="257" t="str">
        <f t="shared" si="63"/>
        <v/>
      </c>
      <c r="G603" s="257" t="str">
        <f t="shared" si="64"/>
        <v/>
      </c>
      <c r="H603" s="257" t="str">
        <f t="shared" si="65"/>
        <v/>
      </c>
    </row>
    <row r="604" spans="1:8" x14ac:dyDescent="0.25">
      <c r="A604" s="254" t="str">
        <f t="shared" ca="1" si="61"/>
        <v/>
      </c>
      <c r="B604" s="255"/>
      <c r="C604" s="256"/>
      <c r="D604" s="257" t="str">
        <f t="shared" si="62"/>
        <v/>
      </c>
      <c r="F604" s="257" t="str">
        <f t="shared" si="63"/>
        <v/>
      </c>
      <c r="G604" s="257" t="str">
        <f t="shared" si="64"/>
        <v/>
      </c>
      <c r="H604" s="257" t="str">
        <f t="shared" si="65"/>
        <v/>
      </c>
    </row>
    <row r="605" spans="1:8" x14ac:dyDescent="0.25">
      <c r="A605" s="254" t="str">
        <f t="shared" ca="1" si="61"/>
        <v/>
      </c>
      <c r="B605" s="255"/>
      <c r="C605" s="256"/>
      <c r="D605" s="257" t="str">
        <f t="shared" si="62"/>
        <v/>
      </c>
      <c r="F605" s="257" t="str">
        <f t="shared" si="63"/>
        <v/>
      </c>
      <c r="G605" s="257" t="str">
        <f t="shared" si="64"/>
        <v/>
      </c>
      <c r="H605" s="257" t="str">
        <f t="shared" si="65"/>
        <v/>
      </c>
    </row>
    <row r="606" spans="1:8" x14ac:dyDescent="0.25">
      <c r="A606" s="254" t="str">
        <f t="shared" ca="1" si="61"/>
        <v/>
      </c>
      <c r="B606" s="255"/>
      <c r="C606" s="256"/>
      <c r="D606" s="257" t="str">
        <f t="shared" si="62"/>
        <v/>
      </c>
      <c r="F606" s="257" t="str">
        <f t="shared" si="63"/>
        <v/>
      </c>
      <c r="G606" s="257" t="str">
        <f t="shared" si="64"/>
        <v/>
      </c>
      <c r="H606" s="257" t="str">
        <f t="shared" si="65"/>
        <v/>
      </c>
    </row>
    <row r="607" spans="1:8" x14ac:dyDescent="0.25">
      <c r="A607" s="254" t="str">
        <f t="shared" ca="1" si="61"/>
        <v/>
      </c>
      <c r="B607" s="255"/>
      <c r="C607" s="256"/>
      <c r="D607" s="257" t="str">
        <f t="shared" si="62"/>
        <v/>
      </c>
      <c r="F607" s="257" t="str">
        <f t="shared" si="63"/>
        <v/>
      </c>
      <c r="G607" s="257" t="str">
        <f t="shared" si="64"/>
        <v/>
      </c>
      <c r="H607" s="257" t="str">
        <f t="shared" si="65"/>
        <v/>
      </c>
    </row>
    <row r="608" spans="1:8" x14ac:dyDescent="0.25">
      <c r="A608" s="254" t="str">
        <f t="shared" ca="1" si="61"/>
        <v/>
      </c>
      <c r="B608" s="255"/>
      <c r="C608" s="256"/>
      <c r="D608" s="257" t="str">
        <f t="shared" si="62"/>
        <v/>
      </c>
      <c r="F608" s="257" t="str">
        <f t="shared" si="63"/>
        <v/>
      </c>
      <c r="G608" s="257" t="str">
        <f t="shared" si="64"/>
        <v/>
      </c>
      <c r="H608" s="257" t="str">
        <f t="shared" si="65"/>
        <v/>
      </c>
    </row>
    <row r="609" spans="1:8" x14ac:dyDescent="0.25">
      <c r="A609" s="254" t="str">
        <f t="shared" ca="1" si="61"/>
        <v/>
      </c>
      <c r="B609" s="255"/>
      <c r="C609" s="256"/>
      <c r="D609" s="257" t="str">
        <f t="shared" si="62"/>
        <v/>
      </c>
      <c r="F609" s="257" t="str">
        <f t="shared" si="63"/>
        <v/>
      </c>
      <c r="G609" s="257" t="str">
        <f t="shared" si="64"/>
        <v/>
      </c>
      <c r="H609" s="257" t="str">
        <f t="shared" si="65"/>
        <v/>
      </c>
    </row>
    <row r="610" spans="1:8" x14ac:dyDescent="0.25">
      <c r="A610" s="254" t="str">
        <f t="shared" ca="1" si="61"/>
        <v/>
      </c>
      <c r="B610" s="255"/>
      <c r="C610" s="256"/>
      <c r="D610" s="257" t="str">
        <f t="shared" si="62"/>
        <v/>
      </c>
      <c r="F610" s="257" t="str">
        <f t="shared" si="63"/>
        <v/>
      </c>
      <c r="G610" s="257" t="str">
        <f t="shared" si="64"/>
        <v/>
      </c>
      <c r="H610" s="257" t="str">
        <f t="shared" si="65"/>
        <v/>
      </c>
    </row>
    <row r="611" spans="1:8" x14ac:dyDescent="0.25">
      <c r="A611" s="254" t="str">
        <f t="shared" ca="1" si="61"/>
        <v/>
      </c>
      <c r="B611" s="255"/>
      <c r="C611" s="256"/>
      <c r="D611" s="257" t="str">
        <f t="shared" si="62"/>
        <v/>
      </c>
      <c r="F611" s="257" t="str">
        <f t="shared" si="63"/>
        <v/>
      </c>
      <c r="G611" s="257" t="str">
        <f t="shared" si="64"/>
        <v/>
      </c>
      <c r="H611" s="257" t="str">
        <f t="shared" si="65"/>
        <v/>
      </c>
    </row>
    <row r="612" spans="1:8" x14ac:dyDescent="0.25">
      <c r="A612" s="254" t="str">
        <f t="shared" ca="1" si="61"/>
        <v/>
      </c>
      <c r="B612" s="255"/>
      <c r="C612" s="256"/>
      <c r="D612" s="257" t="str">
        <f t="shared" si="62"/>
        <v/>
      </c>
      <c r="F612" s="257" t="str">
        <f t="shared" si="63"/>
        <v/>
      </c>
      <c r="G612" s="257" t="str">
        <f t="shared" si="64"/>
        <v/>
      </c>
      <c r="H612" s="257" t="str">
        <f t="shared" si="65"/>
        <v/>
      </c>
    </row>
    <row r="613" spans="1:8" x14ac:dyDescent="0.25">
      <c r="A613" s="254" t="str">
        <f t="shared" ca="1" si="61"/>
        <v/>
      </c>
      <c r="B613" s="255"/>
      <c r="C613" s="256"/>
      <c r="D613" s="257" t="str">
        <f t="shared" si="62"/>
        <v/>
      </c>
      <c r="F613" s="257" t="str">
        <f t="shared" si="63"/>
        <v/>
      </c>
      <c r="G613" s="257" t="str">
        <f t="shared" si="64"/>
        <v/>
      </c>
      <c r="H613" s="257" t="str">
        <f t="shared" si="65"/>
        <v/>
      </c>
    </row>
    <row r="614" spans="1:8" x14ac:dyDescent="0.25">
      <c r="A614" s="254" t="str">
        <f t="shared" ca="1" si="61"/>
        <v/>
      </c>
      <c r="B614" s="255"/>
      <c r="C614" s="256"/>
      <c r="D614" s="257" t="str">
        <f t="shared" si="62"/>
        <v/>
      </c>
      <c r="F614" s="257" t="str">
        <f t="shared" si="63"/>
        <v/>
      </c>
      <c r="G614" s="257" t="str">
        <f t="shared" si="64"/>
        <v/>
      </c>
      <c r="H614" s="257" t="str">
        <f t="shared" si="65"/>
        <v/>
      </c>
    </row>
    <row r="615" spans="1:8" x14ac:dyDescent="0.25">
      <c r="A615" s="254" t="str">
        <f t="shared" ca="1" si="61"/>
        <v/>
      </c>
      <c r="B615" s="255"/>
      <c r="C615" s="256"/>
      <c r="D615" s="257" t="str">
        <f t="shared" si="62"/>
        <v/>
      </c>
      <c r="F615" s="257" t="str">
        <f t="shared" si="63"/>
        <v/>
      </c>
      <c r="G615" s="257" t="str">
        <f t="shared" si="64"/>
        <v/>
      </c>
      <c r="H615" s="257" t="str">
        <f t="shared" si="65"/>
        <v/>
      </c>
    </row>
    <row r="616" spans="1:8" x14ac:dyDescent="0.25">
      <c r="A616" s="254" t="str">
        <f t="shared" ca="1" si="61"/>
        <v/>
      </c>
      <c r="B616" s="255"/>
      <c r="C616" s="256"/>
      <c r="D616" s="257" t="str">
        <f t="shared" si="62"/>
        <v/>
      </c>
      <c r="F616" s="257" t="str">
        <f t="shared" si="63"/>
        <v/>
      </c>
      <c r="G616" s="257" t="str">
        <f t="shared" si="64"/>
        <v/>
      </c>
      <c r="H616" s="257" t="str">
        <f t="shared" si="65"/>
        <v/>
      </c>
    </row>
    <row r="617" spans="1:8" x14ac:dyDescent="0.25">
      <c r="A617" s="254" t="str">
        <f t="shared" ref="A617:A680" ca="1" si="66">IF(OR(H616&lt;=0,H616=""),"",OFFSET(A617,-1,0,1,1)+1)</f>
        <v/>
      </c>
      <c r="B617" s="255"/>
      <c r="C617" s="256"/>
      <c r="D617" s="257" t="str">
        <f t="shared" si="62"/>
        <v/>
      </c>
      <c r="F617" s="257" t="str">
        <f t="shared" si="63"/>
        <v/>
      </c>
      <c r="G617" s="257" t="str">
        <f t="shared" si="64"/>
        <v/>
      </c>
      <c r="H617" s="257" t="str">
        <f t="shared" si="65"/>
        <v/>
      </c>
    </row>
    <row r="618" spans="1:8" x14ac:dyDescent="0.25">
      <c r="A618" s="254" t="str">
        <f t="shared" ca="1" si="66"/>
        <v/>
      </c>
      <c r="B618" s="255"/>
      <c r="C618" s="256"/>
      <c r="D618" s="257" t="str">
        <f t="shared" si="62"/>
        <v/>
      </c>
      <c r="F618" s="257" t="str">
        <f t="shared" si="63"/>
        <v/>
      </c>
      <c r="G618" s="257" t="str">
        <f t="shared" si="64"/>
        <v/>
      </c>
      <c r="H618" s="257" t="str">
        <f t="shared" si="65"/>
        <v/>
      </c>
    </row>
    <row r="619" spans="1:8" x14ac:dyDescent="0.25">
      <c r="A619" s="254" t="str">
        <f t="shared" ca="1" si="66"/>
        <v/>
      </c>
      <c r="B619" s="255"/>
      <c r="C619" s="256"/>
      <c r="D619" s="257" t="str">
        <f t="shared" si="62"/>
        <v/>
      </c>
      <c r="F619" s="257" t="str">
        <f t="shared" si="63"/>
        <v/>
      </c>
      <c r="G619" s="257" t="str">
        <f t="shared" si="64"/>
        <v/>
      </c>
      <c r="H619" s="257" t="str">
        <f t="shared" si="65"/>
        <v/>
      </c>
    </row>
    <row r="620" spans="1:8" x14ac:dyDescent="0.25">
      <c r="A620" s="254" t="str">
        <f t="shared" ca="1" si="66"/>
        <v/>
      </c>
      <c r="B620" s="255"/>
      <c r="C620" s="256"/>
      <c r="D620" s="257" t="str">
        <f t="shared" si="62"/>
        <v/>
      </c>
      <c r="F620" s="257" t="str">
        <f t="shared" si="63"/>
        <v/>
      </c>
      <c r="G620" s="257" t="str">
        <f t="shared" si="64"/>
        <v/>
      </c>
      <c r="H620" s="257" t="str">
        <f t="shared" si="65"/>
        <v/>
      </c>
    </row>
    <row r="621" spans="1:8" x14ac:dyDescent="0.25">
      <c r="A621" s="254" t="str">
        <f t="shared" ca="1" si="66"/>
        <v/>
      </c>
      <c r="B621" s="255"/>
      <c r="C621" s="256"/>
      <c r="D621" s="257" t="str">
        <f t="shared" si="62"/>
        <v/>
      </c>
      <c r="F621" s="257" t="str">
        <f t="shared" si="63"/>
        <v/>
      </c>
      <c r="G621" s="257" t="str">
        <f t="shared" si="64"/>
        <v/>
      </c>
      <c r="H621" s="257" t="str">
        <f t="shared" si="65"/>
        <v/>
      </c>
    </row>
    <row r="622" spans="1:8" x14ac:dyDescent="0.25">
      <c r="A622" s="254" t="str">
        <f t="shared" ca="1" si="66"/>
        <v/>
      </c>
      <c r="B622" s="255"/>
      <c r="C622" s="256"/>
      <c r="D622" s="257" t="str">
        <f t="shared" si="62"/>
        <v/>
      </c>
      <c r="F622" s="257" t="str">
        <f t="shared" si="63"/>
        <v/>
      </c>
      <c r="G622" s="257" t="str">
        <f t="shared" si="64"/>
        <v/>
      </c>
      <c r="H622" s="257" t="str">
        <f t="shared" si="65"/>
        <v/>
      </c>
    </row>
    <row r="623" spans="1:8" x14ac:dyDescent="0.25">
      <c r="A623" s="254" t="str">
        <f t="shared" ca="1" si="66"/>
        <v/>
      </c>
      <c r="B623" s="255"/>
      <c r="C623" s="256"/>
      <c r="D623" s="257" t="str">
        <f t="shared" si="62"/>
        <v/>
      </c>
      <c r="F623" s="257" t="str">
        <f t="shared" si="63"/>
        <v/>
      </c>
      <c r="G623" s="257" t="str">
        <f t="shared" si="64"/>
        <v/>
      </c>
      <c r="H623" s="257" t="str">
        <f t="shared" si="65"/>
        <v/>
      </c>
    </row>
    <row r="624" spans="1:8" x14ac:dyDescent="0.25">
      <c r="A624" s="254" t="str">
        <f t="shared" ca="1" si="66"/>
        <v/>
      </c>
      <c r="B624" s="255"/>
      <c r="C624" s="256"/>
      <c r="D624" s="257" t="str">
        <f t="shared" si="62"/>
        <v/>
      </c>
      <c r="F624" s="257" t="str">
        <f t="shared" si="63"/>
        <v/>
      </c>
      <c r="G624" s="257" t="str">
        <f t="shared" si="64"/>
        <v/>
      </c>
      <c r="H624" s="257" t="str">
        <f t="shared" si="65"/>
        <v/>
      </c>
    </row>
    <row r="625" spans="1:8" x14ac:dyDescent="0.25">
      <c r="A625" s="254" t="str">
        <f t="shared" ca="1" si="66"/>
        <v/>
      </c>
      <c r="B625" s="255"/>
      <c r="C625" s="256"/>
      <c r="D625" s="257" t="str">
        <f t="shared" si="62"/>
        <v/>
      </c>
      <c r="F625" s="257" t="str">
        <f t="shared" si="63"/>
        <v/>
      </c>
      <c r="G625" s="257" t="str">
        <f t="shared" si="64"/>
        <v/>
      </c>
      <c r="H625" s="257" t="str">
        <f t="shared" si="65"/>
        <v/>
      </c>
    </row>
    <row r="626" spans="1:8" x14ac:dyDescent="0.25">
      <c r="A626" s="254" t="str">
        <f t="shared" ca="1" si="66"/>
        <v/>
      </c>
      <c r="B626" s="255"/>
      <c r="C626" s="256"/>
      <c r="D626" s="257" t="str">
        <f t="shared" si="62"/>
        <v/>
      </c>
      <c r="F626" s="257" t="str">
        <f t="shared" si="63"/>
        <v/>
      </c>
      <c r="G626" s="257" t="str">
        <f t="shared" si="64"/>
        <v/>
      </c>
      <c r="H626" s="257" t="str">
        <f t="shared" si="65"/>
        <v/>
      </c>
    </row>
    <row r="627" spans="1:8" x14ac:dyDescent="0.25">
      <c r="A627" s="254" t="str">
        <f t="shared" ca="1" si="66"/>
        <v/>
      </c>
      <c r="B627" s="255"/>
      <c r="C627" s="256"/>
      <c r="D627" s="257" t="str">
        <f t="shared" si="62"/>
        <v/>
      </c>
      <c r="F627" s="257" t="str">
        <f t="shared" si="63"/>
        <v/>
      </c>
      <c r="G627" s="257" t="str">
        <f t="shared" si="64"/>
        <v/>
      </c>
      <c r="H627" s="257" t="str">
        <f t="shared" si="65"/>
        <v/>
      </c>
    </row>
    <row r="628" spans="1:8" x14ac:dyDescent="0.25">
      <c r="A628" s="254" t="str">
        <f t="shared" ca="1" si="66"/>
        <v/>
      </c>
      <c r="B628" s="255"/>
      <c r="C628" s="256"/>
      <c r="D628" s="257" t="str">
        <f t="shared" si="62"/>
        <v/>
      </c>
      <c r="F628" s="257" t="str">
        <f t="shared" si="63"/>
        <v/>
      </c>
      <c r="G628" s="257" t="str">
        <f t="shared" si="64"/>
        <v/>
      </c>
      <c r="H628" s="257" t="str">
        <f t="shared" si="65"/>
        <v/>
      </c>
    </row>
    <row r="629" spans="1:8" x14ac:dyDescent="0.25">
      <c r="A629" s="254" t="str">
        <f t="shared" ca="1" si="66"/>
        <v/>
      </c>
      <c r="B629" s="255"/>
      <c r="C629" s="256"/>
      <c r="D629" s="257" t="str">
        <f t="shared" si="62"/>
        <v/>
      </c>
      <c r="F629" s="257" t="str">
        <f t="shared" si="63"/>
        <v/>
      </c>
      <c r="G629" s="257" t="str">
        <f t="shared" si="64"/>
        <v/>
      </c>
      <c r="H629" s="257" t="str">
        <f t="shared" si="65"/>
        <v/>
      </c>
    </row>
    <row r="630" spans="1:8" x14ac:dyDescent="0.25">
      <c r="A630" s="254" t="str">
        <f t="shared" ca="1" si="66"/>
        <v/>
      </c>
      <c r="B630" s="255"/>
      <c r="C630" s="256"/>
      <c r="D630" s="257" t="str">
        <f t="shared" si="62"/>
        <v/>
      </c>
      <c r="F630" s="257" t="str">
        <f t="shared" si="63"/>
        <v/>
      </c>
      <c r="G630" s="257" t="str">
        <f t="shared" si="64"/>
        <v/>
      </c>
      <c r="H630" s="257" t="str">
        <f t="shared" si="65"/>
        <v/>
      </c>
    </row>
    <row r="631" spans="1:8" x14ac:dyDescent="0.25">
      <c r="A631" s="254" t="str">
        <f t="shared" ca="1" si="66"/>
        <v/>
      </c>
      <c r="B631" s="255"/>
      <c r="C631" s="256"/>
      <c r="D631" s="257" t="str">
        <f t="shared" si="62"/>
        <v/>
      </c>
      <c r="F631" s="257" t="str">
        <f t="shared" si="63"/>
        <v/>
      </c>
      <c r="G631" s="257" t="str">
        <f t="shared" si="64"/>
        <v/>
      </c>
      <c r="H631" s="257" t="str">
        <f t="shared" si="65"/>
        <v/>
      </c>
    </row>
    <row r="632" spans="1:8" x14ac:dyDescent="0.25">
      <c r="A632" s="254" t="str">
        <f t="shared" ca="1" si="66"/>
        <v/>
      </c>
      <c r="B632" s="255"/>
      <c r="C632" s="256"/>
      <c r="D632" s="257" t="str">
        <f t="shared" si="62"/>
        <v/>
      </c>
      <c r="F632" s="257" t="str">
        <f t="shared" si="63"/>
        <v/>
      </c>
      <c r="G632" s="257" t="str">
        <f t="shared" si="64"/>
        <v/>
      </c>
      <c r="H632" s="257" t="str">
        <f t="shared" si="65"/>
        <v/>
      </c>
    </row>
    <row r="633" spans="1:8" x14ac:dyDescent="0.25">
      <c r="A633" s="254" t="str">
        <f t="shared" ca="1" si="66"/>
        <v/>
      </c>
      <c r="B633" s="255"/>
      <c r="C633" s="256"/>
      <c r="D633" s="257" t="str">
        <f t="shared" si="62"/>
        <v/>
      </c>
      <c r="F633" s="257" t="str">
        <f t="shared" si="63"/>
        <v/>
      </c>
      <c r="G633" s="257" t="str">
        <f t="shared" si="64"/>
        <v/>
      </c>
      <c r="H633" s="257" t="str">
        <f t="shared" si="65"/>
        <v/>
      </c>
    </row>
    <row r="634" spans="1:8" x14ac:dyDescent="0.25">
      <c r="A634" s="254" t="str">
        <f t="shared" ca="1" si="66"/>
        <v/>
      </c>
      <c r="B634" s="255"/>
      <c r="C634" s="256"/>
      <c r="D634" s="257" t="str">
        <f t="shared" si="62"/>
        <v/>
      </c>
      <c r="F634" s="257" t="str">
        <f t="shared" si="63"/>
        <v/>
      </c>
      <c r="G634" s="257" t="str">
        <f t="shared" si="64"/>
        <v/>
      </c>
      <c r="H634" s="257" t="str">
        <f t="shared" si="65"/>
        <v/>
      </c>
    </row>
    <row r="635" spans="1:8" x14ac:dyDescent="0.25">
      <c r="A635" s="254" t="str">
        <f t="shared" ca="1" si="66"/>
        <v/>
      </c>
      <c r="B635" s="255"/>
      <c r="C635" s="256"/>
      <c r="D635" s="257" t="str">
        <f t="shared" si="62"/>
        <v/>
      </c>
      <c r="F635" s="257" t="str">
        <f t="shared" si="63"/>
        <v/>
      </c>
      <c r="G635" s="257" t="str">
        <f t="shared" si="64"/>
        <v/>
      </c>
      <c r="H635" s="257" t="str">
        <f t="shared" si="65"/>
        <v/>
      </c>
    </row>
    <row r="636" spans="1:8" x14ac:dyDescent="0.25">
      <c r="A636" s="254" t="str">
        <f t="shared" ca="1" si="66"/>
        <v/>
      </c>
      <c r="B636" s="255"/>
      <c r="C636" s="256"/>
      <c r="D636" s="257" t="str">
        <f t="shared" si="62"/>
        <v/>
      </c>
      <c r="F636" s="257" t="str">
        <f t="shared" si="63"/>
        <v/>
      </c>
      <c r="G636" s="257" t="str">
        <f t="shared" si="64"/>
        <v/>
      </c>
      <c r="H636" s="257" t="str">
        <f t="shared" si="65"/>
        <v/>
      </c>
    </row>
    <row r="637" spans="1:8" x14ac:dyDescent="0.25">
      <c r="A637" s="254" t="str">
        <f t="shared" ca="1" si="66"/>
        <v/>
      </c>
      <c r="B637" s="255"/>
      <c r="C637" s="256"/>
      <c r="D637" s="257" t="str">
        <f t="shared" si="62"/>
        <v/>
      </c>
      <c r="F637" s="257" t="str">
        <f t="shared" si="63"/>
        <v/>
      </c>
      <c r="G637" s="257" t="str">
        <f t="shared" si="64"/>
        <v/>
      </c>
      <c r="H637" s="257" t="str">
        <f t="shared" si="65"/>
        <v/>
      </c>
    </row>
    <row r="638" spans="1:8" x14ac:dyDescent="0.25">
      <c r="A638" s="254" t="str">
        <f t="shared" ca="1" si="66"/>
        <v/>
      </c>
      <c r="B638" s="255"/>
      <c r="C638" s="256"/>
      <c r="D638" s="257" t="str">
        <f t="shared" si="62"/>
        <v/>
      </c>
      <c r="F638" s="257" t="str">
        <f t="shared" si="63"/>
        <v/>
      </c>
      <c r="G638" s="257" t="str">
        <f t="shared" si="64"/>
        <v/>
      </c>
      <c r="H638" s="257" t="str">
        <f t="shared" si="65"/>
        <v/>
      </c>
    </row>
    <row r="639" spans="1:8" x14ac:dyDescent="0.25">
      <c r="A639" s="254" t="str">
        <f t="shared" ca="1" si="66"/>
        <v/>
      </c>
      <c r="B639" s="255"/>
      <c r="C639" s="256"/>
      <c r="D639" s="257" t="str">
        <f t="shared" si="62"/>
        <v/>
      </c>
      <c r="F639" s="257" t="str">
        <f t="shared" si="63"/>
        <v/>
      </c>
      <c r="G639" s="257" t="str">
        <f t="shared" si="64"/>
        <v/>
      </c>
      <c r="H639" s="257" t="str">
        <f t="shared" si="65"/>
        <v/>
      </c>
    </row>
    <row r="640" spans="1:8" x14ac:dyDescent="0.25">
      <c r="A640" s="254" t="str">
        <f t="shared" ca="1" si="66"/>
        <v/>
      </c>
      <c r="B640" s="255"/>
      <c r="C640" s="256"/>
      <c r="D640" s="257" t="str">
        <f t="shared" si="62"/>
        <v/>
      </c>
      <c r="F640" s="257" t="str">
        <f t="shared" si="63"/>
        <v/>
      </c>
      <c r="G640" s="257" t="str">
        <f t="shared" si="64"/>
        <v/>
      </c>
      <c r="H640" s="257" t="str">
        <f t="shared" si="65"/>
        <v/>
      </c>
    </row>
    <row r="641" spans="1:8" x14ac:dyDescent="0.25">
      <c r="A641" s="254" t="str">
        <f t="shared" ca="1" si="66"/>
        <v/>
      </c>
      <c r="B641" s="255"/>
      <c r="C641" s="256"/>
      <c r="D641" s="257" t="str">
        <f t="shared" si="62"/>
        <v/>
      </c>
      <c r="F641" s="257" t="str">
        <f t="shared" si="63"/>
        <v/>
      </c>
      <c r="G641" s="257" t="str">
        <f t="shared" si="64"/>
        <v/>
      </c>
      <c r="H641" s="257" t="str">
        <f t="shared" si="65"/>
        <v/>
      </c>
    </row>
    <row r="642" spans="1:8" x14ac:dyDescent="0.25">
      <c r="A642" s="254" t="str">
        <f t="shared" ca="1" si="66"/>
        <v/>
      </c>
      <c r="B642" s="255"/>
      <c r="C642" s="256"/>
      <c r="D642" s="257" t="str">
        <f t="shared" si="62"/>
        <v/>
      </c>
      <c r="F642" s="257" t="str">
        <f t="shared" si="63"/>
        <v/>
      </c>
      <c r="G642" s="257" t="str">
        <f t="shared" si="64"/>
        <v/>
      </c>
      <c r="H642" s="257" t="str">
        <f t="shared" si="65"/>
        <v/>
      </c>
    </row>
    <row r="643" spans="1:8" x14ac:dyDescent="0.25">
      <c r="A643" s="254" t="str">
        <f t="shared" ca="1" si="66"/>
        <v/>
      </c>
      <c r="B643" s="255"/>
      <c r="C643" s="256"/>
      <c r="D643" s="257" t="str">
        <f t="shared" si="62"/>
        <v/>
      </c>
      <c r="F643" s="257" t="str">
        <f t="shared" si="63"/>
        <v/>
      </c>
      <c r="G643" s="257" t="str">
        <f t="shared" si="64"/>
        <v/>
      </c>
      <c r="H643" s="257" t="str">
        <f t="shared" si="65"/>
        <v/>
      </c>
    </row>
    <row r="644" spans="1:8" x14ac:dyDescent="0.25">
      <c r="A644" s="254" t="str">
        <f t="shared" ca="1" si="66"/>
        <v/>
      </c>
      <c r="B644" s="255"/>
      <c r="C644" s="256"/>
      <c r="D644" s="257" t="str">
        <f t="shared" si="62"/>
        <v/>
      </c>
      <c r="F644" s="257" t="str">
        <f t="shared" si="63"/>
        <v/>
      </c>
      <c r="G644" s="257" t="str">
        <f t="shared" si="64"/>
        <v/>
      </c>
      <c r="H644" s="257" t="str">
        <f t="shared" si="65"/>
        <v/>
      </c>
    </row>
    <row r="645" spans="1:8" x14ac:dyDescent="0.25">
      <c r="A645" s="254" t="str">
        <f t="shared" ca="1" si="66"/>
        <v/>
      </c>
      <c r="B645" s="255"/>
      <c r="C645" s="256"/>
      <c r="D645" s="257" t="str">
        <f t="shared" si="62"/>
        <v/>
      </c>
      <c r="F645" s="257" t="str">
        <f t="shared" si="63"/>
        <v/>
      </c>
      <c r="G645" s="257" t="str">
        <f t="shared" si="64"/>
        <v/>
      </c>
      <c r="H645" s="257" t="str">
        <f t="shared" si="65"/>
        <v/>
      </c>
    </row>
    <row r="646" spans="1:8" x14ac:dyDescent="0.25">
      <c r="A646" s="254" t="str">
        <f t="shared" ca="1" si="66"/>
        <v/>
      </c>
      <c r="B646" s="255"/>
      <c r="C646" s="256"/>
      <c r="D646" s="257" t="str">
        <f t="shared" si="62"/>
        <v/>
      </c>
      <c r="F646" s="257" t="str">
        <f t="shared" si="63"/>
        <v/>
      </c>
      <c r="G646" s="257" t="str">
        <f t="shared" si="64"/>
        <v/>
      </c>
      <c r="H646" s="257" t="str">
        <f t="shared" si="65"/>
        <v/>
      </c>
    </row>
    <row r="647" spans="1:8" x14ac:dyDescent="0.25">
      <c r="A647" s="254" t="str">
        <f t="shared" ca="1" si="66"/>
        <v/>
      </c>
      <c r="B647" s="255"/>
      <c r="C647" s="256"/>
      <c r="D647" s="257" t="str">
        <f t="shared" si="62"/>
        <v/>
      </c>
      <c r="F647" s="257" t="str">
        <f t="shared" si="63"/>
        <v/>
      </c>
      <c r="G647" s="257" t="str">
        <f t="shared" si="64"/>
        <v/>
      </c>
      <c r="H647" s="257" t="str">
        <f t="shared" si="65"/>
        <v/>
      </c>
    </row>
    <row r="648" spans="1:8" x14ac:dyDescent="0.25">
      <c r="A648" s="254" t="str">
        <f t="shared" ca="1" si="66"/>
        <v/>
      </c>
      <c r="B648" s="255"/>
      <c r="C648" s="256"/>
      <c r="D648" s="257" t="str">
        <f t="shared" si="62"/>
        <v/>
      </c>
      <c r="F648" s="257" t="str">
        <f t="shared" si="63"/>
        <v/>
      </c>
      <c r="G648" s="257" t="str">
        <f t="shared" si="64"/>
        <v/>
      </c>
      <c r="H648" s="257" t="str">
        <f t="shared" si="65"/>
        <v/>
      </c>
    </row>
    <row r="649" spans="1:8" x14ac:dyDescent="0.25">
      <c r="A649" s="254" t="str">
        <f t="shared" ca="1" si="66"/>
        <v/>
      </c>
      <c r="B649" s="255"/>
      <c r="C649" s="256"/>
      <c r="D649" s="257" t="str">
        <f t="shared" si="62"/>
        <v/>
      </c>
      <c r="F649" s="257" t="str">
        <f t="shared" si="63"/>
        <v/>
      </c>
      <c r="G649" s="257" t="str">
        <f t="shared" si="64"/>
        <v/>
      </c>
      <c r="H649" s="257" t="str">
        <f t="shared" si="65"/>
        <v/>
      </c>
    </row>
    <row r="650" spans="1:8" x14ac:dyDescent="0.25">
      <c r="A650" s="254" t="str">
        <f t="shared" ca="1" si="66"/>
        <v/>
      </c>
      <c r="B650" s="255"/>
      <c r="C650" s="256"/>
      <c r="D650" s="257" t="str">
        <f t="shared" si="62"/>
        <v/>
      </c>
      <c r="F650" s="257" t="str">
        <f t="shared" si="63"/>
        <v/>
      </c>
      <c r="G650" s="257" t="str">
        <f t="shared" si="64"/>
        <v/>
      </c>
      <c r="H650" s="257" t="str">
        <f t="shared" si="65"/>
        <v/>
      </c>
    </row>
    <row r="651" spans="1:8" x14ac:dyDescent="0.25">
      <c r="A651" s="254" t="str">
        <f t="shared" ca="1" si="66"/>
        <v/>
      </c>
      <c r="B651" s="255"/>
      <c r="C651" s="256"/>
      <c r="D651" s="257" t="str">
        <f t="shared" si="62"/>
        <v/>
      </c>
      <c r="F651" s="257" t="str">
        <f t="shared" si="63"/>
        <v/>
      </c>
      <c r="G651" s="257" t="str">
        <f t="shared" si="64"/>
        <v/>
      </c>
      <c r="H651" s="257" t="str">
        <f t="shared" si="65"/>
        <v/>
      </c>
    </row>
    <row r="652" spans="1:8" x14ac:dyDescent="0.25">
      <c r="A652" s="254" t="str">
        <f t="shared" ca="1" si="66"/>
        <v/>
      </c>
      <c r="B652" s="255"/>
      <c r="C652" s="256"/>
      <c r="D652" s="257" t="str">
        <f t="shared" si="62"/>
        <v/>
      </c>
      <c r="F652" s="257" t="str">
        <f t="shared" si="63"/>
        <v/>
      </c>
      <c r="G652" s="257" t="str">
        <f t="shared" si="64"/>
        <v/>
      </c>
      <c r="H652" s="257" t="str">
        <f t="shared" si="65"/>
        <v/>
      </c>
    </row>
    <row r="653" spans="1:8" x14ac:dyDescent="0.25">
      <c r="A653" s="254" t="str">
        <f t="shared" ca="1" si="66"/>
        <v/>
      </c>
      <c r="B653" s="255"/>
      <c r="C653" s="256"/>
      <c r="D653" s="257" t="str">
        <f t="shared" si="62"/>
        <v/>
      </c>
      <c r="F653" s="257" t="str">
        <f t="shared" si="63"/>
        <v/>
      </c>
      <c r="G653" s="257" t="str">
        <f t="shared" si="64"/>
        <v/>
      </c>
      <c r="H653" s="257" t="str">
        <f t="shared" si="65"/>
        <v/>
      </c>
    </row>
    <row r="654" spans="1:8" x14ac:dyDescent="0.25">
      <c r="A654" s="254" t="str">
        <f t="shared" ca="1" si="66"/>
        <v/>
      </c>
      <c r="B654" s="255"/>
      <c r="C654" s="256"/>
      <c r="D654" s="257" t="str">
        <f t="shared" si="62"/>
        <v/>
      </c>
      <c r="F654" s="257" t="str">
        <f t="shared" si="63"/>
        <v/>
      </c>
      <c r="G654" s="257" t="str">
        <f t="shared" si="64"/>
        <v/>
      </c>
      <c r="H654" s="257" t="str">
        <f t="shared" si="65"/>
        <v/>
      </c>
    </row>
    <row r="655" spans="1:8" x14ac:dyDescent="0.25">
      <c r="A655" s="254" t="str">
        <f t="shared" ca="1" si="66"/>
        <v/>
      </c>
      <c r="B655" s="255"/>
      <c r="C655" s="256"/>
      <c r="D655" s="257" t="str">
        <f t="shared" si="62"/>
        <v/>
      </c>
      <c r="F655" s="257" t="str">
        <f t="shared" si="63"/>
        <v/>
      </c>
      <c r="G655" s="257" t="str">
        <f t="shared" si="64"/>
        <v/>
      </c>
      <c r="H655" s="257" t="str">
        <f t="shared" si="65"/>
        <v/>
      </c>
    </row>
    <row r="656" spans="1:8" x14ac:dyDescent="0.25">
      <c r="A656" s="254" t="str">
        <f t="shared" ca="1" si="66"/>
        <v/>
      </c>
      <c r="B656" s="255"/>
      <c r="C656" s="256"/>
      <c r="D656" s="257" t="str">
        <f t="shared" si="62"/>
        <v/>
      </c>
      <c r="F656" s="257" t="str">
        <f t="shared" si="63"/>
        <v/>
      </c>
      <c r="G656" s="257" t="str">
        <f t="shared" si="64"/>
        <v/>
      </c>
      <c r="H656" s="257" t="str">
        <f t="shared" si="65"/>
        <v/>
      </c>
    </row>
    <row r="657" spans="1:8" x14ac:dyDescent="0.25">
      <c r="A657" s="254" t="str">
        <f t="shared" ca="1" si="66"/>
        <v/>
      </c>
      <c r="B657" s="255"/>
      <c r="C657" s="256"/>
      <c r="D657" s="257" t="str">
        <f t="shared" si="62"/>
        <v/>
      </c>
      <c r="F657" s="257" t="str">
        <f t="shared" si="63"/>
        <v/>
      </c>
      <c r="G657" s="257" t="str">
        <f t="shared" si="64"/>
        <v/>
      </c>
      <c r="H657" s="257" t="str">
        <f t="shared" si="65"/>
        <v/>
      </c>
    </row>
    <row r="658" spans="1:8" x14ac:dyDescent="0.25">
      <c r="A658" s="254" t="str">
        <f t="shared" ca="1" si="66"/>
        <v/>
      </c>
      <c r="B658" s="255"/>
      <c r="C658" s="256"/>
      <c r="D658" s="257" t="str">
        <f t="shared" si="62"/>
        <v/>
      </c>
      <c r="F658" s="257" t="str">
        <f t="shared" si="63"/>
        <v/>
      </c>
      <c r="G658" s="257" t="str">
        <f t="shared" si="64"/>
        <v/>
      </c>
      <c r="H658" s="257" t="str">
        <f t="shared" si="65"/>
        <v/>
      </c>
    </row>
    <row r="659" spans="1:8" x14ac:dyDescent="0.25">
      <c r="A659" s="254" t="str">
        <f t="shared" ca="1" si="66"/>
        <v/>
      </c>
      <c r="B659" s="255"/>
      <c r="C659" s="256"/>
      <c r="D659" s="257" t="str">
        <f t="shared" ref="D659:D722" si="67">IF(B659="","",ROUND((B659-B658)*$H$9*G658,2))</f>
        <v/>
      </c>
      <c r="F659" s="257" t="str">
        <f t="shared" ref="F659:F722" si="68">IF(B659="","",IF(C659&gt;F658+D659,0,F658+D659-C659))</f>
        <v/>
      </c>
      <c r="G659" s="257" t="str">
        <f t="shared" ref="G659:G722" si="69">IF(B659="","",IF(C659&gt;D659+F658,G658+F658+D659-C659,G658))</f>
        <v/>
      </c>
      <c r="H659" s="257" t="str">
        <f t="shared" ref="H659:H722" si="70">IF(B659="","",G659+F659)</f>
        <v/>
      </c>
    </row>
    <row r="660" spans="1:8" x14ac:dyDescent="0.25">
      <c r="A660" s="254" t="str">
        <f t="shared" ca="1" si="66"/>
        <v/>
      </c>
      <c r="B660" s="255"/>
      <c r="C660" s="256"/>
      <c r="D660" s="257" t="str">
        <f t="shared" si="67"/>
        <v/>
      </c>
      <c r="F660" s="257" t="str">
        <f t="shared" si="68"/>
        <v/>
      </c>
      <c r="G660" s="257" t="str">
        <f t="shared" si="69"/>
        <v/>
      </c>
      <c r="H660" s="257" t="str">
        <f t="shared" si="70"/>
        <v/>
      </c>
    </row>
    <row r="661" spans="1:8" x14ac:dyDescent="0.25">
      <c r="A661" s="254" t="str">
        <f t="shared" ca="1" si="66"/>
        <v/>
      </c>
      <c r="B661" s="255"/>
      <c r="C661" s="256"/>
      <c r="D661" s="257" t="str">
        <f t="shared" si="67"/>
        <v/>
      </c>
      <c r="F661" s="257" t="str">
        <f t="shared" si="68"/>
        <v/>
      </c>
      <c r="G661" s="257" t="str">
        <f t="shared" si="69"/>
        <v/>
      </c>
      <c r="H661" s="257" t="str">
        <f t="shared" si="70"/>
        <v/>
      </c>
    </row>
    <row r="662" spans="1:8" x14ac:dyDescent="0.25">
      <c r="A662" s="254" t="str">
        <f t="shared" ca="1" si="66"/>
        <v/>
      </c>
      <c r="B662" s="255"/>
      <c r="C662" s="256"/>
      <c r="D662" s="257" t="str">
        <f t="shared" si="67"/>
        <v/>
      </c>
      <c r="F662" s="257" t="str">
        <f t="shared" si="68"/>
        <v/>
      </c>
      <c r="G662" s="257" t="str">
        <f t="shared" si="69"/>
        <v/>
      </c>
      <c r="H662" s="257" t="str">
        <f t="shared" si="70"/>
        <v/>
      </c>
    </row>
    <row r="663" spans="1:8" x14ac:dyDescent="0.25">
      <c r="A663" s="254" t="str">
        <f t="shared" ca="1" si="66"/>
        <v/>
      </c>
      <c r="B663" s="255"/>
      <c r="C663" s="256"/>
      <c r="D663" s="257" t="str">
        <f t="shared" si="67"/>
        <v/>
      </c>
      <c r="F663" s="257" t="str">
        <f t="shared" si="68"/>
        <v/>
      </c>
      <c r="G663" s="257" t="str">
        <f t="shared" si="69"/>
        <v/>
      </c>
      <c r="H663" s="257" t="str">
        <f t="shared" si="70"/>
        <v/>
      </c>
    </row>
    <row r="664" spans="1:8" x14ac:dyDescent="0.25">
      <c r="A664" s="254" t="str">
        <f t="shared" ca="1" si="66"/>
        <v/>
      </c>
      <c r="B664" s="255"/>
      <c r="C664" s="256"/>
      <c r="D664" s="257" t="str">
        <f t="shared" si="67"/>
        <v/>
      </c>
      <c r="F664" s="257" t="str">
        <f t="shared" si="68"/>
        <v/>
      </c>
      <c r="G664" s="257" t="str">
        <f t="shared" si="69"/>
        <v/>
      </c>
      <c r="H664" s="257" t="str">
        <f t="shared" si="70"/>
        <v/>
      </c>
    </row>
    <row r="665" spans="1:8" x14ac:dyDescent="0.25">
      <c r="A665" s="254" t="str">
        <f t="shared" ca="1" si="66"/>
        <v/>
      </c>
      <c r="B665" s="255"/>
      <c r="C665" s="256"/>
      <c r="D665" s="257" t="str">
        <f t="shared" si="67"/>
        <v/>
      </c>
      <c r="F665" s="257" t="str">
        <f t="shared" si="68"/>
        <v/>
      </c>
      <c r="G665" s="257" t="str">
        <f t="shared" si="69"/>
        <v/>
      </c>
      <c r="H665" s="257" t="str">
        <f t="shared" si="70"/>
        <v/>
      </c>
    </row>
    <row r="666" spans="1:8" x14ac:dyDescent="0.25">
      <c r="A666" s="254" t="str">
        <f t="shared" ca="1" si="66"/>
        <v/>
      </c>
      <c r="B666" s="255"/>
      <c r="C666" s="256"/>
      <c r="D666" s="257" t="str">
        <f t="shared" si="67"/>
        <v/>
      </c>
      <c r="F666" s="257" t="str">
        <f t="shared" si="68"/>
        <v/>
      </c>
      <c r="G666" s="257" t="str">
        <f t="shared" si="69"/>
        <v/>
      </c>
      <c r="H666" s="257" t="str">
        <f t="shared" si="70"/>
        <v/>
      </c>
    </row>
    <row r="667" spans="1:8" x14ac:dyDescent="0.25">
      <c r="A667" s="254" t="str">
        <f t="shared" ca="1" si="66"/>
        <v/>
      </c>
      <c r="B667" s="255"/>
      <c r="C667" s="256"/>
      <c r="D667" s="257" t="str">
        <f t="shared" si="67"/>
        <v/>
      </c>
      <c r="F667" s="257" t="str">
        <f t="shared" si="68"/>
        <v/>
      </c>
      <c r="G667" s="257" t="str">
        <f t="shared" si="69"/>
        <v/>
      </c>
      <c r="H667" s="257" t="str">
        <f t="shared" si="70"/>
        <v/>
      </c>
    </row>
    <row r="668" spans="1:8" x14ac:dyDescent="0.25">
      <c r="A668" s="254" t="str">
        <f t="shared" ca="1" si="66"/>
        <v/>
      </c>
      <c r="B668" s="255"/>
      <c r="C668" s="256"/>
      <c r="D668" s="257" t="str">
        <f t="shared" si="67"/>
        <v/>
      </c>
      <c r="F668" s="257" t="str">
        <f t="shared" si="68"/>
        <v/>
      </c>
      <c r="G668" s="257" t="str">
        <f t="shared" si="69"/>
        <v/>
      </c>
      <c r="H668" s="257" t="str">
        <f t="shared" si="70"/>
        <v/>
      </c>
    </row>
    <row r="669" spans="1:8" x14ac:dyDescent="0.25">
      <c r="A669" s="254" t="str">
        <f t="shared" ca="1" si="66"/>
        <v/>
      </c>
      <c r="B669" s="255"/>
      <c r="C669" s="256"/>
      <c r="D669" s="257" t="str">
        <f t="shared" si="67"/>
        <v/>
      </c>
      <c r="F669" s="257" t="str">
        <f t="shared" si="68"/>
        <v/>
      </c>
      <c r="G669" s="257" t="str">
        <f t="shared" si="69"/>
        <v/>
      </c>
      <c r="H669" s="257" t="str">
        <f t="shared" si="70"/>
        <v/>
      </c>
    </row>
    <row r="670" spans="1:8" x14ac:dyDescent="0.25">
      <c r="A670" s="254" t="str">
        <f t="shared" ca="1" si="66"/>
        <v/>
      </c>
      <c r="B670" s="255"/>
      <c r="C670" s="256"/>
      <c r="D670" s="257" t="str">
        <f t="shared" si="67"/>
        <v/>
      </c>
      <c r="F670" s="257" t="str">
        <f t="shared" si="68"/>
        <v/>
      </c>
      <c r="G670" s="257" t="str">
        <f t="shared" si="69"/>
        <v/>
      </c>
      <c r="H670" s="257" t="str">
        <f t="shared" si="70"/>
        <v/>
      </c>
    </row>
    <row r="671" spans="1:8" x14ac:dyDescent="0.25">
      <c r="A671" s="254" t="str">
        <f t="shared" ca="1" si="66"/>
        <v/>
      </c>
      <c r="B671" s="255"/>
      <c r="C671" s="256"/>
      <c r="D671" s="257" t="str">
        <f t="shared" si="67"/>
        <v/>
      </c>
      <c r="F671" s="257" t="str">
        <f t="shared" si="68"/>
        <v/>
      </c>
      <c r="G671" s="257" t="str">
        <f t="shared" si="69"/>
        <v/>
      </c>
      <c r="H671" s="257" t="str">
        <f t="shared" si="70"/>
        <v/>
      </c>
    </row>
    <row r="672" spans="1:8" x14ac:dyDescent="0.25">
      <c r="A672" s="254" t="str">
        <f t="shared" ca="1" si="66"/>
        <v/>
      </c>
      <c r="B672" s="255"/>
      <c r="C672" s="256"/>
      <c r="D672" s="257" t="str">
        <f t="shared" si="67"/>
        <v/>
      </c>
      <c r="F672" s="257" t="str">
        <f t="shared" si="68"/>
        <v/>
      </c>
      <c r="G672" s="257" t="str">
        <f t="shared" si="69"/>
        <v/>
      </c>
      <c r="H672" s="257" t="str">
        <f t="shared" si="70"/>
        <v/>
      </c>
    </row>
    <row r="673" spans="1:8" x14ac:dyDescent="0.25">
      <c r="A673" s="254" t="str">
        <f t="shared" ca="1" si="66"/>
        <v/>
      </c>
      <c r="B673" s="255"/>
      <c r="C673" s="256"/>
      <c r="D673" s="257" t="str">
        <f t="shared" si="67"/>
        <v/>
      </c>
      <c r="F673" s="257" t="str">
        <f t="shared" si="68"/>
        <v/>
      </c>
      <c r="G673" s="257" t="str">
        <f t="shared" si="69"/>
        <v/>
      </c>
      <c r="H673" s="257" t="str">
        <f t="shared" si="70"/>
        <v/>
      </c>
    </row>
    <row r="674" spans="1:8" x14ac:dyDescent="0.25">
      <c r="A674" s="254" t="str">
        <f t="shared" ca="1" si="66"/>
        <v/>
      </c>
      <c r="B674" s="255"/>
      <c r="C674" s="256"/>
      <c r="D674" s="257" t="str">
        <f t="shared" si="67"/>
        <v/>
      </c>
      <c r="F674" s="257" t="str">
        <f t="shared" si="68"/>
        <v/>
      </c>
      <c r="G674" s="257" t="str">
        <f t="shared" si="69"/>
        <v/>
      </c>
      <c r="H674" s="257" t="str">
        <f t="shared" si="70"/>
        <v/>
      </c>
    </row>
    <row r="675" spans="1:8" x14ac:dyDescent="0.25">
      <c r="A675" s="254" t="str">
        <f t="shared" ca="1" si="66"/>
        <v/>
      </c>
      <c r="B675" s="255"/>
      <c r="C675" s="256"/>
      <c r="D675" s="257" t="str">
        <f t="shared" si="67"/>
        <v/>
      </c>
      <c r="F675" s="257" t="str">
        <f t="shared" si="68"/>
        <v/>
      </c>
      <c r="G675" s="257" t="str">
        <f t="shared" si="69"/>
        <v/>
      </c>
      <c r="H675" s="257" t="str">
        <f t="shared" si="70"/>
        <v/>
      </c>
    </row>
    <row r="676" spans="1:8" x14ac:dyDescent="0.25">
      <c r="A676" s="254" t="str">
        <f t="shared" ca="1" si="66"/>
        <v/>
      </c>
      <c r="B676" s="255"/>
      <c r="C676" s="256"/>
      <c r="D676" s="257" t="str">
        <f t="shared" si="67"/>
        <v/>
      </c>
      <c r="F676" s="257" t="str">
        <f t="shared" si="68"/>
        <v/>
      </c>
      <c r="G676" s="257" t="str">
        <f t="shared" si="69"/>
        <v/>
      </c>
      <c r="H676" s="257" t="str">
        <f t="shared" si="70"/>
        <v/>
      </c>
    </row>
    <row r="677" spans="1:8" x14ac:dyDescent="0.25">
      <c r="A677" s="254" t="str">
        <f t="shared" ca="1" si="66"/>
        <v/>
      </c>
      <c r="B677" s="255"/>
      <c r="C677" s="256"/>
      <c r="D677" s="257" t="str">
        <f t="shared" si="67"/>
        <v/>
      </c>
      <c r="F677" s="257" t="str">
        <f t="shared" si="68"/>
        <v/>
      </c>
      <c r="G677" s="257" t="str">
        <f t="shared" si="69"/>
        <v/>
      </c>
      <c r="H677" s="257" t="str">
        <f t="shared" si="70"/>
        <v/>
      </c>
    </row>
    <row r="678" spans="1:8" x14ac:dyDescent="0.25">
      <c r="A678" s="254" t="str">
        <f t="shared" ca="1" si="66"/>
        <v/>
      </c>
      <c r="B678" s="255"/>
      <c r="C678" s="256"/>
      <c r="D678" s="257" t="str">
        <f t="shared" si="67"/>
        <v/>
      </c>
      <c r="F678" s="257" t="str">
        <f t="shared" si="68"/>
        <v/>
      </c>
      <c r="G678" s="257" t="str">
        <f t="shared" si="69"/>
        <v/>
      </c>
      <c r="H678" s="257" t="str">
        <f t="shared" si="70"/>
        <v/>
      </c>
    </row>
    <row r="679" spans="1:8" x14ac:dyDescent="0.25">
      <c r="A679" s="254" t="str">
        <f t="shared" ca="1" si="66"/>
        <v/>
      </c>
      <c r="B679" s="255"/>
      <c r="C679" s="256"/>
      <c r="D679" s="257" t="str">
        <f t="shared" si="67"/>
        <v/>
      </c>
      <c r="F679" s="257" t="str">
        <f t="shared" si="68"/>
        <v/>
      </c>
      <c r="G679" s="257" t="str">
        <f t="shared" si="69"/>
        <v/>
      </c>
      <c r="H679" s="257" t="str">
        <f t="shared" si="70"/>
        <v/>
      </c>
    </row>
    <row r="680" spans="1:8" x14ac:dyDescent="0.25">
      <c r="A680" s="254" t="str">
        <f t="shared" ca="1" si="66"/>
        <v/>
      </c>
      <c r="B680" s="255"/>
      <c r="C680" s="256"/>
      <c r="D680" s="257" t="str">
        <f t="shared" si="67"/>
        <v/>
      </c>
      <c r="F680" s="257" t="str">
        <f t="shared" si="68"/>
        <v/>
      </c>
      <c r="G680" s="257" t="str">
        <f t="shared" si="69"/>
        <v/>
      </c>
      <c r="H680" s="257" t="str">
        <f t="shared" si="70"/>
        <v/>
      </c>
    </row>
    <row r="681" spans="1:8" x14ac:dyDescent="0.25">
      <c r="A681" s="254" t="str">
        <f t="shared" ref="A681:A744" ca="1" si="71">IF(OR(H680&lt;=0,H680=""),"",OFFSET(A681,-1,0,1,1)+1)</f>
        <v/>
      </c>
      <c r="B681" s="255"/>
      <c r="C681" s="256"/>
      <c r="D681" s="257" t="str">
        <f t="shared" si="67"/>
        <v/>
      </c>
      <c r="F681" s="257" t="str">
        <f t="shared" si="68"/>
        <v/>
      </c>
      <c r="G681" s="257" t="str">
        <f t="shared" si="69"/>
        <v/>
      </c>
      <c r="H681" s="257" t="str">
        <f t="shared" si="70"/>
        <v/>
      </c>
    </row>
    <row r="682" spans="1:8" x14ac:dyDescent="0.25">
      <c r="A682" s="254" t="str">
        <f t="shared" ca="1" si="71"/>
        <v/>
      </c>
      <c r="B682" s="255"/>
      <c r="C682" s="256"/>
      <c r="D682" s="257" t="str">
        <f t="shared" si="67"/>
        <v/>
      </c>
      <c r="F682" s="257" t="str">
        <f t="shared" si="68"/>
        <v/>
      </c>
      <c r="G682" s="257" t="str">
        <f t="shared" si="69"/>
        <v/>
      </c>
      <c r="H682" s="257" t="str">
        <f t="shared" si="70"/>
        <v/>
      </c>
    </row>
    <row r="683" spans="1:8" x14ac:dyDescent="0.25">
      <c r="A683" s="254" t="str">
        <f t="shared" ca="1" si="71"/>
        <v/>
      </c>
      <c r="B683" s="255"/>
      <c r="C683" s="256"/>
      <c r="D683" s="257" t="str">
        <f t="shared" si="67"/>
        <v/>
      </c>
      <c r="F683" s="257" t="str">
        <f t="shared" si="68"/>
        <v/>
      </c>
      <c r="G683" s="257" t="str">
        <f t="shared" si="69"/>
        <v/>
      </c>
      <c r="H683" s="257" t="str">
        <f t="shared" si="70"/>
        <v/>
      </c>
    </row>
    <row r="684" spans="1:8" x14ac:dyDescent="0.25">
      <c r="A684" s="254" t="str">
        <f t="shared" ca="1" si="71"/>
        <v/>
      </c>
      <c r="B684" s="255"/>
      <c r="C684" s="256"/>
      <c r="D684" s="257" t="str">
        <f t="shared" si="67"/>
        <v/>
      </c>
      <c r="F684" s="257" t="str">
        <f t="shared" si="68"/>
        <v/>
      </c>
      <c r="G684" s="257" t="str">
        <f t="shared" si="69"/>
        <v/>
      </c>
      <c r="H684" s="257" t="str">
        <f t="shared" si="70"/>
        <v/>
      </c>
    </row>
    <row r="685" spans="1:8" x14ac:dyDescent="0.25">
      <c r="A685" s="254" t="str">
        <f t="shared" ca="1" si="71"/>
        <v/>
      </c>
      <c r="B685" s="255"/>
      <c r="C685" s="256"/>
      <c r="D685" s="257" t="str">
        <f t="shared" si="67"/>
        <v/>
      </c>
      <c r="F685" s="257" t="str">
        <f t="shared" si="68"/>
        <v/>
      </c>
      <c r="G685" s="257" t="str">
        <f t="shared" si="69"/>
        <v/>
      </c>
      <c r="H685" s="257" t="str">
        <f t="shared" si="70"/>
        <v/>
      </c>
    </row>
    <row r="686" spans="1:8" x14ac:dyDescent="0.25">
      <c r="A686" s="254" t="str">
        <f t="shared" ca="1" si="71"/>
        <v/>
      </c>
      <c r="B686" s="255"/>
      <c r="C686" s="256"/>
      <c r="D686" s="257" t="str">
        <f t="shared" si="67"/>
        <v/>
      </c>
      <c r="F686" s="257" t="str">
        <f t="shared" si="68"/>
        <v/>
      </c>
      <c r="G686" s="257" t="str">
        <f t="shared" si="69"/>
        <v/>
      </c>
      <c r="H686" s="257" t="str">
        <f t="shared" si="70"/>
        <v/>
      </c>
    </row>
    <row r="687" spans="1:8" x14ac:dyDescent="0.25">
      <c r="A687" s="254" t="str">
        <f t="shared" ca="1" si="71"/>
        <v/>
      </c>
      <c r="B687" s="255"/>
      <c r="C687" s="256"/>
      <c r="D687" s="257" t="str">
        <f t="shared" si="67"/>
        <v/>
      </c>
      <c r="F687" s="257" t="str">
        <f t="shared" si="68"/>
        <v/>
      </c>
      <c r="G687" s="257" t="str">
        <f t="shared" si="69"/>
        <v/>
      </c>
      <c r="H687" s="257" t="str">
        <f t="shared" si="70"/>
        <v/>
      </c>
    </row>
    <row r="688" spans="1:8" x14ac:dyDescent="0.25">
      <c r="A688" s="254" t="str">
        <f t="shared" ca="1" si="71"/>
        <v/>
      </c>
      <c r="B688" s="255"/>
      <c r="C688" s="256"/>
      <c r="D688" s="257" t="str">
        <f t="shared" si="67"/>
        <v/>
      </c>
      <c r="F688" s="257" t="str">
        <f t="shared" si="68"/>
        <v/>
      </c>
      <c r="G688" s="257" t="str">
        <f t="shared" si="69"/>
        <v/>
      </c>
      <c r="H688" s="257" t="str">
        <f t="shared" si="70"/>
        <v/>
      </c>
    </row>
    <row r="689" spans="1:8" x14ac:dyDescent="0.25">
      <c r="A689" s="254" t="str">
        <f t="shared" ca="1" si="71"/>
        <v/>
      </c>
      <c r="B689" s="255"/>
      <c r="C689" s="256"/>
      <c r="D689" s="257" t="str">
        <f t="shared" si="67"/>
        <v/>
      </c>
      <c r="F689" s="257" t="str">
        <f t="shared" si="68"/>
        <v/>
      </c>
      <c r="G689" s="257" t="str">
        <f t="shared" si="69"/>
        <v/>
      </c>
      <c r="H689" s="257" t="str">
        <f t="shared" si="70"/>
        <v/>
      </c>
    </row>
    <row r="690" spans="1:8" x14ac:dyDescent="0.25">
      <c r="A690" s="254" t="str">
        <f t="shared" ca="1" si="71"/>
        <v/>
      </c>
      <c r="B690" s="255"/>
      <c r="C690" s="256"/>
      <c r="D690" s="257" t="str">
        <f t="shared" si="67"/>
        <v/>
      </c>
      <c r="F690" s="257" t="str">
        <f t="shared" si="68"/>
        <v/>
      </c>
      <c r="G690" s="257" t="str">
        <f t="shared" si="69"/>
        <v/>
      </c>
      <c r="H690" s="257" t="str">
        <f t="shared" si="70"/>
        <v/>
      </c>
    </row>
    <row r="691" spans="1:8" x14ac:dyDescent="0.25">
      <c r="A691" s="254" t="str">
        <f t="shared" ca="1" si="71"/>
        <v/>
      </c>
      <c r="B691" s="255"/>
      <c r="C691" s="256"/>
      <c r="D691" s="257" t="str">
        <f t="shared" si="67"/>
        <v/>
      </c>
      <c r="F691" s="257" t="str">
        <f t="shared" si="68"/>
        <v/>
      </c>
      <c r="G691" s="257" t="str">
        <f t="shared" si="69"/>
        <v/>
      </c>
      <c r="H691" s="257" t="str">
        <f t="shared" si="70"/>
        <v/>
      </c>
    </row>
    <row r="692" spans="1:8" x14ac:dyDescent="0.25">
      <c r="A692" s="254" t="str">
        <f t="shared" ca="1" si="71"/>
        <v/>
      </c>
      <c r="B692" s="255"/>
      <c r="C692" s="256"/>
      <c r="D692" s="257" t="str">
        <f t="shared" si="67"/>
        <v/>
      </c>
      <c r="F692" s="257" t="str">
        <f t="shared" si="68"/>
        <v/>
      </c>
      <c r="G692" s="257" t="str">
        <f t="shared" si="69"/>
        <v/>
      </c>
      <c r="H692" s="257" t="str">
        <f t="shared" si="70"/>
        <v/>
      </c>
    </row>
    <row r="693" spans="1:8" x14ac:dyDescent="0.25">
      <c r="A693" s="254" t="str">
        <f t="shared" ca="1" si="71"/>
        <v/>
      </c>
      <c r="B693" s="255"/>
      <c r="C693" s="256"/>
      <c r="D693" s="257" t="str">
        <f t="shared" si="67"/>
        <v/>
      </c>
      <c r="F693" s="257" t="str">
        <f t="shared" si="68"/>
        <v/>
      </c>
      <c r="G693" s="257" t="str">
        <f t="shared" si="69"/>
        <v/>
      </c>
      <c r="H693" s="257" t="str">
        <f t="shared" si="70"/>
        <v/>
      </c>
    </row>
    <row r="694" spans="1:8" x14ac:dyDescent="0.25">
      <c r="A694" s="254" t="str">
        <f t="shared" ca="1" si="71"/>
        <v/>
      </c>
      <c r="B694" s="255"/>
      <c r="C694" s="256"/>
      <c r="D694" s="257" t="str">
        <f t="shared" si="67"/>
        <v/>
      </c>
      <c r="F694" s="257" t="str">
        <f t="shared" si="68"/>
        <v/>
      </c>
      <c r="G694" s="257" t="str">
        <f t="shared" si="69"/>
        <v/>
      </c>
      <c r="H694" s="257" t="str">
        <f t="shared" si="70"/>
        <v/>
      </c>
    </row>
    <row r="695" spans="1:8" x14ac:dyDescent="0.25">
      <c r="A695" s="254" t="str">
        <f t="shared" ca="1" si="71"/>
        <v/>
      </c>
      <c r="B695" s="255"/>
      <c r="C695" s="256"/>
      <c r="D695" s="257" t="str">
        <f t="shared" si="67"/>
        <v/>
      </c>
      <c r="F695" s="257" t="str">
        <f t="shared" si="68"/>
        <v/>
      </c>
      <c r="G695" s="257" t="str">
        <f t="shared" si="69"/>
        <v/>
      </c>
      <c r="H695" s="257" t="str">
        <f t="shared" si="70"/>
        <v/>
      </c>
    </row>
    <row r="696" spans="1:8" x14ac:dyDescent="0.25">
      <c r="A696" s="254" t="str">
        <f t="shared" ca="1" si="71"/>
        <v/>
      </c>
      <c r="B696" s="255"/>
      <c r="C696" s="256"/>
      <c r="D696" s="257" t="str">
        <f t="shared" si="67"/>
        <v/>
      </c>
      <c r="F696" s="257" t="str">
        <f t="shared" si="68"/>
        <v/>
      </c>
      <c r="G696" s="257" t="str">
        <f t="shared" si="69"/>
        <v/>
      </c>
      <c r="H696" s="257" t="str">
        <f t="shared" si="70"/>
        <v/>
      </c>
    </row>
    <row r="697" spans="1:8" x14ac:dyDescent="0.25">
      <c r="A697" s="254" t="str">
        <f t="shared" ca="1" si="71"/>
        <v/>
      </c>
      <c r="B697" s="255"/>
      <c r="C697" s="256"/>
      <c r="D697" s="257" t="str">
        <f t="shared" si="67"/>
        <v/>
      </c>
      <c r="F697" s="257" t="str">
        <f t="shared" si="68"/>
        <v/>
      </c>
      <c r="G697" s="257" t="str">
        <f t="shared" si="69"/>
        <v/>
      </c>
      <c r="H697" s="257" t="str">
        <f t="shared" si="70"/>
        <v/>
      </c>
    </row>
    <row r="698" spans="1:8" x14ac:dyDescent="0.25">
      <c r="A698" s="254" t="str">
        <f t="shared" ca="1" si="71"/>
        <v/>
      </c>
      <c r="B698" s="255"/>
      <c r="C698" s="256"/>
      <c r="D698" s="257" t="str">
        <f t="shared" si="67"/>
        <v/>
      </c>
      <c r="F698" s="257" t="str">
        <f t="shared" si="68"/>
        <v/>
      </c>
      <c r="G698" s="257" t="str">
        <f t="shared" si="69"/>
        <v/>
      </c>
      <c r="H698" s="257" t="str">
        <f t="shared" si="70"/>
        <v/>
      </c>
    </row>
    <row r="699" spans="1:8" x14ac:dyDescent="0.25">
      <c r="A699" s="254" t="str">
        <f t="shared" ca="1" si="71"/>
        <v/>
      </c>
      <c r="B699" s="255"/>
      <c r="C699" s="256"/>
      <c r="D699" s="257" t="str">
        <f t="shared" si="67"/>
        <v/>
      </c>
      <c r="F699" s="257" t="str">
        <f t="shared" si="68"/>
        <v/>
      </c>
      <c r="G699" s="257" t="str">
        <f t="shared" si="69"/>
        <v/>
      </c>
      <c r="H699" s="257" t="str">
        <f t="shared" si="70"/>
        <v/>
      </c>
    </row>
    <row r="700" spans="1:8" x14ac:dyDescent="0.25">
      <c r="A700" s="254" t="str">
        <f t="shared" ca="1" si="71"/>
        <v/>
      </c>
      <c r="B700" s="255"/>
      <c r="C700" s="256"/>
      <c r="D700" s="257" t="str">
        <f t="shared" si="67"/>
        <v/>
      </c>
      <c r="F700" s="257" t="str">
        <f t="shared" si="68"/>
        <v/>
      </c>
      <c r="G700" s="257" t="str">
        <f t="shared" si="69"/>
        <v/>
      </c>
      <c r="H700" s="257" t="str">
        <f t="shared" si="70"/>
        <v/>
      </c>
    </row>
    <row r="701" spans="1:8" x14ac:dyDescent="0.25">
      <c r="A701" s="254" t="str">
        <f t="shared" ca="1" si="71"/>
        <v/>
      </c>
      <c r="B701" s="255"/>
      <c r="C701" s="256"/>
      <c r="D701" s="257" t="str">
        <f t="shared" si="67"/>
        <v/>
      </c>
      <c r="F701" s="257" t="str">
        <f t="shared" si="68"/>
        <v/>
      </c>
      <c r="G701" s="257" t="str">
        <f t="shared" si="69"/>
        <v/>
      </c>
      <c r="H701" s="257" t="str">
        <f t="shared" si="70"/>
        <v/>
      </c>
    </row>
    <row r="702" spans="1:8" x14ac:dyDescent="0.25">
      <c r="A702" s="254" t="str">
        <f t="shared" ca="1" si="71"/>
        <v/>
      </c>
      <c r="B702" s="255"/>
      <c r="C702" s="256"/>
      <c r="D702" s="257" t="str">
        <f t="shared" si="67"/>
        <v/>
      </c>
      <c r="F702" s="257" t="str">
        <f t="shared" si="68"/>
        <v/>
      </c>
      <c r="G702" s="257" t="str">
        <f t="shared" si="69"/>
        <v/>
      </c>
      <c r="H702" s="257" t="str">
        <f t="shared" si="70"/>
        <v/>
      </c>
    </row>
    <row r="703" spans="1:8" x14ac:dyDescent="0.25">
      <c r="A703" s="254" t="str">
        <f t="shared" ca="1" si="71"/>
        <v/>
      </c>
      <c r="B703" s="255"/>
      <c r="C703" s="256"/>
      <c r="D703" s="257" t="str">
        <f t="shared" si="67"/>
        <v/>
      </c>
      <c r="F703" s="257" t="str">
        <f t="shared" si="68"/>
        <v/>
      </c>
      <c r="G703" s="257" t="str">
        <f t="shared" si="69"/>
        <v/>
      </c>
      <c r="H703" s="257" t="str">
        <f t="shared" si="70"/>
        <v/>
      </c>
    </row>
    <row r="704" spans="1:8" x14ac:dyDescent="0.25">
      <c r="A704" s="254" t="str">
        <f t="shared" ca="1" si="71"/>
        <v/>
      </c>
      <c r="B704" s="255"/>
      <c r="C704" s="256"/>
      <c r="D704" s="257" t="str">
        <f t="shared" si="67"/>
        <v/>
      </c>
      <c r="F704" s="257" t="str">
        <f t="shared" si="68"/>
        <v/>
      </c>
      <c r="G704" s="257" t="str">
        <f t="shared" si="69"/>
        <v/>
      </c>
      <c r="H704" s="257" t="str">
        <f t="shared" si="70"/>
        <v/>
      </c>
    </row>
    <row r="705" spans="1:8" x14ac:dyDescent="0.25">
      <c r="A705" s="254" t="str">
        <f t="shared" ca="1" si="71"/>
        <v/>
      </c>
      <c r="B705" s="255"/>
      <c r="C705" s="256"/>
      <c r="D705" s="257" t="str">
        <f t="shared" si="67"/>
        <v/>
      </c>
      <c r="F705" s="257" t="str">
        <f t="shared" si="68"/>
        <v/>
      </c>
      <c r="G705" s="257" t="str">
        <f t="shared" si="69"/>
        <v/>
      </c>
      <c r="H705" s="257" t="str">
        <f t="shared" si="70"/>
        <v/>
      </c>
    </row>
    <row r="706" spans="1:8" x14ac:dyDescent="0.25">
      <c r="A706" s="254" t="str">
        <f t="shared" ca="1" si="71"/>
        <v/>
      </c>
      <c r="B706" s="255"/>
      <c r="C706" s="256"/>
      <c r="D706" s="257" t="str">
        <f t="shared" si="67"/>
        <v/>
      </c>
      <c r="F706" s="257" t="str">
        <f t="shared" si="68"/>
        <v/>
      </c>
      <c r="G706" s="257" t="str">
        <f t="shared" si="69"/>
        <v/>
      </c>
      <c r="H706" s="257" t="str">
        <f t="shared" si="70"/>
        <v/>
      </c>
    </row>
    <row r="707" spans="1:8" x14ac:dyDescent="0.25">
      <c r="A707" s="254" t="str">
        <f t="shared" ca="1" si="71"/>
        <v/>
      </c>
      <c r="B707" s="255"/>
      <c r="C707" s="256"/>
      <c r="D707" s="257" t="str">
        <f t="shared" si="67"/>
        <v/>
      </c>
      <c r="F707" s="257" t="str">
        <f t="shared" si="68"/>
        <v/>
      </c>
      <c r="G707" s="257" t="str">
        <f t="shared" si="69"/>
        <v/>
      </c>
      <c r="H707" s="257" t="str">
        <f t="shared" si="70"/>
        <v/>
      </c>
    </row>
    <row r="708" spans="1:8" x14ac:dyDescent="0.25">
      <c r="A708" s="254" t="str">
        <f t="shared" ca="1" si="71"/>
        <v/>
      </c>
      <c r="B708" s="255"/>
      <c r="C708" s="256"/>
      <c r="D708" s="257" t="str">
        <f t="shared" si="67"/>
        <v/>
      </c>
      <c r="F708" s="257" t="str">
        <f t="shared" si="68"/>
        <v/>
      </c>
      <c r="G708" s="257" t="str">
        <f t="shared" si="69"/>
        <v/>
      </c>
      <c r="H708" s="257" t="str">
        <f t="shared" si="70"/>
        <v/>
      </c>
    </row>
    <row r="709" spans="1:8" x14ac:dyDescent="0.25">
      <c r="A709" s="254" t="str">
        <f t="shared" ca="1" si="71"/>
        <v/>
      </c>
      <c r="B709" s="255"/>
      <c r="C709" s="256"/>
      <c r="D709" s="257" t="str">
        <f t="shared" si="67"/>
        <v/>
      </c>
      <c r="F709" s="257" t="str">
        <f t="shared" si="68"/>
        <v/>
      </c>
      <c r="G709" s="257" t="str">
        <f t="shared" si="69"/>
        <v/>
      </c>
      <c r="H709" s="257" t="str">
        <f t="shared" si="70"/>
        <v/>
      </c>
    </row>
    <row r="710" spans="1:8" x14ac:dyDescent="0.25">
      <c r="A710" s="254" t="str">
        <f t="shared" ca="1" si="71"/>
        <v/>
      </c>
      <c r="B710" s="255"/>
      <c r="C710" s="256"/>
      <c r="D710" s="257" t="str">
        <f t="shared" si="67"/>
        <v/>
      </c>
      <c r="F710" s="257" t="str">
        <f t="shared" si="68"/>
        <v/>
      </c>
      <c r="G710" s="257" t="str">
        <f t="shared" si="69"/>
        <v/>
      </c>
      <c r="H710" s="257" t="str">
        <f t="shared" si="70"/>
        <v/>
      </c>
    </row>
    <row r="711" spans="1:8" x14ac:dyDescent="0.25">
      <c r="A711" s="254" t="str">
        <f t="shared" ca="1" si="71"/>
        <v/>
      </c>
      <c r="B711" s="255"/>
      <c r="C711" s="256"/>
      <c r="D711" s="257" t="str">
        <f t="shared" si="67"/>
        <v/>
      </c>
      <c r="F711" s="257" t="str">
        <f t="shared" si="68"/>
        <v/>
      </c>
      <c r="G711" s="257" t="str">
        <f t="shared" si="69"/>
        <v/>
      </c>
      <c r="H711" s="257" t="str">
        <f t="shared" si="70"/>
        <v/>
      </c>
    </row>
    <row r="712" spans="1:8" x14ac:dyDescent="0.25">
      <c r="A712" s="254" t="str">
        <f t="shared" ca="1" si="71"/>
        <v/>
      </c>
      <c r="B712" s="255"/>
      <c r="C712" s="256"/>
      <c r="D712" s="257" t="str">
        <f t="shared" si="67"/>
        <v/>
      </c>
      <c r="F712" s="257" t="str">
        <f t="shared" si="68"/>
        <v/>
      </c>
      <c r="G712" s="257" t="str">
        <f t="shared" si="69"/>
        <v/>
      </c>
      <c r="H712" s="257" t="str">
        <f t="shared" si="70"/>
        <v/>
      </c>
    </row>
    <row r="713" spans="1:8" x14ac:dyDescent="0.25">
      <c r="A713" s="254" t="str">
        <f t="shared" ca="1" si="71"/>
        <v/>
      </c>
      <c r="B713" s="255"/>
      <c r="C713" s="256"/>
      <c r="D713" s="257" t="str">
        <f t="shared" si="67"/>
        <v/>
      </c>
      <c r="F713" s="257" t="str">
        <f t="shared" si="68"/>
        <v/>
      </c>
      <c r="G713" s="257" t="str">
        <f t="shared" si="69"/>
        <v/>
      </c>
      <c r="H713" s="257" t="str">
        <f t="shared" si="70"/>
        <v/>
      </c>
    </row>
    <row r="714" spans="1:8" x14ac:dyDescent="0.25">
      <c r="A714" s="254" t="str">
        <f t="shared" ca="1" si="71"/>
        <v/>
      </c>
      <c r="B714" s="255"/>
      <c r="C714" s="256"/>
      <c r="D714" s="257" t="str">
        <f t="shared" si="67"/>
        <v/>
      </c>
      <c r="F714" s="257" t="str">
        <f t="shared" si="68"/>
        <v/>
      </c>
      <c r="G714" s="257" t="str">
        <f t="shared" si="69"/>
        <v/>
      </c>
      <c r="H714" s="257" t="str">
        <f t="shared" si="70"/>
        <v/>
      </c>
    </row>
    <row r="715" spans="1:8" x14ac:dyDescent="0.25">
      <c r="A715" s="254" t="str">
        <f t="shared" ca="1" si="71"/>
        <v/>
      </c>
      <c r="B715" s="255"/>
      <c r="C715" s="256"/>
      <c r="D715" s="257" t="str">
        <f t="shared" si="67"/>
        <v/>
      </c>
      <c r="F715" s="257" t="str">
        <f t="shared" si="68"/>
        <v/>
      </c>
      <c r="G715" s="257" t="str">
        <f t="shared" si="69"/>
        <v/>
      </c>
      <c r="H715" s="257" t="str">
        <f t="shared" si="70"/>
        <v/>
      </c>
    </row>
    <row r="716" spans="1:8" x14ac:dyDescent="0.25">
      <c r="A716" s="254" t="str">
        <f t="shared" ca="1" si="71"/>
        <v/>
      </c>
      <c r="B716" s="255"/>
      <c r="C716" s="256"/>
      <c r="D716" s="257" t="str">
        <f t="shared" si="67"/>
        <v/>
      </c>
      <c r="F716" s="257" t="str">
        <f t="shared" si="68"/>
        <v/>
      </c>
      <c r="G716" s="257" t="str">
        <f t="shared" si="69"/>
        <v/>
      </c>
      <c r="H716" s="257" t="str">
        <f t="shared" si="70"/>
        <v/>
      </c>
    </row>
    <row r="717" spans="1:8" x14ac:dyDescent="0.25">
      <c r="A717" s="254" t="str">
        <f t="shared" ca="1" si="71"/>
        <v/>
      </c>
      <c r="B717" s="255"/>
      <c r="C717" s="256"/>
      <c r="D717" s="257" t="str">
        <f t="shared" si="67"/>
        <v/>
      </c>
      <c r="F717" s="257" t="str">
        <f t="shared" si="68"/>
        <v/>
      </c>
      <c r="G717" s="257" t="str">
        <f t="shared" si="69"/>
        <v/>
      </c>
      <c r="H717" s="257" t="str">
        <f t="shared" si="70"/>
        <v/>
      </c>
    </row>
    <row r="718" spans="1:8" x14ac:dyDescent="0.25">
      <c r="A718" s="254" t="str">
        <f t="shared" ca="1" si="71"/>
        <v/>
      </c>
      <c r="B718" s="255"/>
      <c r="C718" s="256"/>
      <c r="D718" s="257" t="str">
        <f t="shared" si="67"/>
        <v/>
      </c>
      <c r="F718" s="257" t="str">
        <f t="shared" si="68"/>
        <v/>
      </c>
      <c r="G718" s="257" t="str">
        <f t="shared" si="69"/>
        <v/>
      </c>
      <c r="H718" s="257" t="str">
        <f t="shared" si="70"/>
        <v/>
      </c>
    </row>
    <row r="719" spans="1:8" x14ac:dyDescent="0.25">
      <c r="A719" s="254" t="str">
        <f t="shared" ca="1" si="71"/>
        <v/>
      </c>
      <c r="B719" s="255"/>
      <c r="C719" s="256"/>
      <c r="D719" s="257" t="str">
        <f t="shared" si="67"/>
        <v/>
      </c>
      <c r="F719" s="257" t="str">
        <f t="shared" si="68"/>
        <v/>
      </c>
      <c r="G719" s="257" t="str">
        <f t="shared" si="69"/>
        <v/>
      </c>
      <c r="H719" s="257" t="str">
        <f t="shared" si="70"/>
        <v/>
      </c>
    </row>
    <row r="720" spans="1:8" x14ac:dyDescent="0.25">
      <c r="A720" s="254" t="str">
        <f t="shared" ca="1" si="71"/>
        <v/>
      </c>
      <c r="B720" s="255"/>
      <c r="C720" s="256"/>
      <c r="D720" s="257" t="str">
        <f t="shared" si="67"/>
        <v/>
      </c>
      <c r="F720" s="257" t="str">
        <f t="shared" si="68"/>
        <v/>
      </c>
      <c r="G720" s="257" t="str">
        <f t="shared" si="69"/>
        <v/>
      </c>
      <c r="H720" s="257" t="str">
        <f t="shared" si="70"/>
        <v/>
      </c>
    </row>
    <row r="721" spans="1:8" x14ac:dyDescent="0.25">
      <c r="A721" s="254" t="str">
        <f t="shared" ca="1" si="71"/>
        <v/>
      </c>
      <c r="B721" s="255"/>
      <c r="C721" s="256"/>
      <c r="D721" s="257" t="str">
        <f t="shared" si="67"/>
        <v/>
      </c>
      <c r="F721" s="257" t="str">
        <f t="shared" si="68"/>
        <v/>
      </c>
      <c r="G721" s="257" t="str">
        <f t="shared" si="69"/>
        <v/>
      </c>
      <c r="H721" s="257" t="str">
        <f t="shared" si="70"/>
        <v/>
      </c>
    </row>
    <row r="722" spans="1:8" x14ac:dyDescent="0.25">
      <c r="A722" s="254" t="str">
        <f t="shared" ca="1" si="71"/>
        <v/>
      </c>
      <c r="B722" s="255"/>
      <c r="C722" s="256"/>
      <c r="D722" s="257" t="str">
        <f t="shared" si="67"/>
        <v/>
      </c>
      <c r="F722" s="257" t="str">
        <f t="shared" si="68"/>
        <v/>
      </c>
      <c r="G722" s="257" t="str">
        <f t="shared" si="69"/>
        <v/>
      </c>
      <c r="H722" s="257" t="str">
        <f t="shared" si="70"/>
        <v/>
      </c>
    </row>
    <row r="723" spans="1:8" x14ac:dyDescent="0.25">
      <c r="A723" s="254" t="str">
        <f t="shared" ca="1" si="71"/>
        <v/>
      </c>
      <c r="B723" s="255"/>
      <c r="C723" s="256"/>
      <c r="D723" s="257" t="str">
        <f t="shared" ref="D723:D786" si="72">IF(B723="","",ROUND((B723-B722)*$H$9*G722,2))</f>
        <v/>
      </c>
      <c r="F723" s="257" t="str">
        <f t="shared" ref="F723:F786" si="73">IF(B723="","",IF(C723&gt;F722+D723,0,F722+D723-C723))</f>
        <v/>
      </c>
      <c r="G723" s="257" t="str">
        <f t="shared" ref="G723:G786" si="74">IF(B723="","",IF(C723&gt;D723+F722,G722+F722+D723-C723,G722))</f>
        <v/>
      </c>
      <c r="H723" s="257" t="str">
        <f t="shared" ref="H723:H786" si="75">IF(B723="","",G723+F723)</f>
        <v/>
      </c>
    </row>
    <row r="724" spans="1:8" x14ac:dyDescent="0.25">
      <c r="A724" s="254" t="str">
        <f t="shared" ca="1" si="71"/>
        <v/>
      </c>
      <c r="B724" s="255"/>
      <c r="C724" s="256"/>
      <c r="D724" s="257" t="str">
        <f t="shared" si="72"/>
        <v/>
      </c>
      <c r="F724" s="257" t="str">
        <f t="shared" si="73"/>
        <v/>
      </c>
      <c r="G724" s="257" t="str">
        <f t="shared" si="74"/>
        <v/>
      </c>
      <c r="H724" s="257" t="str">
        <f t="shared" si="75"/>
        <v/>
      </c>
    </row>
    <row r="725" spans="1:8" x14ac:dyDescent="0.25">
      <c r="A725" s="254" t="str">
        <f t="shared" ca="1" si="71"/>
        <v/>
      </c>
      <c r="B725" s="255"/>
      <c r="C725" s="256"/>
      <c r="D725" s="257" t="str">
        <f t="shared" si="72"/>
        <v/>
      </c>
      <c r="F725" s="257" t="str">
        <f t="shared" si="73"/>
        <v/>
      </c>
      <c r="G725" s="257" t="str">
        <f t="shared" si="74"/>
        <v/>
      </c>
      <c r="H725" s="257" t="str">
        <f t="shared" si="75"/>
        <v/>
      </c>
    </row>
    <row r="726" spans="1:8" x14ac:dyDescent="0.25">
      <c r="A726" s="254" t="str">
        <f t="shared" ca="1" si="71"/>
        <v/>
      </c>
      <c r="B726" s="255"/>
      <c r="C726" s="256"/>
      <c r="D726" s="257" t="str">
        <f t="shared" si="72"/>
        <v/>
      </c>
      <c r="F726" s="257" t="str">
        <f t="shared" si="73"/>
        <v/>
      </c>
      <c r="G726" s="257" t="str">
        <f t="shared" si="74"/>
        <v/>
      </c>
      <c r="H726" s="257" t="str">
        <f t="shared" si="75"/>
        <v/>
      </c>
    </row>
    <row r="727" spans="1:8" x14ac:dyDescent="0.25">
      <c r="A727" s="254" t="str">
        <f t="shared" ca="1" si="71"/>
        <v/>
      </c>
      <c r="B727" s="255"/>
      <c r="C727" s="256"/>
      <c r="D727" s="257" t="str">
        <f t="shared" si="72"/>
        <v/>
      </c>
      <c r="F727" s="257" t="str">
        <f t="shared" si="73"/>
        <v/>
      </c>
      <c r="G727" s="257" t="str">
        <f t="shared" si="74"/>
        <v/>
      </c>
      <c r="H727" s="257" t="str">
        <f t="shared" si="75"/>
        <v/>
      </c>
    </row>
    <row r="728" spans="1:8" x14ac:dyDescent="0.25">
      <c r="A728" s="254" t="str">
        <f t="shared" ca="1" si="71"/>
        <v/>
      </c>
      <c r="B728" s="255"/>
      <c r="C728" s="256"/>
      <c r="D728" s="257" t="str">
        <f t="shared" si="72"/>
        <v/>
      </c>
      <c r="F728" s="257" t="str">
        <f t="shared" si="73"/>
        <v/>
      </c>
      <c r="G728" s="257" t="str">
        <f t="shared" si="74"/>
        <v/>
      </c>
      <c r="H728" s="257" t="str">
        <f t="shared" si="75"/>
        <v/>
      </c>
    </row>
    <row r="729" spans="1:8" x14ac:dyDescent="0.25">
      <c r="A729" s="254" t="str">
        <f t="shared" ca="1" si="71"/>
        <v/>
      </c>
      <c r="B729" s="255"/>
      <c r="C729" s="256"/>
      <c r="D729" s="257" t="str">
        <f t="shared" si="72"/>
        <v/>
      </c>
      <c r="F729" s="257" t="str">
        <f t="shared" si="73"/>
        <v/>
      </c>
      <c r="G729" s="257" t="str">
        <f t="shared" si="74"/>
        <v/>
      </c>
      <c r="H729" s="257" t="str">
        <f t="shared" si="75"/>
        <v/>
      </c>
    </row>
    <row r="730" spans="1:8" x14ac:dyDescent="0.25">
      <c r="A730" s="254" t="str">
        <f t="shared" ca="1" si="71"/>
        <v/>
      </c>
      <c r="B730" s="255"/>
      <c r="C730" s="256"/>
      <c r="D730" s="257" t="str">
        <f t="shared" si="72"/>
        <v/>
      </c>
      <c r="F730" s="257" t="str">
        <f t="shared" si="73"/>
        <v/>
      </c>
      <c r="G730" s="257" t="str">
        <f t="shared" si="74"/>
        <v/>
      </c>
      <c r="H730" s="257" t="str">
        <f t="shared" si="75"/>
        <v/>
      </c>
    </row>
    <row r="731" spans="1:8" x14ac:dyDescent="0.25">
      <c r="A731" s="254" t="str">
        <f t="shared" ca="1" si="71"/>
        <v/>
      </c>
      <c r="B731" s="255"/>
      <c r="C731" s="256"/>
      <c r="D731" s="257" t="str">
        <f t="shared" si="72"/>
        <v/>
      </c>
      <c r="F731" s="257" t="str">
        <f t="shared" si="73"/>
        <v/>
      </c>
      <c r="G731" s="257" t="str">
        <f t="shared" si="74"/>
        <v/>
      </c>
      <c r="H731" s="257" t="str">
        <f t="shared" si="75"/>
        <v/>
      </c>
    </row>
    <row r="732" spans="1:8" x14ac:dyDescent="0.25">
      <c r="A732" s="254" t="str">
        <f t="shared" ca="1" si="71"/>
        <v/>
      </c>
      <c r="B732" s="255"/>
      <c r="C732" s="256"/>
      <c r="D732" s="257" t="str">
        <f t="shared" si="72"/>
        <v/>
      </c>
      <c r="F732" s="257" t="str">
        <f t="shared" si="73"/>
        <v/>
      </c>
      <c r="G732" s="257" t="str">
        <f t="shared" si="74"/>
        <v/>
      </c>
      <c r="H732" s="257" t="str">
        <f t="shared" si="75"/>
        <v/>
      </c>
    </row>
    <row r="733" spans="1:8" x14ac:dyDescent="0.25">
      <c r="A733" s="254" t="str">
        <f t="shared" ca="1" si="71"/>
        <v/>
      </c>
      <c r="B733" s="255"/>
      <c r="C733" s="256"/>
      <c r="D733" s="257" t="str">
        <f t="shared" si="72"/>
        <v/>
      </c>
      <c r="F733" s="257" t="str">
        <f t="shared" si="73"/>
        <v/>
      </c>
      <c r="G733" s="257" t="str">
        <f t="shared" si="74"/>
        <v/>
      </c>
      <c r="H733" s="257" t="str">
        <f t="shared" si="75"/>
        <v/>
      </c>
    </row>
    <row r="734" spans="1:8" x14ac:dyDescent="0.25">
      <c r="A734" s="254" t="str">
        <f t="shared" ca="1" si="71"/>
        <v/>
      </c>
      <c r="B734" s="255"/>
      <c r="C734" s="256"/>
      <c r="D734" s="257" t="str">
        <f t="shared" si="72"/>
        <v/>
      </c>
      <c r="F734" s="257" t="str">
        <f t="shared" si="73"/>
        <v/>
      </c>
      <c r="G734" s="257" t="str">
        <f t="shared" si="74"/>
        <v/>
      </c>
      <c r="H734" s="257" t="str">
        <f t="shared" si="75"/>
        <v/>
      </c>
    </row>
    <row r="735" spans="1:8" x14ac:dyDescent="0.25">
      <c r="A735" s="254" t="str">
        <f t="shared" ca="1" si="71"/>
        <v/>
      </c>
      <c r="B735" s="255"/>
      <c r="C735" s="256"/>
      <c r="D735" s="257" t="str">
        <f t="shared" si="72"/>
        <v/>
      </c>
      <c r="F735" s="257" t="str">
        <f t="shared" si="73"/>
        <v/>
      </c>
      <c r="G735" s="257" t="str">
        <f t="shared" si="74"/>
        <v/>
      </c>
      <c r="H735" s="257" t="str">
        <f t="shared" si="75"/>
        <v/>
      </c>
    </row>
    <row r="736" spans="1:8" x14ac:dyDescent="0.25">
      <c r="A736" s="254" t="str">
        <f t="shared" ca="1" si="71"/>
        <v/>
      </c>
      <c r="B736" s="255"/>
      <c r="C736" s="256"/>
      <c r="D736" s="257" t="str">
        <f t="shared" si="72"/>
        <v/>
      </c>
      <c r="F736" s="257" t="str">
        <f t="shared" si="73"/>
        <v/>
      </c>
      <c r="G736" s="257" t="str">
        <f t="shared" si="74"/>
        <v/>
      </c>
      <c r="H736" s="257" t="str">
        <f t="shared" si="75"/>
        <v/>
      </c>
    </row>
    <row r="737" spans="1:8" x14ac:dyDescent="0.25">
      <c r="A737" s="254" t="str">
        <f t="shared" ca="1" si="71"/>
        <v/>
      </c>
      <c r="B737" s="255"/>
      <c r="C737" s="256"/>
      <c r="D737" s="257" t="str">
        <f t="shared" si="72"/>
        <v/>
      </c>
      <c r="F737" s="257" t="str">
        <f t="shared" si="73"/>
        <v/>
      </c>
      <c r="G737" s="257" t="str">
        <f t="shared" si="74"/>
        <v/>
      </c>
      <c r="H737" s="257" t="str">
        <f t="shared" si="75"/>
        <v/>
      </c>
    </row>
    <row r="738" spans="1:8" x14ac:dyDescent="0.25">
      <c r="A738" s="254" t="str">
        <f t="shared" ca="1" si="71"/>
        <v/>
      </c>
      <c r="B738" s="255"/>
      <c r="C738" s="256"/>
      <c r="D738" s="257" t="str">
        <f t="shared" si="72"/>
        <v/>
      </c>
      <c r="F738" s="257" t="str">
        <f t="shared" si="73"/>
        <v/>
      </c>
      <c r="G738" s="257" t="str">
        <f t="shared" si="74"/>
        <v/>
      </c>
      <c r="H738" s="257" t="str">
        <f t="shared" si="75"/>
        <v/>
      </c>
    </row>
    <row r="739" spans="1:8" x14ac:dyDescent="0.25">
      <c r="A739" s="254" t="str">
        <f t="shared" ca="1" si="71"/>
        <v/>
      </c>
      <c r="B739" s="255"/>
      <c r="C739" s="256"/>
      <c r="D739" s="257" t="str">
        <f t="shared" si="72"/>
        <v/>
      </c>
      <c r="F739" s="257" t="str">
        <f t="shared" si="73"/>
        <v/>
      </c>
      <c r="G739" s="257" t="str">
        <f t="shared" si="74"/>
        <v/>
      </c>
      <c r="H739" s="257" t="str">
        <f t="shared" si="75"/>
        <v/>
      </c>
    </row>
    <row r="740" spans="1:8" x14ac:dyDescent="0.25">
      <c r="A740" s="254" t="str">
        <f t="shared" ca="1" si="71"/>
        <v/>
      </c>
      <c r="B740" s="255"/>
      <c r="C740" s="256"/>
      <c r="D740" s="257" t="str">
        <f t="shared" si="72"/>
        <v/>
      </c>
      <c r="F740" s="257" t="str">
        <f t="shared" si="73"/>
        <v/>
      </c>
      <c r="G740" s="257" t="str">
        <f t="shared" si="74"/>
        <v/>
      </c>
      <c r="H740" s="257" t="str">
        <f t="shared" si="75"/>
        <v/>
      </c>
    </row>
    <row r="741" spans="1:8" x14ac:dyDescent="0.25">
      <c r="A741" s="254" t="str">
        <f t="shared" ca="1" si="71"/>
        <v/>
      </c>
      <c r="B741" s="255"/>
      <c r="C741" s="256"/>
      <c r="D741" s="257" t="str">
        <f t="shared" si="72"/>
        <v/>
      </c>
      <c r="F741" s="257" t="str">
        <f t="shared" si="73"/>
        <v/>
      </c>
      <c r="G741" s="257" t="str">
        <f t="shared" si="74"/>
        <v/>
      </c>
      <c r="H741" s="257" t="str">
        <f t="shared" si="75"/>
        <v/>
      </c>
    </row>
    <row r="742" spans="1:8" x14ac:dyDescent="0.25">
      <c r="A742" s="254" t="str">
        <f t="shared" ca="1" si="71"/>
        <v/>
      </c>
      <c r="B742" s="255"/>
      <c r="C742" s="256"/>
      <c r="D742" s="257" t="str">
        <f t="shared" si="72"/>
        <v/>
      </c>
      <c r="F742" s="257" t="str">
        <f t="shared" si="73"/>
        <v/>
      </c>
      <c r="G742" s="257" t="str">
        <f t="shared" si="74"/>
        <v/>
      </c>
      <c r="H742" s="257" t="str">
        <f t="shared" si="75"/>
        <v/>
      </c>
    </row>
    <row r="743" spans="1:8" x14ac:dyDescent="0.25">
      <c r="A743" s="254" t="str">
        <f t="shared" ca="1" si="71"/>
        <v/>
      </c>
      <c r="B743" s="255"/>
      <c r="C743" s="256"/>
      <c r="D743" s="257" t="str">
        <f t="shared" si="72"/>
        <v/>
      </c>
      <c r="F743" s="257" t="str">
        <f t="shared" si="73"/>
        <v/>
      </c>
      <c r="G743" s="257" t="str">
        <f t="shared" si="74"/>
        <v/>
      </c>
      <c r="H743" s="257" t="str">
        <f t="shared" si="75"/>
        <v/>
      </c>
    </row>
    <row r="744" spans="1:8" x14ac:dyDescent="0.25">
      <c r="A744" s="254" t="str">
        <f t="shared" ca="1" si="71"/>
        <v/>
      </c>
      <c r="B744" s="255"/>
      <c r="C744" s="256"/>
      <c r="D744" s="257" t="str">
        <f t="shared" si="72"/>
        <v/>
      </c>
      <c r="F744" s="257" t="str">
        <f t="shared" si="73"/>
        <v/>
      </c>
      <c r="G744" s="257" t="str">
        <f t="shared" si="74"/>
        <v/>
      </c>
      <c r="H744" s="257" t="str">
        <f t="shared" si="75"/>
        <v/>
      </c>
    </row>
    <row r="745" spans="1:8" x14ac:dyDescent="0.25">
      <c r="A745" s="254" t="str">
        <f t="shared" ref="A745:A798" ca="1" si="76">IF(OR(H744&lt;=0,H744=""),"",OFFSET(A745,-1,0,1,1)+1)</f>
        <v/>
      </c>
      <c r="B745" s="255"/>
      <c r="C745" s="256"/>
      <c r="D745" s="257" t="str">
        <f t="shared" si="72"/>
        <v/>
      </c>
      <c r="F745" s="257" t="str">
        <f t="shared" si="73"/>
        <v/>
      </c>
      <c r="G745" s="257" t="str">
        <f t="shared" si="74"/>
        <v/>
      </c>
      <c r="H745" s="257" t="str">
        <f t="shared" si="75"/>
        <v/>
      </c>
    </row>
    <row r="746" spans="1:8" x14ac:dyDescent="0.25">
      <c r="A746" s="254" t="str">
        <f t="shared" ca="1" si="76"/>
        <v/>
      </c>
      <c r="B746" s="255"/>
      <c r="C746" s="256"/>
      <c r="D746" s="257" t="str">
        <f t="shared" si="72"/>
        <v/>
      </c>
      <c r="F746" s="257" t="str">
        <f t="shared" si="73"/>
        <v/>
      </c>
      <c r="G746" s="257" t="str">
        <f t="shared" si="74"/>
        <v/>
      </c>
      <c r="H746" s="257" t="str">
        <f t="shared" si="75"/>
        <v/>
      </c>
    </row>
    <row r="747" spans="1:8" x14ac:dyDescent="0.25">
      <c r="A747" s="254" t="str">
        <f t="shared" ca="1" si="76"/>
        <v/>
      </c>
      <c r="B747" s="255"/>
      <c r="C747" s="256"/>
      <c r="D747" s="257" t="str">
        <f t="shared" si="72"/>
        <v/>
      </c>
      <c r="F747" s="257" t="str">
        <f t="shared" si="73"/>
        <v/>
      </c>
      <c r="G747" s="257" t="str">
        <f t="shared" si="74"/>
        <v/>
      </c>
      <c r="H747" s="257" t="str">
        <f t="shared" si="75"/>
        <v/>
      </c>
    </row>
    <row r="748" spans="1:8" x14ac:dyDescent="0.25">
      <c r="A748" s="254" t="str">
        <f t="shared" ca="1" si="76"/>
        <v/>
      </c>
      <c r="B748" s="255"/>
      <c r="C748" s="256"/>
      <c r="D748" s="257" t="str">
        <f t="shared" si="72"/>
        <v/>
      </c>
      <c r="F748" s="257" t="str">
        <f t="shared" si="73"/>
        <v/>
      </c>
      <c r="G748" s="257" t="str">
        <f t="shared" si="74"/>
        <v/>
      </c>
      <c r="H748" s="257" t="str">
        <f t="shared" si="75"/>
        <v/>
      </c>
    </row>
    <row r="749" spans="1:8" x14ac:dyDescent="0.25">
      <c r="A749" s="254" t="str">
        <f t="shared" ca="1" si="76"/>
        <v/>
      </c>
      <c r="B749" s="255"/>
      <c r="C749" s="256"/>
      <c r="D749" s="257" t="str">
        <f t="shared" si="72"/>
        <v/>
      </c>
      <c r="F749" s="257" t="str">
        <f t="shared" si="73"/>
        <v/>
      </c>
      <c r="G749" s="257" t="str">
        <f t="shared" si="74"/>
        <v/>
      </c>
      <c r="H749" s="257" t="str">
        <f t="shared" si="75"/>
        <v/>
      </c>
    </row>
    <row r="750" spans="1:8" x14ac:dyDescent="0.25">
      <c r="A750" s="254" t="str">
        <f t="shared" ca="1" si="76"/>
        <v/>
      </c>
      <c r="B750" s="255"/>
      <c r="C750" s="256"/>
      <c r="D750" s="257" t="str">
        <f t="shared" si="72"/>
        <v/>
      </c>
      <c r="F750" s="257" t="str">
        <f t="shared" si="73"/>
        <v/>
      </c>
      <c r="G750" s="257" t="str">
        <f t="shared" si="74"/>
        <v/>
      </c>
      <c r="H750" s="257" t="str">
        <f t="shared" si="75"/>
        <v/>
      </c>
    </row>
    <row r="751" spans="1:8" x14ac:dyDescent="0.25">
      <c r="A751" s="254" t="str">
        <f t="shared" ca="1" si="76"/>
        <v/>
      </c>
      <c r="B751" s="255"/>
      <c r="C751" s="256"/>
      <c r="D751" s="257" t="str">
        <f t="shared" si="72"/>
        <v/>
      </c>
      <c r="F751" s="257" t="str">
        <f t="shared" si="73"/>
        <v/>
      </c>
      <c r="G751" s="257" t="str">
        <f t="shared" si="74"/>
        <v/>
      </c>
      <c r="H751" s="257" t="str">
        <f t="shared" si="75"/>
        <v/>
      </c>
    </row>
    <row r="752" spans="1:8" x14ac:dyDescent="0.25">
      <c r="A752" s="254" t="str">
        <f t="shared" ca="1" si="76"/>
        <v/>
      </c>
      <c r="B752" s="255"/>
      <c r="C752" s="256"/>
      <c r="D752" s="257" t="str">
        <f t="shared" si="72"/>
        <v/>
      </c>
      <c r="F752" s="257" t="str">
        <f t="shared" si="73"/>
        <v/>
      </c>
      <c r="G752" s="257" t="str">
        <f t="shared" si="74"/>
        <v/>
      </c>
      <c r="H752" s="257" t="str">
        <f t="shared" si="75"/>
        <v/>
      </c>
    </row>
    <row r="753" spans="1:8" x14ac:dyDescent="0.25">
      <c r="A753" s="254" t="str">
        <f t="shared" ca="1" si="76"/>
        <v/>
      </c>
      <c r="B753" s="255"/>
      <c r="C753" s="256"/>
      <c r="D753" s="257" t="str">
        <f t="shared" si="72"/>
        <v/>
      </c>
      <c r="F753" s="257" t="str">
        <f t="shared" si="73"/>
        <v/>
      </c>
      <c r="G753" s="257" t="str">
        <f t="shared" si="74"/>
        <v/>
      </c>
      <c r="H753" s="257" t="str">
        <f t="shared" si="75"/>
        <v/>
      </c>
    </row>
    <row r="754" spans="1:8" x14ac:dyDescent="0.25">
      <c r="A754" s="254" t="str">
        <f t="shared" ca="1" si="76"/>
        <v/>
      </c>
      <c r="B754" s="255"/>
      <c r="C754" s="256"/>
      <c r="D754" s="257" t="str">
        <f t="shared" si="72"/>
        <v/>
      </c>
      <c r="F754" s="257" t="str">
        <f t="shared" si="73"/>
        <v/>
      </c>
      <c r="G754" s="257" t="str">
        <f t="shared" si="74"/>
        <v/>
      </c>
      <c r="H754" s="257" t="str">
        <f t="shared" si="75"/>
        <v/>
      </c>
    </row>
    <row r="755" spans="1:8" x14ac:dyDescent="0.25">
      <c r="A755" s="254" t="str">
        <f t="shared" ca="1" si="76"/>
        <v/>
      </c>
      <c r="B755" s="255"/>
      <c r="C755" s="256"/>
      <c r="D755" s="257" t="str">
        <f t="shared" si="72"/>
        <v/>
      </c>
      <c r="F755" s="257" t="str">
        <f t="shared" si="73"/>
        <v/>
      </c>
      <c r="G755" s="257" t="str">
        <f t="shared" si="74"/>
        <v/>
      </c>
      <c r="H755" s="257" t="str">
        <f t="shared" si="75"/>
        <v/>
      </c>
    </row>
    <row r="756" spans="1:8" x14ac:dyDescent="0.25">
      <c r="A756" s="254" t="str">
        <f t="shared" ca="1" si="76"/>
        <v/>
      </c>
      <c r="B756" s="255"/>
      <c r="C756" s="256"/>
      <c r="D756" s="257" t="str">
        <f t="shared" si="72"/>
        <v/>
      </c>
      <c r="F756" s="257" t="str">
        <f t="shared" si="73"/>
        <v/>
      </c>
      <c r="G756" s="257" t="str">
        <f t="shared" si="74"/>
        <v/>
      </c>
      <c r="H756" s="257" t="str">
        <f t="shared" si="75"/>
        <v/>
      </c>
    </row>
    <row r="757" spans="1:8" x14ac:dyDescent="0.25">
      <c r="A757" s="254" t="str">
        <f t="shared" ca="1" si="76"/>
        <v/>
      </c>
      <c r="B757" s="255"/>
      <c r="C757" s="256"/>
      <c r="D757" s="257" t="str">
        <f t="shared" si="72"/>
        <v/>
      </c>
      <c r="F757" s="257" t="str">
        <f t="shared" si="73"/>
        <v/>
      </c>
      <c r="G757" s="257" t="str">
        <f t="shared" si="74"/>
        <v/>
      </c>
      <c r="H757" s="257" t="str">
        <f t="shared" si="75"/>
        <v/>
      </c>
    </row>
    <row r="758" spans="1:8" x14ac:dyDescent="0.25">
      <c r="A758" s="254" t="str">
        <f t="shared" ca="1" si="76"/>
        <v/>
      </c>
      <c r="B758" s="255"/>
      <c r="C758" s="256"/>
      <c r="D758" s="257" t="str">
        <f t="shared" si="72"/>
        <v/>
      </c>
      <c r="F758" s="257" t="str">
        <f t="shared" si="73"/>
        <v/>
      </c>
      <c r="G758" s="257" t="str">
        <f t="shared" si="74"/>
        <v/>
      </c>
      <c r="H758" s="257" t="str">
        <f t="shared" si="75"/>
        <v/>
      </c>
    </row>
    <row r="759" spans="1:8" x14ac:dyDescent="0.25">
      <c r="A759" s="254" t="str">
        <f t="shared" ca="1" si="76"/>
        <v/>
      </c>
      <c r="B759" s="255"/>
      <c r="C759" s="256"/>
      <c r="D759" s="257" t="str">
        <f t="shared" si="72"/>
        <v/>
      </c>
      <c r="F759" s="257" t="str">
        <f t="shared" si="73"/>
        <v/>
      </c>
      <c r="G759" s="257" t="str">
        <f t="shared" si="74"/>
        <v/>
      </c>
      <c r="H759" s="257" t="str">
        <f t="shared" si="75"/>
        <v/>
      </c>
    </row>
    <row r="760" spans="1:8" x14ac:dyDescent="0.25">
      <c r="A760" s="254" t="str">
        <f t="shared" ca="1" si="76"/>
        <v/>
      </c>
      <c r="B760" s="255"/>
      <c r="C760" s="256"/>
      <c r="D760" s="257" t="str">
        <f t="shared" si="72"/>
        <v/>
      </c>
      <c r="F760" s="257" t="str">
        <f t="shared" si="73"/>
        <v/>
      </c>
      <c r="G760" s="257" t="str">
        <f t="shared" si="74"/>
        <v/>
      </c>
      <c r="H760" s="257" t="str">
        <f t="shared" si="75"/>
        <v/>
      </c>
    </row>
    <row r="761" spans="1:8" x14ac:dyDescent="0.25">
      <c r="A761" s="254" t="str">
        <f t="shared" ca="1" si="76"/>
        <v/>
      </c>
      <c r="B761" s="255"/>
      <c r="C761" s="256"/>
      <c r="D761" s="257" t="str">
        <f t="shared" si="72"/>
        <v/>
      </c>
      <c r="F761" s="257" t="str">
        <f t="shared" si="73"/>
        <v/>
      </c>
      <c r="G761" s="257" t="str">
        <f t="shared" si="74"/>
        <v/>
      </c>
      <c r="H761" s="257" t="str">
        <f t="shared" si="75"/>
        <v/>
      </c>
    </row>
    <row r="762" spans="1:8" x14ac:dyDescent="0.25">
      <c r="A762" s="254" t="str">
        <f t="shared" ca="1" si="76"/>
        <v/>
      </c>
      <c r="B762" s="255"/>
      <c r="C762" s="256"/>
      <c r="D762" s="257" t="str">
        <f t="shared" si="72"/>
        <v/>
      </c>
      <c r="F762" s="257" t="str">
        <f t="shared" si="73"/>
        <v/>
      </c>
      <c r="G762" s="257" t="str">
        <f t="shared" si="74"/>
        <v/>
      </c>
      <c r="H762" s="257" t="str">
        <f t="shared" si="75"/>
        <v/>
      </c>
    </row>
    <row r="763" spans="1:8" x14ac:dyDescent="0.25">
      <c r="A763" s="254" t="str">
        <f t="shared" ca="1" si="76"/>
        <v/>
      </c>
      <c r="B763" s="255"/>
      <c r="C763" s="256"/>
      <c r="D763" s="257" t="str">
        <f t="shared" si="72"/>
        <v/>
      </c>
      <c r="F763" s="257" t="str">
        <f t="shared" si="73"/>
        <v/>
      </c>
      <c r="G763" s="257" t="str">
        <f t="shared" si="74"/>
        <v/>
      </c>
      <c r="H763" s="257" t="str">
        <f t="shared" si="75"/>
        <v/>
      </c>
    </row>
    <row r="764" spans="1:8" x14ac:dyDescent="0.25">
      <c r="A764" s="254" t="str">
        <f t="shared" ca="1" si="76"/>
        <v/>
      </c>
      <c r="B764" s="255"/>
      <c r="C764" s="256"/>
      <c r="D764" s="257" t="str">
        <f t="shared" si="72"/>
        <v/>
      </c>
      <c r="F764" s="257" t="str">
        <f t="shared" si="73"/>
        <v/>
      </c>
      <c r="G764" s="257" t="str">
        <f t="shared" si="74"/>
        <v/>
      </c>
      <c r="H764" s="257" t="str">
        <f t="shared" si="75"/>
        <v/>
      </c>
    </row>
    <row r="765" spans="1:8" x14ac:dyDescent="0.25">
      <c r="A765" s="254" t="str">
        <f t="shared" ca="1" si="76"/>
        <v/>
      </c>
      <c r="B765" s="255"/>
      <c r="C765" s="256"/>
      <c r="D765" s="257" t="str">
        <f t="shared" si="72"/>
        <v/>
      </c>
      <c r="F765" s="257" t="str">
        <f t="shared" si="73"/>
        <v/>
      </c>
      <c r="G765" s="257" t="str">
        <f t="shared" si="74"/>
        <v/>
      </c>
      <c r="H765" s="257" t="str">
        <f t="shared" si="75"/>
        <v/>
      </c>
    </row>
    <row r="766" spans="1:8" x14ac:dyDescent="0.25">
      <c r="A766" s="254" t="str">
        <f t="shared" ca="1" si="76"/>
        <v/>
      </c>
      <c r="B766" s="255"/>
      <c r="C766" s="256"/>
      <c r="D766" s="257" t="str">
        <f t="shared" si="72"/>
        <v/>
      </c>
      <c r="F766" s="257" t="str">
        <f t="shared" si="73"/>
        <v/>
      </c>
      <c r="G766" s="257" t="str">
        <f t="shared" si="74"/>
        <v/>
      </c>
      <c r="H766" s="257" t="str">
        <f t="shared" si="75"/>
        <v/>
      </c>
    </row>
    <row r="767" spans="1:8" x14ac:dyDescent="0.25">
      <c r="A767" s="254" t="str">
        <f t="shared" ca="1" si="76"/>
        <v/>
      </c>
      <c r="B767" s="255"/>
      <c r="C767" s="256"/>
      <c r="D767" s="257" t="str">
        <f t="shared" si="72"/>
        <v/>
      </c>
      <c r="F767" s="257" t="str">
        <f t="shared" si="73"/>
        <v/>
      </c>
      <c r="G767" s="257" t="str">
        <f t="shared" si="74"/>
        <v/>
      </c>
      <c r="H767" s="257" t="str">
        <f t="shared" si="75"/>
        <v/>
      </c>
    </row>
    <row r="768" spans="1:8" x14ac:dyDescent="0.25">
      <c r="A768" s="254" t="str">
        <f t="shared" ca="1" si="76"/>
        <v/>
      </c>
      <c r="B768" s="255"/>
      <c r="C768" s="256"/>
      <c r="D768" s="257" t="str">
        <f t="shared" si="72"/>
        <v/>
      </c>
      <c r="F768" s="257" t="str">
        <f t="shared" si="73"/>
        <v/>
      </c>
      <c r="G768" s="257" t="str">
        <f t="shared" si="74"/>
        <v/>
      </c>
      <c r="H768" s="257" t="str">
        <f t="shared" si="75"/>
        <v/>
      </c>
    </row>
    <row r="769" spans="1:8" x14ac:dyDescent="0.25">
      <c r="A769" s="254" t="str">
        <f t="shared" ca="1" si="76"/>
        <v/>
      </c>
      <c r="B769" s="255"/>
      <c r="C769" s="256"/>
      <c r="D769" s="257" t="str">
        <f t="shared" si="72"/>
        <v/>
      </c>
      <c r="F769" s="257" t="str">
        <f t="shared" si="73"/>
        <v/>
      </c>
      <c r="G769" s="257" t="str">
        <f t="shared" si="74"/>
        <v/>
      </c>
      <c r="H769" s="257" t="str">
        <f t="shared" si="75"/>
        <v/>
      </c>
    </row>
    <row r="770" spans="1:8" x14ac:dyDescent="0.25">
      <c r="A770" s="254" t="str">
        <f t="shared" ca="1" si="76"/>
        <v/>
      </c>
      <c r="B770" s="255"/>
      <c r="C770" s="256"/>
      <c r="D770" s="257" t="str">
        <f t="shared" si="72"/>
        <v/>
      </c>
      <c r="F770" s="257" t="str">
        <f t="shared" si="73"/>
        <v/>
      </c>
      <c r="G770" s="257" t="str">
        <f t="shared" si="74"/>
        <v/>
      </c>
      <c r="H770" s="257" t="str">
        <f t="shared" si="75"/>
        <v/>
      </c>
    </row>
    <row r="771" spans="1:8" x14ac:dyDescent="0.25">
      <c r="A771" s="254" t="str">
        <f t="shared" ca="1" si="76"/>
        <v/>
      </c>
      <c r="B771" s="255"/>
      <c r="C771" s="256"/>
      <c r="D771" s="257" t="str">
        <f t="shared" si="72"/>
        <v/>
      </c>
      <c r="F771" s="257" t="str">
        <f t="shared" si="73"/>
        <v/>
      </c>
      <c r="G771" s="257" t="str">
        <f t="shared" si="74"/>
        <v/>
      </c>
      <c r="H771" s="257" t="str">
        <f t="shared" si="75"/>
        <v/>
      </c>
    </row>
    <row r="772" spans="1:8" x14ac:dyDescent="0.25">
      <c r="A772" s="254" t="str">
        <f t="shared" ca="1" si="76"/>
        <v/>
      </c>
      <c r="B772" s="255"/>
      <c r="C772" s="256"/>
      <c r="D772" s="257" t="str">
        <f t="shared" si="72"/>
        <v/>
      </c>
      <c r="F772" s="257" t="str">
        <f t="shared" si="73"/>
        <v/>
      </c>
      <c r="G772" s="257" t="str">
        <f t="shared" si="74"/>
        <v/>
      </c>
      <c r="H772" s="257" t="str">
        <f t="shared" si="75"/>
        <v/>
      </c>
    </row>
    <row r="773" spans="1:8" x14ac:dyDescent="0.25">
      <c r="A773" s="254" t="str">
        <f t="shared" ca="1" si="76"/>
        <v/>
      </c>
      <c r="B773" s="255"/>
      <c r="C773" s="256"/>
      <c r="D773" s="257" t="str">
        <f t="shared" si="72"/>
        <v/>
      </c>
      <c r="F773" s="257" t="str">
        <f t="shared" si="73"/>
        <v/>
      </c>
      <c r="G773" s="257" t="str">
        <f t="shared" si="74"/>
        <v/>
      </c>
      <c r="H773" s="257" t="str">
        <f t="shared" si="75"/>
        <v/>
      </c>
    </row>
    <row r="774" spans="1:8" x14ac:dyDescent="0.25">
      <c r="A774" s="254" t="str">
        <f t="shared" ca="1" si="76"/>
        <v/>
      </c>
      <c r="B774" s="255"/>
      <c r="C774" s="256"/>
      <c r="D774" s="257" t="str">
        <f t="shared" si="72"/>
        <v/>
      </c>
      <c r="F774" s="257" t="str">
        <f t="shared" si="73"/>
        <v/>
      </c>
      <c r="G774" s="257" t="str">
        <f t="shared" si="74"/>
        <v/>
      </c>
      <c r="H774" s="257" t="str">
        <f t="shared" si="75"/>
        <v/>
      </c>
    </row>
    <row r="775" spans="1:8" x14ac:dyDescent="0.25">
      <c r="A775" s="254" t="str">
        <f t="shared" ca="1" si="76"/>
        <v/>
      </c>
      <c r="B775" s="255"/>
      <c r="C775" s="256"/>
      <c r="D775" s="257" t="str">
        <f t="shared" si="72"/>
        <v/>
      </c>
      <c r="F775" s="257" t="str">
        <f t="shared" si="73"/>
        <v/>
      </c>
      <c r="G775" s="257" t="str">
        <f t="shared" si="74"/>
        <v/>
      </c>
      <c r="H775" s="257" t="str">
        <f t="shared" si="75"/>
        <v/>
      </c>
    </row>
    <row r="776" spans="1:8" x14ac:dyDescent="0.25">
      <c r="A776" s="254" t="str">
        <f t="shared" ca="1" si="76"/>
        <v/>
      </c>
      <c r="B776" s="255"/>
      <c r="C776" s="256"/>
      <c r="D776" s="257" t="str">
        <f t="shared" si="72"/>
        <v/>
      </c>
      <c r="F776" s="257" t="str">
        <f t="shared" si="73"/>
        <v/>
      </c>
      <c r="G776" s="257" t="str">
        <f t="shared" si="74"/>
        <v/>
      </c>
      <c r="H776" s="257" t="str">
        <f t="shared" si="75"/>
        <v/>
      </c>
    </row>
    <row r="777" spans="1:8" x14ac:dyDescent="0.25">
      <c r="A777" s="254" t="str">
        <f t="shared" ca="1" si="76"/>
        <v/>
      </c>
      <c r="B777" s="255"/>
      <c r="C777" s="256"/>
      <c r="D777" s="257" t="str">
        <f t="shared" si="72"/>
        <v/>
      </c>
      <c r="F777" s="257" t="str">
        <f t="shared" si="73"/>
        <v/>
      </c>
      <c r="G777" s="257" t="str">
        <f t="shared" si="74"/>
        <v/>
      </c>
      <c r="H777" s="257" t="str">
        <f t="shared" si="75"/>
        <v/>
      </c>
    </row>
    <row r="778" spans="1:8" x14ac:dyDescent="0.25">
      <c r="A778" s="254" t="str">
        <f t="shared" ca="1" si="76"/>
        <v/>
      </c>
      <c r="B778" s="255"/>
      <c r="C778" s="256"/>
      <c r="D778" s="257" t="str">
        <f t="shared" si="72"/>
        <v/>
      </c>
      <c r="F778" s="257" t="str">
        <f t="shared" si="73"/>
        <v/>
      </c>
      <c r="G778" s="257" t="str">
        <f t="shared" si="74"/>
        <v/>
      </c>
      <c r="H778" s="257" t="str">
        <f t="shared" si="75"/>
        <v/>
      </c>
    </row>
    <row r="779" spans="1:8" x14ac:dyDescent="0.25">
      <c r="A779" s="254" t="str">
        <f t="shared" ca="1" si="76"/>
        <v/>
      </c>
      <c r="B779" s="255"/>
      <c r="C779" s="256"/>
      <c r="D779" s="257" t="str">
        <f t="shared" si="72"/>
        <v/>
      </c>
      <c r="F779" s="257" t="str">
        <f t="shared" si="73"/>
        <v/>
      </c>
      <c r="G779" s="257" t="str">
        <f t="shared" si="74"/>
        <v/>
      </c>
      <c r="H779" s="257" t="str">
        <f t="shared" si="75"/>
        <v/>
      </c>
    </row>
    <row r="780" spans="1:8" x14ac:dyDescent="0.25">
      <c r="A780" s="254" t="str">
        <f t="shared" ca="1" si="76"/>
        <v/>
      </c>
      <c r="B780" s="255"/>
      <c r="C780" s="256"/>
      <c r="D780" s="257" t="str">
        <f t="shared" si="72"/>
        <v/>
      </c>
      <c r="F780" s="257" t="str">
        <f t="shared" si="73"/>
        <v/>
      </c>
      <c r="G780" s="257" t="str">
        <f t="shared" si="74"/>
        <v/>
      </c>
      <c r="H780" s="257" t="str">
        <f t="shared" si="75"/>
        <v/>
      </c>
    </row>
    <row r="781" spans="1:8" x14ac:dyDescent="0.25">
      <c r="A781" s="254" t="str">
        <f t="shared" ca="1" si="76"/>
        <v/>
      </c>
      <c r="B781" s="255"/>
      <c r="C781" s="256"/>
      <c r="D781" s="257" t="str">
        <f t="shared" si="72"/>
        <v/>
      </c>
      <c r="F781" s="257" t="str">
        <f t="shared" si="73"/>
        <v/>
      </c>
      <c r="G781" s="257" t="str">
        <f t="shared" si="74"/>
        <v/>
      </c>
      <c r="H781" s="257" t="str">
        <f t="shared" si="75"/>
        <v/>
      </c>
    </row>
    <row r="782" spans="1:8" x14ac:dyDescent="0.25">
      <c r="A782" s="254" t="str">
        <f t="shared" ca="1" si="76"/>
        <v/>
      </c>
      <c r="B782" s="255"/>
      <c r="C782" s="256"/>
      <c r="D782" s="257" t="str">
        <f t="shared" si="72"/>
        <v/>
      </c>
      <c r="F782" s="257" t="str">
        <f t="shared" si="73"/>
        <v/>
      </c>
      <c r="G782" s="257" t="str">
        <f t="shared" si="74"/>
        <v/>
      </c>
      <c r="H782" s="257" t="str">
        <f t="shared" si="75"/>
        <v/>
      </c>
    </row>
    <row r="783" spans="1:8" x14ac:dyDescent="0.25">
      <c r="A783" s="254" t="str">
        <f t="shared" ca="1" si="76"/>
        <v/>
      </c>
      <c r="B783" s="255"/>
      <c r="C783" s="256"/>
      <c r="D783" s="257" t="str">
        <f t="shared" si="72"/>
        <v/>
      </c>
      <c r="F783" s="257" t="str">
        <f t="shared" si="73"/>
        <v/>
      </c>
      <c r="G783" s="257" t="str">
        <f t="shared" si="74"/>
        <v/>
      </c>
      <c r="H783" s="257" t="str">
        <f t="shared" si="75"/>
        <v/>
      </c>
    </row>
    <row r="784" spans="1:8" x14ac:dyDescent="0.25">
      <c r="A784" s="254" t="str">
        <f t="shared" ca="1" si="76"/>
        <v/>
      </c>
      <c r="B784" s="255"/>
      <c r="C784" s="256"/>
      <c r="D784" s="257" t="str">
        <f t="shared" si="72"/>
        <v/>
      </c>
      <c r="F784" s="257" t="str">
        <f t="shared" si="73"/>
        <v/>
      </c>
      <c r="G784" s="257" t="str">
        <f t="shared" si="74"/>
        <v/>
      </c>
      <c r="H784" s="257" t="str">
        <f t="shared" si="75"/>
        <v/>
      </c>
    </row>
    <row r="785" spans="1:8" x14ac:dyDescent="0.25">
      <c r="A785" s="254" t="str">
        <f t="shared" ca="1" si="76"/>
        <v/>
      </c>
      <c r="B785" s="255"/>
      <c r="C785" s="256"/>
      <c r="D785" s="257" t="str">
        <f t="shared" si="72"/>
        <v/>
      </c>
      <c r="F785" s="257" t="str">
        <f t="shared" si="73"/>
        <v/>
      </c>
      <c r="G785" s="257" t="str">
        <f t="shared" si="74"/>
        <v/>
      </c>
      <c r="H785" s="257" t="str">
        <f t="shared" si="75"/>
        <v/>
      </c>
    </row>
    <row r="786" spans="1:8" x14ac:dyDescent="0.25">
      <c r="A786" s="254" t="str">
        <f t="shared" ca="1" si="76"/>
        <v/>
      </c>
      <c r="B786" s="255"/>
      <c r="C786" s="256"/>
      <c r="D786" s="257" t="str">
        <f t="shared" si="72"/>
        <v/>
      </c>
      <c r="F786" s="257" t="str">
        <f t="shared" si="73"/>
        <v/>
      </c>
      <c r="G786" s="257" t="str">
        <f t="shared" si="74"/>
        <v/>
      </c>
      <c r="H786" s="257" t="str">
        <f t="shared" si="75"/>
        <v/>
      </c>
    </row>
    <row r="787" spans="1:8" x14ac:dyDescent="0.25">
      <c r="A787" s="254" t="str">
        <f t="shared" ca="1" si="76"/>
        <v/>
      </c>
      <c r="B787" s="255"/>
      <c r="C787" s="256"/>
      <c r="D787" s="257" t="str">
        <f t="shared" ref="D787:D798" si="77">IF(B787="","",ROUND((B787-B786)*$H$9*G786,2))</f>
        <v/>
      </c>
      <c r="F787" s="257" t="str">
        <f t="shared" ref="F787:F798" si="78">IF(B787="","",IF(C787&gt;F786+D787,0,F786+D787-C787))</f>
        <v/>
      </c>
      <c r="G787" s="257" t="str">
        <f t="shared" ref="G787:G798" si="79">IF(B787="","",IF(C787&gt;D787+F786,G786+F786+D787-C787,G786))</f>
        <v/>
      </c>
      <c r="H787" s="257" t="str">
        <f t="shared" ref="H787:H798" si="80">IF(B787="","",G787+F787)</f>
        <v/>
      </c>
    </row>
    <row r="788" spans="1:8" x14ac:dyDescent="0.25">
      <c r="A788" s="254" t="str">
        <f t="shared" ca="1" si="76"/>
        <v/>
      </c>
      <c r="B788" s="255"/>
      <c r="C788" s="256"/>
      <c r="D788" s="257" t="str">
        <f t="shared" si="77"/>
        <v/>
      </c>
      <c r="F788" s="257" t="str">
        <f t="shared" si="78"/>
        <v/>
      </c>
      <c r="G788" s="257" t="str">
        <f t="shared" si="79"/>
        <v/>
      </c>
      <c r="H788" s="257" t="str">
        <f t="shared" si="80"/>
        <v/>
      </c>
    </row>
    <row r="789" spans="1:8" x14ac:dyDescent="0.25">
      <c r="A789" s="254" t="str">
        <f t="shared" ca="1" si="76"/>
        <v/>
      </c>
      <c r="B789" s="255"/>
      <c r="C789" s="256"/>
      <c r="D789" s="257" t="str">
        <f t="shared" si="77"/>
        <v/>
      </c>
      <c r="F789" s="257" t="str">
        <f t="shared" si="78"/>
        <v/>
      </c>
      <c r="G789" s="257" t="str">
        <f t="shared" si="79"/>
        <v/>
      </c>
      <c r="H789" s="257" t="str">
        <f t="shared" si="80"/>
        <v/>
      </c>
    </row>
    <row r="790" spans="1:8" x14ac:dyDescent="0.25">
      <c r="A790" s="254" t="str">
        <f t="shared" ca="1" si="76"/>
        <v/>
      </c>
      <c r="B790" s="255"/>
      <c r="C790" s="256"/>
      <c r="D790" s="257" t="str">
        <f t="shared" si="77"/>
        <v/>
      </c>
      <c r="F790" s="257" t="str">
        <f t="shared" si="78"/>
        <v/>
      </c>
      <c r="G790" s="257" t="str">
        <f t="shared" si="79"/>
        <v/>
      </c>
      <c r="H790" s="257" t="str">
        <f t="shared" si="80"/>
        <v/>
      </c>
    </row>
    <row r="791" spans="1:8" x14ac:dyDescent="0.25">
      <c r="A791" s="254" t="str">
        <f t="shared" ca="1" si="76"/>
        <v/>
      </c>
      <c r="B791" s="255"/>
      <c r="C791" s="256"/>
      <c r="D791" s="257" t="str">
        <f t="shared" si="77"/>
        <v/>
      </c>
      <c r="F791" s="257" t="str">
        <f t="shared" si="78"/>
        <v/>
      </c>
      <c r="G791" s="257" t="str">
        <f t="shared" si="79"/>
        <v/>
      </c>
      <c r="H791" s="257" t="str">
        <f t="shared" si="80"/>
        <v/>
      </c>
    </row>
    <row r="792" spans="1:8" x14ac:dyDescent="0.25">
      <c r="A792" s="254" t="str">
        <f t="shared" ca="1" si="76"/>
        <v/>
      </c>
      <c r="B792" s="255"/>
      <c r="C792" s="256"/>
      <c r="D792" s="257" t="str">
        <f t="shared" si="77"/>
        <v/>
      </c>
      <c r="F792" s="257" t="str">
        <f t="shared" si="78"/>
        <v/>
      </c>
      <c r="G792" s="257" t="str">
        <f t="shared" si="79"/>
        <v/>
      </c>
      <c r="H792" s="257" t="str">
        <f t="shared" si="80"/>
        <v/>
      </c>
    </row>
    <row r="793" spans="1:8" x14ac:dyDescent="0.25">
      <c r="A793" s="254" t="str">
        <f t="shared" ca="1" si="76"/>
        <v/>
      </c>
      <c r="B793" s="255"/>
      <c r="C793" s="256"/>
      <c r="D793" s="257" t="str">
        <f t="shared" si="77"/>
        <v/>
      </c>
      <c r="F793" s="257" t="str">
        <f t="shared" si="78"/>
        <v/>
      </c>
      <c r="G793" s="257" t="str">
        <f t="shared" si="79"/>
        <v/>
      </c>
      <c r="H793" s="257" t="str">
        <f t="shared" si="80"/>
        <v/>
      </c>
    </row>
    <row r="794" spans="1:8" x14ac:dyDescent="0.25">
      <c r="A794" s="254" t="str">
        <f t="shared" ca="1" si="76"/>
        <v/>
      </c>
      <c r="B794" s="255"/>
      <c r="C794" s="256"/>
      <c r="D794" s="257" t="str">
        <f t="shared" si="77"/>
        <v/>
      </c>
      <c r="F794" s="257" t="str">
        <f t="shared" si="78"/>
        <v/>
      </c>
      <c r="G794" s="257" t="str">
        <f t="shared" si="79"/>
        <v/>
      </c>
      <c r="H794" s="257" t="str">
        <f t="shared" si="80"/>
        <v/>
      </c>
    </row>
    <row r="795" spans="1:8" x14ac:dyDescent="0.25">
      <c r="A795" s="254" t="str">
        <f t="shared" ca="1" si="76"/>
        <v/>
      </c>
      <c r="B795" s="255"/>
      <c r="C795" s="256"/>
      <c r="D795" s="257" t="str">
        <f t="shared" si="77"/>
        <v/>
      </c>
      <c r="F795" s="257" t="str">
        <f t="shared" si="78"/>
        <v/>
      </c>
      <c r="G795" s="257" t="str">
        <f t="shared" si="79"/>
        <v/>
      </c>
      <c r="H795" s="257" t="str">
        <f t="shared" si="80"/>
        <v/>
      </c>
    </row>
    <row r="796" spans="1:8" x14ac:dyDescent="0.25">
      <c r="A796" s="254" t="str">
        <f t="shared" ca="1" si="76"/>
        <v/>
      </c>
      <c r="B796" s="255"/>
      <c r="C796" s="256"/>
      <c r="D796" s="257" t="str">
        <f t="shared" si="77"/>
        <v/>
      </c>
      <c r="F796" s="257" t="str">
        <f t="shared" si="78"/>
        <v/>
      </c>
      <c r="G796" s="257" t="str">
        <f t="shared" si="79"/>
        <v/>
      </c>
      <c r="H796" s="257" t="str">
        <f t="shared" si="80"/>
        <v/>
      </c>
    </row>
    <row r="797" spans="1:8" x14ac:dyDescent="0.25">
      <c r="A797" s="254" t="str">
        <f t="shared" ca="1" si="76"/>
        <v/>
      </c>
      <c r="B797" s="255"/>
      <c r="C797" s="256"/>
      <c r="D797" s="257" t="str">
        <f t="shared" si="77"/>
        <v/>
      </c>
      <c r="F797" s="257" t="str">
        <f t="shared" si="78"/>
        <v/>
      </c>
      <c r="G797" s="257" t="str">
        <f t="shared" si="79"/>
        <v/>
      </c>
      <c r="H797" s="257" t="str">
        <f t="shared" si="80"/>
        <v/>
      </c>
    </row>
    <row r="798" spans="1:8" x14ac:dyDescent="0.25">
      <c r="A798" s="254" t="str">
        <f t="shared" ca="1" si="76"/>
        <v/>
      </c>
      <c r="B798" s="255"/>
      <c r="C798" s="256"/>
      <c r="D798" s="257" t="str">
        <f t="shared" si="77"/>
        <v/>
      </c>
      <c r="F798" s="257" t="str">
        <f t="shared" si="78"/>
        <v/>
      </c>
      <c r="G798" s="257" t="str">
        <f t="shared" si="79"/>
        <v/>
      </c>
      <c r="H798" s="257" t="str">
        <f t="shared" si="80"/>
        <v/>
      </c>
    </row>
    <row r="799" spans="1:8" x14ac:dyDescent="0.25">
      <c r="A799" s="264" t="s">
        <v>355</v>
      </c>
      <c r="B799" s="264"/>
      <c r="C799" s="264"/>
      <c r="D799" s="265"/>
      <c r="E799" s="265"/>
      <c r="F799" s="265"/>
      <c r="G799" s="265"/>
      <c r="H799" s="265"/>
    </row>
  </sheetData>
  <mergeCells count="3">
    <mergeCell ref="K2:K15"/>
    <mergeCell ref="C4:D4"/>
    <mergeCell ref="A16:D16"/>
  </mergeCells>
  <hyperlinks>
    <hyperlink ref="A2" r:id="rId1" xr:uid="{462DCE30-E7B3-48E7-934D-1C67A1DC024E}"/>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1485E-7E85-4B60-8D26-8AB2B80D6968}">
  <sheetPr codeName="Sheet23">
    <tabColor rgb="FF0070C0"/>
  </sheetPr>
  <dimension ref="A1:EA799"/>
  <sheetViews>
    <sheetView showGridLines="0" zoomScale="80" zoomScaleNormal="80" workbookViewId="0">
      <selection activeCell="D9" sqref="D9"/>
    </sheetView>
  </sheetViews>
  <sheetFormatPr defaultColWidth="8.5546875" defaultRowHeight="13.2" x14ac:dyDescent="0.25"/>
  <cols>
    <col min="1" max="1" width="5.33203125" style="220" customWidth="1"/>
    <col min="2" max="2" width="16.5546875" style="220" customWidth="1"/>
    <col min="3" max="3" width="11.33203125" style="220" customWidth="1"/>
    <col min="4" max="4" width="14.6640625" style="220" customWidth="1"/>
    <col min="5" max="5" width="10.88671875" style="220" customWidth="1"/>
    <col min="6" max="6" width="10" style="220" customWidth="1"/>
    <col min="7" max="7" width="12.44140625" style="220" customWidth="1"/>
    <col min="8" max="8" width="14.6640625" style="220" customWidth="1"/>
    <col min="9" max="10" width="10.5546875" style="220" customWidth="1"/>
    <col min="11" max="11" width="48.109375" style="220" customWidth="1"/>
    <col min="12" max="12" width="13.88671875" style="220" customWidth="1"/>
    <col min="13" max="14" width="11" style="220" customWidth="1"/>
    <col min="15" max="131" width="10.5546875" style="220" bestFit="1" customWidth="1"/>
    <col min="132" max="16384" width="8.5546875" style="220"/>
  </cols>
  <sheetData>
    <row r="1" spans="1:11" ht="30" customHeight="1" x14ac:dyDescent="0.4">
      <c r="A1" s="217" t="s">
        <v>313</v>
      </c>
      <c r="B1" s="218"/>
      <c r="C1" s="218"/>
      <c r="D1" s="218"/>
      <c r="E1" s="218"/>
      <c r="F1" s="218"/>
      <c r="G1" s="219"/>
      <c r="H1" s="219"/>
      <c r="K1" s="221" t="s">
        <v>314</v>
      </c>
    </row>
    <row r="2" spans="1:11" ht="12.75" customHeight="1" x14ac:dyDescent="0.25">
      <c r="A2" s="222" t="s">
        <v>315</v>
      </c>
      <c r="H2" s="223" t="str">
        <f ca="1">"© 2008-" &amp; YEAR(TODAY()) &amp; " Vertex42 LLC"</f>
        <v>© 2008-2024 Vertex42 LLC</v>
      </c>
      <c r="K2" s="1785" t="s">
        <v>316</v>
      </c>
    </row>
    <row r="3" spans="1:11" x14ac:dyDescent="0.25">
      <c r="A3" s="222"/>
      <c r="H3" s="223"/>
      <c r="K3" s="1786"/>
    </row>
    <row r="4" spans="1:11" ht="15.6" x14ac:dyDescent="0.3">
      <c r="B4" s="224" t="s">
        <v>317</v>
      </c>
      <c r="C4" s="1787"/>
      <c r="D4" s="1787"/>
      <c r="H4" s="225" t="s">
        <v>318</v>
      </c>
      <c r="K4" s="1786"/>
    </row>
    <row r="5" spans="1:11" x14ac:dyDescent="0.25">
      <c r="C5" s="220" t="s">
        <v>319</v>
      </c>
      <c r="H5" s="226" t="s">
        <v>320</v>
      </c>
      <c r="K5" s="1786"/>
    </row>
    <row r="6" spans="1:11" x14ac:dyDescent="0.25">
      <c r="C6" s="227" t="s">
        <v>321</v>
      </c>
      <c r="H6" s="226" t="s">
        <v>321</v>
      </c>
      <c r="K6" s="1786"/>
    </row>
    <row r="7" spans="1:11" x14ac:dyDescent="0.25">
      <c r="K7" s="1786"/>
    </row>
    <row r="8" spans="1:11" ht="13.8" x14ac:dyDescent="0.25">
      <c r="A8" s="228" t="s">
        <v>322</v>
      </c>
      <c r="B8" s="229"/>
      <c r="C8" s="229"/>
      <c r="D8" s="229"/>
      <c r="E8" s="230" t="s">
        <v>323</v>
      </c>
      <c r="F8" s="228" t="s">
        <v>324</v>
      </c>
      <c r="G8" s="231"/>
      <c r="H8" s="231"/>
      <c r="K8" s="1786"/>
    </row>
    <row r="9" spans="1:11" ht="15" customHeight="1" x14ac:dyDescent="0.25">
      <c r="A9" s="232"/>
      <c r="B9" s="232"/>
      <c r="C9" s="233" t="s">
        <v>325</v>
      </c>
      <c r="D9" s="887">
        <f>'Sources and Uses'!J7</f>
        <v>0</v>
      </c>
      <c r="F9" s="232"/>
      <c r="G9" s="233" t="s">
        <v>326</v>
      </c>
      <c r="H9" s="235">
        <f>D10/D12</f>
        <v>3.2876712328767124E-4</v>
      </c>
      <c r="K9" s="1786"/>
    </row>
    <row r="10" spans="1:11" ht="15" customHeight="1" x14ac:dyDescent="0.25">
      <c r="A10" s="232"/>
      <c r="B10" s="232"/>
      <c r="C10" s="233" t="s">
        <v>328</v>
      </c>
      <c r="D10" s="236">
        <v>0.12</v>
      </c>
      <c r="F10" s="232"/>
      <c r="G10" s="233" t="s">
        <v>331</v>
      </c>
      <c r="H10" s="233">
        <f>5*12</f>
        <v>60</v>
      </c>
      <c r="K10" s="1786"/>
    </row>
    <row r="11" spans="1:11" ht="15" customHeight="1" x14ac:dyDescent="0.25">
      <c r="A11" s="232"/>
      <c r="B11" s="232"/>
      <c r="C11" s="233" t="s">
        <v>332</v>
      </c>
      <c r="D11" s="238">
        <v>45077</v>
      </c>
      <c r="F11" s="232"/>
      <c r="G11" s="233" t="s">
        <v>333</v>
      </c>
      <c r="H11" s="888" t="e">
        <f ca="1">SUM(C19:C798)</f>
        <v>#VALUE!</v>
      </c>
      <c r="K11" s="1786"/>
    </row>
    <row r="12" spans="1:11" ht="15" customHeight="1" x14ac:dyDescent="0.25">
      <c r="A12" s="232"/>
      <c r="B12" s="232"/>
      <c r="C12" s="233" t="s">
        <v>334</v>
      </c>
      <c r="D12" s="239">
        <v>365</v>
      </c>
      <c r="F12" s="232"/>
      <c r="G12" s="233" t="s">
        <v>335</v>
      </c>
      <c r="H12" s="888" t="e">
        <f ca="1">SUM(D18:D798)</f>
        <v>#VALUE!</v>
      </c>
      <c r="K12" s="1786"/>
    </row>
    <row r="13" spans="1:11" ht="15" customHeight="1" x14ac:dyDescent="0.25">
      <c r="G13" s="220" t="s">
        <v>337</v>
      </c>
      <c r="H13" s="220">
        <v>60</v>
      </c>
      <c r="K13" s="1786"/>
    </row>
    <row r="14" spans="1:11" ht="15" x14ac:dyDescent="0.25">
      <c r="C14" s="240" t="s">
        <v>336</v>
      </c>
      <c r="D14" s="241">
        <f>PMT(D10/12,H10,D9,0,1)</f>
        <v>0</v>
      </c>
      <c r="K14" s="1786"/>
    </row>
    <row r="15" spans="1:11" x14ac:dyDescent="0.25">
      <c r="K15" s="1786"/>
    </row>
    <row r="16" spans="1:11" ht="15.6" x14ac:dyDescent="0.3">
      <c r="A16" s="1788" t="s">
        <v>338</v>
      </c>
      <c r="B16" s="1788"/>
      <c r="C16" s="1788"/>
      <c r="D16" s="1788"/>
      <c r="E16" s="242"/>
      <c r="F16" s="242"/>
      <c r="G16" s="242"/>
      <c r="H16" s="223" t="s">
        <v>339</v>
      </c>
      <c r="K16" s="243" t="s">
        <v>340</v>
      </c>
    </row>
    <row r="17" spans="1:131" ht="30" customHeight="1" thickBot="1" x14ac:dyDescent="0.3">
      <c r="A17" s="244" t="s">
        <v>341</v>
      </c>
      <c r="B17" s="245" t="s">
        <v>342</v>
      </c>
      <c r="C17" s="245" t="s">
        <v>343</v>
      </c>
      <c r="D17" s="245" t="s">
        <v>344</v>
      </c>
      <c r="E17" s="245" t="s">
        <v>378</v>
      </c>
      <c r="F17" s="245" t="s">
        <v>345</v>
      </c>
      <c r="G17" s="245" t="s">
        <v>346</v>
      </c>
      <c r="H17" s="245" t="s">
        <v>347</v>
      </c>
      <c r="K17" s="246"/>
      <c r="M17" s="247"/>
    </row>
    <row r="18" spans="1:131" x14ac:dyDescent="0.25">
      <c r="A18" s="1302"/>
      <c r="B18" s="1303">
        <f>D11-1</f>
        <v>45076</v>
      </c>
      <c r="C18" s="1304" t="s">
        <v>348</v>
      </c>
      <c r="D18" s="1304" t="s">
        <v>348</v>
      </c>
      <c r="E18" s="1305"/>
      <c r="F18" s="1306">
        <v>0</v>
      </c>
      <c r="G18" s="1307">
        <f>$D$9</f>
        <v>0</v>
      </c>
      <c r="H18" s="1307">
        <f>F18+G18</f>
        <v>0</v>
      </c>
      <c r="I18" s="253"/>
      <c r="J18" s="253"/>
      <c r="L18" s="220">
        <v>2021</v>
      </c>
      <c r="M18" s="220">
        <f t="shared" ref="M18:W18" si="0">L18+1</f>
        <v>2022</v>
      </c>
      <c r="N18" s="220">
        <f t="shared" si="0"/>
        <v>2023</v>
      </c>
      <c r="O18" s="220">
        <f t="shared" si="0"/>
        <v>2024</v>
      </c>
      <c r="P18" s="220">
        <f t="shared" si="0"/>
        <v>2025</v>
      </c>
      <c r="Q18" s="220">
        <f t="shared" si="0"/>
        <v>2026</v>
      </c>
      <c r="R18" s="220">
        <f t="shared" si="0"/>
        <v>2027</v>
      </c>
      <c r="S18" s="220">
        <f t="shared" si="0"/>
        <v>2028</v>
      </c>
      <c r="T18" s="220">
        <f t="shared" si="0"/>
        <v>2029</v>
      </c>
      <c r="U18" s="220">
        <f t="shared" si="0"/>
        <v>2030</v>
      </c>
      <c r="V18" s="220">
        <f t="shared" si="0"/>
        <v>2031</v>
      </c>
      <c r="W18" s="220">
        <f t="shared" si="0"/>
        <v>2032</v>
      </c>
    </row>
    <row r="19" spans="1:131" x14ac:dyDescent="0.25">
      <c r="A19" s="254">
        <v>1</v>
      </c>
      <c r="B19" s="255">
        <f>IF(A19&lt;$H$10+1,DATE(YEAR(B18),MONTH(B18)+1,1),"")</f>
        <v>45078</v>
      </c>
      <c r="C19" s="256">
        <f>-D14</f>
        <v>0</v>
      </c>
      <c r="D19" s="257">
        <f t="shared" ref="D19:D82" si="1">IF(B19="","",ROUND((B19-B18)*$H$9*G18,2))</f>
        <v>0</v>
      </c>
      <c r="E19" s="253">
        <f t="shared" ref="E19" si="2">IF(B19="","",C19-D19)</f>
        <v>0</v>
      </c>
      <c r="F19" s="257">
        <f t="shared" ref="F19:F82" si="3">IF(B19="","",IF(C19&gt;F18+D19,0,F18+D19-C19))</f>
        <v>0</v>
      </c>
      <c r="G19" s="257">
        <f t="shared" ref="G19:G82" si="4">IF(B19="","",IF(C19&gt;D19+F18,G18+F18+D19-C19,G18))</f>
        <v>0</v>
      </c>
      <c r="H19" s="257">
        <f t="shared" ref="H19:H82" si="5">IF(B19="","",G19+F19)</f>
        <v>0</v>
      </c>
      <c r="I19" s="220">
        <f t="shared" ref="I19:I82" si="6">YEAR(B19)</f>
        <v>2023</v>
      </c>
      <c r="K19" s="226" t="s">
        <v>349</v>
      </c>
      <c r="L19" s="260">
        <v>0</v>
      </c>
      <c r="M19" s="258">
        <f t="shared" ref="M19:W19" si="7">L23</f>
        <v>0</v>
      </c>
      <c r="N19" s="258">
        <f t="shared" ca="1" si="7"/>
        <v>0</v>
      </c>
      <c r="O19" s="258">
        <f t="shared" ca="1" si="7"/>
        <v>0</v>
      </c>
      <c r="P19" s="258">
        <f t="shared" ca="1" si="7"/>
        <v>0</v>
      </c>
      <c r="Q19" s="258">
        <f t="shared" ca="1" si="7"/>
        <v>0</v>
      </c>
      <c r="R19" s="258">
        <f t="shared" ca="1" si="7"/>
        <v>0</v>
      </c>
      <c r="S19" s="258">
        <f t="shared" ca="1" si="7"/>
        <v>0</v>
      </c>
      <c r="T19" s="258">
        <f t="shared" ca="1" si="7"/>
        <v>0</v>
      </c>
      <c r="U19" s="258">
        <f t="shared" ca="1" si="7"/>
        <v>0</v>
      </c>
      <c r="V19" s="258">
        <f t="shared" ca="1" si="7"/>
        <v>0</v>
      </c>
      <c r="W19" s="258">
        <f t="shared" ca="1" si="7"/>
        <v>0</v>
      </c>
    </row>
    <row r="20" spans="1:131" x14ac:dyDescent="0.25">
      <c r="A20" s="254" t="str">
        <f t="shared" ref="A20:A36" ca="1" si="8">IF(OR(H19&lt;=0,H19=""),"",OFFSET(A20,-1,0,1,1)+1)</f>
        <v/>
      </c>
      <c r="B20" s="255" t="str">
        <f t="shared" ref="B20:B83" ca="1" si="9">IF(A20&lt;$H$10+1,DATE(YEAR(B19),MONTH(B19)+1,1),"")</f>
        <v/>
      </c>
      <c r="C20" s="256" t="str">
        <f ca="1">IF(OR(A20=$H$10,A20=$H$13),D20+G19,IF(A20&lt;$H$10,C19,""))</f>
        <v/>
      </c>
      <c r="D20" s="257" t="str">
        <f t="shared" ca="1" si="1"/>
        <v/>
      </c>
      <c r="E20" s="253" t="str">
        <f ca="1">IF(B20="","",C20-D20)</f>
        <v/>
      </c>
      <c r="F20" s="257" t="str">
        <f t="shared" ca="1" si="3"/>
        <v/>
      </c>
      <c r="G20" s="257" t="str">
        <f t="shared" ca="1" si="4"/>
        <v/>
      </c>
      <c r="H20" s="257" t="str">
        <f t="shared" ca="1" si="5"/>
        <v/>
      </c>
      <c r="I20" s="220" t="e">
        <f t="shared" ca="1" si="6"/>
        <v>#VALUE!</v>
      </c>
      <c r="K20" s="226" t="s">
        <v>343</v>
      </c>
      <c r="L20" s="259">
        <f ca="1">SUMIF($I$19:$I$138,L18,$C$19:$C$138)</f>
        <v>0</v>
      </c>
      <c r="M20" s="259">
        <f t="shared" ref="M20:W20" ca="1" si="10">IF(M18=YEAR($D$11)+$H$10/12,L23+M21,IF(M19&lt;SUMIF($I$19:$I$138,M18,$C$19:$C$138),M19+M21,SUMIF($I$19:$I$138,M18,$C$19:$C$138)))</f>
        <v>0</v>
      </c>
      <c r="N20" s="259">
        <f t="shared" ca="1" si="10"/>
        <v>0</v>
      </c>
      <c r="O20" s="259">
        <f t="shared" ca="1" si="10"/>
        <v>0</v>
      </c>
      <c r="P20" s="259">
        <f t="shared" ca="1" si="10"/>
        <v>0</v>
      </c>
      <c r="Q20" s="259">
        <f t="shared" ca="1" si="10"/>
        <v>0</v>
      </c>
      <c r="R20" s="259">
        <f t="shared" ca="1" si="10"/>
        <v>0</v>
      </c>
      <c r="S20" s="259">
        <f t="shared" ca="1" si="10"/>
        <v>0</v>
      </c>
      <c r="T20" s="259">
        <f t="shared" ca="1" si="10"/>
        <v>0</v>
      </c>
      <c r="U20" s="259">
        <f t="shared" ca="1" si="10"/>
        <v>0</v>
      </c>
      <c r="V20" s="259">
        <f t="shared" ca="1" si="10"/>
        <v>0</v>
      </c>
      <c r="W20" s="259">
        <f t="shared" ca="1" si="10"/>
        <v>0</v>
      </c>
    </row>
    <row r="21" spans="1:131" x14ac:dyDescent="0.25">
      <c r="A21" s="254" t="str">
        <f t="shared" ca="1" si="8"/>
        <v/>
      </c>
      <c r="B21" s="255" t="str">
        <f t="shared" ca="1" si="9"/>
        <v/>
      </c>
      <c r="C21" s="256" t="str">
        <f ca="1">IF(OR(A21=$H$10,A21=$H$13),D21+G20,IF(A21&lt;$H$10,C20,""))</f>
        <v/>
      </c>
      <c r="D21" s="257" t="str">
        <f t="shared" ca="1" si="1"/>
        <v/>
      </c>
      <c r="E21" s="253" t="str">
        <f t="shared" ref="E21:E84" ca="1" si="11">IF(B21="","",C21-D21)</f>
        <v/>
      </c>
      <c r="F21" s="257" t="str">
        <f ca="1">IF(B21="","",IF(C21&gt;F20+D21,0,F20+D21-C21))</f>
        <v/>
      </c>
      <c r="G21" s="257" t="str">
        <f t="shared" ca="1" si="4"/>
        <v/>
      </c>
      <c r="H21" s="257" t="str">
        <f t="shared" ca="1" si="5"/>
        <v/>
      </c>
      <c r="I21" s="220" t="e">
        <f t="shared" ca="1" si="6"/>
        <v>#VALUE!</v>
      </c>
      <c r="K21" s="226" t="s">
        <v>350</v>
      </c>
      <c r="L21" s="260">
        <f ca="1">SUMIF($I$19:$I$138,L18,$D$19:$D$138)</f>
        <v>0</v>
      </c>
      <c r="M21" s="260">
        <f t="shared" ref="M21:W21" ca="1" si="12">IF(SUMIF($I$19:$I$138,M18,$D$19:$D$138)&gt;0,SUMIF($I$19:$I$138,M18,$D$19:$D$138),0)</f>
        <v>0</v>
      </c>
      <c r="N21" s="260">
        <f t="shared" ca="1" si="12"/>
        <v>0</v>
      </c>
      <c r="O21" s="260">
        <f t="shared" ca="1" si="12"/>
        <v>0</v>
      </c>
      <c r="P21" s="260">
        <f t="shared" ca="1" si="12"/>
        <v>0</v>
      </c>
      <c r="Q21" s="260">
        <f t="shared" ca="1" si="12"/>
        <v>0</v>
      </c>
      <c r="R21" s="260">
        <f t="shared" ca="1" si="12"/>
        <v>0</v>
      </c>
      <c r="S21" s="260">
        <f t="shared" ca="1" si="12"/>
        <v>0</v>
      </c>
      <c r="T21" s="260">
        <f t="shared" ca="1" si="12"/>
        <v>0</v>
      </c>
      <c r="U21" s="260">
        <f t="shared" ca="1" si="12"/>
        <v>0</v>
      </c>
      <c r="V21" s="260">
        <f t="shared" ca="1" si="12"/>
        <v>0</v>
      </c>
      <c r="W21" s="260">
        <f t="shared" ca="1" si="12"/>
        <v>0</v>
      </c>
    </row>
    <row r="22" spans="1:131" x14ac:dyDescent="0.25">
      <c r="A22" s="254" t="str">
        <f t="shared" ca="1" si="8"/>
        <v/>
      </c>
      <c r="B22" s="255" t="str">
        <f t="shared" ca="1" si="9"/>
        <v/>
      </c>
      <c r="C22" s="256" t="str">
        <f ca="1">IF(OR(A22=$H$10,A22=$H$13),D22+G21,IF(A22&lt;$H$10,C21,""))</f>
        <v/>
      </c>
      <c r="D22" s="257" t="str">
        <f ca="1">IF(B22="","",ROUND((B22-B21)*$H$9*G21,2))</f>
        <v/>
      </c>
      <c r="E22" s="253" t="str">
        <f t="shared" ca="1" si="11"/>
        <v/>
      </c>
      <c r="F22" s="257" t="str">
        <f t="shared" ca="1" si="3"/>
        <v/>
      </c>
      <c r="G22" s="257" t="str">
        <f ca="1">IF(B22="","",IF(C22&gt;D22+F21,G21+F21+D22-C22,G21))</f>
        <v/>
      </c>
      <c r="H22" s="257" t="str">
        <f t="shared" ca="1" si="5"/>
        <v/>
      </c>
      <c r="I22" s="220" t="e">
        <f t="shared" ca="1" si="6"/>
        <v>#VALUE!</v>
      </c>
      <c r="K22" s="226" t="s">
        <v>532</v>
      </c>
      <c r="L22" s="258">
        <f t="shared" ref="L22:W22" ca="1" si="13">L20-L21</f>
        <v>0</v>
      </c>
      <c r="M22" s="258">
        <f t="shared" ca="1" si="13"/>
        <v>0</v>
      </c>
      <c r="N22" s="258">
        <f t="shared" ca="1" si="13"/>
        <v>0</v>
      </c>
      <c r="O22" s="258">
        <f t="shared" ca="1" si="13"/>
        <v>0</v>
      </c>
      <c r="P22" s="258">
        <f t="shared" ca="1" si="13"/>
        <v>0</v>
      </c>
      <c r="Q22" s="258">
        <f t="shared" ca="1" si="13"/>
        <v>0</v>
      </c>
      <c r="R22" s="258">
        <f t="shared" ca="1" si="13"/>
        <v>0</v>
      </c>
      <c r="S22" s="258">
        <f t="shared" ca="1" si="13"/>
        <v>0</v>
      </c>
      <c r="T22" s="258">
        <f t="shared" ca="1" si="13"/>
        <v>0</v>
      </c>
      <c r="U22" s="258">
        <f t="shared" ca="1" si="13"/>
        <v>0</v>
      </c>
      <c r="V22" s="258">
        <f t="shared" ca="1" si="13"/>
        <v>0</v>
      </c>
      <c r="W22" s="258">
        <f t="shared" ca="1" si="13"/>
        <v>0</v>
      </c>
    </row>
    <row r="23" spans="1:131" x14ac:dyDescent="0.25">
      <c r="A23" s="254" t="str">
        <f t="shared" ca="1" si="8"/>
        <v/>
      </c>
      <c r="B23" s="255" t="str">
        <f t="shared" ca="1" si="9"/>
        <v/>
      </c>
      <c r="C23" s="256" t="str">
        <f ca="1">IF(OR(A23=$H$10,A23=$H$13),D23+G22,IF(A23&lt;$H$10,C22,""))</f>
        <v/>
      </c>
      <c r="D23" s="257" t="str">
        <f t="shared" ca="1" si="1"/>
        <v/>
      </c>
      <c r="E23" s="253" t="str">
        <f t="shared" ca="1" si="11"/>
        <v/>
      </c>
      <c r="F23" s="257" t="str">
        <f t="shared" ca="1" si="3"/>
        <v/>
      </c>
      <c r="G23" s="257" t="str">
        <f t="shared" ca="1" si="4"/>
        <v/>
      </c>
      <c r="H23" s="257" t="str">
        <f t="shared" ca="1" si="5"/>
        <v/>
      </c>
      <c r="I23" s="220" t="e">
        <f t="shared" ca="1" si="6"/>
        <v>#VALUE!</v>
      </c>
      <c r="J23" s="253">
        <f ca="1">SUM(C19:C23)</f>
        <v>0</v>
      </c>
      <c r="K23" s="226" t="s">
        <v>353</v>
      </c>
      <c r="L23" s="258">
        <f>G18</f>
        <v>0</v>
      </c>
      <c r="M23" s="258">
        <f t="shared" ref="M23:W23" ca="1" si="14">M19-M22</f>
        <v>0</v>
      </c>
      <c r="N23" s="258">
        <f t="shared" ca="1" si="14"/>
        <v>0</v>
      </c>
      <c r="O23" s="258">
        <f t="shared" ca="1" si="14"/>
        <v>0</v>
      </c>
      <c r="P23" s="258">
        <f t="shared" ca="1" si="14"/>
        <v>0</v>
      </c>
      <c r="Q23" s="258">
        <f t="shared" ca="1" si="14"/>
        <v>0</v>
      </c>
      <c r="R23" s="258">
        <f t="shared" ca="1" si="14"/>
        <v>0</v>
      </c>
      <c r="S23" s="258">
        <f t="shared" ca="1" si="14"/>
        <v>0</v>
      </c>
      <c r="T23" s="258">
        <f t="shared" ca="1" si="14"/>
        <v>0</v>
      </c>
      <c r="U23" s="258">
        <f t="shared" ca="1" si="14"/>
        <v>0</v>
      </c>
      <c r="V23" s="258">
        <f t="shared" ca="1" si="14"/>
        <v>0</v>
      </c>
      <c r="W23" s="258">
        <f t="shared" ca="1" si="14"/>
        <v>0</v>
      </c>
    </row>
    <row r="24" spans="1:131" x14ac:dyDescent="0.25">
      <c r="A24" s="254" t="str">
        <f t="shared" ca="1" si="8"/>
        <v/>
      </c>
      <c r="B24" s="255" t="str">
        <f t="shared" ca="1" si="9"/>
        <v/>
      </c>
      <c r="C24" s="256" t="str">
        <f t="shared" ref="C24:C32" ca="1" si="15">IF(OR(A24=$H$10,A24=$H$13),D24+G23,IF(A24&lt;$H$10,C23,""))</f>
        <v/>
      </c>
      <c r="D24" s="257" t="str">
        <f t="shared" ca="1" si="1"/>
        <v/>
      </c>
      <c r="E24" s="253" t="str">
        <f t="shared" ca="1" si="11"/>
        <v/>
      </c>
      <c r="F24" s="257" t="str">
        <f t="shared" ca="1" si="3"/>
        <v/>
      </c>
      <c r="G24" s="257" t="str">
        <f t="shared" ca="1" si="4"/>
        <v/>
      </c>
      <c r="H24" s="257" t="str">
        <f t="shared" ca="1" si="5"/>
        <v/>
      </c>
      <c r="I24" s="220" t="e">
        <f t="shared" ca="1" si="6"/>
        <v>#VALUE!</v>
      </c>
      <c r="K24" s="261" t="s">
        <v>354</v>
      </c>
      <c r="L24" s="262">
        <v>0</v>
      </c>
      <c r="M24" s="262">
        <v>0</v>
      </c>
      <c r="N24" s="262">
        <v>0</v>
      </c>
      <c r="O24" s="262">
        <v>0</v>
      </c>
      <c r="P24" s="262">
        <v>0</v>
      </c>
      <c r="Q24" s="262">
        <v>0</v>
      </c>
      <c r="R24" s="262"/>
    </row>
    <row r="25" spans="1:131" x14ac:dyDescent="0.25">
      <c r="A25" s="254" t="str">
        <f t="shared" ca="1" si="8"/>
        <v/>
      </c>
      <c r="B25" s="255" t="str">
        <f t="shared" ca="1" si="9"/>
        <v/>
      </c>
      <c r="C25" s="256" t="str">
        <f t="shared" ca="1" si="15"/>
        <v/>
      </c>
      <c r="D25" s="257" t="str">
        <f t="shared" ca="1" si="1"/>
        <v/>
      </c>
      <c r="E25" s="253" t="str">
        <f t="shared" ca="1" si="11"/>
        <v/>
      </c>
      <c r="F25" s="257" t="str">
        <f t="shared" ca="1" si="3"/>
        <v/>
      </c>
      <c r="G25" s="257" t="str">
        <f t="shared" ca="1" si="4"/>
        <v/>
      </c>
      <c r="H25" s="257" t="str">
        <f t="shared" ca="1" si="5"/>
        <v/>
      </c>
      <c r="I25" s="220" t="e">
        <f t="shared" ca="1" si="6"/>
        <v>#VALUE!</v>
      </c>
      <c r="K25" s="892"/>
      <c r="L25" s="220">
        <v>-24.029650617966269</v>
      </c>
      <c r="M25" s="220">
        <v>-56.235717621653464</v>
      </c>
      <c r="N25" s="220">
        <v>-31.512220076247672</v>
      </c>
      <c r="O25" s="220">
        <v>-6.6508553360682754</v>
      </c>
    </row>
    <row r="26" spans="1:131" x14ac:dyDescent="0.25">
      <c r="A26" s="254" t="str">
        <f t="shared" ca="1" si="8"/>
        <v/>
      </c>
      <c r="B26" s="255" t="str">
        <f t="shared" ca="1" si="9"/>
        <v/>
      </c>
      <c r="C26" s="256" t="str">
        <f t="shared" ca="1" si="15"/>
        <v/>
      </c>
      <c r="D26" s="257" t="str">
        <f t="shared" ca="1" si="1"/>
        <v/>
      </c>
      <c r="E26" s="253" t="str">
        <f t="shared" ca="1" si="11"/>
        <v/>
      </c>
      <c r="F26" s="257" t="str">
        <f t="shared" ca="1" si="3"/>
        <v/>
      </c>
      <c r="G26" s="257" t="str">
        <f t="shared" ca="1" si="4"/>
        <v/>
      </c>
      <c r="H26" s="257" t="str">
        <f t="shared" ca="1" si="5"/>
        <v/>
      </c>
      <c r="I26" s="220" t="e">
        <f t="shared" ca="1" si="6"/>
        <v>#VALUE!</v>
      </c>
      <c r="K26" s="263"/>
    </row>
    <row r="27" spans="1:131" x14ac:dyDescent="0.25">
      <c r="A27" s="254" t="str">
        <f t="shared" ca="1" si="8"/>
        <v/>
      </c>
      <c r="B27" s="255" t="str">
        <f t="shared" ca="1" si="9"/>
        <v/>
      </c>
      <c r="C27" s="256" t="str">
        <f t="shared" ca="1" si="15"/>
        <v/>
      </c>
      <c r="D27" s="257" t="str">
        <f t="shared" ca="1" si="1"/>
        <v/>
      </c>
      <c r="E27" s="253" t="str">
        <f t="shared" ca="1" si="11"/>
        <v/>
      </c>
      <c r="F27" s="257" t="str">
        <f t="shared" ca="1" si="3"/>
        <v/>
      </c>
      <c r="G27" s="257" t="str">
        <f ca="1">IF(B27="","",IF(C27&gt;D27+F26,G26+F26+D27-C27,G26))</f>
        <v/>
      </c>
      <c r="H27" s="257" t="str">
        <f t="shared" ca="1" si="5"/>
        <v/>
      </c>
      <c r="I27" s="220" t="e">
        <f t="shared" ca="1" si="6"/>
        <v>#VALUE!</v>
      </c>
    </row>
    <row r="28" spans="1:131" x14ac:dyDescent="0.25">
      <c r="A28" s="254" t="str">
        <f t="shared" ca="1" si="8"/>
        <v/>
      </c>
      <c r="B28" s="255" t="str">
        <f t="shared" ca="1" si="9"/>
        <v/>
      </c>
      <c r="C28" s="256" t="str">
        <f ca="1">IF(OR(A28=$H$10,A28=$H$13),D28+G27,IF(A28&lt;$H$10,C27,""))</f>
        <v/>
      </c>
      <c r="D28" s="257" t="str">
        <f t="shared" ca="1" si="1"/>
        <v/>
      </c>
      <c r="E28" s="253" t="str">
        <f t="shared" ca="1" si="11"/>
        <v/>
      </c>
      <c r="F28" s="257" t="str">
        <f t="shared" ca="1" si="3"/>
        <v/>
      </c>
      <c r="G28" s="257" t="str">
        <f t="shared" ca="1" si="4"/>
        <v/>
      </c>
      <c r="H28" s="257" t="str">
        <f t="shared" ca="1" si="5"/>
        <v/>
      </c>
      <c r="I28" s="220" t="e">
        <f t="shared" ca="1" si="6"/>
        <v>#VALUE!</v>
      </c>
    </row>
    <row r="29" spans="1:131" x14ac:dyDescent="0.25">
      <c r="A29" s="254" t="str">
        <f t="shared" ca="1" si="8"/>
        <v/>
      </c>
      <c r="B29" s="255" t="str">
        <f t="shared" ca="1" si="9"/>
        <v/>
      </c>
      <c r="C29" s="256" t="str">
        <f ca="1">IF(OR(A29=$H$10,A29=$H$13),D29+G28,IF(A29&lt;$H$10,C28,""))</f>
        <v/>
      </c>
      <c r="D29" s="257" t="str">
        <f t="shared" ca="1" si="1"/>
        <v/>
      </c>
      <c r="E29" s="253" t="str">
        <f t="shared" ca="1" si="11"/>
        <v/>
      </c>
      <c r="F29" s="257" t="str">
        <f t="shared" ca="1" si="3"/>
        <v/>
      </c>
      <c r="G29" s="257" t="str">
        <f t="shared" ca="1" si="4"/>
        <v/>
      </c>
      <c r="H29" s="257" t="str">
        <f t="shared" ca="1" si="5"/>
        <v/>
      </c>
      <c r="I29" s="220" t="e">
        <f t="shared" ca="1" si="6"/>
        <v>#VALUE!</v>
      </c>
      <c r="L29" s="220">
        <v>1</v>
      </c>
      <c r="M29" s="220">
        <v>2</v>
      </c>
      <c r="N29" s="220">
        <v>3</v>
      </c>
      <c r="O29" s="220">
        <v>4</v>
      </c>
      <c r="P29" s="220">
        <v>5</v>
      </c>
      <c r="Q29" s="220">
        <v>6</v>
      </c>
      <c r="R29" s="220">
        <v>7</v>
      </c>
      <c r="S29" s="220">
        <v>8</v>
      </c>
      <c r="T29" s="220">
        <v>9</v>
      </c>
      <c r="U29" s="220">
        <v>10</v>
      </c>
      <c r="V29" s="220">
        <v>11</v>
      </c>
      <c r="W29" s="220">
        <v>12</v>
      </c>
      <c r="X29" s="220">
        <v>13</v>
      </c>
      <c r="Y29" s="220">
        <v>14</v>
      </c>
      <c r="Z29" s="220">
        <v>15</v>
      </c>
      <c r="AA29" s="220">
        <v>16</v>
      </c>
      <c r="AB29" s="220">
        <v>17</v>
      </c>
      <c r="AC29" s="220">
        <v>18</v>
      </c>
      <c r="AD29" s="220">
        <v>19</v>
      </c>
      <c r="AE29" s="220">
        <v>20</v>
      </c>
      <c r="AF29" s="220">
        <v>21</v>
      </c>
      <c r="AG29" s="220">
        <v>22</v>
      </c>
      <c r="AH29" s="220">
        <v>23</v>
      </c>
      <c r="AI29" s="220">
        <v>24</v>
      </c>
      <c r="AJ29" s="220">
        <v>25</v>
      </c>
      <c r="AK29" s="220">
        <v>26</v>
      </c>
      <c r="AL29" s="220">
        <v>27</v>
      </c>
      <c r="AM29" s="220">
        <v>28</v>
      </c>
      <c r="AN29" s="220">
        <v>29</v>
      </c>
      <c r="AO29" s="220">
        <v>30</v>
      </c>
      <c r="AP29" s="220">
        <v>31</v>
      </c>
      <c r="AQ29" s="220">
        <v>32</v>
      </c>
      <c r="AR29" s="220">
        <v>33</v>
      </c>
      <c r="AS29" s="220">
        <v>34</v>
      </c>
      <c r="AT29" s="220">
        <v>35</v>
      </c>
      <c r="AU29" s="220">
        <v>36</v>
      </c>
      <c r="AV29" s="220">
        <v>37</v>
      </c>
      <c r="AW29" s="220">
        <v>38</v>
      </c>
      <c r="AX29" s="220">
        <v>39</v>
      </c>
      <c r="AY29" s="220">
        <v>40</v>
      </c>
      <c r="AZ29" s="220">
        <v>41</v>
      </c>
      <c r="BA29" s="220">
        <v>42</v>
      </c>
      <c r="BB29" s="220">
        <v>43</v>
      </c>
      <c r="BC29" s="220">
        <v>44</v>
      </c>
      <c r="BD29" s="220">
        <v>45</v>
      </c>
      <c r="BE29" s="220">
        <v>46</v>
      </c>
      <c r="BF29" s="220">
        <v>47</v>
      </c>
      <c r="BG29" s="220">
        <v>48</v>
      </c>
      <c r="BH29" s="220">
        <v>49</v>
      </c>
      <c r="BI29" s="220">
        <v>50</v>
      </c>
      <c r="BJ29" s="220">
        <v>51</v>
      </c>
      <c r="BK29" s="220">
        <v>52</v>
      </c>
      <c r="BL29" s="220">
        <v>53</v>
      </c>
      <c r="BM29" s="220">
        <v>54</v>
      </c>
      <c r="BN29" s="220">
        <v>55</v>
      </c>
      <c r="BO29" s="220">
        <v>56</v>
      </c>
      <c r="BP29" s="220">
        <v>57</v>
      </c>
      <c r="BQ29" s="220">
        <v>58</v>
      </c>
      <c r="BR29" s="220">
        <v>59</v>
      </c>
      <c r="BS29" s="220">
        <v>60</v>
      </c>
      <c r="BT29" s="220">
        <v>61</v>
      </c>
      <c r="BU29" s="220">
        <v>62</v>
      </c>
      <c r="BV29" s="220">
        <v>63</v>
      </c>
      <c r="BW29" s="220">
        <v>64</v>
      </c>
      <c r="BX29" s="220">
        <v>65</v>
      </c>
      <c r="BY29" s="220">
        <v>66</v>
      </c>
      <c r="BZ29" s="220">
        <v>67</v>
      </c>
      <c r="CA29" s="220">
        <v>68</v>
      </c>
      <c r="CB29" s="220">
        <v>69</v>
      </c>
      <c r="CC29" s="220">
        <v>70</v>
      </c>
      <c r="CD29" s="220">
        <v>71</v>
      </c>
      <c r="CE29" s="220">
        <v>72</v>
      </c>
      <c r="CF29" s="220">
        <v>73</v>
      </c>
      <c r="CG29" s="220">
        <v>74</v>
      </c>
      <c r="CH29" s="220">
        <v>75</v>
      </c>
      <c r="CI29" s="220">
        <v>76</v>
      </c>
      <c r="CJ29" s="220">
        <v>77</v>
      </c>
      <c r="CK29" s="220">
        <v>78</v>
      </c>
      <c r="CL29" s="220">
        <v>79</v>
      </c>
      <c r="CM29" s="220">
        <v>80</v>
      </c>
      <c r="CN29" s="220">
        <v>81</v>
      </c>
      <c r="CO29" s="220">
        <v>82</v>
      </c>
      <c r="CP29" s="220">
        <v>83</v>
      </c>
      <c r="CQ29" s="220">
        <v>84</v>
      </c>
      <c r="CR29" s="220">
        <v>85</v>
      </c>
      <c r="CS29" s="220">
        <v>86</v>
      </c>
      <c r="CT29" s="220">
        <v>87</v>
      </c>
      <c r="CU29" s="220">
        <v>88</v>
      </c>
      <c r="CV29" s="220">
        <v>89</v>
      </c>
      <c r="CW29" s="220">
        <v>90</v>
      </c>
      <c r="CX29" s="220">
        <v>91</v>
      </c>
      <c r="CY29" s="220">
        <v>92</v>
      </c>
      <c r="CZ29" s="220">
        <v>93</v>
      </c>
      <c r="DA29" s="220">
        <v>94</v>
      </c>
      <c r="DB29" s="220">
        <v>95</v>
      </c>
      <c r="DC29" s="220">
        <v>96</v>
      </c>
      <c r="DD29" s="220">
        <v>97</v>
      </c>
      <c r="DE29" s="220">
        <v>98</v>
      </c>
      <c r="DF29" s="220">
        <v>99</v>
      </c>
      <c r="DG29" s="220">
        <v>100</v>
      </c>
      <c r="DH29" s="220">
        <v>101</v>
      </c>
      <c r="DI29" s="220">
        <v>102</v>
      </c>
      <c r="DJ29" s="220">
        <v>103</v>
      </c>
      <c r="DK29" s="220">
        <v>104</v>
      </c>
      <c r="DL29" s="220">
        <v>105</v>
      </c>
      <c r="DM29" s="220">
        <v>106</v>
      </c>
      <c r="DN29" s="220">
        <v>107</v>
      </c>
      <c r="DO29" s="220">
        <v>108</v>
      </c>
      <c r="DP29" s="220">
        <v>109</v>
      </c>
      <c r="DQ29" s="220">
        <v>110</v>
      </c>
      <c r="DR29" s="220">
        <v>111</v>
      </c>
      <c r="DS29" s="220">
        <v>112</v>
      </c>
      <c r="DT29" s="220">
        <v>113</v>
      </c>
      <c r="DU29" s="220">
        <v>114</v>
      </c>
      <c r="DV29" s="220">
        <v>115</v>
      </c>
      <c r="DW29" s="220">
        <v>116</v>
      </c>
      <c r="DX29" s="220">
        <v>117</v>
      </c>
      <c r="DY29" s="220">
        <v>118</v>
      </c>
      <c r="DZ29" s="220">
        <v>119</v>
      </c>
      <c r="EA29" s="220">
        <v>120</v>
      </c>
    </row>
    <row r="30" spans="1:131" x14ac:dyDescent="0.25">
      <c r="A30" s="254" t="str">
        <f t="shared" ca="1" si="8"/>
        <v/>
      </c>
      <c r="B30" s="255" t="str">
        <f t="shared" ca="1" si="9"/>
        <v/>
      </c>
      <c r="C30" s="256" t="str">
        <f t="shared" ca="1" si="15"/>
        <v/>
      </c>
      <c r="D30" s="257" t="str">
        <f t="shared" ca="1" si="1"/>
        <v/>
      </c>
      <c r="E30" s="253" t="str">
        <f t="shared" ca="1" si="11"/>
        <v/>
      </c>
      <c r="F30" s="257" t="str">
        <f t="shared" ca="1" si="3"/>
        <v/>
      </c>
      <c r="G30" s="257" t="str">
        <f t="shared" ca="1" si="4"/>
        <v/>
      </c>
      <c r="H30" s="257" t="str">
        <f t="shared" ca="1" si="5"/>
        <v/>
      </c>
      <c r="I30" s="220" t="e">
        <f t="shared" ca="1" si="6"/>
        <v>#VALUE!</v>
      </c>
      <c r="K30" s="220" t="s">
        <v>378</v>
      </c>
      <c r="L30" s="1521">
        <f t="array" ref="L30:EA30">TRANSPOSE(E19:E138)</f>
        <v>0</v>
      </c>
      <c r="M30" s="1521" t="str">
        <f ca="1"/>
        <v/>
      </c>
      <c r="N30" s="1521" t="str">
        <f ca="1"/>
        <v/>
      </c>
      <c r="O30" s="1521" t="str">
        <f ca="1"/>
        <v/>
      </c>
      <c r="P30" s="1521" t="str">
        <f ca="1"/>
        <v/>
      </c>
      <c r="Q30" s="1521" t="str">
        <f ca="1"/>
        <v/>
      </c>
      <c r="R30" s="1521" t="str">
        <f ca="1"/>
        <v/>
      </c>
      <c r="S30" s="1521" t="str">
        <f ca="1"/>
        <v/>
      </c>
      <c r="T30" s="1521" t="str">
        <f ca="1"/>
        <v/>
      </c>
      <c r="U30" s="1521" t="str">
        <f ca="1"/>
        <v/>
      </c>
      <c r="V30" s="1521" t="str">
        <f ca="1"/>
        <v/>
      </c>
      <c r="W30" s="1521" t="str">
        <f ca="1"/>
        <v/>
      </c>
      <c r="X30" s="1521" t="str">
        <f ca="1"/>
        <v/>
      </c>
      <c r="Y30" s="1521" t="str">
        <f ca="1"/>
        <v/>
      </c>
      <c r="Z30" s="1521" t="str">
        <f ca="1"/>
        <v/>
      </c>
      <c r="AA30" s="1521" t="str">
        <f ca="1"/>
        <v/>
      </c>
      <c r="AB30" s="1521" t="str">
        <f ca="1"/>
        <v/>
      </c>
      <c r="AC30" s="1521" t="str">
        <f ca="1"/>
        <v/>
      </c>
      <c r="AD30" s="1521" t="e">
        <f ca="1"/>
        <v>#VALUE!</v>
      </c>
      <c r="AE30" s="1521" t="e">
        <f ca="1"/>
        <v>#VALUE!</v>
      </c>
      <c r="AF30" s="1521" t="e">
        <f ca="1"/>
        <v>#VALUE!</v>
      </c>
      <c r="AG30" s="1521" t="e">
        <f ca="1"/>
        <v>#VALUE!</v>
      </c>
      <c r="AH30" s="1521" t="e">
        <f ca="1"/>
        <v>#VALUE!</v>
      </c>
      <c r="AI30" s="1521" t="e">
        <f ca="1"/>
        <v>#VALUE!</v>
      </c>
      <c r="AJ30" s="1521" t="e">
        <f ca="1"/>
        <v>#VALUE!</v>
      </c>
      <c r="AK30" s="1521" t="e">
        <f ca="1"/>
        <v>#VALUE!</v>
      </c>
      <c r="AL30" s="1521" t="e">
        <f ca="1"/>
        <v>#VALUE!</v>
      </c>
      <c r="AM30" s="1521" t="e">
        <f ca="1"/>
        <v>#VALUE!</v>
      </c>
      <c r="AN30" s="1521" t="e">
        <f ca="1"/>
        <v>#VALUE!</v>
      </c>
      <c r="AO30" s="1521" t="e">
        <f ca="1"/>
        <v>#VALUE!</v>
      </c>
      <c r="AP30" s="1521" t="e">
        <f ca="1"/>
        <v>#VALUE!</v>
      </c>
      <c r="AQ30" s="1521" t="e">
        <f ca="1"/>
        <v>#VALUE!</v>
      </c>
      <c r="AR30" s="1521" t="e">
        <f ca="1"/>
        <v>#VALUE!</v>
      </c>
      <c r="AS30" s="1521" t="e">
        <f ca="1"/>
        <v>#VALUE!</v>
      </c>
      <c r="AT30" s="1521" t="e">
        <f ca="1"/>
        <v>#VALUE!</v>
      </c>
      <c r="AU30" s="1521" t="e">
        <f ca="1"/>
        <v>#VALUE!</v>
      </c>
      <c r="AV30" s="1521" t="e">
        <f ca="1"/>
        <v>#VALUE!</v>
      </c>
      <c r="AW30" s="1521" t="e">
        <f ca="1"/>
        <v>#VALUE!</v>
      </c>
      <c r="AX30" s="1521" t="e">
        <f ca="1"/>
        <v>#VALUE!</v>
      </c>
      <c r="AY30" s="1521" t="e">
        <f ca="1"/>
        <v>#VALUE!</v>
      </c>
      <c r="AZ30" s="1521" t="e">
        <f ca="1"/>
        <v>#VALUE!</v>
      </c>
      <c r="BA30" s="1521" t="e">
        <f ca="1"/>
        <v>#VALUE!</v>
      </c>
      <c r="BB30" s="1521" t="e">
        <f ca="1"/>
        <v>#VALUE!</v>
      </c>
      <c r="BC30" s="1521" t="e">
        <f ca="1"/>
        <v>#VALUE!</v>
      </c>
      <c r="BD30" s="1521" t="e">
        <f ca="1"/>
        <v>#VALUE!</v>
      </c>
      <c r="BE30" s="1521" t="e">
        <f ca="1"/>
        <v>#VALUE!</v>
      </c>
      <c r="BF30" s="1521" t="e">
        <f ca="1"/>
        <v>#VALUE!</v>
      </c>
      <c r="BG30" s="1521" t="e">
        <f ca="1"/>
        <v>#VALUE!</v>
      </c>
      <c r="BH30" s="1521" t="e">
        <f ca="1"/>
        <v>#VALUE!</v>
      </c>
      <c r="BI30" s="1521" t="e">
        <f ca="1"/>
        <v>#VALUE!</v>
      </c>
      <c r="BJ30" s="1521" t="e">
        <f ca="1"/>
        <v>#VALUE!</v>
      </c>
      <c r="BK30" s="1521" t="e">
        <f ca="1"/>
        <v>#VALUE!</v>
      </c>
      <c r="BL30" s="1521" t="e">
        <f ca="1"/>
        <v>#VALUE!</v>
      </c>
      <c r="BM30" s="1521" t="e">
        <f ca="1"/>
        <v>#VALUE!</v>
      </c>
      <c r="BN30" s="1521" t="e">
        <f ca="1"/>
        <v>#VALUE!</v>
      </c>
      <c r="BO30" s="1521" t="e">
        <f ca="1"/>
        <v>#VALUE!</v>
      </c>
      <c r="BP30" s="1521" t="e">
        <f ca="1"/>
        <v>#VALUE!</v>
      </c>
      <c r="BQ30" s="1521" t="e">
        <f ca="1"/>
        <v>#VALUE!</v>
      </c>
      <c r="BR30" s="1521" t="e">
        <f ca="1"/>
        <v>#VALUE!</v>
      </c>
      <c r="BS30" s="1521" t="e">
        <f ca="1"/>
        <v>#VALUE!</v>
      </c>
      <c r="BT30" s="1521" t="e">
        <f ca="1"/>
        <v>#VALUE!</v>
      </c>
      <c r="BU30" s="1521" t="e">
        <f ca="1"/>
        <v>#VALUE!</v>
      </c>
      <c r="BV30" s="1521" t="e">
        <f ca="1"/>
        <v>#VALUE!</v>
      </c>
      <c r="BW30" s="1521" t="e">
        <f ca="1"/>
        <v>#VALUE!</v>
      </c>
      <c r="BX30" s="1521" t="e">
        <f ca="1"/>
        <v>#VALUE!</v>
      </c>
      <c r="BY30" s="1521" t="e">
        <f ca="1"/>
        <v>#VALUE!</v>
      </c>
      <c r="BZ30" s="1521" t="e">
        <f ca="1"/>
        <v>#VALUE!</v>
      </c>
      <c r="CA30" s="1521" t="e">
        <f ca="1"/>
        <v>#VALUE!</v>
      </c>
      <c r="CB30" s="1521" t="e">
        <f ca="1"/>
        <v>#VALUE!</v>
      </c>
      <c r="CC30" s="1521" t="e">
        <f ca="1"/>
        <v>#VALUE!</v>
      </c>
      <c r="CD30" s="1521" t="e">
        <f ca="1"/>
        <v>#VALUE!</v>
      </c>
      <c r="CE30" s="1521" t="e">
        <f ca="1"/>
        <v>#VALUE!</v>
      </c>
      <c r="CF30" s="1521" t="e">
        <f ca="1"/>
        <v>#VALUE!</v>
      </c>
      <c r="CG30" s="1521" t="e">
        <f ca="1"/>
        <v>#VALUE!</v>
      </c>
      <c r="CH30" s="1521" t="e">
        <f ca="1"/>
        <v>#VALUE!</v>
      </c>
      <c r="CI30" s="1521" t="e">
        <f ca="1"/>
        <v>#VALUE!</v>
      </c>
      <c r="CJ30" s="1521" t="e">
        <f ca="1"/>
        <v>#VALUE!</v>
      </c>
      <c r="CK30" s="1521" t="e">
        <f ca="1"/>
        <v>#VALUE!</v>
      </c>
      <c r="CL30" s="1521" t="e">
        <f ca="1"/>
        <v>#VALUE!</v>
      </c>
      <c r="CM30" s="1521" t="e">
        <f ca="1"/>
        <v>#VALUE!</v>
      </c>
      <c r="CN30" s="1521" t="e">
        <f ca="1"/>
        <v>#VALUE!</v>
      </c>
      <c r="CO30" s="1521" t="e">
        <f ca="1"/>
        <v>#VALUE!</v>
      </c>
      <c r="CP30" s="1521" t="e">
        <f ca="1"/>
        <v>#VALUE!</v>
      </c>
      <c r="CQ30" s="1521" t="e">
        <f ca="1"/>
        <v>#VALUE!</v>
      </c>
      <c r="CR30" s="1521" t="e">
        <f ca="1"/>
        <v>#VALUE!</v>
      </c>
      <c r="CS30" s="1521" t="e">
        <f ca="1"/>
        <v>#VALUE!</v>
      </c>
      <c r="CT30" s="1521" t="e">
        <f ca="1"/>
        <v>#VALUE!</v>
      </c>
      <c r="CU30" s="1521" t="e">
        <f ca="1"/>
        <v>#VALUE!</v>
      </c>
      <c r="CV30" s="1521" t="e">
        <f ca="1"/>
        <v>#VALUE!</v>
      </c>
      <c r="CW30" s="1521" t="e">
        <f ca="1"/>
        <v>#VALUE!</v>
      </c>
      <c r="CX30" s="1521" t="e">
        <f ca="1"/>
        <v>#VALUE!</v>
      </c>
      <c r="CY30" s="1521" t="e">
        <f ca="1"/>
        <v>#VALUE!</v>
      </c>
      <c r="CZ30" s="1521" t="e">
        <f ca="1"/>
        <v>#VALUE!</v>
      </c>
      <c r="DA30" s="1521" t="e">
        <f ca="1"/>
        <v>#VALUE!</v>
      </c>
      <c r="DB30" s="1521" t="e">
        <f ca="1"/>
        <v>#VALUE!</v>
      </c>
      <c r="DC30" s="1521" t="e">
        <f ca="1"/>
        <v>#VALUE!</v>
      </c>
      <c r="DD30" s="1521" t="e">
        <f ca="1"/>
        <v>#VALUE!</v>
      </c>
      <c r="DE30" s="1521" t="e">
        <f ca="1"/>
        <v>#VALUE!</v>
      </c>
      <c r="DF30" s="1521" t="e">
        <f ca="1"/>
        <v>#VALUE!</v>
      </c>
      <c r="DG30" s="1521" t="e">
        <f ca="1"/>
        <v>#VALUE!</v>
      </c>
      <c r="DH30" s="1521" t="e">
        <f ca="1"/>
        <v>#VALUE!</v>
      </c>
      <c r="DI30" s="1521" t="e">
        <f ca="1"/>
        <v>#VALUE!</v>
      </c>
      <c r="DJ30" s="1521" t="e">
        <f ca="1"/>
        <v>#VALUE!</v>
      </c>
      <c r="DK30" s="1521" t="e">
        <f ca="1"/>
        <v>#VALUE!</v>
      </c>
      <c r="DL30" s="1521" t="e">
        <f ca="1"/>
        <v>#VALUE!</v>
      </c>
      <c r="DM30" s="1521" t="e">
        <f ca="1"/>
        <v>#VALUE!</v>
      </c>
      <c r="DN30" s="1521" t="e">
        <f ca="1"/>
        <v>#VALUE!</v>
      </c>
      <c r="DO30" s="1521" t="e">
        <f ca="1"/>
        <v>#VALUE!</v>
      </c>
      <c r="DP30" s="1521" t="e">
        <f ca="1"/>
        <v>#VALUE!</v>
      </c>
      <c r="DQ30" s="1521" t="e">
        <f ca="1"/>
        <v>#VALUE!</v>
      </c>
      <c r="DR30" s="1521" t="e">
        <f ca="1"/>
        <v>#VALUE!</v>
      </c>
      <c r="DS30" s="1521" t="e">
        <f ca="1"/>
        <v>#VALUE!</v>
      </c>
      <c r="DT30" s="1521" t="e">
        <f ca="1"/>
        <v>#VALUE!</v>
      </c>
      <c r="DU30" s="1521" t="e">
        <f ca="1"/>
        <v>#VALUE!</v>
      </c>
      <c r="DV30" s="1521" t="e">
        <f ca="1"/>
        <v>#VALUE!</v>
      </c>
      <c r="DW30" s="1521" t="e">
        <f ca="1"/>
        <v>#VALUE!</v>
      </c>
      <c r="DX30" s="1521" t="e">
        <f ca="1"/>
        <v>#VALUE!</v>
      </c>
      <c r="DY30" s="1521" t="e">
        <f ca="1"/>
        <v>#VALUE!</v>
      </c>
      <c r="DZ30" s="1521" t="e">
        <f ca="1"/>
        <v>#VALUE!</v>
      </c>
      <c r="EA30" s="1521" t="e">
        <f ca="1"/>
        <v>#VALUE!</v>
      </c>
    </row>
    <row r="31" spans="1:131" x14ac:dyDescent="0.25">
      <c r="A31" s="254" t="str">
        <f t="shared" ca="1" si="8"/>
        <v/>
      </c>
      <c r="B31" s="255" t="str">
        <f t="shared" ca="1" si="9"/>
        <v/>
      </c>
      <c r="C31" s="256" t="str">
        <f t="shared" ca="1" si="15"/>
        <v/>
      </c>
      <c r="D31" s="257" t="str">
        <f t="shared" ca="1" si="1"/>
        <v/>
      </c>
      <c r="E31" s="253" t="str">
        <f t="shared" ca="1" si="11"/>
        <v/>
      </c>
      <c r="F31" s="257" t="str">
        <f t="shared" ca="1" si="3"/>
        <v/>
      </c>
      <c r="G31" s="257" t="str">
        <f t="shared" ca="1" si="4"/>
        <v/>
      </c>
      <c r="H31" s="257" t="str">
        <f t="shared" ca="1" si="5"/>
        <v/>
      </c>
      <c r="I31" s="220" t="e">
        <f t="shared" ca="1" si="6"/>
        <v>#VALUE!</v>
      </c>
      <c r="K31" s="220" t="s">
        <v>379</v>
      </c>
      <c r="L31" s="220">
        <f t="array" ref="L31:EA31">TRANSPOSE(D19:D138)</f>
        <v>0</v>
      </c>
      <c r="M31" s="220" t="str">
        <f ca="1"/>
        <v/>
      </c>
      <c r="N31" s="220" t="str">
        <f ca="1"/>
        <v/>
      </c>
      <c r="O31" s="220" t="str">
        <f ca="1"/>
        <v/>
      </c>
      <c r="P31" s="220" t="str">
        <f ca="1"/>
        <v/>
      </c>
      <c r="Q31" s="220" t="str">
        <f ca="1"/>
        <v/>
      </c>
      <c r="R31" s="220" t="str">
        <f ca="1"/>
        <v/>
      </c>
      <c r="S31" s="220" t="str">
        <f ca="1"/>
        <v/>
      </c>
      <c r="T31" s="220" t="str">
        <f ca="1"/>
        <v/>
      </c>
      <c r="U31" s="220" t="str">
        <f ca="1"/>
        <v/>
      </c>
      <c r="V31" s="220" t="str">
        <f ca="1"/>
        <v/>
      </c>
      <c r="W31" s="220" t="str">
        <f ca="1"/>
        <v/>
      </c>
      <c r="X31" s="220" t="str">
        <f ca="1"/>
        <v/>
      </c>
      <c r="Y31" s="220" t="str">
        <f ca="1"/>
        <v/>
      </c>
      <c r="Z31" s="220" t="str">
        <f ca="1"/>
        <v/>
      </c>
      <c r="AA31" s="220" t="str">
        <f ca="1"/>
        <v/>
      </c>
      <c r="AB31" s="220" t="str">
        <f ca="1"/>
        <v/>
      </c>
      <c r="AC31" s="220" t="str">
        <f ca="1"/>
        <v/>
      </c>
      <c r="AD31" s="220" t="e">
        <f ca="1"/>
        <v>#VALUE!</v>
      </c>
      <c r="AE31" s="220" t="e">
        <f ca="1"/>
        <v>#VALUE!</v>
      </c>
      <c r="AF31" s="220" t="e">
        <f ca="1"/>
        <v>#VALUE!</v>
      </c>
      <c r="AG31" s="220" t="e">
        <f ca="1"/>
        <v>#VALUE!</v>
      </c>
      <c r="AH31" s="220" t="e">
        <f ca="1"/>
        <v>#VALUE!</v>
      </c>
      <c r="AI31" s="220" t="e">
        <f ca="1"/>
        <v>#VALUE!</v>
      </c>
      <c r="AJ31" s="220" t="e">
        <f ca="1"/>
        <v>#VALUE!</v>
      </c>
      <c r="AK31" s="220" t="e">
        <f ca="1"/>
        <v>#VALUE!</v>
      </c>
      <c r="AL31" s="220" t="e">
        <f ca="1"/>
        <v>#VALUE!</v>
      </c>
      <c r="AM31" s="220" t="e">
        <f ca="1"/>
        <v>#VALUE!</v>
      </c>
      <c r="AN31" s="220" t="e">
        <f ca="1"/>
        <v>#VALUE!</v>
      </c>
      <c r="AO31" s="220" t="e">
        <f ca="1"/>
        <v>#VALUE!</v>
      </c>
      <c r="AP31" s="220" t="e">
        <f ca="1"/>
        <v>#VALUE!</v>
      </c>
      <c r="AQ31" s="220" t="e">
        <f ca="1"/>
        <v>#VALUE!</v>
      </c>
      <c r="AR31" s="220" t="e">
        <f ca="1"/>
        <v>#VALUE!</v>
      </c>
      <c r="AS31" s="220" t="e">
        <f ca="1"/>
        <v>#VALUE!</v>
      </c>
      <c r="AT31" s="220" t="e">
        <f ca="1"/>
        <v>#VALUE!</v>
      </c>
      <c r="AU31" s="220" t="e">
        <f ca="1"/>
        <v>#VALUE!</v>
      </c>
      <c r="AV31" s="220" t="e">
        <f ca="1"/>
        <v>#VALUE!</v>
      </c>
      <c r="AW31" s="220" t="e">
        <f ca="1"/>
        <v>#VALUE!</v>
      </c>
      <c r="AX31" s="220" t="e">
        <f ca="1"/>
        <v>#VALUE!</v>
      </c>
      <c r="AY31" s="220" t="e">
        <f ca="1"/>
        <v>#VALUE!</v>
      </c>
      <c r="AZ31" s="220" t="e">
        <f ca="1"/>
        <v>#VALUE!</v>
      </c>
      <c r="BA31" s="220" t="e">
        <f ca="1"/>
        <v>#VALUE!</v>
      </c>
      <c r="BB31" s="220" t="e">
        <f ca="1"/>
        <v>#VALUE!</v>
      </c>
      <c r="BC31" s="220" t="e">
        <f ca="1"/>
        <v>#VALUE!</v>
      </c>
      <c r="BD31" s="220" t="e">
        <f ca="1"/>
        <v>#VALUE!</v>
      </c>
      <c r="BE31" s="220" t="e">
        <f ca="1"/>
        <v>#VALUE!</v>
      </c>
      <c r="BF31" s="220" t="e">
        <f ca="1"/>
        <v>#VALUE!</v>
      </c>
      <c r="BG31" s="220" t="e">
        <f ca="1"/>
        <v>#VALUE!</v>
      </c>
      <c r="BH31" s="220" t="e">
        <f ca="1"/>
        <v>#VALUE!</v>
      </c>
      <c r="BI31" s="220" t="e">
        <f ca="1"/>
        <v>#VALUE!</v>
      </c>
      <c r="BJ31" s="220" t="e">
        <f ca="1"/>
        <v>#VALUE!</v>
      </c>
      <c r="BK31" s="220" t="e">
        <f ca="1"/>
        <v>#VALUE!</v>
      </c>
      <c r="BL31" s="220" t="e">
        <f ca="1"/>
        <v>#VALUE!</v>
      </c>
      <c r="BM31" s="220" t="e">
        <f ca="1"/>
        <v>#VALUE!</v>
      </c>
      <c r="BN31" s="220" t="e">
        <f ca="1"/>
        <v>#VALUE!</v>
      </c>
      <c r="BO31" s="220" t="e">
        <f ca="1"/>
        <v>#VALUE!</v>
      </c>
      <c r="BP31" s="220" t="e">
        <f ca="1"/>
        <v>#VALUE!</v>
      </c>
      <c r="BQ31" s="220" t="e">
        <f ca="1"/>
        <v>#VALUE!</v>
      </c>
      <c r="BR31" s="220" t="e">
        <f ca="1"/>
        <v>#VALUE!</v>
      </c>
      <c r="BS31" s="220" t="e">
        <f ca="1"/>
        <v>#VALUE!</v>
      </c>
      <c r="BT31" s="220" t="e">
        <f ca="1"/>
        <v>#VALUE!</v>
      </c>
      <c r="BU31" s="220" t="e">
        <f ca="1"/>
        <v>#VALUE!</v>
      </c>
      <c r="BV31" s="220" t="e">
        <f ca="1"/>
        <v>#VALUE!</v>
      </c>
      <c r="BW31" s="220" t="e">
        <f ca="1"/>
        <v>#VALUE!</v>
      </c>
      <c r="BX31" s="220" t="e">
        <f ca="1"/>
        <v>#VALUE!</v>
      </c>
      <c r="BY31" s="220" t="e">
        <f ca="1"/>
        <v>#VALUE!</v>
      </c>
      <c r="BZ31" s="220" t="e">
        <f ca="1"/>
        <v>#VALUE!</v>
      </c>
      <c r="CA31" s="220" t="e">
        <f ca="1"/>
        <v>#VALUE!</v>
      </c>
      <c r="CB31" s="220" t="e">
        <f ca="1"/>
        <v>#VALUE!</v>
      </c>
      <c r="CC31" s="220" t="e">
        <f ca="1"/>
        <v>#VALUE!</v>
      </c>
      <c r="CD31" s="220" t="e">
        <f ca="1"/>
        <v>#VALUE!</v>
      </c>
      <c r="CE31" s="220" t="e">
        <f ca="1"/>
        <v>#VALUE!</v>
      </c>
      <c r="CF31" s="220" t="e">
        <f ca="1"/>
        <v>#VALUE!</v>
      </c>
      <c r="CG31" s="220" t="e">
        <f ca="1"/>
        <v>#VALUE!</v>
      </c>
      <c r="CH31" s="220" t="e">
        <f ca="1"/>
        <v>#VALUE!</v>
      </c>
      <c r="CI31" s="220" t="e">
        <f ca="1"/>
        <v>#VALUE!</v>
      </c>
      <c r="CJ31" s="220" t="e">
        <f ca="1"/>
        <v>#VALUE!</v>
      </c>
      <c r="CK31" s="220" t="e">
        <f ca="1"/>
        <v>#VALUE!</v>
      </c>
      <c r="CL31" s="220" t="e">
        <f ca="1"/>
        <v>#VALUE!</v>
      </c>
      <c r="CM31" s="220" t="e">
        <f ca="1"/>
        <v>#VALUE!</v>
      </c>
      <c r="CN31" s="220" t="e">
        <f ca="1"/>
        <v>#VALUE!</v>
      </c>
      <c r="CO31" s="220" t="e">
        <f ca="1"/>
        <v>#VALUE!</v>
      </c>
      <c r="CP31" s="220" t="e">
        <f ca="1"/>
        <v>#VALUE!</v>
      </c>
      <c r="CQ31" s="220" t="e">
        <f ca="1"/>
        <v>#VALUE!</v>
      </c>
      <c r="CR31" s="220" t="e">
        <f ca="1"/>
        <v>#VALUE!</v>
      </c>
      <c r="CS31" s="220" t="e">
        <f ca="1"/>
        <v>#VALUE!</v>
      </c>
      <c r="CT31" s="220" t="e">
        <f ca="1"/>
        <v>#VALUE!</v>
      </c>
      <c r="CU31" s="220" t="e">
        <f ca="1"/>
        <v>#VALUE!</v>
      </c>
      <c r="CV31" s="220" t="e">
        <f ca="1"/>
        <v>#VALUE!</v>
      </c>
      <c r="CW31" s="220" t="e">
        <f ca="1"/>
        <v>#VALUE!</v>
      </c>
      <c r="CX31" s="220" t="e">
        <f ca="1"/>
        <v>#VALUE!</v>
      </c>
      <c r="CY31" s="220" t="e">
        <f ca="1"/>
        <v>#VALUE!</v>
      </c>
      <c r="CZ31" s="220" t="e">
        <f ca="1"/>
        <v>#VALUE!</v>
      </c>
      <c r="DA31" s="220" t="e">
        <f ca="1"/>
        <v>#VALUE!</v>
      </c>
      <c r="DB31" s="220" t="e">
        <f ca="1"/>
        <v>#VALUE!</v>
      </c>
      <c r="DC31" s="220" t="e">
        <f ca="1"/>
        <v>#VALUE!</v>
      </c>
      <c r="DD31" s="220" t="e">
        <f ca="1"/>
        <v>#VALUE!</v>
      </c>
      <c r="DE31" s="220" t="e">
        <f ca="1"/>
        <v>#VALUE!</v>
      </c>
      <c r="DF31" s="220" t="e">
        <f ca="1"/>
        <v>#VALUE!</v>
      </c>
      <c r="DG31" s="220" t="e">
        <f ca="1"/>
        <v>#VALUE!</v>
      </c>
      <c r="DH31" s="220" t="e">
        <f ca="1"/>
        <v>#VALUE!</v>
      </c>
      <c r="DI31" s="220" t="e">
        <f ca="1"/>
        <v>#VALUE!</v>
      </c>
      <c r="DJ31" s="220" t="e">
        <f ca="1"/>
        <v>#VALUE!</v>
      </c>
      <c r="DK31" s="220" t="e">
        <f ca="1"/>
        <v>#VALUE!</v>
      </c>
      <c r="DL31" s="220" t="e">
        <f ca="1"/>
        <v>#VALUE!</v>
      </c>
      <c r="DM31" s="220" t="e">
        <f ca="1"/>
        <v>#VALUE!</v>
      </c>
      <c r="DN31" s="220" t="e">
        <f ca="1"/>
        <v>#VALUE!</v>
      </c>
      <c r="DO31" s="220" t="e">
        <f ca="1"/>
        <v>#VALUE!</v>
      </c>
      <c r="DP31" s="220" t="e">
        <f ca="1"/>
        <v>#VALUE!</v>
      </c>
      <c r="DQ31" s="220" t="e">
        <f ca="1"/>
        <v>#VALUE!</v>
      </c>
      <c r="DR31" s="220" t="e">
        <f ca="1"/>
        <v>#VALUE!</v>
      </c>
      <c r="DS31" s="220" t="e">
        <f ca="1"/>
        <v>#VALUE!</v>
      </c>
      <c r="DT31" s="220" t="e">
        <f ca="1"/>
        <v>#VALUE!</v>
      </c>
      <c r="DU31" s="220" t="e">
        <f ca="1"/>
        <v>#VALUE!</v>
      </c>
      <c r="DV31" s="220" t="e">
        <f ca="1"/>
        <v>#VALUE!</v>
      </c>
      <c r="DW31" s="220" t="e">
        <f ca="1"/>
        <v>#VALUE!</v>
      </c>
      <c r="DX31" s="220" t="e">
        <f ca="1"/>
        <v>#VALUE!</v>
      </c>
      <c r="DY31" s="220" t="e">
        <f ca="1"/>
        <v>#VALUE!</v>
      </c>
      <c r="DZ31" s="220" t="e">
        <f ca="1"/>
        <v>#VALUE!</v>
      </c>
      <c r="EA31" s="220" t="e">
        <f ca="1"/>
        <v>#VALUE!</v>
      </c>
    </row>
    <row r="32" spans="1:131" x14ac:dyDescent="0.25">
      <c r="A32" s="254" t="str">
        <f t="shared" ca="1" si="8"/>
        <v/>
      </c>
      <c r="B32" s="255" t="str">
        <f t="shared" ca="1" si="9"/>
        <v/>
      </c>
      <c r="C32" s="256" t="str">
        <f t="shared" ca="1" si="15"/>
        <v/>
      </c>
      <c r="D32" s="257" t="str">
        <f t="shared" ca="1" si="1"/>
        <v/>
      </c>
      <c r="E32" s="253" t="str">
        <f t="shared" ca="1" si="11"/>
        <v/>
      </c>
      <c r="F32" s="257" t="str">
        <f t="shared" ca="1" si="3"/>
        <v/>
      </c>
      <c r="G32" s="257" t="str">
        <f t="shared" ca="1" si="4"/>
        <v/>
      </c>
      <c r="H32" s="257" t="str">
        <f t="shared" ca="1" si="5"/>
        <v/>
      </c>
      <c r="I32" s="220" t="e">
        <f t="shared" ca="1" si="6"/>
        <v>#VALUE!</v>
      </c>
    </row>
    <row r="33" spans="1:10" x14ac:dyDescent="0.25">
      <c r="A33" s="254" t="str">
        <f t="shared" ca="1" si="8"/>
        <v/>
      </c>
      <c r="B33" s="255" t="str">
        <f t="shared" ca="1" si="9"/>
        <v/>
      </c>
      <c r="C33" s="256" t="str">
        <f ca="1">IF(OR(A33=$H$10,A33=$H$13),D33+G32,IF(A33&lt;$H$10,C32,""))</f>
        <v/>
      </c>
      <c r="D33" s="257" t="str">
        <f t="shared" ca="1" si="1"/>
        <v/>
      </c>
      <c r="E33" s="253" t="str">
        <f t="shared" ca="1" si="11"/>
        <v/>
      </c>
      <c r="F33" s="257" t="str">
        <f t="shared" ca="1" si="3"/>
        <v/>
      </c>
      <c r="G33" s="257" t="str">
        <f t="shared" ca="1" si="4"/>
        <v/>
      </c>
      <c r="H33" s="257" t="str">
        <f t="shared" ca="1" si="5"/>
        <v/>
      </c>
      <c r="I33" s="220" t="e">
        <f t="shared" ca="1" si="6"/>
        <v>#VALUE!</v>
      </c>
    </row>
    <row r="34" spans="1:10" x14ac:dyDescent="0.25">
      <c r="A34" s="254" t="str">
        <f t="shared" ca="1" si="8"/>
        <v/>
      </c>
      <c r="B34" s="255" t="str">
        <f t="shared" ca="1" si="9"/>
        <v/>
      </c>
      <c r="C34" s="256" t="str">
        <f t="shared" ref="C34:C97" ca="1" si="16">IF(OR(A34=$H$10,A34=$H$13),D34+G33,IF(A34&lt;$H$10,C33,""))</f>
        <v/>
      </c>
      <c r="D34" s="257" t="str">
        <f t="shared" ca="1" si="1"/>
        <v/>
      </c>
      <c r="E34" s="253" t="str">
        <f t="shared" ca="1" si="11"/>
        <v/>
      </c>
      <c r="F34" s="257" t="str">
        <f t="shared" ca="1" si="3"/>
        <v/>
      </c>
      <c r="G34" s="257" t="str">
        <f t="shared" ca="1" si="4"/>
        <v/>
      </c>
      <c r="H34" s="257" t="str">
        <f t="shared" ca="1" si="5"/>
        <v/>
      </c>
      <c r="I34" s="220" t="e">
        <f t="shared" ca="1" si="6"/>
        <v>#VALUE!</v>
      </c>
    </row>
    <row r="35" spans="1:10" x14ac:dyDescent="0.25">
      <c r="A35" s="254" t="str">
        <f t="shared" ca="1" si="8"/>
        <v/>
      </c>
      <c r="B35" s="255" t="str">
        <f t="shared" ca="1" si="9"/>
        <v/>
      </c>
      <c r="C35" s="256" t="str">
        <f t="shared" ca="1" si="16"/>
        <v/>
      </c>
      <c r="D35" s="257" t="str">
        <f t="shared" ca="1" si="1"/>
        <v/>
      </c>
      <c r="E35" s="253" t="str">
        <f t="shared" ca="1" si="11"/>
        <v/>
      </c>
      <c r="F35" s="257" t="str">
        <f t="shared" ca="1" si="3"/>
        <v/>
      </c>
      <c r="G35" s="257" t="str">
        <f t="shared" ca="1" si="4"/>
        <v/>
      </c>
      <c r="H35" s="257" t="str">
        <f t="shared" ca="1" si="5"/>
        <v/>
      </c>
      <c r="I35" s="220" t="e">
        <f t="shared" ca="1" si="6"/>
        <v>#VALUE!</v>
      </c>
      <c r="J35" s="253">
        <f ca="1">SUM(C24:C35)</f>
        <v>0</v>
      </c>
    </row>
    <row r="36" spans="1:10" x14ac:dyDescent="0.25">
      <c r="A36" s="254" t="str">
        <f t="shared" ca="1" si="8"/>
        <v/>
      </c>
      <c r="B36" s="255" t="str">
        <f t="shared" ca="1" si="9"/>
        <v/>
      </c>
      <c r="C36" s="256" t="str">
        <f t="shared" ca="1" si="16"/>
        <v/>
      </c>
      <c r="D36" s="257" t="str">
        <f t="shared" ca="1" si="1"/>
        <v/>
      </c>
      <c r="E36" s="253" t="str">
        <f t="shared" ca="1" si="11"/>
        <v/>
      </c>
      <c r="F36" s="257" t="str">
        <f t="shared" ca="1" si="3"/>
        <v/>
      </c>
      <c r="G36" s="257" t="str">
        <f t="shared" ca="1" si="4"/>
        <v/>
      </c>
      <c r="H36" s="257" t="str">
        <f t="shared" ca="1" si="5"/>
        <v/>
      </c>
      <c r="I36" s="220" t="e">
        <f t="shared" ca="1" si="6"/>
        <v>#VALUE!</v>
      </c>
    </row>
    <row r="37" spans="1:10" x14ac:dyDescent="0.25">
      <c r="A37" s="254">
        <v>19</v>
      </c>
      <c r="B37" s="255" t="e">
        <f t="shared" ca="1" si="9"/>
        <v>#VALUE!</v>
      </c>
      <c r="C37" s="256" t="str">
        <f t="shared" ca="1" si="16"/>
        <v/>
      </c>
      <c r="D37" s="257" t="e">
        <f t="shared" ca="1" si="1"/>
        <v>#VALUE!</v>
      </c>
      <c r="E37" s="253" t="e">
        <f t="shared" ca="1" si="11"/>
        <v>#VALUE!</v>
      </c>
      <c r="F37" s="257" t="e">
        <f t="shared" ca="1" si="3"/>
        <v>#VALUE!</v>
      </c>
      <c r="G37" s="257" t="e">
        <f t="shared" ca="1" si="4"/>
        <v>#VALUE!</v>
      </c>
      <c r="H37" s="257" t="e">
        <f t="shared" ca="1" si="5"/>
        <v>#VALUE!</v>
      </c>
      <c r="I37" s="220" t="e">
        <f t="shared" ca="1" si="6"/>
        <v>#VALUE!</v>
      </c>
    </row>
    <row r="38" spans="1:10" x14ac:dyDescent="0.25">
      <c r="A38" s="254" t="e">
        <f ca="1">IF(OR(H37&lt;=0,H37=""),"",OFFSET(A38,-1,0,1,1)+1)</f>
        <v>#VALUE!</v>
      </c>
      <c r="B38" s="255" t="e">
        <f t="shared" ca="1" si="9"/>
        <v>#VALUE!</v>
      </c>
      <c r="C38" s="256" t="e">
        <f t="shared" ca="1" si="16"/>
        <v>#VALUE!</v>
      </c>
      <c r="D38" s="257" t="e">
        <f t="shared" ca="1" si="1"/>
        <v>#VALUE!</v>
      </c>
      <c r="E38" s="253" t="e">
        <f t="shared" ca="1" si="11"/>
        <v>#VALUE!</v>
      </c>
      <c r="F38" s="257" t="e">
        <f t="shared" ca="1" si="3"/>
        <v>#VALUE!</v>
      </c>
      <c r="G38" s="257" t="e">
        <f t="shared" ca="1" si="4"/>
        <v>#VALUE!</v>
      </c>
      <c r="H38" s="257" t="e">
        <f t="shared" ca="1" si="5"/>
        <v>#VALUE!</v>
      </c>
      <c r="I38" s="220" t="e">
        <f t="shared" ca="1" si="6"/>
        <v>#VALUE!</v>
      </c>
    </row>
    <row r="39" spans="1:10" x14ac:dyDescent="0.25">
      <c r="A39" s="254" t="e">
        <f ca="1">IF(OR(H38&lt;=0,H38=""),"",OFFSET(A39,-1,0,1,1)+1)</f>
        <v>#VALUE!</v>
      </c>
      <c r="B39" s="255" t="e">
        <f t="shared" ca="1" si="9"/>
        <v>#VALUE!</v>
      </c>
      <c r="C39" s="256" t="e">
        <f t="shared" ca="1" si="16"/>
        <v>#VALUE!</v>
      </c>
      <c r="D39" s="257" t="e">
        <f t="shared" ca="1" si="1"/>
        <v>#VALUE!</v>
      </c>
      <c r="E39" s="253" t="e">
        <f t="shared" ca="1" si="11"/>
        <v>#VALUE!</v>
      </c>
      <c r="F39" s="257" t="e">
        <f t="shared" ca="1" si="3"/>
        <v>#VALUE!</v>
      </c>
      <c r="G39" s="257" t="e">
        <f t="shared" ca="1" si="4"/>
        <v>#VALUE!</v>
      </c>
      <c r="H39" s="257" t="e">
        <f t="shared" ca="1" si="5"/>
        <v>#VALUE!</v>
      </c>
      <c r="I39" s="220" t="e">
        <f t="shared" ca="1" si="6"/>
        <v>#VALUE!</v>
      </c>
    </row>
    <row r="40" spans="1:10" x14ac:dyDescent="0.25">
      <c r="A40" s="254">
        <v>22</v>
      </c>
      <c r="B40" s="255" t="e">
        <f t="shared" ca="1" si="9"/>
        <v>#VALUE!</v>
      </c>
      <c r="C40" s="256" t="e">
        <f t="shared" ca="1" si="16"/>
        <v>#VALUE!</v>
      </c>
      <c r="D40" s="257" t="e">
        <f t="shared" ca="1" si="1"/>
        <v>#VALUE!</v>
      </c>
      <c r="E40" s="253" t="e">
        <f t="shared" ca="1" si="11"/>
        <v>#VALUE!</v>
      </c>
      <c r="F40" s="257" t="e">
        <f t="shared" ca="1" si="3"/>
        <v>#VALUE!</v>
      </c>
      <c r="G40" s="257" t="e">
        <f t="shared" ca="1" si="4"/>
        <v>#VALUE!</v>
      </c>
      <c r="H40" s="257" t="e">
        <f t="shared" ca="1" si="5"/>
        <v>#VALUE!</v>
      </c>
      <c r="I40" s="220" t="e">
        <f t="shared" ca="1" si="6"/>
        <v>#VALUE!</v>
      </c>
    </row>
    <row r="41" spans="1:10" x14ac:dyDescent="0.25">
      <c r="A41" s="254" t="e">
        <f t="shared" ref="A41:A104" ca="1" si="17">IF(OR(H40&lt;=0,H40=""),"",OFFSET(A41,-1,0,1,1)+1)</f>
        <v>#VALUE!</v>
      </c>
      <c r="B41" s="255" t="e">
        <f t="shared" ca="1" si="9"/>
        <v>#VALUE!</v>
      </c>
      <c r="C41" s="256" t="e">
        <f t="shared" ca="1" si="16"/>
        <v>#VALUE!</v>
      </c>
      <c r="D41" s="257" t="e">
        <f t="shared" ca="1" si="1"/>
        <v>#VALUE!</v>
      </c>
      <c r="E41" s="253" t="e">
        <f t="shared" ca="1" si="11"/>
        <v>#VALUE!</v>
      </c>
      <c r="F41" s="257" t="e">
        <f t="shared" ca="1" si="3"/>
        <v>#VALUE!</v>
      </c>
      <c r="G41" s="257" t="e">
        <f t="shared" ca="1" si="4"/>
        <v>#VALUE!</v>
      </c>
      <c r="H41" s="257" t="e">
        <f t="shared" ca="1" si="5"/>
        <v>#VALUE!</v>
      </c>
      <c r="I41" s="220" t="e">
        <f t="shared" ca="1" si="6"/>
        <v>#VALUE!</v>
      </c>
    </row>
    <row r="42" spans="1:10" x14ac:dyDescent="0.25">
      <c r="A42" s="254" t="e">
        <f t="shared" ca="1" si="17"/>
        <v>#VALUE!</v>
      </c>
      <c r="B42" s="255" t="e">
        <f t="shared" ca="1" si="9"/>
        <v>#VALUE!</v>
      </c>
      <c r="C42" s="256" t="e">
        <f t="shared" ca="1" si="16"/>
        <v>#VALUE!</v>
      </c>
      <c r="D42" s="257" t="e">
        <f t="shared" ca="1" si="1"/>
        <v>#VALUE!</v>
      </c>
      <c r="E42" s="253" t="e">
        <f t="shared" ca="1" si="11"/>
        <v>#VALUE!</v>
      </c>
      <c r="F42" s="257" t="e">
        <f t="shared" ca="1" si="3"/>
        <v>#VALUE!</v>
      </c>
      <c r="G42" s="257" t="e">
        <f t="shared" ca="1" si="4"/>
        <v>#VALUE!</v>
      </c>
      <c r="H42" s="257" t="e">
        <f t="shared" ca="1" si="5"/>
        <v>#VALUE!</v>
      </c>
      <c r="I42" s="220" t="e">
        <f t="shared" ca="1" si="6"/>
        <v>#VALUE!</v>
      </c>
    </row>
    <row r="43" spans="1:10" x14ac:dyDescent="0.25">
      <c r="A43" s="254" t="e">
        <f t="shared" ca="1" si="17"/>
        <v>#VALUE!</v>
      </c>
      <c r="B43" s="255" t="e">
        <f t="shared" ca="1" si="9"/>
        <v>#VALUE!</v>
      </c>
      <c r="C43" s="256" t="e">
        <f t="shared" ca="1" si="16"/>
        <v>#VALUE!</v>
      </c>
      <c r="D43" s="257" t="e">
        <f t="shared" ca="1" si="1"/>
        <v>#VALUE!</v>
      </c>
      <c r="E43" s="253" t="e">
        <f t="shared" ca="1" si="11"/>
        <v>#VALUE!</v>
      </c>
      <c r="F43" s="257" t="e">
        <f t="shared" ca="1" si="3"/>
        <v>#VALUE!</v>
      </c>
      <c r="G43" s="257" t="e">
        <f t="shared" ca="1" si="4"/>
        <v>#VALUE!</v>
      </c>
      <c r="H43" s="257" t="e">
        <f t="shared" ca="1" si="5"/>
        <v>#VALUE!</v>
      </c>
      <c r="I43" s="220" t="e">
        <f t="shared" ca="1" si="6"/>
        <v>#VALUE!</v>
      </c>
    </row>
    <row r="44" spans="1:10" x14ac:dyDescent="0.25">
      <c r="A44" s="254" t="e">
        <f t="shared" ca="1" si="17"/>
        <v>#VALUE!</v>
      </c>
      <c r="B44" s="255" t="e">
        <f t="shared" ca="1" si="9"/>
        <v>#VALUE!</v>
      </c>
      <c r="C44" s="256" t="e">
        <f t="shared" ca="1" si="16"/>
        <v>#VALUE!</v>
      </c>
      <c r="D44" s="257" t="e">
        <f t="shared" ca="1" si="1"/>
        <v>#VALUE!</v>
      </c>
      <c r="E44" s="253" t="e">
        <f t="shared" ca="1" si="11"/>
        <v>#VALUE!</v>
      </c>
      <c r="F44" s="257" t="e">
        <f t="shared" ca="1" si="3"/>
        <v>#VALUE!</v>
      </c>
      <c r="G44" s="257" t="e">
        <f t="shared" ca="1" si="4"/>
        <v>#VALUE!</v>
      </c>
      <c r="H44" s="257" t="e">
        <f t="shared" ca="1" si="5"/>
        <v>#VALUE!</v>
      </c>
      <c r="I44" s="220" t="e">
        <f t="shared" ca="1" si="6"/>
        <v>#VALUE!</v>
      </c>
    </row>
    <row r="45" spans="1:10" x14ac:dyDescent="0.25">
      <c r="A45" s="254" t="e">
        <f t="shared" ca="1" si="17"/>
        <v>#VALUE!</v>
      </c>
      <c r="B45" s="255" t="e">
        <f t="shared" ca="1" si="9"/>
        <v>#VALUE!</v>
      </c>
      <c r="C45" s="256" t="e">
        <f t="shared" ca="1" si="16"/>
        <v>#VALUE!</v>
      </c>
      <c r="D45" s="257" t="e">
        <f t="shared" ca="1" si="1"/>
        <v>#VALUE!</v>
      </c>
      <c r="E45" s="253" t="e">
        <f t="shared" ca="1" si="11"/>
        <v>#VALUE!</v>
      </c>
      <c r="F45" s="257" t="e">
        <f t="shared" ca="1" si="3"/>
        <v>#VALUE!</v>
      </c>
      <c r="G45" s="257" t="e">
        <f t="shared" ca="1" si="4"/>
        <v>#VALUE!</v>
      </c>
      <c r="H45" s="257" t="e">
        <f t="shared" ca="1" si="5"/>
        <v>#VALUE!</v>
      </c>
      <c r="I45" s="220" t="e">
        <f t="shared" ca="1" si="6"/>
        <v>#VALUE!</v>
      </c>
    </row>
    <row r="46" spans="1:10" x14ac:dyDescent="0.25">
      <c r="A46" s="254" t="e">
        <f t="shared" ca="1" si="17"/>
        <v>#VALUE!</v>
      </c>
      <c r="B46" s="255" t="e">
        <f t="shared" ca="1" si="9"/>
        <v>#VALUE!</v>
      </c>
      <c r="C46" s="256" t="e">
        <f t="shared" ca="1" si="16"/>
        <v>#VALUE!</v>
      </c>
      <c r="D46" s="257" t="e">
        <f t="shared" ca="1" si="1"/>
        <v>#VALUE!</v>
      </c>
      <c r="E46" s="253" t="e">
        <f t="shared" ca="1" si="11"/>
        <v>#VALUE!</v>
      </c>
      <c r="F46" s="257" t="e">
        <f t="shared" ca="1" si="3"/>
        <v>#VALUE!</v>
      </c>
      <c r="G46" s="257" t="e">
        <f t="shared" ca="1" si="4"/>
        <v>#VALUE!</v>
      </c>
      <c r="H46" s="257" t="e">
        <f t="shared" ca="1" si="5"/>
        <v>#VALUE!</v>
      </c>
      <c r="I46" s="220" t="e">
        <f t="shared" ca="1" si="6"/>
        <v>#VALUE!</v>
      </c>
    </row>
    <row r="47" spans="1:10" x14ac:dyDescent="0.25">
      <c r="A47" s="254" t="e">
        <f t="shared" ca="1" si="17"/>
        <v>#VALUE!</v>
      </c>
      <c r="B47" s="255" t="e">
        <f t="shared" ca="1" si="9"/>
        <v>#VALUE!</v>
      </c>
      <c r="C47" s="256" t="e">
        <f t="shared" ca="1" si="16"/>
        <v>#VALUE!</v>
      </c>
      <c r="D47" s="257" t="e">
        <f t="shared" ca="1" si="1"/>
        <v>#VALUE!</v>
      </c>
      <c r="E47" s="253" t="e">
        <f t="shared" ca="1" si="11"/>
        <v>#VALUE!</v>
      </c>
      <c r="F47" s="257" t="e">
        <f t="shared" ca="1" si="3"/>
        <v>#VALUE!</v>
      </c>
      <c r="G47" s="257" t="e">
        <f t="shared" ca="1" si="4"/>
        <v>#VALUE!</v>
      </c>
      <c r="H47" s="257" t="e">
        <f t="shared" ca="1" si="5"/>
        <v>#VALUE!</v>
      </c>
      <c r="I47" s="220" t="e">
        <f t="shared" ca="1" si="6"/>
        <v>#VALUE!</v>
      </c>
      <c r="J47" s="253" t="e">
        <f ca="1">SUM(C36:C47)</f>
        <v>#VALUE!</v>
      </c>
    </row>
    <row r="48" spans="1:10" x14ac:dyDescent="0.25">
      <c r="A48" s="254" t="e">
        <f t="shared" ca="1" si="17"/>
        <v>#VALUE!</v>
      </c>
      <c r="B48" s="255" t="e">
        <f t="shared" ca="1" si="9"/>
        <v>#VALUE!</v>
      </c>
      <c r="C48" s="256" t="e">
        <f t="shared" ca="1" si="16"/>
        <v>#VALUE!</v>
      </c>
      <c r="D48" s="257" t="e">
        <f t="shared" ca="1" si="1"/>
        <v>#VALUE!</v>
      </c>
      <c r="E48" s="253" t="e">
        <f t="shared" ca="1" si="11"/>
        <v>#VALUE!</v>
      </c>
      <c r="F48" s="257" t="e">
        <f t="shared" ca="1" si="3"/>
        <v>#VALUE!</v>
      </c>
      <c r="G48" s="257" t="e">
        <f t="shared" ca="1" si="4"/>
        <v>#VALUE!</v>
      </c>
      <c r="H48" s="257" t="e">
        <f t="shared" ca="1" si="5"/>
        <v>#VALUE!</v>
      </c>
      <c r="I48" s="220" t="e">
        <f t="shared" ca="1" si="6"/>
        <v>#VALUE!</v>
      </c>
    </row>
    <row r="49" spans="1:12" x14ac:dyDescent="0.25">
      <c r="A49" s="254" t="e">
        <f t="shared" ca="1" si="17"/>
        <v>#VALUE!</v>
      </c>
      <c r="B49" s="255" t="e">
        <f t="shared" ca="1" si="9"/>
        <v>#VALUE!</v>
      </c>
      <c r="C49" s="256" t="e">
        <f t="shared" ca="1" si="16"/>
        <v>#VALUE!</v>
      </c>
      <c r="D49" s="257" t="e">
        <f t="shared" ca="1" si="1"/>
        <v>#VALUE!</v>
      </c>
      <c r="E49" s="253" t="e">
        <f t="shared" ca="1" si="11"/>
        <v>#VALUE!</v>
      </c>
      <c r="F49" s="257" t="e">
        <f t="shared" ca="1" si="3"/>
        <v>#VALUE!</v>
      </c>
      <c r="G49" s="257" t="e">
        <f t="shared" ca="1" si="4"/>
        <v>#VALUE!</v>
      </c>
      <c r="H49" s="257" t="e">
        <f t="shared" ca="1" si="5"/>
        <v>#VALUE!</v>
      </c>
      <c r="I49" s="220" t="e">
        <f t="shared" ca="1" si="6"/>
        <v>#VALUE!</v>
      </c>
    </row>
    <row r="50" spans="1:12" x14ac:dyDescent="0.25">
      <c r="A50" s="254" t="e">
        <f t="shared" ca="1" si="17"/>
        <v>#VALUE!</v>
      </c>
      <c r="B50" s="255" t="e">
        <f t="shared" ca="1" si="9"/>
        <v>#VALUE!</v>
      </c>
      <c r="C50" s="256" t="e">
        <f t="shared" ca="1" si="16"/>
        <v>#VALUE!</v>
      </c>
      <c r="D50" s="257" t="e">
        <f t="shared" ca="1" si="1"/>
        <v>#VALUE!</v>
      </c>
      <c r="E50" s="253" t="e">
        <f t="shared" ca="1" si="11"/>
        <v>#VALUE!</v>
      </c>
      <c r="F50" s="257" t="e">
        <f t="shared" ca="1" si="3"/>
        <v>#VALUE!</v>
      </c>
      <c r="G50" s="257" t="e">
        <f t="shared" ca="1" si="4"/>
        <v>#VALUE!</v>
      </c>
      <c r="H50" s="257" t="e">
        <f t="shared" ca="1" si="5"/>
        <v>#VALUE!</v>
      </c>
      <c r="I50" s="220" t="e">
        <f t="shared" ca="1" si="6"/>
        <v>#VALUE!</v>
      </c>
    </row>
    <row r="51" spans="1:12" x14ac:dyDescent="0.25">
      <c r="A51" s="254" t="e">
        <f t="shared" ca="1" si="17"/>
        <v>#VALUE!</v>
      </c>
      <c r="B51" s="255" t="e">
        <f t="shared" ca="1" si="9"/>
        <v>#VALUE!</v>
      </c>
      <c r="C51" s="256" t="e">
        <f t="shared" ca="1" si="16"/>
        <v>#VALUE!</v>
      </c>
      <c r="D51" s="257" t="e">
        <f t="shared" ca="1" si="1"/>
        <v>#VALUE!</v>
      </c>
      <c r="E51" s="253" t="e">
        <f t="shared" ca="1" si="11"/>
        <v>#VALUE!</v>
      </c>
      <c r="F51" s="257" t="e">
        <f t="shared" ca="1" si="3"/>
        <v>#VALUE!</v>
      </c>
      <c r="G51" s="257" t="e">
        <f t="shared" ca="1" si="4"/>
        <v>#VALUE!</v>
      </c>
      <c r="H51" s="257" t="e">
        <f t="shared" ca="1" si="5"/>
        <v>#VALUE!</v>
      </c>
      <c r="I51" s="220" t="e">
        <f t="shared" ca="1" si="6"/>
        <v>#VALUE!</v>
      </c>
    </row>
    <row r="52" spans="1:12" x14ac:dyDescent="0.25">
      <c r="A52" s="254" t="e">
        <f t="shared" ca="1" si="17"/>
        <v>#VALUE!</v>
      </c>
      <c r="B52" s="255" t="e">
        <f t="shared" ca="1" si="9"/>
        <v>#VALUE!</v>
      </c>
      <c r="C52" s="256" t="e">
        <f t="shared" ca="1" si="16"/>
        <v>#VALUE!</v>
      </c>
      <c r="D52" s="257" t="e">
        <f t="shared" ca="1" si="1"/>
        <v>#VALUE!</v>
      </c>
      <c r="E52" s="253" t="e">
        <f t="shared" ca="1" si="11"/>
        <v>#VALUE!</v>
      </c>
      <c r="F52" s="257" t="e">
        <f t="shared" ca="1" si="3"/>
        <v>#VALUE!</v>
      </c>
      <c r="G52" s="257" t="e">
        <f t="shared" ca="1" si="4"/>
        <v>#VALUE!</v>
      </c>
      <c r="H52" s="257" t="e">
        <f t="shared" ca="1" si="5"/>
        <v>#VALUE!</v>
      </c>
      <c r="I52" s="220" t="e">
        <f t="shared" ca="1" si="6"/>
        <v>#VALUE!</v>
      </c>
    </row>
    <row r="53" spans="1:12" x14ac:dyDescent="0.25">
      <c r="A53" s="254" t="e">
        <f t="shared" ca="1" si="17"/>
        <v>#VALUE!</v>
      </c>
      <c r="B53" s="255" t="e">
        <f t="shared" ca="1" si="9"/>
        <v>#VALUE!</v>
      </c>
      <c r="C53" s="256" t="e">
        <f t="shared" ca="1" si="16"/>
        <v>#VALUE!</v>
      </c>
      <c r="D53" s="257" t="e">
        <f t="shared" ca="1" si="1"/>
        <v>#VALUE!</v>
      </c>
      <c r="E53" s="253" t="e">
        <f t="shared" ca="1" si="11"/>
        <v>#VALUE!</v>
      </c>
      <c r="F53" s="257" t="e">
        <f t="shared" ca="1" si="3"/>
        <v>#VALUE!</v>
      </c>
      <c r="G53" s="257" t="e">
        <f t="shared" ca="1" si="4"/>
        <v>#VALUE!</v>
      </c>
      <c r="H53" s="257" t="e">
        <f t="shared" ca="1" si="5"/>
        <v>#VALUE!</v>
      </c>
      <c r="I53" s="220" t="e">
        <f t="shared" ca="1" si="6"/>
        <v>#VALUE!</v>
      </c>
    </row>
    <row r="54" spans="1:12" x14ac:dyDescent="0.25">
      <c r="A54" s="254" t="e">
        <f t="shared" ca="1" si="17"/>
        <v>#VALUE!</v>
      </c>
      <c r="B54" s="255" t="e">
        <f t="shared" ca="1" si="9"/>
        <v>#VALUE!</v>
      </c>
      <c r="C54" s="256" t="e">
        <f ca="1">IF(OR(A54=$H$10,A54=$H$13),D54+G53,IF(A54&lt;$H$10,C53,""))</f>
        <v>#VALUE!</v>
      </c>
      <c r="D54" s="257" t="e">
        <f t="shared" ca="1" si="1"/>
        <v>#VALUE!</v>
      </c>
      <c r="E54" s="253" t="e">
        <f t="shared" ca="1" si="11"/>
        <v>#VALUE!</v>
      </c>
      <c r="F54" s="257" t="e">
        <f t="shared" ca="1" si="3"/>
        <v>#VALUE!</v>
      </c>
      <c r="G54" s="257" t="e">
        <f t="shared" ca="1" si="4"/>
        <v>#VALUE!</v>
      </c>
      <c r="H54" s="257" t="e">
        <f t="shared" ca="1" si="5"/>
        <v>#VALUE!</v>
      </c>
      <c r="I54" s="220" t="e">
        <f t="shared" ca="1" si="6"/>
        <v>#VALUE!</v>
      </c>
      <c r="J54" s="253" t="e">
        <f ca="1">SUM(C48:C54)</f>
        <v>#VALUE!</v>
      </c>
    </row>
    <row r="55" spans="1:12" x14ac:dyDescent="0.25">
      <c r="A55" s="254" t="e">
        <f t="shared" ca="1" si="17"/>
        <v>#VALUE!</v>
      </c>
      <c r="B55" s="255" t="e">
        <f t="shared" ca="1" si="9"/>
        <v>#VALUE!</v>
      </c>
      <c r="C55" s="256" t="e">
        <f t="shared" ca="1" si="16"/>
        <v>#VALUE!</v>
      </c>
      <c r="D55" s="257" t="e">
        <f t="shared" ca="1" si="1"/>
        <v>#VALUE!</v>
      </c>
      <c r="E55" s="253" t="e">
        <f t="shared" ca="1" si="11"/>
        <v>#VALUE!</v>
      </c>
      <c r="F55" s="257" t="e">
        <f t="shared" ca="1" si="3"/>
        <v>#VALUE!</v>
      </c>
      <c r="G55" s="257" t="e">
        <f t="shared" ca="1" si="4"/>
        <v>#VALUE!</v>
      </c>
      <c r="H55" s="257" t="e">
        <f t="shared" ca="1" si="5"/>
        <v>#VALUE!</v>
      </c>
      <c r="I55" s="220" t="e">
        <f t="shared" ca="1" si="6"/>
        <v>#VALUE!</v>
      </c>
    </row>
    <row r="56" spans="1:12" x14ac:dyDescent="0.25">
      <c r="A56" s="254" t="e">
        <f t="shared" ca="1" si="17"/>
        <v>#VALUE!</v>
      </c>
      <c r="B56" s="255" t="e">
        <f t="shared" ca="1" si="9"/>
        <v>#VALUE!</v>
      </c>
      <c r="C56" s="256" t="e">
        <f t="shared" ca="1" si="16"/>
        <v>#VALUE!</v>
      </c>
      <c r="D56" s="257" t="e">
        <f t="shared" ca="1" si="1"/>
        <v>#VALUE!</v>
      </c>
      <c r="E56" s="253" t="e">
        <f t="shared" ca="1" si="11"/>
        <v>#VALUE!</v>
      </c>
      <c r="F56" s="257" t="e">
        <f t="shared" ca="1" si="3"/>
        <v>#VALUE!</v>
      </c>
      <c r="G56" s="257" t="e">
        <f t="shared" ca="1" si="4"/>
        <v>#VALUE!</v>
      </c>
      <c r="H56" s="257" t="e">
        <f t="shared" ca="1" si="5"/>
        <v>#VALUE!</v>
      </c>
      <c r="I56" s="220" t="e">
        <f t="shared" ca="1" si="6"/>
        <v>#VALUE!</v>
      </c>
    </row>
    <row r="57" spans="1:12" x14ac:dyDescent="0.25">
      <c r="A57" s="254" t="e">
        <f t="shared" ca="1" si="17"/>
        <v>#VALUE!</v>
      </c>
      <c r="B57" s="255" t="e">
        <f t="shared" ca="1" si="9"/>
        <v>#VALUE!</v>
      </c>
      <c r="C57" s="256" t="e">
        <f t="shared" ca="1" si="16"/>
        <v>#VALUE!</v>
      </c>
      <c r="D57" s="257" t="e">
        <f t="shared" ca="1" si="1"/>
        <v>#VALUE!</v>
      </c>
      <c r="E57" s="253" t="e">
        <f t="shared" ca="1" si="11"/>
        <v>#VALUE!</v>
      </c>
      <c r="F57" s="257" t="e">
        <f t="shared" ca="1" si="3"/>
        <v>#VALUE!</v>
      </c>
      <c r="G57" s="257" t="e">
        <f t="shared" ca="1" si="4"/>
        <v>#VALUE!</v>
      </c>
      <c r="H57" s="257" t="e">
        <f t="shared" ca="1" si="5"/>
        <v>#VALUE!</v>
      </c>
      <c r="I57" s="220" t="e">
        <f t="shared" ca="1" si="6"/>
        <v>#VALUE!</v>
      </c>
    </row>
    <row r="58" spans="1:12" x14ac:dyDescent="0.25">
      <c r="A58" s="254" t="e">
        <f t="shared" ca="1" si="17"/>
        <v>#VALUE!</v>
      </c>
      <c r="B58" s="255" t="e">
        <f t="shared" ca="1" si="9"/>
        <v>#VALUE!</v>
      </c>
      <c r="C58" s="256" t="e">
        <f t="shared" ca="1" si="16"/>
        <v>#VALUE!</v>
      </c>
      <c r="D58" s="257" t="e">
        <f t="shared" ca="1" si="1"/>
        <v>#VALUE!</v>
      </c>
      <c r="E58" s="253" t="e">
        <f t="shared" ca="1" si="11"/>
        <v>#VALUE!</v>
      </c>
      <c r="F58" s="257" t="e">
        <f t="shared" ca="1" si="3"/>
        <v>#VALUE!</v>
      </c>
      <c r="G58" s="257" t="e">
        <f t="shared" ca="1" si="4"/>
        <v>#VALUE!</v>
      </c>
      <c r="H58" s="257" t="e">
        <f t="shared" ca="1" si="5"/>
        <v>#VALUE!</v>
      </c>
      <c r="I58" s="220" t="e">
        <f t="shared" ca="1" si="6"/>
        <v>#VALUE!</v>
      </c>
    </row>
    <row r="59" spans="1:12" x14ac:dyDescent="0.25">
      <c r="A59" s="254" t="e">
        <f t="shared" ca="1" si="17"/>
        <v>#VALUE!</v>
      </c>
      <c r="B59" s="255" t="e">
        <f t="shared" ca="1" si="9"/>
        <v>#VALUE!</v>
      </c>
      <c r="C59" s="256" t="e">
        <f t="shared" ca="1" si="16"/>
        <v>#VALUE!</v>
      </c>
      <c r="D59" s="257" t="e">
        <f t="shared" ca="1" si="1"/>
        <v>#VALUE!</v>
      </c>
      <c r="E59" s="253" t="e">
        <f t="shared" ca="1" si="11"/>
        <v>#VALUE!</v>
      </c>
      <c r="F59" s="257" t="e">
        <f t="shared" ca="1" si="3"/>
        <v>#VALUE!</v>
      </c>
      <c r="G59" s="257" t="e">
        <f t="shared" ca="1" si="4"/>
        <v>#VALUE!</v>
      </c>
      <c r="H59" s="257" t="e">
        <f t="shared" ca="1" si="5"/>
        <v>#VALUE!</v>
      </c>
      <c r="I59" s="220" t="e">
        <f t="shared" ca="1" si="6"/>
        <v>#VALUE!</v>
      </c>
    </row>
    <row r="60" spans="1:12" x14ac:dyDescent="0.25">
      <c r="A60" s="254" t="e">
        <f t="shared" ca="1" si="17"/>
        <v>#VALUE!</v>
      </c>
      <c r="B60" s="255" t="e">
        <f t="shared" ca="1" si="9"/>
        <v>#VALUE!</v>
      </c>
      <c r="C60" s="256" t="e">
        <f t="shared" ca="1" si="16"/>
        <v>#VALUE!</v>
      </c>
      <c r="D60" s="257" t="e">
        <f t="shared" ca="1" si="1"/>
        <v>#VALUE!</v>
      </c>
      <c r="E60" s="253" t="e">
        <f t="shared" ca="1" si="11"/>
        <v>#VALUE!</v>
      </c>
      <c r="F60" s="257" t="e">
        <f t="shared" ca="1" si="3"/>
        <v>#VALUE!</v>
      </c>
      <c r="G60" s="257" t="e">
        <f t="shared" ca="1" si="4"/>
        <v>#VALUE!</v>
      </c>
      <c r="H60" s="257" t="e">
        <f t="shared" ca="1" si="5"/>
        <v>#VALUE!</v>
      </c>
      <c r="I60" s="220" t="e">
        <f t="shared" ca="1" si="6"/>
        <v>#VALUE!</v>
      </c>
    </row>
    <row r="61" spans="1:12" x14ac:dyDescent="0.25">
      <c r="A61" s="254" t="e">
        <f t="shared" ca="1" si="17"/>
        <v>#VALUE!</v>
      </c>
      <c r="B61" s="255" t="e">
        <f t="shared" ca="1" si="9"/>
        <v>#VALUE!</v>
      </c>
      <c r="C61" s="256" t="e">
        <f t="shared" ca="1" si="16"/>
        <v>#VALUE!</v>
      </c>
      <c r="D61" s="257" t="e">
        <f t="shared" ca="1" si="1"/>
        <v>#VALUE!</v>
      </c>
      <c r="E61" s="253" t="e">
        <f t="shared" ca="1" si="11"/>
        <v>#VALUE!</v>
      </c>
      <c r="F61" s="257" t="e">
        <f t="shared" ca="1" si="3"/>
        <v>#VALUE!</v>
      </c>
      <c r="G61" s="257" t="e">
        <f t="shared" ca="1" si="4"/>
        <v>#VALUE!</v>
      </c>
      <c r="H61" s="257" t="e">
        <f t="shared" ca="1" si="5"/>
        <v>#VALUE!</v>
      </c>
      <c r="I61" s="220" t="e">
        <f t="shared" ca="1" si="6"/>
        <v>#VALUE!</v>
      </c>
    </row>
    <row r="62" spans="1:12" x14ac:dyDescent="0.25">
      <c r="A62" s="254" t="e">
        <f t="shared" ca="1" si="17"/>
        <v>#VALUE!</v>
      </c>
      <c r="B62" s="255" t="e">
        <f t="shared" ca="1" si="9"/>
        <v>#VALUE!</v>
      </c>
      <c r="C62" s="256" t="e">
        <f t="shared" ca="1" si="16"/>
        <v>#VALUE!</v>
      </c>
      <c r="D62" s="257" t="e">
        <f t="shared" ca="1" si="1"/>
        <v>#VALUE!</v>
      </c>
      <c r="E62" s="253" t="e">
        <f t="shared" ca="1" si="11"/>
        <v>#VALUE!</v>
      </c>
      <c r="F62" s="257" t="e">
        <f t="shared" ca="1" si="3"/>
        <v>#VALUE!</v>
      </c>
      <c r="G62" s="257" t="e">
        <f t="shared" ca="1" si="4"/>
        <v>#VALUE!</v>
      </c>
      <c r="H62" s="257" t="e">
        <f t="shared" ca="1" si="5"/>
        <v>#VALUE!</v>
      </c>
      <c r="I62" s="220" t="e">
        <f t="shared" ca="1" si="6"/>
        <v>#VALUE!</v>
      </c>
    </row>
    <row r="63" spans="1:12" x14ac:dyDescent="0.25">
      <c r="A63" s="254" t="e">
        <f t="shared" ca="1" si="17"/>
        <v>#VALUE!</v>
      </c>
      <c r="B63" s="255" t="e">
        <f t="shared" ca="1" si="9"/>
        <v>#VALUE!</v>
      </c>
      <c r="C63" s="256" t="e">
        <f t="shared" ca="1" si="16"/>
        <v>#VALUE!</v>
      </c>
      <c r="D63" s="257" t="e">
        <f t="shared" ca="1" si="1"/>
        <v>#VALUE!</v>
      </c>
      <c r="E63" s="253" t="e">
        <f t="shared" ca="1" si="11"/>
        <v>#VALUE!</v>
      </c>
      <c r="F63" s="257" t="e">
        <f t="shared" ca="1" si="3"/>
        <v>#VALUE!</v>
      </c>
      <c r="G63" s="257" t="e">
        <f t="shared" ca="1" si="4"/>
        <v>#VALUE!</v>
      </c>
      <c r="H63" s="257" t="e">
        <f t="shared" ca="1" si="5"/>
        <v>#VALUE!</v>
      </c>
      <c r="I63" s="220" t="e">
        <f t="shared" ca="1" si="6"/>
        <v>#VALUE!</v>
      </c>
      <c r="K63" s="253"/>
    </row>
    <row r="64" spans="1:12" x14ac:dyDescent="0.25">
      <c r="A64" s="254" t="e">
        <f t="shared" ca="1" si="17"/>
        <v>#VALUE!</v>
      </c>
      <c r="B64" s="255" t="e">
        <f t="shared" ca="1" si="9"/>
        <v>#VALUE!</v>
      </c>
      <c r="C64" s="256" t="e">
        <f t="shared" ca="1" si="16"/>
        <v>#VALUE!</v>
      </c>
      <c r="D64" s="257" t="e">
        <f t="shared" ca="1" si="1"/>
        <v>#VALUE!</v>
      </c>
      <c r="E64" s="253" t="e">
        <f t="shared" ca="1" si="11"/>
        <v>#VALUE!</v>
      </c>
      <c r="F64" s="257" t="e">
        <f t="shared" ca="1" si="3"/>
        <v>#VALUE!</v>
      </c>
      <c r="G64" s="257" t="e">
        <f t="shared" ca="1" si="4"/>
        <v>#VALUE!</v>
      </c>
      <c r="H64" s="257" t="e">
        <f t="shared" ca="1" si="5"/>
        <v>#VALUE!</v>
      </c>
      <c r="I64" s="220" t="e">
        <f t="shared" ca="1" si="6"/>
        <v>#VALUE!</v>
      </c>
      <c r="K64" s="260" t="e">
        <f t="shared" ref="K64:K127" ca="1" si="18">HLOOKUP(I64,$L$18:$W$24,7,0)/12</f>
        <v>#VALUE!</v>
      </c>
      <c r="L64" s="253" t="e">
        <f ca="1">G62-G68</f>
        <v>#VALUE!</v>
      </c>
    </row>
    <row r="65" spans="1:13" x14ac:dyDescent="0.25">
      <c r="A65" s="254" t="e">
        <f t="shared" ca="1" si="17"/>
        <v>#VALUE!</v>
      </c>
      <c r="B65" s="255" t="e">
        <f t="shared" ca="1" si="9"/>
        <v>#VALUE!</v>
      </c>
      <c r="C65" s="256" t="e">
        <f t="shared" ca="1" si="16"/>
        <v>#VALUE!</v>
      </c>
      <c r="D65" s="257" t="e">
        <f t="shared" ca="1" si="1"/>
        <v>#VALUE!</v>
      </c>
      <c r="E65" s="253" t="e">
        <f t="shared" ca="1" si="11"/>
        <v>#VALUE!</v>
      </c>
      <c r="F65" s="257" t="e">
        <f t="shared" ca="1" si="3"/>
        <v>#VALUE!</v>
      </c>
      <c r="G65" s="257" t="e">
        <f t="shared" ca="1" si="4"/>
        <v>#VALUE!</v>
      </c>
      <c r="H65" s="257" t="e">
        <f t="shared" ca="1" si="5"/>
        <v>#VALUE!</v>
      </c>
      <c r="I65" s="220" t="e">
        <f t="shared" ca="1" si="6"/>
        <v>#VALUE!</v>
      </c>
      <c r="K65" s="260" t="e">
        <f t="shared" ca="1" si="18"/>
        <v>#VALUE!</v>
      </c>
    </row>
    <row r="66" spans="1:13" x14ac:dyDescent="0.25">
      <c r="A66" s="254" t="e">
        <f t="shared" ca="1" si="17"/>
        <v>#VALUE!</v>
      </c>
      <c r="B66" s="255" t="e">
        <f t="shared" ca="1" si="9"/>
        <v>#VALUE!</v>
      </c>
      <c r="C66" s="256" t="e">
        <f t="shared" ca="1" si="16"/>
        <v>#VALUE!</v>
      </c>
      <c r="D66" s="257" t="e">
        <f t="shared" ca="1" si="1"/>
        <v>#VALUE!</v>
      </c>
      <c r="E66" s="253" t="e">
        <f t="shared" ca="1" si="11"/>
        <v>#VALUE!</v>
      </c>
      <c r="F66" s="257" t="e">
        <f t="shared" ca="1" si="3"/>
        <v>#VALUE!</v>
      </c>
      <c r="G66" s="257" t="e">
        <f t="shared" ca="1" si="4"/>
        <v>#VALUE!</v>
      </c>
      <c r="H66" s="257" t="e">
        <f t="shared" ca="1" si="5"/>
        <v>#VALUE!</v>
      </c>
      <c r="I66" s="220" t="e">
        <f t="shared" ca="1" si="6"/>
        <v>#VALUE!</v>
      </c>
      <c r="K66" s="260" t="e">
        <f t="shared" ca="1" si="18"/>
        <v>#VALUE!</v>
      </c>
    </row>
    <row r="67" spans="1:13" x14ac:dyDescent="0.25">
      <c r="A67" s="254" t="e">
        <f t="shared" ca="1" si="17"/>
        <v>#VALUE!</v>
      </c>
      <c r="B67" s="255" t="e">
        <f t="shared" ca="1" si="9"/>
        <v>#VALUE!</v>
      </c>
      <c r="C67" s="256" t="e">
        <f t="shared" ca="1" si="16"/>
        <v>#VALUE!</v>
      </c>
      <c r="D67" s="257" t="e">
        <f t="shared" ca="1" si="1"/>
        <v>#VALUE!</v>
      </c>
      <c r="E67" s="253" t="e">
        <f t="shared" ca="1" si="11"/>
        <v>#VALUE!</v>
      </c>
      <c r="F67" s="257" t="e">
        <f t="shared" ca="1" si="3"/>
        <v>#VALUE!</v>
      </c>
      <c r="G67" s="257" t="e">
        <f t="shared" ca="1" si="4"/>
        <v>#VALUE!</v>
      </c>
      <c r="H67" s="257" t="e">
        <f t="shared" ca="1" si="5"/>
        <v>#VALUE!</v>
      </c>
      <c r="I67" s="220" t="e">
        <f t="shared" ca="1" si="6"/>
        <v>#VALUE!</v>
      </c>
      <c r="K67" s="260" t="e">
        <f t="shared" ca="1" si="18"/>
        <v>#VALUE!</v>
      </c>
    </row>
    <row r="68" spans="1:13" x14ac:dyDescent="0.25">
      <c r="A68" s="254" t="e">
        <f t="shared" ca="1" si="17"/>
        <v>#VALUE!</v>
      </c>
      <c r="B68" s="255" t="e">
        <f t="shared" ca="1" si="9"/>
        <v>#VALUE!</v>
      </c>
      <c r="C68" s="256" t="e">
        <f t="shared" ca="1" si="16"/>
        <v>#VALUE!</v>
      </c>
      <c r="D68" s="257" t="e">
        <f t="shared" ca="1" si="1"/>
        <v>#VALUE!</v>
      </c>
      <c r="E68" s="253" t="e">
        <f t="shared" ca="1" si="11"/>
        <v>#VALUE!</v>
      </c>
      <c r="F68" s="257" t="e">
        <f t="shared" ca="1" si="3"/>
        <v>#VALUE!</v>
      </c>
      <c r="G68" s="257" t="e">
        <f t="shared" ca="1" si="4"/>
        <v>#VALUE!</v>
      </c>
      <c r="H68" s="257" t="e">
        <f t="shared" ca="1" si="5"/>
        <v>#VALUE!</v>
      </c>
      <c r="I68" s="220" t="e">
        <f t="shared" ca="1" si="6"/>
        <v>#VALUE!</v>
      </c>
      <c r="K68" s="260" t="e">
        <f t="shared" ca="1" si="18"/>
        <v>#VALUE!</v>
      </c>
      <c r="L68" s="253" t="e">
        <f ca="1">G68-G74</f>
        <v>#VALUE!</v>
      </c>
      <c r="M68" s="247" t="e">
        <f ca="1">L22-L64</f>
        <v>#VALUE!</v>
      </c>
    </row>
    <row r="69" spans="1:13" x14ac:dyDescent="0.25">
      <c r="A69" s="254" t="e">
        <f t="shared" ca="1" si="17"/>
        <v>#VALUE!</v>
      </c>
      <c r="B69" s="255" t="e">
        <f t="shared" ca="1" si="9"/>
        <v>#VALUE!</v>
      </c>
      <c r="C69" s="256" t="e">
        <f t="shared" ca="1" si="16"/>
        <v>#VALUE!</v>
      </c>
      <c r="D69" s="257" t="e">
        <f t="shared" ca="1" si="1"/>
        <v>#VALUE!</v>
      </c>
      <c r="E69" s="253" t="e">
        <f t="shared" ca="1" si="11"/>
        <v>#VALUE!</v>
      </c>
      <c r="F69" s="257" t="e">
        <f t="shared" ca="1" si="3"/>
        <v>#VALUE!</v>
      </c>
      <c r="G69" s="257" t="e">
        <f t="shared" ca="1" si="4"/>
        <v>#VALUE!</v>
      </c>
      <c r="H69" s="257" t="e">
        <f t="shared" ca="1" si="5"/>
        <v>#VALUE!</v>
      </c>
      <c r="I69" s="220" t="e">
        <f t="shared" ca="1" si="6"/>
        <v>#VALUE!</v>
      </c>
      <c r="K69" s="260" t="e">
        <f t="shared" ca="1" si="18"/>
        <v>#VALUE!</v>
      </c>
      <c r="L69" s="253" t="e">
        <f ca="1">L68+L64</f>
        <v>#VALUE!</v>
      </c>
    </row>
    <row r="70" spans="1:13" x14ac:dyDescent="0.25">
      <c r="A70" s="254" t="e">
        <f t="shared" ca="1" si="17"/>
        <v>#VALUE!</v>
      </c>
      <c r="B70" s="255" t="e">
        <f t="shared" ca="1" si="9"/>
        <v>#VALUE!</v>
      </c>
      <c r="C70" s="256" t="e">
        <f t="shared" ca="1" si="16"/>
        <v>#VALUE!</v>
      </c>
      <c r="D70" s="257" t="e">
        <f t="shared" ca="1" si="1"/>
        <v>#VALUE!</v>
      </c>
      <c r="E70" s="253" t="e">
        <f t="shared" ca="1" si="11"/>
        <v>#VALUE!</v>
      </c>
      <c r="F70" s="257" t="e">
        <f t="shared" ca="1" si="3"/>
        <v>#VALUE!</v>
      </c>
      <c r="G70" s="257" t="e">
        <f t="shared" ca="1" si="4"/>
        <v>#VALUE!</v>
      </c>
      <c r="H70" s="257" t="e">
        <f t="shared" ca="1" si="5"/>
        <v>#VALUE!</v>
      </c>
      <c r="I70" s="220" t="e">
        <f t="shared" ca="1" si="6"/>
        <v>#VALUE!</v>
      </c>
      <c r="K70" s="260" t="e">
        <f t="shared" ca="1" si="18"/>
        <v>#VALUE!</v>
      </c>
    </row>
    <row r="71" spans="1:13" x14ac:dyDescent="0.25">
      <c r="A71" s="254" t="e">
        <f t="shared" ca="1" si="17"/>
        <v>#VALUE!</v>
      </c>
      <c r="B71" s="255" t="e">
        <f t="shared" ca="1" si="9"/>
        <v>#VALUE!</v>
      </c>
      <c r="C71" s="256" t="e">
        <f t="shared" ca="1" si="16"/>
        <v>#VALUE!</v>
      </c>
      <c r="D71" s="257" t="e">
        <f t="shared" ca="1" si="1"/>
        <v>#VALUE!</v>
      </c>
      <c r="E71" s="253" t="e">
        <f t="shared" ca="1" si="11"/>
        <v>#VALUE!</v>
      </c>
      <c r="F71" s="257" t="e">
        <f t="shared" ca="1" si="3"/>
        <v>#VALUE!</v>
      </c>
      <c r="G71" s="257" t="e">
        <f t="shared" ca="1" si="4"/>
        <v>#VALUE!</v>
      </c>
      <c r="H71" s="257" t="e">
        <f t="shared" ca="1" si="5"/>
        <v>#VALUE!</v>
      </c>
      <c r="I71" s="220" t="e">
        <f t="shared" ca="1" si="6"/>
        <v>#VALUE!</v>
      </c>
      <c r="K71" s="260" t="e">
        <f t="shared" ca="1" si="18"/>
        <v>#VALUE!</v>
      </c>
    </row>
    <row r="72" spans="1:13" x14ac:dyDescent="0.25">
      <c r="A72" s="254" t="e">
        <f t="shared" ca="1" si="17"/>
        <v>#VALUE!</v>
      </c>
      <c r="B72" s="255" t="e">
        <f t="shared" ca="1" si="9"/>
        <v>#VALUE!</v>
      </c>
      <c r="C72" s="256" t="e">
        <f t="shared" ca="1" si="16"/>
        <v>#VALUE!</v>
      </c>
      <c r="D72" s="257" t="e">
        <f t="shared" ca="1" si="1"/>
        <v>#VALUE!</v>
      </c>
      <c r="E72" s="253" t="e">
        <f t="shared" ca="1" si="11"/>
        <v>#VALUE!</v>
      </c>
      <c r="F72" s="257" t="e">
        <f t="shared" ca="1" si="3"/>
        <v>#VALUE!</v>
      </c>
      <c r="G72" s="257" t="e">
        <f t="shared" ca="1" si="4"/>
        <v>#VALUE!</v>
      </c>
      <c r="H72" s="257" t="e">
        <f t="shared" ca="1" si="5"/>
        <v>#VALUE!</v>
      </c>
      <c r="I72" s="220" t="e">
        <f t="shared" ca="1" si="6"/>
        <v>#VALUE!</v>
      </c>
      <c r="K72" s="260" t="e">
        <f t="shared" ca="1" si="18"/>
        <v>#VALUE!</v>
      </c>
    </row>
    <row r="73" spans="1:13" x14ac:dyDescent="0.25">
      <c r="A73" s="254" t="e">
        <f t="shared" ca="1" si="17"/>
        <v>#VALUE!</v>
      </c>
      <c r="B73" s="255" t="e">
        <f t="shared" ca="1" si="9"/>
        <v>#VALUE!</v>
      </c>
      <c r="C73" s="256" t="e">
        <f t="shared" ca="1" si="16"/>
        <v>#VALUE!</v>
      </c>
      <c r="D73" s="257" t="e">
        <f t="shared" ca="1" si="1"/>
        <v>#VALUE!</v>
      </c>
      <c r="E73" s="253" t="e">
        <f t="shared" ca="1" si="11"/>
        <v>#VALUE!</v>
      </c>
      <c r="F73" s="257" t="e">
        <f t="shared" ca="1" si="3"/>
        <v>#VALUE!</v>
      </c>
      <c r="G73" s="257" t="e">
        <f t="shared" ca="1" si="4"/>
        <v>#VALUE!</v>
      </c>
      <c r="H73" s="257" t="e">
        <f t="shared" ca="1" si="5"/>
        <v>#VALUE!</v>
      </c>
      <c r="I73" s="220" t="e">
        <f t="shared" ca="1" si="6"/>
        <v>#VALUE!</v>
      </c>
      <c r="K73" s="260" t="e">
        <f t="shared" ca="1" si="18"/>
        <v>#VALUE!</v>
      </c>
    </row>
    <row r="74" spans="1:13" x14ac:dyDescent="0.25">
      <c r="A74" s="254" t="e">
        <f t="shared" ca="1" si="17"/>
        <v>#VALUE!</v>
      </c>
      <c r="B74" s="255" t="e">
        <f t="shared" ca="1" si="9"/>
        <v>#VALUE!</v>
      </c>
      <c r="C74" s="256" t="e">
        <f t="shared" ca="1" si="16"/>
        <v>#VALUE!</v>
      </c>
      <c r="D74" s="257" t="e">
        <f t="shared" ca="1" si="1"/>
        <v>#VALUE!</v>
      </c>
      <c r="E74" s="253" t="e">
        <f t="shared" ca="1" si="11"/>
        <v>#VALUE!</v>
      </c>
      <c r="F74" s="257" t="e">
        <f t="shared" ca="1" si="3"/>
        <v>#VALUE!</v>
      </c>
      <c r="G74" s="257" t="e">
        <f t="shared" ca="1" si="4"/>
        <v>#VALUE!</v>
      </c>
      <c r="H74" s="257" t="e">
        <f t="shared" ca="1" si="5"/>
        <v>#VALUE!</v>
      </c>
      <c r="I74" s="220" t="e">
        <f t="shared" ca="1" si="6"/>
        <v>#VALUE!</v>
      </c>
      <c r="K74" s="260" t="e">
        <f t="shared" ca="1" si="18"/>
        <v>#VALUE!</v>
      </c>
    </row>
    <row r="75" spans="1:13" x14ac:dyDescent="0.25">
      <c r="A75" s="254" t="e">
        <f t="shared" ca="1" si="17"/>
        <v>#VALUE!</v>
      </c>
      <c r="B75" s="255" t="e">
        <f t="shared" ca="1" si="9"/>
        <v>#VALUE!</v>
      </c>
      <c r="C75" s="256" t="e">
        <f t="shared" ca="1" si="16"/>
        <v>#VALUE!</v>
      </c>
      <c r="D75" s="257" t="e">
        <f t="shared" ca="1" si="1"/>
        <v>#VALUE!</v>
      </c>
      <c r="E75" s="253" t="e">
        <f t="shared" ca="1" si="11"/>
        <v>#VALUE!</v>
      </c>
      <c r="F75" s="257" t="e">
        <f t="shared" ca="1" si="3"/>
        <v>#VALUE!</v>
      </c>
      <c r="G75" s="257" t="e">
        <f t="shared" ca="1" si="4"/>
        <v>#VALUE!</v>
      </c>
      <c r="H75" s="257" t="e">
        <f t="shared" ca="1" si="5"/>
        <v>#VALUE!</v>
      </c>
      <c r="I75" s="220" t="e">
        <f t="shared" ca="1" si="6"/>
        <v>#VALUE!</v>
      </c>
      <c r="K75" s="260" t="e">
        <f t="shared" ca="1" si="18"/>
        <v>#VALUE!</v>
      </c>
    </row>
    <row r="76" spans="1:13" x14ac:dyDescent="0.25">
      <c r="A76" s="254" t="e">
        <f t="shared" ca="1" si="17"/>
        <v>#VALUE!</v>
      </c>
      <c r="B76" s="255" t="e">
        <f t="shared" ca="1" si="9"/>
        <v>#VALUE!</v>
      </c>
      <c r="C76" s="256" t="e">
        <f t="shared" ca="1" si="16"/>
        <v>#VALUE!</v>
      </c>
      <c r="D76" s="257" t="e">
        <f t="shared" ca="1" si="1"/>
        <v>#VALUE!</v>
      </c>
      <c r="E76" s="253" t="e">
        <f t="shared" ca="1" si="11"/>
        <v>#VALUE!</v>
      </c>
      <c r="F76" s="257" t="e">
        <f t="shared" ca="1" si="3"/>
        <v>#VALUE!</v>
      </c>
      <c r="G76" s="257" t="e">
        <f t="shared" ca="1" si="4"/>
        <v>#VALUE!</v>
      </c>
      <c r="H76" s="257" t="e">
        <f t="shared" ca="1" si="5"/>
        <v>#VALUE!</v>
      </c>
      <c r="I76" s="220" t="e">
        <f t="shared" ca="1" si="6"/>
        <v>#VALUE!</v>
      </c>
      <c r="K76" s="260" t="e">
        <f t="shared" ca="1" si="18"/>
        <v>#VALUE!</v>
      </c>
    </row>
    <row r="77" spans="1:13" x14ac:dyDescent="0.25">
      <c r="A77" s="254" t="e">
        <f t="shared" ca="1" si="17"/>
        <v>#VALUE!</v>
      </c>
      <c r="B77" s="255" t="e">
        <f t="shared" ca="1" si="9"/>
        <v>#VALUE!</v>
      </c>
      <c r="C77" s="256" t="e">
        <f t="shared" ca="1" si="16"/>
        <v>#VALUE!</v>
      </c>
      <c r="D77" s="257" t="e">
        <f t="shared" ca="1" si="1"/>
        <v>#VALUE!</v>
      </c>
      <c r="E77" s="253" t="e">
        <f t="shared" ca="1" si="11"/>
        <v>#VALUE!</v>
      </c>
      <c r="F77" s="257" t="e">
        <f t="shared" ca="1" si="3"/>
        <v>#VALUE!</v>
      </c>
      <c r="G77" s="257" t="e">
        <f t="shared" ca="1" si="4"/>
        <v>#VALUE!</v>
      </c>
      <c r="H77" s="257" t="e">
        <f t="shared" ca="1" si="5"/>
        <v>#VALUE!</v>
      </c>
      <c r="I77" s="220" t="e">
        <f t="shared" ca="1" si="6"/>
        <v>#VALUE!</v>
      </c>
      <c r="K77" s="260" t="e">
        <f t="shared" ca="1" si="18"/>
        <v>#VALUE!</v>
      </c>
    </row>
    <row r="78" spans="1:13" x14ac:dyDescent="0.25">
      <c r="A78" s="254" t="e">
        <f t="shared" ca="1" si="17"/>
        <v>#VALUE!</v>
      </c>
      <c r="B78" s="255" t="e">
        <f t="shared" ca="1" si="9"/>
        <v>#VALUE!</v>
      </c>
      <c r="C78" s="256" t="e">
        <f t="shared" ca="1" si="16"/>
        <v>#VALUE!</v>
      </c>
      <c r="D78" s="257" t="e">
        <f t="shared" ca="1" si="1"/>
        <v>#VALUE!</v>
      </c>
      <c r="E78" s="253" t="e">
        <f t="shared" ca="1" si="11"/>
        <v>#VALUE!</v>
      </c>
      <c r="F78" s="257" t="e">
        <f t="shared" ca="1" si="3"/>
        <v>#VALUE!</v>
      </c>
      <c r="G78" s="257" t="e">
        <f t="shared" ca="1" si="4"/>
        <v>#VALUE!</v>
      </c>
      <c r="H78" s="257" t="e">
        <f t="shared" ca="1" si="5"/>
        <v>#VALUE!</v>
      </c>
      <c r="I78" s="220" t="e">
        <f t="shared" ca="1" si="6"/>
        <v>#VALUE!</v>
      </c>
      <c r="K78" s="260" t="e">
        <f t="shared" ca="1" si="18"/>
        <v>#VALUE!</v>
      </c>
    </row>
    <row r="79" spans="1:13" x14ac:dyDescent="0.25">
      <c r="A79" s="254" t="e">
        <f t="shared" ca="1" si="17"/>
        <v>#VALUE!</v>
      </c>
      <c r="B79" s="255" t="e">
        <f t="shared" ca="1" si="9"/>
        <v>#VALUE!</v>
      </c>
      <c r="C79" s="256" t="e">
        <f t="shared" ca="1" si="16"/>
        <v>#VALUE!</v>
      </c>
      <c r="D79" s="257" t="e">
        <f t="shared" ca="1" si="1"/>
        <v>#VALUE!</v>
      </c>
      <c r="E79" s="253" t="e">
        <f t="shared" ca="1" si="11"/>
        <v>#VALUE!</v>
      </c>
      <c r="F79" s="257" t="e">
        <f t="shared" ca="1" si="3"/>
        <v>#VALUE!</v>
      </c>
      <c r="G79" s="257" t="e">
        <f t="shared" ca="1" si="4"/>
        <v>#VALUE!</v>
      </c>
      <c r="H79" s="257" t="e">
        <f t="shared" ca="1" si="5"/>
        <v>#VALUE!</v>
      </c>
      <c r="I79" s="220" t="e">
        <f t="shared" ca="1" si="6"/>
        <v>#VALUE!</v>
      </c>
      <c r="K79" s="260" t="e">
        <f t="shared" ca="1" si="18"/>
        <v>#VALUE!</v>
      </c>
    </row>
    <row r="80" spans="1:13" x14ac:dyDescent="0.25">
      <c r="A80" s="254" t="e">
        <f t="shared" ca="1" si="17"/>
        <v>#VALUE!</v>
      </c>
      <c r="B80" s="255" t="e">
        <f t="shared" ca="1" si="9"/>
        <v>#VALUE!</v>
      </c>
      <c r="C80" s="256" t="e">
        <f t="shared" ca="1" si="16"/>
        <v>#VALUE!</v>
      </c>
      <c r="D80" s="257" t="e">
        <f t="shared" ca="1" si="1"/>
        <v>#VALUE!</v>
      </c>
      <c r="E80" s="253" t="e">
        <f t="shared" ca="1" si="11"/>
        <v>#VALUE!</v>
      </c>
      <c r="F80" s="257" t="e">
        <f t="shared" ca="1" si="3"/>
        <v>#VALUE!</v>
      </c>
      <c r="G80" s="257" t="e">
        <f t="shared" ca="1" si="4"/>
        <v>#VALUE!</v>
      </c>
      <c r="H80" s="257" t="e">
        <f t="shared" ca="1" si="5"/>
        <v>#VALUE!</v>
      </c>
      <c r="I80" s="220" t="e">
        <f t="shared" ca="1" si="6"/>
        <v>#VALUE!</v>
      </c>
      <c r="K80" s="260" t="e">
        <f t="shared" ca="1" si="18"/>
        <v>#VALUE!</v>
      </c>
    </row>
    <row r="81" spans="1:11" x14ac:dyDescent="0.25">
      <c r="A81" s="254" t="e">
        <f t="shared" ca="1" si="17"/>
        <v>#VALUE!</v>
      </c>
      <c r="B81" s="255" t="e">
        <f t="shared" ca="1" si="9"/>
        <v>#VALUE!</v>
      </c>
      <c r="C81" s="256" t="e">
        <f t="shared" ca="1" si="16"/>
        <v>#VALUE!</v>
      </c>
      <c r="D81" s="257" t="e">
        <f t="shared" ca="1" si="1"/>
        <v>#VALUE!</v>
      </c>
      <c r="E81" s="253" t="e">
        <f t="shared" ca="1" si="11"/>
        <v>#VALUE!</v>
      </c>
      <c r="F81" s="257" t="e">
        <f t="shared" ca="1" si="3"/>
        <v>#VALUE!</v>
      </c>
      <c r="G81" s="257" t="e">
        <f t="shared" ca="1" si="4"/>
        <v>#VALUE!</v>
      </c>
      <c r="H81" s="257" t="e">
        <f t="shared" ca="1" si="5"/>
        <v>#VALUE!</v>
      </c>
      <c r="I81" s="220" t="e">
        <f t="shared" ca="1" si="6"/>
        <v>#VALUE!</v>
      </c>
      <c r="K81" s="260" t="e">
        <f t="shared" ca="1" si="18"/>
        <v>#VALUE!</v>
      </c>
    </row>
    <row r="82" spans="1:11" x14ac:dyDescent="0.25">
      <c r="A82" s="254" t="e">
        <f t="shared" ca="1" si="17"/>
        <v>#VALUE!</v>
      </c>
      <c r="B82" s="255" t="e">
        <f t="shared" ca="1" si="9"/>
        <v>#VALUE!</v>
      </c>
      <c r="C82" s="256" t="e">
        <f t="shared" ca="1" si="16"/>
        <v>#VALUE!</v>
      </c>
      <c r="D82" s="257" t="e">
        <f t="shared" ca="1" si="1"/>
        <v>#VALUE!</v>
      </c>
      <c r="E82" s="253" t="e">
        <f t="shared" ca="1" si="11"/>
        <v>#VALUE!</v>
      </c>
      <c r="F82" s="257" t="e">
        <f t="shared" ca="1" si="3"/>
        <v>#VALUE!</v>
      </c>
      <c r="G82" s="257" t="e">
        <f t="shared" ca="1" si="4"/>
        <v>#VALUE!</v>
      </c>
      <c r="H82" s="257" t="e">
        <f t="shared" ca="1" si="5"/>
        <v>#VALUE!</v>
      </c>
      <c r="I82" s="220" t="e">
        <f t="shared" ca="1" si="6"/>
        <v>#VALUE!</v>
      </c>
      <c r="K82" s="260" t="e">
        <f t="shared" ca="1" si="18"/>
        <v>#VALUE!</v>
      </c>
    </row>
    <row r="83" spans="1:11" x14ac:dyDescent="0.25">
      <c r="A83" s="254" t="e">
        <f t="shared" ca="1" si="17"/>
        <v>#VALUE!</v>
      </c>
      <c r="B83" s="255" t="e">
        <f t="shared" ca="1" si="9"/>
        <v>#VALUE!</v>
      </c>
      <c r="C83" s="256" t="e">
        <f t="shared" ca="1" si="16"/>
        <v>#VALUE!</v>
      </c>
      <c r="D83" s="257" t="e">
        <f t="shared" ref="D83:D146" ca="1" si="19">IF(B83="","",ROUND((B83-B82)*$H$9*G82,2))</f>
        <v>#VALUE!</v>
      </c>
      <c r="E83" s="253" t="e">
        <f t="shared" ca="1" si="11"/>
        <v>#VALUE!</v>
      </c>
      <c r="F83" s="257" t="e">
        <f t="shared" ref="F83:F146" ca="1" si="20">IF(B83="","",IF(C83&gt;F82+D83,0,F82+D83-C83))</f>
        <v>#VALUE!</v>
      </c>
      <c r="G83" s="257" t="e">
        <f t="shared" ref="G83:G146" ca="1" si="21">IF(B83="","",IF(C83&gt;D83+F82,G82+F82+D83-C83,G82))</f>
        <v>#VALUE!</v>
      </c>
      <c r="H83" s="257" t="e">
        <f t="shared" ref="H83:H146" ca="1" si="22">IF(B83="","",G83+F83)</f>
        <v>#VALUE!</v>
      </c>
      <c r="I83" s="220" t="e">
        <f t="shared" ref="I83:I138" ca="1" si="23">YEAR(B83)</f>
        <v>#VALUE!</v>
      </c>
      <c r="K83" s="260" t="e">
        <f t="shared" ca="1" si="18"/>
        <v>#VALUE!</v>
      </c>
    </row>
    <row r="84" spans="1:11" x14ac:dyDescent="0.25">
      <c r="A84" s="254" t="e">
        <f t="shared" ca="1" si="17"/>
        <v>#VALUE!</v>
      </c>
      <c r="B84" s="255" t="e">
        <f t="shared" ref="B84:B138" ca="1" si="24">IF(A84&lt;$H$10+1,DATE(YEAR(B83),MONTH(B83)+1,1),"")</f>
        <v>#VALUE!</v>
      </c>
      <c r="C84" s="256" t="e">
        <f t="shared" ca="1" si="16"/>
        <v>#VALUE!</v>
      </c>
      <c r="D84" s="257" t="e">
        <f t="shared" ca="1" si="19"/>
        <v>#VALUE!</v>
      </c>
      <c r="E84" s="253" t="e">
        <f t="shared" ca="1" si="11"/>
        <v>#VALUE!</v>
      </c>
      <c r="F84" s="257" t="e">
        <f t="shared" ca="1" si="20"/>
        <v>#VALUE!</v>
      </c>
      <c r="G84" s="257" t="e">
        <f t="shared" ca="1" si="21"/>
        <v>#VALUE!</v>
      </c>
      <c r="H84" s="257" t="e">
        <f t="shared" ca="1" si="22"/>
        <v>#VALUE!</v>
      </c>
      <c r="I84" s="220" t="e">
        <f t="shared" ca="1" si="23"/>
        <v>#VALUE!</v>
      </c>
      <c r="K84" s="260" t="e">
        <f t="shared" ca="1" si="18"/>
        <v>#VALUE!</v>
      </c>
    </row>
    <row r="85" spans="1:11" x14ac:dyDescent="0.25">
      <c r="A85" s="254" t="e">
        <f t="shared" ca="1" si="17"/>
        <v>#VALUE!</v>
      </c>
      <c r="B85" s="255" t="e">
        <f t="shared" ca="1" si="24"/>
        <v>#VALUE!</v>
      </c>
      <c r="C85" s="256" t="e">
        <f t="shared" ca="1" si="16"/>
        <v>#VALUE!</v>
      </c>
      <c r="D85" s="257" t="e">
        <f t="shared" ca="1" si="19"/>
        <v>#VALUE!</v>
      </c>
      <c r="E85" s="253" t="e">
        <f t="shared" ref="E85:E138" ca="1" si="25">IF(B85="","",C85-D85)</f>
        <v>#VALUE!</v>
      </c>
      <c r="F85" s="257" t="e">
        <f t="shared" ca="1" si="20"/>
        <v>#VALUE!</v>
      </c>
      <c r="G85" s="257" t="e">
        <f t="shared" ca="1" si="21"/>
        <v>#VALUE!</v>
      </c>
      <c r="H85" s="257" t="e">
        <f t="shared" ca="1" si="22"/>
        <v>#VALUE!</v>
      </c>
      <c r="I85" s="220" t="e">
        <f t="shared" ca="1" si="23"/>
        <v>#VALUE!</v>
      </c>
      <c r="K85" s="260" t="e">
        <f t="shared" ca="1" si="18"/>
        <v>#VALUE!</v>
      </c>
    </row>
    <row r="86" spans="1:11" x14ac:dyDescent="0.25">
      <c r="A86" s="254" t="e">
        <f t="shared" ca="1" si="17"/>
        <v>#VALUE!</v>
      </c>
      <c r="B86" s="255" t="e">
        <f t="shared" ca="1" si="24"/>
        <v>#VALUE!</v>
      </c>
      <c r="C86" s="256" t="e">
        <f t="shared" ca="1" si="16"/>
        <v>#VALUE!</v>
      </c>
      <c r="D86" s="257" t="e">
        <f t="shared" ca="1" si="19"/>
        <v>#VALUE!</v>
      </c>
      <c r="E86" s="253" t="e">
        <f t="shared" ca="1" si="25"/>
        <v>#VALUE!</v>
      </c>
      <c r="F86" s="257" t="e">
        <f t="shared" ca="1" si="20"/>
        <v>#VALUE!</v>
      </c>
      <c r="G86" s="257" t="e">
        <f t="shared" ca="1" si="21"/>
        <v>#VALUE!</v>
      </c>
      <c r="H86" s="257" t="e">
        <f t="shared" ca="1" si="22"/>
        <v>#VALUE!</v>
      </c>
      <c r="I86" s="220" t="e">
        <f t="shared" ca="1" si="23"/>
        <v>#VALUE!</v>
      </c>
      <c r="K86" s="260" t="e">
        <f t="shared" ca="1" si="18"/>
        <v>#VALUE!</v>
      </c>
    </row>
    <row r="87" spans="1:11" x14ac:dyDescent="0.25">
      <c r="A87" s="254" t="e">
        <f t="shared" ca="1" si="17"/>
        <v>#VALUE!</v>
      </c>
      <c r="B87" s="255" t="e">
        <f t="shared" ca="1" si="24"/>
        <v>#VALUE!</v>
      </c>
      <c r="C87" s="256" t="e">
        <f t="shared" ca="1" si="16"/>
        <v>#VALUE!</v>
      </c>
      <c r="D87" s="257" t="e">
        <f t="shared" ca="1" si="19"/>
        <v>#VALUE!</v>
      </c>
      <c r="E87" s="253" t="e">
        <f t="shared" ca="1" si="25"/>
        <v>#VALUE!</v>
      </c>
      <c r="F87" s="257" t="e">
        <f t="shared" ca="1" si="20"/>
        <v>#VALUE!</v>
      </c>
      <c r="G87" s="257" t="e">
        <f t="shared" ca="1" si="21"/>
        <v>#VALUE!</v>
      </c>
      <c r="H87" s="257" t="e">
        <f t="shared" ca="1" si="22"/>
        <v>#VALUE!</v>
      </c>
      <c r="I87" s="220" t="e">
        <f t="shared" ca="1" si="23"/>
        <v>#VALUE!</v>
      </c>
      <c r="K87" s="260" t="e">
        <f t="shared" ca="1" si="18"/>
        <v>#VALUE!</v>
      </c>
    </row>
    <row r="88" spans="1:11" x14ac:dyDescent="0.25">
      <c r="A88" s="254" t="e">
        <f t="shared" ca="1" si="17"/>
        <v>#VALUE!</v>
      </c>
      <c r="B88" s="255" t="e">
        <f t="shared" ca="1" si="24"/>
        <v>#VALUE!</v>
      </c>
      <c r="C88" s="256" t="e">
        <f t="shared" ca="1" si="16"/>
        <v>#VALUE!</v>
      </c>
      <c r="D88" s="257" t="e">
        <f t="shared" ca="1" si="19"/>
        <v>#VALUE!</v>
      </c>
      <c r="E88" s="253" t="e">
        <f t="shared" ca="1" si="25"/>
        <v>#VALUE!</v>
      </c>
      <c r="F88" s="257" t="e">
        <f t="shared" ca="1" si="20"/>
        <v>#VALUE!</v>
      </c>
      <c r="G88" s="257" t="e">
        <f t="shared" ca="1" si="21"/>
        <v>#VALUE!</v>
      </c>
      <c r="H88" s="257" t="e">
        <f t="shared" ca="1" si="22"/>
        <v>#VALUE!</v>
      </c>
      <c r="I88" s="220" t="e">
        <f t="shared" ca="1" si="23"/>
        <v>#VALUE!</v>
      </c>
      <c r="K88" s="260" t="e">
        <f t="shared" ca="1" si="18"/>
        <v>#VALUE!</v>
      </c>
    </row>
    <row r="89" spans="1:11" x14ac:dyDescent="0.25">
      <c r="A89" s="254" t="e">
        <f t="shared" ca="1" si="17"/>
        <v>#VALUE!</v>
      </c>
      <c r="B89" s="255" t="e">
        <f t="shared" ca="1" si="24"/>
        <v>#VALUE!</v>
      </c>
      <c r="C89" s="256" t="e">
        <f t="shared" ca="1" si="16"/>
        <v>#VALUE!</v>
      </c>
      <c r="D89" s="257" t="e">
        <f t="shared" ca="1" si="19"/>
        <v>#VALUE!</v>
      </c>
      <c r="E89" s="253" t="e">
        <f t="shared" ca="1" si="25"/>
        <v>#VALUE!</v>
      </c>
      <c r="F89" s="257" t="e">
        <f t="shared" ca="1" si="20"/>
        <v>#VALUE!</v>
      </c>
      <c r="G89" s="257" t="e">
        <f t="shared" ca="1" si="21"/>
        <v>#VALUE!</v>
      </c>
      <c r="H89" s="257" t="e">
        <f t="shared" ca="1" si="22"/>
        <v>#VALUE!</v>
      </c>
      <c r="I89" s="220" t="e">
        <f t="shared" ca="1" si="23"/>
        <v>#VALUE!</v>
      </c>
      <c r="K89" s="260" t="e">
        <f t="shared" ca="1" si="18"/>
        <v>#VALUE!</v>
      </c>
    </row>
    <row r="90" spans="1:11" x14ac:dyDescent="0.25">
      <c r="A90" s="254" t="e">
        <f t="shared" ca="1" si="17"/>
        <v>#VALUE!</v>
      </c>
      <c r="B90" s="255" t="e">
        <f t="shared" ca="1" si="24"/>
        <v>#VALUE!</v>
      </c>
      <c r="C90" s="256" t="e">
        <f t="shared" ca="1" si="16"/>
        <v>#VALUE!</v>
      </c>
      <c r="D90" s="257" t="e">
        <f t="shared" ca="1" si="19"/>
        <v>#VALUE!</v>
      </c>
      <c r="E90" s="253" t="e">
        <f t="shared" ca="1" si="25"/>
        <v>#VALUE!</v>
      </c>
      <c r="F90" s="257" t="e">
        <f t="shared" ca="1" si="20"/>
        <v>#VALUE!</v>
      </c>
      <c r="G90" s="257" t="e">
        <f t="shared" ca="1" si="21"/>
        <v>#VALUE!</v>
      </c>
      <c r="H90" s="257" t="e">
        <f t="shared" ca="1" si="22"/>
        <v>#VALUE!</v>
      </c>
      <c r="I90" s="220" t="e">
        <f t="shared" ca="1" si="23"/>
        <v>#VALUE!</v>
      </c>
      <c r="K90" s="260" t="e">
        <f t="shared" ca="1" si="18"/>
        <v>#VALUE!</v>
      </c>
    </row>
    <row r="91" spans="1:11" x14ac:dyDescent="0.25">
      <c r="A91" s="254" t="e">
        <f t="shared" ca="1" si="17"/>
        <v>#VALUE!</v>
      </c>
      <c r="B91" s="255" t="e">
        <f t="shared" ca="1" si="24"/>
        <v>#VALUE!</v>
      </c>
      <c r="C91" s="256" t="e">
        <f t="shared" ca="1" si="16"/>
        <v>#VALUE!</v>
      </c>
      <c r="D91" s="257" t="e">
        <f t="shared" ca="1" si="19"/>
        <v>#VALUE!</v>
      </c>
      <c r="E91" s="253" t="e">
        <f t="shared" ca="1" si="25"/>
        <v>#VALUE!</v>
      </c>
      <c r="F91" s="257" t="e">
        <f t="shared" ca="1" si="20"/>
        <v>#VALUE!</v>
      </c>
      <c r="G91" s="257" t="e">
        <f t="shared" ca="1" si="21"/>
        <v>#VALUE!</v>
      </c>
      <c r="H91" s="257" t="e">
        <f t="shared" ca="1" si="22"/>
        <v>#VALUE!</v>
      </c>
      <c r="I91" s="220" t="e">
        <f t="shared" ca="1" si="23"/>
        <v>#VALUE!</v>
      </c>
      <c r="K91" s="260" t="e">
        <f t="shared" ca="1" si="18"/>
        <v>#VALUE!</v>
      </c>
    </row>
    <row r="92" spans="1:11" x14ac:dyDescent="0.25">
      <c r="A92" s="254" t="e">
        <f t="shared" ca="1" si="17"/>
        <v>#VALUE!</v>
      </c>
      <c r="B92" s="255" t="e">
        <f t="shared" ca="1" si="24"/>
        <v>#VALUE!</v>
      </c>
      <c r="C92" s="256" t="e">
        <f t="shared" ca="1" si="16"/>
        <v>#VALUE!</v>
      </c>
      <c r="D92" s="257" t="e">
        <f t="shared" ca="1" si="19"/>
        <v>#VALUE!</v>
      </c>
      <c r="E92" s="253" t="e">
        <f t="shared" ca="1" si="25"/>
        <v>#VALUE!</v>
      </c>
      <c r="F92" s="257" t="e">
        <f t="shared" ca="1" si="20"/>
        <v>#VALUE!</v>
      </c>
      <c r="G92" s="257" t="e">
        <f t="shared" ca="1" si="21"/>
        <v>#VALUE!</v>
      </c>
      <c r="H92" s="257" t="e">
        <f t="shared" ca="1" si="22"/>
        <v>#VALUE!</v>
      </c>
      <c r="I92" s="220" t="e">
        <f t="shared" ca="1" si="23"/>
        <v>#VALUE!</v>
      </c>
      <c r="K92" s="260" t="e">
        <f t="shared" ca="1" si="18"/>
        <v>#VALUE!</v>
      </c>
    </row>
    <row r="93" spans="1:11" x14ac:dyDescent="0.25">
      <c r="A93" s="254" t="e">
        <f t="shared" ca="1" si="17"/>
        <v>#VALUE!</v>
      </c>
      <c r="B93" s="255" t="e">
        <f t="shared" ca="1" si="24"/>
        <v>#VALUE!</v>
      </c>
      <c r="C93" s="256" t="e">
        <f t="shared" ca="1" si="16"/>
        <v>#VALUE!</v>
      </c>
      <c r="D93" s="257" t="e">
        <f t="shared" ca="1" si="19"/>
        <v>#VALUE!</v>
      </c>
      <c r="E93" s="253" t="e">
        <f t="shared" ca="1" si="25"/>
        <v>#VALUE!</v>
      </c>
      <c r="F93" s="257" t="e">
        <f t="shared" ca="1" si="20"/>
        <v>#VALUE!</v>
      </c>
      <c r="G93" s="257" t="e">
        <f t="shared" ca="1" si="21"/>
        <v>#VALUE!</v>
      </c>
      <c r="H93" s="257" t="e">
        <f t="shared" ca="1" si="22"/>
        <v>#VALUE!</v>
      </c>
      <c r="I93" s="220" t="e">
        <f t="shared" ca="1" si="23"/>
        <v>#VALUE!</v>
      </c>
      <c r="K93" s="260" t="e">
        <f t="shared" ca="1" si="18"/>
        <v>#VALUE!</v>
      </c>
    </row>
    <row r="94" spans="1:11" x14ac:dyDescent="0.25">
      <c r="A94" s="254" t="e">
        <f t="shared" ca="1" si="17"/>
        <v>#VALUE!</v>
      </c>
      <c r="B94" s="255" t="e">
        <f t="shared" ca="1" si="24"/>
        <v>#VALUE!</v>
      </c>
      <c r="C94" s="256" t="e">
        <f t="shared" ca="1" si="16"/>
        <v>#VALUE!</v>
      </c>
      <c r="D94" s="257" t="e">
        <f t="shared" ca="1" si="19"/>
        <v>#VALUE!</v>
      </c>
      <c r="E94" s="253" t="e">
        <f t="shared" ca="1" si="25"/>
        <v>#VALUE!</v>
      </c>
      <c r="F94" s="257" t="e">
        <f t="shared" ca="1" si="20"/>
        <v>#VALUE!</v>
      </c>
      <c r="G94" s="257" t="e">
        <f t="shared" ca="1" si="21"/>
        <v>#VALUE!</v>
      </c>
      <c r="H94" s="257" t="e">
        <f t="shared" ca="1" si="22"/>
        <v>#VALUE!</v>
      </c>
      <c r="I94" s="220" t="e">
        <f t="shared" ca="1" si="23"/>
        <v>#VALUE!</v>
      </c>
      <c r="K94" s="260" t="e">
        <f t="shared" ca="1" si="18"/>
        <v>#VALUE!</v>
      </c>
    </row>
    <row r="95" spans="1:11" x14ac:dyDescent="0.25">
      <c r="A95" s="254" t="e">
        <f t="shared" ca="1" si="17"/>
        <v>#VALUE!</v>
      </c>
      <c r="B95" s="255" t="e">
        <f t="shared" ca="1" si="24"/>
        <v>#VALUE!</v>
      </c>
      <c r="C95" s="256" t="e">
        <f t="shared" ca="1" si="16"/>
        <v>#VALUE!</v>
      </c>
      <c r="D95" s="257" t="e">
        <f t="shared" ca="1" si="19"/>
        <v>#VALUE!</v>
      </c>
      <c r="E95" s="253" t="e">
        <f t="shared" ca="1" si="25"/>
        <v>#VALUE!</v>
      </c>
      <c r="F95" s="257" t="e">
        <f t="shared" ca="1" si="20"/>
        <v>#VALUE!</v>
      </c>
      <c r="G95" s="257" t="e">
        <f t="shared" ca="1" si="21"/>
        <v>#VALUE!</v>
      </c>
      <c r="H95" s="257" t="e">
        <f t="shared" ca="1" si="22"/>
        <v>#VALUE!</v>
      </c>
      <c r="I95" s="220" t="e">
        <f t="shared" ca="1" si="23"/>
        <v>#VALUE!</v>
      </c>
      <c r="K95" s="260" t="e">
        <f t="shared" ca="1" si="18"/>
        <v>#VALUE!</v>
      </c>
    </row>
    <row r="96" spans="1:11" x14ac:dyDescent="0.25">
      <c r="A96" s="254" t="e">
        <f t="shared" ca="1" si="17"/>
        <v>#VALUE!</v>
      </c>
      <c r="B96" s="255" t="e">
        <f t="shared" ca="1" si="24"/>
        <v>#VALUE!</v>
      </c>
      <c r="C96" s="256" t="e">
        <f t="shared" ca="1" si="16"/>
        <v>#VALUE!</v>
      </c>
      <c r="D96" s="257" t="e">
        <f t="shared" ca="1" si="19"/>
        <v>#VALUE!</v>
      </c>
      <c r="E96" s="253" t="e">
        <f t="shared" ca="1" si="25"/>
        <v>#VALUE!</v>
      </c>
      <c r="F96" s="257" t="e">
        <f t="shared" ca="1" si="20"/>
        <v>#VALUE!</v>
      </c>
      <c r="G96" s="257" t="e">
        <f t="shared" ca="1" si="21"/>
        <v>#VALUE!</v>
      </c>
      <c r="H96" s="257" t="e">
        <f t="shared" ca="1" si="22"/>
        <v>#VALUE!</v>
      </c>
      <c r="I96" s="220" t="e">
        <f t="shared" ca="1" si="23"/>
        <v>#VALUE!</v>
      </c>
      <c r="K96" s="260" t="e">
        <f t="shared" ca="1" si="18"/>
        <v>#VALUE!</v>
      </c>
    </row>
    <row r="97" spans="1:11" x14ac:dyDescent="0.25">
      <c r="A97" s="254" t="e">
        <f t="shared" ca="1" si="17"/>
        <v>#VALUE!</v>
      </c>
      <c r="B97" s="255" t="e">
        <f t="shared" ca="1" si="24"/>
        <v>#VALUE!</v>
      </c>
      <c r="C97" s="256" t="e">
        <f t="shared" ca="1" si="16"/>
        <v>#VALUE!</v>
      </c>
      <c r="D97" s="257" t="e">
        <f t="shared" ca="1" si="19"/>
        <v>#VALUE!</v>
      </c>
      <c r="E97" s="253" t="e">
        <f t="shared" ca="1" si="25"/>
        <v>#VALUE!</v>
      </c>
      <c r="F97" s="257" t="e">
        <f t="shared" ca="1" si="20"/>
        <v>#VALUE!</v>
      </c>
      <c r="G97" s="257" t="e">
        <f t="shared" ca="1" si="21"/>
        <v>#VALUE!</v>
      </c>
      <c r="H97" s="257" t="e">
        <f t="shared" ca="1" si="22"/>
        <v>#VALUE!</v>
      </c>
      <c r="I97" s="220" t="e">
        <f t="shared" ca="1" si="23"/>
        <v>#VALUE!</v>
      </c>
      <c r="K97" s="260" t="e">
        <f t="shared" ca="1" si="18"/>
        <v>#VALUE!</v>
      </c>
    </row>
    <row r="98" spans="1:11" x14ac:dyDescent="0.25">
      <c r="A98" s="254" t="e">
        <f t="shared" ca="1" si="17"/>
        <v>#VALUE!</v>
      </c>
      <c r="B98" s="255" t="e">
        <f t="shared" ca="1" si="24"/>
        <v>#VALUE!</v>
      </c>
      <c r="C98" s="256" t="e">
        <f t="shared" ref="C98:C138" ca="1" si="26">IF(OR(A98=$H$10,A98=$H$13),D98+G97,IF(A98&lt;$H$10,C97,""))</f>
        <v>#VALUE!</v>
      </c>
      <c r="D98" s="257" t="e">
        <f t="shared" ca="1" si="19"/>
        <v>#VALUE!</v>
      </c>
      <c r="E98" s="253" t="e">
        <f t="shared" ca="1" si="25"/>
        <v>#VALUE!</v>
      </c>
      <c r="F98" s="257" t="e">
        <f t="shared" ca="1" si="20"/>
        <v>#VALUE!</v>
      </c>
      <c r="G98" s="257" t="e">
        <f t="shared" ca="1" si="21"/>
        <v>#VALUE!</v>
      </c>
      <c r="H98" s="257" t="e">
        <f t="shared" ca="1" si="22"/>
        <v>#VALUE!</v>
      </c>
      <c r="I98" s="220" t="e">
        <f t="shared" ca="1" si="23"/>
        <v>#VALUE!</v>
      </c>
      <c r="K98" s="260" t="e">
        <f t="shared" ca="1" si="18"/>
        <v>#VALUE!</v>
      </c>
    </row>
    <row r="99" spans="1:11" x14ac:dyDescent="0.25">
      <c r="A99" s="254" t="e">
        <f t="shared" ca="1" si="17"/>
        <v>#VALUE!</v>
      </c>
      <c r="B99" s="255" t="e">
        <f t="shared" ca="1" si="24"/>
        <v>#VALUE!</v>
      </c>
      <c r="C99" s="256" t="e">
        <f t="shared" ca="1" si="26"/>
        <v>#VALUE!</v>
      </c>
      <c r="D99" s="257" t="e">
        <f t="shared" ca="1" si="19"/>
        <v>#VALUE!</v>
      </c>
      <c r="E99" s="253" t="e">
        <f t="shared" ca="1" si="25"/>
        <v>#VALUE!</v>
      </c>
      <c r="F99" s="257" t="e">
        <f t="shared" ca="1" si="20"/>
        <v>#VALUE!</v>
      </c>
      <c r="G99" s="257" t="e">
        <f t="shared" ca="1" si="21"/>
        <v>#VALUE!</v>
      </c>
      <c r="H99" s="257" t="e">
        <f t="shared" ca="1" si="22"/>
        <v>#VALUE!</v>
      </c>
      <c r="I99" s="220" t="e">
        <f t="shared" ca="1" si="23"/>
        <v>#VALUE!</v>
      </c>
      <c r="K99" s="260" t="e">
        <f t="shared" ca="1" si="18"/>
        <v>#VALUE!</v>
      </c>
    </row>
    <row r="100" spans="1:11" x14ac:dyDescent="0.25">
      <c r="A100" s="254" t="e">
        <f t="shared" ca="1" si="17"/>
        <v>#VALUE!</v>
      </c>
      <c r="B100" s="255" t="e">
        <f t="shared" ca="1" si="24"/>
        <v>#VALUE!</v>
      </c>
      <c r="C100" s="256" t="e">
        <f t="shared" ca="1" si="26"/>
        <v>#VALUE!</v>
      </c>
      <c r="D100" s="257" t="e">
        <f t="shared" ca="1" si="19"/>
        <v>#VALUE!</v>
      </c>
      <c r="E100" s="253" t="e">
        <f t="shared" ca="1" si="25"/>
        <v>#VALUE!</v>
      </c>
      <c r="F100" s="257" t="e">
        <f t="shared" ca="1" si="20"/>
        <v>#VALUE!</v>
      </c>
      <c r="G100" s="257" t="e">
        <f t="shared" ca="1" si="21"/>
        <v>#VALUE!</v>
      </c>
      <c r="H100" s="257" t="e">
        <f t="shared" ca="1" si="22"/>
        <v>#VALUE!</v>
      </c>
      <c r="I100" s="220" t="e">
        <f t="shared" ca="1" si="23"/>
        <v>#VALUE!</v>
      </c>
      <c r="K100" s="260" t="e">
        <f t="shared" ca="1" si="18"/>
        <v>#VALUE!</v>
      </c>
    </row>
    <row r="101" spans="1:11" x14ac:dyDescent="0.25">
      <c r="A101" s="254" t="e">
        <f t="shared" ca="1" si="17"/>
        <v>#VALUE!</v>
      </c>
      <c r="B101" s="255" t="e">
        <f t="shared" ca="1" si="24"/>
        <v>#VALUE!</v>
      </c>
      <c r="C101" s="256" t="e">
        <f t="shared" ca="1" si="26"/>
        <v>#VALUE!</v>
      </c>
      <c r="D101" s="257" t="e">
        <f t="shared" ca="1" si="19"/>
        <v>#VALUE!</v>
      </c>
      <c r="E101" s="253" t="e">
        <f t="shared" ca="1" si="25"/>
        <v>#VALUE!</v>
      </c>
      <c r="F101" s="257" t="e">
        <f t="shared" ca="1" si="20"/>
        <v>#VALUE!</v>
      </c>
      <c r="G101" s="257" t="e">
        <f t="shared" ca="1" si="21"/>
        <v>#VALUE!</v>
      </c>
      <c r="H101" s="257" t="e">
        <f t="shared" ca="1" si="22"/>
        <v>#VALUE!</v>
      </c>
      <c r="I101" s="220" t="e">
        <f t="shared" ca="1" si="23"/>
        <v>#VALUE!</v>
      </c>
      <c r="K101" s="260" t="e">
        <f t="shared" ca="1" si="18"/>
        <v>#VALUE!</v>
      </c>
    </row>
    <row r="102" spans="1:11" x14ac:dyDescent="0.25">
      <c r="A102" s="254" t="e">
        <f t="shared" ca="1" si="17"/>
        <v>#VALUE!</v>
      </c>
      <c r="B102" s="255" t="e">
        <f t="shared" ca="1" si="24"/>
        <v>#VALUE!</v>
      </c>
      <c r="C102" s="256" t="e">
        <f t="shared" ca="1" si="26"/>
        <v>#VALUE!</v>
      </c>
      <c r="D102" s="257" t="e">
        <f t="shared" ca="1" si="19"/>
        <v>#VALUE!</v>
      </c>
      <c r="E102" s="253" t="e">
        <f t="shared" ca="1" si="25"/>
        <v>#VALUE!</v>
      </c>
      <c r="F102" s="257" t="e">
        <f t="shared" ca="1" si="20"/>
        <v>#VALUE!</v>
      </c>
      <c r="G102" s="257" t="e">
        <f t="shared" ca="1" si="21"/>
        <v>#VALUE!</v>
      </c>
      <c r="H102" s="257" t="e">
        <f t="shared" ca="1" si="22"/>
        <v>#VALUE!</v>
      </c>
      <c r="I102" s="220" t="e">
        <f t="shared" ca="1" si="23"/>
        <v>#VALUE!</v>
      </c>
      <c r="K102" s="260" t="e">
        <f t="shared" ca="1" si="18"/>
        <v>#VALUE!</v>
      </c>
    </row>
    <row r="103" spans="1:11" x14ac:dyDescent="0.25">
      <c r="A103" s="254" t="e">
        <f t="shared" ca="1" si="17"/>
        <v>#VALUE!</v>
      </c>
      <c r="B103" s="255" t="e">
        <f t="shared" ca="1" si="24"/>
        <v>#VALUE!</v>
      </c>
      <c r="C103" s="256" t="e">
        <f t="shared" ca="1" si="26"/>
        <v>#VALUE!</v>
      </c>
      <c r="D103" s="257" t="e">
        <f t="shared" ca="1" si="19"/>
        <v>#VALUE!</v>
      </c>
      <c r="E103" s="253" t="e">
        <f t="shared" ca="1" si="25"/>
        <v>#VALUE!</v>
      </c>
      <c r="F103" s="257" t="e">
        <f t="shared" ca="1" si="20"/>
        <v>#VALUE!</v>
      </c>
      <c r="G103" s="257" t="e">
        <f t="shared" ca="1" si="21"/>
        <v>#VALUE!</v>
      </c>
      <c r="H103" s="257" t="e">
        <f t="shared" ca="1" si="22"/>
        <v>#VALUE!</v>
      </c>
      <c r="I103" s="220" t="e">
        <f t="shared" ca="1" si="23"/>
        <v>#VALUE!</v>
      </c>
      <c r="K103" s="260" t="e">
        <f t="shared" ca="1" si="18"/>
        <v>#VALUE!</v>
      </c>
    </row>
    <row r="104" spans="1:11" x14ac:dyDescent="0.25">
      <c r="A104" s="254" t="e">
        <f t="shared" ca="1" si="17"/>
        <v>#VALUE!</v>
      </c>
      <c r="B104" s="255" t="e">
        <f t="shared" ca="1" si="24"/>
        <v>#VALUE!</v>
      </c>
      <c r="C104" s="256" t="e">
        <f t="shared" ca="1" si="26"/>
        <v>#VALUE!</v>
      </c>
      <c r="D104" s="257" t="e">
        <f t="shared" ca="1" si="19"/>
        <v>#VALUE!</v>
      </c>
      <c r="E104" s="253" t="e">
        <f t="shared" ca="1" si="25"/>
        <v>#VALUE!</v>
      </c>
      <c r="F104" s="257" t="e">
        <f t="shared" ca="1" si="20"/>
        <v>#VALUE!</v>
      </c>
      <c r="G104" s="257" t="e">
        <f t="shared" ca="1" si="21"/>
        <v>#VALUE!</v>
      </c>
      <c r="H104" s="257" t="e">
        <f t="shared" ca="1" si="22"/>
        <v>#VALUE!</v>
      </c>
      <c r="I104" s="220" t="e">
        <f t="shared" ca="1" si="23"/>
        <v>#VALUE!</v>
      </c>
      <c r="K104" s="260" t="e">
        <f t="shared" ca="1" si="18"/>
        <v>#VALUE!</v>
      </c>
    </row>
    <row r="105" spans="1:11" x14ac:dyDescent="0.25">
      <c r="A105" s="254" t="e">
        <f t="shared" ref="A105:A168" ca="1" si="27">IF(OR(H104&lt;=0,H104=""),"",OFFSET(A105,-1,0,1,1)+1)</f>
        <v>#VALUE!</v>
      </c>
      <c r="B105" s="255" t="e">
        <f t="shared" ca="1" si="24"/>
        <v>#VALUE!</v>
      </c>
      <c r="C105" s="256" t="e">
        <f t="shared" ca="1" si="26"/>
        <v>#VALUE!</v>
      </c>
      <c r="D105" s="257" t="e">
        <f t="shared" ca="1" si="19"/>
        <v>#VALUE!</v>
      </c>
      <c r="E105" s="253" t="e">
        <f t="shared" ca="1" si="25"/>
        <v>#VALUE!</v>
      </c>
      <c r="F105" s="257" t="e">
        <f t="shared" ca="1" si="20"/>
        <v>#VALUE!</v>
      </c>
      <c r="G105" s="257" t="e">
        <f t="shared" ca="1" si="21"/>
        <v>#VALUE!</v>
      </c>
      <c r="H105" s="257" t="e">
        <f t="shared" ca="1" si="22"/>
        <v>#VALUE!</v>
      </c>
      <c r="I105" s="220" t="e">
        <f t="shared" ca="1" si="23"/>
        <v>#VALUE!</v>
      </c>
      <c r="K105" s="260" t="e">
        <f t="shared" ca="1" si="18"/>
        <v>#VALUE!</v>
      </c>
    </row>
    <row r="106" spans="1:11" x14ac:dyDescent="0.25">
      <c r="A106" s="254" t="e">
        <f t="shared" ca="1" si="27"/>
        <v>#VALUE!</v>
      </c>
      <c r="B106" s="255" t="e">
        <f t="shared" ca="1" si="24"/>
        <v>#VALUE!</v>
      </c>
      <c r="C106" s="256" t="e">
        <f t="shared" ca="1" si="26"/>
        <v>#VALUE!</v>
      </c>
      <c r="D106" s="257" t="e">
        <f t="shared" ca="1" si="19"/>
        <v>#VALUE!</v>
      </c>
      <c r="E106" s="253" t="e">
        <f t="shared" ca="1" si="25"/>
        <v>#VALUE!</v>
      </c>
      <c r="F106" s="257" t="e">
        <f t="shared" ca="1" si="20"/>
        <v>#VALUE!</v>
      </c>
      <c r="G106" s="257" t="e">
        <f t="shared" ca="1" si="21"/>
        <v>#VALUE!</v>
      </c>
      <c r="H106" s="257" t="e">
        <f t="shared" ca="1" si="22"/>
        <v>#VALUE!</v>
      </c>
      <c r="I106" s="220" t="e">
        <f t="shared" ca="1" si="23"/>
        <v>#VALUE!</v>
      </c>
      <c r="K106" s="260" t="e">
        <f t="shared" ca="1" si="18"/>
        <v>#VALUE!</v>
      </c>
    </row>
    <row r="107" spans="1:11" x14ac:dyDescent="0.25">
      <c r="A107" s="254" t="e">
        <f t="shared" ca="1" si="27"/>
        <v>#VALUE!</v>
      </c>
      <c r="B107" s="255" t="e">
        <f t="shared" ca="1" si="24"/>
        <v>#VALUE!</v>
      </c>
      <c r="C107" s="256" t="e">
        <f t="shared" ca="1" si="26"/>
        <v>#VALUE!</v>
      </c>
      <c r="D107" s="257" t="e">
        <f t="shared" ca="1" si="19"/>
        <v>#VALUE!</v>
      </c>
      <c r="E107" s="253" t="e">
        <f t="shared" ca="1" si="25"/>
        <v>#VALUE!</v>
      </c>
      <c r="F107" s="257" t="e">
        <f t="shared" ca="1" si="20"/>
        <v>#VALUE!</v>
      </c>
      <c r="G107" s="257" t="e">
        <f t="shared" ca="1" si="21"/>
        <v>#VALUE!</v>
      </c>
      <c r="H107" s="257" t="e">
        <f t="shared" ca="1" si="22"/>
        <v>#VALUE!</v>
      </c>
      <c r="I107" s="220" t="e">
        <f t="shared" ca="1" si="23"/>
        <v>#VALUE!</v>
      </c>
      <c r="K107" s="260" t="e">
        <f t="shared" ca="1" si="18"/>
        <v>#VALUE!</v>
      </c>
    </row>
    <row r="108" spans="1:11" x14ac:dyDescent="0.25">
      <c r="A108" s="254" t="e">
        <f t="shared" ca="1" si="27"/>
        <v>#VALUE!</v>
      </c>
      <c r="B108" s="255" t="e">
        <f t="shared" ca="1" si="24"/>
        <v>#VALUE!</v>
      </c>
      <c r="C108" s="256" t="e">
        <f t="shared" ca="1" si="26"/>
        <v>#VALUE!</v>
      </c>
      <c r="D108" s="257" t="e">
        <f t="shared" ca="1" si="19"/>
        <v>#VALUE!</v>
      </c>
      <c r="E108" s="253" t="e">
        <f t="shared" ca="1" si="25"/>
        <v>#VALUE!</v>
      </c>
      <c r="F108" s="257" t="e">
        <f t="shared" ca="1" si="20"/>
        <v>#VALUE!</v>
      </c>
      <c r="G108" s="257" t="e">
        <f t="shared" ca="1" si="21"/>
        <v>#VALUE!</v>
      </c>
      <c r="H108" s="257" t="e">
        <f t="shared" ca="1" si="22"/>
        <v>#VALUE!</v>
      </c>
      <c r="I108" s="220" t="e">
        <f t="shared" ca="1" si="23"/>
        <v>#VALUE!</v>
      </c>
      <c r="K108" s="260" t="e">
        <f t="shared" ca="1" si="18"/>
        <v>#VALUE!</v>
      </c>
    </row>
    <row r="109" spans="1:11" x14ac:dyDescent="0.25">
      <c r="A109" s="254" t="e">
        <f t="shared" ca="1" si="27"/>
        <v>#VALUE!</v>
      </c>
      <c r="B109" s="255" t="e">
        <f t="shared" ca="1" si="24"/>
        <v>#VALUE!</v>
      </c>
      <c r="C109" s="256" t="e">
        <f t="shared" ca="1" si="26"/>
        <v>#VALUE!</v>
      </c>
      <c r="D109" s="257" t="e">
        <f t="shared" ca="1" si="19"/>
        <v>#VALUE!</v>
      </c>
      <c r="E109" s="253" t="e">
        <f t="shared" ca="1" si="25"/>
        <v>#VALUE!</v>
      </c>
      <c r="F109" s="257" t="e">
        <f t="shared" ca="1" si="20"/>
        <v>#VALUE!</v>
      </c>
      <c r="G109" s="257" t="e">
        <f t="shared" ca="1" si="21"/>
        <v>#VALUE!</v>
      </c>
      <c r="H109" s="257" t="e">
        <f t="shared" ca="1" si="22"/>
        <v>#VALUE!</v>
      </c>
      <c r="I109" s="220" t="e">
        <f t="shared" ca="1" si="23"/>
        <v>#VALUE!</v>
      </c>
      <c r="K109" s="260" t="e">
        <f t="shared" ca="1" si="18"/>
        <v>#VALUE!</v>
      </c>
    </row>
    <row r="110" spans="1:11" x14ac:dyDescent="0.25">
      <c r="A110" s="254" t="e">
        <f t="shared" ca="1" si="27"/>
        <v>#VALUE!</v>
      </c>
      <c r="B110" s="255" t="e">
        <f t="shared" ca="1" si="24"/>
        <v>#VALUE!</v>
      </c>
      <c r="C110" s="256" t="e">
        <f t="shared" ca="1" si="26"/>
        <v>#VALUE!</v>
      </c>
      <c r="D110" s="257" t="e">
        <f t="shared" ca="1" si="19"/>
        <v>#VALUE!</v>
      </c>
      <c r="E110" s="253" t="e">
        <f t="shared" ca="1" si="25"/>
        <v>#VALUE!</v>
      </c>
      <c r="F110" s="257" t="e">
        <f t="shared" ca="1" si="20"/>
        <v>#VALUE!</v>
      </c>
      <c r="G110" s="257" t="e">
        <f t="shared" ca="1" si="21"/>
        <v>#VALUE!</v>
      </c>
      <c r="H110" s="257" t="e">
        <f t="shared" ca="1" si="22"/>
        <v>#VALUE!</v>
      </c>
      <c r="I110" s="220" t="e">
        <f t="shared" ca="1" si="23"/>
        <v>#VALUE!</v>
      </c>
      <c r="K110" s="260" t="e">
        <f t="shared" ca="1" si="18"/>
        <v>#VALUE!</v>
      </c>
    </row>
    <row r="111" spans="1:11" x14ac:dyDescent="0.25">
      <c r="A111" s="254" t="e">
        <f t="shared" ca="1" si="27"/>
        <v>#VALUE!</v>
      </c>
      <c r="B111" s="255" t="e">
        <f t="shared" ca="1" si="24"/>
        <v>#VALUE!</v>
      </c>
      <c r="C111" s="256" t="e">
        <f t="shared" ca="1" si="26"/>
        <v>#VALUE!</v>
      </c>
      <c r="D111" s="257" t="e">
        <f t="shared" ca="1" si="19"/>
        <v>#VALUE!</v>
      </c>
      <c r="E111" s="253" t="e">
        <f t="shared" ca="1" si="25"/>
        <v>#VALUE!</v>
      </c>
      <c r="F111" s="257" t="e">
        <f t="shared" ca="1" si="20"/>
        <v>#VALUE!</v>
      </c>
      <c r="G111" s="257" t="e">
        <f t="shared" ca="1" si="21"/>
        <v>#VALUE!</v>
      </c>
      <c r="H111" s="257" t="e">
        <f t="shared" ca="1" si="22"/>
        <v>#VALUE!</v>
      </c>
      <c r="I111" s="220" t="e">
        <f t="shared" ca="1" si="23"/>
        <v>#VALUE!</v>
      </c>
      <c r="K111" s="260" t="e">
        <f t="shared" ca="1" si="18"/>
        <v>#VALUE!</v>
      </c>
    </row>
    <row r="112" spans="1:11" x14ac:dyDescent="0.25">
      <c r="A112" s="254" t="e">
        <f t="shared" ca="1" si="27"/>
        <v>#VALUE!</v>
      </c>
      <c r="B112" s="255" t="e">
        <f t="shared" ca="1" si="24"/>
        <v>#VALUE!</v>
      </c>
      <c r="C112" s="256" t="e">
        <f t="shared" ca="1" si="26"/>
        <v>#VALUE!</v>
      </c>
      <c r="D112" s="257" t="e">
        <f t="shared" ca="1" si="19"/>
        <v>#VALUE!</v>
      </c>
      <c r="E112" s="253" t="e">
        <f t="shared" ca="1" si="25"/>
        <v>#VALUE!</v>
      </c>
      <c r="F112" s="257" t="e">
        <f t="shared" ca="1" si="20"/>
        <v>#VALUE!</v>
      </c>
      <c r="G112" s="257" t="e">
        <f t="shared" ca="1" si="21"/>
        <v>#VALUE!</v>
      </c>
      <c r="H112" s="257" t="e">
        <f t="shared" ca="1" si="22"/>
        <v>#VALUE!</v>
      </c>
      <c r="I112" s="220" t="e">
        <f t="shared" ca="1" si="23"/>
        <v>#VALUE!</v>
      </c>
      <c r="K112" s="260" t="e">
        <f t="shared" ca="1" si="18"/>
        <v>#VALUE!</v>
      </c>
    </row>
    <row r="113" spans="1:11" x14ac:dyDescent="0.25">
      <c r="A113" s="254" t="e">
        <f t="shared" ca="1" si="27"/>
        <v>#VALUE!</v>
      </c>
      <c r="B113" s="255" t="e">
        <f t="shared" ca="1" si="24"/>
        <v>#VALUE!</v>
      </c>
      <c r="C113" s="256" t="e">
        <f t="shared" ca="1" si="26"/>
        <v>#VALUE!</v>
      </c>
      <c r="D113" s="257" t="e">
        <f t="shared" ca="1" si="19"/>
        <v>#VALUE!</v>
      </c>
      <c r="E113" s="253" t="e">
        <f t="shared" ca="1" si="25"/>
        <v>#VALUE!</v>
      </c>
      <c r="F113" s="257" t="e">
        <f t="shared" ca="1" si="20"/>
        <v>#VALUE!</v>
      </c>
      <c r="G113" s="257" t="e">
        <f t="shared" ca="1" si="21"/>
        <v>#VALUE!</v>
      </c>
      <c r="H113" s="257" t="e">
        <f t="shared" ca="1" si="22"/>
        <v>#VALUE!</v>
      </c>
      <c r="I113" s="220" t="e">
        <f t="shared" ca="1" si="23"/>
        <v>#VALUE!</v>
      </c>
      <c r="K113" s="260" t="e">
        <f t="shared" ca="1" si="18"/>
        <v>#VALUE!</v>
      </c>
    </row>
    <row r="114" spans="1:11" x14ac:dyDescent="0.25">
      <c r="A114" s="254" t="e">
        <f t="shared" ca="1" si="27"/>
        <v>#VALUE!</v>
      </c>
      <c r="B114" s="255" t="e">
        <f t="shared" ca="1" si="24"/>
        <v>#VALUE!</v>
      </c>
      <c r="C114" s="256" t="e">
        <f t="shared" ca="1" si="26"/>
        <v>#VALUE!</v>
      </c>
      <c r="D114" s="257" t="e">
        <f t="shared" ca="1" si="19"/>
        <v>#VALUE!</v>
      </c>
      <c r="E114" s="253" t="e">
        <f t="shared" ca="1" si="25"/>
        <v>#VALUE!</v>
      </c>
      <c r="F114" s="257" t="e">
        <f t="shared" ca="1" si="20"/>
        <v>#VALUE!</v>
      </c>
      <c r="G114" s="257" t="e">
        <f t="shared" ca="1" si="21"/>
        <v>#VALUE!</v>
      </c>
      <c r="H114" s="257" t="e">
        <f t="shared" ca="1" si="22"/>
        <v>#VALUE!</v>
      </c>
      <c r="I114" s="220" t="e">
        <f t="shared" ca="1" si="23"/>
        <v>#VALUE!</v>
      </c>
      <c r="K114" s="260" t="e">
        <f t="shared" ca="1" si="18"/>
        <v>#VALUE!</v>
      </c>
    </row>
    <row r="115" spans="1:11" x14ac:dyDescent="0.25">
      <c r="A115" s="254" t="e">
        <f t="shared" ca="1" si="27"/>
        <v>#VALUE!</v>
      </c>
      <c r="B115" s="255" t="e">
        <f t="shared" ca="1" si="24"/>
        <v>#VALUE!</v>
      </c>
      <c r="C115" s="256" t="e">
        <f t="shared" ca="1" si="26"/>
        <v>#VALUE!</v>
      </c>
      <c r="D115" s="257" t="e">
        <f t="shared" ca="1" si="19"/>
        <v>#VALUE!</v>
      </c>
      <c r="E115" s="253" t="e">
        <f t="shared" ca="1" si="25"/>
        <v>#VALUE!</v>
      </c>
      <c r="F115" s="257" t="e">
        <f t="shared" ca="1" si="20"/>
        <v>#VALUE!</v>
      </c>
      <c r="G115" s="257" t="e">
        <f t="shared" ca="1" si="21"/>
        <v>#VALUE!</v>
      </c>
      <c r="H115" s="257" t="e">
        <f t="shared" ca="1" si="22"/>
        <v>#VALUE!</v>
      </c>
      <c r="I115" s="220" t="e">
        <f t="shared" ca="1" si="23"/>
        <v>#VALUE!</v>
      </c>
      <c r="K115" s="260" t="e">
        <f t="shared" ca="1" si="18"/>
        <v>#VALUE!</v>
      </c>
    </row>
    <row r="116" spans="1:11" x14ac:dyDescent="0.25">
      <c r="A116" s="254" t="e">
        <f t="shared" ca="1" si="27"/>
        <v>#VALUE!</v>
      </c>
      <c r="B116" s="255" t="e">
        <f t="shared" ca="1" si="24"/>
        <v>#VALUE!</v>
      </c>
      <c r="C116" s="256" t="e">
        <f t="shared" ca="1" si="26"/>
        <v>#VALUE!</v>
      </c>
      <c r="D116" s="257" t="e">
        <f t="shared" ca="1" si="19"/>
        <v>#VALUE!</v>
      </c>
      <c r="E116" s="253" t="e">
        <f t="shared" ca="1" si="25"/>
        <v>#VALUE!</v>
      </c>
      <c r="F116" s="257" t="e">
        <f t="shared" ca="1" si="20"/>
        <v>#VALUE!</v>
      </c>
      <c r="G116" s="257" t="e">
        <f t="shared" ca="1" si="21"/>
        <v>#VALUE!</v>
      </c>
      <c r="H116" s="257" t="e">
        <f t="shared" ca="1" si="22"/>
        <v>#VALUE!</v>
      </c>
      <c r="I116" s="220" t="e">
        <f t="shared" ca="1" si="23"/>
        <v>#VALUE!</v>
      </c>
      <c r="K116" s="260" t="e">
        <f t="shared" ca="1" si="18"/>
        <v>#VALUE!</v>
      </c>
    </row>
    <row r="117" spans="1:11" x14ac:dyDescent="0.25">
      <c r="A117" s="254" t="e">
        <f t="shared" ca="1" si="27"/>
        <v>#VALUE!</v>
      </c>
      <c r="B117" s="255" t="e">
        <f t="shared" ca="1" si="24"/>
        <v>#VALUE!</v>
      </c>
      <c r="C117" s="256" t="e">
        <f t="shared" ca="1" si="26"/>
        <v>#VALUE!</v>
      </c>
      <c r="D117" s="257" t="e">
        <f t="shared" ca="1" si="19"/>
        <v>#VALUE!</v>
      </c>
      <c r="E117" s="253" t="e">
        <f t="shared" ca="1" si="25"/>
        <v>#VALUE!</v>
      </c>
      <c r="F117" s="257" t="e">
        <f t="shared" ca="1" si="20"/>
        <v>#VALUE!</v>
      </c>
      <c r="G117" s="257" t="e">
        <f t="shared" ca="1" si="21"/>
        <v>#VALUE!</v>
      </c>
      <c r="H117" s="257" t="e">
        <f t="shared" ca="1" si="22"/>
        <v>#VALUE!</v>
      </c>
      <c r="I117" s="220" t="e">
        <f t="shared" ca="1" si="23"/>
        <v>#VALUE!</v>
      </c>
      <c r="K117" s="260" t="e">
        <f t="shared" ca="1" si="18"/>
        <v>#VALUE!</v>
      </c>
    </row>
    <row r="118" spans="1:11" x14ac:dyDescent="0.25">
      <c r="A118" s="254" t="e">
        <f t="shared" ca="1" si="27"/>
        <v>#VALUE!</v>
      </c>
      <c r="B118" s="255" t="e">
        <f t="shared" ca="1" si="24"/>
        <v>#VALUE!</v>
      </c>
      <c r="C118" s="256" t="e">
        <f t="shared" ca="1" si="26"/>
        <v>#VALUE!</v>
      </c>
      <c r="D118" s="257" t="e">
        <f t="shared" ca="1" si="19"/>
        <v>#VALUE!</v>
      </c>
      <c r="E118" s="253" t="e">
        <f t="shared" ca="1" si="25"/>
        <v>#VALUE!</v>
      </c>
      <c r="F118" s="257" t="e">
        <f t="shared" ca="1" si="20"/>
        <v>#VALUE!</v>
      </c>
      <c r="G118" s="257" t="e">
        <f t="shared" ca="1" si="21"/>
        <v>#VALUE!</v>
      </c>
      <c r="H118" s="257" t="e">
        <f t="shared" ca="1" si="22"/>
        <v>#VALUE!</v>
      </c>
      <c r="I118" s="220" t="e">
        <f t="shared" ca="1" si="23"/>
        <v>#VALUE!</v>
      </c>
      <c r="K118" s="260" t="e">
        <f t="shared" ca="1" si="18"/>
        <v>#VALUE!</v>
      </c>
    </row>
    <row r="119" spans="1:11" x14ac:dyDescent="0.25">
      <c r="A119" s="254" t="e">
        <f t="shared" ca="1" si="27"/>
        <v>#VALUE!</v>
      </c>
      <c r="B119" s="255" t="e">
        <f t="shared" ca="1" si="24"/>
        <v>#VALUE!</v>
      </c>
      <c r="C119" s="256" t="e">
        <f t="shared" ca="1" si="26"/>
        <v>#VALUE!</v>
      </c>
      <c r="D119" s="257" t="e">
        <f t="shared" ca="1" si="19"/>
        <v>#VALUE!</v>
      </c>
      <c r="E119" s="253" t="e">
        <f t="shared" ca="1" si="25"/>
        <v>#VALUE!</v>
      </c>
      <c r="F119" s="257" t="e">
        <f t="shared" ca="1" si="20"/>
        <v>#VALUE!</v>
      </c>
      <c r="G119" s="257" t="e">
        <f t="shared" ca="1" si="21"/>
        <v>#VALUE!</v>
      </c>
      <c r="H119" s="257" t="e">
        <f t="shared" ca="1" si="22"/>
        <v>#VALUE!</v>
      </c>
      <c r="I119" s="220" t="e">
        <f t="shared" ca="1" si="23"/>
        <v>#VALUE!</v>
      </c>
      <c r="K119" s="260" t="e">
        <f t="shared" ca="1" si="18"/>
        <v>#VALUE!</v>
      </c>
    </row>
    <row r="120" spans="1:11" x14ac:dyDescent="0.25">
      <c r="A120" s="254" t="e">
        <f t="shared" ca="1" si="27"/>
        <v>#VALUE!</v>
      </c>
      <c r="B120" s="255" t="e">
        <f t="shared" ca="1" si="24"/>
        <v>#VALUE!</v>
      </c>
      <c r="C120" s="256" t="e">
        <f t="shared" ca="1" si="26"/>
        <v>#VALUE!</v>
      </c>
      <c r="D120" s="257" t="e">
        <f t="shared" ca="1" si="19"/>
        <v>#VALUE!</v>
      </c>
      <c r="E120" s="253" t="e">
        <f t="shared" ca="1" si="25"/>
        <v>#VALUE!</v>
      </c>
      <c r="F120" s="257" t="e">
        <f t="shared" ca="1" si="20"/>
        <v>#VALUE!</v>
      </c>
      <c r="G120" s="257" t="e">
        <f t="shared" ca="1" si="21"/>
        <v>#VALUE!</v>
      </c>
      <c r="H120" s="257" t="e">
        <f t="shared" ca="1" si="22"/>
        <v>#VALUE!</v>
      </c>
      <c r="I120" s="220" t="e">
        <f t="shared" ca="1" si="23"/>
        <v>#VALUE!</v>
      </c>
      <c r="K120" s="260" t="e">
        <f t="shared" ca="1" si="18"/>
        <v>#VALUE!</v>
      </c>
    </row>
    <row r="121" spans="1:11" x14ac:dyDescent="0.25">
      <c r="A121" s="254" t="e">
        <f t="shared" ca="1" si="27"/>
        <v>#VALUE!</v>
      </c>
      <c r="B121" s="255" t="e">
        <f t="shared" ca="1" si="24"/>
        <v>#VALUE!</v>
      </c>
      <c r="C121" s="256" t="e">
        <f t="shared" ca="1" si="26"/>
        <v>#VALUE!</v>
      </c>
      <c r="D121" s="257" t="e">
        <f t="shared" ca="1" si="19"/>
        <v>#VALUE!</v>
      </c>
      <c r="E121" s="253" t="e">
        <f t="shared" ca="1" si="25"/>
        <v>#VALUE!</v>
      </c>
      <c r="F121" s="257" t="e">
        <f t="shared" ca="1" si="20"/>
        <v>#VALUE!</v>
      </c>
      <c r="G121" s="257" t="e">
        <f t="shared" ca="1" si="21"/>
        <v>#VALUE!</v>
      </c>
      <c r="H121" s="257" t="e">
        <f t="shared" ca="1" si="22"/>
        <v>#VALUE!</v>
      </c>
      <c r="I121" s="220" t="e">
        <f t="shared" ca="1" si="23"/>
        <v>#VALUE!</v>
      </c>
      <c r="K121" s="260" t="e">
        <f t="shared" ca="1" si="18"/>
        <v>#VALUE!</v>
      </c>
    </row>
    <row r="122" spans="1:11" x14ac:dyDescent="0.25">
      <c r="A122" s="254" t="e">
        <f t="shared" ca="1" si="27"/>
        <v>#VALUE!</v>
      </c>
      <c r="B122" s="255" t="e">
        <f t="shared" ca="1" si="24"/>
        <v>#VALUE!</v>
      </c>
      <c r="C122" s="256" t="e">
        <f t="shared" ca="1" si="26"/>
        <v>#VALUE!</v>
      </c>
      <c r="D122" s="257" t="e">
        <f t="shared" ca="1" si="19"/>
        <v>#VALUE!</v>
      </c>
      <c r="E122" s="253" t="e">
        <f t="shared" ca="1" si="25"/>
        <v>#VALUE!</v>
      </c>
      <c r="F122" s="257" t="e">
        <f t="shared" ca="1" si="20"/>
        <v>#VALUE!</v>
      </c>
      <c r="G122" s="257" t="e">
        <f t="shared" ca="1" si="21"/>
        <v>#VALUE!</v>
      </c>
      <c r="H122" s="257" t="e">
        <f t="shared" ca="1" si="22"/>
        <v>#VALUE!</v>
      </c>
      <c r="I122" s="220" t="e">
        <f t="shared" ca="1" si="23"/>
        <v>#VALUE!</v>
      </c>
      <c r="K122" s="260" t="e">
        <f t="shared" ca="1" si="18"/>
        <v>#VALUE!</v>
      </c>
    </row>
    <row r="123" spans="1:11" x14ac:dyDescent="0.25">
      <c r="A123" s="254" t="e">
        <f t="shared" ca="1" si="27"/>
        <v>#VALUE!</v>
      </c>
      <c r="B123" s="255" t="e">
        <f t="shared" ca="1" si="24"/>
        <v>#VALUE!</v>
      </c>
      <c r="C123" s="256" t="e">
        <f t="shared" ca="1" si="26"/>
        <v>#VALUE!</v>
      </c>
      <c r="D123" s="257" t="e">
        <f t="shared" ca="1" si="19"/>
        <v>#VALUE!</v>
      </c>
      <c r="E123" s="253" t="e">
        <f t="shared" ca="1" si="25"/>
        <v>#VALUE!</v>
      </c>
      <c r="F123" s="257" t="e">
        <f t="shared" ca="1" si="20"/>
        <v>#VALUE!</v>
      </c>
      <c r="G123" s="257" t="e">
        <f t="shared" ca="1" si="21"/>
        <v>#VALUE!</v>
      </c>
      <c r="H123" s="257" t="e">
        <f t="shared" ca="1" si="22"/>
        <v>#VALUE!</v>
      </c>
      <c r="I123" s="220" t="e">
        <f t="shared" ca="1" si="23"/>
        <v>#VALUE!</v>
      </c>
      <c r="K123" s="260" t="e">
        <f t="shared" ca="1" si="18"/>
        <v>#VALUE!</v>
      </c>
    </row>
    <row r="124" spans="1:11" x14ac:dyDescent="0.25">
      <c r="A124" s="254" t="e">
        <f t="shared" ca="1" si="27"/>
        <v>#VALUE!</v>
      </c>
      <c r="B124" s="255" t="e">
        <f t="shared" ca="1" si="24"/>
        <v>#VALUE!</v>
      </c>
      <c r="C124" s="256" t="e">
        <f t="shared" ca="1" si="26"/>
        <v>#VALUE!</v>
      </c>
      <c r="D124" s="257" t="e">
        <f t="shared" ca="1" si="19"/>
        <v>#VALUE!</v>
      </c>
      <c r="E124" s="253" t="e">
        <f t="shared" ca="1" si="25"/>
        <v>#VALUE!</v>
      </c>
      <c r="F124" s="257" t="e">
        <f t="shared" ca="1" si="20"/>
        <v>#VALUE!</v>
      </c>
      <c r="G124" s="257" t="e">
        <f t="shared" ca="1" si="21"/>
        <v>#VALUE!</v>
      </c>
      <c r="H124" s="257" t="e">
        <f t="shared" ca="1" si="22"/>
        <v>#VALUE!</v>
      </c>
      <c r="I124" s="220" t="e">
        <f t="shared" ca="1" si="23"/>
        <v>#VALUE!</v>
      </c>
      <c r="K124" s="260" t="e">
        <f t="shared" ca="1" si="18"/>
        <v>#VALUE!</v>
      </c>
    </row>
    <row r="125" spans="1:11" x14ac:dyDescent="0.25">
      <c r="A125" s="254" t="e">
        <f t="shared" ca="1" si="27"/>
        <v>#VALUE!</v>
      </c>
      <c r="B125" s="255" t="e">
        <f t="shared" ca="1" si="24"/>
        <v>#VALUE!</v>
      </c>
      <c r="C125" s="256" t="e">
        <f t="shared" ca="1" si="26"/>
        <v>#VALUE!</v>
      </c>
      <c r="D125" s="257" t="e">
        <f t="shared" ca="1" si="19"/>
        <v>#VALUE!</v>
      </c>
      <c r="E125" s="253" t="e">
        <f t="shared" ca="1" si="25"/>
        <v>#VALUE!</v>
      </c>
      <c r="F125" s="257" t="e">
        <f t="shared" ca="1" si="20"/>
        <v>#VALUE!</v>
      </c>
      <c r="G125" s="257" t="e">
        <f t="shared" ca="1" si="21"/>
        <v>#VALUE!</v>
      </c>
      <c r="H125" s="257" t="e">
        <f t="shared" ca="1" si="22"/>
        <v>#VALUE!</v>
      </c>
      <c r="I125" s="220" t="e">
        <f t="shared" ca="1" si="23"/>
        <v>#VALUE!</v>
      </c>
      <c r="K125" s="260" t="e">
        <f t="shared" ca="1" si="18"/>
        <v>#VALUE!</v>
      </c>
    </row>
    <row r="126" spans="1:11" x14ac:dyDescent="0.25">
      <c r="A126" s="254" t="e">
        <f t="shared" ca="1" si="27"/>
        <v>#VALUE!</v>
      </c>
      <c r="B126" s="255" t="e">
        <f t="shared" ca="1" si="24"/>
        <v>#VALUE!</v>
      </c>
      <c r="C126" s="256" t="e">
        <f t="shared" ca="1" si="26"/>
        <v>#VALUE!</v>
      </c>
      <c r="D126" s="257" t="e">
        <f t="shared" ca="1" si="19"/>
        <v>#VALUE!</v>
      </c>
      <c r="E126" s="253" t="e">
        <f t="shared" ca="1" si="25"/>
        <v>#VALUE!</v>
      </c>
      <c r="F126" s="257" t="e">
        <f t="shared" ca="1" si="20"/>
        <v>#VALUE!</v>
      </c>
      <c r="G126" s="257" t="e">
        <f t="shared" ca="1" si="21"/>
        <v>#VALUE!</v>
      </c>
      <c r="H126" s="257" t="e">
        <f t="shared" ca="1" si="22"/>
        <v>#VALUE!</v>
      </c>
      <c r="I126" s="220" t="e">
        <f t="shared" ca="1" si="23"/>
        <v>#VALUE!</v>
      </c>
      <c r="K126" s="260" t="e">
        <f t="shared" ca="1" si="18"/>
        <v>#VALUE!</v>
      </c>
    </row>
    <row r="127" spans="1:11" x14ac:dyDescent="0.25">
      <c r="A127" s="254" t="e">
        <f t="shared" ca="1" si="27"/>
        <v>#VALUE!</v>
      </c>
      <c r="B127" s="255" t="e">
        <f t="shared" ca="1" si="24"/>
        <v>#VALUE!</v>
      </c>
      <c r="C127" s="256" t="e">
        <f t="shared" ca="1" si="26"/>
        <v>#VALUE!</v>
      </c>
      <c r="D127" s="257" t="e">
        <f t="shared" ca="1" si="19"/>
        <v>#VALUE!</v>
      </c>
      <c r="E127" s="253" t="e">
        <f t="shared" ca="1" si="25"/>
        <v>#VALUE!</v>
      </c>
      <c r="F127" s="257" t="e">
        <f t="shared" ca="1" si="20"/>
        <v>#VALUE!</v>
      </c>
      <c r="G127" s="257" t="e">
        <f t="shared" ca="1" si="21"/>
        <v>#VALUE!</v>
      </c>
      <c r="H127" s="257" t="e">
        <f t="shared" ca="1" si="22"/>
        <v>#VALUE!</v>
      </c>
      <c r="I127" s="220" t="e">
        <f t="shared" ca="1" si="23"/>
        <v>#VALUE!</v>
      </c>
      <c r="K127" s="260" t="e">
        <f t="shared" ca="1" si="18"/>
        <v>#VALUE!</v>
      </c>
    </row>
    <row r="128" spans="1:11" x14ac:dyDescent="0.25">
      <c r="A128" s="254" t="e">
        <f t="shared" ca="1" si="27"/>
        <v>#VALUE!</v>
      </c>
      <c r="B128" s="255" t="e">
        <f t="shared" ca="1" si="24"/>
        <v>#VALUE!</v>
      </c>
      <c r="C128" s="256" t="e">
        <f t="shared" ca="1" si="26"/>
        <v>#VALUE!</v>
      </c>
      <c r="D128" s="257" t="e">
        <f t="shared" ca="1" si="19"/>
        <v>#VALUE!</v>
      </c>
      <c r="E128" s="253" t="e">
        <f t="shared" ca="1" si="25"/>
        <v>#VALUE!</v>
      </c>
      <c r="F128" s="257" t="e">
        <f t="shared" ca="1" si="20"/>
        <v>#VALUE!</v>
      </c>
      <c r="G128" s="257" t="e">
        <f t="shared" ca="1" si="21"/>
        <v>#VALUE!</v>
      </c>
      <c r="H128" s="257" t="e">
        <f t="shared" ca="1" si="22"/>
        <v>#VALUE!</v>
      </c>
      <c r="I128" s="220" t="e">
        <f t="shared" ca="1" si="23"/>
        <v>#VALUE!</v>
      </c>
      <c r="K128" s="260" t="e">
        <f t="shared" ref="K128:K138" ca="1" si="28">HLOOKUP(I128,$L$18:$W$24,7,0)/12</f>
        <v>#VALUE!</v>
      </c>
    </row>
    <row r="129" spans="1:11" x14ac:dyDescent="0.25">
      <c r="A129" s="254" t="e">
        <f t="shared" ca="1" si="27"/>
        <v>#VALUE!</v>
      </c>
      <c r="B129" s="255" t="e">
        <f t="shared" ca="1" si="24"/>
        <v>#VALUE!</v>
      </c>
      <c r="C129" s="256" t="e">
        <f t="shared" ca="1" si="26"/>
        <v>#VALUE!</v>
      </c>
      <c r="D129" s="257" t="e">
        <f t="shared" ca="1" si="19"/>
        <v>#VALUE!</v>
      </c>
      <c r="E129" s="253" t="e">
        <f t="shared" ca="1" si="25"/>
        <v>#VALUE!</v>
      </c>
      <c r="F129" s="257" t="e">
        <f t="shared" ca="1" si="20"/>
        <v>#VALUE!</v>
      </c>
      <c r="G129" s="257" t="e">
        <f t="shared" ca="1" si="21"/>
        <v>#VALUE!</v>
      </c>
      <c r="H129" s="257" t="e">
        <f t="shared" ca="1" si="22"/>
        <v>#VALUE!</v>
      </c>
      <c r="I129" s="220" t="e">
        <f t="shared" ca="1" si="23"/>
        <v>#VALUE!</v>
      </c>
      <c r="K129" s="260" t="e">
        <f t="shared" ca="1" si="28"/>
        <v>#VALUE!</v>
      </c>
    </row>
    <row r="130" spans="1:11" x14ac:dyDescent="0.25">
      <c r="A130" s="254" t="e">
        <f t="shared" ca="1" si="27"/>
        <v>#VALUE!</v>
      </c>
      <c r="B130" s="255" t="e">
        <f t="shared" ca="1" si="24"/>
        <v>#VALUE!</v>
      </c>
      <c r="C130" s="256" t="e">
        <f t="shared" ca="1" si="26"/>
        <v>#VALUE!</v>
      </c>
      <c r="D130" s="257" t="e">
        <f t="shared" ca="1" si="19"/>
        <v>#VALUE!</v>
      </c>
      <c r="E130" s="253" t="e">
        <f t="shared" ca="1" si="25"/>
        <v>#VALUE!</v>
      </c>
      <c r="F130" s="257" t="e">
        <f t="shared" ca="1" si="20"/>
        <v>#VALUE!</v>
      </c>
      <c r="G130" s="257" t="e">
        <f t="shared" ca="1" si="21"/>
        <v>#VALUE!</v>
      </c>
      <c r="H130" s="257" t="e">
        <f t="shared" ca="1" si="22"/>
        <v>#VALUE!</v>
      </c>
      <c r="I130" s="220" t="e">
        <f t="shared" ca="1" si="23"/>
        <v>#VALUE!</v>
      </c>
      <c r="K130" s="260" t="e">
        <f t="shared" ca="1" si="28"/>
        <v>#VALUE!</v>
      </c>
    </row>
    <row r="131" spans="1:11" x14ac:dyDescent="0.25">
      <c r="A131" s="254" t="e">
        <f t="shared" ca="1" si="27"/>
        <v>#VALUE!</v>
      </c>
      <c r="B131" s="255" t="e">
        <f t="shared" ca="1" si="24"/>
        <v>#VALUE!</v>
      </c>
      <c r="C131" s="256" t="e">
        <f t="shared" ca="1" si="26"/>
        <v>#VALUE!</v>
      </c>
      <c r="D131" s="257" t="e">
        <f t="shared" ca="1" si="19"/>
        <v>#VALUE!</v>
      </c>
      <c r="E131" s="253" t="e">
        <f t="shared" ca="1" si="25"/>
        <v>#VALUE!</v>
      </c>
      <c r="F131" s="257" t="e">
        <f t="shared" ca="1" si="20"/>
        <v>#VALUE!</v>
      </c>
      <c r="G131" s="257" t="e">
        <f t="shared" ca="1" si="21"/>
        <v>#VALUE!</v>
      </c>
      <c r="H131" s="257" t="e">
        <f t="shared" ca="1" si="22"/>
        <v>#VALUE!</v>
      </c>
      <c r="I131" s="220" t="e">
        <f t="shared" ca="1" si="23"/>
        <v>#VALUE!</v>
      </c>
      <c r="K131" s="260" t="e">
        <f t="shared" ca="1" si="28"/>
        <v>#VALUE!</v>
      </c>
    </row>
    <row r="132" spans="1:11" x14ac:dyDescent="0.25">
      <c r="A132" s="254" t="e">
        <f t="shared" ca="1" si="27"/>
        <v>#VALUE!</v>
      </c>
      <c r="B132" s="255" t="e">
        <f t="shared" ca="1" si="24"/>
        <v>#VALUE!</v>
      </c>
      <c r="C132" s="256" t="e">
        <f t="shared" ca="1" si="26"/>
        <v>#VALUE!</v>
      </c>
      <c r="D132" s="257" t="e">
        <f t="shared" ca="1" si="19"/>
        <v>#VALUE!</v>
      </c>
      <c r="E132" s="253" t="e">
        <f t="shared" ca="1" si="25"/>
        <v>#VALUE!</v>
      </c>
      <c r="F132" s="257" t="e">
        <f t="shared" ca="1" si="20"/>
        <v>#VALUE!</v>
      </c>
      <c r="G132" s="257" t="e">
        <f t="shared" ca="1" si="21"/>
        <v>#VALUE!</v>
      </c>
      <c r="H132" s="257" t="e">
        <f t="shared" ca="1" si="22"/>
        <v>#VALUE!</v>
      </c>
      <c r="I132" s="220" t="e">
        <f t="shared" ca="1" si="23"/>
        <v>#VALUE!</v>
      </c>
      <c r="K132" s="260" t="e">
        <f t="shared" ca="1" si="28"/>
        <v>#VALUE!</v>
      </c>
    </row>
    <row r="133" spans="1:11" x14ac:dyDescent="0.25">
      <c r="A133" s="254" t="e">
        <f t="shared" ca="1" si="27"/>
        <v>#VALUE!</v>
      </c>
      <c r="B133" s="255" t="e">
        <f t="shared" ca="1" si="24"/>
        <v>#VALUE!</v>
      </c>
      <c r="C133" s="256" t="e">
        <f t="shared" ca="1" si="26"/>
        <v>#VALUE!</v>
      </c>
      <c r="D133" s="257" t="e">
        <f t="shared" ca="1" si="19"/>
        <v>#VALUE!</v>
      </c>
      <c r="E133" s="253" t="e">
        <f t="shared" ca="1" si="25"/>
        <v>#VALUE!</v>
      </c>
      <c r="F133" s="257" t="e">
        <f t="shared" ca="1" si="20"/>
        <v>#VALUE!</v>
      </c>
      <c r="G133" s="257" t="e">
        <f t="shared" ca="1" si="21"/>
        <v>#VALUE!</v>
      </c>
      <c r="H133" s="257" t="e">
        <f t="shared" ca="1" si="22"/>
        <v>#VALUE!</v>
      </c>
      <c r="I133" s="220" t="e">
        <f t="shared" ca="1" si="23"/>
        <v>#VALUE!</v>
      </c>
      <c r="K133" s="260" t="e">
        <f t="shared" ca="1" si="28"/>
        <v>#VALUE!</v>
      </c>
    </row>
    <row r="134" spans="1:11" x14ac:dyDescent="0.25">
      <c r="A134" s="254" t="e">
        <f t="shared" ca="1" si="27"/>
        <v>#VALUE!</v>
      </c>
      <c r="B134" s="255" t="e">
        <f t="shared" ca="1" si="24"/>
        <v>#VALUE!</v>
      </c>
      <c r="C134" s="256" t="e">
        <f t="shared" ca="1" si="26"/>
        <v>#VALUE!</v>
      </c>
      <c r="D134" s="257" t="e">
        <f t="shared" ca="1" si="19"/>
        <v>#VALUE!</v>
      </c>
      <c r="E134" s="253" t="e">
        <f t="shared" ca="1" si="25"/>
        <v>#VALUE!</v>
      </c>
      <c r="F134" s="257" t="e">
        <f t="shared" ca="1" si="20"/>
        <v>#VALUE!</v>
      </c>
      <c r="G134" s="257" t="e">
        <f t="shared" ca="1" si="21"/>
        <v>#VALUE!</v>
      </c>
      <c r="H134" s="257" t="e">
        <f t="shared" ca="1" si="22"/>
        <v>#VALUE!</v>
      </c>
      <c r="I134" s="220" t="e">
        <f t="shared" ca="1" si="23"/>
        <v>#VALUE!</v>
      </c>
      <c r="K134" s="260" t="e">
        <f t="shared" ca="1" si="28"/>
        <v>#VALUE!</v>
      </c>
    </row>
    <row r="135" spans="1:11" x14ac:dyDescent="0.25">
      <c r="A135" s="254" t="e">
        <f t="shared" ca="1" si="27"/>
        <v>#VALUE!</v>
      </c>
      <c r="B135" s="255" t="e">
        <f t="shared" ca="1" si="24"/>
        <v>#VALUE!</v>
      </c>
      <c r="C135" s="256" t="e">
        <f t="shared" ca="1" si="26"/>
        <v>#VALUE!</v>
      </c>
      <c r="D135" s="257" t="e">
        <f t="shared" ca="1" si="19"/>
        <v>#VALUE!</v>
      </c>
      <c r="E135" s="253" t="e">
        <f t="shared" ca="1" si="25"/>
        <v>#VALUE!</v>
      </c>
      <c r="F135" s="257" t="e">
        <f t="shared" ca="1" si="20"/>
        <v>#VALUE!</v>
      </c>
      <c r="G135" s="257" t="e">
        <f t="shared" ca="1" si="21"/>
        <v>#VALUE!</v>
      </c>
      <c r="H135" s="257" t="e">
        <f t="shared" ca="1" si="22"/>
        <v>#VALUE!</v>
      </c>
      <c r="I135" s="220" t="e">
        <f t="shared" ca="1" si="23"/>
        <v>#VALUE!</v>
      </c>
      <c r="K135" s="260" t="e">
        <f t="shared" ca="1" si="28"/>
        <v>#VALUE!</v>
      </c>
    </row>
    <row r="136" spans="1:11" x14ac:dyDescent="0.25">
      <c r="A136" s="254" t="e">
        <f t="shared" ca="1" si="27"/>
        <v>#VALUE!</v>
      </c>
      <c r="B136" s="255" t="e">
        <f t="shared" ca="1" si="24"/>
        <v>#VALUE!</v>
      </c>
      <c r="C136" s="256" t="e">
        <f t="shared" ca="1" si="26"/>
        <v>#VALUE!</v>
      </c>
      <c r="D136" s="257" t="e">
        <f t="shared" ca="1" si="19"/>
        <v>#VALUE!</v>
      </c>
      <c r="E136" s="253" t="e">
        <f t="shared" ca="1" si="25"/>
        <v>#VALUE!</v>
      </c>
      <c r="F136" s="257" t="e">
        <f t="shared" ca="1" si="20"/>
        <v>#VALUE!</v>
      </c>
      <c r="G136" s="257" t="e">
        <f t="shared" ca="1" si="21"/>
        <v>#VALUE!</v>
      </c>
      <c r="H136" s="257" t="e">
        <f t="shared" ca="1" si="22"/>
        <v>#VALUE!</v>
      </c>
      <c r="I136" s="220" t="e">
        <f t="shared" ca="1" si="23"/>
        <v>#VALUE!</v>
      </c>
      <c r="K136" s="260" t="e">
        <f t="shared" ca="1" si="28"/>
        <v>#VALUE!</v>
      </c>
    </row>
    <row r="137" spans="1:11" x14ac:dyDescent="0.25">
      <c r="A137" s="254" t="e">
        <f t="shared" ca="1" si="27"/>
        <v>#VALUE!</v>
      </c>
      <c r="B137" s="255" t="e">
        <f t="shared" ca="1" si="24"/>
        <v>#VALUE!</v>
      </c>
      <c r="C137" s="256" t="e">
        <f t="shared" ca="1" si="26"/>
        <v>#VALUE!</v>
      </c>
      <c r="D137" s="257" t="e">
        <f t="shared" ca="1" si="19"/>
        <v>#VALUE!</v>
      </c>
      <c r="E137" s="253" t="e">
        <f t="shared" ca="1" si="25"/>
        <v>#VALUE!</v>
      </c>
      <c r="F137" s="257" t="e">
        <f t="shared" ca="1" si="20"/>
        <v>#VALUE!</v>
      </c>
      <c r="G137" s="257" t="e">
        <f t="shared" ca="1" si="21"/>
        <v>#VALUE!</v>
      </c>
      <c r="H137" s="257" t="e">
        <f t="shared" ca="1" si="22"/>
        <v>#VALUE!</v>
      </c>
      <c r="I137" s="220" t="e">
        <f t="shared" ca="1" si="23"/>
        <v>#VALUE!</v>
      </c>
      <c r="K137" s="260" t="e">
        <f t="shared" ca="1" si="28"/>
        <v>#VALUE!</v>
      </c>
    </row>
    <row r="138" spans="1:11" x14ac:dyDescent="0.25">
      <c r="A138" s="254" t="e">
        <f t="shared" ca="1" si="27"/>
        <v>#VALUE!</v>
      </c>
      <c r="B138" s="255" t="e">
        <f t="shared" ca="1" si="24"/>
        <v>#VALUE!</v>
      </c>
      <c r="C138" s="256" t="e">
        <f t="shared" ca="1" si="26"/>
        <v>#VALUE!</v>
      </c>
      <c r="D138" s="257" t="e">
        <f t="shared" ca="1" si="19"/>
        <v>#VALUE!</v>
      </c>
      <c r="E138" s="253" t="e">
        <f t="shared" ca="1" si="25"/>
        <v>#VALUE!</v>
      </c>
      <c r="F138" s="257" t="e">
        <f t="shared" ca="1" si="20"/>
        <v>#VALUE!</v>
      </c>
      <c r="G138" s="257" t="e">
        <f t="shared" ca="1" si="21"/>
        <v>#VALUE!</v>
      </c>
      <c r="H138" s="257" t="e">
        <f t="shared" ca="1" si="22"/>
        <v>#VALUE!</v>
      </c>
      <c r="I138" s="220" t="e">
        <f t="shared" ca="1" si="23"/>
        <v>#VALUE!</v>
      </c>
      <c r="K138" s="260" t="e">
        <f t="shared" ca="1" si="28"/>
        <v>#VALUE!</v>
      </c>
    </row>
    <row r="139" spans="1:11" x14ac:dyDescent="0.25">
      <c r="A139" s="254" t="e">
        <f t="shared" ca="1" si="27"/>
        <v>#VALUE!</v>
      </c>
      <c r="B139" s="255"/>
      <c r="C139" s="256"/>
      <c r="D139" s="257" t="str">
        <f t="shared" si="19"/>
        <v/>
      </c>
      <c r="F139" s="257" t="str">
        <f t="shared" si="20"/>
        <v/>
      </c>
      <c r="G139" s="257" t="str">
        <f t="shared" si="21"/>
        <v/>
      </c>
      <c r="H139" s="257" t="str">
        <f t="shared" si="22"/>
        <v/>
      </c>
    </row>
    <row r="140" spans="1:11" x14ac:dyDescent="0.25">
      <c r="A140" s="254" t="str">
        <f t="shared" ca="1" si="27"/>
        <v/>
      </c>
      <c r="B140" s="255"/>
      <c r="C140" s="256"/>
      <c r="D140" s="257" t="str">
        <f t="shared" si="19"/>
        <v/>
      </c>
      <c r="F140" s="257" t="str">
        <f t="shared" si="20"/>
        <v/>
      </c>
      <c r="G140" s="257" t="str">
        <f t="shared" si="21"/>
        <v/>
      </c>
      <c r="H140" s="257" t="str">
        <f t="shared" si="22"/>
        <v/>
      </c>
    </row>
    <row r="141" spans="1:11" x14ac:dyDescent="0.25">
      <c r="A141" s="254" t="str">
        <f t="shared" ca="1" si="27"/>
        <v/>
      </c>
      <c r="B141" s="255"/>
      <c r="C141" s="256"/>
      <c r="D141" s="257" t="str">
        <f t="shared" si="19"/>
        <v/>
      </c>
      <c r="F141" s="257" t="str">
        <f t="shared" si="20"/>
        <v/>
      </c>
      <c r="G141" s="257" t="str">
        <f t="shared" si="21"/>
        <v/>
      </c>
      <c r="H141" s="257" t="str">
        <f t="shared" si="22"/>
        <v/>
      </c>
    </row>
    <row r="142" spans="1:11" x14ac:dyDescent="0.25">
      <c r="A142" s="254" t="str">
        <f t="shared" ca="1" si="27"/>
        <v/>
      </c>
      <c r="B142" s="255"/>
      <c r="C142" s="256"/>
      <c r="D142" s="257" t="str">
        <f t="shared" si="19"/>
        <v/>
      </c>
      <c r="F142" s="257" t="str">
        <f t="shared" si="20"/>
        <v/>
      </c>
      <c r="G142" s="257" t="str">
        <f t="shared" si="21"/>
        <v/>
      </c>
      <c r="H142" s="257" t="str">
        <f t="shared" si="22"/>
        <v/>
      </c>
    </row>
    <row r="143" spans="1:11" x14ac:dyDescent="0.25">
      <c r="A143" s="254" t="str">
        <f t="shared" ca="1" si="27"/>
        <v/>
      </c>
      <c r="B143" s="255"/>
      <c r="C143" s="256"/>
      <c r="D143" s="257" t="str">
        <f t="shared" si="19"/>
        <v/>
      </c>
      <c r="F143" s="257" t="str">
        <f t="shared" si="20"/>
        <v/>
      </c>
      <c r="G143" s="257" t="str">
        <f t="shared" si="21"/>
        <v/>
      </c>
      <c r="H143" s="257" t="str">
        <f t="shared" si="22"/>
        <v/>
      </c>
    </row>
    <row r="144" spans="1:11" x14ac:dyDescent="0.25">
      <c r="A144" s="254" t="str">
        <f t="shared" ca="1" si="27"/>
        <v/>
      </c>
      <c r="B144" s="255"/>
      <c r="C144" s="256"/>
      <c r="D144" s="257" t="str">
        <f t="shared" si="19"/>
        <v/>
      </c>
      <c r="F144" s="257" t="str">
        <f t="shared" si="20"/>
        <v/>
      </c>
      <c r="G144" s="257" t="str">
        <f t="shared" si="21"/>
        <v/>
      </c>
      <c r="H144" s="257" t="str">
        <f t="shared" si="22"/>
        <v/>
      </c>
    </row>
    <row r="145" spans="1:8" x14ac:dyDescent="0.25">
      <c r="A145" s="254" t="str">
        <f t="shared" ca="1" si="27"/>
        <v/>
      </c>
      <c r="B145" s="255"/>
      <c r="C145" s="256"/>
      <c r="D145" s="257" t="str">
        <f t="shared" si="19"/>
        <v/>
      </c>
      <c r="F145" s="257" t="str">
        <f t="shared" si="20"/>
        <v/>
      </c>
      <c r="G145" s="257" t="str">
        <f t="shared" si="21"/>
        <v/>
      </c>
      <c r="H145" s="257" t="str">
        <f t="shared" si="22"/>
        <v/>
      </c>
    </row>
    <row r="146" spans="1:8" x14ac:dyDescent="0.25">
      <c r="A146" s="254" t="str">
        <f t="shared" ca="1" si="27"/>
        <v/>
      </c>
      <c r="B146" s="255"/>
      <c r="C146" s="256"/>
      <c r="D146" s="257" t="str">
        <f t="shared" si="19"/>
        <v/>
      </c>
      <c r="F146" s="257" t="str">
        <f t="shared" si="20"/>
        <v/>
      </c>
      <c r="G146" s="257" t="str">
        <f t="shared" si="21"/>
        <v/>
      </c>
      <c r="H146" s="257" t="str">
        <f t="shared" si="22"/>
        <v/>
      </c>
    </row>
    <row r="147" spans="1:8" x14ac:dyDescent="0.25">
      <c r="A147" s="254" t="str">
        <f t="shared" ca="1" si="27"/>
        <v/>
      </c>
      <c r="B147" s="255"/>
      <c r="C147" s="256"/>
      <c r="D147" s="257" t="str">
        <f t="shared" ref="D147:D210" si="29">IF(B147="","",ROUND((B147-B146)*$H$9*G146,2))</f>
        <v/>
      </c>
      <c r="F147" s="257" t="str">
        <f t="shared" ref="F147:F210" si="30">IF(B147="","",IF(C147&gt;F146+D147,0,F146+D147-C147))</f>
        <v/>
      </c>
      <c r="G147" s="257" t="str">
        <f t="shared" ref="G147:G210" si="31">IF(B147="","",IF(C147&gt;D147+F146,G146+F146+D147-C147,G146))</f>
        <v/>
      </c>
      <c r="H147" s="257" t="str">
        <f t="shared" ref="H147:H210" si="32">IF(B147="","",G147+F147)</f>
        <v/>
      </c>
    </row>
    <row r="148" spans="1:8" x14ac:dyDescent="0.25">
      <c r="A148" s="254" t="str">
        <f t="shared" ca="1" si="27"/>
        <v/>
      </c>
      <c r="B148" s="255"/>
      <c r="C148" s="256"/>
      <c r="D148" s="257" t="str">
        <f t="shared" si="29"/>
        <v/>
      </c>
      <c r="F148" s="257" t="str">
        <f t="shared" si="30"/>
        <v/>
      </c>
      <c r="G148" s="257" t="str">
        <f t="shared" si="31"/>
        <v/>
      </c>
      <c r="H148" s="257" t="str">
        <f t="shared" si="32"/>
        <v/>
      </c>
    </row>
    <row r="149" spans="1:8" x14ac:dyDescent="0.25">
      <c r="A149" s="254" t="str">
        <f t="shared" ca="1" si="27"/>
        <v/>
      </c>
      <c r="B149" s="255"/>
      <c r="C149" s="256"/>
      <c r="D149" s="257" t="str">
        <f t="shared" si="29"/>
        <v/>
      </c>
      <c r="F149" s="257" t="str">
        <f t="shared" si="30"/>
        <v/>
      </c>
      <c r="G149" s="257" t="str">
        <f t="shared" si="31"/>
        <v/>
      </c>
      <c r="H149" s="257" t="str">
        <f t="shared" si="32"/>
        <v/>
      </c>
    </row>
    <row r="150" spans="1:8" x14ac:dyDescent="0.25">
      <c r="A150" s="254" t="str">
        <f t="shared" ca="1" si="27"/>
        <v/>
      </c>
      <c r="B150" s="255"/>
      <c r="C150" s="256"/>
      <c r="D150" s="257" t="str">
        <f t="shared" si="29"/>
        <v/>
      </c>
      <c r="F150" s="257" t="str">
        <f t="shared" si="30"/>
        <v/>
      </c>
      <c r="G150" s="257" t="str">
        <f t="shared" si="31"/>
        <v/>
      </c>
      <c r="H150" s="257" t="str">
        <f t="shared" si="32"/>
        <v/>
      </c>
    </row>
    <row r="151" spans="1:8" x14ac:dyDescent="0.25">
      <c r="A151" s="254" t="str">
        <f t="shared" ca="1" si="27"/>
        <v/>
      </c>
      <c r="B151" s="255"/>
      <c r="C151" s="256"/>
      <c r="D151" s="257" t="str">
        <f t="shared" si="29"/>
        <v/>
      </c>
      <c r="F151" s="257" t="str">
        <f t="shared" si="30"/>
        <v/>
      </c>
      <c r="G151" s="257" t="str">
        <f t="shared" si="31"/>
        <v/>
      </c>
      <c r="H151" s="257" t="str">
        <f t="shared" si="32"/>
        <v/>
      </c>
    </row>
    <row r="152" spans="1:8" x14ac:dyDescent="0.25">
      <c r="A152" s="254" t="str">
        <f t="shared" ca="1" si="27"/>
        <v/>
      </c>
      <c r="B152" s="255"/>
      <c r="C152" s="256"/>
      <c r="D152" s="257" t="str">
        <f t="shared" si="29"/>
        <v/>
      </c>
      <c r="F152" s="257" t="str">
        <f t="shared" si="30"/>
        <v/>
      </c>
      <c r="G152" s="257" t="str">
        <f t="shared" si="31"/>
        <v/>
      </c>
      <c r="H152" s="257" t="str">
        <f t="shared" si="32"/>
        <v/>
      </c>
    </row>
    <row r="153" spans="1:8" x14ac:dyDescent="0.25">
      <c r="A153" s="254" t="str">
        <f t="shared" ca="1" si="27"/>
        <v/>
      </c>
      <c r="B153" s="255"/>
      <c r="C153" s="256"/>
      <c r="D153" s="257" t="str">
        <f t="shared" si="29"/>
        <v/>
      </c>
      <c r="F153" s="257" t="str">
        <f t="shared" si="30"/>
        <v/>
      </c>
      <c r="G153" s="257" t="str">
        <f t="shared" si="31"/>
        <v/>
      </c>
      <c r="H153" s="257" t="str">
        <f t="shared" si="32"/>
        <v/>
      </c>
    </row>
    <row r="154" spans="1:8" x14ac:dyDescent="0.25">
      <c r="A154" s="254" t="str">
        <f t="shared" ca="1" si="27"/>
        <v/>
      </c>
      <c r="B154" s="255"/>
      <c r="C154" s="256"/>
      <c r="D154" s="257" t="str">
        <f t="shared" si="29"/>
        <v/>
      </c>
      <c r="F154" s="257" t="str">
        <f t="shared" si="30"/>
        <v/>
      </c>
      <c r="G154" s="257" t="str">
        <f t="shared" si="31"/>
        <v/>
      </c>
      <c r="H154" s="257" t="str">
        <f t="shared" si="32"/>
        <v/>
      </c>
    </row>
    <row r="155" spans="1:8" x14ac:dyDescent="0.25">
      <c r="A155" s="254" t="str">
        <f t="shared" ca="1" si="27"/>
        <v/>
      </c>
      <c r="B155" s="255"/>
      <c r="C155" s="256"/>
      <c r="D155" s="257" t="str">
        <f t="shared" si="29"/>
        <v/>
      </c>
      <c r="F155" s="257" t="str">
        <f t="shared" si="30"/>
        <v/>
      </c>
      <c r="G155" s="257" t="str">
        <f t="shared" si="31"/>
        <v/>
      </c>
      <c r="H155" s="257" t="str">
        <f t="shared" si="32"/>
        <v/>
      </c>
    </row>
    <row r="156" spans="1:8" x14ac:dyDescent="0.25">
      <c r="A156" s="254" t="str">
        <f t="shared" ca="1" si="27"/>
        <v/>
      </c>
      <c r="B156" s="255"/>
      <c r="C156" s="256"/>
      <c r="D156" s="257" t="str">
        <f t="shared" si="29"/>
        <v/>
      </c>
      <c r="F156" s="257" t="str">
        <f t="shared" si="30"/>
        <v/>
      </c>
      <c r="G156" s="257" t="str">
        <f t="shared" si="31"/>
        <v/>
      </c>
      <c r="H156" s="257" t="str">
        <f t="shared" si="32"/>
        <v/>
      </c>
    </row>
    <row r="157" spans="1:8" x14ac:dyDescent="0.25">
      <c r="A157" s="254" t="str">
        <f t="shared" ca="1" si="27"/>
        <v/>
      </c>
      <c r="B157" s="255"/>
      <c r="C157" s="256"/>
      <c r="D157" s="257" t="str">
        <f t="shared" si="29"/>
        <v/>
      </c>
      <c r="F157" s="257" t="str">
        <f t="shared" si="30"/>
        <v/>
      </c>
      <c r="G157" s="257" t="str">
        <f t="shared" si="31"/>
        <v/>
      </c>
      <c r="H157" s="257" t="str">
        <f t="shared" si="32"/>
        <v/>
      </c>
    </row>
    <row r="158" spans="1:8" x14ac:dyDescent="0.25">
      <c r="A158" s="254" t="str">
        <f t="shared" ca="1" si="27"/>
        <v/>
      </c>
      <c r="B158" s="255"/>
      <c r="C158" s="256"/>
      <c r="D158" s="257" t="str">
        <f t="shared" si="29"/>
        <v/>
      </c>
      <c r="F158" s="257" t="str">
        <f t="shared" si="30"/>
        <v/>
      </c>
      <c r="G158" s="257" t="str">
        <f t="shared" si="31"/>
        <v/>
      </c>
      <c r="H158" s="257" t="str">
        <f t="shared" si="32"/>
        <v/>
      </c>
    </row>
    <row r="159" spans="1:8" x14ac:dyDescent="0.25">
      <c r="A159" s="254" t="str">
        <f t="shared" ca="1" si="27"/>
        <v/>
      </c>
      <c r="B159" s="255"/>
      <c r="C159" s="256"/>
      <c r="D159" s="257" t="str">
        <f t="shared" si="29"/>
        <v/>
      </c>
      <c r="F159" s="257" t="str">
        <f t="shared" si="30"/>
        <v/>
      </c>
      <c r="G159" s="257" t="str">
        <f t="shared" si="31"/>
        <v/>
      </c>
      <c r="H159" s="257" t="str">
        <f t="shared" si="32"/>
        <v/>
      </c>
    </row>
    <row r="160" spans="1:8" x14ac:dyDescent="0.25">
      <c r="A160" s="254" t="str">
        <f t="shared" ca="1" si="27"/>
        <v/>
      </c>
      <c r="B160" s="255"/>
      <c r="C160" s="256"/>
      <c r="D160" s="257" t="str">
        <f t="shared" si="29"/>
        <v/>
      </c>
      <c r="F160" s="257" t="str">
        <f t="shared" si="30"/>
        <v/>
      </c>
      <c r="G160" s="257" t="str">
        <f t="shared" si="31"/>
        <v/>
      </c>
      <c r="H160" s="257" t="str">
        <f t="shared" si="32"/>
        <v/>
      </c>
    </row>
    <row r="161" spans="1:8" x14ac:dyDescent="0.25">
      <c r="A161" s="254" t="str">
        <f t="shared" ca="1" si="27"/>
        <v/>
      </c>
      <c r="B161" s="255"/>
      <c r="C161" s="256"/>
      <c r="D161" s="257" t="str">
        <f t="shared" si="29"/>
        <v/>
      </c>
      <c r="F161" s="257" t="str">
        <f t="shared" si="30"/>
        <v/>
      </c>
      <c r="G161" s="257" t="str">
        <f t="shared" si="31"/>
        <v/>
      </c>
      <c r="H161" s="257" t="str">
        <f t="shared" si="32"/>
        <v/>
      </c>
    </row>
    <row r="162" spans="1:8" x14ac:dyDescent="0.25">
      <c r="A162" s="254" t="str">
        <f t="shared" ca="1" si="27"/>
        <v/>
      </c>
      <c r="B162" s="255"/>
      <c r="C162" s="256"/>
      <c r="D162" s="257" t="str">
        <f t="shared" si="29"/>
        <v/>
      </c>
      <c r="F162" s="257" t="str">
        <f t="shared" si="30"/>
        <v/>
      </c>
      <c r="G162" s="257" t="str">
        <f t="shared" si="31"/>
        <v/>
      </c>
      <c r="H162" s="257" t="str">
        <f t="shared" si="32"/>
        <v/>
      </c>
    </row>
    <row r="163" spans="1:8" x14ac:dyDescent="0.25">
      <c r="A163" s="254" t="str">
        <f t="shared" ca="1" si="27"/>
        <v/>
      </c>
      <c r="B163" s="255"/>
      <c r="C163" s="256"/>
      <c r="D163" s="257" t="str">
        <f t="shared" si="29"/>
        <v/>
      </c>
      <c r="F163" s="257" t="str">
        <f t="shared" si="30"/>
        <v/>
      </c>
      <c r="G163" s="257" t="str">
        <f t="shared" si="31"/>
        <v/>
      </c>
      <c r="H163" s="257" t="str">
        <f t="shared" si="32"/>
        <v/>
      </c>
    </row>
    <row r="164" spans="1:8" x14ac:dyDescent="0.25">
      <c r="A164" s="254" t="str">
        <f t="shared" ca="1" si="27"/>
        <v/>
      </c>
      <c r="B164" s="255"/>
      <c r="C164" s="256"/>
      <c r="D164" s="257" t="str">
        <f t="shared" si="29"/>
        <v/>
      </c>
      <c r="F164" s="257" t="str">
        <f t="shared" si="30"/>
        <v/>
      </c>
      <c r="G164" s="257" t="str">
        <f t="shared" si="31"/>
        <v/>
      </c>
      <c r="H164" s="257" t="str">
        <f t="shared" si="32"/>
        <v/>
      </c>
    </row>
    <row r="165" spans="1:8" x14ac:dyDescent="0.25">
      <c r="A165" s="254" t="str">
        <f t="shared" ca="1" si="27"/>
        <v/>
      </c>
      <c r="B165" s="255"/>
      <c r="C165" s="256"/>
      <c r="D165" s="257" t="str">
        <f t="shared" si="29"/>
        <v/>
      </c>
      <c r="F165" s="257" t="str">
        <f t="shared" si="30"/>
        <v/>
      </c>
      <c r="G165" s="257" t="str">
        <f t="shared" si="31"/>
        <v/>
      </c>
      <c r="H165" s="257" t="str">
        <f t="shared" si="32"/>
        <v/>
      </c>
    </row>
    <row r="166" spans="1:8" x14ac:dyDescent="0.25">
      <c r="A166" s="254" t="str">
        <f t="shared" ca="1" si="27"/>
        <v/>
      </c>
      <c r="B166" s="255"/>
      <c r="C166" s="256"/>
      <c r="D166" s="257" t="str">
        <f t="shared" si="29"/>
        <v/>
      </c>
      <c r="F166" s="257" t="str">
        <f t="shared" si="30"/>
        <v/>
      </c>
      <c r="G166" s="257" t="str">
        <f t="shared" si="31"/>
        <v/>
      </c>
      <c r="H166" s="257" t="str">
        <f t="shared" si="32"/>
        <v/>
      </c>
    </row>
    <row r="167" spans="1:8" x14ac:dyDescent="0.25">
      <c r="A167" s="254" t="str">
        <f t="shared" ca="1" si="27"/>
        <v/>
      </c>
      <c r="B167" s="255"/>
      <c r="C167" s="256"/>
      <c r="D167" s="257" t="str">
        <f t="shared" si="29"/>
        <v/>
      </c>
      <c r="F167" s="257" t="str">
        <f t="shared" si="30"/>
        <v/>
      </c>
      <c r="G167" s="257" t="str">
        <f t="shared" si="31"/>
        <v/>
      </c>
      <c r="H167" s="257" t="str">
        <f t="shared" si="32"/>
        <v/>
      </c>
    </row>
    <row r="168" spans="1:8" x14ac:dyDescent="0.25">
      <c r="A168" s="254" t="str">
        <f t="shared" ca="1" si="27"/>
        <v/>
      </c>
      <c r="B168" s="255"/>
      <c r="C168" s="256"/>
      <c r="D168" s="257" t="str">
        <f t="shared" si="29"/>
        <v/>
      </c>
      <c r="F168" s="257" t="str">
        <f t="shared" si="30"/>
        <v/>
      </c>
      <c r="G168" s="257" t="str">
        <f t="shared" si="31"/>
        <v/>
      </c>
      <c r="H168" s="257" t="str">
        <f t="shared" si="32"/>
        <v/>
      </c>
    </row>
    <row r="169" spans="1:8" x14ac:dyDescent="0.25">
      <c r="A169" s="254" t="str">
        <f t="shared" ref="A169:A232" ca="1" si="33">IF(OR(H168&lt;=0,H168=""),"",OFFSET(A169,-1,0,1,1)+1)</f>
        <v/>
      </c>
      <c r="B169" s="255"/>
      <c r="C169" s="256"/>
      <c r="D169" s="257" t="str">
        <f t="shared" si="29"/>
        <v/>
      </c>
      <c r="F169" s="257" t="str">
        <f t="shared" si="30"/>
        <v/>
      </c>
      <c r="G169" s="257" t="str">
        <f t="shared" si="31"/>
        <v/>
      </c>
      <c r="H169" s="257" t="str">
        <f t="shared" si="32"/>
        <v/>
      </c>
    </row>
    <row r="170" spans="1:8" x14ac:dyDescent="0.25">
      <c r="A170" s="254" t="str">
        <f t="shared" ca="1" si="33"/>
        <v/>
      </c>
      <c r="B170" s="255"/>
      <c r="C170" s="256"/>
      <c r="D170" s="257" t="str">
        <f t="shared" si="29"/>
        <v/>
      </c>
      <c r="F170" s="257" t="str">
        <f t="shared" si="30"/>
        <v/>
      </c>
      <c r="G170" s="257" t="str">
        <f t="shared" si="31"/>
        <v/>
      </c>
      <c r="H170" s="257" t="str">
        <f t="shared" si="32"/>
        <v/>
      </c>
    </row>
    <row r="171" spans="1:8" x14ac:dyDescent="0.25">
      <c r="A171" s="254" t="str">
        <f t="shared" ca="1" si="33"/>
        <v/>
      </c>
      <c r="B171" s="255"/>
      <c r="C171" s="256"/>
      <c r="D171" s="257" t="str">
        <f t="shared" si="29"/>
        <v/>
      </c>
      <c r="F171" s="257" t="str">
        <f t="shared" si="30"/>
        <v/>
      </c>
      <c r="G171" s="257" t="str">
        <f t="shared" si="31"/>
        <v/>
      </c>
      <c r="H171" s="257" t="str">
        <f t="shared" si="32"/>
        <v/>
      </c>
    </row>
    <row r="172" spans="1:8" x14ac:dyDescent="0.25">
      <c r="A172" s="254" t="str">
        <f t="shared" ca="1" si="33"/>
        <v/>
      </c>
      <c r="B172" s="255"/>
      <c r="C172" s="256"/>
      <c r="D172" s="257" t="str">
        <f t="shared" si="29"/>
        <v/>
      </c>
      <c r="F172" s="257" t="str">
        <f t="shared" si="30"/>
        <v/>
      </c>
      <c r="G172" s="257" t="str">
        <f t="shared" si="31"/>
        <v/>
      </c>
      <c r="H172" s="257" t="str">
        <f t="shared" si="32"/>
        <v/>
      </c>
    </row>
    <row r="173" spans="1:8" x14ac:dyDescent="0.25">
      <c r="A173" s="254" t="str">
        <f t="shared" ca="1" si="33"/>
        <v/>
      </c>
      <c r="B173" s="255"/>
      <c r="C173" s="256"/>
      <c r="D173" s="257" t="str">
        <f t="shared" si="29"/>
        <v/>
      </c>
      <c r="F173" s="257" t="str">
        <f t="shared" si="30"/>
        <v/>
      </c>
      <c r="G173" s="257" t="str">
        <f t="shared" si="31"/>
        <v/>
      </c>
      <c r="H173" s="257" t="str">
        <f t="shared" si="32"/>
        <v/>
      </c>
    </row>
    <row r="174" spans="1:8" x14ac:dyDescent="0.25">
      <c r="A174" s="254" t="str">
        <f t="shared" ca="1" si="33"/>
        <v/>
      </c>
      <c r="B174" s="255"/>
      <c r="C174" s="256"/>
      <c r="D174" s="257" t="str">
        <f t="shared" si="29"/>
        <v/>
      </c>
      <c r="F174" s="257" t="str">
        <f t="shared" si="30"/>
        <v/>
      </c>
      <c r="G174" s="257" t="str">
        <f t="shared" si="31"/>
        <v/>
      </c>
      <c r="H174" s="257" t="str">
        <f t="shared" si="32"/>
        <v/>
      </c>
    </row>
    <row r="175" spans="1:8" x14ac:dyDescent="0.25">
      <c r="A175" s="254" t="str">
        <f t="shared" ca="1" si="33"/>
        <v/>
      </c>
      <c r="B175" s="255"/>
      <c r="C175" s="256"/>
      <c r="D175" s="257" t="str">
        <f t="shared" si="29"/>
        <v/>
      </c>
      <c r="F175" s="257" t="str">
        <f t="shared" si="30"/>
        <v/>
      </c>
      <c r="G175" s="257" t="str">
        <f t="shared" si="31"/>
        <v/>
      </c>
      <c r="H175" s="257" t="str">
        <f t="shared" si="32"/>
        <v/>
      </c>
    </row>
    <row r="176" spans="1:8" x14ac:dyDescent="0.25">
      <c r="A176" s="254" t="str">
        <f t="shared" ca="1" si="33"/>
        <v/>
      </c>
      <c r="B176" s="255"/>
      <c r="C176" s="256"/>
      <c r="D176" s="257" t="str">
        <f t="shared" si="29"/>
        <v/>
      </c>
      <c r="F176" s="257" t="str">
        <f t="shared" si="30"/>
        <v/>
      </c>
      <c r="G176" s="257" t="str">
        <f t="shared" si="31"/>
        <v/>
      </c>
      <c r="H176" s="257" t="str">
        <f t="shared" si="32"/>
        <v/>
      </c>
    </row>
    <row r="177" spans="1:8" x14ac:dyDescent="0.25">
      <c r="A177" s="254" t="str">
        <f t="shared" ca="1" si="33"/>
        <v/>
      </c>
      <c r="B177" s="255"/>
      <c r="C177" s="256"/>
      <c r="D177" s="257" t="str">
        <f t="shared" si="29"/>
        <v/>
      </c>
      <c r="F177" s="257" t="str">
        <f t="shared" si="30"/>
        <v/>
      </c>
      <c r="G177" s="257" t="str">
        <f t="shared" si="31"/>
        <v/>
      </c>
      <c r="H177" s="257" t="str">
        <f t="shared" si="32"/>
        <v/>
      </c>
    </row>
    <row r="178" spans="1:8" x14ac:dyDescent="0.25">
      <c r="A178" s="254" t="str">
        <f t="shared" ca="1" si="33"/>
        <v/>
      </c>
      <c r="B178" s="255"/>
      <c r="C178" s="256"/>
      <c r="D178" s="257" t="str">
        <f t="shared" si="29"/>
        <v/>
      </c>
      <c r="F178" s="257" t="str">
        <f t="shared" si="30"/>
        <v/>
      </c>
      <c r="G178" s="257" t="str">
        <f t="shared" si="31"/>
        <v/>
      </c>
      <c r="H178" s="257" t="str">
        <f t="shared" si="32"/>
        <v/>
      </c>
    </row>
    <row r="179" spans="1:8" x14ac:dyDescent="0.25">
      <c r="A179" s="254" t="str">
        <f t="shared" ca="1" si="33"/>
        <v/>
      </c>
      <c r="B179" s="255"/>
      <c r="C179" s="256"/>
      <c r="D179" s="257" t="str">
        <f t="shared" si="29"/>
        <v/>
      </c>
      <c r="F179" s="257" t="str">
        <f t="shared" si="30"/>
        <v/>
      </c>
      <c r="G179" s="257" t="str">
        <f t="shared" si="31"/>
        <v/>
      </c>
      <c r="H179" s="257" t="str">
        <f t="shared" si="32"/>
        <v/>
      </c>
    </row>
    <row r="180" spans="1:8" x14ac:dyDescent="0.25">
      <c r="A180" s="254" t="str">
        <f t="shared" ca="1" si="33"/>
        <v/>
      </c>
      <c r="B180" s="255"/>
      <c r="C180" s="256"/>
      <c r="D180" s="257" t="str">
        <f t="shared" si="29"/>
        <v/>
      </c>
      <c r="F180" s="257" t="str">
        <f t="shared" si="30"/>
        <v/>
      </c>
      <c r="G180" s="257" t="str">
        <f t="shared" si="31"/>
        <v/>
      </c>
      <c r="H180" s="257" t="str">
        <f t="shared" si="32"/>
        <v/>
      </c>
    </row>
    <row r="181" spans="1:8" x14ac:dyDescent="0.25">
      <c r="A181" s="254" t="str">
        <f t="shared" ca="1" si="33"/>
        <v/>
      </c>
      <c r="B181" s="255"/>
      <c r="C181" s="256"/>
      <c r="D181" s="257" t="str">
        <f t="shared" si="29"/>
        <v/>
      </c>
      <c r="F181" s="257" t="str">
        <f t="shared" si="30"/>
        <v/>
      </c>
      <c r="G181" s="257" t="str">
        <f t="shared" si="31"/>
        <v/>
      </c>
      <c r="H181" s="257" t="str">
        <f t="shared" si="32"/>
        <v/>
      </c>
    </row>
    <row r="182" spans="1:8" x14ac:dyDescent="0.25">
      <c r="A182" s="254" t="str">
        <f t="shared" ca="1" si="33"/>
        <v/>
      </c>
      <c r="B182" s="255"/>
      <c r="C182" s="256"/>
      <c r="D182" s="257" t="str">
        <f t="shared" si="29"/>
        <v/>
      </c>
      <c r="F182" s="257" t="str">
        <f t="shared" si="30"/>
        <v/>
      </c>
      <c r="G182" s="257" t="str">
        <f t="shared" si="31"/>
        <v/>
      </c>
      <c r="H182" s="257" t="str">
        <f t="shared" si="32"/>
        <v/>
      </c>
    </row>
    <row r="183" spans="1:8" x14ac:dyDescent="0.25">
      <c r="A183" s="254" t="str">
        <f t="shared" ca="1" si="33"/>
        <v/>
      </c>
      <c r="B183" s="255"/>
      <c r="C183" s="256"/>
      <c r="D183" s="257" t="str">
        <f t="shared" si="29"/>
        <v/>
      </c>
      <c r="F183" s="257" t="str">
        <f t="shared" si="30"/>
        <v/>
      </c>
      <c r="G183" s="257" t="str">
        <f t="shared" si="31"/>
        <v/>
      </c>
      <c r="H183" s="257" t="str">
        <f t="shared" si="32"/>
        <v/>
      </c>
    </row>
    <row r="184" spans="1:8" x14ac:dyDescent="0.25">
      <c r="A184" s="254" t="str">
        <f t="shared" ca="1" si="33"/>
        <v/>
      </c>
      <c r="B184" s="255"/>
      <c r="C184" s="256"/>
      <c r="D184" s="257" t="str">
        <f t="shared" si="29"/>
        <v/>
      </c>
      <c r="F184" s="257" t="str">
        <f t="shared" si="30"/>
        <v/>
      </c>
      <c r="G184" s="257" t="str">
        <f t="shared" si="31"/>
        <v/>
      </c>
      <c r="H184" s="257" t="str">
        <f t="shared" si="32"/>
        <v/>
      </c>
    </row>
    <row r="185" spans="1:8" x14ac:dyDescent="0.25">
      <c r="A185" s="254" t="str">
        <f t="shared" ca="1" si="33"/>
        <v/>
      </c>
      <c r="B185" s="255"/>
      <c r="C185" s="256"/>
      <c r="D185" s="257" t="str">
        <f t="shared" si="29"/>
        <v/>
      </c>
      <c r="F185" s="257" t="str">
        <f t="shared" si="30"/>
        <v/>
      </c>
      <c r="G185" s="257" t="str">
        <f t="shared" si="31"/>
        <v/>
      </c>
      <c r="H185" s="257" t="str">
        <f t="shared" si="32"/>
        <v/>
      </c>
    </row>
    <row r="186" spans="1:8" x14ac:dyDescent="0.25">
      <c r="A186" s="254" t="str">
        <f t="shared" ca="1" si="33"/>
        <v/>
      </c>
      <c r="B186" s="255"/>
      <c r="C186" s="256"/>
      <c r="D186" s="257" t="str">
        <f t="shared" si="29"/>
        <v/>
      </c>
      <c r="F186" s="257" t="str">
        <f t="shared" si="30"/>
        <v/>
      </c>
      <c r="G186" s="257" t="str">
        <f t="shared" si="31"/>
        <v/>
      </c>
      <c r="H186" s="257" t="str">
        <f t="shared" si="32"/>
        <v/>
      </c>
    </row>
    <row r="187" spans="1:8" x14ac:dyDescent="0.25">
      <c r="A187" s="254" t="str">
        <f t="shared" ca="1" si="33"/>
        <v/>
      </c>
      <c r="B187" s="255"/>
      <c r="C187" s="256"/>
      <c r="D187" s="257" t="str">
        <f t="shared" si="29"/>
        <v/>
      </c>
      <c r="F187" s="257" t="str">
        <f t="shared" si="30"/>
        <v/>
      </c>
      <c r="G187" s="257" t="str">
        <f t="shared" si="31"/>
        <v/>
      </c>
      <c r="H187" s="257" t="str">
        <f t="shared" si="32"/>
        <v/>
      </c>
    </row>
    <row r="188" spans="1:8" x14ac:dyDescent="0.25">
      <c r="A188" s="254" t="str">
        <f t="shared" ca="1" si="33"/>
        <v/>
      </c>
      <c r="B188" s="255"/>
      <c r="C188" s="256"/>
      <c r="D188" s="257" t="str">
        <f t="shared" si="29"/>
        <v/>
      </c>
      <c r="F188" s="257" t="str">
        <f t="shared" si="30"/>
        <v/>
      </c>
      <c r="G188" s="257" t="str">
        <f t="shared" si="31"/>
        <v/>
      </c>
      <c r="H188" s="257" t="str">
        <f t="shared" si="32"/>
        <v/>
      </c>
    </row>
    <row r="189" spans="1:8" x14ac:dyDescent="0.25">
      <c r="A189" s="254" t="str">
        <f t="shared" ca="1" si="33"/>
        <v/>
      </c>
      <c r="B189" s="255"/>
      <c r="C189" s="256"/>
      <c r="D189" s="257" t="str">
        <f t="shared" si="29"/>
        <v/>
      </c>
      <c r="F189" s="257" t="str">
        <f t="shared" si="30"/>
        <v/>
      </c>
      <c r="G189" s="257" t="str">
        <f t="shared" si="31"/>
        <v/>
      </c>
      <c r="H189" s="257" t="str">
        <f t="shared" si="32"/>
        <v/>
      </c>
    </row>
    <row r="190" spans="1:8" x14ac:dyDescent="0.25">
      <c r="A190" s="254" t="str">
        <f t="shared" ca="1" si="33"/>
        <v/>
      </c>
      <c r="B190" s="255"/>
      <c r="C190" s="256"/>
      <c r="D190" s="257" t="str">
        <f t="shared" si="29"/>
        <v/>
      </c>
      <c r="F190" s="257" t="str">
        <f t="shared" si="30"/>
        <v/>
      </c>
      <c r="G190" s="257" t="str">
        <f t="shared" si="31"/>
        <v/>
      </c>
      <c r="H190" s="257" t="str">
        <f t="shared" si="32"/>
        <v/>
      </c>
    </row>
    <row r="191" spans="1:8" x14ac:dyDescent="0.25">
      <c r="A191" s="254" t="str">
        <f t="shared" ca="1" si="33"/>
        <v/>
      </c>
      <c r="B191" s="255"/>
      <c r="C191" s="256"/>
      <c r="D191" s="257" t="str">
        <f t="shared" si="29"/>
        <v/>
      </c>
      <c r="F191" s="257" t="str">
        <f t="shared" si="30"/>
        <v/>
      </c>
      <c r="G191" s="257" t="str">
        <f t="shared" si="31"/>
        <v/>
      </c>
      <c r="H191" s="257" t="str">
        <f t="shared" si="32"/>
        <v/>
      </c>
    </row>
    <row r="192" spans="1:8" x14ac:dyDescent="0.25">
      <c r="A192" s="254" t="str">
        <f t="shared" ca="1" si="33"/>
        <v/>
      </c>
      <c r="B192" s="255"/>
      <c r="C192" s="256"/>
      <c r="D192" s="257" t="str">
        <f t="shared" si="29"/>
        <v/>
      </c>
      <c r="F192" s="257" t="str">
        <f t="shared" si="30"/>
        <v/>
      </c>
      <c r="G192" s="257" t="str">
        <f t="shared" si="31"/>
        <v/>
      </c>
      <c r="H192" s="257" t="str">
        <f t="shared" si="32"/>
        <v/>
      </c>
    </row>
    <row r="193" spans="1:8" x14ac:dyDescent="0.25">
      <c r="A193" s="254" t="str">
        <f t="shared" ca="1" si="33"/>
        <v/>
      </c>
      <c r="B193" s="255"/>
      <c r="C193" s="256"/>
      <c r="D193" s="257" t="str">
        <f t="shared" si="29"/>
        <v/>
      </c>
      <c r="F193" s="257" t="str">
        <f t="shared" si="30"/>
        <v/>
      </c>
      <c r="G193" s="257" t="str">
        <f t="shared" si="31"/>
        <v/>
      </c>
      <c r="H193" s="257" t="str">
        <f t="shared" si="32"/>
        <v/>
      </c>
    </row>
    <row r="194" spans="1:8" x14ac:dyDescent="0.25">
      <c r="A194" s="254" t="str">
        <f t="shared" ca="1" si="33"/>
        <v/>
      </c>
      <c r="B194" s="255"/>
      <c r="C194" s="256"/>
      <c r="D194" s="257" t="str">
        <f t="shared" si="29"/>
        <v/>
      </c>
      <c r="F194" s="257" t="str">
        <f t="shared" si="30"/>
        <v/>
      </c>
      <c r="G194" s="257" t="str">
        <f t="shared" si="31"/>
        <v/>
      </c>
      <c r="H194" s="257" t="str">
        <f t="shared" si="32"/>
        <v/>
      </c>
    </row>
    <row r="195" spans="1:8" x14ac:dyDescent="0.25">
      <c r="A195" s="254" t="str">
        <f t="shared" ca="1" si="33"/>
        <v/>
      </c>
      <c r="B195" s="255"/>
      <c r="C195" s="256"/>
      <c r="D195" s="257" t="str">
        <f t="shared" si="29"/>
        <v/>
      </c>
      <c r="F195" s="257" t="str">
        <f t="shared" si="30"/>
        <v/>
      </c>
      <c r="G195" s="257" t="str">
        <f t="shared" si="31"/>
        <v/>
      </c>
      <c r="H195" s="257" t="str">
        <f t="shared" si="32"/>
        <v/>
      </c>
    </row>
    <row r="196" spans="1:8" x14ac:dyDescent="0.25">
      <c r="A196" s="254" t="str">
        <f t="shared" ca="1" si="33"/>
        <v/>
      </c>
      <c r="B196" s="255"/>
      <c r="C196" s="256"/>
      <c r="D196" s="257" t="str">
        <f t="shared" si="29"/>
        <v/>
      </c>
      <c r="F196" s="257" t="str">
        <f t="shared" si="30"/>
        <v/>
      </c>
      <c r="G196" s="257" t="str">
        <f t="shared" si="31"/>
        <v/>
      </c>
      <c r="H196" s="257" t="str">
        <f t="shared" si="32"/>
        <v/>
      </c>
    </row>
    <row r="197" spans="1:8" x14ac:dyDescent="0.25">
      <c r="A197" s="254" t="str">
        <f t="shared" ca="1" si="33"/>
        <v/>
      </c>
      <c r="B197" s="255"/>
      <c r="C197" s="256"/>
      <c r="D197" s="257" t="str">
        <f t="shared" si="29"/>
        <v/>
      </c>
      <c r="F197" s="257" t="str">
        <f t="shared" si="30"/>
        <v/>
      </c>
      <c r="G197" s="257" t="str">
        <f t="shared" si="31"/>
        <v/>
      </c>
      <c r="H197" s="257" t="str">
        <f t="shared" si="32"/>
        <v/>
      </c>
    </row>
    <row r="198" spans="1:8" x14ac:dyDescent="0.25">
      <c r="A198" s="254" t="str">
        <f t="shared" ca="1" si="33"/>
        <v/>
      </c>
      <c r="B198" s="255"/>
      <c r="C198" s="256"/>
      <c r="D198" s="257" t="str">
        <f t="shared" si="29"/>
        <v/>
      </c>
      <c r="F198" s="257" t="str">
        <f t="shared" si="30"/>
        <v/>
      </c>
      <c r="G198" s="257" t="str">
        <f t="shared" si="31"/>
        <v/>
      </c>
      <c r="H198" s="257" t="str">
        <f t="shared" si="32"/>
        <v/>
      </c>
    </row>
    <row r="199" spans="1:8" x14ac:dyDescent="0.25">
      <c r="A199" s="254" t="str">
        <f t="shared" ca="1" si="33"/>
        <v/>
      </c>
      <c r="B199" s="255"/>
      <c r="C199" s="256"/>
      <c r="D199" s="257" t="str">
        <f t="shared" si="29"/>
        <v/>
      </c>
      <c r="F199" s="257" t="str">
        <f t="shared" si="30"/>
        <v/>
      </c>
      <c r="G199" s="257" t="str">
        <f t="shared" si="31"/>
        <v/>
      </c>
      <c r="H199" s="257" t="str">
        <f t="shared" si="32"/>
        <v/>
      </c>
    </row>
    <row r="200" spans="1:8" x14ac:dyDescent="0.25">
      <c r="A200" s="254" t="str">
        <f t="shared" ca="1" si="33"/>
        <v/>
      </c>
      <c r="B200" s="255"/>
      <c r="C200" s="256"/>
      <c r="D200" s="257" t="str">
        <f t="shared" si="29"/>
        <v/>
      </c>
      <c r="F200" s="257" t="str">
        <f t="shared" si="30"/>
        <v/>
      </c>
      <c r="G200" s="257" t="str">
        <f t="shared" si="31"/>
        <v/>
      </c>
      <c r="H200" s="257" t="str">
        <f t="shared" si="32"/>
        <v/>
      </c>
    </row>
    <row r="201" spans="1:8" x14ac:dyDescent="0.25">
      <c r="A201" s="254" t="str">
        <f t="shared" ca="1" si="33"/>
        <v/>
      </c>
      <c r="B201" s="255"/>
      <c r="C201" s="256"/>
      <c r="D201" s="257" t="str">
        <f t="shared" si="29"/>
        <v/>
      </c>
      <c r="F201" s="257" t="str">
        <f t="shared" si="30"/>
        <v/>
      </c>
      <c r="G201" s="257" t="str">
        <f t="shared" si="31"/>
        <v/>
      </c>
      <c r="H201" s="257" t="str">
        <f t="shared" si="32"/>
        <v/>
      </c>
    </row>
    <row r="202" spans="1:8" x14ac:dyDescent="0.25">
      <c r="A202" s="254" t="str">
        <f t="shared" ca="1" si="33"/>
        <v/>
      </c>
      <c r="B202" s="255"/>
      <c r="C202" s="256"/>
      <c r="D202" s="257" t="str">
        <f t="shared" si="29"/>
        <v/>
      </c>
      <c r="F202" s="257" t="str">
        <f t="shared" si="30"/>
        <v/>
      </c>
      <c r="G202" s="257" t="str">
        <f t="shared" si="31"/>
        <v/>
      </c>
      <c r="H202" s="257" t="str">
        <f t="shared" si="32"/>
        <v/>
      </c>
    </row>
    <row r="203" spans="1:8" x14ac:dyDescent="0.25">
      <c r="A203" s="254" t="str">
        <f t="shared" ca="1" si="33"/>
        <v/>
      </c>
      <c r="B203" s="255"/>
      <c r="C203" s="256"/>
      <c r="D203" s="257" t="str">
        <f t="shared" si="29"/>
        <v/>
      </c>
      <c r="F203" s="257" t="str">
        <f t="shared" si="30"/>
        <v/>
      </c>
      <c r="G203" s="257" t="str">
        <f t="shared" si="31"/>
        <v/>
      </c>
      <c r="H203" s="257" t="str">
        <f t="shared" si="32"/>
        <v/>
      </c>
    </row>
    <row r="204" spans="1:8" x14ac:dyDescent="0.25">
      <c r="A204" s="254" t="str">
        <f t="shared" ca="1" si="33"/>
        <v/>
      </c>
      <c r="B204" s="255"/>
      <c r="C204" s="256"/>
      <c r="D204" s="257" t="str">
        <f t="shared" si="29"/>
        <v/>
      </c>
      <c r="F204" s="257" t="str">
        <f t="shared" si="30"/>
        <v/>
      </c>
      <c r="G204" s="257" t="str">
        <f t="shared" si="31"/>
        <v/>
      </c>
      <c r="H204" s="257" t="str">
        <f t="shared" si="32"/>
        <v/>
      </c>
    </row>
    <row r="205" spans="1:8" x14ac:dyDescent="0.25">
      <c r="A205" s="254" t="str">
        <f t="shared" ca="1" si="33"/>
        <v/>
      </c>
      <c r="B205" s="255"/>
      <c r="C205" s="256"/>
      <c r="D205" s="257" t="str">
        <f t="shared" si="29"/>
        <v/>
      </c>
      <c r="F205" s="257" t="str">
        <f t="shared" si="30"/>
        <v/>
      </c>
      <c r="G205" s="257" t="str">
        <f t="shared" si="31"/>
        <v/>
      </c>
      <c r="H205" s="257" t="str">
        <f t="shared" si="32"/>
        <v/>
      </c>
    </row>
    <row r="206" spans="1:8" x14ac:dyDescent="0.25">
      <c r="A206" s="254" t="str">
        <f t="shared" ca="1" si="33"/>
        <v/>
      </c>
      <c r="B206" s="255"/>
      <c r="C206" s="256"/>
      <c r="D206" s="257" t="str">
        <f t="shared" si="29"/>
        <v/>
      </c>
      <c r="F206" s="257" t="str">
        <f t="shared" si="30"/>
        <v/>
      </c>
      <c r="G206" s="257" t="str">
        <f t="shared" si="31"/>
        <v/>
      </c>
      <c r="H206" s="257" t="str">
        <f t="shared" si="32"/>
        <v/>
      </c>
    </row>
    <row r="207" spans="1:8" x14ac:dyDescent="0.25">
      <c r="A207" s="254" t="str">
        <f t="shared" ca="1" si="33"/>
        <v/>
      </c>
      <c r="B207" s="255"/>
      <c r="C207" s="256"/>
      <c r="D207" s="257" t="str">
        <f t="shared" si="29"/>
        <v/>
      </c>
      <c r="F207" s="257" t="str">
        <f t="shared" si="30"/>
        <v/>
      </c>
      <c r="G207" s="257" t="str">
        <f t="shared" si="31"/>
        <v/>
      </c>
      <c r="H207" s="257" t="str">
        <f t="shared" si="32"/>
        <v/>
      </c>
    </row>
    <row r="208" spans="1:8" x14ac:dyDescent="0.25">
      <c r="A208" s="254" t="str">
        <f t="shared" ca="1" si="33"/>
        <v/>
      </c>
      <c r="B208" s="255"/>
      <c r="C208" s="256"/>
      <c r="D208" s="257" t="str">
        <f t="shared" si="29"/>
        <v/>
      </c>
      <c r="F208" s="257" t="str">
        <f t="shared" si="30"/>
        <v/>
      </c>
      <c r="G208" s="257" t="str">
        <f t="shared" si="31"/>
        <v/>
      </c>
      <c r="H208" s="257" t="str">
        <f t="shared" si="32"/>
        <v/>
      </c>
    </row>
    <row r="209" spans="1:8" x14ac:dyDescent="0.25">
      <c r="A209" s="254" t="str">
        <f t="shared" ca="1" si="33"/>
        <v/>
      </c>
      <c r="B209" s="255"/>
      <c r="C209" s="256"/>
      <c r="D209" s="257" t="str">
        <f t="shared" si="29"/>
        <v/>
      </c>
      <c r="F209" s="257" t="str">
        <f t="shared" si="30"/>
        <v/>
      </c>
      <c r="G209" s="257" t="str">
        <f t="shared" si="31"/>
        <v/>
      </c>
      <c r="H209" s="257" t="str">
        <f t="shared" si="32"/>
        <v/>
      </c>
    </row>
    <row r="210" spans="1:8" x14ac:dyDescent="0.25">
      <c r="A210" s="254" t="str">
        <f t="shared" ca="1" si="33"/>
        <v/>
      </c>
      <c r="B210" s="255"/>
      <c r="C210" s="256"/>
      <c r="D210" s="257" t="str">
        <f t="shared" si="29"/>
        <v/>
      </c>
      <c r="F210" s="257" t="str">
        <f t="shared" si="30"/>
        <v/>
      </c>
      <c r="G210" s="257" t="str">
        <f t="shared" si="31"/>
        <v/>
      </c>
      <c r="H210" s="257" t="str">
        <f t="shared" si="32"/>
        <v/>
      </c>
    </row>
    <row r="211" spans="1:8" x14ac:dyDescent="0.25">
      <c r="A211" s="254" t="str">
        <f t="shared" ca="1" si="33"/>
        <v/>
      </c>
      <c r="B211" s="255"/>
      <c r="C211" s="256"/>
      <c r="D211" s="257" t="str">
        <f t="shared" ref="D211:D274" si="34">IF(B211="","",ROUND((B211-B210)*$H$9*G210,2))</f>
        <v/>
      </c>
      <c r="F211" s="257" t="str">
        <f t="shared" ref="F211:F274" si="35">IF(B211="","",IF(C211&gt;F210+D211,0,F210+D211-C211))</f>
        <v/>
      </c>
      <c r="G211" s="257" t="str">
        <f t="shared" ref="G211:G274" si="36">IF(B211="","",IF(C211&gt;D211+F210,G210+F210+D211-C211,G210))</f>
        <v/>
      </c>
      <c r="H211" s="257" t="str">
        <f t="shared" ref="H211:H274" si="37">IF(B211="","",G211+F211)</f>
        <v/>
      </c>
    </row>
    <row r="212" spans="1:8" x14ac:dyDescent="0.25">
      <c r="A212" s="254" t="str">
        <f t="shared" ca="1" si="33"/>
        <v/>
      </c>
      <c r="B212" s="255"/>
      <c r="C212" s="256"/>
      <c r="D212" s="257" t="str">
        <f t="shared" si="34"/>
        <v/>
      </c>
      <c r="F212" s="257" t="str">
        <f t="shared" si="35"/>
        <v/>
      </c>
      <c r="G212" s="257" t="str">
        <f t="shared" si="36"/>
        <v/>
      </c>
      <c r="H212" s="257" t="str">
        <f t="shared" si="37"/>
        <v/>
      </c>
    </row>
    <row r="213" spans="1:8" x14ac:dyDescent="0.25">
      <c r="A213" s="254" t="str">
        <f t="shared" ca="1" si="33"/>
        <v/>
      </c>
      <c r="B213" s="255"/>
      <c r="C213" s="256"/>
      <c r="D213" s="257" t="str">
        <f t="shared" si="34"/>
        <v/>
      </c>
      <c r="F213" s="257" t="str">
        <f t="shared" si="35"/>
        <v/>
      </c>
      <c r="G213" s="257" t="str">
        <f t="shared" si="36"/>
        <v/>
      </c>
      <c r="H213" s="257" t="str">
        <f t="shared" si="37"/>
        <v/>
      </c>
    </row>
    <row r="214" spans="1:8" x14ac:dyDescent="0.25">
      <c r="A214" s="254" t="str">
        <f t="shared" ca="1" si="33"/>
        <v/>
      </c>
      <c r="B214" s="255"/>
      <c r="C214" s="256"/>
      <c r="D214" s="257" t="str">
        <f t="shared" si="34"/>
        <v/>
      </c>
      <c r="F214" s="257" t="str">
        <f t="shared" si="35"/>
        <v/>
      </c>
      <c r="G214" s="257" t="str">
        <f t="shared" si="36"/>
        <v/>
      </c>
      <c r="H214" s="257" t="str">
        <f t="shared" si="37"/>
        <v/>
      </c>
    </row>
    <row r="215" spans="1:8" x14ac:dyDescent="0.25">
      <c r="A215" s="254" t="str">
        <f t="shared" ca="1" si="33"/>
        <v/>
      </c>
      <c r="B215" s="255"/>
      <c r="C215" s="256"/>
      <c r="D215" s="257" t="str">
        <f t="shared" si="34"/>
        <v/>
      </c>
      <c r="F215" s="257" t="str">
        <f t="shared" si="35"/>
        <v/>
      </c>
      <c r="G215" s="257" t="str">
        <f t="shared" si="36"/>
        <v/>
      </c>
      <c r="H215" s="257" t="str">
        <f t="shared" si="37"/>
        <v/>
      </c>
    </row>
    <row r="216" spans="1:8" x14ac:dyDescent="0.25">
      <c r="A216" s="254" t="str">
        <f t="shared" ca="1" si="33"/>
        <v/>
      </c>
      <c r="B216" s="255"/>
      <c r="C216" s="256"/>
      <c r="D216" s="257" t="str">
        <f t="shared" si="34"/>
        <v/>
      </c>
      <c r="F216" s="257" t="str">
        <f t="shared" si="35"/>
        <v/>
      </c>
      <c r="G216" s="257" t="str">
        <f t="shared" si="36"/>
        <v/>
      </c>
      <c r="H216" s="257" t="str">
        <f t="shared" si="37"/>
        <v/>
      </c>
    </row>
    <row r="217" spans="1:8" x14ac:dyDescent="0.25">
      <c r="A217" s="254" t="str">
        <f t="shared" ca="1" si="33"/>
        <v/>
      </c>
      <c r="B217" s="255"/>
      <c r="C217" s="256"/>
      <c r="D217" s="257" t="str">
        <f t="shared" si="34"/>
        <v/>
      </c>
      <c r="F217" s="257" t="str">
        <f t="shared" si="35"/>
        <v/>
      </c>
      <c r="G217" s="257" t="str">
        <f t="shared" si="36"/>
        <v/>
      </c>
      <c r="H217" s="257" t="str">
        <f t="shared" si="37"/>
        <v/>
      </c>
    </row>
    <row r="218" spans="1:8" x14ac:dyDescent="0.25">
      <c r="A218" s="254" t="str">
        <f t="shared" ca="1" si="33"/>
        <v/>
      </c>
      <c r="B218" s="255"/>
      <c r="C218" s="256"/>
      <c r="D218" s="257" t="str">
        <f t="shared" si="34"/>
        <v/>
      </c>
      <c r="F218" s="257" t="str">
        <f t="shared" si="35"/>
        <v/>
      </c>
      <c r="G218" s="257" t="str">
        <f t="shared" si="36"/>
        <v/>
      </c>
      <c r="H218" s="257" t="str">
        <f t="shared" si="37"/>
        <v/>
      </c>
    </row>
    <row r="219" spans="1:8" x14ac:dyDescent="0.25">
      <c r="A219" s="254" t="str">
        <f t="shared" ca="1" si="33"/>
        <v/>
      </c>
      <c r="B219" s="255"/>
      <c r="C219" s="256"/>
      <c r="D219" s="257" t="str">
        <f t="shared" si="34"/>
        <v/>
      </c>
      <c r="F219" s="257" t="str">
        <f t="shared" si="35"/>
        <v/>
      </c>
      <c r="G219" s="257" t="str">
        <f t="shared" si="36"/>
        <v/>
      </c>
      <c r="H219" s="257" t="str">
        <f t="shared" si="37"/>
        <v/>
      </c>
    </row>
    <row r="220" spans="1:8" x14ac:dyDescent="0.25">
      <c r="A220" s="254" t="str">
        <f t="shared" ca="1" si="33"/>
        <v/>
      </c>
      <c r="B220" s="255"/>
      <c r="C220" s="256"/>
      <c r="D220" s="257" t="str">
        <f t="shared" si="34"/>
        <v/>
      </c>
      <c r="F220" s="257" t="str">
        <f t="shared" si="35"/>
        <v/>
      </c>
      <c r="G220" s="257" t="str">
        <f t="shared" si="36"/>
        <v/>
      </c>
      <c r="H220" s="257" t="str">
        <f t="shared" si="37"/>
        <v/>
      </c>
    </row>
    <row r="221" spans="1:8" x14ac:dyDescent="0.25">
      <c r="A221" s="254" t="str">
        <f t="shared" ca="1" si="33"/>
        <v/>
      </c>
      <c r="B221" s="255"/>
      <c r="C221" s="256"/>
      <c r="D221" s="257" t="str">
        <f t="shared" si="34"/>
        <v/>
      </c>
      <c r="F221" s="257" t="str">
        <f t="shared" si="35"/>
        <v/>
      </c>
      <c r="G221" s="257" t="str">
        <f t="shared" si="36"/>
        <v/>
      </c>
      <c r="H221" s="257" t="str">
        <f t="shared" si="37"/>
        <v/>
      </c>
    </row>
    <row r="222" spans="1:8" x14ac:dyDescent="0.25">
      <c r="A222" s="254" t="str">
        <f t="shared" ca="1" si="33"/>
        <v/>
      </c>
      <c r="B222" s="255"/>
      <c r="C222" s="256"/>
      <c r="D222" s="257" t="str">
        <f t="shared" si="34"/>
        <v/>
      </c>
      <c r="F222" s="257" t="str">
        <f t="shared" si="35"/>
        <v/>
      </c>
      <c r="G222" s="257" t="str">
        <f t="shared" si="36"/>
        <v/>
      </c>
      <c r="H222" s="257" t="str">
        <f t="shared" si="37"/>
        <v/>
      </c>
    </row>
    <row r="223" spans="1:8" x14ac:dyDescent="0.25">
      <c r="A223" s="254" t="str">
        <f t="shared" ca="1" si="33"/>
        <v/>
      </c>
      <c r="B223" s="255"/>
      <c r="C223" s="256"/>
      <c r="D223" s="257" t="str">
        <f t="shared" si="34"/>
        <v/>
      </c>
      <c r="F223" s="257" t="str">
        <f t="shared" si="35"/>
        <v/>
      </c>
      <c r="G223" s="257" t="str">
        <f t="shared" si="36"/>
        <v/>
      </c>
      <c r="H223" s="257" t="str">
        <f t="shared" si="37"/>
        <v/>
      </c>
    </row>
    <row r="224" spans="1:8" x14ac:dyDescent="0.25">
      <c r="A224" s="254" t="str">
        <f t="shared" ca="1" si="33"/>
        <v/>
      </c>
      <c r="B224" s="255"/>
      <c r="C224" s="256"/>
      <c r="D224" s="257" t="str">
        <f t="shared" si="34"/>
        <v/>
      </c>
      <c r="F224" s="257" t="str">
        <f t="shared" si="35"/>
        <v/>
      </c>
      <c r="G224" s="257" t="str">
        <f t="shared" si="36"/>
        <v/>
      </c>
      <c r="H224" s="257" t="str">
        <f t="shared" si="37"/>
        <v/>
      </c>
    </row>
    <row r="225" spans="1:8" x14ac:dyDescent="0.25">
      <c r="A225" s="254" t="str">
        <f t="shared" ca="1" si="33"/>
        <v/>
      </c>
      <c r="B225" s="255"/>
      <c r="C225" s="256"/>
      <c r="D225" s="257" t="str">
        <f t="shared" si="34"/>
        <v/>
      </c>
      <c r="F225" s="257" t="str">
        <f t="shared" si="35"/>
        <v/>
      </c>
      <c r="G225" s="257" t="str">
        <f t="shared" si="36"/>
        <v/>
      </c>
      <c r="H225" s="257" t="str">
        <f t="shared" si="37"/>
        <v/>
      </c>
    </row>
    <row r="226" spans="1:8" x14ac:dyDescent="0.25">
      <c r="A226" s="254" t="str">
        <f t="shared" ca="1" si="33"/>
        <v/>
      </c>
      <c r="B226" s="255"/>
      <c r="C226" s="256"/>
      <c r="D226" s="257" t="str">
        <f t="shared" si="34"/>
        <v/>
      </c>
      <c r="F226" s="257" t="str">
        <f t="shared" si="35"/>
        <v/>
      </c>
      <c r="G226" s="257" t="str">
        <f t="shared" si="36"/>
        <v/>
      </c>
      <c r="H226" s="257" t="str">
        <f t="shared" si="37"/>
        <v/>
      </c>
    </row>
    <row r="227" spans="1:8" x14ac:dyDescent="0.25">
      <c r="A227" s="254" t="str">
        <f t="shared" ca="1" si="33"/>
        <v/>
      </c>
      <c r="B227" s="255"/>
      <c r="C227" s="256"/>
      <c r="D227" s="257" t="str">
        <f t="shared" si="34"/>
        <v/>
      </c>
      <c r="F227" s="257" t="str">
        <f t="shared" si="35"/>
        <v/>
      </c>
      <c r="G227" s="257" t="str">
        <f t="shared" si="36"/>
        <v/>
      </c>
      <c r="H227" s="257" t="str">
        <f t="shared" si="37"/>
        <v/>
      </c>
    </row>
    <row r="228" spans="1:8" x14ac:dyDescent="0.25">
      <c r="A228" s="254" t="str">
        <f t="shared" ca="1" si="33"/>
        <v/>
      </c>
      <c r="B228" s="255"/>
      <c r="C228" s="256"/>
      <c r="D228" s="257" t="str">
        <f t="shared" si="34"/>
        <v/>
      </c>
      <c r="F228" s="257" t="str">
        <f t="shared" si="35"/>
        <v/>
      </c>
      <c r="G228" s="257" t="str">
        <f t="shared" si="36"/>
        <v/>
      </c>
      <c r="H228" s="257" t="str">
        <f t="shared" si="37"/>
        <v/>
      </c>
    </row>
    <row r="229" spans="1:8" x14ac:dyDescent="0.25">
      <c r="A229" s="254" t="str">
        <f t="shared" ca="1" si="33"/>
        <v/>
      </c>
      <c r="B229" s="255"/>
      <c r="C229" s="256"/>
      <c r="D229" s="257" t="str">
        <f t="shared" si="34"/>
        <v/>
      </c>
      <c r="F229" s="257" t="str">
        <f t="shared" si="35"/>
        <v/>
      </c>
      <c r="G229" s="257" t="str">
        <f t="shared" si="36"/>
        <v/>
      </c>
      <c r="H229" s="257" t="str">
        <f t="shared" si="37"/>
        <v/>
      </c>
    </row>
    <row r="230" spans="1:8" x14ac:dyDescent="0.25">
      <c r="A230" s="254" t="str">
        <f t="shared" ca="1" si="33"/>
        <v/>
      </c>
      <c r="B230" s="255"/>
      <c r="C230" s="256"/>
      <c r="D230" s="257" t="str">
        <f t="shared" si="34"/>
        <v/>
      </c>
      <c r="F230" s="257" t="str">
        <f t="shared" si="35"/>
        <v/>
      </c>
      <c r="G230" s="257" t="str">
        <f t="shared" si="36"/>
        <v/>
      </c>
      <c r="H230" s="257" t="str">
        <f t="shared" si="37"/>
        <v/>
      </c>
    </row>
    <row r="231" spans="1:8" x14ac:dyDescent="0.25">
      <c r="A231" s="254" t="str">
        <f t="shared" ca="1" si="33"/>
        <v/>
      </c>
      <c r="B231" s="255"/>
      <c r="C231" s="256"/>
      <c r="D231" s="257" t="str">
        <f t="shared" si="34"/>
        <v/>
      </c>
      <c r="F231" s="257" t="str">
        <f t="shared" si="35"/>
        <v/>
      </c>
      <c r="G231" s="257" t="str">
        <f t="shared" si="36"/>
        <v/>
      </c>
      <c r="H231" s="257" t="str">
        <f t="shared" si="37"/>
        <v/>
      </c>
    </row>
    <row r="232" spans="1:8" x14ac:dyDescent="0.25">
      <c r="A232" s="254" t="str">
        <f t="shared" ca="1" si="33"/>
        <v/>
      </c>
      <c r="B232" s="255"/>
      <c r="C232" s="256"/>
      <c r="D232" s="257" t="str">
        <f t="shared" si="34"/>
        <v/>
      </c>
      <c r="F232" s="257" t="str">
        <f t="shared" si="35"/>
        <v/>
      </c>
      <c r="G232" s="257" t="str">
        <f t="shared" si="36"/>
        <v/>
      </c>
      <c r="H232" s="257" t="str">
        <f t="shared" si="37"/>
        <v/>
      </c>
    </row>
    <row r="233" spans="1:8" x14ac:dyDescent="0.25">
      <c r="A233" s="254" t="str">
        <f t="shared" ref="A233:A296" ca="1" si="38">IF(OR(H232&lt;=0,H232=""),"",OFFSET(A233,-1,0,1,1)+1)</f>
        <v/>
      </c>
      <c r="B233" s="255"/>
      <c r="C233" s="256"/>
      <c r="D233" s="257" t="str">
        <f t="shared" si="34"/>
        <v/>
      </c>
      <c r="F233" s="257" t="str">
        <f t="shared" si="35"/>
        <v/>
      </c>
      <c r="G233" s="257" t="str">
        <f t="shared" si="36"/>
        <v/>
      </c>
      <c r="H233" s="257" t="str">
        <f t="shared" si="37"/>
        <v/>
      </c>
    </row>
    <row r="234" spans="1:8" x14ac:dyDescent="0.25">
      <c r="A234" s="254" t="str">
        <f t="shared" ca="1" si="38"/>
        <v/>
      </c>
      <c r="B234" s="255"/>
      <c r="C234" s="256"/>
      <c r="D234" s="257" t="str">
        <f t="shared" si="34"/>
        <v/>
      </c>
      <c r="F234" s="257" t="str">
        <f t="shared" si="35"/>
        <v/>
      </c>
      <c r="G234" s="257" t="str">
        <f t="shared" si="36"/>
        <v/>
      </c>
      <c r="H234" s="257" t="str">
        <f t="shared" si="37"/>
        <v/>
      </c>
    </row>
    <row r="235" spans="1:8" x14ac:dyDescent="0.25">
      <c r="A235" s="254" t="str">
        <f t="shared" ca="1" si="38"/>
        <v/>
      </c>
      <c r="B235" s="255"/>
      <c r="C235" s="256"/>
      <c r="D235" s="257" t="str">
        <f t="shared" si="34"/>
        <v/>
      </c>
      <c r="F235" s="257" t="str">
        <f t="shared" si="35"/>
        <v/>
      </c>
      <c r="G235" s="257" t="str">
        <f t="shared" si="36"/>
        <v/>
      </c>
      <c r="H235" s="257" t="str">
        <f t="shared" si="37"/>
        <v/>
      </c>
    </row>
    <row r="236" spans="1:8" x14ac:dyDescent="0.25">
      <c r="A236" s="254" t="str">
        <f t="shared" ca="1" si="38"/>
        <v/>
      </c>
      <c r="B236" s="255"/>
      <c r="C236" s="256"/>
      <c r="D236" s="257" t="str">
        <f t="shared" si="34"/>
        <v/>
      </c>
      <c r="F236" s="257" t="str">
        <f t="shared" si="35"/>
        <v/>
      </c>
      <c r="G236" s="257" t="str">
        <f t="shared" si="36"/>
        <v/>
      </c>
      <c r="H236" s="257" t="str">
        <f t="shared" si="37"/>
        <v/>
      </c>
    </row>
    <row r="237" spans="1:8" x14ac:dyDescent="0.25">
      <c r="A237" s="254" t="str">
        <f t="shared" ca="1" si="38"/>
        <v/>
      </c>
      <c r="B237" s="255"/>
      <c r="C237" s="256"/>
      <c r="D237" s="257" t="str">
        <f t="shared" si="34"/>
        <v/>
      </c>
      <c r="F237" s="257" t="str">
        <f t="shared" si="35"/>
        <v/>
      </c>
      <c r="G237" s="257" t="str">
        <f t="shared" si="36"/>
        <v/>
      </c>
      <c r="H237" s="257" t="str">
        <f t="shared" si="37"/>
        <v/>
      </c>
    </row>
    <row r="238" spans="1:8" x14ac:dyDescent="0.25">
      <c r="A238" s="254" t="str">
        <f t="shared" ca="1" si="38"/>
        <v/>
      </c>
      <c r="B238" s="255"/>
      <c r="C238" s="256"/>
      <c r="D238" s="257" t="str">
        <f t="shared" si="34"/>
        <v/>
      </c>
      <c r="F238" s="257" t="str">
        <f t="shared" si="35"/>
        <v/>
      </c>
      <c r="G238" s="257" t="str">
        <f t="shared" si="36"/>
        <v/>
      </c>
      <c r="H238" s="257" t="str">
        <f t="shared" si="37"/>
        <v/>
      </c>
    </row>
    <row r="239" spans="1:8" x14ac:dyDescent="0.25">
      <c r="A239" s="254" t="str">
        <f t="shared" ca="1" si="38"/>
        <v/>
      </c>
      <c r="B239" s="255"/>
      <c r="C239" s="256"/>
      <c r="D239" s="257" t="str">
        <f t="shared" si="34"/>
        <v/>
      </c>
      <c r="F239" s="257" t="str">
        <f t="shared" si="35"/>
        <v/>
      </c>
      <c r="G239" s="257" t="str">
        <f t="shared" si="36"/>
        <v/>
      </c>
      <c r="H239" s="257" t="str">
        <f t="shared" si="37"/>
        <v/>
      </c>
    </row>
    <row r="240" spans="1:8" x14ac:dyDescent="0.25">
      <c r="A240" s="254" t="str">
        <f t="shared" ca="1" si="38"/>
        <v/>
      </c>
      <c r="B240" s="255"/>
      <c r="C240" s="256"/>
      <c r="D240" s="257" t="str">
        <f t="shared" si="34"/>
        <v/>
      </c>
      <c r="F240" s="257" t="str">
        <f t="shared" si="35"/>
        <v/>
      </c>
      <c r="G240" s="257" t="str">
        <f t="shared" si="36"/>
        <v/>
      </c>
      <c r="H240" s="257" t="str">
        <f t="shared" si="37"/>
        <v/>
      </c>
    </row>
    <row r="241" spans="1:8" x14ac:dyDescent="0.25">
      <c r="A241" s="254" t="str">
        <f t="shared" ca="1" si="38"/>
        <v/>
      </c>
      <c r="B241" s="255"/>
      <c r="C241" s="256"/>
      <c r="D241" s="257" t="str">
        <f t="shared" si="34"/>
        <v/>
      </c>
      <c r="F241" s="257" t="str">
        <f t="shared" si="35"/>
        <v/>
      </c>
      <c r="G241" s="257" t="str">
        <f t="shared" si="36"/>
        <v/>
      </c>
      <c r="H241" s="257" t="str">
        <f t="shared" si="37"/>
        <v/>
      </c>
    </row>
    <row r="242" spans="1:8" x14ac:dyDescent="0.25">
      <c r="A242" s="254" t="str">
        <f t="shared" ca="1" si="38"/>
        <v/>
      </c>
      <c r="B242" s="255"/>
      <c r="C242" s="256"/>
      <c r="D242" s="257" t="str">
        <f t="shared" si="34"/>
        <v/>
      </c>
      <c r="F242" s="257" t="str">
        <f t="shared" si="35"/>
        <v/>
      </c>
      <c r="G242" s="257" t="str">
        <f t="shared" si="36"/>
        <v/>
      </c>
      <c r="H242" s="257" t="str">
        <f t="shared" si="37"/>
        <v/>
      </c>
    </row>
    <row r="243" spans="1:8" x14ac:dyDescent="0.25">
      <c r="A243" s="254" t="str">
        <f t="shared" ca="1" si="38"/>
        <v/>
      </c>
      <c r="B243" s="255"/>
      <c r="C243" s="256"/>
      <c r="D243" s="257" t="str">
        <f t="shared" si="34"/>
        <v/>
      </c>
      <c r="F243" s="257" t="str">
        <f t="shared" si="35"/>
        <v/>
      </c>
      <c r="G243" s="257" t="str">
        <f t="shared" si="36"/>
        <v/>
      </c>
      <c r="H243" s="257" t="str">
        <f t="shared" si="37"/>
        <v/>
      </c>
    </row>
    <row r="244" spans="1:8" x14ac:dyDescent="0.25">
      <c r="A244" s="254" t="str">
        <f t="shared" ca="1" si="38"/>
        <v/>
      </c>
      <c r="B244" s="255"/>
      <c r="C244" s="256"/>
      <c r="D244" s="257" t="str">
        <f t="shared" si="34"/>
        <v/>
      </c>
      <c r="F244" s="257" t="str">
        <f t="shared" si="35"/>
        <v/>
      </c>
      <c r="G244" s="257" t="str">
        <f t="shared" si="36"/>
        <v/>
      </c>
      <c r="H244" s="257" t="str">
        <f t="shared" si="37"/>
        <v/>
      </c>
    </row>
    <row r="245" spans="1:8" x14ac:dyDescent="0.25">
      <c r="A245" s="254" t="str">
        <f t="shared" ca="1" si="38"/>
        <v/>
      </c>
      <c r="B245" s="255"/>
      <c r="C245" s="256"/>
      <c r="D245" s="257" t="str">
        <f t="shared" si="34"/>
        <v/>
      </c>
      <c r="F245" s="257" t="str">
        <f t="shared" si="35"/>
        <v/>
      </c>
      <c r="G245" s="257" t="str">
        <f t="shared" si="36"/>
        <v/>
      </c>
      <c r="H245" s="257" t="str">
        <f t="shared" si="37"/>
        <v/>
      </c>
    </row>
    <row r="246" spans="1:8" x14ac:dyDescent="0.25">
      <c r="A246" s="254" t="str">
        <f t="shared" ca="1" si="38"/>
        <v/>
      </c>
      <c r="B246" s="255"/>
      <c r="C246" s="256"/>
      <c r="D246" s="257" t="str">
        <f t="shared" si="34"/>
        <v/>
      </c>
      <c r="F246" s="257" t="str">
        <f t="shared" si="35"/>
        <v/>
      </c>
      <c r="G246" s="257" t="str">
        <f t="shared" si="36"/>
        <v/>
      </c>
      <c r="H246" s="257" t="str">
        <f t="shared" si="37"/>
        <v/>
      </c>
    </row>
    <row r="247" spans="1:8" x14ac:dyDescent="0.25">
      <c r="A247" s="254" t="str">
        <f t="shared" ca="1" si="38"/>
        <v/>
      </c>
      <c r="B247" s="255"/>
      <c r="C247" s="256"/>
      <c r="D247" s="257" t="str">
        <f t="shared" si="34"/>
        <v/>
      </c>
      <c r="F247" s="257" t="str">
        <f t="shared" si="35"/>
        <v/>
      </c>
      <c r="G247" s="257" t="str">
        <f t="shared" si="36"/>
        <v/>
      </c>
      <c r="H247" s="257" t="str">
        <f t="shared" si="37"/>
        <v/>
      </c>
    </row>
    <row r="248" spans="1:8" x14ac:dyDescent="0.25">
      <c r="A248" s="254" t="str">
        <f t="shared" ca="1" si="38"/>
        <v/>
      </c>
      <c r="B248" s="255"/>
      <c r="C248" s="256"/>
      <c r="D248" s="257" t="str">
        <f t="shared" si="34"/>
        <v/>
      </c>
      <c r="F248" s="257" t="str">
        <f t="shared" si="35"/>
        <v/>
      </c>
      <c r="G248" s="257" t="str">
        <f t="shared" si="36"/>
        <v/>
      </c>
      <c r="H248" s="257" t="str">
        <f t="shared" si="37"/>
        <v/>
      </c>
    </row>
    <row r="249" spans="1:8" x14ac:dyDescent="0.25">
      <c r="A249" s="254" t="str">
        <f t="shared" ca="1" si="38"/>
        <v/>
      </c>
      <c r="B249" s="255"/>
      <c r="C249" s="256"/>
      <c r="D249" s="257" t="str">
        <f t="shared" si="34"/>
        <v/>
      </c>
      <c r="F249" s="257" t="str">
        <f t="shared" si="35"/>
        <v/>
      </c>
      <c r="G249" s="257" t="str">
        <f t="shared" si="36"/>
        <v/>
      </c>
      <c r="H249" s="257" t="str">
        <f t="shared" si="37"/>
        <v/>
      </c>
    </row>
    <row r="250" spans="1:8" x14ac:dyDescent="0.25">
      <c r="A250" s="254" t="str">
        <f t="shared" ca="1" si="38"/>
        <v/>
      </c>
      <c r="B250" s="255"/>
      <c r="C250" s="256"/>
      <c r="D250" s="257" t="str">
        <f t="shared" si="34"/>
        <v/>
      </c>
      <c r="F250" s="257" t="str">
        <f t="shared" si="35"/>
        <v/>
      </c>
      <c r="G250" s="257" t="str">
        <f t="shared" si="36"/>
        <v/>
      </c>
      <c r="H250" s="257" t="str">
        <f t="shared" si="37"/>
        <v/>
      </c>
    </row>
    <row r="251" spans="1:8" x14ac:dyDescent="0.25">
      <c r="A251" s="254" t="str">
        <f t="shared" ca="1" si="38"/>
        <v/>
      </c>
      <c r="B251" s="255"/>
      <c r="C251" s="256"/>
      <c r="D251" s="257" t="str">
        <f t="shared" si="34"/>
        <v/>
      </c>
      <c r="F251" s="257" t="str">
        <f t="shared" si="35"/>
        <v/>
      </c>
      <c r="G251" s="257" t="str">
        <f t="shared" si="36"/>
        <v/>
      </c>
      <c r="H251" s="257" t="str">
        <f t="shared" si="37"/>
        <v/>
      </c>
    </row>
    <row r="252" spans="1:8" x14ac:dyDescent="0.25">
      <c r="A252" s="254" t="str">
        <f t="shared" ca="1" si="38"/>
        <v/>
      </c>
      <c r="B252" s="255"/>
      <c r="C252" s="256"/>
      <c r="D252" s="257" t="str">
        <f t="shared" si="34"/>
        <v/>
      </c>
      <c r="F252" s="257" t="str">
        <f t="shared" si="35"/>
        <v/>
      </c>
      <c r="G252" s="257" t="str">
        <f t="shared" si="36"/>
        <v/>
      </c>
      <c r="H252" s="257" t="str">
        <f t="shared" si="37"/>
        <v/>
      </c>
    </row>
    <row r="253" spans="1:8" x14ac:dyDescent="0.25">
      <c r="A253" s="254" t="str">
        <f t="shared" ca="1" si="38"/>
        <v/>
      </c>
      <c r="B253" s="255"/>
      <c r="C253" s="256"/>
      <c r="D253" s="257" t="str">
        <f t="shared" si="34"/>
        <v/>
      </c>
      <c r="F253" s="257" t="str">
        <f t="shared" si="35"/>
        <v/>
      </c>
      <c r="G253" s="257" t="str">
        <f t="shared" si="36"/>
        <v/>
      </c>
      <c r="H253" s="257" t="str">
        <f t="shared" si="37"/>
        <v/>
      </c>
    </row>
    <row r="254" spans="1:8" x14ac:dyDescent="0.25">
      <c r="A254" s="254" t="str">
        <f t="shared" ca="1" si="38"/>
        <v/>
      </c>
      <c r="B254" s="255"/>
      <c r="C254" s="256"/>
      <c r="D254" s="257" t="str">
        <f t="shared" si="34"/>
        <v/>
      </c>
      <c r="F254" s="257" t="str">
        <f t="shared" si="35"/>
        <v/>
      </c>
      <c r="G254" s="257" t="str">
        <f t="shared" si="36"/>
        <v/>
      </c>
      <c r="H254" s="257" t="str">
        <f t="shared" si="37"/>
        <v/>
      </c>
    </row>
    <row r="255" spans="1:8" x14ac:dyDescent="0.25">
      <c r="A255" s="254" t="str">
        <f t="shared" ca="1" si="38"/>
        <v/>
      </c>
      <c r="B255" s="255"/>
      <c r="C255" s="256"/>
      <c r="D255" s="257" t="str">
        <f t="shared" si="34"/>
        <v/>
      </c>
      <c r="F255" s="257" t="str">
        <f t="shared" si="35"/>
        <v/>
      </c>
      <c r="G255" s="257" t="str">
        <f t="shared" si="36"/>
        <v/>
      </c>
      <c r="H255" s="257" t="str">
        <f t="shared" si="37"/>
        <v/>
      </c>
    </row>
    <row r="256" spans="1:8" x14ac:dyDescent="0.25">
      <c r="A256" s="254" t="str">
        <f t="shared" ca="1" si="38"/>
        <v/>
      </c>
      <c r="B256" s="255"/>
      <c r="C256" s="256"/>
      <c r="D256" s="257" t="str">
        <f t="shared" si="34"/>
        <v/>
      </c>
      <c r="F256" s="257" t="str">
        <f t="shared" si="35"/>
        <v/>
      </c>
      <c r="G256" s="257" t="str">
        <f t="shared" si="36"/>
        <v/>
      </c>
      <c r="H256" s="257" t="str">
        <f t="shared" si="37"/>
        <v/>
      </c>
    </row>
    <row r="257" spans="1:8" x14ac:dyDescent="0.25">
      <c r="A257" s="254" t="str">
        <f t="shared" ca="1" si="38"/>
        <v/>
      </c>
      <c r="B257" s="255"/>
      <c r="C257" s="256"/>
      <c r="D257" s="257" t="str">
        <f t="shared" si="34"/>
        <v/>
      </c>
      <c r="F257" s="257" t="str">
        <f t="shared" si="35"/>
        <v/>
      </c>
      <c r="G257" s="257" t="str">
        <f t="shared" si="36"/>
        <v/>
      </c>
      <c r="H257" s="257" t="str">
        <f t="shared" si="37"/>
        <v/>
      </c>
    </row>
    <row r="258" spans="1:8" x14ac:dyDescent="0.25">
      <c r="A258" s="254" t="str">
        <f t="shared" ca="1" si="38"/>
        <v/>
      </c>
      <c r="B258" s="255"/>
      <c r="C258" s="256"/>
      <c r="D258" s="257" t="str">
        <f t="shared" si="34"/>
        <v/>
      </c>
      <c r="F258" s="257" t="str">
        <f t="shared" si="35"/>
        <v/>
      </c>
      <c r="G258" s="257" t="str">
        <f t="shared" si="36"/>
        <v/>
      </c>
      <c r="H258" s="257" t="str">
        <f t="shared" si="37"/>
        <v/>
      </c>
    </row>
    <row r="259" spans="1:8" x14ac:dyDescent="0.25">
      <c r="A259" s="254" t="str">
        <f t="shared" ca="1" si="38"/>
        <v/>
      </c>
      <c r="B259" s="255"/>
      <c r="C259" s="256"/>
      <c r="D259" s="257" t="str">
        <f t="shared" si="34"/>
        <v/>
      </c>
      <c r="F259" s="257" t="str">
        <f t="shared" si="35"/>
        <v/>
      </c>
      <c r="G259" s="257" t="str">
        <f t="shared" si="36"/>
        <v/>
      </c>
      <c r="H259" s="257" t="str">
        <f t="shared" si="37"/>
        <v/>
      </c>
    </row>
    <row r="260" spans="1:8" x14ac:dyDescent="0.25">
      <c r="A260" s="254" t="str">
        <f t="shared" ca="1" si="38"/>
        <v/>
      </c>
      <c r="B260" s="255"/>
      <c r="C260" s="256"/>
      <c r="D260" s="257" t="str">
        <f t="shared" si="34"/>
        <v/>
      </c>
      <c r="F260" s="257" t="str">
        <f t="shared" si="35"/>
        <v/>
      </c>
      <c r="G260" s="257" t="str">
        <f t="shared" si="36"/>
        <v/>
      </c>
      <c r="H260" s="257" t="str">
        <f t="shared" si="37"/>
        <v/>
      </c>
    </row>
    <row r="261" spans="1:8" x14ac:dyDescent="0.25">
      <c r="A261" s="254" t="str">
        <f t="shared" ca="1" si="38"/>
        <v/>
      </c>
      <c r="B261" s="255"/>
      <c r="C261" s="256"/>
      <c r="D261" s="257" t="str">
        <f t="shared" si="34"/>
        <v/>
      </c>
      <c r="F261" s="257" t="str">
        <f t="shared" si="35"/>
        <v/>
      </c>
      <c r="G261" s="257" t="str">
        <f t="shared" si="36"/>
        <v/>
      </c>
      <c r="H261" s="257" t="str">
        <f t="shared" si="37"/>
        <v/>
      </c>
    </row>
    <row r="262" spans="1:8" x14ac:dyDescent="0.25">
      <c r="A262" s="254" t="str">
        <f t="shared" ca="1" si="38"/>
        <v/>
      </c>
      <c r="B262" s="255"/>
      <c r="C262" s="256"/>
      <c r="D262" s="257" t="str">
        <f t="shared" si="34"/>
        <v/>
      </c>
      <c r="F262" s="257" t="str">
        <f t="shared" si="35"/>
        <v/>
      </c>
      <c r="G262" s="257" t="str">
        <f t="shared" si="36"/>
        <v/>
      </c>
      <c r="H262" s="257" t="str">
        <f t="shared" si="37"/>
        <v/>
      </c>
    </row>
    <row r="263" spans="1:8" x14ac:dyDescent="0.25">
      <c r="A263" s="254" t="str">
        <f t="shared" ca="1" si="38"/>
        <v/>
      </c>
      <c r="B263" s="255"/>
      <c r="C263" s="256"/>
      <c r="D263" s="257" t="str">
        <f t="shared" si="34"/>
        <v/>
      </c>
      <c r="F263" s="257" t="str">
        <f t="shared" si="35"/>
        <v/>
      </c>
      <c r="G263" s="257" t="str">
        <f t="shared" si="36"/>
        <v/>
      </c>
      <c r="H263" s="257" t="str">
        <f t="shared" si="37"/>
        <v/>
      </c>
    </row>
    <row r="264" spans="1:8" x14ac:dyDescent="0.25">
      <c r="A264" s="254" t="str">
        <f t="shared" ca="1" si="38"/>
        <v/>
      </c>
      <c r="B264" s="255"/>
      <c r="C264" s="256"/>
      <c r="D264" s="257" t="str">
        <f t="shared" si="34"/>
        <v/>
      </c>
      <c r="F264" s="257" t="str">
        <f t="shared" si="35"/>
        <v/>
      </c>
      <c r="G264" s="257" t="str">
        <f t="shared" si="36"/>
        <v/>
      </c>
      <c r="H264" s="257" t="str">
        <f t="shared" si="37"/>
        <v/>
      </c>
    </row>
    <row r="265" spans="1:8" x14ac:dyDescent="0.25">
      <c r="A265" s="254" t="str">
        <f t="shared" ca="1" si="38"/>
        <v/>
      </c>
      <c r="B265" s="255"/>
      <c r="C265" s="256"/>
      <c r="D265" s="257" t="str">
        <f t="shared" si="34"/>
        <v/>
      </c>
      <c r="F265" s="257" t="str">
        <f t="shared" si="35"/>
        <v/>
      </c>
      <c r="G265" s="257" t="str">
        <f t="shared" si="36"/>
        <v/>
      </c>
      <c r="H265" s="257" t="str">
        <f t="shared" si="37"/>
        <v/>
      </c>
    </row>
    <row r="266" spans="1:8" x14ac:dyDescent="0.25">
      <c r="A266" s="254" t="str">
        <f t="shared" ca="1" si="38"/>
        <v/>
      </c>
      <c r="B266" s="255"/>
      <c r="C266" s="256"/>
      <c r="D266" s="257" t="str">
        <f t="shared" si="34"/>
        <v/>
      </c>
      <c r="F266" s="257" t="str">
        <f t="shared" si="35"/>
        <v/>
      </c>
      <c r="G266" s="257" t="str">
        <f t="shared" si="36"/>
        <v/>
      </c>
      <c r="H266" s="257" t="str">
        <f t="shared" si="37"/>
        <v/>
      </c>
    </row>
    <row r="267" spans="1:8" x14ac:dyDescent="0.25">
      <c r="A267" s="254" t="str">
        <f t="shared" ca="1" si="38"/>
        <v/>
      </c>
      <c r="B267" s="255"/>
      <c r="C267" s="256"/>
      <c r="D267" s="257" t="str">
        <f t="shared" si="34"/>
        <v/>
      </c>
      <c r="F267" s="257" t="str">
        <f t="shared" si="35"/>
        <v/>
      </c>
      <c r="G267" s="257" t="str">
        <f t="shared" si="36"/>
        <v/>
      </c>
      <c r="H267" s="257" t="str">
        <f t="shared" si="37"/>
        <v/>
      </c>
    </row>
    <row r="268" spans="1:8" x14ac:dyDescent="0.25">
      <c r="A268" s="254" t="str">
        <f t="shared" ca="1" si="38"/>
        <v/>
      </c>
      <c r="B268" s="255"/>
      <c r="C268" s="256"/>
      <c r="D268" s="257" t="str">
        <f t="shared" si="34"/>
        <v/>
      </c>
      <c r="F268" s="257" t="str">
        <f t="shared" si="35"/>
        <v/>
      </c>
      <c r="G268" s="257" t="str">
        <f t="shared" si="36"/>
        <v/>
      </c>
      <c r="H268" s="257" t="str">
        <f t="shared" si="37"/>
        <v/>
      </c>
    </row>
    <row r="269" spans="1:8" x14ac:dyDescent="0.25">
      <c r="A269" s="254" t="str">
        <f t="shared" ca="1" si="38"/>
        <v/>
      </c>
      <c r="B269" s="255"/>
      <c r="C269" s="256"/>
      <c r="D269" s="257" t="str">
        <f t="shared" si="34"/>
        <v/>
      </c>
      <c r="F269" s="257" t="str">
        <f t="shared" si="35"/>
        <v/>
      </c>
      <c r="G269" s="257" t="str">
        <f t="shared" si="36"/>
        <v/>
      </c>
      <c r="H269" s="257" t="str">
        <f t="shared" si="37"/>
        <v/>
      </c>
    </row>
    <row r="270" spans="1:8" x14ac:dyDescent="0.25">
      <c r="A270" s="254" t="str">
        <f t="shared" ca="1" si="38"/>
        <v/>
      </c>
      <c r="B270" s="255"/>
      <c r="C270" s="256"/>
      <c r="D270" s="257" t="str">
        <f t="shared" si="34"/>
        <v/>
      </c>
      <c r="F270" s="257" t="str">
        <f t="shared" si="35"/>
        <v/>
      </c>
      <c r="G270" s="257" t="str">
        <f t="shared" si="36"/>
        <v/>
      </c>
      <c r="H270" s="257" t="str">
        <f t="shared" si="37"/>
        <v/>
      </c>
    </row>
    <row r="271" spans="1:8" x14ac:dyDescent="0.25">
      <c r="A271" s="254" t="str">
        <f t="shared" ca="1" si="38"/>
        <v/>
      </c>
      <c r="B271" s="255"/>
      <c r="C271" s="256"/>
      <c r="D271" s="257" t="str">
        <f t="shared" si="34"/>
        <v/>
      </c>
      <c r="F271" s="257" t="str">
        <f t="shared" si="35"/>
        <v/>
      </c>
      <c r="G271" s="257" t="str">
        <f t="shared" si="36"/>
        <v/>
      </c>
      <c r="H271" s="257" t="str">
        <f t="shared" si="37"/>
        <v/>
      </c>
    </row>
    <row r="272" spans="1:8" x14ac:dyDescent="0.25">
      <c r="A272" s="254" t="str">
        <f t="shared" ca="1" si="38"/>
        <v/>
      </c>
      <c r="B272" s="255"/>
      <c r="C272" s="256"/>
      <c r="D272" s="257" t="str">
        <f t="shared" si="34"/>
        <v/>
      </c>
      <c r="F272" s="257" t="str">
        <f t="shared" si="35"/>
        <v/>
      </c>
      <c r="G272" s="257" t="str">
        <f t="shared" si="36"/>
        <v/>
      </c>
      <c r="H272" s="257" t="str">
        <f t="shared" si="37"/>
        <v/>
      </c>
    </row>
    <row r="273" spans="1:8" x14ac:dyDescent="0.25">
      <c r="A273" s="254" t="str">
        <f t="shared" ca="1" si="38"/>
        <v/>
      </c>
      <c r="B273" s="255"/>
      <c r="C273" s="256"/>
      <c r="D273" s="257" t="str">
        <f t="shared" si="34"/>
        <v/>
      </c>
      <c r="F273" s="257" t="str">
        <f t="shared" si="35"/>
        <v/>
      </c>
      <c r="G273" s="257" t="str">
        <f t="shared" si="36"/>
        <v/>
      </c>
      <c r="H273" s="257" t="str">
        <f t="shared" si="37"/>
        <v/>
      </c>
    </row>
    <row r="274" spans="1:8" x14ac:dyDescent="0.25">
      <c r="A274" s="254" t="str">
        <f t="shared" ca="1" si="38"/>
        <v/>
      </c>
      <c r="B274" s="255"/>
      <c r="C274" s="256"/>
      <c r="D274" s="257" t="str">
        <f t="shared" si="34"/>
        <v/>
      </c>
      <c r="F274" s="257" t="str">
        <f t="shared" si="35"/>
        <v/>
      </c>
      <c r="G274" s="257" t="str">
        <f t="shared" si="36"/>
        <v/>
      </c>
      <c r="H274" s="257" t="str">
        <f t="shared" si="37"/>
        <v/>
      </c>
    </row>
    <row r="275" spans="1:8" x14ac:dyDescent="0.25">
      <c r="A275" s="254" t="str">
        <f t="shared" ca="1" si="38"/>
        <v/>
      </c>
      <c r="B275" s="255"/>
      <c r="C275" s="256"/>
      <c r="D275" s="257" t="str">
        <f t="shared" ref="D275:D338" si="39">IF(B275="","",ROUND((B275-B274)*$H$9*G274,2))</f>
        <v/>
      </c>
      <c r="F275" s="257" t="str">
        <f t="shared" ref="F275:F338" si="40">IF(B275="","",IF(C275&gt;F274+D275,0,F274+D275-C275))</f>
        <v/>
      </c>
      <c r="G275" s="257" t="str">
        <f t="shared" ref="G275:G338" si="41">IF(B275="","",IF(C275&gt;D275+F274,G274+F274+D275-C275,G274))</f>
        <v/>
      </c>
      <c r="H275" s="257" t="str">
        <f t="shared" ref="H275:H338" si="42">IF(B275="","",G275+F275)</f>
        <v/>
      </c>
    </row>
    <row r="276" spans="1:8" x14ac:dyDescent="0.25">
      <c r="A276" s="254" t="str">
        <f t="shared" ca="1" si="38"/>
        <v/>
      </c>
      <c r="B276" s="255"/>
      <c r="C276" s="256"/>
      <c r="D276" s="257" t="str">
        <f t="shared" si="39"/>
        <v/>
      </c>
      <c r="F276" s="257" t="str">
        <f t="shared" si="40"/>
        <v/>
      </c>
      <c r="G276" s="257" t="str">
        <f t="shared" si="41"/>
        <v/>
      </c>
      <c r="H276" s="257" t="str">
        <f t="shared" si="42"/>
        <v/>
      </c>
    </row>
    <row r="277" spans="1:8" x14ac:dyDescent="0.25">
      <c r="A277" s="254" t="str">
        <f t="shared" ca="1" si="38"/>
        <v/>
      </c>
      <c r="B277" s="255"/>
      <c r="C277" s="256"/>
      <c r="D277" s="257" t="str">
        <f t="shared" si="39"/>
        <v/>
      </c>
      <c r="F277" s="257" t="str">
        <f t="shared" si="40"/>
        <v/>
      </c>
      <c r="G277" s="257" t="str">
        <f t="shared" si="41"/>
        <v/>
      </c>
      <c r="H277" s="257" t="str">
        <f t="shared" si="42"/>
        <v/>
      </c>
    </row>
    <row r="278" spans="1:8" x14ac:dyDescent="0.25">
      <c r="A278" s="254" t="str">
        <f t="shared" ca="1" si="38"/>
        <v/>
      </c>
      <c r="B278" s="255"/>
      <c r="C278" s="256"/>
      <c r="D278" s="257" t="str">
        <f t="shared" si="39"/>
        <v/>
      </c>
      <c r="F278" s="257" t="str">
        <f t="shared" si="40"/>
        <v/>
      </c>
      <c r="G278" s="257" t="str">
        <f t="shared" si="41"/>
        <v/>
      </c>
      <c r="H278" s="257" t="str">
        <f t="shared" si="42"/>
        <v/>
      </c>
    </row>
    <row r="279" spans="1:8" x14ac:dyDescent="0.25">
      <c r="A279" s="254" t="str">
        <f t="shared" ca="1" si="38"/>
        <v/>
      </c>
      <c r="B279" s="255"/>
      <c r="C279" s="256"/>
      <c r="D279" s="257" t="str">
        <f t="shared" si="39"/>
        <v/>
      </c>
      <c r="F279" s="257" t="str">
        <f t="shared" si="40"/>
        <v/>
      </c>
      <c r="G279" s="257" t="str">
        <f t="shared" si="41"/>
        <v/>
      </c>
      <c r="H279" s="257" t="str">
        <f t="shared" si="42"/>
        <v/>
      </c>
    </row>
    <row r="280" spans="1:8" x14ac:dyDescent="0.25">
      <c r="A280" s="254" t="str">
        <f t="shared" ca="1" si="38"/>
        <v/>
      </c>
      <c r="B280" s="255"/>
      <c r="C280" s="256"/>
      <c r="D280" s="257" t="str">
        <f t="shared" si="39"/>
        <v/>
      </c>
      <c r="F280" s="257" t="str">
        <f t="shared" si="40"/>
        <v/>
      </c>
      <c r="G280" s="257" t="str">
        <f t="shared" si="41"/>
        <v/>
      </c>
      <c r="H280" s="257" t="str">
        <f t="shared" si="42"/>
        <v/>
      </c>
    </row>
    <row r="281" spans="1:8" x14ac:dyDescent="0.25">
      <c r="A281" s="254" t="str">
        <f t="shared" ca="1" si="38"/>
        <v/>
      </c>
      <c r="B281" s="255"/>
      <c r="C281" s="256"/>
      <c r="D281" s="257" t="str">
        <f t="shared" si="39"/>
        <v/>
      </c>
      <c r="F281" s="257" t="str">
        <f t="shared" si="40"/>
        <v/>
      </c>
      <c r="G281" s="257" t="str">
        <f t="shared" si="41"/>
        <v/>
      </c>
      <c r="H281" s="257" t="str">
        <f t="shared" si="42"/>
        <v/>
      </c>
    </row>
    <row r="282" spans="1:8" x14ac:dyDescent="0.25">
      <c r="A282" s="254" t="str">
        <f t="shared" ca="1" si="38"/>
        <v/>
      </c>
      <c r="B282" s="255"/>
      <c r="C282" s="256"/>
      <c r="D282" s="257" t="str">
        <f t="shared" si="39"/>
        <v/>
      </c>
      <c r="F282" s="257" t="str">
        <f t="shared" si="40"/>
        <v/>
      </c>
      <c r="G282" s="257" t="str">
        <f t="shared" si="41"/>
        <v/>
      </c>
      <c r="H282" s="257" t="str">
        <f t="shared" si="42"/>
        <v/>
      </c>
    </row>
    <row r="283" spans="1:8" x14ac:dyDescent="0.25">
      <c r="A283" s="254" t="str">
        <f t="shared" ca="1" si="38"/>
        <v/>
      </c>
      <c r="B283" s="255"/>
      <c r="C283" s="256"/>
      <c r="D283" s="257" t="str">
        <f t="shared" si="39"/>
        <v/>
      </c>
      <c r="F283" s="257" t="str">
        <f t="shared" si="40"/>
        <v/>
      </c>
      <c r="G283" s="257" t="str">
        <f t="shared" si="41"/>
        <v/>
      </c>
      <c r="H283" s="257" t="str">
        <f t="shared" si="42"/>
        <v/>
      </c>
    </row>
    <row r="284" spans="1:8" x14ac:dyDescent="0.25">
      <c r="A284" s="254" t="str">
        <f t="shared" ca="1" si="38"/>
        <v/>
      </c>
      <c r="B284" s="255"/>
      <c r="C284" s="256"/>
      <c r="D284" s="257" t="str">
        <f t="shared" si="39"/>
        <v/>
      </c>
      <c r="F284" s="257" t="str">
        <f t="shared" si="40"/>
        <v/>
      </c>
      <c r="G284" s="257" t="str">
        <f t="shared" si="41"/>
        <v/>
      </c>
      <c r="H284" s="257" t="str">
        <f t="shared" si="42"/>
        <v/>
      </c>
    </row>
    <row r="285" spans="1:8" x14ac:dyDescent="0.25">
      <c r="A285" s="254" t="str">
        <f t="shared" ca="1" si="38"/>
        <v/>
      </c>
      <c r="B285" s="255"/>
      <c r="C285" s="256"/>
      <c r="D285" s="257" t="str">
        <f t="shared" si="39"/>
        <v/>
      </c>
      <c r="F285" s="257" t="str">
        <f t="shared" si="40"/>
        <v/>
      </c>
      <c r="G285" s="257" t="str">
        <f t="shared" si="41"/>
        <v/>
      </c>
      <c r="H285" s="257" t="str">
        <f t="shared" si="42"/>
        <v/>
      </c>
    </row>
    <row r="286" spans="1:8" x14ac:dyDescent="0.25">
      <c r="A286" s="254" t="str">
        <f t="shared" ca="1" si="38"/>
        <v/>
      </c>
      <c r="B286" s="255"/>
      <c r="C286" s="256"/>
      <c r="D286" s="257" t="str">
        <f t="shared" si="39"/>
        <v/>
      </c>
      <c r="F286" s="257" t="str">
        <f t="shared" si="40"/>
        <v/>
      </c>
      <c r="G286" s="257" t="str">
        <f t="shared" si="41"/>
        <v/>
      </c>
      <c r="H286" s="257" t="str">
        <f t="shared" si="42"/>
        <v/>
      </c>
    </row>
    <row r="287" spans="1:8" x14ac:dyDescent="0.25">
      <c r="A287" s="254" t="str">
        <f t="shared" ca="1" si="38"/>
        <v/>
      </c>
      <c r="B287" s="255"/>
      <c r="C287" s="256"/>
      <c r="D287" s="257" t="str">
        <f t="shared" si="39"/>
        <v/>
      </c>
      <c r="F287" s="257" t="str">
        <f t="shared" si="40"/>
        <v/>
      </c>
      <c r="G287" s="257" t="str">
        <f t="shared" si="41"/>
        <v/>
      </c>
      <c r="H287" s="257" t="str">
        <f t="shared" si="42"/>
        <v/>
      </c>
    </row>
    <row r="288" spans="1:8" x14ac:dyDescent="0.25">
      <c r="A288" s="254" t="str">
        <f t="shared" ca="1" si="38"/>
        <v/>
      </c>
      <c r="B288" s="255"/>
      <c r="C288" s="256"/>
      <c r="D288" s="257" t="str">
        <f t="shared" si="39"/>
        <v/>
      </c>
      <c r="F288" s="257" t="str">
        <f t="shared" si="40"/>
        <v/>
      </c>
      <c r="G288" s="257" t="str">
        <f t="shared" si="41"/>
        <v/>
      </c>
      <c r="H288" s="257" t="str">
        <f t="shared" si="42"/>
        <v/>
      </c>
    </row>
    <row r="289" spans="1:8" x14ac:dyDescent="0.25">
      <c r="A289" s="254" t="str">
        <f t="shared" ca="1" si="38"/>
        <v/>
      </c>
      <c r="B289" s="255"/>
      <c r="C289" s="256"/>
      <c r="D289" s="257" t="str">
        <f t="shared" si="39"/>
        <v/>
      </c>
      <c r="F289" s="257" t="str">
        <f t="shared" si="40"/>
        <v/>
      </c>
      <c r="G289" s="257" t="str">
        <f t="shared" si="41"/>
        <v/>
      </c>
      <c r="H289" s="257" t="str">
        <f t="shared" si="42"/>
        <v/>
      </c>
    </row>
    <row r="290" spans="1:8" x14ac:dyDescent="0.25">
      <c r="A290" s="254" t="str">
        <f t="shared" ca="1" si="38"/>
        <v/>
      </c>
      <c r="B290" s="255"/>
      <c r="C290" s="256"/>
      <c r="D290" s="257" t="str">
        <f t="shared" si="39"/>
        <v/>
      </c>
      <c r="F290" s="257" t="str">
        <f t="shared" si="40"/>
        <v/>
      </c>
      <c r="G290" s="257" t="str">
        <f t="shared" si="41"/>
        <v/>
      </c>
      <c r="H290" s="257" t="str">
        <f t="shared" si="42"/>
        <v/>
      </c>
    </row>
    <row r="291" spans="1:8" x14ac:dyDescent="0.25">
      <c r="A291" s="254" t="str">
        <f t="shared" ca="1" si="38"/>
        <v/>
      </c>
      <c r="B291" s="255"/>
      <c r="C291" s="256"/>
      <c r="D291" s="257" t="str">
        <f t="shared" si="39"/>
        <v/>
      </c>
      <c r="F291" s="257" t="str">
        <f t="shared" si="40"/>
        <v/>
      </c>
      <c r="G291" s="257" t="str">
        <f t="shared" si="41"/>
        <v/>
      </c>
      <c r="H291" s="257" t="str">
        <f t="shared" si="42"/>
        <v/>
      </c>
    </row>
    <row r="292" spans="1:8" x14ac:dyDescent="0.25">
      <c r="A292" s="254" t="str">
        <f t="shared" ca="1" si="38"/>
        <v/>
      </c>
      <c r="B292" s="255"/>
      <c r="C292" s="256"/>
      <c r="D292" s="257" t="str">
        <f t="shared" si="39"/>
        <v/>
      </c>
      <c r="F292" s="257" t="str">
        <f t="shared" si="40"/>
        <v/>
      </c>
      <c r="G292" s="257" t="str">
        <f t="shared" si="41"/>
        <v/>
      </c>
      <c r="H292" s="257" t="str">
        <f t="shared" si="42"/>
        <v/>
      </c>
    </row>
    <row r="293" spans="1:8" x14ac:dyDescent="0.25">
      <c r="A293" s="254" t="str">
        <f t="shared" ca="1" si="38"/>
        <v/>
      </c>
      <c r="B293" s="255"/>
      <c r="C293" s="256"/>
      <c r="D293" s="257" t="str">
        <f t="shared" si="39"/>
        <v/>
      </c>
      <c r="F293" s="257" t="str">
        <f t="shared" si="40"/>
        <v/>
      </c>
      <c r="G293" s="257" t="str">
        <f t="shared" si="41"/>
        <v/>
      </c>
      <c r="H293" s="257" t="str">
        <f t="shared" si="42"/>
        <v/>
      </c>
    </row>
    <row r="294" spans="1:8" x14ac:dyDescent="0.25">
      <c r="A294" s="254" t="str">
        <f t="shared" ca="1" si="38"/>
        <v/>
      </c>
      <c r="B294" s="255"/>
      <c r="C294" s="256"/>
      <c r="D294" s="257" t="str">
        <f t="shared" si="39"/>
        <v/>
      </c>
      <c r="F294" s="257" t="str">
        <f t="shared" si="40"/>
        <v/>
      </c>
      <c r="G294" s="257" t="str">
        <f t="shared" si="41"/>
        <v/>
      </c>
      <c r="H294" s="257" t="str">
        <f t="shared" si="42"/>
        <v/>
      </c>
    </row>
    <row r="295" spans="1:8" x14ac:dyDescent="0.25">
      <c r="A295" s="254" t="str">
        <f t="shared" ca="1" si="38"/>
        <v/>
      </c>
      <c r="B295" s="255"/>
      <c r="C295" s="256"/>
      <c r="D295" s="257" t="str">
        <f t="shared" si="39"/>
        <v/>
      </c>
      <c r="F295" s="257" t="str">
        <f t="shared" si="40"/>
        <v/>
      </c>
      <c r="G295" s="257" t="str">
        <f t="shared" si="41"/>
        <v/>
      </c>
      <c r="H295" s="257" t="str">
        <f t="shared" si="42"/>
        <v/>
      </c>
    </row>
    <row r="296" spans="1:8" x14ac:dyDescent="0.25">
      <c r="A296" s="254" t="str">
        <f t="shared" ca="1" si="38"/>
        <v/>
      </c>
      <c r="B296" s="255"/>
      <c r="C296" s="256"/>
      <c r="D296" s="257" t="str">
        <f t="shared" si="39"/>
        <v/>
      </c>
      <c r="F296" s="257" t="str">
        <f t="shared" si="40"/>
        <v/>
      </c>
      <c r="G296" s="257" t="str">
        <f t="shared" si="41"/>
        <v/>
      </c>
      <c r="H296" s="257" t="str">
        <f t="shared" si="42"/>
        <v/>
      </c>
    </row>
    <row r="297" spans="1:8" x14ac:dyDescent="0.25">
      <c r="A297" s="254" t="str">
        <f t="shared" ref="A297:A360" ca="1" si="43">IF(OR(H296&lt;=0,H296=""),"",OFFSET(A297,-1,0,1,1)+1)</f>
        <v/>
      </c>
      <c r="B297" s="255"/>
      <c r="C297" s="256"/>
      <c r="D297" s="257" t="str">
        <f t="shared" si="39"/>
        <v/>
      </c>
      <c r="F297" s="257" t="str">
        <f t="shared" si="40"/>
        <v/>
      </c>
      <c r="G297" s="257" t="str">
        <f t="shared" si="41"/>
        <v/>
      </c>
      <c r="H297" s="257" t="str">
        <f t="shared" si="42"/>
        <v/>
      </c>
    </row>
    <row r="298" spans="1:8" x14ac:dyDescent="0.25">
      <c r="A298" s="254" t="str">
        <f t="shared" ca="1" si="43"/>
        <v/>
      </c>
      <c r="B298" s="255"/>
      <c r="C298" s="256"/>
      <c r="D298" s="257" t="str">
        <f t="shared" si="39"/>
        <v/>
      </c>
      <c r="F298" s="257" t="str">
        <f t="shared" si="40"/>
        <v/>
      </c>
      <c r="G298" s="257" t="str">
        <f t="shared" si="41"/>
        <v/>
      </c>
      <c r="H298" s="257" t="str">
        <f t="shared" si="42"/>
        <v/>
      </c>
    </row>
    <row r="299" spans="1:8" x14ac:dyDescent="0.25">
      <c r="A299" s="254" t="str">
        <f t="shared" ca="1" si="43"/>
        <v/>
      </c>
      <c r="B299" s="255"/>
      <c r="C299" s="256"/>
      <c r="D299" s="257" t="str">
        <f t="shared" si="39"/>
        <v/>
      </c>
      <c r="F299" s="257" t="str">
        <f t="shared" si="40"/>
        <v/>
      </c>
      <c r="G299" s="257" t="str">
        <f t="shared" si="41"/>
        <v/>
      </c>
      <c r="H299" s="257" t="str">
        <f t="shared" si="42"/>
        <v/>
      </c>
    </row>
    <row r="300" spans="1:8" x14ac:dyDescent="0.25">
      <c r="A300" s="254" t="str">
        <f t="shared" ca="1" si="43"/>
        <v/>
      </c>
      <c r="B300" s="255"/>
      <c r="C300" s="256"/>
      <c r="D300" s="257" t="str">
        <f t="shared" si="39"/>
        <v/>
      </c>
      <c r="F300" s="257" t="str">
        <f t="shared" si="40"/>
        <v/>
      </c>
      <c r="G300" s="257" t="str">
        <f t="shared" si="41"/>
        <v/>
      </c>
      <c r="H300" s="257" t="str">
        <f t="shared" si="42"/>
        <v/>
      </c>
    </row>
    <row r="301" spans="1:8" x14ac:dyDescent="0.25">
      <c r="A301" s="254" t="str">
        <f t="shared" ca="1" si="43"/>
        <v/>
      </c>
      <c r="B301" s="255"/>
      <c r="C301" s="256"/>
      <c r="D301" s="257" t="str">
        <f t="shared" si="39"/>
        <v/>
      </c>
      <c r="F301" s="257" t="str">
        <f t="shared" si="40"/>
        <v/>
      </c>
      <c r="G301" s="257" t="str">
        <f t="shared" si="41"/>
        <v/>
      </c>
      <c r="H301" s="257" t="str">
        <f t="shared" si="42"/>
        <v/>
      </c>
    </row>
    <row r="302" spans="1:8" x14ac:dyDescent="0.25">
      <c r="A302" s="254" t="str">
        <f t="shared" ca="1" si="43"/>
        <v/>
      </c>
      <c r="B302" s="255"/>
      <c r="C302" s="256"/>
      <c r="D302" s="257" t="str">
        <f t="shared" si="39"/>
        <v/>
      </c>
      <c r="F302" s="257" t="str">
        <f t="shared" si="40"/>
        <v/>
      </c>
      <c r="G302" s="257" t="str">
        <f t="shared" si="41"/>
        <v/>
      </c>
      <c r="H302" s="257" t="str">
        <f t="shared" si="42"/>
        <v/>
      </c>
    </row>
    <row r="303" spans="1:8" x14ac:dyDescent="0.25">
      <c r="A303" s="254" t="str">
        <f t="shared" ca="1" si="43"/>
        <v/>
      </c>
      <c r="B303" s="255"/>
      <c r="C303" s="256"/>
      <c r="D303" s="257" t="str">
        <f t="shared" si="39"/>
        <v/>
      </c>
      <c r="F303" s="257" t="str">
        <f t="shared" si="40"/>
        <v/>
      </c>
      <c r="G303" s="257" t="str">
        <f t="shared" si="41"/>
        <v/>
      </c>
      <c r="H303" s="257" t="str">
        <f t="shared" si="42"/>
        <v/>
      </c>
    </row>
    <row r="304" spans="1:8" x14ac:dyDescent="0.25">
      <c r="A304" s="254" t="str">
        <f t="shared" ca="1" si="43"/>
        <v/>
      </c>
      <c r="B304" s="255"/>
      <c r="C304" s="256"/>
      <c r="D304" s="257" t="str">
        <f t="shared" si="39"/>
        <v/>
      </c>
      <c r="F304" s="257" t="str">
        <f t="shared" si="40"/>
        <v/>
      </c>
      <c r="G304" s="257" t="str">
        <f t="shared" si="41"/>
        <v/>
      </c>
      <c r="H304" s="257" t="str">
        <f t="shared" si="42"/>
        <v/>
      </c>
    </row>
    <row r="305" spans="1:8" x14ac:dyDescent="0.25">
      <c r="A305" s="254" t="str">
        <f t="shared" ca="1" si="43"/>
        <v/>
      </c>
      <c r="B305" s="255"/>
      <c r="C305" s="256"/>
      <c r="D305" s="257" t="str">
        <f t="shared" si="39"/>
        <v/>
      </c>
      <c r="F305" s="257" t="str">
        <f t="shared" si="40"/>
        <v/>
      </c>
      <c r="G305" s="257" t="str">
        <f t="shared" si="41"/>
        <v/>
      </c>
      <c r="H305" s="257" t="str">
        <f t="shared" si="42"/>
        <v/>
      </c>
    </row>
    <row r="306" spans="1:8" x14ac:dyDescent="0.25">
      <c r="A306" s="254" t="str">
        <f t="shared" ca="1" si="43"/>
        <v/>
      </c>
      <c r="B306" s="255"/>
      <c r="C306" s="256"/>
      <c r="D306" s="257" t="str">
        <f t="shared" si="39"/>
        <v/>
      </c>
      <c r="F306" s="257" t="str">
        <f t="shared" si="40"/>
        <v/>
      </c>
      <c r="G306" s="257" t="str">
        <f t="shared" si="41"/>
        <v/>
      </c>
      <c r="H306" s="257" t="str">
        <f t="shared" si="42"/>
        <v/>
      </c>
    </row>
    <row r="307" spans="1:8" x14ac:dyDescent="0.25">
      <c r="A307" s="254" t="str">
        <f t="shared" ca="1" si="43"/>
        <v/>
      </c>
      <c r="B307" s="255"/>
      <c r="C307" s="256"/>
      <c r="D307" s="257" t="str">
        <f t="shared" si="39"/>
        <v/>
      </c>
      <c r="F307" s="257" t="str">
        <f t="shared" si="40"/>
        <v/>
      </c>
      <c r="G307" s="257" t="str">
        <f t="shared" si="41"/>
        <v/>
      </c>
      <c r="H307" s="257" t="str">
        <f t="shared" si="42"/>
        <v/>
      </c>
    </row>
    <row r="308" spans="1:8" x14ac:dyDescent="0.25">
      <c r="A308" s="254" t="str">
        <f t="shared" ca="1" si="43"/>
        <v/>
      </c>
      <c r="B308" s="255"/>
      <c r="C308" s="256"/>
      <c r="D308" s="257" t="str">
        <f t="shared" si="39"/>
        <v/>
      </c>
      <c r="F308" s="257" t="str">
        <f t="shared" si="40"/>
        <v/>
      </c>
      <c r="G308" s="257" t="str">
        <f t="shared" si="41"/>
        <v/>
      </c>
      <c r="H308" s="257" t="str">
        <f t="shared" si="42"/>
        <v/>
      </c>
    </row>
    <row r="309" spans="1:8" x14ac:dyDescent="0.25">
      <c r="A309" s="254" t="str">
        <f t="shared" ca="1" si="43"/>
        <v/>
      </c>
      <c r="B309" s="255"/>
      <c r="C309" s="256"/>
      <c r="D309" s="257" t="str">
        <f t="shared" si="39"/>
        <v/>
      </c>
      <c r="F309" s="257" t="str">
        <f t="shared" si="40"/>
        <v/>
      </c>
      <c r="G309" s="257" t="str">
        <f t="shared" si="41"/>
        <v/>
      </c>
      <c r="H309" s="257" t="str">
        <f t="shared" si="42"/>
        <v/>
      </c>
    </row>
    <row r="310" spans="1:8" x14ac:dyDescent="0.25">
      <c r="A310" s="254" t="str">
        <f t="shared" ca="1" si="43"/>
        <v/>
      </c>
      <c r="B310" s="255"/>
      <c r="C310" s="256"/>
      <c r="D310" s="257" t="str">
        <f t="shared" si="39"/>
        <v/>
      </c>
      <c r="F310" s="257" t="str">
        <f t="shared" si="40"/>
        <v/>
      </c>
      <c r="G310" s="257" t="str">
        <f t="shared" si="41"/>
        <v/>
      </c>
      <c r="H310" s="257" t="str">
        <f t="shared" si="42"/>
        <v/>
      </c>
    </row>
    <row r="311" spans="1:8" x14ac:dyDescent="0.25">
      <c r="A311" s="254" t="str">
        <f t="shared" ca="1" si="43"/>
        <v/>
      </c>
      <c r="B311" s="255"/>
      <c r="C311" s="256"/>
      <c r="D311" s="257" t="str">
        <f t="shared" si="39"/>
        <v/>
      </c>
      <c r="F311" s="257" t="str">
        <f t="shared" si="40"/>
        <v/>
      </c>
      <c r="G311" s="257" t="str">
        <f t="shared" si="41"/>
        <v/>
      </c>
      <c r="H311" s="257" t="str">
        <f t="shared" si="42"/>
        <v/>
      </c>
    </row>
    <row r="312" spans="1:8" x14ac:dyDescent="0.25">
      <c r="A312" s="254" t="str">
        <f t="shared" ca="1" si="43"/>
        <v/>
      </c>
      <c r="B312" s="255"/>
      <c r="C312" s="256"/>
      <c r="D312" s="257" t="str">
        <f t="shared" si="39"/>
        <v/>
      </c>
      <c r="F312" s="257" t="str">
        <f t="shared" si="40"/>
        <v/>
      </c>
      <c r="G312" s="257" t="str">
        <f t="shared" si="41"/>
        <v/>
      </c>
      <c r="H312" s="257" t="str">
        <f t="shared" si="42"/>
        <v/>
      </c>
    </row>
    <row r="313" spans="1:8" x14ac:dyDescent="0.25">
      <c r="A313" s="254" t="str">
        <f t="shared" ca="1" si="43"/>
        <v/>
      </c>
      <c r="B313" s="255"/>
      <c r="C313" s="256"/>
      <c r="D313" s="257" t="str">
        <f t="shared" si="39"/>
        <v/>
      </c>
      <c r="F313" s="257" t="str">
        <f t="shared" si="40"/>
        <v/>
      </c>
      <c r="G313" s="257" t="str">
        <f t="shared" si="41"/>
        <v/>
      </c>
      <c r="H313" s="257" t="str">
        <f t="shared" si="42"/>
        <v/>
      </c>
    </row>
    <row r="314" spans="1:8" x14ac:dyDescent="0.25">
      <c r="A314" s="254" t="str">
        <f t="shared" ca="1" si="43"/>
        <v/>
      </c>
      <c r="B314" s="255"/>
      <c r="C314" s="256"/>
      <c r="D314" s="257" t="str">
        <f t="shared" si="39"/>
        <v/>
      </c>
      <c r="F314" s="257" t="str">
        <f t="shared" si="40"/>
        <v/>
      </c>
      <c r="G314" s="257" t="str">
        <f t="shared" si="41"/>
        <v/>
      </c>
      <c r="H314" s="257" t="str">
        <f t="shared" si="42"/>
        <v/>
      </c>
    </row>
    <row r="315" spans="1:8" x14ac:dyDescent="0.25">
      <c r="A315" s="254" t="str">
        <f t="shared" ca="1" si="43"/>
        <v/>
      </c>
      <c r="B315" s="255"/>
      <c r="C315" s="256"/>
      <c r="D315" s="257" t="str">
        <f t="shared" si="39"/>
        <v/>
      </c>
      <c r="F315" s="257" t="str">
        <f t="shared" si="40"/>
        <v/>
      </c>
      <c r="G315" s="257" t="str">
        <f t="shared" si="41"/>
        <v/>
      </c>
      <c r="H315" s="257" t="str">
        <f t="shared" si="42"/>
        <v/>
      </c>
    </row>
    <row r="316" spans="1:8" x14ac:dyDescent="0.25">
      <c r="A316" s="254" t="str">
        <f t="shared" ca="1" si="43"/>
        <v/>
      </c>
      <c r="B316" s="255"/>
      <c r="C316" s="256"/>
      <c r="D316" s="257" t="str">
        <f t="shared" si="39"/>
        <v/>
      </c>
      <c r="F316" s="257" t="str">
        <f t="shared" si="40"/>
        <v/>
      </c>
      <c r="G316" s="257" t="str">
        <f t="shared" si="41"/>
        <v/>
      </c>
      <c r="H316" s="257" t="str">
        <f t="shared" si="42"/>
        <v/>
      </c>
    </row>
    <row r="317" spans="1:8" x14ac:dyDescent="0.25">
      <c r="A317" s="254" t="str">
        <f t="shared" ca="1" si="43"/>
        <v/>
      </c>
      <c r="B317" s="255"/>
      <c r="C317" s="256"/>
      <c r="D317" s="257" t="str">
        <f t="shared" si="39"/>
        <v/>
      </c>
      <c r="F317" s="257" t="str">
        <f t="shared" si="40"/>
        <v/>
      </c>
      <c r="G317" s="257" t="str">
        <f t="shared" si="41"/>
        <v/>
      </c>
      <c r="H317" s="257" t="str">
        <f t="shared" si="42"/>
        <v/>
      </c>
    </row>
    <row r="318" spans="1:8" x14ac:dyDescent="0.25">
      <c r="A318" s="254" t="str">
        <f t="shared" ca="1" si="43"/>
        <v/>
      </c>
      <c r="B318" s="255"/>
      <c r="C318" s="256"/>
      <c r="D318" s="257" t="str">
        <f t="shared" si="39"/>
        <v/>
      </c>
      <c r="F318" s="257" t="str">
        <f t="shared" si="40"/>
        <v/>
      </c>
      <c r="G318" s="257" t="str">
        <f t="shared" si="41"/>
        <v/>
      </c>
      <c r="H318" s="257" t="str">
        <f t="shared" si="42"/>
        <v/>
      </c>
    </row>
    <row r="319" spans="1:8" x14ac:dyDescent="0.25">
      <c r="A319" s="254" t="str">
        <f t="shared" ca="1" si="43"/>
        <v/>
      </c>
      <c r="B319" s="255"/>
      <c r="C319" s="256"/>
      <c r="D319" s="257" t="str">
        <f t="shared" si="39"/>
        <v/>
      </c>
      <c r="F319" s="257" t="str">
        <f t="shared" si="40"/>
        <v/>
      </c>
      <c r="G319" s="257" t="str">
        <f t="shared" si="41"/>
        <v/>
      </c>
      <c r="H319" s="257" t="str">
        <f t="shared" si="42"/>
        <v/>
      </c>
    </row>
    <row r="320" spans="1:8" x14ac:dyDescent="0.25">
      <c r="A320" s="254" t="str">
        <f t="shared" ca="1" si="43"/>
        <v/>
      </c>
      <c r="B320" s="255"/>
      <c r="C320" s="256"/>
      <c r="D320" s="257" t="str">
        <f t="shared" si="39"/>
        <v/>
      </c>
      <c r="F320" s="257" t="str">
        <f t="shared" si="40"/>
        <v/>
      </c>
      <c r="G320" s="257" t="str">
        <f t="shared" si="41"/>
        <v/>
      </c>
      <c r="H320" s="257" t="str">
        <f t="shared" si="42"/>
        <v/>
      </c>
    </row>
    <row r="321" spans="1:8" x14ac:dyDescent="0.25">
      <c r="A321" s="254" t="str">
        <f t="shared" ca="1" si="43"/>
        <v/>
      </c>
      <c r="B321" s="255"/>
      <c r="C321" s="256"/>
      <c r="D321" s="257" t="str">
        <f t="shared" si="39"/>
        <v/>
      </c>
      <c r="F321" s="257" t="str">
        <f t="shared" si="40"/>
        <v/>
      </c>
      <c r="G321" s="257" t="str">
        <f t="shared" si="41"/>
        <v/>
      </c>
      <c r="H321" s="257" t="str">
        <f t="shared" si="42"/>
        <v/>
      </c>
    </row>
    <row r="322" spans="1:8" x14ac:dyDescent="0.25">
      <c r="A322" s="254" t="str">
        <f t="shared" ca="1" si="43"/>
        <v/>
      </c>
      <c r="B322" s="255"/>
      <c r="C322" s="256"/>
      <c r="D322" s="257" t="str">
        <f t="shared" si="39"/>
        <v/>
      </c>
      <c r="F322" s="257" t="str">
        <f t="shared" si="40"/>
        <v/>
      </c>
      <c r="G322" s="257" t="str">
        <f t="shared" si="41"/>
        <v/>
      </c>
      <c r="H322" s="257" t="str">
        <f t="shared" si="42"/>
        <v/>
      </c>
    </row>
    <row r="323" spans="1:8" x14ac:dyDescent="0.25">
      <c r="A323" s="254" t="str">
        <f t="shared" ca="1" si="43"/>
        <v/>
      </c>
      <c r="B323" s="255"/>
      <c r="C323" s="256"/>
      <c r="D323" s="257" t="str">
        <f t="shared" si="39"/>
        <v/>
      </c>
      <c r="F323" s="257" t="str">
        <f t="shared" si="40"/>
        <v/>
      </c>
      <c r="G323" s="257" t="str">
        <f t="shared" si="41"/>
        <v/>
      </c>
      <c r="H323" s="257" t="str">
        <f t="shared" si="42"/>
        <v/>
      </c>
    </row>
    <row r="324" spans="1:8" x14ac:dyDescent="0.25">
      <c r="A324" s="254" t="str">
        <f t="shared" ca="1" si="43"/>
        <v/>
      </c>
      <c r="B324" s="255"/>
      <c r="C324" s="256"/>
      <c r="D324" s="257" t="str">
        <f t="shared" si="39"/>
        <v/>
      </c>
      <c r="F324" s="257" t="str">
        <f t="shared" si="40"/>
        <v/>
      </c>
      <c r="G324" s="257" t="str">
        <f t="shared" si="41"/>
        <v/>
      </c>
      <c r="H324" s="257" t="str">
        <f t="shared" si="42"/>
        <v/>
      </c>
    </row>
    <row r="325" spans="1:8" x14ac:dyDescent="0.25">
      <c r="A325" s="254" t="str">
        <f t="shared" ca="1" si="43"/>
        <v/>
      </c>
      <c r="B325" s="255"/>
      <c r="C325" s="256"/>
      <c r="D325" s="257" t="str">
        <f t="shared" si="39"/>
        <v/>
      </c>
      <c r="F325" s="257" t="str">
        <f t="shared" si="40"/>
        <v/>
      </c>
      <c r="G325" s="257" t="str">
        <f t="shared" si="41"/>
        <v/>
      </c>
      <c r="H325" s="257" t="str">
        <f t="shared" si="42"/>
        <v/>
      </c>
    </row>
    <row r="326" spans="1:8" x14ac:dyDescent="0.25">
      <c r="A326" s="254" t="str">
        <f t="shared" ca="1" si="43"/>
        <v/>
      </c>
      <c r="B326" s="255"/>
      <c r="C326" s="256"/>
      <c r="D326" s="257" t="str">
        <f t="shared" si="39"/>
        <v/>
      </c>
      <c r="F326" s="257" t="str">
        <f t="shared" si="40"/>
        <v/>
      </c>
      <c r="G326" s="257" t="str">
        <f t="shared" si="41"/>
        <v/>
      </c>
      <c r="H326" s="257" t="str">
        <f t="shared" si="42"/>
        <v/>
      </c>
    </row>
    <row r="327" spans="1:8" x14ac:dyDescent="0.25">
      <c r="A327" s="254" t="str">
        <f t="shared" ca="1" si="43"/>
        <v/>
      </c>
      <c r="B327" s="255"/>
      <c r="C327" s="256"/>
      <c r="D327" s="257" t="str">
        <f t="shared" si="39"/>
        <v/>
      </c>
      <c r="F327" s="257" t="str">
        <f t="shared" si="40"/>
        <v/>
      </c>
      <c r="G327" s="257" t="str">
        <f t="shared" si="41"/>
        <v/>
      </c>
      <c r="H327" s="257" t="str">
        <f t="shared" si="42"/>
        <v/>
      </c>
    </row>
    <row r="328" spans="1:8" x14ac:dyDescent="0.25">
      <c r="A328" s="254" t="str">
        <f t="shared" ca="1" si="43"/>
        <v/>
      </c>
      <c r="B328" s="255"/>
      <c r="C328" s="256"/>
      <c r="D328" s="257" t="str">
        <f t="shared" si="39"/>
        <v/>
      </c>
      <c r="F328" s="257" t="str">
        <f t="shared" si="40"/>
        <v/>
      </c>
      <c r="G328" s="257" t="str">
        <f t="shared" si="41"/>
        <v/>
      </c>
      <c r="H328" s="257" t="str">
        <f t="shared" si="42"/>
        <v/>
      </c>
    </row>
    <row r="329" spans="1:8" x14ac:dyDescent="0.25">
      <c r="A329" s="254" t="str">
        <f t="shared" ca="1" si="43"/>
        <v/>
      </c>
      <c r="B329" s="255"/>
      <c r="C329" s="256"/>
      <c r="D329" s="257" t="str">
        <f t="shared" si="39"/>
        <v/>
      </c>
      <c r="F329" s="257" t="str">
        <f t="shared" si="40"/>
        <v/>
      </c>
      <c r="G329" s="257" t="str">
        <f t="shared" si="41"/>
        <v/>
      </c>
      <c r="H329" s="257" t="str">
        <f t="shared" si="42"/>
        <v/>
      </c>
    </row>
    <row r="330" spans="1:8" x14ac:dyDescent="0.25">
      <c r="A330" s="254" t="str">
        <f t="shared" ca="1" si="43"/>
        <v/>
      </c>
      <c r="B330" s="255"/>
      <c r="C330" s="256"/>
      <c r="D330" s="257" t="str">
        <f t="shared" si="39"/>
        <v/>
      </c>
      <c r="F330" s="257" t="str">
        <f t="shared" si="40"/>
        <v/>
      </c>
      <c r="G330" s="257" t="str">
        <f t="shared" si="41"/>
        <v/>
      </c>
      <c r="H330" s="257" t="str">
        <f t="shared" si="42"/>
        <v/>
      </c>
    </row>
    <row r="331" spans="1:8" x14ac:dyDescent="0.25">
      <c r="A331" s="254" t="str">
        <f t="shared" ca="1" si="43"/>
        <v/>
      </c>
      <c r="B331" s="255"/>
      <c r="C331" s="256"/>
      <c r="D331" s="257" t="str">
        <f t="shared" si="39"/>
        <v/>
      </c>
      <c r="F331" s="257" t="str">
        <f t="shared" si="40"/>
        <v/>
      </c>
      <c r="G331" s="257" t="str">
        <f t="shared" si="41"/>
        <v/>
      </c>
      <c r="H331" s="257" t="str">
        <f t="shared" si="42"/>
        <v/>
      </c>
    </row>
    <row r="332" spans="1:8" x14ac:dyDescent="0.25">
      <c r="A332" s="254" t="str">
        <f t="shared" ca="1" si="43"/>
        <v/>
      </c>
      <c r="B332" s="255"/>
      <c r="C332" s="256"/>
      <c r="D332" s="257" t="str">
        <f t="shared" si="39"/>
        <v/>
      </c>
      <c r="F332" s="257" t="str">
        <f t="shared" si="40"/>
        <v/>
      </c>
      <c r="G332" s="257" t="str">
        <f t="shared" si="41"/>
        <v/>
      </c>
      <c r="H332" s="257" t="str">
        <f t="shared" si="42"/>
        <v/>
      </c>
    </row>
    <row r="333" spans="1:8" x14ac:dyDescent="0.25">
      <c r="A333" s="254" t="str">
        <f t="shared" ca="1" si="43"/>
        <v/>
      </c>
      <c r="B333" s="255"/>
      <c r="C333" s="256"/>
      <c r="D333" s="257" t="str">
        <f t="shared" si="39"/>
        <v/>
      </c>
      <c r="F333" s="257" t="str">
        <f t="shared" si="40"/>
        <v/>
      </c>
      <c r="G333" s="257" t="str">
        <f t="shared" si="41"/>
        <v/>
      </c>
      <c r="H333" s="257" t="str">
        <f t="shared" si="42"/>
        <v/>
      </c>
    </row>
    <row r="334" spans="1:8" x14ac:dyDescent="0.25">
      <c r="A334" s="254" t="str">
        <f t="shared" ca="1" si="43"/>
        <v/>
      </c>
      <c r="B334" s="255"/>
      <c r="C334" s="256"/>
      <c r="D334" s="257" t="str">
        <f t="shared" si="39"/>
        <v/>
      </c>
      <c r="F334" s="257" t="str">
        <f t="shared" si="40"/>
        <v/>
      </c>
      <c r="G334" s="257" t="str">
        <f t="shared" si="41"/>
        <v/>
      </c>
      <c r="H334" s="257" t="str">
        <f t="shared" si="42"/>
        <v/>
      </c>
    </row>
    <row r="335" spans="1:8" x14ac:dyDescent="0.25">
      <c r="A335" s="254" t="str">
        <f t="shared" ca="1" si="43"/>
        <v/>
      </c>
      <c r="B335" s="255"/>
      <c r="C335" s="256"/>
      <c r="D335" s="257" t="str">
        <f t="shared" si="39"/>
        <v/>
      </c>
      <c r="F335" s="257" t="str">
        <f t="shared" si="40"/>
        <v/>
      </c>
      <c r="G335" s="257" t="str">
        <f t="shared" si="41"/>
        <v/>
      </c>
      <c r="H335" s="257" t="str">
        <f t="shared" si="42"/>
        <v/>
      </c>
    </row>
    <row r="336" spans="1:8" x14ac:dyDescent="0.25">
      <c r="A336" s="254" t="str">
        <f t="shared" ca="1" si="43"/>
        <v/>
      </c>
      <c r="B336" s="255"/>
      <c r="C336" s="256"/>
      <c r="D336" s="257" t="str">
        <f t="shared" si="39"/>
        <v/>
      </c>
      <c r="F336" s="257" t="str">
        <f t="shared" si="40"/>
        <v/>
      </c>
      <c r="G336" s="257" t="str">
        <f t="shared" si="41"/>
        <v/>
      </c>
      <c r="H336" s="257" t="str">
        <f t="shared" si="42"/>
        <v/>
      </c>
    </row>
    <row r="337" spans="1:8" x14ac:dyDescent="0.25">
      <c r="A337" s="254" t="str">
        <f t="shared" ca="1" si="43"/>
        <v/>
      </c>
      <c r="B337" s="255"/>
      <c r="C337" s="256"/>
      <c r="D337" s="257" t="str">
        <f t="shared" si="39"/>
        <v/>
      </c>
      <c r="F337" s="257" t="str">
        <f t="shared" si="40"/>
        <v/>
      </c>
      <c r="G337" s="257" t="str">
        <f t="shared" si="41"/>
        <v/>
      </c>
      <c r="H337" s="257" t="str">
        <f t="shared" si="42"/>
        <v/>
      </c>
    </row>
    <row r="338" spans="1:8" x14ac:dyDescent="0.25">
      <c r="A338" s="254" t="str">
        <f t="shared" ca="1" si="43"/>
        <v/>
      </c>
      <c r="B338" s="255"/>
      <c r="C338" s="256"/>
      <c r="D338" s="257" t="str">
        <f t="shared" si="39"/>
        <v/>
      </c>
      <c r="F338" s="257" t="str">
        <f t="shared" si="40"/>
        <v/>
      </c>
      <c r="G338" s="257" t="str">
        <f t="shared" si="41"/>
        <v/>
      </c>
      <c r="H338" s="257" t="str">
        <f t="shared" si="42"/>
        <v/>
      </c>
    </row>
    <row r="339" spans="1:8" x14ac:dyDescent="0.25">
      <c r="A339" s="254" t="str">
        <f t="shared" ca="1" si="43"/>
        <v/>
      </c>
      <c r="B339" s="255"/>
      <c r="C339" s="256"/>
      <c r="D339" s="257" t="str">
        <f t="shared" ref="D339:D402" si="44">IF(B339="","",ROUND((B339-B338)*$H$9*G338,2))</f>
        <v/>
      </c>
      <c r="F339" s="257" t="str">
        <f t="shared" ref="F339:F402" si="45">IF(B339="","",IF(C339&gt;F338+D339,0,F338+D339-C339))</f>
        <v/>
      </c>
      <c r="G339" s="257" t="str">
        <f t="shared" ref="G339:G402" si="46">IF(B339="","",IF(C339&gt;D339+F338,G338+F338+D339-C339,G338))</f>
        <v/>
      </c>
      <c r="H339" s="257" t="str">
        <f t="shared" ref="H339:H402" si="47">IF(B339="","",G339+F339)</f>
        <v/>
      </c>
    </row>
    <row r="340" spans="1:8" x14ac:dyDescent="0.25">
      <c r="A340" s="254" t="str">
        <f t="shared" ca="1" si="43"/>
        <v/>
      </c>
      <c r="B340" s="255"/>
      <c r="C340" s="256"/>
      <c r="D340" s="257" t="str">
        <f t="shared" si="44"/>
        <v/>
      </c>
      <c r="F340" s="257" t="str">
        <f t="shared" si="45"/>
        <v/>
      </c>
      <c r="G340" s="257" t="str">
        <f t="shared" si="46"/>
        <v/>
      </c>
      <c r="H340" s="257" t="str">
        <f t="shared" si="47"/>
        <v/>
      </c>
    </row>
    <row r="341" spans="1:8" x14ac:dyDescent="0.25">
      <c r="A341" s="254" t="str">
        <f t="shared" ca="1" si="43"/>
        <v/>
      </c>
      <c r="B341" s="255"/>
      <c r="C341" s="256"/>
      <c r="D341" s="257" t="str">
        <f t="shared" si="44"/>
        <v/>
      </c>
      <c r="F341" s="257" t="str">
        <f t="shared" si="45"/>
        <v/>
      </c>
      <c r="G341" s="257" t="str">
        <f t="shared" si="46"/>
        <v/>
      </c>
      <c r="H341" s="257" t="str">
        <f t="shared" si="47"/>
        <v/>
      </c>
    </row>
    <row r="342" spans="1:8" x14ac:dyDescent="0.25">
      <c r="A342" s="254" t="str">
        <f t="shared" ca="1" si="43"/>
        <v/>
      </c>
      <c r="B342" s="255"/>
      <c r="C342" s="256"/>
      <c r="D342" s="257" t="str">
        <f t="shared" si="44"/>
        <v/>
      </c>
      <c r="F342" s="257" t="str">
        <f t="shared" si="45"/>
        <v/>
      </c>
      <c r="G342" s="257" t="str">
        <f t="shared" si="46"/>
        <v/>
      </c>
      <c r="H342" s="257" t="str">
        <f t="shared" si="47"/>
        <v/>
      </c>
    </row>
    <row r="343" spans="1:8" x14ac:dyDescent="0.25">
      <c r="A343" s="254" t="str">
        <f t="shared" ca="1" si="43"/>
        <v/>
      </c>
      <c r="B343" s="255"/>
      <c r="C343" s="256"/>
      <c r="D343" s="257" t="str">
        <f t="shared" si="44"/>
        <v/>
      </c>
      <c r="F343" s="257" t="str">
        <f t="shared" si="45"/>
        <v/>
      </c>
      <c r="G343" s="257" t="str">
        <f t="shared" si="46"/>
        <v/>
      </c>
      <c r="H343" s="257" t="str">
        <f t="shared" si="47"/>
        <v/>
      </c>
    </row>
    <row r="344" spans="1:8" x14ac:dyDescent="0.25">
      <c r="A344" s="254" t="str">
        <f t="shared" ca="1" si="43"/>
        <v/>
      </c>
      <c r="B344" s="255"/>
      <c r="C344" s="256"/>
      <c r="D344" s="257" t="str">
        <f t="shared" si="44"/>
        <v/>
      </c>
      <c r="F344" s="257" t="str">
        <f t="shared" si="45"/>
        <v/>
      </c>
      <c r="G344" s="257" t="str">
        <f t="shared" si="46"/>
        <v/>
      </c>
      <c r="H344" s="257" t="str">
        <f t="shared" si="47"/>
        <v/>
      </c>
    </row>
    <row r="345" spans="1:8" x14ac:dyDescent="0.25">
      <c r="A345" s="254" t="str">
        <f t="shared" ca="1" si="43"/>
        <v/>
      </c>
      <c r="B345" s="255"/>
      <c r="C345" s="256"/>
      <c r="D345" s="257" t="str">
        <f t="shared" si="44"/>
        <v/>
      </c>
      <c r="F345" s="257" t="str">
        <f t="shared" si="45"/>
        <v/>
      </c>
      <c r="G345" s="257" t="str">
        <f t="shared" si="46"/>
        <v/>
      </c>
      <c r="H345" s="257" t="str">
        <f t="shared" si="47"/>
        <v/>
      </c>
    </row>
    <row r="346" spans="1:8" x14ac:dyDescent="0.25">
      <c r="A346" s="254" t="str">
        <f t="shared" ca="1" si="43"/>
        <v/>
      </c>
      <c r="B346" s="255"/>
      <c r="C346" s="256"/>
      <c r="D346" s="257" t="str">
        <f t="shared" si="44"/>
        <v/>
      </c>
      <c r="F346" s="257" t="str">
        <f t="shared" si="45"/>
        <v/>
      </c>
      <c r="G346" s="257" t="str">
        <f t="shared" si="46"/>
        <v/>
      </c>
      <c r="H346" s="257" t="str">
        <f t="shared" si="47"/>
        <v/>
      </c>
    </row>
    <row r="347" spans="1:8" x14ac:dyDescent="0.25">
      <c r="A347" s="254" t="str">
        <f t="shared" ca="1" si="43"/>
        <v/>
      </c>
      <c r="B347" s="255"/>
      <c r="C347" s="256"/>
      <c r="D347" s="257" t="str">
        <f t="shared" si="44"/>
        <v/>
      </c>
      <c r="F347" s="257" t="str">
        <f t="shared" si="45"/>
        <v/>
      </c>
      <c r="G347" s="257" t="str">
        <f t="shared" si="46"/>
        <v/>
      </c>
      <c r="H347" s="257" t="str">
        <f t="shared" si="47"/>
        <v/>
      </c>
    </row>
    <row r="348" spans="1:8" x14ac:dyDescent="0.25">
      <c r="A348" s="254" t="str">
        <f t="shared" ca="1" si="43"/>
        <v/>
      </c>
      <c r="B348" s="255"/>
      <c r="C348" s="256"/>
      <c r="D348" s="257" t="str">
        <f t="shared" si="44"/>
        <v/>
      </c>
      <c r="F348" s="257" t="str">
        <f t="shared" si="45"/>
        <v/>
      </c>
      <c r="G348" s="257" t="str">
        <f t="shared" si="46"/>
        <v/>
      </c>
      <c r="H348" s="257" t="str">
        <f t="shared" si="47"/>
        <v/>
      </c>
    </row>
    <row r="349" spans="1:8" x14ac:dyDescent="0.25">
      <c r="A349" s="254" t="str">
        <f t="shared" ca="1" si="43"/>
        <v/>
      </c>
      <c r="B349" s="255"/>
      <c r="C349" s="256"/>
      <c r="D349" s="257" t="str">
        <f t="shared" si="44"/>
        <v/>
      </c>
      <c r="F349" s="257" t="str">
        <f t="shared" si="45"/>
        <v/>
      </c>
      <c r="G349" s="257" t="str">
        <f t="shared" si="46"/>
        <v/>
      </c>
      <c r="H349" s="257" t="str">
        <f t="shared" si="47"/>
        <v/>
      </c>
    </row>
    <row r="350" spans="1:8" x14ac:dyDescent="0.25">
      <c r="A350" s="254" t="str">
        <f t="shared" ca="1" si="43"/>
        <v/>
      </c>
      <c r="B350" s="255"/>
      <c r="C350" s="256"/>
      <c r="D350" s="257" t="str">
        <f t="shared" si="44"/>
        <v/>
      </c>
      <c r="F350" s="257" t="str">
        <f t="shared" si="45"/>
        <v/>
      </c>
      <c r="G350" s="257" t="str">
        <f t="shared" si="46"/>
        <v/>
      </c>
      <c r="H350" s="257" t="str">
        <f t="shared" si="47"/>
        <v/>
      </c>
    </row>
    <row r="351" spans="1:8" x14ac:dyDescent="0.25">
      <c r="A351" s="254" t="str">
        <f t="shared" ca="1" si="43"/>
        <v/>
      </c>
      <c r="B351" s="255"/>
      <c r="C351" s="256"/>
      <c r="D351" s="257" t="str">
        <f t="shared" si="44"/>
        <v/>
      </c>
      <c r="F351" s="257" t="str">
        <f t="shared" si="45"/>
        <v/>
      </c>
      <c r="G351" s="257" t="str">
        <f t="shared" si="46"/>
        <v/>
      </c>
      <c r="H351" s="257" t="str">
        <f t="shared" si="47"/>
        <v/>
      </c>
    </row>
    <row r="352" spans="1:8" x14ac:dyDescent="0.25">
      <c r="A352" s="254" t="str">
        <f t="shared" ca="1" si="43"/>
        <v/>
      </c>
      <c r="B352" s="255"/>
      <c r="C352" s="256"/>
      <c r="D352" s="257" t="str">
        <f t="shared" si="44"/>
        <v/>
      </c>
      <c r="F352" s="257" t="str">
        <f t="shared" si="45"/>
        <v/>
      </c>
      <c r="G352" s="257" t="str">
        <f t="shared" si="46"/>
        <v/>
      </c>
      <c r="H352" s="257" t="str">
        <f t="shared" si="47"/>
        <v/>
      </c>
    </row>
    <row r="353" spans="1:8" x14ac:dyDescent="0.25">
      <c r="A353" s="254" t="str">
        <f t="shared" ca="1" si="43"/>
        <v/>
      </c>
      <c r="B353" s="255"/>
      <c r="C353" s="256"/>
      <c r="D353" s="257" t="str">
        <f t="shared" si="44"/>
        <v/>
      </c>
      <c r="F353" s="257" t="str">
        <f t="shared" si="45"/>
        <v/>
      </c>
      <c r="G353" s="257" t="str">
        <f t="shared" si="46"/>
        <v/>
      </c>
      <c r="H353" s="257" t="str">
        <f t="shared" si="47"/>
        <v/>
      </c>
    </row>
    <row r="354" spans="1:8" x14ac:dyDescent="0.25">
      <c r="A354" s="254" t="str">
        <f t="shared" ca="1" si="43"/>
        <v/>
      </c>
      <c r="B354" s="255"/>
      <c r="C354" s="256"/>
      <c r="D354" s="257" t="str">
        <f t="shared" si="44"/>
        <v/>
      </c>
      <c r="F354" s="257" t="str">
        <f t="shared" si="45"/>
        <v/>
      </c>
      <c r="G354" s="257" t="str">
        <f t="shared" si="46"/>
        <v/>
      </c>
      <c r="H354" s="257" t="str">
        <f t="shared" si="47"/>
        <v/>
      </c>
    </row>
    <row r="355" spans="1:8" x14ac:dyDescent="0.25">
      <c r="A355" s="254" t="str">
        <f t="shared" ca="1" si="43"/>
        <v/>
      </c>
      <c r="B355" s="255"/>
      <c r="C355" s="256"/>
      <c r="D355" s="257" t="str">
        <f t="shared" si="44"/>
        <v/>
      </c>
      <c r="F355" s="257" t="str">
        <f t="shared" si="45"/>
        <v/>
      </c>
      <c r="G355" s="257" t="str">
        <f t="shared" si="46"/>
        <v/>
      </c>
      <c r="H355" s="257" t="str">
        <f t="shared" si="47"/>
        <v/>
      </c>
    </row>
    <row r="356" spans="1:8" x14ac:dyDescent="0.25">
      <c r="A356" s="254" t="str">
        <f t="shared" ca="1" si="43"/>
        <v/>
      </c>
      <c r="B356" s="255"/>
      <c r="C356" s="256"/>
      <c r="D356" s="257" t="str">
        <f t="shared" si="44"/>
        <v/>
      </c>
      <c r="F356" s="257" t="str">
        <f t="shared" si="45"/>
        <v/>
      </c>
      <c r="G356" s="257" t="str">
        <f t="shared" si="46"/>
        <v/>
      </c>
      <c r="H356" s="257" t="str">
        <f t="shared" si="47"/>
        <v/>
      </c>
    </row>
    <row r="357" spans="1:8" x14ac:dyDescent="0.25">
      <c r="A357" s="254" t="str">
        <f t="shared" ca="1" si="43"/>
        <v/>
      </c>
      <c r="B357" s="255"/>
      <c r="C357" s="256"/>
      <c r="D357" s="257" t="str">
        <f t="shared" si="44"/>
        <v/>
      </c>
      <c r="F357" s="257" t="str">
        <f t="shared" si="45"/>
        <v/>
      </c>
      <c r="G357" s="257" t="str">
        <f t="shared" si="46"/>
        <v/>
      </c>
      <c r="H357" s="257" t="str">
        <f t="shared" si="47"/>
        <v/>
      </c>
    </row>
    <row r="358" spans="1:8" x14ac:dyDescent="0.25">
      <c r="A358" s="254" t="str">
        <f t="shared" ca="1" si="43"/>
        <v/>
      </c>
      <c r="B358" s="255"/>
      <c r="C358" s="256"/>
      <c r="D358" s="257" t="str">
        <f t="shared" si="44"/>
        <v/>
      </c>
      <c r="F358" s="257" t="str">
        <f t="shared" si="45"/>
        <v/>
      </c>
      <c r="G358" s="257" t="str">
        <f t="shared" si="46"/>
        <v/>
      </c>
      <c r="H358" s="257" t="str">
        <f t="shared" si="47"/>
        <v/>
      </c>
    </row>
    <row r="359" spans="1:8" x14ac:dyDescent="0.25">
      <c r="A359" s="254" t="str">
        <f t="shared" ca="1" si="43"/>
        <v/>
      </c>
      <c r="B359" s="255"/>
      <c r="C359" s="256"/>
      <c r="D359" s="257" t="str">
        <f t="shared" si="44"/>
        <v/>
      </c>
      <c r="F359" s="257" t="str">
        <f t="shared" si="45"/>
        <v/>
      </c>
      <c r="G359" s="257" t="str">
        <f t="shared" si="46"/>
        <v/>
      </c>
      <c r="H359" s="257" t="str">
        <f t="shared" si="47"/>
        <v/>
      </c>
    </row>
    <row r="360" spans="1:8" x14ac:dyDescent="0.25">
      <c r="A360" s="254" t="str">
        <f t="shared" ca="1" si="43"/>
        <v/>
      </c>
      <c r="B360" s="255"/>
      <c r="C360" s="256"/>
      <c r="D360" s="257" t="str">
        <f t="shared" si="44"/>
        <v/>
      </c>
      <c r="F360" s="257" t="str">
        <f t="shared" si="45"/>
        <v/>
      </c>
      <c r="G360" s="257" t="str">
        <f t="shared" si="46"/>
        <v/>
      </c>
      <c r="H360" s="257" t="str">
        <f t="shared" si="47"/>
        <v/>
      </c>
    </row>
    <row r="361" spans="1:8" x14ac:dyDescent="0.25">
      <c r="A361" s="254" t="str">
        <f t="shared" ref="A361:A424" ca="1" si="48">IF(OR(H360&lt;=0,H360=""),"",OFFSET(A361,-1,0,1,1)+1)</f>
        <v/>
      </c>
      <c r="B361" s="255"/>
      <c r="C361" s="256"/>
      <c r="D361" s="257" t="str">
        <f t="shared" si="44"/>
        <v/>
      </c>
      <c r="F361" s="257" t="str">
        <f t="shared" si="45"/>
        <v/>
      </c>
      <c r="G361" s="257" t="str">
        <f t="shared" si="46"/>
        <v/>
      </c>
      <c r="H361" s="257" t="str">
        <f t="shared" si="47"/>
        <v/>
      </c>
    </row>
    <row r="362" spans="1:8" x14ac:dyDescent="0.25">
      <c r="A362" s="254" t="str">
        <f t="shared" ca="1" si="48"/>
        <v/>
      </c>
      <c r="B362" s="255"/>
      <c r="C362" s="256"/>
      <c r="D362" s="257" t="str">
        <f t="shared" si="44"/>
        <v/>
      </c>
      <c r="F362" s="257" t="str">
        <f t="shared" si="45"/>
        <v/>
      </c>
      <c r="G362" s="257" t="str">
        <f t="shared" si="46"/>
        <v/>
      </c>
      <c r="H362" s="257" t="str">
        <f t="shared" si="47"/>
        <v/>
      </c>
    </row>
    <row r="363" spans="1:8" x14ac:dyDescent="0.25">
      <c r="A363" s="254" t="str">
        <f t="shared" ca="1" si="48"/>
        <v/>
      </c>
      <c r="B363" s="255"/>
      <c r="C363" s="256"/>
      <c r="D363" s="257" t="str">
        <f t="shared" si="44"/>
        <v/>
      </c>
      <c r="F363" s="257" t="str">
        <f t="shared" si="45"/>
        <v/>
      </c>
      <c r="G363" s="257" t="str">
        <f t="shared" si="46"/>
        <v/>
      </c>
      <c r="H363" s="257" t="str">
        <f t="shared" si="47"/>
        <v/>
      </c>
    </row>
    <row r="364" spans="1:8" x14ac:dyDescent="0.25">
      <c r="A364" s="254" t="str">
        <f t="shared" ca="1" si="48"/>
        <v/>
      </c>
      <c r="B364" s="255"/>
      <c r="C364" s="256"/>
      <c r="D364" s="257" t="str">
        <f t="shared" si="44"/>
        <v/>
      </c>
      <c r="F364" s="257" t="str">
        <f t="shared" si="45"/>
        <v/>
      </c>
      <c r="G364" s="257" t="str">
        <f t="shared" si="46"/>
        <v/>
      </c>
      <c r="H364" s="257" t="str">
        <f t="shared" si="47"/>
        <v/>
      </c>
    </row>
    <row r="365" spans="1:8" x14ac:dyDescent="0.25">
      <c r="A365" s="254" t="str">
        <f t="shared" ca="1" si="48"/>
        <v/>
      </c>
      <c r="B365" s="255"/>
      <c r="C365" s="256"/>
      <c r="D365" s="257" t="str">
        <f t="shared" si="44"/>
        <v/>
      </c>
      <c r="F365" s="257" t="str">
        <f t="shared" si="45"/>
        <v/>
      </c>
      <c r="G365" s="257" t="str">
        <f t="shared" si="46"/>
        <v/>
      </c>
      <c r="H365" s="257" t="str">
        <f t="shared" si="47"/>
        <v/>
      </c>
    </row>
    <row r="366" spans="1:8" x14ac:dyDescent="0.25">
      <c r="A366" s="254" t="str">
        <f t="shared" ca="1" si="48"/>
        <v/>
      </c>
      <c r="B366" s="255"/>
      <c r="C366" s="256"/>
      <c r="D366" s="257" t="str">
        <f t="shared" si="44"/>
        <v/>
      </c>
      <c r="F366" s="257" t="str">
        <f t="shared" si="45"/>
        <v/>
      </c>
      <c r="G366" s="257" t="str">
        <f t="shared" si="46"/>
        <v/>
      </c>
      <c r="H366" s="257" t="str">
        <f t="shared" si="47"/>
        <v/>
      </c>
    </row>
    <row r="367" spans="1:8" x14ac:dyDescent="0.25">
      <c r="A367" s="254" t="str">
        <f t="shared" ca="1" si="48"/>
        <v/>
      </c>
      <c r="B367" s="255"/>
      <c r="C367" s="256"/>
      <c r="D367" s="257" t="str">
        <f t="shared" si="44"/>
        <v/>
      </c>
      <c r="F367" s="257" t="str">
        <f t="shared" si="45"/>
        <v/>
      </c>
      <c r="G367" s="257" t="str">
        <f t="shared" si="46"/>
        <v/>
      </c>
      <c r="H367" s="257" t="str">
        <f t="shared" si="47"/>
        <v/>
      </c>
    </row>
    <row r="368" spans="1:8" x14ac:dyDescent="0.25">
      <c r="A368" s="254" t="str">
        <f t="shared" ca="1" si="48"/>
        <v/>
      </c>
      <c r="B368" s="255"/>
      <c r="C368" s="256"/>
      <c r="D368" s="257" t="str">
        <f t="shared" si="44"/>
        <v/>
      </c>
      <c r="F368" s="257" t="str">
        <f t="shared" si="45"/>
        <v/>
      </c>
      <c r="G368" s="257" t="str">
        <f t="shared" si="46"/>
        <v/>
      </c>
      <c r="H368" s="257" t="str">
        <f t="shared" si="47"/>
        <v/>
      </c>
    </row>
    <row r="369" spans="1:8" x14ac:dyDescent="0.25">
      <c r="A369" s="254" t="str">
        <f t="shared" ca="1" si="48"/>
        <v/>
      </c>
      <c r="B369" s="255"/>
      <c r="C369" s="256"/>
      <c r="D369" s="257" t="str">
        <f t="shared" si="44"/>
        <v/>
      </c>
      <c r="F369" s="257" t="str">
        <f t="shared" si="45"/>
        <v/>
      </c>
      <c r="G369" s="257" t="str">
        <f t="shared" si="46"/>
        <v/>
      </c>
      <c r="H369" s="257" t="str">
        <f t="shared" si="47"/>
        <v/>
      </c>
    </row>
    <row r="370" spans="1:8" x14ac:dyDescent="0.25">
      <c r="A370" s="254" t="str">
        <f t="shared" ca="1" si="48"/>
        <v/>
      </c>
      <c r="B370" s="255"/>
      <c r="C370" s="256"/>
      <c r="D370" s="257" t="str">
        <f t="shared" si="44"/>
        <v/>
      </c>
      <c r="F370" s="257" t="str">
        <f t="shared" si="45"/>
        <v/>
      </c>
      <c r="G370" s="257" t="str">
        <f t="shared" si="46"/>
        <v/>
      </c>
      <c r="H370" s="257" t="str">
        <f t="shared" si="47"/>
        <v/>
      </c>
    </row>
    <row r="371" spans="1:8" x14ac:dyDescent="0.25">
      <c r="A371" s="254" t="str">
        <f t="shared" ca="1" si="48"/>
        <v/>
      </c>
      <c r="B371" s="255"/>
      <c r="C371" s="256"/>
      <c r="D371" s="257" t="str">
        <f t="shared" si="44"/>
        <v/>
      </c>
      <c r="F371" s="257" t="str">
        <f t="shared" si="45"/>
        <v/>
      </c>
      <c r="G371" s="257" t="str">
        <f t="shared" si="46"/>
        <v/>
      </c>
      <c r="H371" s="257" t="str">
        <f t="shared" si="47"/>
        <v/>
      </c>
    </row>
    <row r="372" spans="1:8" x14ac:dyDescent="0.25">
      <c r="A372" s="254" t="str">
        <f t="shared" ca="1" si="48"/>
        <v/>
      </c>
      <c r="B372" s="255"/>
      <c r="C372" s="256"/>
      <c r="D372" s="257" t="str">
        <f t="shared" si="44"/>
        <v/>
      </c>
      <c r="F372" s="257" t="str">
        <f t="shared" si="45"/>
        <v/>
      </c>
      <c r="G372" s="257" t="str">
        <f t="shared" si="46"/>
        <v/>
      </c>
      <c r="H372" s="257" t="str">
        <f t="shared" si="47"/>
        <v/>
      </c>
    </row>
    <row r="373" spans="1:8" x14ac:dyDescent="0.25">
      <c r="A373" s="254" t="str">
        <f t="shared" ca="1" si="48"/>
        <v/>
      </c>
      <c r="B373" s="255"/>
      <c r="C373" s="256"/>
      <c r="D373" s="257" t="str">
        <f t="shared" si="44"/>
        <v/>
      </c>
      <c r="F373" s="257" t="str">
        <f t="shared" si="45"/>
        <v/>
      </c>
      <c r="G373" s="257" t="str">
        <f t="shared" si="46"/>
        <v/>
      </c>
      <c r="H373" s="257" t="str">
        <f t="shared" si="47"/>
        <v/>
      </c>
    </row>
    <row r="374" spans="1:8" x14ac:dyDescent="0.25">
      <c r="A374" s="254" t="str">
        <f t="shared" ca="1" si="48"/>
        <v/>
      </c>
      <c r="B374" s="255"/>
      <c r="C374" s="256"/>
      <c r="D374" s="257" t="str">
        <f t="shared" si="44"/>
        <v/>
      </c>
      <c r="F374" s="257" t="str">
        <f t="shared" si="45"/>
        <v/>
      </c>
      <c r="G374" s="257" t="str">
        <f t="shared" si="46"/>
        <v/>
      </c>
      <c r="H374" s="257" t="str">
        <f t="shared" si="47"/>
        <v/>
      </c>
    </row>
    <row r="375" spans="1:8" x14ac:dyDescent="0.25">
      <c r="A375" s="254" t="str">
        <f t="shared" ca="1" si="48"/>
        <v/>
      </c>
      <c r="B375" s="255"/>
      <c r="C375" s="256"/>
      <c r="D375" s="257" t="str">
        <f t="shared" si="44"/>
        <v/>
      </c>
      <c r="F375" s="257" t="str">
        <f t="shared" si="45"/>
        <v/>
      </c>
      <c r="G375" s="257" t="str">
        <f t="shared" si="46"/>
        <v/>
      </c>
      <c r="H375" s="257" t="str">
        <f t="shared" si="47"/>
        <v/>
      </c>
    </row>
    <row r="376" spans="1:8" x14ac:dyDescent="0.25">
      <c r="A376" s="254" t="str">
        <f t="shared" ca="1" si="48"/>
        <v/>
      </c>
      <c r="B376" s="255"/>
      <c r="C376" s="256"/>
      <c r="D376" s="257" t="str">
        <f t="shared" si="44"/>
        <v/>
      </c>
      <c r="F376" s="257" t="str">
        <f t="shared" si="45"/>
        <v/>
      </c>
      <c r="G376" s="257" t="str">
        <f t="shared" si="46"/>
        <v/>
      </c>
      <c r="H376" s="257" t="str">
        <f t="shared" si="47"/>
        <v/>
      </c>
    </row>
    <row r="377" spans="1:8" x14ac:dyDescent="0.25">
      <c r="A377" s="254" t="str">
        <f t="shared" ca="1" si="48"/>
        <v/>
      </c>
      <c r="B377" s="255"/>
      <c r="C377" s="256"/>
      <c r="D377" s="257" t="str">
        <f t="shared" si="44"/>
        <v/>
      </c>
      <c r="F377" s="257" t="str">
        <f t="shared" si="45"/>
        <v/>
      </c>
      <c r="G377" s="257" t="str">
        <f t="shared" si="46"/>
        <v/>
      </c>
      <c r="H377" s="257" t="str">
        <f t="shared" si="47"/>
        <v/>
      </c>
    </row>
    <row r="378" spans="1:8" x14ac:dyDescent="0.25">
      <c r="A378" s="254" t="str">
        <f t="shared" ca="1" si="48"/>
        <v/>
      </c>
      <c r="B378" s="255"/>
      <c r="C378" s="256"/>
      <c r="D378" s="257" t="str">
        <f t="shared" si="44"/>
        <v/>
      </c>
      <c r="F378" s="257" t="str">
        <f t="shared" si="45"/>
        <v/>
      </c>
      <c r="G378" s="257" t="str">
        <f t="shared" si="46"/>
        <v/>
      </c>
      <c r="H378" s="257" t="str">
        <f t="shared" si="47"/>
        <v/>
      </c>
    </row>
    <row r="379" spans="1:8" x14ac:dyDescent="0.25">
      <c r="A379" s="254" t="str">
        <f t="shared" ca="1" si="48"/>
        <v/>
      </c>
      <c r="B379" s="255"/>
      <c r="C379" s="256"/>
      <c r="D379" s="257" t="str">
        <f t="shared" si="44"/>
        <v/>
      </c>
      <c r="F379" s="257" t="str">
        <f t="shared" si="45"/>
        <v/>
      </c>
      <c r="G379" s="257" t="str">
        <f t="shared" si="46"/>
        <v/>
      </c>
      <c r="H379" s="257" t="str">
        <f t="shared" si="47"/>
        <v/>
      </c>
    </row>
    <row r="380" spans="1:8" x14ac:dyDescent="0.25">
      <c r="A380" s="254" t="str">
        <f t="shared" ca="1" si="48"/>
        <v/>
      </c>
      <c r="B380" s="255"/>
      <c r="C380" s="256"/>
      <c r="D380" s="257" t="str">
        <f t="shared" si="44"/>
        <v/>
      </c>
      <c r="F380" s="257" t="str">
        <f t="shared" si="45"/>
        <v/>
      </c>
      <c r="G380" s="257" t="str">
        <f t="shared" si="46"/>
        <v/>
      </c>
      <c r="H380" s="257" t="str">
        <f t="shared" si="47"/>
        <v/>
      </c>
    </row>
    <row r="381" spans="1:8" x14ac:dyDescent="0.25">
      <c r="A381" s="254" t="str">
        <f t="shared" ca="1" si="48"/>
        <v/>
      </c>
      <c r="B381" s="255"/>
      <c r="C381" s="256"/>
      <c r="D381" s="257" t="str">
        <f t="shared" si="44"/>
        <v/>
      </c>
      <c r="F381" s="257" t="str">
        <f t="shared" si="45"/>
        <v/>
      </c>
      <c r="G381" s="257" t="str">
        <f t="shared" si="46"/>
        <v/>
      </c>
      <c r="H381" s="257" t="str">
        <f t="shared" si="47"/>
        <v/>
      </c>
    </row>
    <row r="382" spans="1:8" x14ac:dyDescent="0.25">
      <c r="A382" s="254" t="str">
        <f t="shared" ca="1" si="48"/>
        <v/>
      </c>
      <c r="B382" s="255"/>
      <c r="C382" s="256"/>
      <c r="D382" s="257" t="str">
        <f t="shared" si="44"/>
        <v/>
      </c>
      <c r="F382" s="257" t="str">
        <f t="shared" si="45"/>
        <v/>
      </c>
      <c r="G382" s="257" t="str">
        <f t="shared" si="46"/>
        <v/>
      </c>
      <c r="H382" s="257" t="str">
        <f t="shared" si="47"/>
        <v/>
      </c>
    </row>
    <row r="383" spans="1:8" x14ac:dyDescent="0.25">
      <c r="A383" s="254" t="str">
        <f t="shared" ca="1" si="48"/>
        <v/>
      </c>
      <c r="B383" s="255"/>
      <c r="C383" s="256"/>
      <c r="D383" s="257" t="str">
        <f t="shared" si="44"/>
        <v/>
      </c>
      <c r="F383" s="257" t="str">
        <f t="shared" si="45"/>
        <v/>
      </c>
      <c r="G383" s="257" t="str">
        <f t="shared" si="46"/>
        <v/>
      </c>
      <c r="H383" s="257" t="str">
        <f t="shared" si="47"/>
        <v/>
      </c>
    </row>
    <row r="384" spans="1:8" x14ac:dyDescent="0.25">
      <c r="A384" s="254" t="str">
        <f t="shared" ca="1" si="48"/>
        <v/>
      </c>
      <c r="B384" s="255"/>
      <c r="C384" s="256"/>
      <c r="D384" s="257" t="str">
        <f t="shared" si="44"/>
        <v/>
      </c>
      <c r="F384" s="257" t="str">
        <f t="shared" si="45"/>
        <v/>
      </c>
      <c r="G384" s="257" t="str">
        <f t="shared" si="46"/>
        <v/>
      </c>
      <c r="H384" s="257" t="str">
        <f t="shared" si="47"/>
        <v/>
      </c>
    </row>
    <row r="385" spans="1:8" x14ac:dyDescent="0.25">
      <c r="A385" s="254" t="str">
        <f t="shared" ca="1" si="48"/>
        <v/>
      </c>
      <c r="B385" s="255"/>
      <c r="C385" s="256"/>
      <c r="D385" s="257" t="str">
        <f t="shared" si="44"/>
        <v/>
      </c>
      <c r="F385" s="257" t="str">
        <f t="shared" si="45"/>
        <v/>
      </c>
      <c r="G385" s="257" t="str">
        <f t="shared" si="46"/>
        <v/>
      </c>
      <c r="H385" s="257" t="str">
        <f t="shared" si="47"/>
        <v/>
      </c>
    </row>
    <row r="386" spans="1:8" x14ac:dyDescent="0.25">
      <c r="A386" s="254" t="str">
        <f t="shared" ca="1" si="48"/>
        <v/>
      </c>
      <c r="B386" s="255"/>
      <c r="C386" s="256"/>
      <c r="D386" s="257" t="str">
        <f t="shared" si="44"/>
        <v/>
      </c>
      <c r="F386" s="257" t="str">
        <f t="shared" si="45"/>
        <v/>
      </c>
      <c r="G386" s="257" t="str">
        <f t="shared" si="46"/>
        <v/>
      </c>
      <c r="H386" s="257" t="str">
        <f t="shared" si="47"/>
        <v/>
      </c>
    </row>
    <row r="387" spans="1:8" x14ac:dyDescent="0.25">
      <c r="A387" s="254" t="str">
        <f t="shared" ca="1" si="48"/>
        <v/>
      </c>
      <c r="B387" s="255"/>
      <c r="C387" s="256"/>
      <c r="D387" s="257" t="str">
        <f t="shared" si="44"/>
        <v/>
      </c>
      <c r="F387" s="257" t="str">
        <f t="shared" si="45"/>
        <v/>
      </c>
      <c r="G387" s="257" t="str">
        <f t="shared" si="46"/>
        <v/>
      </c>
      <c r="H387" s="257" t="str">
        <f t="shared" si="47"/>
        <v/>
      </c>
    </row>
    <row r="388" spans="1:8" x14ac:dyDescent="0.25">
      <c r="A388" s="254" t="str">
        <f t="shared" ca="1" si="48"/>
        <v/>
      </c>
      <c r="B388" s="255"/>
      <c r="C388" s="256"/>
      <c r="D388" s="257" t="str">
        <f t="shared" si="44"/>
        <v/>
      </c>
      <c r="F388" s="257" t="str">
        <f t="shared" si="45"/>
        <v/>
      </c>
      <c r="G388" s="257" t="str">
        <f t="shared" si="46"/>
        <v/>
      </c>
      <c r="H388" s="257" t="str">
        <f t="shared" si="47"/>
        <v/>
      </c>
    </row>
    <row r="389" spans="1:8" x14ac:dyDescent="0.25">
      <c r="A389" s="254" t="str">
        <f t="shared" ca="1" si="48"/>
        <v/>
      </c>
      <c r="B389" s="255"/>
      <c r="C389" s="256"/>
      <c r="D389" s="257" t="str">
        <f t="shared" si="44"/>
        <v/>
      </c>
      <c r="F389" s="257" t="str">
        <f t="shared" si="45"/>
        <v/>
      </c>
      <c r="G389" s="257" t="str">
        <f t="shared" si="46"/>
        <v/>
      </c>
      <c r="H389" s="257" t="str">
        <f t="shared" si="47"/>
        <v/>
      </c>
    </row>
    <row r="390" spans="1:8" x14ac:dyDescent="0.25">
      <c r="A390" s="254" t="str">
        <f t="shared" ca="1" si="48"/>
        <v/>
      </c>
      <c r="B390" s="255"/>
      <c r="C390" s="256"/>
      <c r="D390" s="257" t="str">
        <f t="shared" si="44"/>
        <v/>
      </c>
      <c r="F390" s="257" t="str">
        <f t="shared" si="45"/>
        <v/>
      </c>
      <c r="G390" s="257" t="str">
        <f t="shared" si="46"/>
        <v/>
      </c>
      <c r="H390" s="257" t="str">
        <f t="shared" si="47"/>
        <v/>
      </c>
    </row>
    <row r="391" spans="1:8" x14ac:dyDescent="0.25">
      <c r="A391" s="254" t="str">
        <f t="shared" ca="1" si="48"/>
        <v/>
      </c>
      <c r="B391" s="255"/>
      <c r="C391" s="256"/>
      <c r="D391" s="257" t="str">
        <f t="shared" si="44"/>
        <v/>
      </c>
      <c r="F391" s="257" t="str">
        <f t="shared" si="45"/>
        <v/>
      </c>
      <c r="G391" s="257" t="str">
        <f t="shared" si="46"/>
        <v/>
      </c>
      <c r="H391" s="257" t="str">
        <f t="shared" si="47"/>
        <v/>
      </c>
    </row>
    <row r="392" spans="1:8" x14ac:dyDescent="0.25">
      <c r="A392" s="254" t="str">
        <f t="shared" ca="1" si="48"/>
        <v/>
      </c>
      <c r="B392" s="255"/>
      <c r="C392" s="256"/>
      <c r="D392" s="257" t="str">
        <f t="shared" si="44"/>
        <v/>
      </c>
      <c r="F392" s="257" t="str">
        <f t="shared" si="45"/>
        <v/>
      </c>
      <c r="G392" s="257" t="str">
        <f t="shared" si="46"/>
        <v/>
      </c>
      <c r="H392" s="257" t="str">
        <f t="shared" si="47"/>
        <v/>
      </c>
    </row>
    <row r="393" spans="1:8" x14ac:dyDescent="0.25">
      <c r="A393" s="254" t="str">
        <f t="shared" ca="1" si="48"/>
        <v/>
      </c>
      <c r="B393" s="255"/>
      <c r="C393" s="256"/>
      <c r="D393" s="257" t="str">
        <f t="shared" si="44"/>
        <v/>
      </c>
      <c r="F393" s="257" t="str">
        <f t="shared" si="45"/>
        <v/>
      </c>
      <c r="G393" s="257" t="str">
        <f t="shared" si="46"/>
        <v/>
      </c>
      <c r="H393" s="257" t="str">
        <f t="shared" si="47"/>
        <v/>
      </c>
    </row>
    <row r="394" spans="1:8" x14ac:dyDescent="0.25">
      <c r="A394" s="254" t="str">
        <f t="shared" ca="1" si="48"/>
        <v/>
      </c>
      <c r="B394" s="255"/>
      <c r="C394" s="256"/>
      <c r="D394" s="257" t="str">
        <f t="shared" si="44"/>
        <v/>
      </c>
      <c r="F394" s="257" t="str">
        <f t="shared" si="45"/>
        <v/>
      </c>
      <c r="G394" s="257" t="str">
        <f t="shared" si="46"/>
        <v/>
      </c>
      <c r="H394" s="257" t="str">
        <f t="shared" si="47"/>
        <v/>
      </c>
    </row>
    <row r="395" spans="1:8" x14ac:dyDescent="0.25">
      <c r="A395" s="254" t="str">
        <f t="shared" ca="1" si="48"/>
        <v/>
      </c>
      <c r="B395" s="255"/>
      <c r="C395" s="256"/>
      <c r="D395" s="257" t="str">
        <f t="shared" si="44"/>
        <v/>
      </c>
      <c r="F395" s="257" t="str">
        <f t="shared" si="45"/>
        <v/>
      </c>
      <c r="G395" s="257" t="str">
        <f t="shared" si="46"/>
        <v/>
      </c>
      <c r="H395" s="257" t="str">
        <f t="shared" si="47"/>
        <v/>
      </c>
    </row>
    <row r="396" spans="1:8" x14ac:dyDescent="0.25">
      <c r="A396" s="254" t="str">
        <f t="shared" ca="1" si="48"/>
        <v/>
      </c>
      <c r="B396" s="255"/>
      <c r="C396" s="256"/>
      <c r="D396" s="257" t="str">
        <f t="shared" si="44"/>
        <v/>
      </c>
      <c r="F396" s="257" t="str">
        <f t="shared" si="45"/>
        <v/>
      </c>
      <c r="G396" s="257" t="str">
        <f t="shared" si="46"/>
        <v/>
      </c>
      <c r="H396" s="257" t="str">
        <f t="shared" si="47"/>
        <v/>
      </c>
    </row>
    <row r="397" spans="1:8" x14ac:dyDescent="0.25">
      <c r="A397" s="254" t="str">
        <f t="shared" ca="1" si="48"/>
        <v/>
      </c>
      <c r="B397" s="255"/>
      <c r="C397" s="256"/>
      <c r="D397" s="257" t="str">
        <f t="shared" si="44"/>
        <v/>
      </c>
      <c r="F397" s="257" t="str">
        <f t="shared" si="45"/>
        <v/>
      </c>
      <c r="G397" s="257" t="str">
        <f t="shared" si="46"/>
        <v/>
      </c>
      <c r="H397" s="257" t="str">
        <f t="shared" si="47"/>
        <v/>
      </c>
    </row>
    <row r="398" spans="1:8" x14ac:dyDescent="0.25">
      <c r="A398" s="254" t="str">
        <f t="shared" ca="1" si="48"/>
        <v/>
      </c>
      <c r="B398" s="255"/>
      <c r="C398" s="256"/>
      <c r="D398" s="257" t="str">
        <f t="shared" si="44"/>
        <v/>
      </c>
      <c r="F398" s="257" t="str">
        <f t="shared" si="45"/>
        <v/>
      </c>
      <c r="G398" s="257" t="str">
        <f t="shared" si="46"/>
        <v/>
      </c>
      <c r="H398" s="257" t="str">
        <f t="shared" si="47"/>
        <v/>
      </c>
    </row>
    <row r="399" spans="1:8" x14ac:dyDescent="0.25">
      <c r="A399" s="254" t="str">
        <f t="shared" ca="1" si="48"/>
        <v/>
      </c>
      <c r="B399" s="255"/>
      <c r="C399" s="256"/>
      <c r="D399" s="257" t="str">
        <f t="shared" si="44"/>
        <v/>
      </c>
      <c r="F399" s="257" t="str">
        <f t="shared" si="45"/>
        <v/>
      </c>
      <c r="G399" s="257" t="str">
        <f t="shared" si="46"/>
        <v/>
      </c>
      <c r="H399" s="257" t="str">
        <f t="shared" si="47"/>
        <v/>
      </c>
    </row>
    <row r="400" spans="1:8" x14ac:dyDescent="0.25">
      <c r="A400" s="254" t="str">
        <f t="shared" ca="1" si="48"/>
        <v/>
      </c>
      <c r="B400" s="255"/>
      <c r="C400" s="256"/>
      <c r="D400" s="257" t="str">
        <f t="shared" si="44"/>
        <v/>
      </c>
      <c r="F400" s="257" t="str">
        <f t="shared" si="45"/>
        <v/>
      </c>
      <c r="G400" s="257" t="str">
        <f t="shared" si="46"/>
        <v/>
      </c>
      <c r="H400" s="257" t="str">
        <f t="shared" si="47"/>
        <v/>
      </c>
    </row>
    <row r="401" spans="1:8" x14ac:dyDescent="0.25">
      <c r="A401" s="254" t="str">
        <f t="shared" ca="1" si="48"/>
        <v/>
      </c>
      <c r="B401" s="255"/>
      <c r="C401" s="256"/>
      <c r="D401" s="257" t="str">
        <f t="shared" si="44"/>
        <v/>
      </c>
      <c r="F401" s="257" t="str">
        <f t="shared" si="45"/>
        <v/>
      </c>
      <c r="G401" s="257" t="str">
        <f t="shared" si="46"/>
        <v/>
      </c>
      <c r="H401" s="257" t="str">
        <f t="shared" si="47"/>
        <v/>
      </c>
    </row>
    <row r="402" spans="1:8" x14ac:dyDescent="0.25">
      <c r="A402" s="254" t="str">
        <f t="shared" ca="1" si="48"/>
        <v/>
      </c>
      <c r="B402" s="255"/>
      <c r="C402" s="256"/>
      <c r="D402" s="257" t="str">
        <f t="shared" si="44"/>
        <v/>
      </c>
      <c r="F402" s="257" t="str">
        <f t="shared" si="45"/>
        <v/>
      </c>
      <c r="G402" s="257" t="str">
        <f t="shared" si="46"/>
        <v/>
      </c>
      <c r="H402" s="257" t="str">
        <f t="shared" si="47"/>
        <v/>
      </c>
    </row>
    <row r="403" spans="1:8" x14ac:dyDescent="0.25">
      <c r="A403" s="254" t="str">
        <f t="shared" ca="1" si="48"/>
        <v/>
      </c>
      <c r="B403" s="255"/>
      <c r="C403" s="256"/>
      <c r="D403" s="257" t="str">
        <f t="shared" ref="D403:D466" si="49">IF(B403="","",ROUND((B403-B402)*$H$9*G402,2))</f>
        <v/>
      </c>
      <c r="F403" s="257" t="str">
        <f t="shared" ref="F403:F466" si="50">IF(B403="","",IF(C403&gt;F402+D403,0,F402+D403-C403))</f>
        <v/>
      </c>
      <c r="G403" s="257" t="str">
        <f t="shared" ref="G403:G466" si="51">IF(B403="","",IF(C403&gt;D403+F402,G402+F402+D403-C403,G402))</f>
        <v/>
      </c>
      <c r="H403" s="257" t="str">
        <f t="shared" ref="H403:H466" si="52">IF(B403="","",G403+F403)</f>
        <v/>
      </c>
    </row>
    <row r="404" spans="1:8" x14ac:dyDescent="0.25">
      <c r="A404" s="254" t="str">
        <f t="shared" ca="1" si="48"/>
        <v/>
      </c>
      <c r="B404" s="255"/>
      <c r="C404" s="256"/>
      <c r="D404" s="257" t="str">
        <f t="shared" si="49"/>
        <v/>
      </c>
      <c r="F404" s="257" t="str">
        <f t="shared" si="50"/>
        <v/>
      </c>
      <c r="G404" s="257" t="str">
        <f t="shared" si="51"/>
        <v/>
      </c>
      <c r="H404" s="257" t="str">
        <f t="shared" si="52"/>
        <v/>
      </c>
    </row>
    <row r="405" spans="1:8" x14ac:dyDescent="0.25">
      <c r="A405" s="254" t="str">
        <f t="shared" ca="1" si="48"/>
        <v/>
      </c>
      <c r="B405" s="255"/>
      <c r="C405" s="256"/>
      <c r="D405" s="257" t="str">
        <f t="shared" si="49"/>
        <v/>
      </c>
      <c r="F405" s="257" t="str">
        <f t="shared" si="50"/>
        <v/>
      </c>
      <c r="G405" s="257" t="str">
        <f t="shared" si="51"/>
        <v/>
      </c>
      <c r="H405" s="257" t="str">
        <f t="shared" si="52"/>
        <v/>
      </c>
    </row>
    <row r="406" spans="1:8" x14ac:dyDescent="0.25">
      <c r="A406" s="254" t="str">
        <f t="shared" ca="1" si="48"/>
        <v/>
      </c>
      <c r="B406" s="255"/>
      <c r="C406" s="256"/>
      <c r="D406" s="257" t="str">
        <f t="shared" si="49"/>
        <v/>
      </c>
      <c r="F406" s="257" t="str">
        <f t="shared" si="50"/>
        <v/>
      </c>
      <c r="G406" s="257" t="str">
        <f t="shared" si="51"/>
        <v/>
      </c>
      <c r="H406" s="257" t="str">
        <f t="shared" si="52"/>
        <v/>
      </c>
    </row>
    <row r="407" spans="1:8" x14ac:dyDescent="0.25">
      <c r="A407" s="254" t="str">
        <f t="shared" ca="1" si="48"/>
        <v/>
      </c>
      <c r="B407" s="255"/>
      <c r="C407" s="256"/>
      <c r="D407" s="257" t="str">
        <f t="shared" si="49"/>
        <v/>
      </c>
      <c r="F407" s="257" t="str">
        <f t="shared" si="50"/>
        <v/>
      </c>
      <c r="G407" s="257" t="str">
        <f t="shared" si="51"/>
        <v/>
      </c>
      <c r="H407" s="257" t="str">
        <f t="shared" si="52"/>
        <v/>
      </c>
    </row>
    <row r="408" spans="1:8" x14ac:dyDescent="0.25">
      <c r="A408" s="254" t="str">
        <f t="shared" ca="1" si="48"/>
        <v/>
      </c>
      <c r="B408" s="255"/>
      <c r="C408" s="256"/>
      <c r="D408" s="257" t="str">
        <f t="shared" si="49"/>
        <v/>
      </c>
      <c r="F408" s="257" t="str">
        <f t="shared" si="50"/>
        <v/>
      </c>
      <c r="G408" s="257" t="str">
        <f t="shared" si="51"/>
        <v/>
      </c>
      <c r="H408" s="257" t="str">
        <f t="shared" si="52"/>
        <v/>
      </c>
    </row>
    <row r="409" spans="1:8" x14ac:dyDescent="0.25">
      <c r="A409" s="254" t="str">
        <f t="shared" ca="1" si="48"/>
        <v/>
      </c>
      <c r="B409" s="255"/>
      <c r="C409" s="256"/>
      <c r="D409" s="257" t="str">
        <f t="shared" si="49"/>
        <v/>
      </c>
      <c r="F409" s="257" t="str">
        <f t="shared" si="50"/>
        <v/>
      </c>
      <c r="G409" s="257" t="str">
        <f t="shared" si="51"/>
        <v/>
      </c>
      <c r="H409" s="257" t="str">
        <f t="shared" si="52"/>
        <v/>
      </c>
    </row>
    <row r="410" spans="1:8" x14ac:dyDescent="0.25">
      <c r="A410" s="254" t="str">
        <f t="shared" ca="1" si="48"/>
        <v/>
      </c>
      <c r="B410" s="255"/>
      <c r="C410" s="256"/>
      <c r="D410" s="257" t="str">
        <f t="shared" si="49"/>
        <v/>
      </c>
      <c r="F410" s="257" t="str">
        <f t="shared" si="50"/>
        <v/>
      </c>
      <c r="G410" s="257" t="str">
        <f t="shared" si="51"/>
        <v/>
      </c>
      <c r="H410" s="257" t="str">
        <f t="shared" si="52"/>
        <v/>
      </c>
    </row>
    <row r="411" spans="1:8" x14ac:dyDescent="0.25">
      <c r="A411" s="254" t="str">
        <f t="shared" ca="1" si="48"/>
        <v/>
      </c>
      <c r="B411" s="255"/>
      <c r="C411" s="256"/>
      <c r="D411" s="257" t="str">
        <f t="shared" si="49"/>
        <v/>
      </c>
      <c r="F411" s="257" t="str">
        <f t="shared" si="50"/>
        <v/>
      </c>
      <c r="G411" s="257" t="str">
        <f t="shared" si="51"/>
        <v/>
      </c>
      <c r="H411" s="257" t="str">
        <f t="shared" si="52"/>
        <v/>
      </c>
    </row>
    <row r="412" spans="1:8" x14ac:dyDescent="0.25">
      <c r="A412" s="254" t="str">
        <f t="shared" ca="1" si="48"/>
        <v/>
      </c>
      <c r="B412" s="255"/>
      <c r="C412" s="256"/>
      <c r="D412" s="257" t="str">
        <f t="shared" si="49"/>
        <v/>
      </c>
      <c r="F412" s="257" t="str">
        <f t="shared" si="50"/>
        <v/>
      </c>
      <c r="G412" s="257" t="str">
        <f t="shared" si="51"/>
        <v/>
      </c>
      <c r="H412" s="257" t="str">
        <f t="shared" si="52"/>
        <v/>
      </c>
    </row>
    <row r="413" spans="1:8" x14ac:dyDescent="0.25">
      <c r="A413" s="254" t="str">
        <f t="shared" ca="1" si="48"/>
        <v/>
      </c>
      <c r="B413" s="255"/>
      <c r="C413" s="256"/>
      <c r="D413" s="257" t="str">
        <f t="shared" si="49"/>
        <v/>
      </c>
      <c r="F413" s="257" t="str">
        <f t="shared" si="50"/>
        <v/>
      </c>
      <c r="G413" s="257" t="str">
        <f t="shared" si="51"/>
        <v/>
      </c>
      <c r="H413" s="257" t="str">
        <f t="shared" si="52"/>
        <v/>
      </c>
    </row>
    <row r="414" spans="1:8" x14ac:dyDescent="0.25">
      <c r="A414" s="254" t="str">
        <f t="shared" ca="1" si="48"/>
        <v/>
      </c>
      <c r="B414" s="255"/>
      <c r="C414" s="256"/>
      <c r="D414" s="257" t="str">
        <f t="shared" si="49"/>
        <v/>
      </c>
      <c r="F414" s="257" t="str">
        <f t="shared" si="50"/>
        <v/>
      </c>
      <c r="G414" s="257" t="str">
        <f t="shared" si="51"/>
        <v/>
      </c>
      <c r="H414" s="257" t="str">
        <f t="shared" si="52"/>
        <v/>
      </c>
    </row>
    <row r="415" spans="1:8" x14ac:dyDescent="0.25">
      <c r="A415" s="254" t="str">
        <f t="shared" ca="1" si="48"/>
        <v/>
      </c>
      <c r="B415" s="255"/>
      <c r="C415" s="256"/>
      <c r="D415" s="257" t="str">
        <f t="shared" si="49"/>
        <v/>
      </c>
      <c r="F415" s="257" t="str">
        <f t="shared" si="50"/>
        <v/>
      </c>
      <c r="G415" s="257" t="str">
        <f t="shared" si="51"/>
        <v/>
      </c>
      <c r="H415" s="257" t="str">
        <f t="shared" si="52"/>
        <v/>
      </c>
    </row>
    <row r="416" spans="1:8" x14ac:dyDescent="0.25">
      <c r="A416" s="254" t="str">
        <f t="shared" ca="1" si="48"/>
        <v/>
      </c>
      <c r="B416" s="255"/>
      <c r="C416" s="256"/>
      <c r="D416" s="257" t="str">
        <f t="shared" si="49"/>
        <v/>
      </c>
      <c r="F416" s="257" t="str">
        <f t="shared" si="50"/>
        <v/>
      </c>
      <c r="G416" s="257" t="str">
        <f t="shared" si="51"/>
        <v/>
      </c>
      <c r="H416" s="257" t="str">
        <f t="shared" si="52"/>
        <v/>
      </c>
    </row>
    <row r="417" spans="1:8" x14ac:dyDescent="0.25">
      <c r="A417" s="254" t="str">
        <f t="shared" ca="1" si="48"/>
        <v/>
      </c>
      <c r="B417" s="255"/>
      <c r="C417" s="256"/>
      <c r="D417" s="257" t="str">
        <f t="shared" si="49"/>
        <v/>
      </c>
      <c r="F417" s="257" t="str">
        <f t="shared" si="50"/>
        <v/>
      </c>
      <c r="G417" s="257" t="str">
        <f t="shared" si="51"/>
        <v/>
      </c>
      <c r="H417" s="257" t="str">
        <f t="shared" si="52"/>
        <v/>
      </c>
    </row>
    <row r="418" spans="1:8" x14ac:dyDescent="0.25">
      <c r="A418" s="254" t="str">
        <f t="shared" ca="1" si="48"/>
        <v/>
      </c>
      <c r="B418" s="255"/>
      <c r="C418" s="256"/>
      <c r="D418" s="257" t="str">
        <f t="shared" si="49"/>
        <v/>
      </c>
      <c r="F418" s="257" t="str">
        <f t="shared" si="50"/>
        <v/>
      </c>
      <c r="G418" s="257" t="str">
        <f t="shared" si="51"/>
        <v/>
      </c>
      <c r="H418" s="257" t="str">
        <f t="shared" si="52"/>
        <v/>
      </c>
    </row>
    <row r="419" spans="1:8" x14ac:dyDescent="0.25">
      <c r="A419" s="254" t="str">
        <f t="shared" ca="1" si="48"/>
        <v/>
      </c>
      <c r="B419" s="255"/>
      <c r="C419" s="256"/>
      <c r="D419" s="257" t="str">
        <f t="shared" si="49"/>
        <v/>
      </c>
      <c r="F419" s="257" t="str">
        <f t="shared" si="50"/>
        <v/>
      </c>
      <c r="G419" s="257" t="str">
        <f t="shared" si="51"/>
        <v/>
      </c>
      <c r="H419" s="257" t="str">
        <f t="shared" si="52"/>
        <v/>
      </c>
    </row>
    <row r="420" spans="1:8" x14ac:dyDescent="0.25">
      <c r="A420" s="254" t="str">
        <f t="shared" ca="1" si="48"/>
        <v/>
      </c>
      <c r="B420" s="255"/>
      <c r="C420" s="256"/>
      <c r="D420" s="257" t="str">
        <f t="shared" si="49"/>
        <v/>
      </c>
      <c r="F420" s="257" t="str">
        <f t="shared" si="50"/>
        <v/>
      </c>
      <c r="G420" s="257" t="str">
        <f t="shared" si="51"/>
        <v/>
      </c>
      <c r="H420" s="257" t="str">
        <f t="shared" si="52"/>
        <v/>
      </c>
    </row>
    <row r="421" spans="1:8" x14ac:dyDescent="0.25">
      <c r="A421" s="254" t="str">
        <f t="shared" ca="1" si="48"/>
        <v/>
      </c>
      <c r="B421" s="255"/>
      <c r="C421" s="256"/>
      <c r="D421" s="257" t="str">
        <f t="shared" si="49"/>
        <v/>
      </c>
      <c r="F421" s="257" t="str">
        <f t="shared" si="50"/>
        <v/>
      </c>
      <c r="G421" s="257" t="str">
        <f t="shared" si="51"/>
        <v/>
      </c>
      <c r="H421" s="257" t="str">
        <f t="shared" si="52"/>
        <v/>
      </c>
    </row>
    <row r="422" spans="1:8" x14ac:dyDescent="0.25">
      <c r="A422" s="254" t="str">
        <f t="shared" ca="1" si="48"/>
        <v/>
      </c>
      <c r="B422" s="255"/>
      <c r="C422" s="256"/>
      <c r="D422" s="257" t="str">
        <f t="shared" si="49"/>
        <v/>
      </c>
      <c r="F422" s="257" t="str">
        <f t="shared" si="50"/>
        <v/>
      </c>
      <c r="G422" s="257" t="str">
        <f t="shared" si="51"/>
        <v/>
      </c>
      <c r="H422" s="257" t="str">
        <f t="shared" si="52"/>
        <v/>
      </c>
    </row>
    <row r="423" spans="1:8" x14ac:dyDescent="0.25">
      <c r="A423" s="254" t="str">
        <f t="shared" ca="1" si="48"/>
        <v/>
      </c>
      <c r="B423" s="255"/>
      <c r="C423" s="256"/>
      <c r="D423" s="257" t="str">
        <f t="shared" si="49"/>
        <v/>
      </c>
      <c r="F423" s="257" t="str">
        <f t="shared" si="50"/>
        <v/>
      </c>
      <c r="G423" s="257" t="str">
        <f t="shared" si="51"/>
        <v/>
      </c>
      <c r="H423" s="257" t="str">
        <f t="shared" si="52"/>
        <v/>
      </c>
    </row>
    <row r="424" spans="1:8" x14ac:dyDescent="0.25">
      <c r="A424" s="254" t="str">
        <f t="shared" ca="1" si="48"/>
        <v/>
      </c>
      <c r="B424" s="255"/>
      <c r="C424" s="256"/>
      <c r="D424" s="257" t="str">
        <f t="shared" si="49"/>
        <v/>
      </c>
      <c r="F424" s="257" t="str">
        <f t="shared" si="50"/>
        <v/>
      </c>
      <c r="G424" s="257" t="str">
        <f t="shared" si="51"/>
        <v/>
      </c>
      <c r="H424" s="257" t="str">
        <f t="shared" si="52"/>
        <v/>
      </c>
    </row>
    <row r="425" spans="1:8" x14ac:dyDescent="0.25">
      <c r="A425" s="254" t="str">
        <f t="shared" ref="A425:A488" ca="1" si="53">IF(OR(H424&lt;=0,H424=""),"",OFFSET(A425,-1,0,1,1)+1)</f>
        <v/>
      </c>
      <c r="B425" s="255"/>
      <c r="C425" s="256"/>
      <c r="D425" s="257" t="str">
        <f t="shared" si="49"/>
        <v/>
      </c>
      <c r="F425" s="257" t="str">
        <f t="shared" si="50"/>
        <v/>
      </c>
      <c r="G425" s="257" t="str">
        <f t="shared" si="51"/>
        <v/>
      </c>
      <c r="H425" s="257" t="str">
        <f t="shared" si="52"/>
        <v/>
      </c>
    </row>
    <row r="426" spans="1:8" x14ac:dyDescent="0.25">
      <c r="A426" s="254" t="str">
        <f t="shared" ca="1" si="53"/>
        <v/>
      </c>
      <c r="B426" s="255"/>
      <c r="C426" s="256"/>
      <c r="D426" s="257" t="str">
        <f t="shared" si="49"/>
        <v/>
      </c>
      <c r="F426" s="257" t="str">
        <f t="shared" si="50"/>
        <v/>
      </c>
      <c r="G426" s="257" t="str">
        <f t="shared" si="51"/>
        <v/>
      </c>
      <c r="H426" s="257" t="str">
        <f t="shared" si="52"/>
        <v/>
      </c>
    </row>
    <row r="427" spans="1:8" x14ac:dyDescent="0.25">
      <c r="A427" s="254" t="str">
        <f t="shared" ca="1" si="53"/>
        <v/>
      </c>
      <c r="B427" s="255"/>
      <c r="C427" s="256"/>
      <c r="D427" s="257" t="str">
        <f t="shared" si="49"/>
        <v/>
      </c>
      <c r="F427" s="257" t="str">
        <f t="shared" si="50"/>
        <v/>
      </c>
      <c r="G427" s="257" t="str">
        <f t="shared" si="51"/>
        <v/>
      </c>
      <c r="H427" s="257" t="str">
        <f t="shared" si="52"/>
        <v/>
      </c>
    </row>
    <row r="428" spans="1:8" x14ac:dyDescent="0.25">
      <c r="A428" s="254" t="str">
        <f t="shared" ca="1" si="53"/>
        <v/>
      </c>
      <c r="B428" s="255"/>
      <c r="C428" s="256"/>
      <c r="D428" s="257" t="str">
        <f t="shared" si="49"/>
        <v/>
      </c>
      <c r="F428" s="257" t="str">
        <f t="shared" si="50"/>
        <v/>
      </c>
      <c r="G428" s="257" t="str">
        <f t="shared" si="51"/>
        <v/>
      </c>
      <c r="H428" s="257" t="str">
        <f t="shared" si="52"/>
        <v/>
      </c>
    </row>
    <row r="429" spans="1:8" x14ac:dyDescent="0.25">
      <c r="A429" s="254" t="str">
        <f t="shared" ca="1" si="53"/>
        <v/>
      </c>
      <c r="B429" s="255"/>
      <c r="C429" s="256"/>
      <c r="D429" s="257" t="str">
        <f t="shared" si="49"/>
        <v/>
      </c>
      <c r="F429" s="257" t="str">
        <f t="shared" si="50"/>
        <v/>
      </c>
      <c r="G429" s="257" t="str">
        <f t="shared" si="51"/>
        <v/>
      </c>
      <c r="H429" s="257" t="str">
        <f t="shared" si="52"/>
        <v/>
      </c>
    </row>
    <row r="430" spans="1:8" x14ac:dyDescent="0.25">
      <c r="A430" s="254" t="str">
        <f t="shared" ca="1" si="53"/>
        <v/>
      </c>
      <c r="B430" s="255"/>
      <c r="C430" s="256"/>
      <c r="D430" s="257" t="str">
        <f t="shared" si="49"/>
        <v/>
      </c>
      <c r="F430" s="257" t="str">
        <f t="shared" si="50"/>
        <v/>
      </c>
      <c r="G430" s="257" t="str">
        <f t="shared" si="51"/>
        <v/>
      </c>
      <c r="H430" s="257" t="str">
        <f t="shared" si="52"/>
        <v/>
      </c>
    </row>
    <row r="431" spans="1:8" x14ac:dyDescent="0.25">
      <c r="A431" s="254" t="str">
        <f t="shared" ca="1" si="53"/>
        <v/>
      </c>
      <c r="B431" s="255"/>
      <c r="C431" s="256"/>
      <c r="D431" s="257" t="str">
        <f t="shared" si="49"/>
        <v/>
      </c>
      <c r="F431" s="257" t="str">
        <f t="shared" si="50"/>
        <v/>
      </c>
      <c r="G431" s="257" t="str">
        <f t="shared" si="51"/>
        <v/>
      </c>
      <c r="H431" s="257" t="str">
        <f t="shared" si="52"/>
        <v/>
      </c>
    </row>
    <row r="432" spans="1:8" x14ac:dyDescent="0.25">
      <c r="A432" s="254" t="str">
        <f t="shared" ca="1" si="53"/>
        <v/>
      </c>
      <c r="B432" s="255"/>
      <c r="C432" s="256"/>
      <c r="D432" s="257" t="str">
        <f t="shared" si="49"/>
        <v/>
      </c>
      <c r="F432" s="257" t="str">
        <f t="shared" si="50"/>
        <v/>
      </c>
      <c r="G432" s="257" t="str">
        <f t="shared" si="51"/>
        <v/>
      </c>
      <c r="H432" s="257" t="str">
        <f t="shared" si="52"/>
        <v/>
      </c>
    </row>
    <row r="433" spans="1:8" x14ac:dyDescent="0.25">
      <c r="A433" s="254" t="str">
        <f t="shared" ca="1" si="53"/>
        <v/>
      </c>
      <c r="B433" s="255"/>
      <c r="C433" s="256"/>
      <c r="D433" s="257" t="str">
        <f t="shared" si="49"/>
        <v/>
      </c>
      <c r="F433" s="257" t="str">
        <f t="shared" si="50"/>
        <v/>
      </c>
      <c r="G433" s="257" t="str">
        <f t="shared" si="51"/>
        <v/>
      </c>
      <c r="H433" s="257" t="str">
        <f t="shared" si="52"/>
        <v/>
      </c>
    </row>
    <row r="434" spans="1:8" x14ac:dyDescent="0.25">
      <c r="A434" s="254" t="str">
        <f t="shared" ca="1" si="53"/>
        <v/>
      </c>
      <c r="B434" s="255"/>
      <c r="C434" s="256"/>
      <c r="D434" s="257" t="str">
        <f t="shared" si="49"/>
        <v/>
      </c>
      <c r="F434" s="257" t="str">
        <f t="shared" si="50"/>
        <v/>
      </c>
      <c r="G434" s="257" t="str">
        <f t="shared" si="51"/>
        <v/>
      </c>
      <c r="H434" s="257" t="str">
        <f t="shared" si="52"/>
        <v/>
      </c>
    </row>
    <row r="435" spans="1:8" x14ac:dyDescent="0.25">
      <c r="A435" s="254" t="str">
        <f t="shared" ca="1" si="53"/>
        <v/>
      </c>
      <c r="B435" s="255"/>
      <c r="C435" s="256"/>
      <c r="D435" s="257" t="str">
        <f t="shared" si="49"/>
        <v/>
      </c>
      <c r="F435" s="257" t="str">
        <f t="shared" si="50"/>
        <v/>
      </c>
      <c r="G435" s="257" t="str">
        <f t="shared" si="51"/>
        <v/>
      </c>
      <c r="H435" s="257" t="str">
        <f t="shared" si="52"/>
        <v/>
      </c>
    </row>
    <row r="436" spans="1:8" x14ac:dyDescent="0.25">
      <c r="A436" s="254" t="str">
        <f t="shared" ca="1" si="53"/>
        <v/>
      </c>
      <c r="B436" s="255"/>
      <c r="C436" s="256"/>
      <c r="D436" s="257" t="str">
        <f t="shared" si="49"/>
        <v/>
      </c>
      <c r="F436" s="257" t="str">
        <f t="shared" si="50"/>
        <v/>
      </c>
      <c r="G436" s="257" t="str">
        <f t="shared" si="51"/>
        <v/>
      </c>
      <c r="H436" s="257" t="str">
        <f t="shared" si="52"/>
        <v/>
      </c>
    </row>
    <row r="437" spans="1:8" x14ac:dyDescent="0.25">
      <c r="A437" s="254" t="str">
        <f t="shared" ca="1" si="53"/>
        <v/>
      </c>
      <c r="B437" s="255"/>
      <c r="C437" s="256"/>
      <c r="D437" s="257" t="str">
        <f t="shared" si="49"/>
        <v/>
      </c>
      <c r="F437" s="257" t="str">
        <f t="shared" si="50"/>
        <v/>
      </c>
      <c r="G437" s="257" t="str">
        <f t="shared" si="51"/>
        <v/>
      </c>
      <c r="H437" s="257" t="str">
        <f t="shared" si="52"/>
        <v/>
      </c>
    </row>
    <row r="438" spans="1:8" x14ac:dyDescent="0.25">
      <c r="A438" s="254" t="str">
        <f t="shared" ca="1" si="53"/>
        <v/>
      </c>
      <c r="B438" s="255"/>
      <c r="C438" s="256"/>
      <c r="D438" s="257" t="str">
        <f t="shared" si="49"/>
        <v/>
      </c>
      <c r="F438" s="257" t="str">
        <f t="shared" si="50"/>
        <v/>
      </c>
      <c r="G438" s="257" t="str">
        <f t="shared" si="51"/>
        <v/>
      </c>
      <c r="H438" s="257" t="str">
        <f t="shared" si="52"/>
        <v/>
      </c>
    </row>
    <row r="439" spans="1:8" x14ac:dyDescent="0.25">
      <c r="A439" s="254" t="str">
        <f t="shared" ca="1" si="53"/>
        <v/>
      </c>
      <c r="B439" s="255"/>
      <c r="C439" s="256"/>
      <c r="D439" s="257" t="str">
        <f t="shared" si="49"/>
        <v/>
      </c>
      <c r="F439" s="257" t="str">
        <f t="shared" si="50"/>
        <v/>
      </c>
      <c r="G439" s="257" t="str">
        <f t="shared" si="51"/>
        <v/>
      </c>
      <c r="H439" s="257" t="str">
        <f t="shared" si="52"/>
        <v/>
      </c>
    </row>
    <row r="440" spans="1:8" x14ac:dyDescent="0.25">
      <c r="A440" s="254" t="str">
        <f t="shared" ca="1" si="53"/>
        <v/>
      </c>
      <c r="B440" s="255"/>
      <c r="C440" s="256"/>
      <c r="D440" s="257" t="str">
        <f t="shared" si="49"/>
        <v/>
      </c>
      <c r="F440" s="257" t="str">
        <f t="shared" si="50"/>
        <v/>
      </c>
      <c r="G440" s="257" t="str">
        <f t="shared" si="51"/>
        <v/>
      </c>
      <c r="H440" s="257" t="str">
        <f t="shared" si="52"/>
        <v/>
      </c>
    </row>
    <row r="441" spans="1:8" x14ac:dyDescent="0.25">
      <c r="A441" s="254" t="str">
        <f t="shared" ca="1" si="53"/>
        <v/>
      </c>
      <c r="B441" s="255"/>
      <c r="C441" s="256"/>
      <c r="D441" s="257" t="str">
        <f t="shared" si="49"/>
        <v/>
      </c>
      <c r="F441" s="257" t="str">
        <f t="shared" si="50"/>
        <v/>
      </c>
      <c r="G441" s="257" t="str">
        <f t="shared" si="51"/>
        <v/>
      </c>
      <c r="H441" s="257" t="str">
        <f t="shared" si="52"/>
        <v/>
      </c>
    </row>
    <row r="442" spans="1:8" x14ac:dyDescent="0.25">
      <c r="A442" s="254" t="str">
        <f t="shared" ca="1" si="53"/>
        <v/>
      </c>
      <c r="B442" s="255"/>
      <c r="C442" s="256"/>
      <c r="D442" s="257" t="str">
        <f t="shared" si="49"/>
        <v/>
      </c>
      <c r="F442" s="257" t="str">
        <f t="shared" si="50"/>
        <v/>
      </c>
      <c r="G442" s="257" t="str">
        <f t="shared" si="51"/>
        <v/>
      </c>
      <c r="H442" s="257" t="str">
        <f t="shared" si="52"/>
        <v/>
      </c>
    </row>
    <row r="443" spans="1:8" x14ac:dyDescent="0.25">
      <c r="A443" s="254" t="str">
        <f t="shared" ca="1" si="53"/>
        <v/>
      </c>
      <c r="B443" s="255"/>
      <c r="C443" s="256"/>
      <c r="D443" s="257" t="str">
        <f t="shared" si="49"/>
        <v/>
      </c>
      <c r="F443" s="257" t="str">
        <f t="shared" si="50"/>
        <v/>
      </c>
      <c r="G443" s="257" t="str">
        <f t="shared" si="51"/>
        <v/>
      </c>
      <c r="H443" s="257" t="str">
        <f t="shared" si="52"/>
        <v/>
      </c>
    </row>
    <row r="444" spans="1:8" x14ac:dyDescent="0.25">
      <c r="A444" s="254" t="str">
        <f t="shared" ca="1" si="53"/>
        <v/>
      </c>
      <c r="B444" s="255"/>
      <c r="C444" s="256"/>
      <c r="D444" s="257" t="str">
        <f t="shared" si="49"/>
        <v/>
      </c>
      <c r="F444" s="257" t="str">
        <f t="shared" si="50"/>
        <v/>
      </c>
      <c r="G444" s="257" t="str">
        <f t="shared" si="51"/>
        <v/>
      </c>
      <c r="H444" s="257" t="str">
        <f t="shared" si="52"/>
        <v/>
      </c>
    </row>
    <row r="445" spans="1:8" x14ac:dyDescent="0.25">
      <c r="A445" s="254" t="str">
        <f t="shared" ca="1" si="53"/>
        <v/>
      </c>
      <c r="B445" s="255"/>
      <c r="C445" s="256"/>
      <c r="D445" s="257" t="str">
        <f t="shared" si="49"/>
        <v/>
      </c>
      <c r="F445" s="257" t="str">
        <f t="shared" si="50"/>
        <v/>
      </c>
      <c r="G445" s="257" t="str">
        <f t="shared" si="51"/>
        <v/>
      </c>
      <c r="H445" s="257" t="str">
        <f t="shared" si="52"/>
        <v/>
      </c>
    </row>
    <row r="446" spans="1:8" x14ac:dyDescent="0.25">
      <c r="A446" s="254" t="str">
        <f t="shared" ca="1" si="53"/>
        <v/>
      </c>
      <c r="B446" s="255"/>
      <c r="C446" s="256"/>
      <c r="D446" s="257" t="str">
        <f t="shared" si="49"/>
        <v/>
      </c>
      <c r="F446" s="257" t="str">
        <f t="shared" si="50"/>
        <v/>
      </c>
      <c r="G446" s="257" t="str">
        <f t="shared" si="51"/>
        <v/>
      </c>
      <c r="H446" s="257" t="str">
        <f t="shared" si="52"/>
        <v/>
      </c>
    </row>
    <row r="447" spans="1:8" x14ac:dyDescent="0.25">
      <c r="A447" s="254" t="str">
        <f t="shared" ca="1" si="53"/>
        <v/>
      </c>
      <c r="B447" s="255"/>
      <c r="C447" s="256"/>
      <c r="D447" s="257" t="str">
        <f t="shared" si="49"/>
        <v/>
      </c>
      <c r="F447" s="257" t="str">
        <f t="shared" si="50"/>
        <v/>
      </c>
      <c r="G447" s="257" t="str">
        <f t="shared" si="51"/>
        <v/>
      </c>
      <c r="H447" s="257" t="str">
        <f t="shared" si="52"/>
        <v/>
      </c>
    </row>
    <row r="448" spans="1:8" x14ac:dyDescent="0.25">
      <c r="A448" s="254" t="str">
        <f t="shared" ca="1" si="53"/>
        <v/>
      </c>
      <c r="B448" s="255"/>
      <c r="C448" s="256"/>
      <c r="D448" s="257" t="str">
        <f t="shared" si="49"/>
        <v/>
      </c>
      <c r="F448" s="257" t="str">
        <f t="shared" si="50"/>
        <v/>
      </c>
      <c r="G448" s="257" t="str">
        <f t="shared" si="51"/>
        <v/>
      </c>
      <c r="H448" s="257" t="str">
        <f t="shared" si="52"/>
        <v/>
      </c>
    </row>
    <row r="449" spans="1:8" x14ac:dyDescent="0.25">
      <c r="A449" s="254" t="str">
        <f t="shared" ca="1" si="53"/>
        <v/>
      </c>
      <c r="B449" s="255"/>
      <c r="C449" s="256"/>
      <c r="D449" s="257" t="str">
        <f t="shared" si="49"/>
        <v/>
      </c>
      <c r="F449" s="257" t="str">
        <f t="shared" si="50"/>
        <v/>
      </c>
      <c r="G449" s="257" t="str">
        <f t="shared" si="51"/>
        <v/>
      </c>
      <c r="H449" s="257" t="str">
        <f t="shared" si="52"/>
        <v/>
      </c>
    </row>
    <row r="450" spans="1:8" x14ac:dyDescent="0.25">
      <c r="A450" s="254" t="str">
        <f t="shared" ca="1" si="53"/>
        <v/>
      </c>
      <c r="B450" s="255"/>
      <c r="C450" s="256"/>
      <c r="D450" s="257" t="str">
        <f t="shared" si="49"/>
        <v/>
      </c>
      <c r="F450" s="257" t="str">
        <f t="shared" si="50"/>
        <v/>
      </c>
      <c r="G450" s="257" t="str">
        <f t="shared" si="51"/>
        <v/>
      </c>
      <c r="H450" s="257" t="str">
        <f t="shared" si="52"/>
        <v/>
      </c>
    </row>
    <row r="451" spans="1:8" x14ac:dyDescent="0.25">
      <c r="A451" s="254" t="str">
        <f t="shared" ca="1" si="53"/>
        <v/>
      </c>
      <c r="B451" s="255"/>
      <c r="C451" s="256"/>
      <c r="D451" s="257" t="str">
        <f t="shared" si="49"/>
        <v/>
      </c>
      <c r="F451" s="257" t="str">
        <f t="shared" si="50"/>
        <v/>
      </c>
      <c r="G451" s="257" t="str">
        <f t="shared" si="51"/>
        <v/>
      </c>
      <c r="H451" s="257" t="str">
        <f t="shared" si="52"/>
        <v/>
      </c>
    </row>
    <row r="452" spans="1:8" x14ac:dyDescent="0.25">
      <c r="A452" s="254" t="str">
        <f t="shared" ca="1" si="53"/>
        <v/>
      </c>
      <c r="B452" s="255"/>
      <c r="C452" s="256"/>
      <c r="D452" s="257" t="str">
        <f t="shared" si="49"/>
        <v/>
      </c>
      <c r="F452" s="257" t="str">
        <f t="shared" si="50"/>
        <v/>
      </c>
      <c r="G452" s="257" t="str">
        <f t="shared" si="51"/>
        <v/>
      </c>
      <c r="H452" s="257" t="str">
        <f t="shared" si="52"/>
        <v/>
      </c>
    </row>
    <row r="453" spans="1:8" x14ac:dyDescent="0.25">
      <c r="A453" s="254" t="str">
        <f t="shared" ca="1" si="53"/>
        <v/>
      </c>
      <c r="B453" s="255"/>
      <c r="C453" s="256"/>
      <c r="D453" s="257" t="str">
        <f t="shared" si="49"/>
        <v/>
      </c>
      <c r="F453" s="257" t="str">
        <f t="shared" si="50"/>
        <v/>
      </c>
      <c r="G453" s="257" t="str">
        <f t="shared" si="51"/>
        <v/>
      </c>
      <c r="H453" s="257" t="str">
        <f t="shared" si="52"/>
        <v/>
      </c>
    </row>
    <row r="454" spans="1:8" x14ac:dyDescent="0.25">
      <c r="A454" s="254" t="str">
        <f t="shared" ca="1" si="53"/>
        <v/>
      </c>
      <c r="B454" s="255"/>
      <c r="C454" s="256"/>
      <c r="D454" s="257" t="str">
        <f t="shared" si="49"/>
        <v/>
      </c>
      <c r="F454" s="257" t="str">
        <f t="shared" si="50"/>
        <v/>
      </c>
      <c r="G454" s="257" t="str">
        <f t="shared" si="51"/>
        <v/>
      </c>
      <c r="H454" s="257" t="str">
        <f t="shared" si="52"/>
        <v/>
      </c>
    </row>
    <row r="455" spans="1:8" x14ac:dyDescent="0.25">
      <c r="A455" s="254" t="str">
        <f t="shared" ca="1" si="53"/>
        <v/>
      </c>
      <c r="B455" s="255"/>
      <c r="C455" s="256"/>
      <c r="D455" s="257" t="str">
        <f t="shared" si="49"/>
        <v/>
      </c>
      <c r="F455" s="257" t="str">
        <f t="shared" si="50"/>
        <v/>
      </c>
      <c r="G455" s="257" t="str">
        <f t="shared" si="51"/>
        <v/>
      </c>
      <c r="H455" s="257" t="str">
        <f t="shared" si="52"/>
        <v/>
      </c>
    </row>
    <row r="456" spans="1:8" x14ac:dyDescent="0.25">
      <c r="A456" s="254" t="str">
        <f t="shared" ca="1" si="53"/>
        <v/>
      </c>
      <c r="B456" s="255"/>
      <c r="C456" s="256"/>
      <c r="D456" s="257" t="str">
        <f t="shared" si="49"/>
        <v/>
      </c>
      <c r="F456" s="257" t="str">
        <f t="shared" si="50"/>
        <v/>
      </c>
      <c r="G456" s="257" t="str">
        <f t="shared" si="51"/>
        <v/>
      </c>
      <c r="H456" s="257" t="str">
        <f t="shared" si="52"/>
        <v/>
      </c>
    </row>
    <row r="457" spans="1:8" x14ac:dyDescent="0.25">
      <c r="A457" s="254" t="str">
        <f t="shared" ca="1" si="53"/>
        <v/>
      </c>
      <c r="B457" s="255"/>
      <c r="C457" s="256"/>
      <c r="D457" s="257" t="str">
        <f t="shared" si="49"/>
        <v/>
      </c>
      <c r="F457" s="257" t="str">
        <f t="shared" si="50"/>
        <v/>
      </c>
      <c r="G457" s="257" t="str">
        <f t="shared" si="51"/>
        <v/>
      </c>
      <c r="H457" s="257" t="str">
        <f t="shared" si="52"/>
        <v/>
      </c>
    </row>
    <row r="458" spans="1:8" x14ac:dyDescent="0.25">
      <c r="A458" s="254" t="str">
        <f t="shared" ca="1" si="53"/>
        <v/>
      </c>
      <c r="B458" s="255"/>
      <c r="C458" s="256"/>
      <c r="D458" s="257" t="str">
        <f t="shared" si="49"/>
        <v/>
      </c>
      <c r="F458" s="257" t="str">
        <f t="shared" si="50"/>
        <v/>
      </c>
      <c r="G458" s="257" t="str">
        <f t="shared" si="51"/>
        <v/>
      </c>
      <c r="H458" s="257" t="str">
        <f t="shared" si="52"/>
        <v/>
      </c>
    </row>
    <row r="459" spans="1:8" x14ac:dyDescent="0.25">
      <c r="A459" s="254" t="str">
        <f t="shared" ca="1" si="53"/>
        <v/>
      </c>
      <c r="B459" s="255"/>
      <c r="C459" s="256"/>
      <c r="D459" s="257" t="str">
        <f t="shared" si="49"/>
        <v/>
      </c>
      <c r="F459" s="257" t="str">
        <f t="shared" si="50"/>
        <v/>
      </c>
      <c r="G459" s="257" t="str">
        <f t="shared" si="51"/>
        <v/>
      </c>
      <c r="H459" s="257" t="str">
        <f t="shared" si="52"/>
        <v/>
      </c>
    </row>
    <row r="460" spans="1:8" x14ac:dyDescent="0.25">
      <c r="A460" s="254" t="str">
        <f t="shared" ca="1" si="53"/>
        <v/>
      </c>
      <c r="B460" s="255"/>
      <c r="C460" s="256"/>
      <c r="D460" s="257" t="str">
        <f t="shared" si="49"/>
        <v/>
      </c>
      <c r="F460" s="257" t="str">
        <f t="shared" si="50"/>
        <v/>
      </c>
      <c r="G460" s="257" t="str">
        <f t="shared" si="51"/>
        <v/>
      </c>
      <c r="H460" s="257" t="str">
        <f t="shared" si="52"/>
        <v/>
      </c>
    </row>
    <row r="461" spans="1:8" x14ac:dyDescent="0.25">
      <c r="A461" s="254" t="str">
        <f t="shared" ca="1" si="53"/>
        <v/>
      </c>
      <c r="B461" s="255"/>
      <c r="C461" s="256"/>
      <c r="D461" s="257" t="str">
        <f t="shared" si="49"/>
        <v/>
      </c>
      <c r="F461" s="257" t="str">
        <f t="shared" si="50"/>
        <v/>
      </c>
      <c r="G461" s="257" t="str">
        <f t="shared" si="51"/>
        <v/>
      </c>
      <c r="H461" s="257" t="str">
        <f t="shared" si="52"/>
        <v/>
      </c>
    </row>
    <row r="462" spans="1:8" x14ac:dyDescent="0.25">
      <c r="A462" s="254" t="str">
        <f t="shared" ca="1" si="53"/>
        <v/>
      </c>
      <c r="B462" s="255"/>
      <c r="C462" s="256"/>
      <c r="D462" s="257" t="str">
        <f t="shared" si="49"/>
        <v/>
      </c>
      <c r="F462" s="257" t="str">
        <f t="shared" si="50"/>
        <v/>
      </c>
      <c r="G462" s="257" t="str">
        <f t="shared" si="51"/>
        <v/>
      </c>
      <c r="H462" s="257" t="str">
        <f t="shared" si="52"/>
        <v/>
      </c>
    </row>
    <row r="463" spans="1:8" x14ac:dyDescent="0.25">
      <c r="A463" s="254" t="str">
        <f t="shared" ca="1" si="53"/>
        <v/>
      </c>
      <c r="B463" s="255"/>
      <c r="C463" s="256"/>
      <c r="D463" s="257" t="str">
        <f t="shared" si="49"/>
        <v/>
      </c>
      <c r="F463" s="257" t="str">
        <f t="shared" si="50"/>
        <v/>
      </c>
      <c r="G463" s="257" t="str">
        <f t="shared" si="51"/>
        <v/>
      </c>
      <c r="H463" s="257" t="str">
        <f t="shared" si="52"/>
        <v/>
      </c>
    </row>
    <row r="464" spans="1:8" x14ac:dyDescent="0.25">
      <c r="A464" s="254" t="str">
        <f t="shared" ca="1" si="53"/>
        <v/>
      </c>
      <c r="B464" s="255"/>
      <c r="C464" s="256"/>
      <c r="D464" s="257" t="str">
        <f t="shared" si="49"/>
        <v/>
      </c>
      <c r="F464" s="257" t="str">
        <f t="shared" si="50"/>
        <v/>
      </c>
      <c r="G464" s="257" t="str">
        <f t="shared" si="51"/>
        <v/>
      </c>
      <c r="H464" s="257" t="str">
        <f t="shared" si="52"/>
        <v/>
      </c>
    </row>
    <row r="465" spans="1:8" x14ac:dyDescent="0.25">
      <c r="A465" s="254" t="str">
        <f t="shared" ca="1" si="53"/>
        <v/>
      </c>
      <c r="B465" s="255"/>
      <c r="C465" s="256"/>
      <c r="D465" s="257" t="str">
        <f t="shared" si="49"/>
        <v/>
      </c>
      <c r="F465" s="257" t="str">
        <f t="shared" si="50"/>
        <v/>
      </c>
      <c r="G465" s="257" t="str">
        <f t="shared" si="51"/>
        <v/>
      </c>
      <c r="H465" s="257" t="str">
        <f t="shared" si="52"/>
        <v/>
      </c>
    </row>
    <row r="466" spans="1:8" x14ac:dyDescent="0.25">
      <c r="A466" s="254" t="str">
        <f t="shared" ca="1" si="53"/>
        <v/>
      </c>
      <c r="B466" s="255"/>
      <c r="C466" s="256"/>
      <c r="D466" s="257" t="str">
        <f t="shared" si="49"/>
        <v/>
      </c>
      <c r="F466" s="257" t="str">
        <f t="shared" si="50"/>
        <v/>
      </c>
      <c r="G466" s="257" t="str">
        <f t="shared" si="51"/>
        <v/>
      </c>
      <c r="H466" s="257" t="str">
        <f t="shared" si="52"/>
        <v/>
      </c>
    </row>
    <row r="467" spans="1:8" x14ac:dyDescent="0.25">
      <c r="A467" s="254" t="str">
        <f t="shared" ca="1" si="53"/>
        <v/>
      </c>
      <c r="B467" s="255"/>
      <c r="C467" s="256"/>
      <c r="D467" s="257" t="str">
        <f t="shared" ref="D467:D530" si="54">IF(B467="","",ROUND((B467-B466)*$H$9*G466,2))</f>
        <v/>
      </c>
      <c r="F467" s="257" t="str">
        <f t="shared" ref="F467:F530" si="55">IF(B467="","",IF(C467&gt;F466+D467,0,F466+D467-C467))</f>
        <v/>
      </c>
      <c r="G467" s="257" t="str">
        <f t="shared" ref="G467:G530" si="56">IF(B467="","",IF(C467&gt;D467+F466,G466+F466+D467-C467,G466))</f>
        <v/>
      </c>
      <c r="H467" s="257" t="str">
        <f t="shared" ref="H467:H530" si="57">IF(B467="","",G467+F467)</f>
        <v/>
      </c>
    </row>
    <row r="468" spans="1:8" x14ac:dyDescent="0.25">
      <c r="A468" s="254" t="str">
        <f t="shared" ca="1" si="53"/>
        <v/>
      </c>
      <c r="B468" s="255"/>
      <c r="C468" s="256"/>
      <c r="D468" s="257" t="str">
        <f t="shared" si="54"/>
        <v/>
      </c>
      <c r="F468" s="257" t="str">
        <f t="shared" si="55"/>
        <v/>
      </c>
      <c r="G468" s="257" t="str">
        <f t="shared" si="56"/>
        <v/>
      </c>
      <c r="H468" s="257" t="str">
        <f t="shared" si="57"/>
        <v/>
      </c>
    </row>
    <row r="469" spans="1:8" x14ac:dyDescent="0.25">
      <c r="A469" s="254" t="str">
        <f t="shared" ca="1" si="53"/>
        <v/>
      </c>
      <c r="B469" s="255"/>
      <c r="C469" s="256"/>
      <c r="D469" s="257" t="str">
        <f t="shared" si="54"/>
        <v/>
      </c>
      <c r="F469" s="257" t="str">
        <f t="shared" si="55"/>
        <v/>
      </c>
      <c r="G469" s="257" t="str">
        <f t="shared" si="56"/>
        <v/>
      </c>
      <c r="H469" s="257" t="str">
        <f t="shared" si="57"/>
        <v/>
      </c>
    </row>
    <row r="470" spans="1:8" x14ac:dyDescent="0.25">
      <c r="A470" s="254" t="str">
        <f t="shared" ca="1" si="53"/>
        <v/>
      </c>
      <c r="B470" s="255"/>
      <c r="C470" s="256"/>
      <c r="D470" s="257" t="str">
        <f t="shared" si="54"/>
        <v/>
      </c>
      <c r="F470" s="257" t="str">
        <f t="shared" si="55"/>
        <v/>
      </c>
      <c r="G470" s="257" t="str">
        <f t="shared" si="56"/>
        <v/>
      </c>
      <c r="H470" s="257" t="str">
        <f t="shared" si="57"/>
        <v/>
      </c>
    </row>
    <row r="471" spans="1:8" x14ac:dyDescent="0.25">
      <c r="A471" s="254" t="str">
        <f t="shared" ca="1" si="53"/>
        <v/>
      </c>
      <c r="B471" s="255"/>
      <c r="C471" s="256"/>
      <c r="D471" s="257" t="str">
        <f t="shared" si="54"/>
        <v/>
      </c>
      <c r="F471" s="257" t="str">
        <f t="shared" si="55"/>
        <v/>
      </c>
      <c r="G471" s="257" t="str">
        <f t="shared" si="56"/>
        <v/>
      </c>
      <c r="H471" s="257" t="str">
        <f t="shared" si="57"/>
        <v/>
      </c>
    </row>
    <row r="472" spans="1:8" x14ac:dyDescent="0.25">
      <c r="A472" s="254" t="str">
        <f t="shared" ca="1" si="53"/>
        <v/>
      </c>
      <c r="B472" s="255"/>
      <c r="C472" s="256"/>
      <c r="D472" s="257" t="str">
        <f t="shared" si="54"/>
        <v/>
      </c>
      <c r="F472" s="257" t="str">
        <f t="shared" si="55"/>
        <v/>
      </c>
      <c r="G472" s="257" t="str">
        <f t="shared" si="56"/>
        <v/>
      </c>
      <c r="H472" s="257" t="str">
        <f t="shared" si="57"/>
        <v/>
      </c>
    </row>
    <row r="473" spans="1:8" x14ac:dyDescent="0.25">
      <c r="A473" s="254" t="str">
        <f t="shared" ca="1" si="53"/>
        <v/>
      </c>
      <c r="B473" s="255"/>
      <c r="C473" s="256"/>
      <c r="D473" s="257" t="str">
        <f t="shared" si="54"/>
        <v/>
      </c>
      <c r="F473" s="257" t="str">
        <f t="shared" si="55"/>
        <v/>
      </c>
      <c r="G473" s="257" t="str">
        <f t="shared" si="56"/>
        <v/>
      </c>
      <c r="H473" s="257" t="str">
        <f t="shared" si="57"/>
        <v/>
      </c>
    </row>
    <row r="474" spans="1:8" x14ac:dyDescent="0.25">
      <c r="A474" s="254" t="str">
        <f t="shared" ca="1" si="53"/>
        <v/>
      </c>
      <c r="B474" s="255"/>
      <c r="C474" s="256"/>
      <c r="D474" s="257" t="str">
        <f t="shared" si="54"/>
        <v/>
      </c>
      <c r="F474" s="257" t="str">
        <f t="shared" si="55"/>
        <v/>
      </c>
      <c r="G474" s="257" t="str">
        <f t="shared" si="56"/>
        <v/>
      </c>
      <c r="H474" s="257" t="str">
        <f t="shared" si="57"/>
        <v/>
      </c>
    </row>
    <row r="475" spans="1:8" x14ac:dyDescent="0.25">
      <c r="A475" s="254" t="str">
        <f t="shared" ca="1" si="53"/>
        <v/>
      </c>
      <c r="B475" s="255"/>
      <c r="C475" s="256"/>
      <c r="D475" s="257" t="str">
        <f t="shared" si="54"/>
        <v/>
      </c>
      <c r="F475" s="257" t="str">
        <f t="shared" si="55"/>
        <v/>
      </c>
      <c r="G475" s="257" t="str">
        <f t="shared" si="56"/>
        <v/>
      </c>
      <c r="H475" s="257" t="str">
        <f t="shared" si="57"/>
        <v/>
      </c>
    </row>
    <row r="476" spans="1:8" x14ac:dyDescent="0.25">
      <c r="A476" s="254" t="str">
        <f t="shared" ca="1" si="53"/>
        <v/>
      </c>
      <c r="B476" s="255"/>
      <c r="C476" s="256"/>
      <c r="D476" s="257" t="str">
        <f t="shared" si="54"/>
        <v/>
      </c>
      <c r="F476" s="257" t="str">
        <f t="shared" si="55"/>
        <v/>
      </c>
      <c r="G476" s="257" t="str">
        <f t="shared" si="56"/>
        <v/>
      </c>
      <c r="H476" s="257" t="str">
        <f t="shared" si="57"/>
        <v/>
      </c>
    </row>
    <row r="477" spans="1:8" x14ac:dyDescent="0.25">
      <c r="A477" s="254" t="str">
        <f t="shared" ca="1" si="53"/>
        <v/>
      </c>
      <c r="B477" s="255"/>
      <c r="C477" s="256"/>
      <c r="D477" s="257" t="str">
        <f t="shared" si="54"/>
        <v/>
      </c>
      <c r="F477" s="257" t="str">
        <f t="shared" si="55"/>
        <v/>
      </c>
      <c r="G477" s="257" t="str">
        <f t="shared" si="56"/>
        <v/>
      </c>
      <c r="H477" s="257" t="str">
        <f t="shared" si="57"/>
        <v/>
      </c>
    </row>
    <row r="478" spans="1:8" x14ac:dyDescent="0.25">
      <c r="A478" s="254" t="str">
        <f t="shared" ca="1" si="53"/>
        <v/>
      </c>
      <c r="B478" s="255"/>
      <c r="C478" s="256"/>
      <c r="D478" s="257" t="str">
        <f t="shared" si="54"/>
        <v/>
      </c>
      <c r="F478" s="257" t="str">
        <f t="shared" si="55"/>
        <v/>
      </c>
      <c r="G478" s="257" t="str">
        <f t="shared" si="56"/>
        <v/>
      </c>
      <c r="H478" s="257" t="str">
        <f t="shared" si="57"/>
        <v/>
      </c>
    </row>
    <row r="479" spans="1:8" x14ac:dyDescent="0.25">
      <c r="A479" s="254" t="str">
        <f t="shared" ca="1" si="53"/>
        <v/>
      </c>
      <c r="B479" s="255"/>
      <c r="C479" s="256"/>
      <c r="D479" s="257" t="str">
        <f t="shared" si="54"/>
        <v/>
      </c>
      <c r="F479" s="257" t="str">
        <f t="shared" si="55"/>
        <v/>
      </c>
      <c r="G479" s="257" t="str">
        <f t="shared" si="56"/>
        <v/>
      </c>
      <c r="H479" s="257" t="str">
        <f t="shared" si="57"/>
        <v/>
      </c>
    </row>
    <row r="480" spans="1:8" x14ac:dyDescent="0.25">
      <c r="A480" s="254" t="str">
        <f t="shared" ca="1" si="53"/>
        <v/>
      </c>
      <c r="B480" s="255"/>
      <c r="C480" s="256"/>
      <c r="D480" s="257" t="str">
        <f t="shared" si="54"/>
        <v/>
      </c>
      <c r="F480" s="257" t="str">
        <f t="shared" si="55"/>
        <v/>
      </c>
      <c r="G480" s="257" t="str">
        <f t="shared" si="56"/>
        <v/>
      </c>
      <c r="H480" s="257" t="str">
        <f t="shared" si="57"/>
        <v/>
      </c>
    </row>
    <row r="481" spans="1:8" x14ac:dyDescent="0.25">
      <c r="A481" s="254" t="str">
        <f t="shared" ca="1" si="53"/>
        <v/>
      </c>
      <c r="B481" s="255"/>
      <c r="C481" s="256"/>
      <c r="D481" s="257" t="str">
        <f t="shared" si="54"/>
        <v/>
      </c>
      <c r="F481" s="257" t="str">
        <f t="shared" si="55"/>
        <v/>
      </c>
      <c r="G481" s="257" t="str">
        <f t="shared" si="56"/>
        <v/>
      </c>
      <c r="H481" s="257" t="str">
        <f t="shared" si="57"/>
        <v/>
      </c>
    </row>
    <row r="482" spans="1:8" x14ac:dyDescent="0.25">
      <c r="A482" s="254" t="str">
        <f t="shared" ca="1" si="53"/>
        <v/>
      </c>
      <c r="B482" s="255"/>
      <c r="C482" s="256"/>
      <c r="D482" s="257" t="str">
        <f t="shared" si="54"/>
        <v/>
      </c>
      <c r="F482" s="257" t="str">
        <f t="shared" si="55"/>
        <v/>
      </c>
      <c r="G482" s="257" t="str">
        <f t="shared" si="56"/>
        <v/>
      </c>
      <c r="H482" s="257" t="str">
        <f t="shared" si="57"/>
        <v/>
      </c>
    </row>
    <row r="483" spans="1:8" x14ac:dyDescent="0.25">
      <c r="A483" s="254" t="str">
        <f t="shared" ca="1" si="53"/>
        <v/>
      </c>
      <c r="B483" s="255"/>
      <c r="C483" s="256"/>
      <c r="D483" s="257" t="str">
        <f t="shared" si="54"/>
        <v/>
      </c>
      <c r="F483" s="257" t="str">
        <f t="shared" si="55"/>
        <v/>
      </c>
      <c r="G483" s="257" t="str">
        <f t="shared" si="56"/>
        <v/>
      </c>
      <c r="H483" s="257" t="str">
        <f t="shared" si="57"/>
        <v/>
      </c>
    </row>
    <row r="484" spans="1:8" x14ac:dyDescent="0.25">
      <c r="A484" s="254" t="str">
        <f t="shared" ca="1" si="53"/>
        <v/>
      </c>
      <c r="B484" s="255"/>
      <c r="C484" s="256"/>
      <c r="D484" s="257" t="str">
        <f t="shared" si="54"/>
        <v/>
      </c>
      <c r="F484" s="257" t="str">
        <f t="shared" si="55"/>
        <v/>
      </c>
      <c r="G484" s="257" t="str">
        <f t="shared" si="56"/>
        <v/>
      </c>
      <c r="H484" s="257" t="str">
        <f t="shared" si="57"/>
        <v/>
      </c>
    </row>
    <row r="485" spans="1:8" x14ac:dyDescent="0.25">
      <c r="A485" s="254" t="str">
        <f t="shared" ca="1" si="53"/>
        <v/>
      </c>
      <c r="B485" s="255"/>
      <c r="C485" s="256"/>
      <c r="D485" s="257" t="str">
        <f t="shared" si="54"/>
        <v/>
      </c>
      <c r="F485" s="257" t="str">
        <f t="shared" si="55"/>
        <v/>
      </c>
      <c r="G485" s="257" t="str">
        <f t="shared" si="56"/>
        <v/>
      </c>
      <c r="H485" s="257" t="str">
        <f t="shared" si="57"/>
        <v/>
      </c>
    </row>
    <row r="486" spans="1:8" x14ac:dyDescent="0.25">
      <c r="A486" s="254" t="str">
        <f t="shared" ca="1" si="53"/>
        <v/>
      </c>
      <c r="B486" s="255"/>
      <c r="C486" s="256"/>
      <c r="D486" s="257" t="str">
        <f t="shared" si="54"/>
        <v/>
      </c>
      <c r="F486" s="257" t="str">
        <f t="shared" si="55"/>
        <v/>
      </c>
      <c r="G486" s="257" t="str">
        <f t="shared" si="56"/>
        <v/>
      </c>
      <c r="H486" s="257" t="str">
        <f t="shared" si="57"/>
        <v/>
      </c>
    </row>
    <row r="487" spans="1:8" x14ac:dyDescent="0.25">
      <c r="A487" s="254" t="str">
        <f t="shared" ca="1" si="53"/>
        <v/>
      </c>
      <c r="B487" s="255"/>
      <c r="C487" s="256"/>
      <c r="D487" s="257" t="str">
        <f t="shared" si="54"/>
        <v/>
      </c>
      <c r="F487" s="257" t="str">
        <f t="shared" si="55"/>
        <v/>
      </c>
      <c r="G487" s="257" t="str">
        <f t="shared" si="56"/>
        <v/>
      </c>
      <c r="H487" s="257" t="str">
        <f t="shared" si="57"/>
        <v/>
      </c>
    </row>
    <row r="488" spans="1:8" x14ac:dyDescent="0.25">
      <c r="A488" s="254" t="str">
        <f t="shared" ca="1" si="53"/>
        <v/>
      </c>
      <c r="B488" s="255"/>
      <c r="C488" s="256"/>
      <c r="D488" s="257" t="str">
        <f t="shared" si="54"/>
        <v/>
      </c>
      <c r="F488" s="257" t="str">
        <f t="shared" si="55"/>
        <v/>
      </c>
      <c r="G488" s="257" t="str">
        <f t="shared" si="56"/>
        <v/>
      </c>
      <c r="H488" s="257" t="str">
        <f t="shared" si="57"/>
        <v/>
      </c>
    </row>
    <row r="489" spans="1:8" x14ac:dyDescent="0.25">
      <c r="A489" s="254" t="str">
        <f t="shared" ref="A489:A552" ca="1" si="58">IF(OR(H488&lt;=0,H488=""),"",OFFSET(A489,-1,0,1,1)+1)</f>
        <v/>
      </c>
      <c r="B489" s="255"/>
      <c r="C489" s="256"/>
      <c r="D489" s="257" t="str">
        <f t="shared" si="54"/>
        <v/>
      </c>
      <c r="F489" s="257" t="str">
        <f t="shared" si="55"/>
        <v/>
      </c>
      <c r="G489" s="257" t="str">
        <f t="shared" si="56"/>
        <v/>
      </c>
      <c r="H489" s="257" t="str">
        <f t="shared" si="57"/>
        <v/>
      </c>
    </row>
    <row r="490" spans="1:8" x14ac:dyDescent="0.25">
      <c r="A490" s="254" t="str">
        <f t="shared" ca="1" si="58"/>
        <v/>
      </c>
      <c r="B490" s="255"/>
      <c r="C490" s="256"/>
      <c r="D490" s="257" t="str">
        <f t="shared" si="54"/>
        <v/>
      </c>
      <c r="F490" s="257" t="str">
        <f t="shared" si="55"/>
        <v/>
      </c>
      <c r="G490" s="257" t="str">
        <f t="shared" si="56"/>
        <v/>
      </c>
      <c r="H490" s="257" t="str">
        <f t="shared" si="57"/>
        <v/>
      </c>
    </row>
    <row r="491" spans="1:8" x14ac:dyDescent="0.25">
      <c r="A491" s="254" t="str">
        <f t="shared" ca="1" si="58"/>
        <v/>
      </c>
      <c r="B491" s="255"/>
      <c r="C491" s="256"/>
      <c r="D491" s="257" t="str">
        <f t="shared" si="54"/>
        <v/>
      </c>
      <c r="F491" s="257" t="str">
        <f t="shared" si="55"/>
        <v/>
      </c>
      <c r="G491" s="257" t="str">
        <f t="shared" si="56"/>
        <v/>
      </c>
      <c r="H491" s="257" t="str">
        <f t="shared" si="57"/>
        <v/>
      </c>
    </row>
    <row r="492" spans="1:8" x14ac:dyDescent="0.25">
      <c r="A492" s="254" t="str">
        <f t="shared" ca="1" si="58"/>
        <v/>
      </c>
      <c r="B492" s="255"/>
      <c r="C492" s="256"/>
      <c r="D492" s="257" t="str">
        <f t="shared" si="54"/>
        <v/>
      </c>
      <c r="F492" s="257" t="str">
        <f t="shared" si="55"/>
        <v/>
      </c>
      <c r="G492" s="257" t="str">
        <f t="shared" si="56"/>
        <v/>
      </c>
      <c r="H492" s="257" t="str">
        <f t="shared" si="57"/>
        <v/>
      </c>
    </row>
    <row r="493" spans="1:8" x14ac:dyDescent="0.25">
      <c r="A493" s="254" t="str">
        <f t="shared" ca="1" si="58"/>
        <v/>
      </c>
      <c r="B493" s="255"/>
      <c r="C493" s="256"/>
      <c r="D493" s="257" t="str">
        <f t="shared" si="54"/>
        <v/>
      </c>
      <c r="F493" s="257" t="str">
        <f t="shared" si="55"/>
        <v/>
      </c>
      <c r="G493" s="257" t="str">
        <f t="shared" si="56"/>
        <v/>
      </c>
      <c r="H493" s="257" t="str">
        <f t="shared" si="57"/>
        <v/>
      </c>
    </row>
    <row r="494" spans="1:8" x14ac:dyDescent="0.25">
      <c r="A494" s="254" t="str">
        <f t="shared" ca="1" si="58"/>
        <v/>
      </c>
      <c r="B494" s="255"/>
      <c r="C494" s="256"/>
      <c r="D494" s="257" t="str">
        <f t="shared" si="54"/>
        <v/>
      </c>
      <c r="F494" s="257" t="str">
        <f t="shared" si="55"/>
        <v/>
      </c>
      <c r="G494" s="257" t="str">
        <f t="shared" si="56"/>
        <v/>
      </c>
      <c r="H494" s="257" t="str">
        <f t="shared" si="57"/>
        <v/>
      </c>
    </row>
    <row r="495" spans="1:8" x14ac:dyDescent="0.25">
      <c r="A495" s="254" t="str">
        <f t="shared" ca="1" si="58"/>
        <v/>
      </c>
      <c r="B495" s="255"/>
      <c r="C495" s="256"/>
      <c r="D495" s="257" t="str">
        <f t="shared" si="54"/>
        <v/>
      </c>
      <c r="F495" s="257" t="str">
        <f t="shared" si="55"/>
        <v/>
      </c>
      <c r="G495" s="257" t="str">
        <f t="shared" si="56"/>
        <v/>
      </c>
      <c r="H495" s="257" t="str">
        <f t="shared" si="57"/>
        <v/>
      </c>
    </row>
    <row r="496" spans="1:8" x14ac:dyDescent="0.25">
      <c r="A496" s="254" t="str">
        <f t="shared" ca="1" si="58"/>
        <v/>
      </c>
      <c r="B496" s="255"/>
      <c r="C496" s="256"/>
      <c r="D496" s="257" t="str">
        <f t="shared" si="54"/>
        <v/>
      </c>
      <c r="F496" s="257" t="str">
        <f t="shared" si="55"/>
        <v/>
      </c>
      <c r="G496" s="257" t="str">
        <f t="shared" si="56"/>
        <v/>
      </c>
      <c r="H496" s="257" t="str">
        <f t="shared" si="57"/>
        <v/>
      </c>
    </row>
    <row r="497" spans="1:8" x14ac:dyDescent="0.25">
      <c r="A497" s="254" t="str">
        <f t="shared" ca="1" si="58"/>
        <v/>
      </c>
      <c r="B497" s="255"/>
      <c r="C497" s="256"/>
      <c r="D497" s="257" t="str">
        <f t="shared" si="54"/>
        <v/>
      </c>
      <c r="F497" s="257" t="str">
        <f t="shared" si="55"/>
        <v/>
      </c>
      <c r="G497" s="257" t="str">
        <f t="shared" si="56"/>
        <v/>
      </c>
      <c r="H497" s="257" t="str">
        <f t="shared" si="57"/>
        <v/>
      </c>
    </row>
    <row r="498" spans="1:8" x14ac:dyDescent="0.25">
      <c r="A498" s="254" t="str">
        <f t="shared" ca="1" si="58"/>
        <v/>
      </c>
      <c r="B498" s="255"/>
      <c r="C498" s="256"/>
      <c r="D498" s="257" t="str">
        <f t="shared" si="54"/>
        <v/>
      </c>
      <c r="F498" s="257" t="str">
        <f t="shared" si="55"/>
        <v/>
      </c>
      <c r="G498" s="257" t="str">
        <f t="shared" si="56"/>
        <v/>
      </c>
      <c r="H498" s="257" t="str">
        <f t="shared" si="57"/>
        <v/>
      </c>
    </row>
    <row r="499" spans="1:8" x14ac:dyDescent="0.25">
      <c r="A499" s="254" t="str">
        <f t="shared" ca="1" si="58"/>
        <v/>
      </c>
      <c r="B499" s="255"/>
      <c r="C499" s="256"/>
      <c r="D499" s="257" t="str">
        <f t="shared" si="54"/>
        <v/>
      </c>
      <c r="F499" s="257" t="str">
        <f t="shared" si="55"/>
        <v/>
      </c>
      <c r="G499" s="257" t="str">
        <f t="shared" si="56"/>
        <v/>
      </c>
      <c r="H499" s="257" t="str">
        <f t="shared" si="57"/>
        <v/>
      </c>
    </row>
    <row r="500" spans="1:8" x14ac:dyDescent="0.25">
      <c r="A500" s="254" t="str">
        <f t="shared" ca="1" si="58"/>
        <v/>
      </c>
      <c r="B500" s="255"/>
      <c r="C500" s="256"/>
      <c r="D500" s="257" t="str">
        <f t="shared" si="54"/>
        <v/>
      </c>
      <c r="F500" s="257" t="str">
        <f t="shared" si="55"/>
        <v/>
      </c>
      <c r="G500" s="257" t="str">
        <f t="shared" si="56"/>
        <v/>
      </c>
      <c r="H500" s="257" t="str">
        <f t="shared" si="57"/>
        <v/>
      </c>
    </row>
    <row r="501" spans="1:8" x14ac:dyDescent="0.25">
      <c r="A501" s="254" t="str">
        <f t="shared" ca="1" si="58"/>
        <v/>
      </c>
      <c r="B501" s="255"/>
      <c r="C501" s="256"/>
      <c r="D501" s="257" t="str">
        <f t="shared" si="54"/>
        <v/>
      </c>
      <c r="F501" s="257" t="str">
        <f t="shared" si="55"/>
        <v/>
      </c>
      <c r="G501" s="257" t="str">
        <f t="shared" si="56"/>
        <v/>
      </c>
      <c r="H501" s="257" t="str">
        <f t="shared" si="57"/>
        <v/>
      </c>
    </row>
    <row r="502" spans="1:8" x14ac:dyDescent="0.25">
      <c r="A502" s="254" t="str">
        <f t="shared" ca="1" si="58"/>
        <v/>
      </c>
      <c r="B502" s="255"/>
      <c r="C502" s="256"/>
      <c r="D502" s="257" t="str">
        <f t="shared" si="54"/>
        <v/>
      </c>
      <c r="F502" s="257" t="str">
        <f t="shared" si="55"/>
        <v/>
      </c>
      <c r="G502" s="257" t="str">
        <f t="shared" si="56"/>
        <v/>
      </c>
      <c r="H502" s="257" t="str">
        <f t="shared" si="57"/>
        <v/>
      </c>
    </row>
    <row r="503" spans="1:8" x14ac:dyDescent="0.25">
      <c r="A503" s="254" t="str">
        <f t="shared" ca="1" si="58"/>
        <v/>
      </c>
      <c r="B503" s="255"/>
      <c r="C503" s="256"/>
      <c r="D503" s="257" t="str">
        <f t="shared" si="54"/>
        <v/>
      </c>
      <c r="F503" s="257" t="str">
        <f t="shared" si="55"/>
        <v/>
      </c>
      <c r="G503" s="257" t="str">
        <f t="shared" si="56"/>
        <v/>
      </c>
      <c r="H503" s="257" t="str">
        <f t="shared" si="57"/>
        <v/>
      </c>
    </row>
    <row r="504" spans="1:8" x14ac:dyDescent="0.25">
      <c r="A504" s="254" t="str">
        <f t="shared" ca="1" si="58"/>
        <v/>
      </c>
      <c r="B504" s="255"/>
      <c r="C504" s="256"/>
      <c r="D504" s="257" t="str">
        <f t="shared" si="54"/>
        <v/>
      </c>
      <c r="F504" s="257" t="str">
        <f t="shared" si="55"/>
        <v/>
      </c>
      <c r="G504" s="257" t="str">
        <f t="shared" si="56"/>
        <v/>
      </c>
      <c r="H504" s="257" t="str">
        <f t="shared" si="57"/>
        <v/>
      </c>
    </row>
    <row r="505" spans="1:8" x14ac:dyDescent="0.25">
      <c r="A505" s="254" t="str">
        <f t="shared" ca="1" si="58"/>
        <v/>
      </c>
      <c r="B505" s="255"/>
      <c r="C505" s="256"/>
      <c r="D505" s="257" t="str">
        <f t="shared" si="54"/>
        <v/>
      </c>
      <c r="F505" s="257" t="str">
        <f t="shared" si="55"/>
        <v/>
      </c>
      <c r="G505" s="257" t="str">
        <f t="shared" si="56"/>
        <v/>
      </c>
      <c r="H505" s="257" t="str">
        <f t="shared" si="57"/>
        <v/>
      </c>
    </row>
    <row r="506" spans="1:8" x14ac:dyDescent="0.25">
      <c r="A506" s="254" t="str">
        <f t="shared" ca="1" si="58"/>
        <v/>
      </c>
      <c r="B506" s="255"/>
      <c r="C506" s="256"/>
      <c r="D506" s="257" t="str">
        <f t="shared" si="54"/>
        <v/>
      </c>
      <c r="F506" s="257" t="str">
        <f t="shared" si="55"/>
        <v/>
      </c>
      <c r="G506" s="257" t="str">
        <f t="shared" si="56"/>
        <v/>
      </c>
      <c r="H506" s="257" t="str">
        <f t="shared" si="57"/>
        <v/>
      </c>
    </row>
    <row r="507" spans="1:8" x14ac:dyDescent="0.25">
      <c r="A507" s="254" t="str">
        <f t="shared" ca="1" si="58"/>
        <v/>
      </c>
      <c r="B507" s="255"/>
      <c r="C507" s="256"/>
      <c r="D507" s="257" t="str">
        <f t="shared" si="54"/>
        <v/>
      </c>
      <c r="F507" s="257" t="str">
        <f t="shared" si="55"/>
        <v/>
      </c>
      <c r="G507" s="257" t="str">
        <f t="shared" si="56"/>
        <v/>
      </c>
      <c r="H507" s="257" t="str">
        <f t="shared" si="57"/>
        <v/>
      </c>
    </row>
    <row r="508" spans="1:8" x14ac:dyDescent="0.25">
      <c r="A508" s="254" t="str">
        <f t="shared" ca="1" si="58"/>
        <v/>
      </c>
      <c r="B508" s="255"/>
      <c r="C508" s="256"/>
      <c r="D508" s="257" t="str">
        <f t="shared" si="54"/>
        <v/>
      </c>
      <c r="F508" s="257" t="str">
        <f t="shared" si="55"/>
        <v/>
      </c>
      <c r="G508" s="257" t="str">
        <f t="shared" si="56"/>
        <v/>
      </c>
      <c r="H508" s="257" t="str">
        <f t="shared" si="57"/>
        <v/>
      </c>
    </row>
    <row r="509" spans="1:8" x14ac:dyDescent="0.25">
      <c r="A509" s="254" t="str">
        <f t="shared" ca="1" si="58"/>
        <v/>
      </c>
      <c r="B509" s="255"/>
      <c r="C509" s="256"/>
      <c r="D509" s="257" t="str">
        <f t="shared" si="54"/>
        <v/>
      </c>
      <c r="F509" s="257" t="str">
        <f t="shared" si="55"/>
        <v/>
      </c>
      <c r="G509" s="257" t="str">
        <f t="shared" si="56"/>
        <v/>
      </c>
      <c r="H509" s="257" t="str">
        <f t="shared" si="57"/>
        <v/>
      </c>
    </row>
    <row r="510" spans="1:8" x14ac:dyDescent="0.25">
      <c r="A510" s="254" t="str">
        <f t="shared" ca="1" si="58"/>
        <v/>
      </c>
      <c r="B510" s="255"/>
      <c r="C510" s="256"/>
      <c r="D510" s="257" t="str">
        <f t="shared" si="54"/>
        <v/>
      </c>
      <c r="F510" s="257" t="str">
        <f t="shared" si="55"/>
        <v/>
      </c>
      <c r="G510" s="257" t="str">
        <f t="shared" si="56"/>
        <v/>
      </c>
      <c r="H510" s="257" t="str">
        <f t="shared" si="57"/>
        <v/>
      </c>
    </row>
    <row r="511" spans="1:8" x14ac:dyDescent="0.25">
      <c r="A511" s="254" t="str">
        <f t="shared" ca="1" si="58"/>
        <v/>
      </c>
      <c r="B511" s="255"/>
      <c r="C511" s="256"/>
      <c r="D511" s="257" t="str">
        <f t="shared" si="54"/>
        <v/>
      </c>
      <c r="F511" s="257" t="str">
        <f t="shared" si="55"/>
        <v/>
      </c>
      <c r="G511" s="257" t="str">
        <f t="shared" si="56"/>
        <v/>
      </c>
      <c r="H511" s="257" t="str">
        <f t="shared" si="57"/>
        <v/>
      </c>
    </row>
    <row r="512" spans="1:8" x14ac:dyDescent="0.25">
      <c r="A512" s="254" t="str">
        <f t="shared" ca="1" si="58"/>
        <v/>
      </c>
      <c r="B512" s="255"/>
      <c r="C512" s="256"/>
      <c r="D512" s="257" t="str">
        <f t="shared" si="54"/>
        <v/>
      </c>
      <c r="F512" s="257" t="str">
        <f t="shared" si="55"/>
        <v/>
      </c>
      <c r="G512" s="257" t="str">
        <f t="shared" si="56"/>
        <v/>
      </c>
      <c r="H512" s="257" t="str">
        <f t="shared" si="57"/>
        <v/>
      </c>
    </row>
    <row r="513" spans="1:8" x14ac:dyDescent="0.25">
      <c r="A513" s="254" t="str">
        <f t="shared" ca="1" si="58"/>
        <v/>
      </c>
      <c r="B513" s="255"/>
      <c r="C513" s="256"/>
      <c r="D513" s="257" t="str">
        <f t="shared" si="54"/>
        <v/>
      </c>
      <c r="F513" s="257" t="str">
        <f t="shared" si="55"/>
        <v/>
      </c>
      <c r="G513" s="257" t="str">
        <f t="shared" si="56"/>
        <v/>
      </c>
      <c r="H513" s="257" t="str">
        <f t="shared" si="57"/>
        <v/>
      </c>
    </row>
    <row r="514" spans="1:8" x14ac:dyDescent="0.25">
      <c r="A514" s="254" t="str">
        <f t="shared" ca="1" si="58"/>
        <v/>
      </c>
      <c r="B514" s="255"/>
      <c r="C514" s="256"/>
      <c r="D514" s="257" t="str">
        <f t="shared" si="54"/>
        <v/>
      </c>
      <c r="F514" s="257" t="str">
        <f t="shared" si="55"/>
        <v/>
      </c>
      <c r="G514" s="257" t="str">
        <f t="shared" si="56"/>
        <v/>
      </c>
      <c r="H514" s="257" t="str">
        <f t="shared" si="57"/>
        <v/>
      </c>
    </row>
    <row r="515" spans="1:8" x14ac:dyDescent="0.25">
      <c r="A515" s="254" t="str">
        <f t="shared" ca="1" si="58"/>
        <v/>
      </c>
      <c r="B515" s="255"/>
      <c r="C515" s="256"/>
      <c r="D515" s="257" t="str">
        <f t="shared" si="54"/>
        <v/>
      </c>
      <c r="F515" s="257" t="str">
        <f t="shared" si="55"/>
        <v/>
      </c>
      <c r="G515" s="257" t="str">
        <f t="shared" si="56"/>
        <v/>
      </c>
      <c r="H515" s="257" t="str">
        <f t="shared" si="57"/>
        <v/>
      </c>
    </row>
    <row r="516" spans="1:8" x14ac:dyDescent="0.25">
      <c r="A516" s="254" t="str">
        <f t="shared" ca="1" si="58"/>
        <v/>
      </c>
      <c r="B516" s="255"/>
      <c r="C516" s="256"/>
      <c r="D516" s="257" t="str">
        <f t="shared" si="54"/>
        <v/>
      </c>
      <c r="F516" s="257" t="str">
        <f t="shared" si="55"/>
        <v/>
      </c>
      <c r="G516" s="257" t="str">
        <f t="shared" si="56"/>
        <v/>
      </c>
      <c r="H516" s="257" t="str">
        <f t="shared" si="57"/>
        <v/>
      </c>
    </row>
    <row r="517" spans="1:8" x14ac:dyDescent="0.25">
      <c r="A517" s="254" t="str">
        <f t="shared" ca="1" si="58"/>
        <v/>
      </c>
      <c r="B517" s="255"/>
      <c r="C517" s="256"/>
      <c r="D517" s="257" t="str">
        <f t="shared" si="54"/>
        <v/>
      </c>
      <c r="F517" s="257" t="str">
        <f t="shared" si="55"/>
        <v/>
      </c>
      <c r="G517" s="257" t="str">
        <f t="shared" si="56"/>
        <v/>
      </c>
      <c r="H517" s="257" t="str">
        <f t="shared" si="57"/>
        <v/>
      </c>
    </row>
    <row r="518" spans="1:8" x14ac:dyDescent="0.25">
      <c r="A518" s="254" t="str">
        <f t="shared" ca="1" si="58"/>
        <v/>
      </c>
      <c r="B518" s="255"/>
      <c r="C518" s="256"/>
      <c r="D518" s="257" t="str">
        <f t="shared" si="54"/>
        <v/>
      </c>
      <c r="F518" s="257" t="str">
        <f t="shared" si="55"/>
        <v/>
      </c>
      <c r="G518" s="257" t="str">
        <f t="shared" si="56"/>
        <v/>
      </c>
      <c r="H518" s="257" t="str">
        <f t="shared" si="57"/>
        <v/>
      </c>
    </row>
    <row r="519" spans="1:8" x14ac:dyDescent="0.25">
      <c r="A519" s="254" t="str">
        <f t="shared" ca="1" si="58"/>
        <v/>
      </c>
      <c r="B519" s="255"/>
      <c r="C519" s="256"/>
      <c r="D519" s="257" t="str">
        <f t="shared" si="54"/>
        <v/>
      </c>
      <c r="F519" s="257" t="str">
        <f t="shared" si="55"/>
        <v/>
      </c>
      <c r="G519" s="257" t="str">
        <f t="shared" si="56"/>
        <v/>
      </c>
      <c r="H519" s="257" t="str">
        <f t="shared" si="57"/>
        <v/>
      </c>
    </row>
    <row r="520" spans="1:8" x14ac:dyDescent="0.25">
      <c r="A520" s="254" t="str">
        <f t="shared" ca="1" si="58"/>
        <v/>
      </c>
      <c r="B520" s="255"/>
      <c r="C520" s="256"/>
      <c r="D520" s="257" t="str">
        <f t="shared" si="54"/>
        <v/>
      </c>
      <c r="F520" s="257" t="str">
        <f t="shared" si="55"/>
        <v/>
      </c>
      <c r="G520" s="257" t="str">
        <f t="shared" si="56"/>
        <v/>
      </c>
      <c r="H520" s="257" t="str">
        <f t="shared" si="57"/>
        <v/>
      </c>
    </row>
    <row r="521" spans="1:8" x14ac:dyDescent="0.25">
      <c r="A521" s="254" t="str">
        <f t="shared" ca="1" si="58"/>
        <v/>
      </c>
      <c r="B521" s="255"/>
      <c r="C521" s="256"/>
      <c r="D521" s="257" t="str">
        <f t="shared" si="54"/>
        <v/>
      </c>
      <c r="F521" s="257" t="str">
        <f t="shared" si="55"/>
        <v/>
      </c>
      <c r="G521" s="257" t="str">
        <f t="shared" si="56"/>
        <v/>
      </c>
      <c r="H521" s="257" t="str">
        <f t="shared" si="57"/>
        <v/>
      </c>
    </row>
    <row r="522" spans="1:8" x14ac:dyDescent="0.25">
      <c r="A522" s="254" t="str">
        <f t="shared" ca="1" si="58"/>
        <v/>
      </c>
      <c r="B522" s="255"/>
      <c r="C522" s="256"/>
      <c r="D522" s="257" t="str">
        <f t="shared" si="54"/>
        <v/>
      </c>
      <c r="F522" s="257" t="str">
        <f t="shared" si="55"/>
        <v/>
      </c>
      <c r="G522" s="257" t="str">
        <f t="shared" si="56"/>
        <v/>
      </c>
      <c r="H522" s="257" t="str">
        <f t="shared" si="57"/>
        <v/>
      </c>
    </row>
    <row r="523" spans="1:8" x14ac:dyDescent="0.25">
      <c r="A523" s="254" t="str">
        <f t="shared" ca="1" si="58"/>
        <v/>
      </c>
      <c r="B523" s="255"/>
      <c r="C523" s="256"/>
      <c r="D523" s="257" t="str">
        <f t="shared" si="54"/>
        <v/>
      </c>
      <c r="F523" s="257" t="str">
        <f t="shared" si="55"/>
        <v/>
      </c>
      <c r="G523" s="257" t="str">
        <f t="shared" si="56"/>
        <v/>
      </c>
      <c r="H523" s="257" t="str">
        <f t="shared" si="57"/>
        <v/>
      </c>
    </row>
    <row r="524" spans="1:8" x14ac:dyDescent="0.25">
      <c r="A524" s="254" t="str">
        <f t="shared" ca="1" si="58"/>
        <v/>
      </c>
      <c r="B524" s="255"/>
      <c r="C524" s="256"/>
      <c r="D524" s="257" t="str">
        <f t="shared" si="54"/>
        <v/>
      </c>
      <c r="F524" s="257" t="str">
        <f t="shared" si="55"/>
        <v/>
      </c>
      <c r="G524" s="257" t="str">
        <f t="shared" si="56"/>
        <v/>
      </c>
      <c r="H524" s="257" t="str">
        <f t="shared" si="57"/>
        <v/>
      </c>
    </row>
    <row r="525" spans="1:8" x14ac:dyDescent="0.25">
      <c r="A525" s="254" t="str">
        <f t="shared" ca="1" si="58"/>
        <v/>
      </c>
      <c r="B525" s="255"/>
      <c r="C525" s="256"/>
      <c r="D525" s="257" t="str">
        <f t="shared" si="54"/>
        <v/>
      </c>
      <c r="F525" s="257" t="str">
        <f t="shared" si="55"/>
        <v/>
      </c>
      <c r="G525" s="257" t="str">
        <f t="shared" si="56"/>
        <v/>
      </c>
      <c r="H525" s="257" t="str">
        <f t="shared" si="57"/>
        <v/>
      </c>
    </row>
    <row r="526" spans="1:8" x14ac:dyDescent="0.25">
      <c r="A526" s="254" t="str">
        <f t="shared" ca="1" si="58"/>
        <v/>
      </c>
      <c r="B526" s="255"/>
      <c r="C526" s="256"/>
      <c r="D526" s="257" t="str">
        <f t="shared" si="54"/>
        <v/>
      </c>
      <c r="F526" s="257" t="str">
        <f t="shared" si="55"/>
        <v/>
      </c>
      <c r="G526" s="257" t="str">
        <f t="shared" si="56"/>
        <v/>
      </c>
      <c r="H526" s="257" t="str">
        <f t="shared" si="57"/>
        <v/>
      </c>
    </row>
    <row r="527" spans="1:8" x14ac:dyDescent="0.25">
      <c r="A527" s="254" t="str">
        <f t="shared" ca="1" si="58"/>
        <v/>
      </c>
      <c r="B527" s="255"/>
      <c r="C527" s="256"/>
      <c r="D527" s="257" t="str">
        <f t="shared" si="54"/>
        <v/>
      </c>
      <c r="F527" s="257" t="str">
        <f t="shared" si="55"/>
        <v/>
      </c>
      <c r="G527" s="257" t="str">
        <f t="shared" si="56"/>
        <v/>
      </c>
      <c r="H527" s="257" t="str">
        <f t="shared" si="57"/>
        <v/>
      </c>
    </row>
    <row r="528" spans="1:8" x14ac:dyDescent="0.25">
      <c r="A528" s="254" t="str">
        <f t="shared" ca="1" si="58"/>
        <v/>
      </c>
      <c r="B528" s="255"/>
      <c r="C528" s="256"/>
      <c r="D528" s="257" t="str">
        <f t="shared" si="54"/>
        <v/>
      </c>
      <c r="F528" s="257" t="str">
        <f t="shared" si="55"/>
        <v/>
      </c>
      <c r="G528" s="257" t="str">
        <f t="shared" si="56"/>
        <v/>
      </c>
      <c r="H528" s="257" t="str">
        <f t="shared" si="57"/>
        <v/>
      </c>
    </row>
    <row r="529" spans="1:8" x14ac:dyDescent="0.25">
      <c r="A529" s="254" t="str">
        <f t="shared" ca="1" si="58"/>
        <v/>
      </c>
      <c r="B529" s="255"/>
      <c r="C529" s="256"/>
      <c r="D529" s="257" t="str">
        <f t="shared" si="54"/>
        <v/>
      </c>
      <c r="F529" s="257" t="str">
        <f t="shared" si="55"/>
        <v/>
      </c>
      <c r="G529" s="257" t="str">
        <f t="shared" si="56"/>
        <v/>
      </c>
      <c r="H529" s="257" t="str">
        <f t="shared" si="57"/>
        <v/>
      </c>
    </row>
    <row r="530" spans="1:8" x14ac:dyDescent="0.25">
      <c r="A530" s="254" t="str">
        <f t="shared" ca="1" si="58"/>
        <v/>
      </c>
      <c r="B530" s="255"/>
      <c r="C530" s="256"/>
      <c r="D530" s="257" t="str">
        <f t="shared" si="54"/>
        <v/>
      </c>
      <c r="F530" s="257" t="str">
        <f t="shared" si="55"/>
        <v/>
      </c>
      <c r="G530" s="257" t="str">
        <f t="shared" si="56"/>
        <v/>
      </c>
      <c r="H530" s="257" t="str">
        <f t="shared" si="57"/>
        <v/>
      </c>
    </row>
    <row r="531" spans="1:8" x14ac:dyDescent="0.25">
      <c r="A531" s="254" t="str">
        <f t="shared" ca="1" si="58"/>
        <v/>
      </c>
      <c r="B531" s="255"/>
      <c r="C531" s="256"/>
      <c r="D531" s="257" t="str">
        <f t="shared" ref="D531:D594" si="59">IF(B531="","",ROUND((B531-B530)*$H$9*G530,2))</f>
        <v/>
      </c>
      <c r="F531" s="257" t="str">
        <f t="shared" ref="F531:F594" si="60">IF(B531="","",IF(C531&gt;F530+D531,0,F530+D531-C531))</f>
        <v/>
      </c>
      <c r="G531" s="257" t="str">
        <f t="shared" ref="G531:G594" si="61">IF(B531="","",IF(C531&gt;D531+F530,G530+F530+D531-C531,G530))</f>
        <v/>
      </c>
      <c r="H531" s="257" t="str">
        <f t="shared" ref="H531:H594" si="62">IF(B531="","",G531+F531)</f>
        <v/>
      </c>
    </row>
    <row r="532" spans="1:8" x14ac:dyDescent="0.25">
      <c r="A532" s="254" t="str">
        <f t="shared" ca="1" si="58"/>
        <v/>
      </c>
      <c r="B532" s="255"/>
      <c r="C532" s="256"/>
      <c r="D532" s="257" t="str">
        <f t="shared" si="59"/>
        <v/>
      </c>
      <c r="F532" s="257" t="str">
        <f t="shared" si="60"/>
        <v/>
      </c>
      <c r="G532" s="257" t="str">
        <f t="shared" si="61"/>
        <v/>
      </c>
      <c r="H532" s="257" t="str">
        <f t="shared" si="62"/>
        <v/>
      </c>
    </row>
    <row r="533" spans="1:8" x14ac:dyDescent="0.25">
      <c r="A533" s="254" t="str">
        <f t="shared" ca="1" si="58"/>
        <v/>
      </c>
      <c r="B533" s="255"/>
      <c r="C533" s="256"/>
      <c r="D533" s="257" t="str">
        <f t="shared" si="59"/>
        <v/>
      </c>
      <c r="F533" s="257" t="str">
        <f t="shared" si="60"/>
        <v/>
      </c>
      <c r="G533" s="257" t="str">
        <f t="shared" si="61"/>
        <v/>
      </c>
      <c r="H533" s="257" t="str">
        <f t="shared" si="62"/>
        <v/>
      </c>
    </row>
    <row r="534" spans="1:8" x14ac:dyDescent="0.25">
      <c r="A534" s="254" t="str">
        <f t="shared" ca="1" si="58"/>
        <v/>
      </c>
      <c r="B534" s="255"/>
      <c r="C534" s="256"/>
      <c r="D534" s="257" t="str">
        <f t="shared" si="59"/>
        <v/>
      </c>
      <c r="F534" s="257" t="str">
        <f t="shared" si="60"/>
        <v/>
      </c>
      <c r="G534" s="257" t="str">
        <f t="shared" si="61"/>
        <v/>
      </c>
      <c r="H534" s="257" t="str">
        <f t="shared" si="62"/>
        <v/>
      </c>
    </row>
    <row r="535" spans="1:8" x14ac:dyDescent="0.25">
      <c r="A535" s="254" t="str">
        <f t="shared" ca="1" si="58"/>
        <v/>
      </c>
      <c r="B535" s="255"/>
      <c r="C535" s="256"/>
      <c r="D535" s="257" t="str">
        <f t="shared" si="59"/>
        <v/>
      </c>
      <c r="F535" s="257" t="str">
        <f t="shared" si="60"/>
        <v/>
      </c>
      <c r="G535" s="257" t="str">
        <f t="shared" si="61"/>
        <v/>
      </c>
      <c r="H535" s="257" t="str">
        <f t="shared" si="62"/>
        <v/>
      </c>
    </row>
    <row r="536" spans="1:8" x14ac:dyDescent="0.25">
      <c r="A536" s="254" t="str">
        <f t="shared" ca="1" si="58"/>
        <v/>
      </c>
      <c r="B536" s="255"/>
      <c r="C536" s="256"/>
      <c r="D536" s="257" t="str">
        <f t="shared" si="59"/>
        <v/>
      </c>
      <c r="F536" s="257" t="str">
        <f t="shared" si="60"/>
        <v/>
      </c>
      <c r="G536" s="257" t="str">
        <f t="shared" si="61"/>
        <v/>
      </c>
      <c r="H536" s="257" t="str">
        <f t="shared" si="62"/>
        <v/>
      </c>
    </row>
    <row r="537" spans="1:8" x14ac:dyDescent="0.25">
      <c r="A537" s="254" t="str">
        <f t="shared" ca="1" si="58"/>
        <v/>
      </c>
      <c r="B537" s="255"/>
      <c r="C537" s="256"/>
      <c r="D537" s="257" t="str">
        <f t="shared" si="59"/>
        <v/>
      </c>
      <c r="F537" s="257" t="str">
        <f t="shared" si="60"/>
        <v/>
      </c>
      <c r="G537" s="257" t="str">
        <f t="shared" si="61"/>
        <v/>
      </c>
      <c r="H537" s="257" t="str">
        <f t="shared" si="62"/>
        <v/>
      </c>
    </row>
    <row r="538" spans="1:8" x14ac:dyDescent="0.25">
      <c r="A538" s="254" t="str">
        <f t="shared" ca="1" si="58"/>
        <v/>
      </c>
      <c r="B538" s="255"/>
      <c r="C538" s="256"/>
      <c r="D538" s="257" t="str">
        <f t="shared" si="59"/>
        <v/>
      </c>
      <c r="F538" s="257" t="str">
        <f t="shared" si="60"/>
        <v/>
      </c>
      <c r="G538" s="257" t="str">
        <f t="shared" si="61"/>
        <v/>
      </c>
      <c r="H538" s="257" t="str">
        <f t="shared" si="62"/>
        <v/>
      </c>
    </row>
    <row r="539" spans="1:8" x14ac:dyDescent="0.25">
      <c r="A539" s="254" t="str">
        <f t="shared" ca="1" si="58"/>
        <v/>
      </c>
      <c r="B539" s="255"/>
      <c r="C539" s="256"/>
      <c r="D539" s="257" t="str">
        <f t="shared" si="59"/>
        <v/>
      </c>
      <c r="F539" s="257" t="str">
        <f t="shared" si="60"/>
        <v/>
      </c>
      <c r="G539" s="257" t="str">
        <f t="shared" si="61"/>
        <v/>
      </c>
      <c r="H539" s="257" t="str">
        <f t="shared" si="62"/>
        <v/>
      </c>
    </row>
    <row r="540" spans="1:8" x14ac:dyDescent="0.25">
      <c r="A540" s="254" t="str">
        <f t="shared" ca="1" si="58"/>
        <v/>
      </c>
      <c r="B540" s="255"/>
      <c r="C540" s="256"/>
      <c r="D540" s="257" t="str">
        <f t="shared" si="59"/>
        <v/>
      </c>
      <c r="F540" s="257" t="str">
        <f t="shared" si="60"/>
        <v/>
      </c>
      <c r="G540" s="257" t="str">
        <f t="shared" si="61"/>
        <v/>
      </c>
      <c r="H540" s="257" t="str">
        <f t="shared" si="62"/>
        <v/>
      </c>
    </row>
    <row r="541" spans="1:8" x14ac:dyDescent="0.25">
      <c r="A541" s="254" t="str">
        <f t="shared" ca="1" si="58"/>
        <v/>
      </c>
      <c r="B541" s="255"/>
      <c r="C541" s="256"/>
      <c r="D541" s="257" t="str">
        <f t="shared" si="59"/>
        <v/>
      </c>
      <c r="F541" s="257" t="str">
        <f t="shared" si="60"/>
        <v/>
      </c>
      <c r="G541" s="257" t="str">
        <f t="shared" si="61"/>
        <v/>
      </c>
      <c r="H541" s="257" t="str">
        <f t="shared" si="62"/>
        <v/>
      </c>
    </row>
    <row r="542" spans="1:8" x14ac:dyDescent="0.25">
      <c r="A542" s="254" t="str">
        <f t="shared" ca="1" si="58"/>
        <v/>
      </c>
      <c r="B542" s="255"/>
      <c r="C542" s="256"/>
      <c r="D542" s="257" t="str">
        <f t="shared" si="59"/>
        <v/>
      </c>
      <c r="F542" s="257" t="str">
        <f t="shared" si="60"/>
        <v/>
      </c>
      <c r="G542" s="257" t="str">
        <f t="shared" si="61"/>
        <v/>
      </c>
      <c r="H542" s="257" t="str">
        <f t="shared" si="62"/>
        <v/>
      </c>
    </row>
    <row r="543" spans="1:8" x14ac:dyDescent="0.25">
      <c r="A543" s="254" t="str">
        <f t="shared" ca="1" si="58"/>
        <v/>
      </c>
      <c r="B543" s="255"/>
      <c r="C543" s="256"/>
      <c r="D543" s="257" t="str">
        <f t="shared" si="59"/>
        <v/>
      </c>
      <c r="F543" s="257" t="str">
        <f t="shared" si="60"/>
        <v/>
      </c>
      <c r="G543" s="257" t="str">
        <f t="shared" si="61"/>
        <v/>
      </c>
      <c r="H543" s="257" t="str">
        <f t="shared" si="62"/>
        <v/>
      </c>
    </row>
    <row r="544" spans="1:8" x14ac:dyDescent="0.25">
      <c r="A544" s="254" t="str">
        <f t="shared" ca="1" si="58"/>
        <v/>
      </c>
      <c r="B544" s="255"/>
      <c r="C544" s="256"/>
      <c r="D544" s="257" t="str">
        <f t="shared" si="59"/>
        <v/>
      </c>
      <c r="F544" s="257" t="str">
        <f t="shared" si="60"/>
        <v/>
      </c>
      <c r="G544" s="257" t="str">
        <f t="shared" si="61"/>
        <v/>
      </c>
      <c r="H544" s="257" t="str">
        <f t="shared" si="62"/>
        <v/>
      </c>
    </row>
    <row r="545" spans="1:8" x14ac:dyDescent="0.25">
      <c r="A545" s="254" t="str">
        <f t="shared" ca="1" si="58"/>
        <v/>
      </c>
      <c r="B545" s="255"/>
      <c r="C545" s="256"/>
      <c r="D545" s="257" t="str">
        <f t="shared" si="59"/>
        <v/>
      </c>
      <c r="F545" s="257" t="str">
        <f t="shared" si="60"/>
        <v/>
      </c>
      <c r="G545" s="257" t="str">
        <f t="shared" si="61"/>
        <v/>
      </c>
      <c r="H545" s="257" t="str">
        <f t="shared" si="62"/>
        <v/>
      </c>
    </row>
    <row r="546" spans="1:8" x14ac:dyDescent="0.25">
      <c r="A546" s="254" t="str">
        <f t="shared" ca="1" si="58"/>
        <v/>
      </c>
      <c r="B546" s="255"/>
      <c r="C546" s="256"/>
      <c r="D546" s="257" t="str">
        <f t="shared" si="59"/>
        <v/>
      </c>
      <c r="F546" s="257" t="str">
        <f t="shared" si="60"/>
        <v/>
      </c>
      <c r="G546" s="257" t="str">
        <f t="shared" si="61"/>
        <v/>
      </c>
      <c r="H546" s="257" t="str">
        <f t="shared" si="62"/>
        <v/>
      </c>
    </row>
    <row r="547" spans="1:8" x14ac:dyDescent="0.25">
      <c r="A547" s="254" t="str">
        <f t="shared" ca="1" si="58"/>
        <v/>
      </c>
      <c r="B547" s="255"/>
      <c r="C547" s="256"/>
      <c r="D547" s="257" t="str">
        <f t="shared" si="59"/>
        <v/>
      </c>
      <c r="F547" s="257" t="str">
        <f t="shared" si="60"/>
        <v/>
      </c>
      <c r="G547" s="257" t="str">
        <f t="shared" si="61"/>
        <v/>
      </c>
      <c r="H547" s="257" t="str">
        <f t="shared" si="62"/>
        <v/>
      </c>
    </row>
    <row r="548" spans="1:8" x14ac:dyDescent="0.25">
      <c r="A548" s="254" t="str">
        <f t="shared" ca="1" si="58"/>
        <v/>
      </c>
      <c r="B548" s="255"/>
      <c r="C548" s="256"/>
      <c r="D548" s="257" t="str">
        <f t="shared" si="59"/>
        <v/>
      </c>
      <c r="F548" s="257" t="str">
        <f t="shared" si="60"/>
        <v/>
      </c>
      <c r="G548" s="257" t="str">
        <f t="shared" si="61"/>
        <v/>
      </c>
      <c r="H548" s="257" t="str">
        <f t="shared" si="62"/>
        <v/>
      </c>
    </row>
    <row r="549" spans="1:8" x14ac:dyDescent="0.25">
      <c r="A549" s="254" t="str">
        <f t="shared" ca="1" si="58"/>
        <v/>
      </c>
      <c r="B549" s="255"/>
      <c r="C549" s="256"/>
      <c r="D549" s="257" t="str">
        <f t="shared" si="59"/>
        <v/>
      </c>
      <c r="F549" s="257" t="str">
        <f t="shared" si="60"/>
        <v/>
      </c>
      <c r="G549" s="257" t="str">
        <f t="shared" si="61"/>
        <v/>
      </c>
      <c r="H549" s="257" t="str">
        <f t="shared" si="62"/>
        <v/>
      </c>
    </row>
    <row r="550" spans="1:8" x14ac:dyDescent="0.25">
      <c r="A550" s="254" t="str">
        <f t="shared" ca="1" si="58"/>
        <v/>
      </c>
      <c r="B550" s="255"/>
      <c r="C550" s="256"/>
      <c r="D550" s="257" t="str">
        <f t="shared" si="59"/>
        <v/>
      </c>
      <c r="F550" s="257" t="str">
        <f t="shared" si="60"/>
        <v/>
      </c>
      <c r="G550" s="257" t="str">
        <f t="shared" si="61"/>
        <v/>
      </c>
      <c r="H550" s="257" t="str">
        <f t="shared" si="62"/>
        <v/>
      </c>
    </row>
    <row r="551" spans="1:8" x14ac:dyDescent="0.25">
      <c r="A551" s="254" t="str">
        <f t="shared" ca="1" si="58"/>
        <v/>
      </c>
      <c r="B551" s="255"/>
      <c r="C551" s="256"/>
      <c r="D551" s="257" t="str">
        <f t="shared" si="59"/>
        <v/>
      </c>
      <c r="F551" s="257" t="str">
        <f t="shared" si="60"/>
        <v/>
      </c>
      <c r="G551" s="257" t="str">
        <f t="shared" si="61"/>
        <v/>
      </c>
      <c r="H551" s="257" t="str">
        <f t="shared" si="62"/>
        <v/>
      </c>
    </row>
    <row r="552" spans="1:8" x14ac:dyDescent="0.25">
      <c r="A552" s="254" t="str">
        <f t="shared" ca="1" si="58"/>
        <v/>
      </c>
      <c r="B552" s="255"/>
      <c r="C552" s="256"/>
      <c r="D552" s="257" t="str">
        <f t="shared" si="59"/>
        <v/>
      </c>
      <c r="F552" s="257" t="str">
        <f t="shared" si="60"/>
        <v/>
      </c>
      <c r="G552" s="257" t="str">
        <f t="shared" si="61"/>
        <v/>
      </c>
      <c r="H552" s="257" t="str">
        <f t="shared" si="62"/>
        <v/>
      </c>
    </row>
    <row r="553" spans="1:8" x14ac:dyDescent="0.25">
      <c r="A553" s="254" t="str">
        <f t="shared" ref="A553:A616" ca="1" si="63">IF(OR(H552&lt;=0,H552=""),"",OFFSET(A553,-1,0,1,1)+1)</f>
        <v/>
      </c>
      <c r="B553" s="255"/>
      <c r="C553" s="256"/>
      <c r="D553" s="257" t="str">
        <f t="shared" si="59"/>
        <v/>
      </c>
      <c r="F553" s="257" t="str">
        <f t="shared" si="60"/>
        <v/>
      </c>
      <c r="G553" s="257" t="str">
        <f t="shared" si="61"/>
        <v/>
      </c>
      <c r="H553" s="257" t="str">
        <f t="shared" si="62"/>
        <v/>
      </c>
    </row>
    <row r="554" spans="1:8" x14ac:dyDescent="0.25">
      <c r="A554" s="254" t="str">
        <f t="shared" ca="1" si="63"/>
        <v/>
      </c>
      <c r="B554" s="255"/>
      <c r="C554" s="256"/>
      <c r="D554" s="257" t="str">
        <f t="shared" si="59"/>
        <v/>
      </c>
      <c r="F554" s="257" t="str">
        <f t="shared" si="60"/>
        <v/>
      </c>
      <c r="G554" s="257" t="str">
        <f t="shared" si="61"/>
        <v/>
      </c>
      <c r="H554" s="257" t="str">
        <f t="shared" si="62"/>
        <v/>
      </c>
    </row>
    <row r="555" spans="1:8" x14ac:dyDescent="0.25">
      <c r="A555" s="254" t="str">
        <f t="shared" ca="1" si="63"/>
        <v/>
      </c>
      <c r="B555" s="255"/>
      <c r="C555" s="256"/>
      <c r="D555" s="257" t="str">
        <f t="shared" si="59"/>
        <v/>
      </c>
      <c r="F555" s="257" t="str">
        <f t="shared" si="60"/>
        <v/>
      </c>
      <c r="G555" s="257" t="str">
        <f t="shared" si="61"/>
        <v/>
      </c>
      <c r="H555" s="257" t="str">
        <f t="shared" si="62"/>
        <v/>
      </c>
    </row>
    <row r="556" spans="1:8" x14ac:dyDescent="0.25">
      <c r="A556" s="254" t="str">
        <f t="shared" ca="1" si="63"/>
        <v/>
      </c>
      <c r="B556" s="255"/>
      <c r="C556" s="256"/>
      <c r="D556" s="257" t="str">
        <f t="shared" si="59"/>
        <v/>
      </c>
      <c r="F556" s="257" t="str">
        <f t="shared" si="60"/>
        <v/>
      </c>
      <c r="G556" s="257" t="str">
        <f t="shared" si="61"/>
        <v/>
      </c>
      <c r="H556" s="257" t="str">
        <f t="shared" si="62"/>
        <v/>
      </c>
    </row>
    <row r="557" spans="1:8" x14ac:dyDescent="0.25">
      <c r="A557" s="254" t="str">
        <f t="shared" ca="1" si="63"/>
        <v/>
      </c>
      <c r="B557" s="255"/>
      <c r="C557" s="256"/>
      <c r="D557" s="257" t="str">
        <f t="shared" si="59"/>
        <v/>
      </c>
      <c r="F557" s="257" t="str">
        <f t="shared" si="60"/>
        <v/>
      </c>
      <c r="G557" s="257" t="str">
        <f t="shared" si="61"/>
        <v/>
      </c>
      <c r="H557" s="257" t="str">
        <f t="shared" si="62"/>
        <v/>
      </c>
    </row>
    <row r="558" spans="1:8" x14ac:dyDescent="0.25">
      <c r="A558" s="254" t="str">
        <f t="shared" ca="1" si="63"/>
        <v/>
      </c>
      <c r="B558" s="255"/>
      <c r="C558" s="256"/>
      <c r="D558" s="257" t="str">
        <f t="shared" si="59"/>
        <v/>
      </c>
      <c r="F558" s="257" t="str">
        <f t="shared" si="60"/>
        <v/>
      </c>
      <c r="G558" s="257" t="str">
        <f t="shared" si="61"/>
        <v/>
      </c>
      <c r="H558" s="257" t="str">
        <f t="shared" si="62"/>
        <v/>
      </c>
    </row>
    <row r="559" spans="1:8" x14ac:dyDescent="0.25">
      <c r="A559" s="254" t="str">
        <f t="shared" ca="1" si="63"/>
        <v/>
      </c>
      <c r="B559" s="255"/>
      <c r="C559" s="256"/>
      <c r="D559" s="257" t="str">
        <f t="shared" si="59"/>
        <v/>
      </c>
      <c r="F559" s="257" t="str">
        <f t="shared" si="60"/>
        <v/>
      </c>
      <c r="G559" s="257" t="str">
        <f t="shared" si="61"/>
        <v/>
      </c>
      <c r="H559" s="257" t="str">
        <f t="shared" si="62"/>
        <v/>
      </c>
    </row>
    <row r="560" spans="1:8" x14ac:dyDescent="0.25">
      <c r="A560" s="254" t="str">
        <f t="shared" ca="1" si="63"/>
        <v/>
      </c>
      <c r="B560" s="255"/>
      <c r="C560" s="256"/>
      <c r="D560" s="257" t="str">
        <f t="shared" si="59"/>
        <v/>
      </c>
      <c r="F560" s="257" t="str">
        <f t="shared" si="60"/>
        <v/>
      </c>
      <c r="G560" s="257" t="str">
        <f t="shared" si="61"/>
        <v/>
      </c>
      <c r="H560" s="257" t="str">
        <f t="shared" si="62"/>
        <v/>
      </c>
    </row>
    <row r="561" spans="1:8" x14ac:dyDescent="0.25">
      <c r="A561" s="254" t="str">
        <f t="shared" ca="1" si="63"/>
        <v/>
      </c>
      <c r="B561" s="255"/>
      <c r="C561" s="256"/>
      <c r="D561" s="257" t="str">
        <f t="shared" si="59"/>
        <v/>
      </c>
      <c r="F561" s="257" t="str">
        <f t="shared" si="60"/>
        <v/>
      </c>
      <c r="G561" s="257" t="str">
        <f t="shared" si="61"/>
        <v/>
      </c>
      <c r="H561" s="257" t="str">
        <f t="shared" si="62"/>
        <v/>
      </c>
    </row>
    <row r="562" spans="1:8" x14ac:dyDescent="0.25">
      <c r="A562" s="254" t="str">
        <f t="shared" ca="1" si="63"/>
        <v/>
      </c>
      <c r="B562" s="255"/>
      <c r="C562" s="256"/>
      <c r="D562" s="257" t="str">
        <f t="shared" si="59"/>
        <v/>
      </c>
      <c r="F562" s="257" t="str">
        <f t="shared" si="60"/>
        <v/>
      </c>
      <c r="G562" s="257" t="str">
        <f t="shared" si="61"/>
        <v/>
      </c>
      <c r="H562" s="257" t="str">
        <f t="shared" si="62"/>
        <v/>
      </c>
    </row>
    <row r="563" spans="1:8" x14ac:dyDescent="0.25">
      <c r="A563" s="254" t="str">
        <f t="shared" ca="1" si="63"/>
        <v/>
      </c>
      <c r="B563" s="255"/>
      <c r="C563" s="256"/>
      <c r="D563" s="257" t="str">
        <f t="shared" si="59"/>
        <v/>
      </c>
      <c r="F563" s="257" t="str">
        <f t="shared" si="60"/>
        <v/>
      </c>
      <c r="G563" s="257" t="str">
        <f t="shared" si="61"/>
        <v/>
      </c>
      <c r="H563" s="257" t="str">
        <f t="shared" si="62"/>
        <v/>
      </c>
    </row>
    <row r="564" spans="1:8" x14ac:dyDescent="0.25">
      <c r="A564" s="254" t="str">
        <f t="shared" ca="1" si="63"/>
        <v/>
      </c>
      <c r="B564" s="255"/>
      <c r="C564" s="256"/>
      <c r="D564" s="257" t="str">
        <f t="shared" si="59"/>
        <v/>
      </c>
      <c r="F564" s="257" t="str">
        <f t="shared" si="60"/>
        <v/>
      </c>
      <c r="G564" s="257" t="str">
        <f t="shared" si="61"/>
        <v/>
      </c>
      <c r="H564" s="257" t="str">
        <f t="shared" si="62"/>
        <v/>
      </c>
    </row>
    <row r="565" spans="1:8" x14ac:dyDescent="0.25">
      <c r="A565" s="254" t="str">
        <f t="shared" ca="1" si="63"/>
        <v/>
      </c>
      <c r="B565" s="255"/>
      <c r="C565" s="256"/>
      <c r="D565" s="257" t="str">
        <f t="shared" si="59"/>
        <v/>
      </c>
      <c r="F565" s="257" t="str">
        <f t="shared" si="60"/>
        <v/>
      </c>
      <c r="G565" s="257" t="str">
        <f t="shared" si="61"/>
        <v/>
      </c>
      <c r="H565" s="257" t="str">
        <f t="shared" si="62"/>
        <v/>
      </c>
    </row>
    <row r="566" spans="1:8" x14ac:dyDescent="0.25">
      <c r="A566" s="254" t="str">
        <f t="shared" ca="1" si="63"/>
        <v/>
      </c>
      <c r="B566" s="255"/>
      <c r="C566" s="256"/>
      <c r="D566" s="257" t="str">
        <f t="shared" si="59"/>
        <v/>
      </c>
      <c r="F566" s="257" t="str">
        <f t="shared" si="60"/>
        <v/>
      </c>
      <c r="G566" s="257" t="str">
        <f t="shared" si="61"/>
        <v/>
      </c>
      <c r="H566" s="257" t="str">
        <f t="shared" si="62"/>
        <v/>
      </c>
    </row>
    <row r="567" spans="1:8" x14ac:dyDescent="0.25">
      <c r="A567" s="254" t="str">
        <f t="shared" ca="1" si="63"/>
        <v/>
      </c>
      <c r="B567" s="255"/>
      <c r="C567" s="256"/>
      <c r="D567" s="257" t="str">
        <f t="shared" si="59"/>
        <v/>
      </c>
      <c r="F567" s="257" t="str">
        <f t="shared" si="60"/>
        <v/>
      </c>
      <c r="G567" s="257" t="str">
        <f t="shared" si="61"/>
        <v/>
      </c>
      <c r="H567" s="257" t="str">
        <f t="shared" si="62"/>
        <v/>
      </c>
    </row>
    <row r="568" spans="1:8" x14ac:dyDescent="0.25">
      <c r="A568" s="254" t="str">
        <f t="shared" ca="1" si="63"/>
        <v/>
      </c>
      <c r="B568" s="255"/>
      <c r="C568" s="256"/>
      <c r="D568" s="257" t="str">
        <f t="shared" si="59"/>
        <v/>
      </c>
      <c r="F568" s="257" t="str">
        <f t="shared" si="60"/>
        <v/>
      </c>
      <c r="G568" s="257" t="str">
        <f t="shared" si="61"/>
        <v/>
      </c>
      <c r="H568" s="257" t="str">
        <f t="shared" si="62"/>
        <v/>
      </c>
    </row>
    <row r="569" spans="1:8" x14ac:dyDescent="0.25">
      <c r="A569" s="254" t="str">
        <f t="shared" ca="1" si="63"/>
        <v/>
      </c>
      <c r="B569" s="255"/>
      <c r="C569" s="256"/>
      <c r="D569" s="257" t="str">
        <f t="shared" si="59"/>
        <v/>
      </c>
      <c r="F569" s="257" t="str">
        <f t="shared" si="60"/>
        <v/>
      </c>
      <c r="G569" s="257" t="str">
        <f t="shared" si="61"/>
        <v/>
      </c>
      <c r="H569" s="257" t="str">
        <f t="shared" si="62"/>
        <v/>
      </c>
    </row>
    <row r="570" spans="1:8" x14ac:dyDescent="0.25">
      <c r="A570" s="254" t="str">
        <f t="shared" ca="1" si="63"/>
        <v/>
      </c>
      <c r="B570" s="255"/>
      <c r="C570" s="256"/>
      <c r="D570" s="257" t="str">
        <f t="shared" si="59"/>
        <v/>
      </c>
      <c r="F570" s="257" t="str">
        <f t="shared" si="60"/>
        <v/>
      </c>
      <c r="G570" s="257" t="str">
        <f t="shared" si="61"/>
        <v/>
      </c>
      <c r="H570" s="257" t="str">
        <f t="shared" si="62"/>
        <v/>
      </c>
    </row>
    <row r="571" spans="1:8" x14ac:dyDescent="0.25">
      <c r="A571" s="254" t="str">
        <f t="shared" ca="1" si="63"/>
        <v/>
      </c>
      <c r="B571" s="255"/>
      <c r="C571" s="256"/>
      <c r="D571" s="257" t="str">
        <f t="shared" si="59"/>
        <v/>
      </c>
      <c r="F571" s="257" t="str">
        <f t="shared" si="60"/>
        <v/>
      </c>
      <c r="G571" s="257" t="str">
        <f t="shared" si="61"/>
        <v/>
      </c>
      <c r="H571" s="257" t="str">
        <f t="shared" si="62"/>
        <v/>
      </c>
    </row>
    <row r="572" spans="1:8" x14ac:dyDescent="0.25">
      <c r="A572" s="254" t="str">
        <f t="shared" ca="1" si="63"/>
        <v/>
      </c>
      <c r="B572" s="255"/>
      <c r="C572" s="256"/>
      <c r="D572" s="257" t="str">
        <f t="shared" si="59"/>
        <v/>
      </c>
      <c r="F572" s="257" t="str">
        <f t="shared" si="60"/>
        <v/>
      </c>
      <c r="G572" s="257" t="str">
        <f t="shared" si="61"/>
        <v/>
      </c>
      <c r="H572" s="257" t="str">
        <f t="shared" si="62"/>
        <v/>
      </c>
    </row>
    <row r="573" spans="1:8" x14ac:dyDescent="0.25">
      <c r="A573" s="254" t="str">
        <f t="shared" ca="1" si="63"/>
        <v/>
      </c>
      <c r="B573" s="255"/>
      <c r="C573" s="256"/>
      <c r="D573" s="257" t="str">
        <f t="shared" si="59"/>
        <v/>
      </c>
      <c r="F573" s="257" t="str">
        <f t="shared" si="60"/>
        <v/>
      </c>
      <c r="G573" s="257" t="str">
        <f t="shared" si="61"/>
        <v/>
      </c>
      <c r="H573" s="257" t="str">
        <f t="shared" si="62"/>
        <v/>
      </c>
    </row>
    <row r="574" spans="1:8" x14ac:dyDescent="0.25">
      <c r="A574" s="254" t="str">
        <f t="shared" ca="1" si="63"/>
        <v/>
      </c>
      <c r="B574" s="255"/>
      <c r="C574" s="256"/>
      <c r="D574" s="257" t="str">
        <f t="shared" si="59"/>
        <v/>
      </c>
      <c r="F574" s="257" t="str">
        <f t="shared" si="60"/>
        <v/>
      </c>
      <c r="G574" s="257" t="str">
        <f t="shared" si="61"/>
        <v/>
      </c>
      <c r="H574" s="257" t="str">
        <f t="shared" si="62"/>
        <v/>
      </c>
    </row>
    <row r="575" spans="1:8" x14ac:dyDescent="0.25">
      <c r="A575" s="254" t="str">
        <f t="shared" ca="1" si="63"/>
        <v/>
      </c>
      <c r="B575" s="255"/>
      <c r="C575" s="256"/>
      <c r="D575" s="257" t="str">
        <f t="shared" si="59"/>
        <v/>
      </c>
      <c r="F575" s="257" t="str">
        <f t="shared" si="60"/>
        <v/>
      </c>
      <c r="G575" s="257" t="str">
        <f t="shared" si="61"/>
        <v/>
      </c>
      <c r="H575" s="257" t="str">
        <f t="shared" si="62"/>
        <v/>
      </c>
    </row>
    <row r="576" spans="1:8" x14ac:dyDescent="0.25">
      <c r="A576" s="254" t="str">
        <f t="shared" ca="1" si="63"/>
        <v/>
      </c>
      <c r="B576" s="255"/>
      <c r="C576" s="256"/>
      <c r="D576" s="257" t="str">
        <f t="shared" si="59"/>
        <v/>
      </c>
      <c r="F576" s="257" t="str">
        <f t="shared" si="60"/>
        <v/>
      </c>
      <c r="G576" s="257" t="str">
        <f t="shared" si="61"/>
        <v/>
      </c>
      <c r="H576" s="257" t="str">
        <f t="shared" si="62"/>
        <v/>
      </c>
    </row>
    <row r="577" spans="1:8" x14ac:dyDescent="0.25">
      <c r="A577" s="254" t="str">
        <f t="shared" ca="1" si="63"/>
        <v/>
      </c>
      <c r="B577" s="255"/>
      <c r="C577" s="256"/>
      <c r="D577" s="257" t="str">
        <f t="shared" si="59"/>
        <v/>
      </c>
      <c r="F577" s="257" t="str">
        <f t="shared" si="60"/>
        <v/>
      </c>
      <c r="G577" s="257" t="str">
        <f t="shared" si="61"/>
        <v/>
      </c>
      <c r="H577" s="257" t="str">
        <f t="shared" si="62"/>
        <v/>
      </c>
    </row>
    <row r="578" spans="1:8" x14ac:dyDescent="0.25">
      <c r="A578" s="254" t="str">
        <f t="shared" ca="1" si="63"/>
        <v/>
      </c>
      <c r="B578" s="255"/>
      <c r="C578" s="256"/>
      <c r="D578" s="257" t="str">
        <f t="shared" si="59"/>
        <v/>
      </c>
      <c r="F578" s="257" t="str">
        <f t="shared" si="60"/>
        <v/>
      </c>
      <c r="G578" s="257" t="str">
        <f t="shared" si="61"/>
        <v/>
      </c>
      <c r="H578" s="257" t="str">
        <f t="shared" si="62"/>
        <v/>
      </c>
    </row>
    <row r="579" spans="1:8" x14ac:dyDescent="0.25">
      <c r="A579" s="254" t="str">
        <f t="shared" ca="1" si="63"/>
        <v/>
      </c>
      <c r="B579" s="255"/>
      <c r="C579" s="256"/>
      <c r="D579" s="257" t="str">
        <f t="shared" si="59"/>
        <v/>
      </c>
      <c r="F579" s="257" t="str">
        <f t="shared" si="60"/>
        <v/>
      </c>
      <c r="G579" s="257" t="str">
        <f t="shared" si="61"/>
        <v/>
      </c>
      <c r="H579" s="257" t="str">
        <f t="shared" si="62"/>
        <v/>
      </c>
    </row>
    <row r="580" spans="1:8" x14ac:dyDescent="0.25">
      <c r="A580" s="254" t="str">
        <f t="shared" ca="1" si="63"/>
        <v/>
      </c>
      <c r="B580" s="255"/>
      <c r="C580" s="256"/>
      <c r="D580" s="257" t="str">
        <f t="shared" si="59"/>
        <v/>
      </c>
      <c r="F580" s="257" t="str">
        <f t="shared" si="60"/>
        <v/>
      </c>
      <c r="G580" s="257" t="str">
        <f t="shared" si="61"/>
        <v/>
      </c>
      <c r="H580" s="257" t="str">
        <f t="shared" si="62"/>
        <v/>
      </c>
    </row>
    <row r="581" spans="1:8" x14ac:dyDescent="0.25">
      <c r="A581" s="254" t="str">
        <f t="shared" ca="1" si="63"/>
        <v/>
      </c>
      <c r="B581" s="255"/>
      <c r="C581" s="256"/>
      <c r="D581" s="257" t="str">
        <f t="shared" si="59"/>
        <v/>
      </c>
      <c r="F581" s="257" t="str">
        <f t="shared" si="60"/>
        <v/>
      </c>
      <c r="G581" s="257" t="str">
        <f t="shared" si="61"/>
        <v/>
      </c>
      <c r="H581" s="257" t="str">
        <f t="shared" si="62"/>
        <v/>
      </c>
    </row>
    <row r="582" spans="1:8" x14ac:dyDescent="0.25">
      <c r="A582" s="254" t="str">
        <f t="shared" ca="1" si="63"/>
        <v/>
      </c>
      <c r="B582" s="255"/>
      <c r="C582" s="256"/>
      <c r="D582" s="257" t="str">
        <f t="shared" si="59"/>
        <v/>
      </c>
      <c r="F582" s="257" t="str">
        <f t="shared" si="60"/>
        <v/>
      </c>
      <c r="G582" s="257" t="str">
        <f t="shared" si="61"/>
        <v/>
      </c>
      <c r="H582" s="257" t="str">
        <f t="shared" si="62"/>
        <v/>
      </c>
    </row>
    <row r="583" spans="1:8" x14ac:dyDescent="0.25">
      <c r="A583" s="254" t="str">
        <f t="shared" ca="1" si="63"/>
        <v/>
      </c>
      <c r="B583" s="255"/>
      <c r="C583" s="256"/>
      <c r="D583" s="257" t="str">
        <f t="shared" si="59"/>
        <v/>
      </c>
      <c r="F583" s="257" t="str">
        <f t="shared" si="60"/>
        <v/>
      </c>
      <c r="G583" s="257" t="str">
        <f t="shared" si="61"/>
        <v/>
      </c>
      <c r="H583" s="257" t="str">
        <f t="shared" si="62"/>
        <v/>
      </c>
    </row>
    <row r="584" spans="1:8" x14ac:dyDescent="0.25">
      <c r="A584" s="254" t="str">
        <f t="shared" ca="1" si="63"/>
        <v/>
      </c>
      <c r="B584" s="255"/>
      <c r="C584" s="256"/>
      <c r="D584" s="257" t="str">
        <f t="shared" si="59"/>
        <v/>
      </c>
      <c r="F584" s="257" t="str">
        <f t="shared" si="60"/>
        <v/>
      </c>
      <c r="G584" s="257" t="str">
        <f t="shared" si="61"/>
        <v/>
      </c>
      <c r="H584" s="257" t="str">
        <f t="shared" si="62"/>
        <v/>
      </c>
    </row>
    <row r="585" spans="1:8" x14ac:dyDescent="0.25">
      <c r="A585" s="254" t="str">
        <f t="shared" ca="1" si="63"/>
        <v/>
      </c>
      <c r="B585" s="255"/>
      <c r="C585" s="256"/>
      <c r="D585" s="257" t="str">
        <f t="shared" si="59"/>
        <v/>
      </c>
      <c r="F585" s="257" t="str">
        <f t="shared" si="60"/>
        <v/>
      </c>
      <c r="G585" s="257" t="str">
        <f t="shared" si="61"/>
        <v/>
      </c>
      <c r="H585" s="257" t="str">
        <f t="shared" si="62"/>
        <v/>
      </c>
    </row>
    <row r="586" spans="1:8" x14ac:dyDescent="0.25">
      <c r="A586" s="254" t="str">
        <f t="shared" ca="1" si="63"/>
        <v/>
      </c>
      <c r="B586" s="255"/>
      <c r="C586" s="256"/>
      <c r="D586" s="257" t="str">
        <f t="shared" si="59"/>
        <v/>
      </c>
      <c r="F586" s="257" t="str">
        <f t="shared" si="60"/>
        <v/>
      </c>
      <c r="G586" s="257" t="str">
        <f t="shared" si="61"/>
        <v/>
      </c>
      <c r="H586" s="257" t="str">
        <f t="shared" si="62"/>
        <v/>
      </c>
    </row>
    <row r="587" spans="1:8" x14ac:dyDescent="0.25">
      <c r="A587" s="254" t="str">
        <f t="shared" ca="1" si="63"/>
        <v/>
      </c>
      <c r="B587" s="255"/>
      <c r="C587" s="256"/>
      <c r="D587" s="257" t="str">
        <f t="shared" si="59"/>
        <v/>
      </c>
      <c r="F587" s="257" t="str">
        <f t="shared" si="60"/>
        <v/>
      </c>
      <c r="G587" s="257" t="str">
        <f t="shared" si="61"/>
        <v/>
      </c>
      <c r="H587" s="257" t="str">
        <f t="shared" si="62"/>
        <v/>
      </c>
    </row>
    <row r="588" spans="1:8" x14ac:dyDescent="0.25">
      <c r="A588" s="254" t="str">
        <f t="shared" ca="1" si="63"/>
        <v/>
      </c>
      <c r="B588" s="255"/>
      <c r="C588" s="256"/>
      <c r="D588" s="257" t="str">
        <f t="shared" si="59"/>
        <v/>
      </c>
      <c r="F588" s="257" t="str">
        <f t="shared" si="60"/>
        <v/>
      </c>
      <c r="G588" s="257" t="str">
        <f t="shared" si="61"/>
        <v/>
      </c>
      <c r="H588" s="257" t="str">
        <f t="shared" si="62"/>
        <v/>
      </c>
    </row>
    <row r="589" spans="1:8" x14ac:dyDescent="0.25">
      <c r="A589" s="254" t="str">
        <f t="shared" ca="1" si="63"/>
        <v/>
      </c>
      <c r="B589" s="255"/>
      <c r="C589" s="256"/>
      <c r="D589" s="257" t="str">
        <f t="shared" si="59"/>
        <v/>
      </c>
      <c r="F589" s="257" t="str">
        <f t="shared" si="60"/>
        <v/>
      </c>
      <c r="G589" s="257" t="str">
        <f t="shared" si="61"/>
        <v/>
      </c>
      <c r="H589" s="257" t="str">
        <f t="shared" si="62"/>
        <v/>
      </c>
    </row>
    <row r="590" spans="1:8" x14ac:dyDescent="0.25">
      <c r="A590" s="254" t="str">
        <f t="shared" ca="1" si="63"/>
        <v/>
      </c>
      <c r="B590" s="255"/>
      <c r="C590" s="256"/>
      <c r="D590" s="257" t="str">
        <f t="shared" si="59"/>
        <v/>
      </c>
      <c r="F590" s="257" t="str">
        <f t="shared" si="60"/>
        <v/>
      </c>
      <c r="G590" s="257" t="str">
        <f t="shared" si="61"/>
        <v/>
      </c>
      <c r="H590" s="257" t="str">
        <f t="shared" si="62"/>
        <v/>
      </c>
    </row>
    <row r="591" spans="1:8" x14ac:dyDescent="0.25">
      <c r="A591" s="254" t="str">
        <f t="shared" ca="1" si="63"/>
        <v/>
      </c>
      <c r="B591" s="255"/>
      <c r="C591" s="256"/>
      <c r="D591" s="257" t="str">
        <f t="shared" si="59"/>
        <v/>
      </c>
      <c r="F591" s="257" t="str">
        <f t="shared" si="60"/>
        <v/>
      </c>
      <c r="G591" s="257" t="str">
        <f t="shared" si="61"/>
        <v/>
      </c>
      <c r="H591" s="257" t="str">
        <f t="shared" si="62"/>
        <v/>
      </c>
    </row>
    <row r="592" spans="1:8" x14ac:dyDescent="0.25">
      <c r="A592" s="254" t="str">
        <f t="shared" ca="1" si="63"/>
        <v/>
      </c>
      <c r="B592" s="255"/>
      <c r="C592" s="256"/>
      <c r="D592" s="257" t="str">
        <f t="shared" si="59"/>
        <v/>
      </c>
      <c r="F592" s="257" t="str">
        <f t="shared" si="60"/>
        <v/>
      </c>
      <c r="G592" s="257" t="str">
        <f t="shared" si="61"/>
        <v/>
      </c>
      <c r="H592" s="257" t="str">
        <f t="shared" si="62"/>
        <v/>
      </c>
    </row>
    <row r="593" spans="1:8" x14ac:dyDescent="0.25">
      <c r="A593" s="254" t="str">
        <f t="shared" ca="1" si="63"/>
        <v/>
      </c>
      <c r="B593" s="255"/>
      <c r="C593" s="256"/>
      <c r="D593" s="257" t="str">
        <f t="shared" si="59"/>
        <v/>
      </c>
      <c r="F593" s="257" t="str">
        <f t="shared" si="60"/>
        <v/>
      </c>
      <c r="G593" s="257" t="str">
        <f t="shared" si="61"/>
        <v/>
      </c>
      <c r="H593" s="257" t="str">
        <f t="shared" si="62"/>
        <v/>
      </c>
    </row>
    <row r="594" spans="1:8" x14ac:dyDescent="0.25">
      <c r="A594" s="254" t="str">
        <f t="shared" ca="1" si="63"/>
        <v/>
      </c>
      <c r="B594" s="255"/>
      <c r="C594" s="256"/>
      <c r="D594" s="257" t="str">
        <f t="shared" si="59"/>
        <v/>
      </c>
      <c r="F594" s="257" t="str">
        <f t="shared" si="60"/>
        <v/>
      </c>
      <c r="G594" s="257" t="str">
        <f t="shared" si="61"/>
        <v/>
      </c>
      <c r="H594" s="257" t="str">
        <f t="shared" si="62"/>
        <v/>
      </c>
    </row>
    <row r="595" spans="1:8" x14ac:dyDescent="0.25">
      <c r="A595" s="254" t="str">
        <f t="shared" ca="1" si="63"/>
        <v/>
      </c>
      <c r="B595" s="255"/>
      <c r="C595" s="256"/>
      <c r="D595" s="257" t="str">
        <f t="shared" ref="D595:D658" si="64">IF(B595="","",ROUND((B595-B594)*$H$9*G594,2))</f>
        <v/>
      </c>
      <c r="F595" s="257" t="str">
        <f t="shared" ref="F595:F658" si="65">IF(B595="","",IF(C595&gt;F594+D595,0,F594+D595-C595))</f>
        <v/>
      </c>
      <c r="G595" s="257" t="str">
        <f t="shared" ref="G595:G658" si="66">IF(B595="","",IF(C595&gt;D595+F594,G594+F594+D595-C595,G594))</f>
        <v/>
      </c>
      <c r="H595" s="257" t="str">
        <f t="shared" ref="H595:H658" si="67">IF(B595="","",G595+F595)</f>
        <v/>
      </c>
    </row>
    <row r="596" spans="1:8" x14ac:dyDescent="0.25">
      <c r="A596" s="254" t="str">
        <f t="shared" ca="1" si="63"/>
        <v/>
      </c>
      <c r="B596" s="255"/>
      <c r="C596" s="256"/>
      <c r="D596" s="257" t="str">
        <f t="shared" si="64"/>
        <v/>
      </c>
      <c r="F596" s="257" t="str">
        <f t="shared" si="65"/>
        <v/>
      </c>
      <c r="G596" s="257" t="str">
        <f t="shared" si="66"/>
        <v/>
      </c>
      <c r="H596" s="257" t="str">
        <f t="shared" si="67"/>
        <v/>
      </c>
    </row>
    <row r="597" spans="1:8" x14ac:dyDescent="0.25">
      <c r="A597" s="254" t="str">
        <f t="shared" ca="1" si="63"/>
        <v/>
      </c>
      <c r="B597" s="255"/>
      <c r="C597" s="256"/>
      <c r="D597" s="257" t="str">
        <f t="shared" si="64"/>
        <v/>
      </c>
      <c r="F597" s="257" t="str">
        <f t="shared" si="65"/>
        <v/>
      </c>
      <c r="G597" s="257" t="str">
        <f t="shared" si="66"/>
        <v/>
      </c>
      <c r="H597" s="257" t="str">
        <f t="shared" si="67"/>
        <v/>
      </c>
    </row>
    <row r="598" spans="1:8" x14ac:dyDescent="0.25">
      <c r="A598" s="254" t="str">
        <f t="shared" ca="1" si="63"/>
        <v/>
      </c>
      <c r="B598" s="255"/>
      <c r="C598" s="256"/>
      <c r="D598" s="257" t="str">
        <f t="shared" si="64"/>
        <v/>
      </c>
      <c r="F598" s="257" t="str">
        <f t="shared" si="65"/>
        <v/>
      </c>
      <c r="G598" s="257" t="str">
        <f t="shared" si="66"/>
        <v/>
      </c>
      <c r="H598" s="257" t="str">
        <f t="shared" si="67"/>
        <v/>
      </c>
    </row>
    <row r="599" spans="1:8" x14ac:dyDescent="0.25">
      <c r="A599" s="254" t="str">
        <f t="shared" ca="1" si="63"/>
        <v/>
      </c>
      <c r="B599" s="255"/>
      <c r="C599" s="256"/>
      <c r="D599" s="257" t="str">
        <f t="shared" si="64"/>
        <v/>
      </c>
      <c r="F599" s="257" t="str">
        <f t="shared" si="65"/>
        <v/>
      </c>
      <c r="G599" s="257" t="str">
        <f t="shared" si="66"/>
        <v/>
      </c>
      <c r="H599" s="257" t="str">
        <f t="shared" si="67"/>
        <v/>
      </c>
    </row>
    <row r="600" spans="1:8" x14ac:dyDescent="0.25">
      <c r="A600" s="254" t="str">
        <f t="shared" ca="1" si="63"/>
        <v/>
      </c>
      <c r="B600" s="255"/>
      <c r="C600" s="256"/>
      <c r="D600" s="257" t="str">
        <f t="shared" si="64"/>
        <v/>
      </c>
      <c r="F600" s="257" t="str">
        <f t="shared" si="65"/>
        <v/>
      </c>
      <c r="G600" s="257" t="str">
        <f t="shared" si="66"/>
        <v/>
      </c>
      <c r="H600" s="257" t="str">
        <f t="shared" si="67"/>
        <v/>
      </c>
    </row>
    <row r="601" spans="1:8" x14ac:dyDescent="0.25">
      <c r="A601" s="254" t="str">
        <f t="shared" ca="1" si="63"/>
        <v/>
      </c>
      <c r="B601" s="255"/>
      <c r="C601" s="256"/>
      <c r="D601" s="257" t="str">
        <f t="shared" si="64"/>
        <v/>
      </c>
      <c r="F601" s="257" t="str">
        <f t="shared" si="65"/>
        <v/>
      </c>
      <c r="G601" s="257" t="str">
        <f t="shared" si="66"/>
        <v/>
      </c>
      <c r="H601" s="257" t="str">
        <f t="shared" si="67"/>
        <v/>
      </c>
    </row>
    <row r="602" spans="1:8" x14ac:dyDescent="0.25">
      <c r="A602" s="254" t="str">
        <f t="shared" ca="1" si="63"/>
        <v/>
      </c>
      <c r="B602" s="255"/>
      <c r="C602" s="256"/>
      <c r="D602" s="257" t="str">
        <f t="shared" si="64"/>
        <v/>
      </c>
      <c r="F602" s="257" t="str">
        <f t="shared" si="65"/>
        <v/>
      </c>
      <c r="G602" s="257" t="str">
        <f t="shared" si="66"/>
        <v/>
      </c>
      <c r="H602" s="257" t="str">
        <f t="shared" si="67"/>
        <v/>
      </c>
    </row>
    <row r="603" spans="1:8" x14ac:dyDescent="0.25">
      <c r="A603" s="254" t="str">
        <f t="shared" ca="1" si="63"/>
        <v/>
      </c>
      <c r="B603" s="255"/>
      <c r="C603" s="256"/>
      <c r="D603" s="257" t="str">
        <f t="shared" si="64"/>
        <v/>
      </c>
      <c r="F603" s="257" t="str">
        <f t="shared" si="65"/>
        <v/>
      </c>
      <c r="G603" s="257" t="str">
        <f t="shared" si="66"/>
        <v/>
      </c>
      <c r="H603" s="257" t="str">
        <f t="shared" si="67"/>
        <v/>
      </c>
    </row>
    <row r="604" spans="1:8" x14ac:dyDescent="0.25">
      <c r="A604" s="254" t="str">
        <f t="shared" ca="1" si="63"/>
        <v/>
      </c>
      <c r="B604" s="255"/>
      <c r="C604" s="256"/>
      <c r="D604" s="257" t="str">
        <f t="shared" si="64"/>
        <v/>
      </c>
      <c r="F604" s="257" t="str">
        <f t="shared" si="65"/>
        <v/>
      </c>
      <c r="G604" s="257" t="str">
        <f t="shared" si="66"/>
        <v/>
      </c>
      <c r="H604" s="257" t="str">
        <f t="shared" si="67"/>
        <v/>
      </c>
    </row>
    <row r="605" spans="1:8" x14ac:dyDescent="0.25">
      <c r="A605" s="254" t="str">
        <f t="shared" ca="1" si="63"/>
        <v/>
      </c>
      <c r="B605" s="255"/>
      <c r="C605" s="256"/>
      <c r="D605" s="257" t="str">
        <f t="shared" si="64"/>
        <v/>
      </c>
      <c r="F605" s="257" t="str">
        <f t="shared" si="65"/>
        <v/>
      </c>
      <c r="G605" s="257" t="str">
        <f t="shared" si="66"/>
        <v/>
      </c>
      <c r="H605" s="257" t="str">
        <f t="shared" si="67"/>
        <v/>
      </c>
    </row>
    <row r="606" spans="1:8" x14ac:dyDescent="0.25">
      <c r="A606" s="254" t="str">
        <f t="shared" ca="1" si="63"/>
        <v/>
      </c>
      <c r="B606" s="255"/>
      <c r="C606" s="256"/>
      <c r="D606" s="257" t="str">
        <f t="shared" si="64"/>
        <v/>
      </c>
      <c r="F606" s="257" t="str">
        <f t="shared" si="65"/>
        <v/>
      </c>
      <c r="G606" s="257" t="str">
        <f t="shared" si="66"/>
        <v/>
      </c>
      <c r="H606" s="257" t="str">
        <f t="shared" si="67"/>
        <v/>
      </c>
    </row>
    <row r="607" spans="1:8" x14ac:dyDescent="0.25">
      <c r="A607" s="254" t="str">
        <f t="shared" ca="1" si="63"/>
        <v/>
      </c>
      <c r="B607" s="255"/>
      <c r="C607" s="256"/>
      <c r="D607" s="257" t="str">
        <f t="shared" si="64"/>
        <v/>
      </c>
      <c r="F607" s="257" t="str">
        <f t="shared" si="65"/>
        <v/>
      </c>
      <c r="G607" s="257" t="str">
        <f t="shared" si="66"/>
        <v/>
      </c>
      <c r="H607" s="257" t="str">
        <f t="shared" si="67"/>
        <v/>
      </c>
    </row>
    <row r="608" spans="1:8" x14ac:dyDescent="0.25">
      <c r="A608" s="254" t="str">
        <f t="shared" ca="1" si="63"/>
        <v/>
      </c>
      <c r="B608" s="255"/>
      <c r="C608" s="256"/>
      <c r="D608" s="257" t="str">
        <f t="shared" si="64"/>
        <v/>
      </c>
      <c r="F608" s="257" t="str">
        <f t="shared" si="65"/>
        <v/>
      </c>
      <c r="G608" s="257" t="str">
        <f t="shared" si="66"/>
        <v/>
      </c>
      <c r="H608" s="257" t="str">
        <f t="shared" si="67"/>
        <v/>
      </c>
    </row>
    <row r="609" spans="1:8" x14ac:dyDescent="0.25">
      <c r="A609" s="254" t="str">
        <f t="shared" ca="1" si="63"/>
        <v/>
      </c>
      <c r="B609" s="255"/>
      <c r="C609" s="256"/>
      <c r="D609" s="257" t="str">
        <f t="shared" si="64"/>
        <v/>
      </c>
      <c r="F609" s="257" t="str">
        <f t="shared" si="65"/>
        <v/>
      </c>
      <c r="G609" s="257" t="str">
        <f t="shared" si="66"/>
        <v/>
      </c>
      <c r="H609" s="257" t="str">
        <f t="shared" si="67"/>
        <v/>
      </c>
    </row>
    <row r="610" spans="1:8" x14ac:dyDescent="0.25">
      <c r="A610" s="254" t="str">
        <f t="shared" ca="1" si="63"/>
        <v/>
      </c>
      <c r="B610" s="255"/>
      <c r="C610" s="256"/>
      <c r="D610" s="257" t="str">
        <f t="shared" si="64"/>
        <v/>
      </c>
      <c r="F610" s="257" t="str">
        <f t="shared" si="65"/>
        <v/>
      </c>
      <c r="G610" s="257" t="str">
        <f t="shared" si="66"/>
        <v/>
      </c>
      <c r="H610" s="257" t="str">
        <f t="shared" si="67"/>
        <v/>
      </c>
    </row>
    <row r="611" spans="1:8" x14ac:dyDescent="0.25">
      <c r="A611" s="254" t="str">
        <f t="shared" ca="1" si="63"/>
        <v/>
      </c>
      <c r="B611" s="255"/>
      <c r="C611" s="256"/>
      <c r="D611" s="257" t="str">
        <f t="shared" si="64"/>
        <v/>
      </c>
      <c r="F611" s="257" t="str">
        <f t="shared" si="65"/>
        <v/>
      </c>
      <c r="G611" s="257" t="str">
        <f t="shared" si="66"/>
        <v/>
      </c>
      <c r="H611" s="257" t="str">
        <f t="shared" si="67"/>
        <v/>
      </c>
    </row>
    <row r="612" spans="1:8" x14ac:dyDescent="0.25">
      <c r="A612" s="254" t="str">
        <f t="shared" ca="1" si="63"/>
        <v/>
      </c>
      <c r="B612" s="255"/>
      <c r="C612" s="256"/>
      <c r="D612" s="257" t="str">
        <f t="shared" si="64"/>
        <v/>
      </c>
      <c r="F612" s="257" t="str">
        <f t="shared" si="65"/>
        <v/>
      </c>
      <c r="G612" s="257" t="str">
        <f t="shared" si="66"/>
        <v/>
      </c>
      <c r="H612" s="257" t="str">
        <f t="shared" si="67"/>
        <v/>
      </c>
    </row>
    <row r="613" spans="1:8" x14ac:dyDescent="0.25">
      <c r="A613" s="254" t="str">
        <f t="shared" ca="1" si="63"/>
        <v/>
      </c>
      <c r="B613" s="255"/>
      <c r="C613" s="256"/>
      <c r="D613" s="257" t="str">
        <f t="shared" si="64"/>
        <v/>
      </c>
      <c r="F613" s="257" t="str">
        <f t="shared" si="65"/>
        <v/>
      </c>
      <c r="G613" s="257" t="str">
        <f t="shared" si="66"/>
        <v/>
      </c>
      <c r="H613" s="257" t="str">
        <f t="shared" si="67"/>
        <v/>
      </c>
    </row>
    <row r="614" spans="1:8" x14ac:dyDescent="0.25">
      <c r="A614" s="254" t="str">
        <f t="shared" ca="1" si="63"/>
        <v/>
      </c>
      <c r="B614" s="255"/>
      <c r="C614" s="256"/>
      <c r="D614" s="257" t="str">
        <f t="shared" si="64"/>
        <v/>
      </c>
      <c r="F614" s="257" t="str">
        <f t="shared" si="65"/>
        <v/>
      </c>
      <c r="G614" s="257" t="str">
        <f t="shared" si="66"/>
        <v/>
      </c>
      <c r="H614" s="257" t="str">
        <f t="shared" si="67"/>
        <v/>
      </c>
    </row>
    <row r="615" spans="1:8" x14ac:dyDescent="0.25">
      <c r="A615" s="254" t="str">
        <f t="shared" ca="1" si="63"/>
        <v/>
      </c>
      <c r="B615" s="255"/>
      <c r="C615" s="256"/>
      <c r="D615" s="257" t="str">
        <f t="shared" si="64"/>
        <v/>
      </c>
      <c r="F615" s="257" t="str">
        <f t="shared" si="65"/>
        <v/>
      </c>
      <c r="G615" s="257" t="str">
        <f t="shared" si="66"/>
        <v/>
      </c>
      <c r="H615" s="257" t="str">
        <f t="shared" si="67"/>
        <v/>
      </c>
    </row>
    <row r="616" spans="1:8" x14ac:dyDescent="0.25">
      <c r="A616" s="254" t="str">
        <f t="shared" ca="1" si="63"/>
        <v/>
      </c>
      <c r="B616" s="255"/>
      <c r="C616" s="256"/>
      <c r="D616" s="257" t="str">
        <f t="shared" si="64"/>
        <v/>
      </c>
      <c r="F616" s="257" t="str">
        <f t="shared" si="65"/>
        <v/>
      </c>
      <c r="G616" s="257" t="str">
        <f t="shared" si="66"/>
        <v/>
      </c>
      <c r="H616" s="257" t="str">
        <f t="shared" si="67"/>
        <v/>
      </c>
    </row>
    <row r="617" spans="1:8" x14ac:dyDescent="0.25">
      <c r="A617" s="254" t="str">
        <f t="shared" ref="A617:A680" ca="1" si="68">IF(OR(H616&lt;=0,H616=""),"",OFFSET(A617,-1,0,1,1)+1)</f>
        <v/>
      </c>
      <c r="B617" s="255"/>
      <c r="C617" s="256"/>
      <c r="D617" s="257" t="str">
        <f t="shared" si="64"/>
        <v/>
      </c>
      <c r="F617" s="257" t="str">
        <f t="shared" si="65"/>
        <v/>
      </c>
      <c r="G617" s="257" t="str">
        <f t="shared" si="66"/>
        <v/>
      </c>
      <c r="H617" s="257" t="str">
        <f t="shared" si="67"/>
        <v/>
      </c>
    </row>
    <row r="618" spans="1:8" x14ac:dyDescent="0.25">
      <c r="A618" s="254" t="str">
        <f t="shared" ca="1" si="68"/>
        <v/>
      </c>
      <c r="B618" s="255"/>
      <c r="C618" s="256"/>
      <c r="D618" s="257" t="str">
        <f t="shared" si="64"/>
        <v/>
      </c>
      <c r="F618" s="257" t="str">
        <f t="shared" si="65"/>
        <v/>
      </c>
      <c r="G618" s="257" t="str">
        <f t="shared" si="66"/>
        <v/>
      </c>
      <c r="H618" s="257" t="str">
        <f t="shared" si="67"/>
        <v/>
      </c>
    </row>
    <row r="619" spans="1:8" x14ac:dyDescent="0.25">
      <c r="A619" s="254" t="str">
        <f t="shared" ca="1" si="68"/>
        <v/>
      </c>
      <c r="B619" s="255"/>
      <c r="C619" s="256"/>
      <c r="D619" s="257" t="str">
        <f t="shared" si="64"/>
        <v/>
      </c>
      <c r="F619" s="257" t="str">
        <f t="shared" si="65"/>
        <v/>
      </c>
      <c r="G619" s="257" t="str">
        <f t="shared" si="66"/>
        <v/>
      </c>
      <c r="H619" s="257" t="str">
        <f t="shared" si="67"/>
        <v/>
      </c>
    </row>
    <row r="620" spans="1:8" x14ac:dyDescent="0.25">
      <c r="A620" s="254" t="str">
        <f t="shared" ca="1" si="68"/>
        <v/>
      </c>
      <c r="B620" s="255"/>
      <c r="C620" s="256"/>
      <c r="D620" s="257" t="str">
        <f t="shared" si="64"/>
        <v/>
      </c>
      <c r="F620" s="257" t="str">
        <f t="shared" si="65"/>
        <v/>
      </c>
      <c r="G620" s="257" t="str">
        <f t="shared" si="66"/>
        <v/>
      </c>
      <c r="H620" s="257" t="str">
        <f t="shared" si="67"/>
        <v/>
      </c>
    </row>
    <row r="621" spans="1:8" x14ac:dyDescent="0.25">
      <c r="A621" s="254" t="str">
        <f t="shared" ca="1" si="68"/>
        <v/>
      </c>
      <c r="B621" s="255"/>
      <c r="C621" s="256"/>
      <c r="D621" s="257" t="str">
        <f t="shared" si="64"/>
        <v/>
      </c>
      <c r="F621" s="257" t="str">
        <f t="shared" si="65"/>
        <v/>
      </c>
      <c r="G621" s="257" t="str">
        <f t="shared" si="66"/>
        <v/>
      </c>
      <c r="H621" s="257" t="str">
        <f t="shared" si="67"/>
        <v/>
      </c>
    </row>
    <row r="622" spans="1:8" x14ac:dyDescent="0.25">
      <c r="A622" s="254" t="str">
        <f t="shared" ca="1" si="68"/>
        <v/>
      </c>
      <c r="B622" s="255"/>
      <c r="C622" s="256"/>
      <c r="D622" s="257" t="str">
        <f t="shared" si="64"/>
        <v/>
      </c>
      <c r="F622" s="257" t="str">
        <f t="shared" si="65"/>
        <v/>
      </c>
      <c r="G622" s="257" t="str">
        <f t="shared" si="66"/>
        <v/>
      </c>
      <c r="H622" s="257" t="str">
        <f t="shared" si="67"/>
        <v/>
      </c>
    </row>
    <row r="623" spans="1:8" x14ac:dyDescent="0.25">
      <c r="A623" s="254" t="str">
        <f t="shared" ca="1" si="68"/>
        <v/>
      </c>
      <c r="B623" s="255"/>
      <c r="C623" s="256"/>
      <c r="D623" s="257" t="str">
        <f t="shared" si="64"/>
        <v/>
      </c>
      <c r="F623" s="257" t="str">
        <f t="shared" si="65"/>
        <v/>
      </c>
      <c r="G623" s="257" t="str">
        <f t="shared" si="66"/>
        <v/>
      </c>
      <c r="H623" s="257" t="str">
        <f t="shared" si="67"/>
        <v/>
      </c>
    </row>
    <row r="624" spans="1:8" x14ac:dyDescent="0.25">
      <c r="A624" s="254" t="str">
        <f t="shared" ca="1" si="68"/>
        <v/>
      </c>
      <c r="B624" s="255"/>
      <c r="C624" s="256"/>
      <c r="D624" s="257" t="str">
        <f t="shared" si="64"/>
        <v/>
      </c>
      <c r="F624" s="257" t="str">
        <f t="shared" si="65"/>
        <v/>
      </c>
      <c r="G624" s="257" t="str">
        <f t="shared" si="66"/>
        <v/>
      </c>
      <c r="H624" s="257" t="str">
        <f t="shared" si="67"/>
        <v/>
      </c>
    </row>
    <row r="625" spans="1:8" x14ac:dyDescent="0.25">
      <c r="A625" s="254" t="str">
        <f t="shared" ca="1" si="68"/>
        <v/>
      </c>
      <c r="B625" s="255"/>
      <c r="C625" s="256"/>
      <c r="D625" s="257" t="str">
        <f t="shared" si="64"/>
        <v/>
      </c>
      <c r="F625" s="257" t="str">
        <f t="shared" si="65"/>
        <v/>
      </c>
      <c r="G625" s="257" t="str">
        <f t="shared" si="66"/>
        <v/>
      </c>
      <c r="H625" s="257" t="str">
        <f t="shared" si="67"/>
        <v/>
      </c>
    </row>
    <row r="626" spans="1:8" x14ac:dyDescent="0.25">
      <c r="A626" s="254" t="str">
        <f t="shared" ca="1" si="68"/>
        <v/>
      </c>
      <c r="B626" s="255"/>
      <c r="C626" s="256"/>
      <c r="D626" s="257" t="str">
        <f t="shared" si="64"/>
        <v/>
      </c>
      <c r="F626" s="257" t="str">
        <f t="shared" si="65"/>
        <v/>
      </c>
      <c r="G626" s="257" t="str">
        <f t="shared" si="66"/>
        <v/>
      </c>
      <c r="H626" s="257" t="str">
        <f t="shared" si="67"/>
        <v/>
      </c>
    </row>
    <row r="627" spans="1:8" x14ac:dyDescent="0.25">
      <c r="A627" s="254" t="str">
        <f t="shared" ca="1" si="68"/>
        <v/>
      </c>
      <c r="B627" s="255"/>
      <c r="C627" s="256"/>
      <c r="D627" s="257" t="str">
        <f t="shared" si="64"/>
        <v/>
      </c>
      <c r="F627" s="257" t="str">
        <f t="shared" si="65"/>
        <v/>
      </c>
      <c r="G627" s="257" t="str">
        <f t="shared" si="66"/>
        <v/>
      </c>
      <c r="H627" s="257" t="str">
        <f t="shared" si="67"/>
        <v/>
      </c>
    </row>
    <row r="628" spans="1:8" x14ac:dyDescent="0.25">
      <c r="A628" s="254" t="str">
        <f t="shared" ca="1" si="68"/>
        <v/>
      </c>
      <c r="B628" s="255"/>
      <c r="C628" s="256"/>
      <c r="D628" s="257" t="str">
        <f t="shared" si="64"/>
        <v/>
      </c>
      <c r="F628" s="257" t="str">
        <f t="shared" si="65"/>
        <v/>
      </c>
      <c r="G628" s="257" t="str">
        <f t="shared" si="66"/>
        <v/>
      </c>
      <c r="H628" s="257" t="str">
        <f t="shared" si="67"/>
        <v/>
      </c>
    </row>
    <row r="629" spans="1:8" x14ac:dyDescent="0.25">
      <c r="A629" s="254" t="str">
        <f t="shared" ca="1" si="68"/>
        <v/>
      </c>
      <c r="B629" s="255"/>
      <c r="C629" s="256"/>
      <c r="D629" s="257" t="str">
        <f t="shared" si="64"/>
        <v/>
      </c>
      <c r="F629" s="257" t="str">
        <f t="shared" si="65"/>
        <v/>
      </c>
      <c r="G629" s="257" t="str">
        <f t="shared" si="66"/>
        <v/>
      </c>
      <c r="H629" s="257" t="str">
        <f t="shared" si="67"/>
        <v/>
      </c>
    </row>
    <row r="630" spans="1:8" x14ac:dyDescent="0.25">
      <c r="A630" s="254" t="str">
        <f t="shared" ca="1" si="68"/>
        <v/>
      </c>
      <c r="B630" s="255"/>
      <c r="C630" s="256"/>
      <c r="D630" s="257" t="str">
        <f t="shared" si="64"/>
        <v/>
      </c>
      <c r="F630" s="257" t="str">
        <f t="shared" si="65"/>
        <v/>
      </c>
      <c r="G630" s="257" t="str">
        <f t="shared" si="66"/>
        <v/>
      </c>
      <c r="H630" s="257" t="str">
        <f t="shared" si="67"/>
        <v/>
      </c>
    </row>
    <row r="631" spans="1:8" x14ac:dyDescent="0.25">
      <c r="A631" s="254" t="str">
        <f t="shared" ca="1" si="68"/>
        <v/>
      </c>
      <c r="B631" s="255"/>
      <c r="C631" s="256"/>
      <c r="D631" s="257" t="str">
        <f t="shared" si="64"/>
        <v/>
      </c>
      <c r="F631" s="257" t="str">
        <f t="shared" si="65"/>
        <v/>
      </c>
      <c r="G631" s="257" t="str">
        <f t="shared" si="66"/>
        <v/>
      </c>
      <c r="H631" s="257" t="str">
        <f t="shared" si="67"/>
        <v/>
      </c>
    </row>
    <row r="632" spans="1:8" x14ac:dyDescent="0.25">
      <c r="A632" s="254" t="str">
        <f t="shared" ca="1" si="68"/>
        <v/>
      </c>
      <c r="B632" s="255"/>
      <c r="C632" s="256"/>
      <c r="D632" s="257" t="str">
        <f t="shared" si="64"/>
        <v/>
      </c>
      <c r="F632" s="257" t="str">
        <f t="shared" si="65"/>
        <v/>
      </c>
      <c r="G632" s="257" t="str">
        <f t="shared" si="66"/>
        <v/>
      </c>
      <c r="H632" s="257" t="str">
        <f t="shared" si="67"/>
        <v/>
      </c>
    </row>
    <row r="633" spans="1:8" x14ac:dyDescent="0.25">
      <c r="A633" s="254" t="str">
        <f t="shared" ca="1" si="68"/>
        <v/>
      </c>
      <c r="B633" s="255"/>
      <c r="C633" s="256"/>
      <c r="D633" s="257" t="str">
        <f t="shared" si="64"/>
        <v/>
      </c>
      <c r="F633" s="257" t="str">
        <f t="shared" si="65"/>
        <v/>
      </c>
      <c r="G633" s="257" t="str">
        <f t="shared" si="66"/>
        <v/>
      </c>
      <c r="H633" s="257" t="str">
        <f t="shared" si="67"/>
        <v/>
      </c>
    </row>
    <row r="634" spans="1:8" x14ac:dyDescent="0.25">
      <c r="A634" s="254" t="str">
        <f t="shared" ca="1" si="68"/>
        <v/>
      </c>
      <c r="B634" s="255"/>
      <c r="C634" s="256"/>
      <c r="D634" s="257" t="str">
        <f t="shared" si="64"/>
        <v/>
      </c>
      <c r="F634" s="257" t="str">
        <f t="shared" si="65"/>
        <v/>
      </c>
      <c r="G634" s="257" t="str">
        <f t="shared" si="66"/>
        <v/>
      </c>
      <c r="H634" s="257" t="str">
        <f t="shared" si="67"/>
        <v/>
      </c>
    </row>
    <row r="635" spans="1:8" x14ac:dyDescent="0.25">
      <c r="A635" s="254" t="str">
        <f t="shared" ca="1" si="68"/>
        <v/>
      </c>
      <c r="B635" s="255"/>
      <c r="C635" s="256"/>
      <c r="D635" s="257" t="str">
        <f t="shared" si="64"/>
        <v/>
      </c>
      <c r="F635" s="257" t="str">
        <f t="shared" si="65"/>
        <v/>
      </c>
      <c r="G635" s="257" t="str">
        <f t="shared" si="66"/>
        <v/>
      </c>
      <c r="H635" s="257" t="str">
        <f t="shared" si="67"/>
        <v/>
      </c>
    </row>
    <row r="636" spans="1:8" x14ac:dyDescent="0.25">
      <c r="A636" s="254" t="str">
        <f t="shared" ca="1" si="68"/>
        <v/>
      </c>
      <c r="B636" s="255"/>
      <c r="C636" s="256"/>
      <c r="D636" s="257" t="str">
        <f t="shared" si="64"/>
        <v/>
      </c>
      <c r="F636" s="257" t="str">
        <f t="shared" si="65"/>
        <v/>
      </c>
      <c r="G636" s="257" t="str">
        <f t="shared" si="66"/>
        <v/>
      </c>
      <c r="H636" s="257" t="str">
        <f t="shared" si="67"/>
        <v/>
      </c>
    </row>
    <row r="637" spans="1:8" x14ac:dyDescent="0.25">
      <c r="A637" s="254" t="str">
        <f t="shared" ca="1" si="68"/>
        <v/>
      </c>
      <c r="B637" s="255"/>
      <c r="C637" s="256"/>
      <c r="D637" s="257" t="str">
        <f t="shared" si="64"/>
        <v/>
      </c>
      <c r="F637" s="257" t="str">
        <f t="shared" si="65"/>
        <v/>
      </c>
      <c r="G637" s="257" t="str">
        <f t="shared" si="66"/>
        <v/>
      </c>
      <c r="H637" s="257" t="str">
        <f t="shared" si="67"/>
        <v/>
      </c>
    </row>
    <row r="638" spans="1:8" x14ac:dyDescent="0.25">
      <c r="A638" s="254" t="str">
        <f t="shared" ca="1" si="68"/>
        <v/>
      </c>
      <c r="B638" s="255"/>
      <c r="C638" s="256"/>
      <c r="D638" s="257" t="str">
        <f t="shared" si="64"/>
        <v/>
      </c>
      <c r="F638" s="257" t="str">
        <f t="shared" si="65"/>
        <v/>
      </c>
      <c r="G638" s="257" t="str">
        <f t="shared" si="66"/>
        <v/>
      </c>
      <c r="H638" s="257" t="str">
        <f t="shared" si="67"/>
        <v/>
      </c>
    </row>
    <row r="639" spans="1:8" x14ac:dyDescent="0.25">
      <c r="A639" s="254" t="str">
        <f t="shared" ca="1" si="68"/>
        <v/>
      </c>
      <c r="B639" s="255"/>
      <c r="C639" s="256"/>
      <c r="D639" s="257" t="str">
        <f t="shared" si="64"/>
        <v/>
      </c>
      <c r="F639" s="257" t="str">
        <f t="shared" si="65"/>
        <v/>
      </c>
      <c r="G639" s="257" t="str">
        <f t="shared" si="66"/>
        <v/>
      </c>
      <c r="H639" s="257" t="str">
        <f t="shared" si="67"/>
        <v/>
      </c>
    </row>
    <row r="640" spans="1:8" x14ac:dyDescent="0.25">
      <c r="A640" s="254" t="str">
        <f t="shared" ca="1" si="68"/>
        <v/>
      </c>
      <c r="B640" s="255"/>
      <c r="C640" s="256"/>
      <c r="D640" s="257" t="str">
        <f t="shared" si="64"/>
        <v/>
      </c>
      <c r="F640" s="257" t="str">
        <f t="shared" si="65"/>
        <v/>
      </c>
      <c r="G640" s="257" t="str">
        <f t="shared" si="66"/>
        <v/>
      </c>
      <c r="H640" s="257" t="str">
        <f t="shared" si="67"/>
        <v/>
      </c>
    </row>
    <row r="641" spans="1:8" x14ac:dyDescent="0.25">
      <c r="A641" s="254" t="str">
        <f t="shared" ca="1" si="68"/>
        <v/>
      </c>
      <c r="B641" s="255"/>
      <c r="C641" s="256"/>
      <c r="D641" s="257" t="str">
        <f t="shared" si="64"/>
        <v/>
      </c>
      <c r="F641" s="257" t="str">
        <f t="shared" si="65"/>
        <v/>
      </c>
      <c r="G641" s="257" t="str">
        <f t="shared" si="66"/>
        <v/>
      </c>
      <c r="H641" s="257" t="str">
        <f t="shared" si="67"/>
        <v/>
      </c>
    </row>
    <row r="642" spans="1:8" x14ac:dyDescent="0.25">
      <c r="A642" s="254" t="str">
        <f t="shared" ca="1" si="68"/>
        <v/>
      </c>
      <c r="B642" s="255"/>
      <c r="C642" s="256"/>
      <c r="D642" s="257" t="str">
        <f t="shared" si="64"/>
        <v/>
      </c>
      <c r="F642" s="257" t="str">
        <f t="shared" si="65"/>
        <v/>
      </c>
      <c r="G642" s="257" t="str">
        <f t="shared" si="66"/>
        <v/>
      </c>
      <c r="H642" s="257" t="str">
        <f t="shared" si="67"/>
        <v/>
      </c>
    </row>
    <row r="643" spans="1:8" x14ac:dyDescent="0.25">
      <c r="A643" s="254" t="str">
        <f t="shared" ca="1" si="68"/>
        <v/>
      </c>
      <c r="B643" s="255"/>
      <c r="C643" s="256"/>
      <c r="D643" s="257" t="str">
        <f t="shared" si="64"/>
        <v/>
      </c>
      <c r="F643" s="257" t="str">
        <f t="shared" si="65"/>
        <v/>
      </c>
      <c r="G643" s="257" t="str">
        <f t="shared" si="66"/>
        <v/>
      </c>
      <c r="H643" s="257" t="str">
        <f t="shared" si="67"/>
        <v/>
      </c>
    </row>
    <row r="644" spans="1:8" x14ac:dyDescent="0.25">
      <c r="A644" s="254" t="str">
        <f t="shared" ca="1" si="68"/>
        <v/>
      </c>
      <c r="B644" s="255"/>
      <c r="C644" s="256"/>
      <c r="D644" s="257" t="str">
        <f t="shared" si="64"/>
        <v/>
      </c>
      <c r="F644" s="257" t="str">
        <f t="shared" si="65"/>
        <v/>
      </c>
      <c r="G644" s="257" t="str">
        <f t="shared" si="66"/>
        <v/>
      </c>
      <c r="H644" s="257" t="str">
        <f t="shared" si="67"/>
        <v/>
      </c>
    </row>
    <row r="645" spans="1:8" x14ac:dyDescent="0.25">
      <c r="A645" s="254" t="str">
        <f t="shared" ca="1" si="68"/>
        <v/>
      </c>
      <c r="B645" s="255"/>
      <c r="C645" s="256"/>
      <c r="D645" s="257" t="str">
        <f t="shared" si="64"/>
        <v/>
      </c>
      <c r="F645" s="257" t="str">
        <f t="shared" si="65"/>
        <v/>
      </c>
      <c r="G645" s="257" t="str">
        <f t="shared" si="66"/>
        <v/>
      </c>
      <c r="H645" s="257" t="str">
        <f t="shared" si="67"/>
        <v/>
      </c>
    </row>
    <row r="646" spans="1:8" x14ac:dyDescent="0.25">
      <c r="A646" s="254" t="str">
        <f t="shared" ca="1" si="68"/>
        <v/>
      </c>
      <c r="B646" s="255"/>
      <c r="C646" s="256"/>
      <c r="D646" s="257" t="str">
        <f t="shared" si="64"/>
        <v/>
      </c>
      <c r="F646" s="257" t="str">
        <f t="shared" si="65"/>
        <v/>
      </c>
      <c r="G646" s="257" t="str">
        <f t="shared" si="66"/>
        <v/>
      </c>
      <c r="H646" s="257" t="str">
        <f t="shared" si="67"/>
        <v/>
      </c>
    </row>
    <row r="647" spans="1:8" x14ac:dyDescent="0.25">
      <c r="A647" s="254" t="str">
        <f t="shared" ca="1" si="68"/>
        <v/>
      </c>
      <c r="B647" s="255"/>
      <c r="C647" s="256"/>
      <c r="D647" s="257" t="str">
        <f t="shared" si="64"/>
        <v/>
      </c>
      <c r="F647" s="257" t="str">
        <f t="shared" si="65"/>
        <v/>
      </c>
      <c r="G647" s="257" t="str">
        <f t="shared" si="66"/>
        <v/>
      </c>
      <c r="H647" s="257" t="str">
        <f t="shared" si="67"/>
        <v/>
      </c>
    </row>
    <row r="648" spans="1:8" x14ac:dyDescent="0.25">
      <c r="A648" s="254" t="str">
        <f t="shared" ca="1" si="68"/>
        <v/>
      </c>
      <c r="B648" s="255"/>
      <c r="C648" s="256"/>
      <c r="D648" s="257" t="str">
        <f t="shared" si="64"/>
        <v/>
      </c>
      <c r="F648" s="257" t="str">
        <f t="shared" si="65"/>
        <v/>
      </c>
      <c r="G648" s="257" t="str">
        <f t="shared" si="66"/>
        <v/>
      </c>
      <c r="H648" s="257" t="str">
        <f t="shared" si="67"/>
        <v/>
      </c>
    </row>
    <row r="649" spans="1:8" x14ac:dyDescent="0.25">
      <c r="A649" s="254" t="str">
        <f t="shared" ca="1" si="68"/>
        <v/>
      </c>
      <c r="B649" s="255"/>
      <c r="C649" s="256"/>
      <c r="D649" s="257" t="str">
        <f t="shared" si="64"/>
        <v/>
      </c>
      <c r="F649" s="257" t="str">
        <f t="shared" si="65"/>
        <v/>
      </c>
      <c r="G649" s="257" t="str">
        <f t="shared" si="66"/>
        <v/>
      </c>
      <c r="H649" s="257" t="str">
        <f t="shared" si="67"/>
        <v/>
      </c>
    </row>
    <row r="650" spans="1:8" x14ac:dyDescent="0.25">
      <c r="A650" s="254" t="str">
        <f t="shared" ca="1" si="68"/>
        <v/>
      </c>
      <c r="B650" s="255"/>
      <c r="C650" s="256"/>
      <c r="D650" s="257" t="str">
        <f t="shared" si="64"/>
        <v/>
      </c>
      <c r="F650" s="257" t="str">
        <f t="shared" si="65"/>
        <v/>
      </c>
      <c r="G650" s="257" t="str">
        <f t="shared" si="66"/>
        <v/>
      </c>
      <c r="H650" s="257" t="str">
        <f t="shared" si="67"/>
        <v/>
      </c>
    </row>
    <row r="651" spans="1:8" x14ac:dyDescent="0.25">
      <c r="A651" s="254" t="str">
        <f t="shared" ca="1" si="68"/>
        <v/>
      </c>
      <c r="B651" s="255"/>
      <c r="C651" s="256"/>
      <c r="D651" s="257" t="str">
        <f t="shared" si="64"/>
        <v/>
      </c>
      <c r="F651" s="257" t="str">
        <f t="shared" si="65"/>
        <v/>
      </c>
      <c r="G651" s="257" t="str">
        <f t="shared" si="66"/>
        <v/>
      </c>
      <c r="H651" s="257" t="str">
        <f t="shared" si="67"/>
        <v/>
      </c>
    </row>
    <row r="652" spans="1:8" x14ac:dyDescent="0.25">
      <c r="A652" s="254" t="str">
        <f t="shared" ca="1" si="68"/>
        <v/>
      </c>
      <c r="B652" s="255"/>
      <c r="C652" s="256"/>
      <c r="D652" s="257" t="str">
        <f t="shared" si="64"/>
        <v/>
      </c>
      <c r="F652" s="257" t="str">
        <f t="shared" si="65"/>
        <v/>
      </c>
      <c r="G652" s="257" t="str">
        <f t="shared" si="66"/>
        <v/>
      </c>
      <c r="H652" s="257" t="str">
        <f t="shared" si="67"/>
        <v/>
      </c>
    </row>
    <row r="653" spans="1:8" x14ac:dyDescent="0.25">
      <c r="A653" s="254" t="str">
        <f t="shared" ca="1" si="68"/>
        <v/>
      </c>
      <c r="B653" s="255"/>
      <c r="C653" s="256"/>
      <c r="D653" s="257" t="str">
        <f t="shared" si="64"/>
        <v/>
      </c>
      <c r="F653" s="257" t="str">
        <f t="shared" si="65"/>
        <v/>
      </c>
      <c r="G653" s="257" t="str">
        <f t="shared" si="66"/>
        <v/>
      </c>
      <c r="H653" s="257" t="str">
        <f t="shared" si="67"/>
        <v/>
      </c>
    </row>
    <row r="654" spans="1:8" x14ac:dyDescent="0.25">
      <c r="A654" s="254" t="str">
        <f t="shared" ca="1" si="68"/>
        <v/>
      </c>
      <c r="B654" s="255"/>
      <c r="C654" s="256"/>
      <c r="D654" s="257" t="str">
        <f t="shared" si="64"/>
        <v/>
      </c>
      <c r="F654" s="257" t="str">
        <f t="shared" si="65"/>
        <v/>
      </c>
      <c r="G654" s="257" t="str">
        <f t="shared" si="66"/>
        <v/>
      </c>
      <c r="H654" s="257" t="str">
        <f t="shared" si="67"/>
        <v/>
      </c>
    </row>
    <row r="655" spans="1:8" x14ac:dyDescent="0.25">
      <c r="A655" s="254" t="str">
        <f t="shared" ca="1" si="68"/>
        <v/>
      </c>
      <c r="B655" s="255"/>
      <c r="C655" s="256"/>
      <c r="D655" s="257" t="str">
        <f t="shared" si="64"/>
        <v/>
      </c>
      <c r="F655" s="257" t="str">
        <f t="shared" si="65"/>
        <v/>
      </c>
      <c r="G655" s="257" t="str">
        <f t="shared" si="66"/>
        <v/>
      </c>
      <c r="H655" s="257" t="str">
        <f t="shared" si="67"/>
        <v/>
      </c>
    </row>
    <row r="656" spans="1:8" x14ac:dyDescent="0.25">
      <c r="A656" s="254" t="str">
        <f t="shared" ca="1" si="68"/>
        <v/>
      </c>
      <c r="B656" s="255"/>
      <c r="C656" s="256"/>
      <c r="D656" s="257" t="str">
        <f t="shared" si="64"/>
        <v/>
      </c>
      <c r="F656" s="257" t="str">
        <f t="shared" si="65"/>
        <v/>
      </c>
      <c r="G656" s="257" t="str">
        <f t="shared" si="66"/>
        <v/>
      </c>
      <c r="H656" s="257" t="str">
        <f t="shared" si="67"/>
        <v/>
      </c>
    </row>
    <row r="657" spans="1:8" x14ac:dyDescent="0.25">
      <c r="A657" s="254" t="str">
        <f t="shared" ca="1" si="68"/>
        <v/>
      </c>
      <c r="B657" s="255"/>
      <c r="C657" s="256"/>
      <c r="D657" s="257" t="str">
        <f t="shared" si="64"/>
        <v/>
      </c>
      <c r="F657" s="257" t="str">
        <f t="shared" si="65"/>
        <v/>
      </c>
      <c r="G657" s="257" t="str">
        <f t="shared" si="66"/>
        <v/>
      </c>
      <c r="H657" s="257" t="str">
        <f t="shared" si="67"/>
        <v/>
      </c>
    </row>
    <row r="658" spans="1:8" x14ac:dyDescent="0.25">
      <c r="A658" s="254" t="str">
        <f t="shared" ca="1" si="68"/>
        <v/>
      </c>
      <c r="B658" s="255"/>
      <c r="C658" s="256"/>
      <c r="D658" s="257" t="str">
        <f t="shared" si="64"/>
        <v/>
      </c>
      <c r="F658" s="257" t="str">
        <f t="shared" si="65"/>
        <v/>
      </c>
      <c r="G658" s="257" t="str">
        <f t="shared" si="66"/>
        <v/>
      </c>
      <c r="H658" s="257" t="str">
        <f t="shared" si="67"/>
        <v/>
      </c>
    </row>
    <row r="659" spans="1:8" x14ac:dyDescent="0.25">
      <c r="A659" s="254" t="str">
        <f t="shared" ca="1" si="68"/>
        <v/>
      </c>
      <c r="B659" s="255"/>
      <c r="C659" s="256"/>
      <c r="D659" s="257" t="str">
        <f t="shared" ref="D659:D722" si="69">IF(B659="","",ROUND((B659-B658)*$H$9*G658,2))</f>
        <v/>
      </c>
      <c r="F659" s="257" t="str">
        <f t="shared" ref="F659:F722" si="70">IF(B659="","",IF(C659&gt;F658+D659,0,F658+D659-C659))</f>
        <v/>
      </c>
      <c r="G659" s="257" t="str">
        <f t="shared" ref="G659:G722" si="71">IF(B659="","",IF(C659&gt;D659+F658,G658+F658+D659-C659,G658))</f>
        <v/>
      </c>
      <c r="H659" s="257" t="str">
        <f t="shared" ref="H659:H722" si="72">IF(B659="","",G659+F659)</f>
        <v/>
      </c>
    </row>
    <row r="660" spans="1:8" x14ac:dyDescent="0.25">
      <c r="A660" s="254" t="str">
        <f t="shared" ca="1" si="68"/>
        <v/>
      </c>
      <c r="B660" s="255"/>
      <c r="C660" s="256"/>
      <c r="D660" s="257" t="str">
        <f t="shared" si="69"/>
        <v/>
      </c>
      <c r="F660" s="257" t="str">
        <f t="shared" si="70"/>
        <v/>
      </c>
      <c r="G660" s="257" t="str">
        <f t="shared" si="71"/>
        <v/>
      </c>
      <c r="H660" s="257" t="str">
        <f t="shared" si="72"/>
        <v/>
      </c>
    </row>
    <row r="661" spans="1:8" x14ac:dyDescent="0.25">
      <c r="A661" s="254" t="str">
        <f t="shared" ca="1" si="68"/>
        <v/>
      </c>
      <c r="B661" s="255"/>
      <c r="C661" s="256"/>
      <c r="D661" s="257" t="str">
        <f t="shared" si="69"/>
        <v/>
      </c>
      <c r="F661" s="257" t="str">
        <f t="shared" si="70"/>
        <v/>
      </c>
      <c r="G661" s="257" t="str">
        <f t="shared" si="71"/>
        <v/>
      </c>
      <c r="H661" s="257" t="str">
        <f t="shared" si="72"/>
        <v/>
      </c>
    </row>
    <row r="662" spans="1:8" x14ac:dyDescent="0.25">
      <c r="A662" s="254" t="str">
        <f t="shared" ca="1" si="68"/>
        <v/>
      </c>
      <c r="B662" s="255"/>
      <c r="C662" s="256"/>
      <c r="D662" s="257" t="str">
        <f t="shared" si="69"/>
        <v/>
      </c>
      <c r="F662" s="257" t="str">
        <f t="shared" si="70"/>
        <v/>
      </c>
      <c r="G662" s="257" t="str">
        <f t="shared" si="71"/>
        <v/>
      </c>
      <c r="H662" s="257" t="str">
        <f t="shared" si="72"/>
        <v/>
      </c>
    </row>
    <row r="663" spans="1:8" x14ac:dyDescent="0.25">
      <c r="A663" s="254" t="str">
        <f t="shared" ca="1" si="68"/>
        <v/>
      </c>
      <c r="B663" s="255"/>
      <c r="C663" s="256"/>
      <c r="D663" s="257" t="str">
        <f t="shared" si="69"/>
        <v/>
      </c>
      <c r="F663" s="257" t="str">
        <f t="shared" si="70"/>
        <v/>
      </c>
      <c r="G663" s="257" t="str">
        <f t="shared" si="71"/>
        <v/>
      </c>
      <c r="H663" s="257" t="str">
        <f t="shared" si="72"/>
        <v/>
      </c>
    </row>
    <row r="664" spans="1:8" x14ac:dyDescent="0.25">
      <c r="A664" s="254" t="str">
        <f t="shared" ca="1" si="68"/>
        <v/>
      </c>
      <c r="B664" s="255"/>
      <c r="C664" s="256"/>
      <c r="D664" s="257" t="str">
        <f t="shared" si="69"/>
        <v/>
      </c>
      <c r="F664" s="257" t="str">
        <f t="shared" si="70"/>
        <v/>
      </c>
      <c r="G664" s="257" t="str">
        <f t="shared" si="71"/>
        <v/>
      </c>
      <c r="H664" s="257" t="str">
        <f t="shared" si="72"/>
        <v/>
      </c>
    </row>
    <row r="665" spans="1:8" x14ac:dyDescent="0.25">
      <c r="A665" s="254" t="str">
        <f t="shared" ca="1" si="68"/>
        <v/>
      </c>
      <c r="B665" s="255"/>
      <c r="C665" s="256"/>
      <c r="D665" s="257" t="str">
        <f t="shared" si="69"/>
        <v/>
      </c>
      <c r="F665" s="257" t="str">
        <f t="shared" si="70"/>
        <v/>
      </c>
      <c r="G665" s="257" t="str">
        <f t="shared" si="71"/>
        <v/>
      </c>
      <c r="H665" s="257" t="str">
        <f t="shared" si="72"/>
        <v/>
      </c>
    </row>
    <row r="666" spans="1:8" x14ac:dyDescent="0.25">
      <c r="A666" s="254" t="str">
        <f t="shared" ca="1" si="68"/>
        <v/>
      </c>
      <c r="B666" s="255"/>
      <c r="C666" s="256"/>
      <c r="D666" s="257" t="str">
        <f t="shared" si="69"/>
        <v/>
      </c>
      <c r="F666" s="257" t="str">
        <f t="shared" si="70"/>
        <v/>
      </c>
      <c r="G666" s="257" t="str">
        <f t="shared" si="71"/>
        <v/>
      </c>
      <c r="H666" s="257" t="str">
        <f t="shared" si="72"/>
        <v/>
      </c>
    </row>
    <row r="667" spans="1:8" x14ac:dyDescent="0.25">
      <c r="A667" s="254" t="str">
        <f t="shared" ca="1" si="68"/>
        <v/>
      </c>
      <c r="B667" s="255"/>
      <c r="C667" s="256"/>
      <c r="D667" s="257" t="str">
        <f t="shared" si="69"/>
        <v/>
      </c>
      <c r="F667" s="257" t="str">
        <f t="shared" si="70"/>
        <v/>
      </c>
      <c r="G667" s="257" t="str">
        <f t="shared" si="71"/>
        <v/>
      </c>
      <c r="H667" s="257" t="str">
        <f t="shared" si="72"/>
        <v/>
      </c>
    </row>
    <row r="668" spans="1:8" x14ac:dyDescent="0.25">
      <c r="A668" s="254" t="str">
        <f t="shared" ca="1" si="68"/>
        <v/>
      </c>
      <c r="B668" s="255"/>
      <c r="C668" s="256"/>
      <c r="D668" s="257" t="str">
        <f t="shared" si="69"/>
        <v/>
      </c>
      <c r="F668" s="257" t="str">
        <f t="shared" si="70"/>
        <v/>
      </c>
      <c r="G668" s="257" t="str">
        <f t="shared" si="71"/>
        <v/>
      </c>
      <c r="H668" s="257" t="str">
        <f t="shared" si="72"/>
        <v/>
      </c>
    </row>
    <row r="669" spans="1:8" x14ac:dyDescent="0.25">
      <c r="A669" s="254" t="str">
        <f t="shared" ca="1" si="68"/>
        <v/>
      </c>
      <c r="B669" s="255"/>
      <c r="C669" s="256"/>
      <c r="D669" s="257" t="str">
        <f t="shared" si="69"/>
        <v/>
      </c>
      <c r="F669" s="257" t="str">
        <f t="shared" si="70"/>
        <v/>
      </c>
      <c r="G669" s="257" t="str">
        <f t="shared" si="71"/>
        <v/>
      </c>
      <c r="H669" s="257" t="str">
        <f t="shared" si="72"/>
        <v/>
      </c>
    </row>
    <row r="670" spans="1:8" x14ac:dyDescent="0.25">
      <c r="A670" s="254" t="str">
        <f t="shared" ca="1" si="68"/>
        <v/>
      </c>
      <c r="B670" s="255"/>
      <c r="C670" s="256"/>
      <c r="D670" s="257" t="str">
        <f t="shared" si="69"/>
        <v/>
      </c>
      <c r="F670" s="257" t="str">
        <f t="shared" si="70"/>
        <v/>
      </c>
      <c r="G670" s="257" t="str">
        <f t="shared" si="71"/>
        <v/>
      </c>
      <c r="H670" s="257" t="str">
        <f t="shared" si="72"/>
        <v/>
      </c>
    </row>
    <row r="671" spans="1:8" x14ac:dyDescent="0.25">
      <c r="A671" s="254" t="str">
        <f t="shared" ca="1" si="68"/>
        <v/>
      </c>
      <c r="B671" s="255"/>
      <c r="C671" s="256"/>
      <c r="D671" s="257" t="str">
        <f t="shared" si="69"/>
        <v/>
      </c>
      <c r="F671" s="257" t="str">
        <f t="shared" si="70"/>
        <v/>
      </c>
      <c r="G671" s="257" t="str">
        <f t="shared" si="71"/>
        <v/>
      </c>
      <c r="H671" s="257" t="str">
        <f t="shared" si="72"/>
        <v/>
      </c>
    </row>
    <row r="672" spans="1:8" x14ac:dyDescent="0.25">
      <c r="A672" s="254" t="str">
        <f t="shared" ca="1" si="68"/>
        <v/>
      </c>
      <c r="B672" s="255"/>
      <c r="C672" s="256"/>
      <c r="D672" s="257" t="str">
        <f t="shared" si="69"/>
        <v/>
      </c>
      <c r="F672" s="257" t="str">
        <f t="shared" si="70"/>
        <v/>
      </c>
      <c r="G672" s="257" t="str">
        <f t="shared" si="71"/>
        <v/>
      </c>
      <c r="H672" s="257" t="str">
        <f t="shared" si="72"/>
        <v/>
      </c>
    </row>
    <row r="673" spans="1:8" x14ac:dyDescent="0.25">
      <c r="A673" s="254" t="str">
        <f t="shared" ca="1" si="68"/>
        <v/>
      </c>
      <c r="B673" s="255"/>
      <c r="C673" s="256"/>
      <c r="D673" s="257" t="str">
        <f t="shared" si="69"/>
        <v/>
      </c>
      <c r="F673" s="257" t="str">
        <f t="shared" si="70"/>
        <v/>
      </c>
      <c r="G673" s="257" t="str">
        <f t="shared" si="71"/>
        <v/>
      </c>
      <c r="H673" s="257" t="str">
        <f t="shared" si="72"/>
        <v/>
      </c>
    </row>
    <row r="674" spans="1:8" x14ac:dyDescent="0.25">
      <c r="A674" s="254" t="str">
        <f t="shared" ca="1" si="68"/>
        <v/>
      </c>
      <c r="B674" s="255"/>
      <c r="C674" s="256"/>
      <c r="D674" s="257" t="str">
        <f t="shared" si="69"/>
        <v/>
      </c>
      <c r="F674" s="257" t="str">
        <f t="shared" si="70"/>
        <v/>
      </c>
      <c r="G674" s="257" t="str">
        <f t="shared" si="71"/>
        <v/>
      </c>
      <c r="H674" s="257" t="str">
        <f t="shared" si="72"/>
        <v/>
      </c>
    </row>
    <row r="675" spans="1:8" x14ac:dyDescent="0.25">
      <c r="A675" s="254" t="str">
        <f t="shared" ca="1" si="68"/>
        <v/>
      </c>
      <c r="B675" s="255"/>
      <c r="C675" s="256"/>
      <c r="D675" s="257" t="str">
        <f t="shared" si="69"/>
        <v/>
      </c>
      <c r="F675" s="257" t="str">
        <f t="shared" si="70"/>
        <v/>
      </c>
      <c r="G675" s="257" t="str">
        <f t="shared" si="71"/>
        <v/>
      </c>
      <c r="H675" s="257" t="str">
        <f t="shared" si="72"/>
        <v/>
      </c>
    </row>
    <row r="676" spans="1:8" x14ac:dyDescent="0.25">
      <c r="A676" s="254" t="str">
        <f t="shared" ca="1" si="68"/>
        <v/>
      </c>
      <c r="B676" s="255"/>
      <c r="C676" s="256"/>
      <c r="D676" s="257" t="str">
        <f t="shared" si="69"/>
        <v/>
      </c>
      <c r="F676" s="257" t="str">
        <f t="shared" si="70"/>
        <v/>
      </c>
      <c r="G676" s="257" t="str">
        <f t="shared" si="71"/>
        <v/>
      </c>
      <c r="H676" s="257" t="str">
        <f t="shared" si="72"/>
        <v/>
      </c>
    </row>
    <row r="677" spans="1:8" x14ac:dyDescent="0.25">
      <c r="A677" s="254" t="str">
        <f t="shared" ca="1" si="68"/>
        <v/>
      </c>
      <c r="B677" s="255"/>
      <c r="C677" s="256"/>
      <c r="D677" s="257" t="str">
        <f t="shared" si="69"/>
        <v/>
      </c>
      <c r="F677" s="257" t="str">
        <f t="shared" si="70"/>
        <v/>
      </c>
      <c r="G677" s="257" t="str">
        <f t="shared" si="71"/>
        <v/>
      </c>
      <c r="H677" s="257" t="str">
        <f t="shared" si="72"/>
        <v/>
      </c>
    </row>
    <row r="678" spans="1:8" x14ac:dyDescent="0.25">
      <c r="A678" s="254" t="str">
        <f t="shared" ca="1" si="68"/>
        <v/>
      </c>
      <c r="B678" s="255"/>
      <c r="C678" s="256"/>
      <c r="D678" s="257" t="str">
        <f t="shared" si="69"/>
        <v/>
      </c>
      <c r="F678" s="257" t="str">
        <f t="shared" si="70"/>
        <v/>
      </c>
      <c r="G678" s="257" t="str">
        <f t="shared" si="71"/>
        <v/>
      </c>
      <c r="H678" s="257" t="str">
        <f t="shared" si="72"/>
        <v/>
      </c>
    </row>
    <row r="679" spans="1:8" x14ac:dyDescent="0.25">
      <c r="A679" s="254" t="str">
        <f t="shared" ca="1" si="68"/>
        <v/>
      </c>
      <c r="B679" s="255"/>
      <c r="C679" s="256"/>
      <c r="D679" s="257" t="str">
        <f t="shared" si="69"/>
        <v/>
      </c>
      <c r="F679" s="257" t="str">
        <f t="shared" si="70"/>
        <v/>
      </c>
      <c r="G679" s="257" t="str">
        <f t="shared" si="71"/>
        <v/>
      </c>
      <c r="H679" s="257" t="str">
        <f t="shared" si="72"/>
        <v/>
      </c>
    </row>
    <row r="680" spans="1:8" x14ac:dyDescent="0.25">
      <c r="A680" s="254" t="str">
        <f t="shared" ca="1" si="68"/>
        <v/>
      </c>
      <c r="B680" s="255"/>
      <c r="C680" s="256"/>
      <c r="D680" s="257" t="str">
        <f t="shared" si="69"/>
        <v/>
      </c>
      <c r="F680" s="257" t="str">
        <f t="shared" si="70"/>
        <v/>
      </c>
      <c r="G680" s="257" t="str">
        <f t="shared" si="71"/>
        <v/>
      </c>
      <c r="H680" s="257" t="str">
        <f t="shared" si="72"/>
        <v/>
      </c>
    </row>
    <row r="681" spans="1:8" x14ac:dyDescent="0.25">
      <c r="A681" s="254" t="str">
        <f t="shared" ref="A681:A744" ca="1" si="73">IF(OR(H680&lt;=0,H680=""),"",OFFSET(A681,-1,0,1,1)+1)</f>
        <v/>
      </c>
      <c r="B681" s="255"/>
      <c r="C681" s="256"/>
      <c r="D681" s="257" t="str">
        <f t="shared" si="69"/>
        <v/>
      </c>
      <c r="F681" s="257" t="str">
        <f t="shared" si="70"/>
        <v/>
      </c>
      <c r="G681" s="257" t="str">
        <f t="shared" si="71"/>
        <v/>
      </c>
      <c r="H681" s="257" t="str">
        <f t="shared" si="72"/>
        <v/>
      </c>
    </row>
    <row r="682" spans="1:8" x14ac:dyDescent="0.25">
      <c r="A682" s="254" t="str">
        <f t="shared" ca="1" si="73"/>
        <v/>
      </c>
      <c r="B682" s="255"/>
      <c r="C682" s="256"/>
      <c r="D682" s="257" t="str">
        <f t="shared" si="69"/>
        <v/>
      </c>
      <c r="F682" s="257" t="str">
        <f t="shared" si="70"/>
        <v/>
      </c>
      <c r="G682" s="257" t="str">
        <f t="shared" si="71"/>
        <v/>
      </c>
      <c r="H682" s="257" t="str">
        <f t="shared" si="72"/>
        <v/>
      </c>
    </row>
    <row r="683" spans="1:8" x14ac:dyDescent="0.25">
      <c r="A683" s="254" t="str">
        <f t="shared" ca="1" si="73"/>
        <v/>
      </c>
      <c r="B683" s="255"/>
      <c r="C683" s="256"/>
      <c r="D683" s="257" t="str">
        <f t="shared" si="69"/>
        <v/>
      </c>
      <c r="F683" s="257" t="str">
        <f t="shared" si="70"/>
        <v/>
      </c>
      <c r="G683" s="257" t="str">
        <f t="shared" si="71"/>
        <v/>
      </c>
      <c r="H683" s="257" t="str">
        <f t="shared" si="72"/>
        <v/>
      </c>
    </row>
    <row r="684" spans="1:8" x14ac:dyDescent="0.25">
      <c r="A684" s="254" t="str">
        <f t="shared" ca="1" si="73"/>
        <v/>
      </c>
      <c r="B684" s="255"/>
      <c r="C684" s="256"/>
      <c r="D684" s="257" t="str">
        <f t="shared" si="69"/>
        <v/>
      </c>
      <c r="F684" s="257" t="str">
        <f t="shared" si="70"/>
        <v/>
      </c>
      <c r="G684" s="257" t="str">
        <f t="shared" si="71"/>
        <v/>
      </c>
      <c r="H684" s="257" t="str">
        <f t="shared" si="72"/>
        <v/>
      </c>
    </row>
    <row r="685" spans="1:8" x14ac:dyDescent="0.25">
      <c r="A685" s="254" t="str">
        <f t="shared" ca="1" si="73"/>
        <v/>
      </c>
      <c r="B685" s="255"/>
      <c r="C685" s="256"/>
      <c r="D685" s="257" t="str">
        <f t="shared" si="69"/>
        <v/>
      </c>
      <c r="F685" s="257" t="str">
        <f t="shared" si="70"/>
        <v/>
      </c>
      <c r="G685" s="257" t="str">
        <f t="shared" si="71"/>
        <v/>
      </c>
      <c r="H685" s="257" t="str">
        <f t="shared" si="72"/>
        <v/>
      </c>
    </row>
    <row r="686" spans="1:8" x14ac:dyDescent="0.25">
      <c r="A686" s="254" t="str">
        <f t="shared" ca="1" si="73"/>
        <v/>
      </c>
      <c r="B686" s="255"/>
      <c r="C686" s="256"/>
      <c r="D686" s="257" t="str">
        <f t="shared" si="69"/>
        <v/>
      </c>
      <c r="F686" s="257" t="str">
        <f t="shared" si="70"/>
        <v/>
      </c>
      <c r="G686" s="257" t="str">
        <f t="shared" si="71"/>
        <v/>
      </c>
      <c r="H686" s="257" t="str">
        <f t="shared" si="72"/>
        <v/>
      </c>
    </row>
    <row r="687" spans="1:8" x14ac:dyDescent="0.25">
      <c r="A687" s="254" t="str">
        <f t="shared" ca="1" si="73"/>
        <v/>
      </c>
      <c r="B687" s="255"/>
      <c r="C687" s="256"/>
      <c r="D687" s="257" t="str">
        <f t="shared" si="69"/>
        <v/>
      </c>
      <c r="F687" s="257" t="str">
        <f t="shared" si="70"/>
        <v/>
      </c>
      <c r="G687" s="257" t="str">
        <f t="shared" si="71"/>
        <v/>
      </c>
      <c r="H687" s="257" t="str">
        <f t="shared" si="72"/>
        <v/>
      </c>
    </row>
    <row r="688" spans="1:8" x14ac:dyDescent="0.25">
      <c r="A688" s="254" t="str">
        <f t="shared" ca="1" si="73"/>
        <v/>
      </c>
      <c r="B688" s="255"/>
      <c r="C688" s="256"/>
      <c r="D688" s="257" t="str">
        <f t="shared" si="69"/>
        <v/>
      </c>
      <c r="F688" s="257" t="str">
        <f t="shared" si="70"/>
        <v/>
      </c>
      <c r="G688" s="257" t="str">
        <f t="shared" si="71"/>
        <v/>
      </c>
      <c r="H688" s="257" t="str">
        <f t="shared" si="72"/>
        <v/>
      </c>
    </row>
    <row r="689" spans="1:8" x14ac:dyDescent="0.25">
      <c r="A689" s="254" t="str">
        <f t="shared" ca="1" si="73"/>
        <v/>
      </c>
      <c r="B689" s="255"/>
      <c r="C689" s="256"/>
      <c r="D689" s="257" t="str">
        <f t="shared" si="69"/>
        <v/>
      </c>
      <c r="F689" s="257" t="str">
        <f t="shared" si="70"/>
        <v/>
      </c>
      <c r="G689" s="257" t="str">
        <f t="shared" si="71"/>
        <v/>
      </c>
      <c r="H689" s="257" t="str">
        <f t="shared" si="72"/>
        <v/>
      </c>
    </row>
    <row r="690" spans="1:8" x14ac:dyDescent="0.25">
      <c r="A690" s="254" t="str">
        <f t="shared" ca="1" si="73"/>
        <v/>
      </c>
      <c r="B690" s="255"/>
      <c r="C690" s="256"/>
      <c r="D690" s="257" t="str">
        <f t="shared" si="69"/>
        <v/>
      </c>
      <c r="F690" s="257" t="str">
        <f t="shared" si="70"/>
        <v/>
      </c>
      <c r="G690" s="257" t="str">
        <f t="shared" si="71"/>
        <v/>
      </c>
      <c r="H690" s="257" t="str">
        <f t="shared" si="72"/>
        <v/>
      </c>
    </row>
    <row r="691" spans="1:8" x14ac:dyDescent="0.25">
      <c r="A691" s="254" t="str">
        <f t="shared" ca="1" si="73"/>
        <v/>
      </c>
      <c r="B691" s="255"/>
      <c r="C691" s="256"/>
      <c r="D691" s="257" t="str">
        <f t="shared" si="69"/>
        <v/>
      </c>
      <c r="F691" s="257" t="str">
        <f t="shared" si="70"/>
        <v/>
      </c>
      <c r="G691" s="257" t="str">
        <f t="shared" si="71"/>
        <v/>
      </c>
      <c r="H691" s="257" t="str">
        <f t="shared" si="72"/>
        <v/>
      </c>
    </row>
    <row r="692" spans="1:8" x14ac:dyDescent="0.25">
      <c r="A692" s="254" t="str">
        <f t="shared" ca="1" si="73"/>
        <v/>
      </c>
      <c r="B692" s="255"/>
      <c r="C692" s="256"/>
      <c r="D692" s="257" t="str">
        <f t="shared" si="69"/>
        <v/>
      </c>
      <c r="F692" s="257" t="str">
        <f t="shared" si="70"/>
        <v/>
      </c>
      <c r="G692" s="257" t="str">
        <f t="shared" si="71"/>
        <v/>
      </c>
      <c r="H692" s="257" t="str">
        <f t="shared" si="72"/>
        <v/>
      </c>
    </row>
    <row r="693" spans="1:8" x14ac:dyDescent="0.25">
      <c r="A693" s="254" t="str">
        <f t="shared" ca="1" si="73"/>
        <v/>
      </c>
      <c r="B693" s="255"/>
      <c r="C693" s="256"/>
      <c r="D693" s="257" t="str">
        <f t="shared" si="69"/>
        <v/>
      </c>
      <c r="F693" s="257" t="str">
        <f t="shared" si="70"/>
        <v/>
      </c>
      <c r="G693" s="257" t="str">
        <f t="shared" si="71"/>
        <v/>
      </c>
      <c r="H693" s="257" t="str">
        <f t="shared" si="72"/>
        <v/>
      </c>
    </row>
    <row r="694" spans="1:8" x14ac:dyDescent="0.25">
      <c r="A694" s="254" t="str">
        <f t="shared" ca="1" si="73"/>
        <v/>
      </c>
      <c r="B694" s="255"/>
      <c r="C694" s="256"/>
      <c r="D694" s="257" t="str">
        <f t="shared" si="69"/>
        <v/>
      </c>
      <c r="F694" s="257" t="str">
        <f t="shared" si="70"/>
        <v/>
      </c>
      <c r="G694" s="257" t="str">
        <f t="shared" si="71"/>
        <v/>
      </c>
      <c r="H694" s="257" t="str">
        <f t="shared" si="72"/>
        <v/>
      </c>
    </row>
    <row r="695" spans="1:8" x14ac:dyDescent="0.25">
      <c r="A695" s="254" t="str">
        <f t="shared" ca="1" si="73"/>
        <v/>
      </c>
      <c r="B695" s="255"/>
      <c r="C695" s="256"/>
      <c r="D695" s="257" t="str">
        <f t="shared" si="69"/>
        <v/>
      </c>
      <c r="F695" s="257" t="str">
        <f t="shared" si="70"/>
        <v/>
      </c>
      <c r="G695" s="257" t="str">
        <f t="shared" si="71"/>
        <v/>
      </c>
      <c r="H695" s="257" t="str">
        <f t="shared" si="72"/>
        <v/>
      </c>
    </row>
    <row r="696" spans="1:8" x14ac:dyDescent="0.25">
      <c r="A696" s="254" t="str">
        <f t="shared" ca="1" si="73"/>
        <v/>
      </c>
      <c r="B696" s="255"/>
      <c r="C696" s="256"/>
      <c r="D696" s="257" t="str">
        <f t="shared" si="69"/>
        <v/>
      </c>
      <c r="F696" s="257" t="str">
        <f t="shared" si="70"/>
        <v/>
      </c>
      <c r="G696" s="257" t="str">
        <f t="shared" si="71"/>
        <v/>
      </c>
      <c r="H696" s="257" t="str">
        <f t="shared" si="72"/>
        <v/>
      </c>
    </row>
    <row r="697" spans="1:8" x14ac:dyDescent="0.25">
      <c r="A697" s="254" t="str">
        <f t="shared" ca="1" si="73"/>
        <v/>
      </c>
      <c r="B697" s="255"/>
      <c r="C697" s="256"/>
      <c r="D697" s="257" t="str">
        <f t="shared" si="69"/>
        <v/>
      </c>
      <c r="F697" s="257" t="str">
        <f t="shared" si="70"/>
        <v/>
      </c>
      <c r="G697" s="257" t="str">
        <f t="shared" si="71"/>
        <v/>
      </c>
      <c r="H697" s="257" t="str">
        <f t="shared" si="72"/>
        <v/>
      </c>
    </row>
    <row r="698" spans="1:8" x14ac:dyDescent="0.25">
      <c r="A698" s="254" t="str">
        <f t="shared" ca="1" si="73"/>
        <v/>
      </c>
      <c r="B698" s="255"/>
      <c r="C698" s="256"/>
      <c r="D698" s="257" t="str">
        <f t="shared" si="69"/>
        <v/>
      </c>
      <c r="F698" s="257" t="str">
        <f t="shared" si="70"/>
        <v/>
      </c>
      <c r="G698" s="257" t="str">
        <f t="shared" si="71"/>
        <v/>
      </c>
      <c r="H698" s="257" t="str">
        <f t="shared" si="72"/>
        <v/>
      </c>
    </row>
    <row r="699" spans="1:8" x14ac:dyDescent="0.25">
      <c r="A699" s="254" t="str">
        <f t="shared" ca="1" si="73"/>
        <v/>
      </c>
      <c r="B699" s="255"/>
      <c r="C699" s="256"/>
      <c r="D699" s="257" t="str">
        <f t="shared" si="69"/>
        <v/>
      </c>
      <c r="F699" s="257" t="str">
        <f t="shared" si="70"/>
        <v/>
      </c>
      <c r="G699" s="257" t="str">
        <f t="shared" si="71"/>
        <v/>
      </c>
      <c r="H699" s="257" t="str">
        <f t="shared" si="72"/>
        <v/>
      </c>
    </row>
    <row r="700" spans="1:8" x14ac:dyDescent="0.25">
      <c r="A700" s="254" t="str">
        <f t="shared" ca="1" si="73"/>
        <v/>
      </c>
      <c r="B700" s="255"/>
      <c r="C700" s="256"/>
      <c r="D700" s="257" t="str">
        <f t="shared" si="69"/>
        <v/>
      </c>
      <c r="F700" s="257" t="str">
        <f t="shared" si="70"/>
        <v/>
      </c>
      <c r="G700" s="257" t="str">
        <f t="shared" si="71"/>
        <v/>
      </c>
      <c r="H700" s="257" t="str">
        <f t="shared" si="72"/>
        <v/>
      </c>
    </row>
    <row r="701" spans="1:8" x14ac:dyDescent="0.25">
      <c r="A701" s="254" t="str">
        <f t="shared" ca="1" si="73"/>
        <v/>
      </c>
      <c r="B701" s="255"/>
      <c r="C701" s="256"/>
      <c r="D701" s="257" t="str">
        <f t="shared" si="69"/>
        <v/>
      </c>
      <c r="F701" s="257" t="str">
        <f t="shared" si="70"/>
        <v/>
      </c>
      <c r="G701" s="257" t="str">
        <f t="shared" si="71"/>
        <v/>
      </c>
      <c r="H701" s="257" t="str">
        <f t="shared" si="72"/>
        <v/>
      </c>
    </row>
    <row r="702" spans="1:8" x14ac:dyDescent="0.25">
      <c r="A702" s="254" t="str">
        <f t="shared" ca="1" si="73"/>
        <v/>
      </c>
      <c r="B702" s="255"/>
      <c r="C702" s="256"/>
      <c r="D702" s="257" t="str">
        <f t="shared" si="69"/>
        <v/>
      </c>
      <c r="F702" s="257" t="str">
        <f t="shared" si="70"/>
        <v/>
      </c>
      <c r="G702" s="257" t="str">
        <f t="shared" si="71"/>
        <v/>
      </c>
      <c r="H702" s="257" t="str">
        <f t="shared" si="72"/>
        <v/>
      </c>
    </row>
    <row r="703" spans="1:8" x14ac:dyDescent="0.25">
      <c r="A703" s="254" t="str">
        <f t="shared" ca="1" si="73"/>
        <v/>
      </c>
      <c r="B703" s="255"/>
      <c r="C703" s="256"/>
      <c r="D703" s="257" t="str">
        <f t="shared" si="69"/>
        <v/>
      </c>
      <c r="F703" s="257" t="str">
        <f t="shared" si="70"/>
        <v/>
      </c>
      <c r="G703" s="257" t="str">
        <f t="shared" si="71"/>
        <v/>
      </c>
      <c r="H703" s="257" t="str">
        <f t="shared" si="72"/>
        <v/>
      </c>
    </row>
    <row r="704" spans="1:8" x14ac:dyDescent="0.25">
      <c r="A704" s="254" t="str">
        <f t="shared" ca="1" si="73"/>
        <v/>
      </c>
      <c r="B704" s="255"/>
      <c r="C704" s="256"/>
      <c r="D704" s="257" t="str">
        <f t="shared" si="69"/>
        <v/>
      </c>
      <c r="F704" s="257" t="str">
        <f t="shared" si="70"/>
        <v/>
      </c>
      <c r="G704" s="257" t="str">
        <f t="shared" si="71"/>
        <v/>
      </c>
      <c r="H704" s="257" t="str">
        <f t="shared" si="72"/>
        <v/>
      </c>
    </row>
    <row r="705" spans="1:8" x14ac:dyDescent="0.25">
      <c r="A705" s="254" t="str">
        <f t="shared" ca="1" si="73"/>
        <v/>
      </c>
      <c r="B705" s="255"/>
      <c r="C705" s="256"/>
      <c r="D705" s="257" t="str">
        <f t="shared" si="69"/>
        <v/>
      </c>
      <c r="F705" s="257" t="str">
        <f t="shared" si="70"/>
        <v/>
      </c>
      <c r="G705" s="257" t="str">
        <f t="shared" si="71"/>
        <v/>
      </c>
      <c r="H705" s="257" t="str">
        <f t="shared" si="72"/>
        <v/>
      </c>
    </row>
    <row r="706" spans="1:8" x14ac:dyDescent="0.25">
      <c r="A706" s="254" t="str">
        <f t="shared" ca="1" si="73"/>
        <v/>
      </c>
      <c r="B706" s="255"/>
      <c r="C706" s="256"/>
      <c r="D706" s="257" t="str">
        <f t="shared" si="69"/>
        <v/>
      </c>
      <c r="F706" s="257" t="str">
        <f t="shared" si="70"/>
        <v/>
      </c>
      <c r="G706" s="257" t="str">
        <f t="shared" si="71"/>
        <v/>
      </c>
      <c r="H706" s="257" t="str">
        <f t="shared" si="72"/>
        <v/>
      </c>
    </row>
    <row r="707" spans="1:8" x14ac:dyDescent="0.25">
      <c r="A707" s="254" t="str">
        <f t="shared" ca="1" si="73"/>
        <v/>
      </c>
      <c r="B707" s="255"/>
      <c r="C707" s="256"/>
      <c r="D707" s="257" t="str">
        <f t="shared" si="69"/>
        <v/>
      </c>
      <c r="F707" s="257" t="str">
        <f t="shared" si="70"/>
        <v/>
      </c>
      <c r="G707" s="257" t="str">
        <f t="shared" si="71"/>
        <v/>
      </c>
      <c r="H707" s="257" t="str">
        <f t="shared" si="72"/>
        <v/>
      </c>
    </row>
    <row r="708" spans="1:8" x14ac:dyDescent="0.25">
      <c r="A708" s="254" t="str">
        <f t="shared" ca="1" si="73"/>
        <v/>
      </c>
      <c r="B708" s="255"/>
      <c r="C708" s="256"/>
      <c r="D708" s="257" t="str">
        <f t="shared" si="69"/>
        <v/>
      </c>
      <c r="F708" s="257" t="str">
        <f t="shared" si="70"/>
        <v/>
      </c>
      <c r="G708" s="257" t="str">
        <f t="shared" si="71"/>
        <v/>
      </c>
      <c r="H708" s="257" t="str">
        <f t="shared" si="72"/>
        <v/>
      </c>
    </row>
    <row r="709" spans="1:8" x14ac:dyDescent="0.25">
      <c r="A709" s="254" t="str">
        <f t="shared" ca="1" si="73"/>
        <v/>
      </c>
      <c r="B709" s="255"/>
      <c r="C709" s="256"/>
      <c r="D709" s="257" t="str">
        <f t="shared" si="69"/>
        <v/>
      </c>
      <c r="F709" s="257" t="str">
        <f t="shared" si="70"/>
        <v/>
      </c>
      <c r="G709" s="257" t="str">
        <f t="shared" si="71"/>
        <v/>
      </c>
      <c r="H709" s="257" t="str">
        <f t="shared" si="72"/>
        <v/>
      </c>
    </row>
    <row r="710" spans="1:8" x14ac:dyDescent="0.25">
      <c r="A710" s="254" t="str">
        <f t="shared" ca="1" si="73"/>
        <v/>
      </c>
      <c r="B710" s="255"/>
      <c r="C710" s="256"/>
      <c r="D710" s="257" t="str">
        <f t="shared" si="69"/>
        <v/>
      </c>
      <c r="F710" s="257" t="str">
        <f t="shared" si="70"/>
        <v/>
      </c>
      <c r="G710" s="257" t="str">
        <f t="shared" si="71"/>
        <v/>
      </c>
      <c r="H710" s="257" t="str">
        <f t="shared" si="72"/>
        <v/>
      </c>
    </row>
    <row r="711" spans="1:8" x14ac:dyDescent="0.25">
      <c r="A711" s="254" t="str">
        <f t="shared" ca="1" si="73"/>
        <v/>
      </c>
      <c r="B711" s="255"/>
      <c r="C711" s="256"/>
      <c r="D711" s="257" t="str">
        <f t="shared" si="69"/>
        <v/>
      </c>
      <c r="F711" s="257" t="str">
        <f t="shared" si="70"/>
        <v/>
      </c>
      <c r="G711" s="257" t="str">
        <f t="shared" si="71"/>
        <v/>
      </c>
      <c r="H711" s="257" t="str">
        <f t="shared" si="72"/>
        <v/>
      </c>
    </row>
    <row r="712" spans="1:8" x14ac:dyDescent="0.25">
      <c r="A712" s="254" t="str">
        <f t="shared" ca="1" si="73"/>
        <v/>
      </c>
      <c r="B712" s="255"/>
      <c r="C712" s="256"/>
      <c r="D712" s="257" t="str">
        <f t="shared" si="69"/>
        <v/>
      </c>
      <c r="F712" s="257" t="str">
        <f t="shared" si="70"/>
        <v/>
      </c>
      <c r="G712" s="257" t="str">
        <f t="shared" si="71"/>
        <v/>
      </c>
      <c r="H712" s="257" t="str">
        <f t="shared" si="72"/>
        <v/>
      </c>
    </row>
    <row r="713" spans="1:8" x14ac:dyDescent="0.25">
      <c r="A713" s="254" t="str">
        <f t="shared" ca="1" si="73"/>
        <v/>
      </c>
      <c r="B713" s="255"/>
      <c r="C713" s="256"/>
      <c r="D713" s="257" t="str">
        <f t="shared" si="69"/>
        <v/>
      </c>
      <c r="F713" s="257" t="str">
        <f t="shared" si="70"/>
        <v/>
      </c>
      <c r="G713" s="257" t="str">
        <f t="shared" si="71"/>
        <v/>
      </c>
      <c r="H713" s="257" t="str">
        <f t="shared" si="72"/>
        <v/>
      </c>
    </row>
    <row r="714" spans="1:8" x14ac:dyDescent="0.25">
      <c r="A714" s="254" t="str">
        <f t="shared" ca="1" si="73"/>
        <v/>
      </c>
      <c r="B714" s="255"/>
      <c r="C714" s="256"/>
      <c r="D714" s="257" t="str">
        <f t="shared" si="69"/>
        <v/>
      </c>
      <c r="F714" s="257" t="str">
        <f t="shared" si="70"/>
        <v/>
      </c>
      <c r="G714" s="257" t="str">
        <f t="shared" si="71"/>
        <v/>
      </c>
      <c r="H714" s="257" t="str">
        <f t="shared" si="72"/>
        <v/>
      </c>
    </row>
    <row r="715" spans="1:8" x14ac:dyDescent="0.25">
      <c r="A715" s="254" t="str">
        <f t="shared" ca="1" si="73"/>
        <v/>
      </c>
      <c r="B715" s="255"/>
      <c r="C715" s="256"/>
      <c r="D715" s="257" t="str">
        <f t="shared" si="69"/>
        <v/>
      </c>
      <c r="F715" s="257" t="str">
        <f t="shared" si="70"/>
        <v/>
      </c>
      <c r="G715" s="257" t="str">
        <f t="shared" si="71"/>
        <v/>
      </c>
      <c r="H715" s="257" t="str">
        <f t="shared" si="72"/>
        <v/>
      </c>
    </row>
    <row r="716" spans="1:8" x14ac:dyDescent="0.25">
      <c r="A716" s="254" t="str">
        <f t="shared" ca="1" si="73"/>
        <v/>
      </c>
      <c r="B716" s="255"/>
      <c r="C716" s="256"/>
      <c r="D716" s="257" t="str">
        <f t="shared" si="69"/>
        <v/>
      </c>
      <c r="F716" s="257" t="str">
        <f t="shared" si="70"/>
        <v/>
      </c>
      <c r="G716" s="257" t="str">
        <f t="shared" si="71"/>
        <v/>
      </c>
      <c r="H716" s="257" t="str">
        <f t="shared" si="72"/>
        <v/>
      </c>
    </row>
    <row r="717" spans="1:8" x14ac:dyDescent="0.25">
      <c r="A717" s="254" t="str">
        <f t="shared" ca="1" si="73"/>
        <v/>
      </c>
      <c r="B717" s="255"/>
      <c r="C717" s="256"/>
      <c r="D717" s="257" t="str">
        <f t="shared" si="69"/>
        <v/>
      </c>
      <c r="F717" s="257" t="str">
        <f t="shared" si="70"/>
        <v/>
      </c>
      <c r="G717" s="257" t="str">
        <f t="shared" si="71"/>
        <v/>
      </c>
      <c r="H717" s="257" t="str">
        <f t="shared" si="72"/>
        <v/>
      </c>
    </row>
    <row r="718" spans="1:8" x14ac:dyDescent="0.25">
      <c r="A718" s="254" t="str">
        <f t="shared" ca="1" si="73"/>
        <v/>
      </c>
      <c r="B718" s="255"/>
      <c r="C718" s="256"/>
      <c r="D718" s="257" t="str">
        <f t="shared" si="69"/>
        <v/>
      </c>
      <c r="F718" s="257" t="str">
        <f t="shared" si="70"/>
        <v/>
      </c>
      <c r="G718" s="257" t="str">
        <f t="shared" si="71"/>
        <v/>
      </c>
      <c r="H718" s="257" t="str">
        <f t="shared" si="72"/>
        <v/>
      </c>
    </row>
    <row r="719" spans="1:8" x14ac:dyDescent="0.25">
      <c r="A719" s="254" t="str">
        <f t="shared" ca="1" si="73"/>
        <v/>
      </c>
      <c r="B719" s="255"/>
      <c r="C719" s="256"/>
      <c r="D719" s="257" t="str">
        <f t="shared" si="69"/>
        <v/>
      </c>
      <c r="F719" s="257" t="str">
        <f t="shared" si="70"/>
        <v/>
      </c>
      <c r="G719" s="257" t="str">
        <f t="shared" si="71"/>
        <v/>
      </c>
      <c r="H719" s="257" t="str">
        <f t="shared" si="72"/>
        <v/>
      </c>
    </row>
    <row r="720" spans="1:8" x14ac:dyDescent="0.25">
      <c r="A720" s="254" t="str">
        <f t="shared" ca="1" si="73"/>
        <v/>
      </c>
      <c r="B720" s="255"/>
      <c r="C720" s="256"/>
      <c r="D720" s="257" t="str">
        <f t="shared" si="69"/>
        <v/>
      </c>
      <c r="F720" s="257" t="str">
        <f t="shared" si="70"/>
        <v/>
      </c>
      <c r="G720" s="257" t="str">
        <f t="shared" si="71"/>
        <v/>
      </c>
      <c r="H720" s="257" t="str">
        <f t="shared" si="72"/>
        <v/>
      </c>
    </row>
    <row r="721" spans="1:8" x14ac:dyDescent="0.25">
      <c r="A721" s="254" t="str">
        <f t="shared" ca="1" si="73"/>
        <v/>
      </c>
      <c r="B721" s="255"/>
      <c r="C721" s="256"/>
      <c r="D721" s="257" t="str">
        <f t="shared" si="69"/>
        <v/>
      </c>
      <c r="F721" s="257" t="str">
        <f t="shared" si="70"/>
        <v/>
      </c>
      <c r="G721" s="257" t="str">
        <f t="shared" si="71"/>
        <v/>
      </c>
      <c r="H721" s="257" t="str">
        <f t="shared" si="72"/>
        <v/>
      </c>
    </row>
    <row r="722" spans="1:8" x14ac:dyDescent="0.25">
      <c r="A722" s="254" t="str">
        <f t="shared" ca="1" si="73"/>
        <v/>
      </c>
      <c r="B722" s="255"/>
      <c r="C722" s="256"/>
      <c r="D722" s="257" t="str">
        <f t="shared" si="69"/>
        <v/>
      </c>
      <c r="F722" s="257" t="str">
        <f t="shared" si="70"/>
        <v/>
      </c>
      <c r="G722" s="257" t="str">
        <f t="shared" si="71"/>
        <v/>
      </c>
      <c r="H722" s="257" t="str">
        <f t="shared" si="72"/>
        <v/>
      </c>
    </row>
    <row r="723" spans="1:8" x14ac:dyDescent="0.25">
      <c r="A723" s="254" t="str">
        <f t="shared" ca="1" si="73"/>
        <v/>
      </c>
      <c r="B723" s="255"/>
      <c r="C723" s="256"/>
      <c r="D723" s="257" t="str">
        <f t="shared" ref="D723:D786" si="74">IF(B723="","",ROUND((B723-B722)*$H$9*G722,2))</f>
        <v/>
      </c>
      <c r="F723" s="257" t="str">
        <f t="shared" ref="F723:F786" si="75">IF(B723="","",IF(C723&gt;F722+D723,0,F722+D723-C723))</f>
        <v/>
      </c>
      <c r="G723" s="257" t="str">
        <f t="shared" ref="G723:G786" si="76">IF(B723="","",IF(C723&gt;D723+F722,G722+F722+D723-C723,G722))</f>
        <v/>
      </c>
      <c r="H723" s="257" t="str">
        <f t="shared" ref="H723:H786" si="77">IF(B723="","",G723+F723)</f>
        <v/>
      </c>
    </row>
    <row r="724" spans="1:8" x14ac:dyDescent="0.25">
      <c r="A724" s="254" t="str">
        <f t="shared" ca="1" si="73"/>
        <v/>
      </c>
      <c r="B724" s="255"/>
      <c r="C724" s="256"/>
      <c r="D724" s="257" t="str">
        <f t="shared" si="74"/>
        <v/>
      </c>
      <c r="F724" s="257" t="str">
        <f t="shared" si="75"/>
        <v/>
      </c>
      <c r="G724" s="257" t="str">
        <f t="shared" si="76"/>
        <v/>
      </c>
      <c r="H724" s="257" t="str">
        <f t="shared" si="77"/>
        <v/>
      </c>
    </row>
    <row r="725" spans="1:8" x14ac:dyDescent="0.25">
      <c r="A725" s="254" t="str">
        <f t="shared" ca="1" si="73"/>
        <v/>
      </c>
      <c r="B725" s="255"/>
      <c r="C725" s="256"/>
      <c r="D725" s="257" t="str">
        <f t="shared" si="74"/>
        <v/>
      </c>
      <c r="F725" s="257" t="str">
        <f t="shared" si="75"/>
        <v/>
      </c>
      <c r="G725" s="257" t="str">
        <f t="shared" si="76"/>
        <v/>
      </c>
      <c r="H725" s="257" t="str">
        <f t="shared" si="77"/>
        <v/>
      </c>
    </row>
    <row r="726" spans="1:8" x14ac:dyDescent="0.25">
      <c r="A726" s="254" t="str">
        <f t="shared" ca="1" si="73"/>
        <v/>
      </c>
      <c r="B726" s="255"/>
      <c r="C726" s="256"/>
      <c r="D726" s="257" t="str">
        <f t="shared" si="74"/>
        <v/>
      </c>
      <c r="F726" s="257" t="str">
        <f t="shared" si="75"/>
        <v/>
      </c>
      <c r="G726" s="257" t="str">
        <f t="shared" si="76"/>
        <v/>
      </c>
      <c r="H726" s="257" t="str">
        <f t="shared" si="77"/>
        <v/>
      </c>
    </row>
    <row r="727" spans="1:8" x14ac:dyDescent="0.25">
      <c r="A727" s="254" t="str">
        <f t="shared" ca="1" si="73"/>
        <v/>
      </c>
      <c r="B727" s="255"/>
      <c r="C727" s="256"/>
      <c r="D727" s="257" t="str">
        <f t="shared" si="74"/>
        <v/>
      </c>
      <c r="F727" s="257" t="str">
        <f t="shared" si="75"/>
        <v/>
      </c>
      <c r="G727" s="257" t="str">
        <f t="shared" si="76"/>
        <v/>
      </c>
      <c r="H727" s="257" t="str">
        <f t="shared" si="77"/>
        <v/>
      </c>
    </row>
    <row r="728" spans="1:8" x14ac:dyDescent="0.25">
      <c r="A728" s="254" t="str">
        <f t="shared" ca="1" si="73"/>
        <v/>
      </c>
      <c r="B728" s="255"/>
      <c r="C728" s="256"/>
      <c r="D728" s="257" t="str">
        <f t="shared" si="74"/>
        <v/>
      </c>
      <c r="F728" s="257" t="str">
        <f t="shared" si="75"/>
        <v/>
      </c>
      <c r="G728" s="257" t="str">
        <f t="shared" si="76"/>
        <v/>
      </c>
      <c r="H728" s="257" t="str">
        <f t="shared" si="77"/>
        <v/>
      </c>
    </row>
    <row r="729" spans="1:8" x14ac:dyDescent="0.25">
      <c r="A729" s="254" t="str">
        <f t="shared" ca="1" si="73"/>
        <v/>
      </c>
      <c r="B729" s="255"/>
      <c r="C729" s="256"/>
      <c r="D729" s="257" t="str">
        <f t="shared" si="74"/>
        <v/>
      </c>
      <c r="F729" s="257" t="str">
        <f t="shared" si="75"/>
        <v/>
      </c>
      <c r="G729" s="257" t="str">
        <f t="shared" si="76"/>
        <v/>
      </c>
      <c r="H729" s="257" t="str">
        <f t="shared" si="77"/>
        <v/>
      </c>
    </row>
    <row r="730" spans="1:8" x14ac:dyDescent="0.25">
      <c r="A730" s="254" t="str">
        <f t="shared" ca="1" si="73"/>
        <v/>
      </c>
      <c r="B730" s="255"/>
      <c r="C730" s="256"/>
      <c r="D730" s="257" t="str">
        <f t="shared" si="74"/>
        <v/>
      </c>
      <c r="F730" s="257" t="str">
        <f t="shared" si="75"/>
        <v/>
      </c>
      <c r="G730" s="257" t="str">
        <f t="shared" si="76"/>
        <v/>
      </c>
      <c r="H730" s="257" t="str">
        <f t="shared" si="77"/>
        <v/>
      </c>
    </row>
    <row r="731" spans="1:8" x14ac:dyDescent="0.25">
      <c r="A731" s="254" t="str">
        <f t="shared" ca="1" si="73"/>
        <v/>
      </c>
      <c r="B731" s="255"/>
      <c r="C731" s="256"/>
      <c r="D731" s="257" t="str">
        <f t="shared" si="74"/>
        <v/>
      </c>
      <c r="F731" s="257" t="str">
        <f t="shared" si="75"/>
        <v/>
      </c>
      <c r="G731" s="257" t="str">
        <f t="shared" si="76"/>
        <v/>
      </c>
      <c r="H731" s="257" t="str">
        <f t="shared" si="77"/>
        <v/>
      </c>
    </row>
    <row r="732" spans="1:8" x14ac:dyDescent="0.25">
      <c r="A732" s="254" t="str">
        <f t="shared" ca="1" si="73"/>
        <v/>
      </c>
      <c r="B732" s="255"/>
      <c r="C732" s="256"/>
      <c r="D732" s="257" t="str">
        <f t="shared" si="74"/>
        <v/>
      </c>
      <c r="F732" s="257" t="str">
        <f t="shared" si="75"/>
        <v/>
      </c>
      <c r="G732" s="257" t="str">
        <f t="shared" si="76"/>
        <v/>
      </c>
      <c r="H732" s="257" t="str">
        <f t="shared" si="77"/>
        <v/>
      </c>
    </row>
    <row r="733" spans="1:8" x14ac:dyDescent="0.25">
      <c r="A733" s="254" t="str">
        <f t="shared" ca="1" si="73"/>
        <v/>
      </c>
      <c r="B733" s="255"/>
      <c r="C733" s="256"/>
      <c r="D733" s="257" t="str">
        <f t="shared" si="74"/>
        <v/>
      </c>
      <c r="F733" s="257" t="str">
        <f t="shared" si="75"/>
        <v/>
      </c>
      <c r="G733" s="257" t="str">
        <f t="shared" si="76"/>
        <v/>
      </c>
      <c r="H733" s="257" t="str">
        <f t="shared" si="77"/>
        <v/>
      </c>
    </row>
    <row r="734" spans="1:8" x14ac:dyDescent="0.25">
      <c r="A734" s="254" t="str">
        <f t="shared" ca="1" si="73"/>
        <v/>
      </c>
      <c r="B734" s="255"/>
      <c r="C734" s="256"/>
      <c r="D734" s="257" t="str">
        <f t="shared" si="74"/>
        <v/>
      </c>
      <c r="F734" s="257" t="str">
        <f t="shared" si="75"/>
        <v/>
      </c>
      <c r="G734" s="257" t="str">
        <f t="shared" si="76"/>
        <v/>
      </c>
      <c r="H734" s="257" t="str">
        <f t="shared" si="77"/>
        <v/>
      </c>
    </row>
    <row r="735" spans="1:8" x14ac:dyDescent="0.25">
      <c r="A735" s="254" t="str">
        <f t="shared" ca="1" si="73"/>
        <v/>
      </c>
      <c r="B735" s="255"/>
      <c r="C735" s="256"/>
      <c r="D735" s="257" t="str">
        <f t="shared" si="74"/>
        <v/>
      </c>
      <c r="F735" s="257" t="str">
        <f t="shared" si="75"/>
        <v/>
      </c>
      <c r="G735" s="257" t="str">
        <f t="shared" si="76"/>
        <v/>
      </c>
      <c r="H735" s="257" t="str">
        <f t="shared" si="77"/>
        <v/>
      </c>
    </row>
    <row r="736" spans="1:8" x14ac:dyDescent="0.25">
      <c r="A736" s="254" t="str">
        <f t="shared" ca="1" si="73"/>
        <v/>
      </c>
      <c r="B736" s="255"/>
      <c r="C736" s="256"/>
      <c r="D736" s="257" t="str">
        <f t="shared" si="74"/>
        <v/>
      </c>
      <c r="F736" s="257" t="str">
        <f t="shared" si="75"/>
        <v/>
      </c>
      <c r="G736" s="257" t="str">
        <f t="shared" si="76"/>
        <v/>
      </c>
      <c r="H736" s="257" t="str">
        <f t="shared" si="77"/>
        <v/>
      </c>
    </row>
    <row r="737" spans="1:8" x14ac:dyDescent="0.25">
      <c r="A737" s="254" t="str">
        <f t="shared" ca="1" si="73"/>
        <v/>
      </c>
      <c r="B737" s="255"/>
      <c r="C737" s="256"/>
      <c r="D737" s="257" t="str">
        <f t="shared" si="74"/>
        <v/>
      </c>
      <c r="F737" s="257" t="str">
        <f t="shared" si="75"/>
        <v/>
      </c>
      <c r="G737" s="257" t="str">
        <f t="shared" si="76"/>
        <v/>
      </c>
      <c r="H737" s="257" t="str">
        <f t="shared" si="77"/>
        <v/>
      </c>
    </row>
    <row r="738" spans="1:8" x14ac:dyDescent="0.25">
      <c r="A738" s="254" t="str">
        <f t="shared" ca="1" si="73"/>
        <v/>
      </c>
      <c r="B738" s="255"/>
      <c r="C738" s="256"/>
      <c r="D738" s="257" t="str">
        <f t="shared" si="74"/>
        <v/>
      </c>
      <c r="F738" s="257" t="str">
        <f t="shared" si="75"/>
        <v/>
      </c>
      <c r="G738" s="257" t="str">
        <f t="shared" si="76"/>
        <v/>
      </c>
      <c r="H738" s="257" t="str">
        <f t="shared" si="77"/>
        <v/>
      </c>
    </row>
    <row r="739" spans="1:8" x14ac:dyDescent="0.25">
      <c r="A739" s="254" t="str">
        <f t="shared" ca="1" si="73"/>
        <v/>
      </c>
      <c r="B739" s="255"/>
      <c r="C739" s="256"/>
      <c r="D739" s="257" t="str">
        <f t="shared" si="74"/>
        <v/>
      </c>
      <c r="F739" s="257" t="str">
        <f t="shared" si="75"/>
        <v/>
      </c>
      <c r="G739" s="257" t="str">
        <f t="shared" si="76"/>
        <v/>
      </c>
      <c r="H739" s="257" t="str">
        <f t="shared" si="77"/>
        <v/>
      </c>
    </row>
    <row r="740" spans="1:8" x14ac:dyDescent="0.25">
      <c r="A740" s="254" t="str">
        <f t="shared" ca="1" si="73"/>
        <v/>
      </c>
      <c r="B740" s="255"/>
      <c r="C740" s="256"/>
      <c r="D740" s="257" t="str">
        <f t="shared" si="74"/>
        <v/>
      </c>
      <c r="F740" s="257" t="str">
        <f t="shared" si="75"/>
        <v/>
      </c>
      <c r="G740" s="257" t="str">
        <f t="shared" si="76"/>
        <v/>
      </c>
      <c r="H740" s="257" t="str">
        <f t="shared" si="77"/>
        <v/>
      </c>
    </row>
    <row r="741" spans="1:8" x14ac:dyDescent="0.25">
      <c r="A741" s="254" t="str">
        <f t="shared" ca="1" si="73"/>
        <v/>
      </c>
      <c r="B741" s="255"/>
      <c r="C741" s="256"/>
      <c r="D741" s="257" t="str">
        <f t="shared" si="74"/>
        <v/>
      </c>
      <c r="F741" s="257" t="str">
        <f t="shared" si="75"/>
        <v/>
      </c>
      <c r="G741" s="257" t="str">
        <f t="shared" si="76"/>
        <v/>
      </c>
      <c r="H741" s="257" t="str">
        <f t="shared" si="77"/>
        <v/>
      </c>
    </row>
    <row r="742" spans="1:8" x14ac:dyDescent="0.25">
      <c r="A742" s="254" t="str">
        <f t="shared" ca="1" si="73"/>
        <v/>
      </c>
      <c r="B742" s="255"/>
      <c r="C742" s="256"/>
      <c r="D742" s="257" t="str">
        <f t="shared" si="74"/>
        <v/>
      </c>
      <c r="F742" s="257" t="str">
        <f t="shared" si="75"/>
        <v/>
      </c>
      <c r="G742" s="257" t="str">
        <f t="shared" si="76"/>
        <v/>
      </c>
      <c r="H742" s="257" t="str">
        <f t="shared" si="77"/>
        <v/>
      </c>
    </row>
    <row r="743" spans="1:8" x14ac:dyDescent="0.25">
      <c r="A743" s="254" t="str">
        <f t="shared" ca="1" si="73"/>
        <v/>
      </c>
      <c r="B743" s="255"/>
      <c r="C743" s="256"/>
      <c r="D743" s="257" t="str">
        <f t="shared" si="74"/>
        <v/>
      </c>
      <c r="F743" s="257" t="str">
        <f t="shared" si="75"/>
        <v/>
      </c>
      <c r="G743" s="257" t="str">
        <f t="shared" si="76"/>
        <v/>
      </c>
      <c r="H743" s="257" t="str">
        <f t="shared" si="77"/>
        <v/>
      </c>
    </row>
    <row r="744" spans="1:8" x14ac:dyDescent="0.25">
      <c r="A744" s="254" t="str">
        <f t="shared" ca="1" si="73"/>
        <v/>
      </c>
      <c r="B744" s="255"/>
      <c r="C744" s="256"/>
      <c r="D744" s="257" t="str">
        <f t="shared" si="74"/>
        <v/>
      </c>
      <c r="F744" s="257" t="str">
        <f t="shared" si="75"/>
        <v/>
      </c>
      <c r="G744" s="257" t="str">
        <f t="shared" si="76"/>
        <v/>
      </c>
      <c r="H744" s="257" t="str">
        <f t="shared" si="77"/>
        <v/>
      </c>
    </row>
    <row r="745" spans="1:8" x14ac:dyDescent="0.25">
      <c r="A745" s="254" t="str">
        <f t="shared" ref="A745:A798" ca="1" si="78">IF(OR(H744&lt;=0,H744=""),"",OFFSET(A745,-1,0,1,1)+1)</f>
        <v/>
      </c>
      <c r="B745" s="255"/>
      <c r="C745" s="256"/>
      <c r="D745" s="257" t="str">
        <f t="shared" si="74"/>
        <v/>
      </c>
      <c r="F745" s="257" t="str">
        <f t="shared" si="75"/>
        <v/>
      </c>
      <c r="G745" s="257" t="str">
        <f t="shared" si="76"/>
        <v/>
      </c>
      <c r="H745" s="257" t="str">
        <f t="shared" si="77"/>
        <v/>
      </c>
    </row>
    <row r="746" spans="1:8" x14ac:dyDescent="0.25">
      <c r="A746" s="254" t="str">
        <f t="shared" ca="1" si="78"/>
        <v/>
      </c>
      <c r="B746" s="255"/>
      <c r="C746" s="256"/>
      <c r="D746" s="257" t="str">
        <f t="shared" si="74"/>
        <v/>
      </c>
      <c r="F746" s="257" t="str">
        <f t="shared" si="75"/>
        <v/>
      </c>
      <c r="G746" s="257" t="str">
        <f t="shared" si="76"/>
        <v/>
      </c>
      <c r="H746" s="257" t="str">
        <f t="shared" si="77"/>
        <v/>
      </c>
    </row>
    <row r="747" spans="1:8" x14ac:dyDescent="0.25">
      <c r="A747" s="254" t="str">
        <f t="shared" ca="1" si="78"/>
        <v/>
      </c>
      <c r="B747" s="255"/>
      <c r="C747" s="256"/>
      <c r="D747" s="257" t="str">
        <f t="shared" si="74"/>
        <v/>
      </c>
      <c r="F747" s="257" t="str">
        <f t="shared" si="75"/>
        <v/>
      </c>
      <c r="G747" s="257" t="str">
        <f t="shared" si="76"/>
        <v/>
      </c>
      <c r="H747" s="257" t="str">
        <f t="shared" si="77"/>
        <v/>
      </c>
    </row>
    <row r="748" spans="1:8" x14ac:dyDescent="0.25">
      <c r="A748" s="254" t="str">
        <f t="shared" ca="1" si="78"/>
        <v/>
      </c>
      <c r="B748" s="255"/>
      <c r="C748" s="256"/>
      <c r="D748" s="257" t="str">
        <f t="shared" si="74"/>
        <v/>
      </c>
      <c r="F748" s="257" t="str">
        <f t="shared" si="75"/>
        <v/>
      </c>
      <c r="G748" s="257" t="str">
        <f t="shared" si="76"/>
        <v/>
      </c>
      <c r="H748" s="257" t="str">
        <f t="shared" si="77"/>
        <v/>
      </c>
    </row>
    <row r="749" spans="1:8" x14ac:dyDescent="0.25">
      <c r="A749" s="254" t="str">
        <f t="shared" ca="1" si="78"/>
        <v/>
      </c>
      <c r="B749" s="255"/>
      <c r="C749" s="256"/>
      <c r="D749" s="257" t="str">
        <f t="shared" si="74"/>
        <v/>
      </c>
      <c r="F749" s="257" t="str">
        <f t="shared" si="75"/>
        <v/>
      </c>
      <c r="G749" s="257" t="str">
        <f t="shared" si="76"/>
        <v/>
      </c>
      <c r="H749" s="257" t="str">
        <f t="shared" si="77"/>
        <v/>
      </c>
    </row>
    <row r="750" spans="1:8" x14ac:dyDescent="0.25">
      <c r="A750" s="254" t="str">
        <f t="shared" ca="1" si="78"/>
        <v/>
      </c>
      <c r="B750" s="255"/>
      <c r="C750" s="256"/>
      <c r="D750" s="257" t="str">
        <f t="shared" si="74"/>
        <v/>
      </c>
      <c r="F750" s="257" t="str">
        <f t="shared" si="75"/>
        <v/>
      </c>
      <c r="G750" s="257" t="str">
        <f t="shared" si="76"/>
        <v/>
      </c>
      <c r="H750" s="257" t="str">
        <f t="shared" si="77"/>
        <v/>
      </c>
    </row>
    <row r="751" spans="1:8" x14ac:dyDescent="0.25">
      <c r="A751" s="254" t="str">
        <f t="shared" ca="1" si="78"/>
        <v/>
      </c>
      <c r="B751" s="255"/>
      <c r="C751" s="256"/>
      <c r="D751" s="257" t="str">
        <f t="shared" si="74"/>
        <v/>
      </c>
      <c r="F751" s="257" t="str">
        <f t="shared" si="75"/>
        <v/>
      </c>
      <c r="G751" s="257" t="str">
        <f t="shared" si="76"/>
        <v/>
      </c>
      <c r="H751" s="257" t="str">
        <f t="shared" si="77"/>
        <v/>
      </c>
    </row>
    <row r="752" spans="1:8" x14ac:dyDescent="0.25">
      <c r="A752" s="254" t="str">
        <f t="shared" ca="1" si="78"/>
        <v/>
      </c>
      <c r="B752" s="255"/>
      <c r="C752" s="256"/>
      <c r="D752" s="257" t="str">
        <f t="shared" si="74"/>
        <v/>
      </c>
      <c r="F752" s="257" t="str">
        <f t="shared" si="75"/>
        <v/>
      </c>
      <c r="G752" s="257" t="str">
        <f t="shared" si="76"/>
        <v/>
      </c>
      <c r="H752" s="257" t="str">
        <f t="shared" si="77"/>
        <v/>
      </c>
    </row>
    <row r="753" spans="1:8" x14ac:dyDescent="0.25">
      <c r="A753" s="254" t="str">
        <f t="shared" ca="1" si="78"/>
        <v/>
      </c>
      <c r="B753" s="255"/>
      <c r="C753" s="256"/>
      <c r="D753" s="257" t="str">
        <f t="shared" si="74"/>
        <v/>
      </c>
      <c r="F753" s="257" t="str">
        <f t="shared" si="75"/>
        <v/>
      </c>
      <c r="G753" s="257" t="str">
        <f t="shared" si="76"/>
        <v/>
      </c>
      <c r="H753" s="257" t="str">
        <f t="shared" si="77"/>
        <v/>
      </c>
    </row>
    <row r="754" spans="1:8" x14ac:dyDescent="0.25">
      <c r="A754" s="254" t="str">
        <f t="shared" ca="1" si="78"/>
        <v/>
      </c>
      <c r="B754" s="255"/>
      <c r="C754" s="256"/>
      <c r="D754" s="257" t="str">
        <f t="shared" si="74"/>
        <v/>
      </c>
      <c r="F754" s="257" t="str">
        <f t="shared" si="75"/>
        <v/>
      </c>
      <c r="G754" s="257" t="str">
        <f t="shared" si="76"/>
        <v/>
      </c>
      <c r="H754" s="257" t="str">
        <f t="shared" si="77"/>
        <v/>
      </c>
    </row>
    <row r="755" spans="1:8" x14ac:dyDescent="0.25">
      <c r="A755" s="254" t="str">
        <f t="shared" ca="1" si="78"/>
        <v/>
      </c>
      <c r="B755" s="255"/>
      <c r="C755" s="256"/>
      <c r="D755" s="257" t="str">
        <f t="shared" si="74"/>
        <v/>
      </c>
      <c r="F755" s="257" t="str">
        <f t="shared" si="75"/>
        <v/>
      </c>
      <c r="G755" s="257" t="str">
        <f t="shared" si="76"/>
        <v/>
      </c>
      <c r="H755" s="257" t="str">
        <f t="shared" si="77"/>
        <v/>
      </c>
    </row>
    <row r="756" spans="1:8" x14ac:dyDescent="0.25">
      <c r="A756" s="254" t="str">
        <f t="shared" ca="1" si="78"/>
        <v/>
      </c>
      <c r="B756" s="255"/>
      <c r="C756" s="256"/>
      <c r="D756" s="257" t="str">
        <f t="shared" si="74"/>
        <v/>
      </c>
      <c r="F756" s="257" t="str">
        <f t="shared" si="75"/>
        <v/>
      </c>
      <c r="G756" s="257" t="str">
        <f t="shared" si="76"/>
        <v/>
      </c>
      <c r="H756" s="257" t="str">
        <f t="shared" si="77"/>
        <v/>
      </c>
    </row>
    <row r="757" spans="1:8" x14ac:dyDescent="0.25">
      <c r="A757" s="254" t="str">
        <f t="shared" ca="1" si="78"/>
        <v/>
      </c>
      <c r="B757" s="255"/>
      <c r="C757" s="256"/>
      <c r="D757" s="257" t="str">
        <f t="shared" si="74"/>
        <v/>
      </c>
      <c r="F757" s="257" t="str">
        <f t="shared" si="75"/>
        <v/>
      </c>
      <c r="G757" s="257" t="str">
        <f t="shared" si="76"/>
        <v/>
      </c>
      <c r="H757" s="257" t="str">
        <f t="shared" si="77"/>
        <v/>
      </c>
    </row>
    <row r="758" spans="1:8" x14ac:dyDescent="0.25">
      <c r="A758" s="254" t="str">
        <f t="shared" ca="1" si="78"/>
        <v/>
      </c>
      <c r="B758" s="255"/>
      <c r="C758" s="256"/>
      <c r="D758" s="257" t="str">
        <f t="shared" si="74"/>
        <v/>
      </c>
      <c r="F758" s="257" t="str">
        <f t="shared" si="75"/>
        <v/>
      </c>
      <c r="G758" s="257" t="str">
        <f t="shared" si="76"/>
        <v/>
      </c>
      <c r="H758" s="257" t="str">
        <f t="shared" si="77"/>
        <v/>
      </c>
    </row>
    <row r="759" spans="1:8" x14ac:dyDescent="0.25">
      <c r="A759" s="254" t="str">
        <f t="shared" ca="1" si="78"/>
        <v/>
      </c>
      <c r="B759" s="255"/>
      <c r="C759" s="256"/>
      <c r="D759" s="257" t="str">
        <f t="shared" si="74"/>
        <v/>
      </c>
      <c r="F759" s="257" t="str">
        <f t="shared" si="75"/>
        <v/>
      </c>
      <c r="G759" s="257" t="str">
        <f t="shared" si="76"/>
        <v/>
      </c>
      <c r="H759" s="257" t="str">
        <f t="shared" si="77"/>
        <v/>
      </c>
    </row>
    <row r="760" spans="1:8" x14ac:dyDescent="0.25">
      <c r="A760" s="254" t="str">
        <f t="shared" ca="1" si="78"/>
        <v/>
      </c>
      <c r="B760" s="255"/>
      <c r="C760" s="256"/>
      <c r="D760" s="257" t="str">
        <f t="shared" si="74"/>
        <v/>
      </c>
      <c r="F760" s="257" t="str">
        <f t="shared" si="75"/>
        <v/>
      </c>
      <c r="G760" s="257" t="str">
        <f t="shared" si="76"/>
        <v/>
      </c>
      <c r="H760" s="257" t="str">
        <f t="shared" si="77"/>
        <v/>
      </c>
    </row>
    <row r="761" spans="1:8" x14ac:dyDescent="0.25">
      <c r="A761" s="254" t="str">
        <f t="shared" ca="1" si="78"/>
        <v/>
      </c>
      <c r="B761" s="255"/>
      <c r="C761" s="256"/>
      <c r="D761" s="257" t="str">
        <f t="shared" si="74"/>
        <v/>
      </c>
      <c r="F761" s="257" t="str">
        <f t="shared" si="75"/>
        <v/>
      </c>
      <c r="G761" s="257" t="str">
        <f t="shared" si="76"/>
        <v/>
      </c>
      <c r="H761" s="257" t="str">
        <f t="shared" si="77"/>
        <v/>
      </c>
    </row>
    <row r="762" spans="1:8" x14ac:dyDescent="0.25">
      <c r="A762" s="254" t="str">
        <f t="shared" ca="1" si="78"/>
        <v/>
      </c>
      <c r="B762" s="255"/>
      <c r="C762" s="256"/>
      <c r="D762" s="257" t="str">
        <f t="shared" si="74"/>
        <v/>
      </c>
      <c r="F762" s="257" t="str">
        <f t="shared" si="75"/>
        <v/>
      </c>
      <c r="G762" s="257" t="str">
        <f t="shared" si="76"/>
        <v/>
      </c>
      <c r="H762" s="257" t="str">
        <f t="shared" si="77"/>
        <v/>
      </c>
    </row>
    <row r="763" spans="1:8" x14ac:dyDescent="0.25">
      <c r="A763" s="254" t="str">
        <f t="shared" ca="1" si="78"/>
        <v/>
      </c>
      <c r="B763" s="255"/>
      <c r="C763" s="256"/>
      <c r="D763" s="257" t="str">
        <f t="shared" si="74"/>
        <v/>
      </c>
      <c r="F763" s="257" t="str">
        <f t="shared" si="75"/>
        <v/>
      </c>
      <c r="G763" s="257" t="str">
        <f t="shared" si="76"/>
        <v/>
      </c>
      <c r="H763" s="257" t="str">
        <f t="shared" si="77"/>
        <v/>
      </c>
    </row>
    <row r="764" spans="1:8" x14ac:dyDescent="0.25">
      <c r="A764" s="254" t="str">
        <f t="shared" ca="1" si="78"/>
        <v/>
      </c>
      <c r="B764" s="255"/>
      <c r="C764" s="256"/>
      <c r="D764" s="257" t="str">
        <f t="shared" si="74"/>
        <v/>
      </c>
      <c r="F764" s="257" t="str">
        <f t="shared" si="75"/>
        <v/>
      </c>
      <c r="G764" s="257" t="str">
        <f t="shared" si="76"/>
        <v/>
      </c>
      <c r="H764" s="257" t="str">
        <f t="shared" si="77"/>
        <v/>
      </c>
    </row>
    <row r="765" spans="1:8" x14ac:dyDescent="0.25">
      <c r="A765" s="254" t="str">
        <f t="shared" ca="1" si="78"/>
        <v/>
      </c>
      <c r="B765" s="255"/>
      <c r="C765" s="256"/>
      <c r="D765" s="257" t="str">
        <f t="shared" si="74"/>
        <v/>
      </c>
      <c r="F765" s="257" t="str">
        <f t="shared" si="75"/>
        <v/>
      </c>
      <c r="G765" s="257" t="str">
        <f t="shared" si="76"/>
        <v/>
      </c>
      <c r="H765" s="257" t="str">
        <f t="shared" si="77"/>
        <v/>
      </c>
    </row>
    <row r="766" spans="1:8" x14ac:dyDescent="0.25">
      <c r="A766" s="254" t="str">
        <f t="shared" ca="1" si="78"/>
        <v/>
      </c>
      <c r="B766" s="255"/>
      <c r="C766" s="256"/>
      <c r="D766" s="257" t="str">
        <f t="shared" si="74"/>
        <v/>
      </c>
      <c r="F766" s="257" t="str">
        <f t="shared" si="75"/>
        <v/>
      </c>
      <c r="G766" s="257" t="str">
        <f t="shared" si="76"/>
        <v/>
      </c>
      <c r="H766" s="257" t="str">
        <f t="shared" si="77"/>
        <v/>
      </c>
    </row>
    <row r="767" spans="1:8" x14ac:dyDescent="0.25">
      <c r="A767" s="254" t="str">
        <f t="shared" ca="1" si="78"/>
        <v/>
      </c>
      <c r="B767" s="255"/>
      <c r="C767" s="256"/>
      <c r="D767" s="257" t="str">
        <f t="shared" si="74"/>
        <v/>
      </c>
      <c r="F767" s="257" t="str">
        <f t="shared" si="75"/>
        <v/>
      </c>
      <c r="G767" s="257" t="str">
        <f t="shared" si="76"/>
        <v/>
      </c>
      <c r="H767" s="257" t="str">
        <f t="shared" si="77"/>
        <v/>
      </c>
    </row>
    <row r="768" spans="1:8" x14ac:dyDescent="0.25">
      <c r="A768" s="254" t="str">
        <f t="shared" ca="1" si="78"/>
        <v/>
      </c>
      <c r="B768" s="255"/>
      <c r="C768" s="256"/>
      <c r="D768" s="257" t="str">
        <f t="shared" si="74"/>
        <v/>
      </c>
      <c r="F768" s="257" t="str">
        <f t="shared" si="75"/>
        <v/>
      </c>
      <c r="G768" s="257" t="str">
        <f t="shared" si="76"/>
        <v/>
      </c>
      <c r="H768" s="257" t="str">
        <f t="shared" si="77"/>
        <v/>
      </c>
    </row>
    <row r="769" spans="1:8" x14ac:dyDescent="0.25">
      <c r="A769" s="254" t="str">
        <f t="shared" ca="1" si="78"/>
        <v/>
      </c>
      <c r="B769" s="255"/>
      <c r="C769" s="256"/>
      <c r="D769" s="257" t="str">
        <f t="shared" si="74"/>
        <v/>
      </c>
      <c r="F769" s="257" t="str">
        <f t="shared" si="75"/>
        <v/>
      </c>
      <c r="G769" s="257" t="str">
        <f t="shared" si="76"/>
        <v/>
      </c>
      <c r="H769" s="257" t="str">
        <f t="shared" si="77"/>
        <v/>
      </c>
    </row>
    <row r="770" spans="1:8" x14ac:dyDescent="0.25">
      <c r="A770" s="254" t="str">
        <f t="shared" ca="1" si="78"/>
        <v/>
      </c>
      <c r="B770" s="255"/>
      <c r="C770" s="256"/>
      <c r="D770" s="257" t="str">
        <f t="shared" si="74"/>
        <v/>
      </c>
      <c r="F770" s="257" t="str">
        <f t="shared" si="75"/>
        <v/>
      </c>
      <c r="G770" s="257" t="str">
        <f t="shared" si="76"/>
        <v/>
      </c>
      <c r="H770" s="257" t="str">
        <f t="shared" si="77"/>
        <v/>
      </c>
    </row>
    <row r="771" spans="1:8" x14ac:dyDescent="0.25">
      <c r="A771" s="254" t="str">
        <f t="shared" ca="1" si="78"/>
        <v/>
      </c>
      <c r="B771" s="255"/>
      <c r="C771" s="256"/>
      <c r="D771" s="257" t="str">
        <f t="shared" si="74"/>
        <v/>
      </c>
      <c r="F771" s="257" t="str">
        <f t="shared" si="75"/>
        <v/>
      </c>
      <c r="G771" s="257" t="str">
        <f t="shared" si="76"/>
        <v/>
      </c>
      <c r="H771" s="257" t="str">
        <f t="shared" si="77"/>
        <v/>
      </c>
    </row>
    <row r="772" spans="1:8" x14ac:dyDescent="0.25">
      <c r="A772" s="254" t="str">
        <f t="shared" ca="1" si="78"/>
        <v/>
      </c>
      <c r="B772" s="255"/>
      <c r="C772" s="256"/>
      <c r="D772" s="257" t="str">
        <f t="shared" si="74"/>
        <v/>
      </c>
      <c r="F772" s="257" t="str">
        <f t="shared" si="75"/>
        <v/>
      </c>
      <c r="G772" s="257" t="str">
        <f t="shared" si="76"/>
        <v/>
      </c>
      <c r="H772" s="257" t="str">
        <f t="shared" si="77"/>
        <v/>
      </c>
    </row>
    <row r="773" spans="1:8" x14ac:dyDescent="0.25">
      <c r="A773" s="254" t="str">
        <f t="shared" ca="1" si="78"/>
        <v/>
      </c>
      <c r="B773" s="255"/>
      <c r="C773" s="256"/>
      <c r="D773" s="257" t="str">
        <f t="shared" si="74"/>
        <v/>
      </c>
      <c r="F773" s="257" t="str">
        <f t="shared" si="75"/>
        <v/>
      </c>
      <c r="G773" s="257" t="str">
        <f t="shared" si="76"/>
        <v/>
      </c>
      <c r="H773" s="257" t="str">
        <f t="shared" si="77"/>
        <v/>
      </c>
    </row>
    <row r="774" spans="1:8" x14ac:dyDescent="0.25">
      <c r="A774" s="254" t="str">
        <f t="shared" ca="1" si="78"/>
        <v/>
      </c>
      <c r="B774" s="255"/>
      <c r="C774" s="256"/>
      <c r="D774" s="257" t="str">
        <f t="shared" si="74"/>
        <v/>
      </c>
      <c r="F774" s="257" t="str">
        <f t="shared" si="75"/>
        <v/>
      </c>
      <c r="G774" s="257" t="str">
        <f t="shared" si="76"/>
        <v/>
      </c>
      <c r="H774" s="257" t="str">
        <f t="shared" si="77"/>
        <v/>
      </c>
    </row>
    <row r="775" spans="1:8" x14ac:dyDescent="0.25">
      <c r="A775" s="254" t="str">
        <f t="shared" ca="1" si="78"/>
        <v/>
      </c>
      <c r="B775" s="255"/>
      <c r="C775" s="256"/>
      <c r="D775" s="257" t="str">
        <f t="shared" si="74"/>
        <v/>
      </c>
      <c r="F775" s="257" t="str">
        <f t="shared" si="75"/>
        <v/>
      </c>
      <c r="G775" s="257" t="str">
        <f t="shared" si="76"/>
        <v/>
      </c>
      <c r="H775" s="257" t="str">
        <f t="shared" si="77"/>
        <v/>
      </c>
    </row>
    <row r="776" spans="1:8" x14ac:dyDescent="0.25">
      <c r="A776" s="254" t="str">
        <f t="shared" ca="1" si="78"/>
        <v/>
      </c>
      <c r="B776" s="255"/>
      <c r="C776" s="256"/>
      <c r="D776" s="257" t="str">
        <f t="shared" si="74"/>
        <v/>
      </c>
      <c r="F776" s="257" t="str">
        <f t="shared" si="75"/>
        <v/>
      </c>
      <c r="G776" s="257" t="str">
        <f t="shared" si="76"/>
        <v/>
      </c>
      <c r="H776" s="257" t="str">
        <f t="shared" si="77"/>
        <v/>
      </c>
    </row>
    <row r="777" spans="1:8" x14ac:dyDescent="0.25">
      <c r="A777" s="254" t="str">
        <f t="shared" ca="1" si="78"/>
        <v/>
      </c>
      <c r="B777" s="255"/>
      <c r="C777" s="256"/>
      <c r="D777" s="257" t="str">
        <f t="shared" si="74"/>
        <v/>
      </c>
      <c r="F777" s="257" t="str">
        <f t="shared" si="75"/>
        <v/>
      </c>
      <c r="G777" s="257" t="str">
        <f t="shared" si="76"/>
        <v/>
      </c>
      <c r="H777" s="257" t="str">
        <f t="shared" si="77"/>
        <v/>
      </c>
    </row>
    <row r="778" spans="1:8" x14ac:dyDescent="0.25">
      <c r="A778" s="254" t="str">
        <f t="shared" ca="1" si="78"/>
        <v/>
      </c>
      <c r="B778" s="255"/>
      <c r="C778" s="256"/>
      <c r="D778" s="257" t="str">
        <f t="shared" si="74"/>
        <v/>
      </c>
      <c r="F778" s="257" t="str">
        <f t="shared" si="75"/>
        <v/>
      </c>
      <c r="G778" s="257" t="str">
        <f t="shared" si="76"/>
        <v/>
      </c>
      <c r="H778" s="257" t="str">
        <f t="shared" si="77"/>
        <v/>
      </c>
    </row>
    <row r="779" spans="1:8" x14ac:dyDescent="0.25">
      <c r="A779" s="254" t="str">
        <f t="shared" ca="1" si="78"/>
        <v/>
      </c>
      <c r="B779" s="255"/>
      <c r="C779" s="256"/>
      <c r="D779" s="257" t="str">
        <f t="shared" si="74"/>
        <v/>
      </c>
      <c r="F779" s="257" t="str">
        <f t="shared" si="75"/>
        <v/>
      </c>
      <c r="G779" s="257" t="str">
        <f t="shared" si="76"/>
        <v/>
      </c>
      <c r="H779" s="257" t="str">
        <f t="shared" si="77"/>
        <v/>
      </c>
    </row>
    <row r="780" spans="1:8" x14ac:dyDescent="0.25">
      <c r="A780" s="254" t="str">
        <f t="shared" ca="1" si="78"/>
        <v/>
      </c>
      <c r="B780" s="255"/>
      <c r="C780" s="256"/>
      <c r="D780" s="257" t="str">
        <f t="shared" si="74"/>
        <v/>
      </c>
      <c r="F780" s="257" t="str">
        <f t="shared" si="75"/>
        <v/>
      </c>
      <c r="G780" s="257" t="str">
        <f t="shared" si="76"/>
        <v/>
      </c>
      <c r="H780" s="257" t="str">
        <f t="shared" si="77"/>
        <v/>
      </c>
    </row>
    <row r="781" spans="1:8" x14ac:dyDescent="0.25">
      <c r="A781" s="254" t="str">
        <f t="shared" ca="1" si="78"/>
        <v/>
      </c>
      <c r="B781" s="255"/>
      <c r="C781" s="256"/>
      <c r="D781" s="257" t="str">
        <f t="shared" si="74"/>
        <v/>
      </c>
      <c r="F781" s="257" t="str">
        <f t="shared" si="75"/>
        <v/>
      </c>
      <c r="G781" s="257" t="str">
        <f t="shared" si="76"/>
        <v/>
      </c>
      <c r="H781" s="257" t="str">
        <f t="shared" si="77"/>
        <v/>
      </c>
    </row>
    <row r="782" spans="1:8" x14ac:dyDescent="0.25">
      <c r="A782" s="254" t="str">
        <f t="shared" ca="1" si="78"/>
        <v/>
      </c>
      <c r="B782" s="255"/>
      <c r="C782" s="256"/>
      <c r="D782" s="257" t="str">
        <f t="shared" si="74"/>
        <v/>
      </c>
      <c r="F782" s="257" t="str">
        <f t="shared" si="75"/>
        <v/>
      </c>
      <c r="G782" s="257" t="str">
        <f t="shared" si="76"/>
        <v/>
      </c>
      <c r="H782" s="257" t="str">
        <f t="shared" si="77"/>
        <v/>
      </c>
    </row>
    <row r="783" spans="1:8" x14ac:dyDescent="0.25">
      <c r="A783" s="254" t="str">
        <f t="shared" ca="1" si="78"/>
        <v/>
      </c>
      <c r="B783" s="255"/>
      <c r="C783" s="256"/>
      <c r="D783" s="257" t="str">
        <f t="shared" si="74"/>
        <v/>
      </c>
      <c r="F783" s="257" t="str">
        <f t="shared" si="75"/>
        <v/>
      </c>
      <c r="G783" s="257" t="str">
        <f t="shared" si="76"/>
        <v/>
      </c>
      <c r="H783" s="257" t="str">
        <f t="shared" si="77"/>
        <v/>
      </c>
    </row>
    <row r="784" spans="1:8" x14ac:dyDescent="0.25">
      <c r="A784" s="254" t="str">
        <f t="shared" ca="1" si="78"/>
        <v/>
      </c>
      <c r="B784" s="255"/>
      <c r="C784" s="256"/>
      <c r="D784" s="257" t="str">
        <f t="shared" si="74"/>
        <v/>
      </c>
      <c r="F784" s="257" t="str">
        <f t="shared" si="75"/>
        <v/>
      </c>
      <c r="G784" s="257" t="str">
        <f t="shared" si="76"/>
        <v/>
      </c>
      <c r="H784" s="257" t="str">
        <f t="shared" si="77"/>
        <v/>
      </c>
    </row>
    <row r="785" spans="1:8" x14ac:dyDescent="0.25">
      <c r="A785" s="254" t="str">
        <f t="shared" ca="1" si="78"/>
        <v/>
      </c>
      <c r="B785" s="255"/>
      <c r="C785" s="256"/>
      <c r="D785" s="257" t="str">
        <f t="shared" si="74"/>
        <v/>
      </c>
      <c r="F785" s="257" t="str">
        <f t="shared" si="75"/>
        <v/>
      </c>
      <c r="G785" s="257" t="str">
        <f t="shared" si="76"/>
        <v/>
      </c>
      <c r="H785" s="257" t="str">
        <f t="shared" si="77"/>
        <v/>
      </c>
    </row>
    <row r="786" spans="1:8" x14ac:dyDescent="0.25">
      <c r="A786" s="254" t="str">
        <f t="shared" ca="1" si="78"/>
        <v/>
      </c>
      <c r="B786" s="255"/>
      <c r="C786" s="256"/>
      <c r="D786" s="257" t="str">
        <f t="shared" si="74"/>
        <v/>
      </c>
      <c r="F786" s="257" t="str">
        <f t="shared" si="75"/>
        <v/>
      </c>
      <c r="G786" s="257" t="str">
        <f t="shared" si="76"/>
        <v/>
      </c>
      <c r="H786" s="257" t="str">
        <f t="shared" si="77"/>
        <v/>
      </c>
    </row>
    <row r="787" spans="1:8" x14ac:dyDescent="0.25">
      <c r="A787" s="254" t="str">
        <f t="shared" ca="1" si="78"/>
        <v/>
      </c>
      <c r="B787" s="255"/>
      <c r="C787" s="256"/>
      <c r="D787" s="257" t="str">
        <f t="shared" ref="D787:D798" si="79">IF(B787="","",ROUND((B787-B786)*$H$9*G786,2))</f>
        <v/>
      </c>
      <c r="F787" s="257" t="str">
        <f t="shared" ref="F787:F798" si="80">IF(B787="","",IF(C787&gt;F786+D787,0,F786+D787-C787))</f>
        <v/>
      </c>
      <c r="G787" s="257" t="str">
        <f t="shared" ref="G787:G798" si="81">IF(B787="","",IF(C787&gt;D787+F786,G786+F786+D787-C787,G786))</f>
        <v/>
      </c>
      <c r="H787" s="257" t="str">
        <f t="shared" ref="H787:H798" si="82">IF(B787="","",G787+F787)</f>
        <v/>
      </c>
    </row>
    <row r="788" spans="1:8" x14ac:dyDescent="0.25">
      <c r="A788" s="254" t="str">
        <f t="shared" ca="1" si="78"/>
        <v/>
      </c>
      <c r="B788" s="255"/>
      <c r="C788" s="256"/>
      <c r="D788" s="257" t="str">
        <f t="shared" si="79"/>
        <v/>
      </c>
      <c r="F788" s="257" t="str">
        <f t="shared" si="80"/>
        <v/>
      </c>
      <c r="G788" s="257" t="str">
        <f t="shared" si="81"/>
        <v/>
      </c>
      <c r="H788" s="257" t="str">
        <f t="shared" si="82"/>
        <v/>
      </c>
    </row>
    <row r="789" spans="1:8" x14ac:dyDescent="0.25">
      <c r="A789" s="254" t="str">
        <f t="shared" ca="1" si="78"/>
        <v/>
      </c>
      <c r="B789" s="255"/>
      <c r="C789" s="256"/>
      <c r="D789" s="257" t="str">
        <f t="shared" si="79"/>
        <v/>
      </c>
      <c r="F789" s="257" t="str">
        <f t="shared" si="80"/>
        <v/>
      </c>
      <c r="G789" s="257" t="str">
        <f t="shared" si="81"/>
        <v/>
      </c>
      <c r="H789" s="257" t="str">
        <f t="shared" si="82"/>
        <v/>
      </c>
    </row>
    <row r="790" spans="1:8" x14ac:dyDescent="0.25">
      <c r="A790" s="254" t="str">
        <f t="shared" ca="1" si="78"/>
        <v/>
      </c>
      <c r="B790" s="255"/>
      <c r="C790" s="256"/>
      <c r="D790" s="257" t="str">
        <f t="shared" si="79"/>
        <v/>
      </c>
      <c r="F790" s="257" t="str">
        <f t="shared" si="80"/>
        <v/>
      </c>
      <c r="G790" s="257" t="str">
        <f t="shared" si="81"/>
        <v/>
      </c>
      <c r="H790" s="257" t="str">
        <f t="shared" si="82"/>
        <v/>
      </c>
    </row>
    <row r="791" spans="1:8" x14ac:dyDescent="0.25">
      <c r="A791" s="254" t="str">
        <f t="shared" ca="1" si="78"/>
        <v/>
      </c>
      <c r="B791" s="255"/>
      <c r="C791" s="256"/>
      <c r="D791" s="257" t="str">
        <f t="shared" si="79"/>
        <v/>
      </c>
      <c r="F791" s="257" t="str">
        <f t="shared" si="80"/>
        <v/>
      </c>
      <c r="G791" s="257" t="str">
        <f t="shared" si="81"/>
        <v/>
      </c>
      <c r="H791" s="257" t="str">
        <f t="shared" si="82"/>
        <v/>
      </c>
    </row>
    <row r="792" spans="1:8" x14ac:dyDescent="0.25">
      <c r="A792" s="254" t="str">
        <f t="shared" ca="1" si="78"/>
        <v/>
      </c>
      <c r="B792" s="255"/>
      <c r="C792" s="256"/>
      <c r="D792" s="257" t="str">
        <f t="shared" si="79"/>
        <v/>
      </c>
      <c r="F792" s="257" t="str">
        <f t="shared" si="80"/>
        <v/>
      </c>
      <c r="G792" s="257" t="str">
        <f t="shared" si="81"/>
        <v/>
      </c>
      <c r="H792" s="257" t="str">
        <f t="shared" si="82"/>
        <v/>
      </c>
    </row>
    <row r="793" spans="1:8" x14ac:dyDescent="0.25">
      <c r="A793" s="254" t="str">
        <f t="shared" ca="1" si="78"/>
        <v/>
      </c>
      <c r="B793" s="255"/>
      <c r="C793" s="256"/>
      <c r="D793" s="257" t="str">
        <f t="shared" si="79"/>
        <v/>
      </c>
      <c r="F793" s="257" t="str">
        <f t="shared" si="80"/>
        <v/>
      </c>
      <c r="G793" s="257" t="str">
        <f t="shared" si="81"/>
        <v/>
      </c>
      <c r="H793" s="257" t="str">
        <f t="shared" si="82"/>
        <v/>
      </c>
    </row>
    <row r="794" spans="1:8" x14ac:dyDescent="0.25">
      <c r="A794" s="254" t="str">
        <f t="shared" ca="1" si="78"/>
        <v/>
      </c>
      <c r="B794" s="255"/>
      <c r="C794" s="256"/>
      <c r="D794" s="257" t="str">
        <f t="shared" si="79"/>
        <v/>
      </c>
      <c r="F794" s="257" t="str">
        <f t="shared" si="80"/>
        <v/>
      </c>
      <c r="G794" s="257" t="str">
        <f t="shared" si="81"/>
        <v/>
      </c>
      <c r="H794" s="257" t="str">
        <f t="shared" si="82"/>
        <v/>
      </c>
    </row>
    <row r="795" spans="1:8" x14ac:dyDescent="0.25">
      <c r="A795" s="254" t="str">
        <f t="shared" ca="1" si="78"/>
        <v/>
      </c>
      <c r="B795" s="255"/>
      <c r="C795" s="256"/>
      <c r="D795" s="257" t="str">
        <f t="shared" si="79"/>
        <v/>
      </c>
      <c r="F795" s="257" t="str">
        <f t="shared" si="80"/>
        <v/>
      </c>
      <c r="G795" s="257" t="str">
        <f t="shared" si="81"/>
        <v/>
      </c>
      <c r="H795" s="257" t="str">
        <f t="shared" si="82"/>
        <v/>
      </c>
    </row>
    <row r="796" spans="1:8" x14ac:dyDescent="0.25">
      <c r="A796" s="254" t="str">
        <f t="shared" ca="1" si="78"/>
        <v/>
      </c>
      <c r="B796" s="255"/>
      <c r="C796" s="256"/>
      <c r="D796" s="257" t="str">
        <f t="shared" si="79"/>
        <v/>
      </c>
      <c r="F796" s="257" t="str">
        <f t="shared" si="80"/>
        <v/>
      </c>
      <c r="G796" s="257" t="str">
        <f t="shared" si="81"/>
        <v/>
      </c>
      <c r="H796" s="257" t="str">
        <f t="shared" si="82"/>
        <v/>
      </c>
    </row>
    <row r="797" spans="1:8" x14ac:dyDescent="0.25">
      <c r="A797" s="254" t="str">
        <f t="shared" ca="1" si="78"/>
        <v/>
      </c>
      <c r="B797" s="255"/>
      <c r="C797" s="256"/>
      <c r="D797" s="257" t="str">
        <f t="shared" si="79"/>
        <v/>
      </c>
      <c r="F797" s="257" t="str">
        <f t="shared" si="80"/>
        <v/>
      </c>
      <c r="G797" s="257" t="str">
        <f t="shared" si="81"/>
        <v/>
      </c>
      <c r="H797" s="257" t="str">
        <f t="shared" si="82"/>
        <v/>
      </c>
    </row>
    <row r="798" spans="1:8" x14ac:dyDescent="0.25">
      <c r="A798" s="254" t="str">
        <f t="shared" ca="1" si="78"/>
        <v/>
      </c>
      <c r="B798" s="255"/>
      <c r="C798" s="256"/>
      <c r="D798" s="257" t="str">
        <f t="shared" si="79"/>
        <v/>
      </c>
      <c r="F798" s="257" t="str">
        <f t="shared" si="80"/>
        <v/>
      </c>
      <c r="G798" s="257" t="str">
        <f t="shared" si="81"/>
        <v/>
      </c>
      <c r="H798" s="257" t="str">
        <f t="shared" si="82"/>
        <v/>
      </c>
    </row>
    <row r="799" spans="1:8" x14ac:dyDescent="0.25">
      <c r="A799" s="264" t="s">
        <v>355</v>
      </c>
      <c r="B799" s="264"/>
      <c r="C799" s="264"/>
      <c r="D799" s="265"/>
      <c r="E799" s="265"/>
      <c r="F799" s="265"/>
      <c r="G799" s="265"/>
      <c r="H799" s="265"/>
    </row>
  </sheetData>
  <mergeCells count="3">
    <mergeCell ref="K2:K15"/>
    <mergeCell ref="C4:D4"/>
    <mergeCell ref="A16:D16"/>
  </mergeCells>
  <hyperlinks>
    <hyperlink ref="A2" r:id="rId1" xr:uid="{ACAA4D2D-6E44-46B5-8F4C-51A53623DA08}"/>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7EC04-C0D1-4EAF-A290-DD6B90211174}">
  <dimension ref="A1"/>
  <sheetViews>
    <sheetView workbookViewId="0"/>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948FF-F410-4BE9-AFB7-B3C04234343A}">
  <sheetPr codeName="Sheet1">
    <tabColor theme="5" tint="0.59999389629810485"/>
  </sheetPr>
  <dimension ref="A1:BR1412"/>
  <sheetViews>
    <sheetView showGridLines="0" zoomScale="80" zoomScaleNormal="80" workbookViewId="0">
      <pane xSplit="2" ySplit="7" topLeftCell="AX8" activePane="bottomRight" state="frozen"/>
      <selection pane="topRight" activeCell="B1" sqref="B1"/>
      <selection pane="bottomLeft" activeCell="A8" sqref="A8"/>
      <selection pane="bottomRight" activeCell="BF9" sqref="BF9"/>
    </sheetView>
  </sheetViews>
  <sheetFormatPr defaultColWidth="8.88671875" defaultRowHeight="14.4" x14ac:dyDescent="0.3"/>
  <cols>
    <col min="1" max="1" width="58" hidden="1" customWidth="1"/>
    <col min="2" max="2" width="44.5546875" customWidth="1"/>
    <col min="3" max="4" width="13.109375" hidden="1" customWidth="1"/>
    <col min="5" max="5" width="15.6640625" hidden="1" customWidth="1" collapsed="1"/>
    <col min="6" max="7" width="12" hidden="1" customWidth="1"/>
    <col min="8" max="8" width="12" hidden="1" customWidth="1" collapsed="1"/>
    <col min="9" max="9" width="13.5546875" hidden="1" customWidth="1"/>
    <col min="10" max="10" width="12" hidden="1" customWidth="1"/>
    <col min="11" max="11" width="13.5546875" hidden="1" customWidth="1" collapsed="1"/>
    <col min="12" max="12" width="12" hidden="1" customWidth="1"/>
    <col min="13" max="13" width="16.33203125" hidden="1" customWidth="1"/>
    <col min="14" max="14" width="16.33203125" hidden="1" customWidth="1" collapsed="1"/>
    <col min="15" max="15" width="12" hidden="1" customWidth="1"/>
    <col min="16" max="16" width="13.5546875" hidden="1" customWidth="1"/>
    <col min="17" max="17" width="12" hidden="1" customWidth="1" collapsed="1"/>
    <col min="18" max="18" width="13.5546875" hidden="1" customWidth="1"/>
    <col min="19" max="19" width="12" hidden="1" customWidth="1"/>
    <col min="20" max="20" width="12" hidden="1" customWidth="1" collapsed="1"/>
    <col min="21" max="21" width="12" hidden="1" customWidth="1"/>
    <col min="22" max="22" width="30.109375" hidden="1" customWidth="1"/>
    <col min="23" max="23" width="13.5546875" hidden="1" customWidth="1" collapsed="1"/>
    <col min="24" max="25" width="12" hidden="1" customWidth="1"/>
    <col min="26" max="26" width="13.5546875" hidden="1" customWidth="1" collapsed="1"/>
    <col min="27" max="28" width="12" hidden="1" customWidth="1"/>
    <col min="29" max="29" width="13.5546875" hidden="1" customWidth="1" collapsed="1"/>
    <col min="30" max="30" width="12" hidden="1" customWidth="1"/>
    <col min="31" max="31" width="30.109375" hidden="1" customWidth="1"/>
    <col min="32" max="32" width="13.5546875" hidden="1" customWidth="1" collapsed="1"/>
    <col min="33" max="33" width="12" hidden="1" customWidth="1"/>
    <col min="34" max="34" width="13.5546875" hidden="1" customWidth="1"/>
    <col min="35" max="35" width="13.5546875" hidden="1" customWidth="1" collapsed="1"/>
    <col min="36" max="36" width="13.5546875" hidden="1" customWidth="1"/>
    <col min="37" max="37" width="11.5546875" hidden="1" customWidth="1"/>
    <col min="38" max="38" width="30.109375" hidden="1" customWidth="1" collapsed="1"/>
    <col min="39" max="39" width="13.109375" hidden="1" customWidth="1"/>
    <col min="40" max="40" width="13.5546875" bestFit="1" customWidth="1"/>
    <col min="41" max="41" width="15.44140625" customWidth="1"/>
    <col min="42" max="42" width="13.5546875" style="216" bestFit="1" customWidth="1"/>
    <col min="43" max="43" width="12.44140625" bestFit="1" customWidth="1"/>
    <col min="44" max="44" width="13.5546875" bestFit="1" customWidth="1"/>
    <col min="45" max="45" width="14.44140625" customWidth="1"/>
    <col min="46" max="46" width="14.33203125" bestFit="1" customWidth="1"/>
    <col min="47" max="48" width="13.109375" customWidth="1"/>
    <col min="49" max="49" width="13.5546875" bestFit="1" customWidth="1"/>
    <col min="50" max="64" width="13.109375" customWidth="1"/>
    <col min="65" max="65" width="14.88671875" hidden="1" customWidth="1"/>
    <col min="66" max="66" width="16" hidden="1" customWidth="1"/>
    <col min="67" max="67" width="15.44140625" hidden="1" customWidth="1"/>
    <col min="68" max="68" width="16" bestFit="1" customWidth="1"/>
    <col min="69" max="69" width="12.5546875" bestFit="1" customWidth="1"/>
  </cols>
  <sheetData>
    <row r="1" spans="1:70" ht="15.6" hidden="1" x14ac:dyDescent="0.3">
      <c r="B1" t="s">
        <v>395</v>
      </c>
      <c r="C1" s="326">
        <v>8000001</v>
      </c>
      <c r="D1" t="s">
        <v>390</v>
      </c>
      <c r="E1" s="326" t="e">
        <v>#REF!</v>
      </c>
      <c r="V1" s="59" t="s">
        <v>473</v>
      </c>
      <c r="W1" s="326">
        <v>247565.51384615383</v>
      </c>
      <c r="AE1" s="59" t="s">
        <v>473</v>
      </c>
      <c r="AF1" s="326">
        <v>353926.6684615385</v>
      </c>
      <c r="AL1" s="59" t="s">
        <v>473</v>
      </c>
      <c r="AM1" s="59"/>
      <c r="AN1" s="326">
        <v>307692.30769230769</v>
      </c>
      <c r="AO1" s="326">
        <v>307692.30769230769</v>
      </c>
      <c r="AP1" s="326">
        <v>307692.30769230769</v>
      </c>
      <c r="AQ1" s="326">
        <v>307692.30769230769</v>
      </c>
      <c r="AR1" s="326">
        <v>307692.30769230769</v>
      </c>
      <c r="AS1" s="326">
        <v>307692.30769230769</v>
      </c>
      <c r="AT1" s="326">
        <v>307692.30769230769</v>
      </c>
      <c r="AU1" s="326">
        <v>307692.30769230769</v>
      </c>
      <c r="AV1" s="326">
        <v>307692.30769230769</v>
      </c>
      <c r="AW1" s="326">
        <v>307692.30769230769</v>
      </c>
      <c r="AX1" s="326">
        <v>307692.30769230769</v>
      </c>
      <c r="AY1" s="326">
        <v>307692.30769230769</v>
      </c>
      <c r="AZ1" s="326"/>
      <c r="BA1" s="326"/>
      <c r="BB1" s="326"/>
      <c r="BC1" s="326"/>
      <c r="BD1" s="326"/>
      <c r="BE1" s="326"/>
      <c r="BF1" s="326"/>
      <c r="BG1" s="326"/>
      <c r="BH1" s="326"/>
      <c r="BI1" s="326"/>
      <c r="BJ1" s="326"/>
      <c r="BK1" s="326"/>
      <c r="BL1" s="326"/>
    </row>
    <row r="2" spans="1:70" hidden="1" x14ac:dyDescent="0.3">
      <c r="B2" t="s">
        <v>396</v>
      </c>
      <c r="C2" s="326">
        <v>10000001</v>
      </c>
      <c r="E2" t="s">
        <v>391</v>
      </c>
      <c r="M2" t="s">
        <v>470</v>
      </c>
      <c r="N2" t="s">
        <v>470</v>
      </c>
      <c r="V2" t="s">
        <v>392</v>
      </c>
      <c r="W2" t="s">
        <v>392</v>
      </c>
      <c r="AE2" t="s">
        <v>393</v>
      </c>
      <c r="AF2" t="s">
        <v>393</v>
      </c>
      <c r="AI2" s="316"/>
      <c r="AN2" t="s">
        <v>391</v>
      </c>
      <c r="AP2"/>
    </row>
    <row r="3" spans="1:70" hidden="1" x14ac:dyDescent="0.3">
      <c r="B3" t="s">
        <v>397</v>
      </c>
      <c r="C3" s="326">
        <v>12000001</v>
      </c>
      <c r="E3" s="315">
        <v>0.21864830354755951</v>
      </c>
      <c r="F3" s="315"/>
      <c r="G3" s="315"/>
      <c r="H3" s="315"/>
      <c r="I3" s="315"/>
      <c r="J3" s="315"/>
      <c r="K3" s="315"/>
      <c r="L3" s="315"/>
      <c r="M3" s="315">
        <v>0.25272080627179028</v>
      </c>
      <c r="N3" s="315">
        <v>0.25272080627179028</v>
      </c>
      <c r="O3" s="315"/>
      <c r="P3" s="315"/>
      <c r="Q3" s="315"/>
      <c r="R3" s="315"/>
      <c r="S3" s="315"/>
      <c r="T3" s="315"/>
      <c r="U3" s="315"/>
      <c r="V3" s="315">
        <v>0.25735689220683589</v>
      </c>
      <c r="W3" s="315">
        <v>0.25735689220683589</v>
      </c>
      <c r="X3" s="315"/>
      <c r="Y3" s="315"/>
      <c r="Z3" s="315"/>
      <c r="AA3" s="315"/>
      <c r="AB3" s="315"/>
      <c r="AC3" s="315"/>
      <c r="AD3" s="315"/>
      <c r="AE3" s="315">
        <v>0.2712739979738143</v>
      </c>
      <c r="AF3" s="315">
        <v>0.2712739979738143</v>
      </c>
      <c r="AN3" s="315">
        <v>0.25</v>
      </c>
      <c r="AO3" s="315"/>
      <c r="AP3"/>
    </row>
    <row r="4" spans="1:70" hidden="1" x14ac:dyDescent="0.3">
      <c r="B4" t="s">
        <v>398</v>
      </c>
      <c r="C4" s="326">
        <v>14000000</v>
      </c>
      <c r="D4" t="b">
        <v>1</v>
      </c>
      <c r="E4" s="316" t="e">
        <v>#REF!</v>
      </c>
      <c r="F4" s="316"/>
      <c r="G4" s="316"/>
      <c r="H4" s="601" t="e">
        <v>#REF!</v>
      </c>
      <c r="I4" s="316"/>
      <c r="J4" s="316"/>
      <c r="K4" s="601" t="e">
        <v>#REF!</v>
      </c>
      <c r="L4" s="316"/>
      <c r="M4" s="316" t="e">
        <v>#REF!</v>
      </c>
      <c r="N4" s="601" t="e">
        <v>#REF!</v>
      </c>
      <c r="O4" s="316"/>
      <c r="P4" s="316"/>
      <c r="Q4" s="601" t="e">
        <v>#REF!</v>
      </c>
      <c r="R4" s="316"/>
      <c r="S4" s="316"/>
      <c r="T4" s="601" t="e">
        <v>#REF!</v>
      </c>
      <c r="V4" s="316">
        <v>1072783.8933333333</v>
      </c>
      <c r="W4" s="601">
        <v>1072783.8933333333</v>
      </c>
      <c r="X4" s="316"/>
      <c r="Y4" s="316"/>
      <c r="Z4" s="601">
        <v>1072783.8933333333</v>
      </c>
      <c r="AA4" s="316"/>
      <c r="AC4" s="601">
        <v>1072783.8933333333</v>
      </c>
      <c r="AE4" s="316">
        <v>1533682.2300000002</v>
      </c>
      <c r="AF4" s="601">
        <v>1533682.2300000002</v>
      </c>
      <c r="AG4" s="316"/>
      <c r="AH4" s="316"/>
      <c r="AI4" s="601">
        <v>1533682.2300000002</v>
      </c>
      <c r="AJ4" s="316"/>
      <c r="AL4" s="601">
        <v>1533682.2300000002</v>
      </c>
      <c r="AM4" s="601"/>
      <c r="AN4" s="601">
        <v>1333333.3333333333</v>
      </c>
      <c r="AO4" s="601">
        <v>1333333.3333333333</v>
      </c>
      <c r="AP4" s="601">
        <v>1333333.3333333333</v>
      </c>
      <c r="AQ4" s="601">
        <v>1333333.3333333333</v>
      </c>
      <c r="AR4" s="601">
        <v>1333333.3333333333</v>
      </c>
      <c r="AS4" s="601">
        <v>1333333.3333333333</v>
      </c>
      <c r="AT4" s="601">
        <v>1333333.3333333333</v>
      </c>
      <c r="AU4" s="601">
        <v>1333333.3333333333</v>
      </c>
      <c r="AV4" s="601">
        <v>1333333.3333333333</v>
      </c>
      <c r="AW4" s="601">
        <v>1333333.3333333333</v>
      </c>
      <c r="AX4" s="601">
        <v>1333333.3333333333</v>
      </c>
      <c r="AY4" s="601">
        <v>1333333.3333333333</v>
      </c>
      <c r="AZ4" s="601"/>
      <c r="BA4" s="601"/>
      <c r="BB4" s="601"/>
      <c r="BC4" s="601"/>
      <c r="BD4" s="601"/>
      <c r="BE4" s="601"/>
      <c r="BF4" s="601"/>
      <c r="BG4" s="601"/>
      <c r="BH4" s="601"/>
      <c r="BI4" s="601"/>
      <c r="BJ4" s="601"/>
      <c r="BK4" s="601"/>
      <c r="BL4" s="601"/>
      <c r="BM4" s="601"/>
      <c r="BO4" s="316"/>
      <c r="BP4" s="316"/>
    </row>
    <row r="5" spans="1:70" hidden="1" x14ac:dyDescent="0.3">
      <c r="B5" t="s">
        <v>398</v>
      </c>
      <c r="C5" s="326">
        <v>17000000</v>
      </c>
      <c r="AP5"/>
    </row>
    <row r="6" spans="1:70" x14ac:dyDescent="0.3">
      <c r="B6" s="327" t="s">
        <v>0</v>
      </c>
      <c r="C6" s="1789" t="s">
        <v>14</v>
      </c>
      <c r="D6" s="1790"/>
      <c r="E6" s="1791"/>
      <c r="F6" s="1789" t="s">
        <v>15</v>
      </c>
      <c r="G6" s="1790"/>
      <c r="H6" s="1791"/>
      <c r="I6" s="1789" t="s">
        <v>16</v>
      </c>
      <c r="J6" s="1790"/>
      <c r="K6" s="1791"/>
      <c r="L6" s="1789" t="s">
        <v>17</v>
      </c>
      <c r="M6" s="1790"/>
      <c r="N6" s="1791"/>
      <c r="O6" s="1789" t="s">
        <v>913</v>
      </c>
      <c r="P6" s="1790"/>
      <c r="Q6" s="1791"/>
      <c r="R6" s="1789" t="s">
        <v>19</v>
      </c>
      <c r="S6" s="1790"/>
      <c r="T6" s="1791"/>
      <c r="U6" s="1789" t="s">
        <v>20</v>
      </c>
      <c r="V6" s="1790"/>
      <c r="W6" s="1791"/>
      <c r="X6" s="1789" t="s">
        <v>21</v>
      </c>
      <c r="Y6" s="1790"/>
      <c r="Z6" s="1791"/>
      <c r="AA6" s="1789" t="s">
        <v>22</v>
      </c>
      <c r="AB6" s="1790"/>
      <c r="AC6" s="1791"/>
      <c r="AD6" s="1789" t="s">
        <v>23</v>
      </c>
      <c r="AE6" s="1790"/>
      <c r="AF6" s="1791"/>
      <c r="AG6" s="1789" t="s">
        <v>24</v>
      </c>
      <c r="AH6" s="1790"/>
      <c r="AI6" s="1791"/>
      <c r="AJ6" s="1789" t="s">
        <v>25</v>
      </c>
      <c r="AK6" s="1790"/>
      <c r="AL6" s="1791"/>
      <c r="AM6" s="5"/>
      <c r="AN6" s="5">
        <v>2022</v>
      </c>
      <c r="AO6" s="5">
        <v>2022</v>
      </c>
      <c r="AP6" s="5">
        <v>2022</v>
      </c>
      <c r="AQ6" s="5">
        <v>2022</v>
      </c>
      <c r="AR6" s="5">
        <v>2022</v>
      </c>
      <c r="AS6" s="5">
        <v>2022</v>
      </c>
      <c r="AT6" s="5">
        <v>2022</v>
      </c>
      <c r="AU6" s="5">
        <v>2022</v>
      </c>
      <c r="AV6" s="5">
        <v>2022</v>
      </c>
      <c r="AW6" s="5">
        <v>2022</v>
      </c>
      <c r="AX6" s="5">
        <v>2022</v>
      </c>
      <c r="AY6" s="5">
        <v>2022</v>
      </c>
      <c r="AZ6" s="5">
        <v>2023</v>
      </c>
      <c r="BA6" s="5">
        <v>2023</v>
      </c>
      <c r="BB6" s="5">
        <v>2023</v>
      </c>
      <c r="BC6" s="5">
        <v>2023</v>
      </c>
      <c r="BD6" s="5">
        <v>2023</v>
      </c>
      <c r="BE6" s="5">
        <v>2023</v>
      </c>
      <c r="BF6" s="5">
        <v>2023</v>
      </c>
      <c r="BG6" s="5">
        <v>2023</v>
      </c>
      <c r="BH6" s="5">
        <v>2023</v>
      </c>
      <c r="BI6" s="5">
        <v>2023</v>
      </c>
      <c r="BJ6" s="5">
        <v>2023</v>
      </c>
      <c r="BK6" s="5">
        <v>2023</v>
      </c>
      <c r="BL6" s="5"/>
      <c r="BM6" s="1789" t="s">
        <v>409</v>
      </c>
      <c r="BN6" s="1790"/>
      <c r="BO6" s="1791"/>
      <c r="BP6" s="878"/>
    </row>
    <row r="7" spans="1:70" s="3" customFormat="1" x14ac:dyDescent="0.3">
      <c r="B7" s="327"/>
      <c r="C7" s="350" t="s">
        <v>12</v>
      </c>
      <c r="D7" s="5" t="s">
        <v>13</v>
      </c>
      <c r="E7" s="352" t="s">
        <v>408</v>
      </c>
      <c r="F7" s="350" t="s">
        <v>12</v>
      </c>
      <c r="G7" s="5" t="s">
        <v>13</v>
      </c>
      <c r="H7" s="352" t="s">
        <v>408</v>
      </c>
      <c r="I7" s="350" t="s">
        <v>12</v>
      </c>
      <c r="J7" s="5" t="s">
        <v>13</v>
      </c>
      <c r="K7" s="352" t="s">
        <v>408</v>
      </c>
      <c r="L7" s="350" t="s">
        <v>12</v>
      </c>
      <c r="M7" s="5" t="s">
        <v>13</v>
      </c>
      <c r="N7" s="352" t="s">
        <v>408</v>
      </c>
      <c r="O7" s="350" t="s">
        <v>12</v>
      </c>
      <c r="P7" s="5" t="s">
        <v>13</v>
      </c>
      <c r="Q7" s="352" t="s">
        <v>408</v>
      </c>
      <c r="R7" s="350" t="s">
        <v>12</v>
      </c>
      <c r="S7" s="5" t="s">
        <v>13</v>
      </c>
      <c r="T7" s="352" t="s">
        <v>408</v>
      </c>
      <c r="U7" s="350" t="s">
        <v>12</v>
      </c>
      <c r="V7" s="5" t="s">
        <v>13</v>
      </c>
      <c r="W7" s="352" t="s">
        <v>408</v>
      </c>
      <c r="X7" s="350" t="s">
        <v>12</v>
      </c>
      <c r="Y7" s="5" t="s">
        <v>13</v>
      </c>
      <c r="Z7" s="352" t="s">
        <v>408</v>
      </c>
      <c r="AA7" s="350" t="s">
        <v>12</v>
      </c>
      <c r="AB7" s="5" t="s">
        <v>13</v>
      </c>
      <c r="AC7" s="352" t="s">
        <v>408</v>
      </c>
      <c r="AD7" s="350" t="s">
        <v>12</v>
      </c>
      <c r="AE7" s="5" t="s">
        <v>13</v>
      </c>
      <c r="AF7" s="352" t="s">
        <v>408</v>
      </c>
      <c r="AG7" s="350" t="s">
        <v>12</v>
      </c>
      <c r="AH7" s="5" t="s">
        <v>13</v>
      </c>
      <c r="AI7" s="352" t="s">
        <v>408</v>
      </c>
      <c r="AJ7" s="350" t="s">
        <v>12</v>
      </c>
      <c r="AK7" s="5" t="s">
        <v>13</v>
      </c>
      <c r="AL7" s="352" t="s">
        <v>408</v>
      </c>
      <c r="AM7" s="5">
        <v>2021</v>
      </c>
      <c r="AN7" s="5" t="s">
        <v>145</v>
      </c>
      <c r="AO7" s="5" t="s">
        <v>146</v>
      </c>
      <c r="AP7" s="5" t="s">
        <v>147</v>
      </c>
      <c r="AQ7" s="5" t="s">
        <v>17</v>
      </c>
      <c r="AR7" s="5" t="s">
        <v>913</v>
      </c>
      <c r="AS7" s="5" t="s">
        <v>19</v>
      </c>
      <c r="AT7" s="5" t="s">
        <v>150</v>
      </c>
      <c r="AU7" s="5" t="s">
        <v>151</v>
      </c>
      <c r="AV7" s="5" t="s">
        <v>485</v>
      </c>
      <c r="AW7" s="5" t="s">
        <v>153</v>
      </c>
      <c r="AX7" s="5" t="s">
        <v>154</v>
      </c>
      <c r="AY7" s="5" t="s">
        <v>144</v>
      </c>
      <c r="AZ7" s="5" t="s">
        <v>145</v>
      </c>
      <c r="BA7" s="5" t="s">
        <v>146</v>
      </c>
      <c r="BB7" s="5" t="s">
        <v>147</v>
      </c>
      <c r="BC7" s="5" t="s">
        <v>148</v>
      </c>
      <c r="BD7" s="5" t="s">
        <v>913</v>
      </c>
      <c r="BE7" s="5" t="s">
        <v>19</v>
      </c>
      <c r="BF7" s="5" t="s">
        <v>150</v>
      </c>
      <c r="BG7" s="5" t="s">
        <v>151</v>
      </c>
      <c r="BH7" s="5" t="s">
        <v>485</v>
      </c>
      <c r="BI7" s="5" t="s">
        <v>153</v>
      </c>
      <c r="BJ7" s="5" t="s">
        <v>154</v>
      </c>
      <c r="BK7" s="5" t="s">
        <v>144</v>
      </c>
      <c r="BL7" s="5" t="s">
        <v>892</v>
      </c>
      <c r="BM7" s="350" t="s">
        <v>12</v>
      </c>
      <c r="BN7" s="5" t="s">
        <v>13</v>
      </c>
      <c r="BO7" s="352" t="s">
        <v>408</v>
      </c>
      <c r="BP7" s="352" t="s">
        <v>525</v>
      </c>
    </row>
    <row r="8" spans="1:70" x14ac:dyDescent="0.3">
      <c r="B8" s="7" t="s">
        <v>0</v>
      </c>
      <c r="C8" s="351"/>
      <c r="D8" s="1"/>
      <c r="E8" s="353"/>
      <c r="F8" s="351"/>
      <c r="G8" s="1"/>
      <c r="H8" s="353"/>
      <c r="I8" s="351"/>
      <c r="J8" s="1"/>
      <c r="K8" s="353"/>
      <c r="L8" s="351"/>
      <c r="M8" s="1"/>
      <c r="N8" s="353"/>
      <c r="O8" s="351"/>
      <c r="P8" s="1"/>
      <c r="Q8" s="353"/>
      <c r="R8" s="351"/>
      <c r="S8" s="1"/>
      <c r="T8" s="353"/>
      <c r="U8" s="351"/>
      <c r="V8" s="1"/>
      <c r="W8" s="353"/>
      <c r="X8" s="351"/>
      <c r="Y8" s="1"/>
      <c r="Z8" s="353"/>
      <c r="AA8" s="351"/>
      <c r="AB8" s="1"/>
      <c r="AC8" s="353"/>
      <c r="AD8" s="351"/>
      <c r="AE8" s="1"/>
      <c r="AF8" s="353"/>
      <c r="AG8" s="351"/>
      <c r="AH8" s="1"/>
      <c r="AI8" s="353"/>
      <c r="AJ8" s="351"/>
      <c r="AK8" s="1"/>
      <c r="AL8" s="353"/>
      <c r="AM8" s="1"/>
      <c r="AN8" s="1"/>
      <c r="AO8" s="1"/>
      <c r="AP8" s="1"/>
      <c r="AQ8" s="1"/>
      <c r="AR8" s="1"/>
      <c r="AS8" s="1"/>
      <c r="AT8" s="1"/>
      <c r="AU8" s="1"/>
      <c r="AV8" s="1"/>
      <c r="AW8" s="1"/>
      <c r="AX8" s="1"/>
      <c r="AY8" s="1"/>
      <c r="AZ8" s="1"/>
      <c r="BA8" s="1"/>
      <c r="BB8" s="1"/>
      <c r="BC8" s="1"/>
      <c r="BD8" s="1"/>
      <c r="BE8" s="1"/>
      <c r="BF8" s="1"/>
      <c r="BG8" s="1"/>
      <c r="BH8" s="1"/>
      <c r="BI8" s="1"/>
      <c r="BJ8" s="1"/>
      <c r="BK8" s="1"/>
      <c r="BL8" s="1"/>
      <c r="BM8" s="351"/>
      <c r="BN8" s="1"/>
      <c r="BO8" s="353"/>
      <c r="BP8" s="353"/>
    </row>
    <row r="9" spans="1:70" ht="15.6" x14ac:dyDescent="0.3">
      <c r="A9" s="972" t="s">
        <v>620</v>
      </c>
      <c r="B9" t="s">
        <v>620</v>
      </c>
      <c r="AN9" s="1029">
        <v>-541.36</v>
      </c>
      <c r="AO9" s="1029">
        <v>0</v>
      </c>
      <c r="AP9" s="1029">
        <v>396</v>
      </c>
      <c r="AQ9" s="1029">
        <v>576</v>
      </c>
      <c r="AR9" s="1029">
        <v>322.02999999999997</v>
      </c>
      <c r="AS9" s="1029">
        <v>2856.72</v>
      </c>
      <c r="AT9" s="1029">
        <v>504</v>
      </c>
      <c r="AU9" s="1029">
        <v>3089.4</v>
      </c>
      <c r="AV9" s="1029">
        <v>39200.699999999997</v>
      </c>
      <c r="AW9" s="1029">
        <v>1464.07</v>
      </c>
      <c r="AX9" s="1029">
        <v>2280.58</v>
      </c>
      <c r="AY9" s="1029">
        <v>28674.13</v>
      </c>
      <c r="AZ9" s="1029">
        <f>'MXD P&amp;L'!N6</f>
        <v>9983.6299999999992</v>
      </c>
      <c r="BA9" s="1029">
        <f>'MXD P&amp;L'!O6</f>
        <v>426.01</v>
      </c>
      <c r="BB9" s="1029">
        <f>'MXD P&amp;L'!P6</f>
        <v>991.5</v>
      </c>
      <c r="BC9" s="1029">
        <f>'MXD P&amp;L'!Q6</f>
        <v>100</v>
      </c>
      <c r="BD9" s="1029">
        <f>'MXD P&amp;L'!R6</f>
        <v>8532.98</v>
      </c>
      <c r="BE9" s="1029">
        <f>'MXD P&amp;L'!S6</f>
        <v>3659</v>
      </c>
      <c r="BF9" s="1029">
        <f>'MXD P&amp;L'!T6</f>
        <v>2086.3000000000002</v>
      </c>
      <c r="BG9" s="1029"/>
      <c r="BH9" s="1029"/>
      <c r="BI9" s="1029"/>
      <c r="BJ9" s="1029"/>
      <c r="BK9" s="1029"/>
      <c r="BL9" s="1029">
        <f>SUM(AZ9:BC9)</f>
        <v>11501.14</v>
      </c>
      <c r="BM9" s="1030"/>
      <c r="BN9" s="1031"/>
      <c r="BO9" s="1032"/>
      <c r="BP9" s="1032">
        <f>SUM(AN9:AQ9)</f>
        <v>430.64</v>
      </c>
      <c r="BR9" s="57"/>
    </row>
    <row r="10" spans="1:70" ht="15.6" x14ac:dyDescent="0.3">
      <c r="A10" s="972" t="s">
        <v>621</v>
      </c>
      <c r="B10" s="11" t="s">
        <v>621</v>
      </c>
      <c r="C10" s="364">
        <v>553704</v>
      </c>
      <c r="D10" s="354">
        <v>462746</v>
      </c>
      <c r="E10" s="616">
        <v>259591.20663999999</v>
      </c>
      <c r="F10" s="364">
        <v>299563</v>
      </c>
      <c r="G10" s="354">
        <v>408560</v>
      </c>
      <c r="H10" s="616">
        <v>538922.14932199998</v>
      </c>
      <c r="I10" s="364">
        <v>576491</v>
      </c>
      <c r="J10" s="354">
        <v>495196</v>
      </c>
      <c r="K10" s="616">
        <v>661659.54</v>
      </c>
      <c r="L10" s="364">
        <v>425813</v>
      </c>
      <c r="M10" s="354">
        <v>374901</v>
      </c>
      <c r="N10" s="616">
        <v>558385.87</v>
      </c>
      <c r="O10" s="364">
        <v>505993</v>
      </c>
      <c r="P10" s="354">
        <v>378933</v>
      </c>
      <c r="Q10" s="616">
        <v>583761.55000000005</v>
      </c>
      <c r="R10" s="364">
        <v>495051</v>
      </c>
      <c r="S10" s="354">
        <v>459056</v>
      </c>
      <c r="T10" s="616">
        <v>432914.52</v>
      </c>
      <c r="U10" s="364">
        <v>376465</v>
      </c>
      <c r="V10" s="354">
        <v>469502</v>
      </c>
      <c r="W10" s="616">
        <v>506352.45</v>
      </c>
      <c r="X10" s="364">
        <v>320058</v>
      </c>
      <c r="Y10" s="354">
        <v>528629</v>
      </c>
      <c r="Z10" s="616">
        <v>392729.35</v>
      </c>
      <c r="AA10" s="364">
        <v>363553</v>
      </c>
      <c r="AB10" s="354">
        <v>553900</v>
      </c>
      <c r="AC10" s="616">
        <v>453339.0199999999</v>
      </c>
      <c r="AD10" s="364">
        <v>398813</v>
      </c>
      <c r="AE10" s="354">
        <v>532365</v>
      </c>
      <c r="AF10" s="616">
        <v>611355.05000000005</v>
      </c>
      <c r="AG10" s="364">
        <v>502782</v>
      </c>
      <c r="AH10" s="354">
        <v>483702.34</v>
      </c>
      <c r="AI10" s="616">
        <v>516698.98</v>
      </c>
      <c r="AJ10" s="364">
        <v>613857</v>
      </c>
      <c r="AK10" s="354"/>
      <c r="AL10" s="616">
        <v>402722.42</v>
      </c>
      <c r="AM10" s="882">
        <v>0.4713768619033944</v>
      </c>
      <c r="AN10" s="1029">
        <v>770679.41</v>
      </c>
      <c r="AO10" s="1029">
        <v>436032.63</v>
      </c>
      <c r="AP10" s="1029">
        <v>709915.75</v>
      </c>
      <c r="AQ10" s="1029">
        <v>659731.06000000006</v>
      </c>
      <c r="AR10" s="1029">
        <v>639317.24</v>
      </c>
      <c r="AS10" s="1029">
        <v>928744.64</v>
      </c>
      <c r="AT10" s="1029">
        <v>563901.18999999994</v>
      </c>
      <c r="AU10" s="1029">
        <v>752821.41</v>
      </c>
      <c r="AV10" s="1029">
        <v>769886.86</v>
      </c>
      <c r="AW10" s="1029">
        <v>532321.93000000005</v>
      </c>
      <c r="AX10" s="1029">
        <v>530183.01</v>
      </c>
      <c r="AY10" s="1029">
        <v>586438.48</v>
      </c>
      <c r="AZ10" s="1029">
        <f>'MXD P&amp;L'!N7</f>
        <v>692132.21</v>
      </c>
      <c r="BA10" s="1029">
        <f>'MXD P&amp;L'!O7</f>
        <v>436806.18</v>
      </c>
      <c r="BB10" s="1029">
        <f>'MXD P&amp;L'!P7</f>
        <v>535194.11</v>
      </c>
      <c r="BC10" s="1029">
        <f>'MXD P&amp;L'!Q7</f>
        <v>440054.22</v>
      </c>
      <c r="BD10" s="1029">
        <f>'MXD P&amp;L'!R7</f>
        <v>560720.68000000005</v>
      </c>
      <c r="BE10" s="1029">
        <f>'MXD P&amp;L'!S7</f>
        <v>788520.98</v>
      </c>
      <c r="BF10" s="1029">
        <f>'MXD P&amp;L'!T7</f>
        <v>508998.05</v>
      </c>
      <c r="BG10" s="1029"/>
      <c r="BH10" s="1029"/>
      <c r="BI10" s="1029"/>
      <c r="BJ10" s="1029"/>
      <c r="BK10" s="1029"/>
      <c r="BL10" s="1029">
        <f>SUM(AZ10:BC10)</f>
        <v>2104186.7199999997</v>
      </c>
      <c r="BM10" s="1030">
        <v>5432143</v>
      </c>
      <c r="BN10" s="1031">
        <v>5147490.34</v>
      </c>
      <c r="BO10" s="1032">
        <v>5918432.1059620008</v>
      </c>
      <c r="BP10" s="1032">
        <f>SUM(AN10:AQ10)</f>
        <v>2576358.85</v>
      </c>
      <c r="BR10" s="57"/>
    </row>
    <row r="11" spans="1:70" ht="15.6" x14ac:dyDescent="0.3">
      <c r="A11" s="972" t="s">
        <v>622</v>
      </c>
      <c r="B11" s="11" t="s">
        <v>622</v>
      </c>
      <c r="C11" s="364">
        <v>135816</v>
      </c>
      <c r="D11" s="354">
        <v>4092</v>
      </c>
      <c r="E11" s="616">
        <v>80742.603499999997</v>
      </c>
      <c r="F11" s="364">
        <v>12213</v>
      </c>
      <c r="G11" s="354">
        <v>45895</v>
      </c>
      <c r="H11" s="616">
        <v>113070.15</v>
      </c>
      <c r="I11" s="364">
        <v>14907</v>
      </c>
      <c r="J11" s="354">
        <v>8252</v>
      </c>
      <c r="K11" s="616">
        <v>120150</v>
      </c>
      <c r="L11" s="364"/>
      <c r="M11" s="354"/>
      <c r="N11" s="616">
        <v>111786.48999999999</v>
      </c>
      <c r="O11" s="364">
        <v>72150</v>
      </c>
      <c r="P11" s="354">
        <v>17802</v>
      </c>
      <c r="Q11" s="616">
        <v>146336</v>
      </c>
      <c r="R11" s="364">
        <v>10011</v>
      </c>
      <c r="S11" s="354">
        <v>44319</v>
      </c>
      <c r="T11" s="616">
        <v>149849.5</v>
      </c>
      <c r="U11" s="364">
        <v>36700</v>
      </c>
      <c r="V11" s="354">
        <v>133096</v>
      </c>
      <c r="W11" s="616">
        <v>241385.84</v>
      </c>
      <c r="X11" s="364">
        <v>53948</v>
      </c>
      <c r="Y11" s="354">
        <v>28903</v>
      </c>
      <c r="Z11" s="616">
        <v>234459.3899999999</v>
      </c>
      <c r="AA11" s="364">
        <v>40800</v>
      </c>
      <c r="AB11" s="354">
        <v>95385</v>
      </c>
      <c r="AC11" s="616">
        <v>164157.63999999998</v>
      </c>
      <c r="AD11" s="364">
        <v>62530</v>
      </c>
      <c r="AE11" s="354">
        <v>45217.06</v>
      </c>
      <c r="AF11" s="616">
        <v>203576.38</v>
      </c>
      <c r="AG11" s="364">
        <v>34182</v>
      </c>
      <c r="AH11" s="354">
        <v>16092</v>
      </c>
      <c r="AI11" s="616">
        <v>79777.219999999914</v>
      </c>
      <c r="AJ11" s="364">
        <v>25662</v>
      </c>
      <c r="AK11" s="354"/>
      <c r="AL11" s="616">
        <v>78748.870000000112</v>
      </c>
      <c r="AM11" s="882">
        <v>0.13731214446766082</v>
      </c>
      <c r="AN11" s="1029">
        <v>284769.67</v>
      </c>
      <c r="AO11" s="1029">
        <v>171029.36</v>
      </c>
      <c r="AP11" s="1029">
        <v>373421</v>
      </c>
      <c r="AQ11" s="1029">
        <v>345490.69</v>
      </c>
      <c r="AR11" s="1029">
        <v>575277</v>
      </c>
      <c r="AS11" s="1029">
        <v>598850.74</v>
      </c>
      <c r="AT11" s="1029">
        <v>50266</v>
      </c>
      <c r="AU11" s="1029">
        <v>258966.33</v>
      </c>
      <c r="AV11" s="1029">
        <v>243574.68</v>
      </c>
      <c r="AW11" s="1029">
        <v>170271.2</v>
      </c>
      <c r="AX11" s="1029">
        <v>88608.2</v>
      </c>
      <c r="AY11" s="1029">
        <v>248826.05</v>
      </c>
      <c r="AZ11" s="1029">
        <f>'MXD P&amp;L'!N8</f>
        <v>67094.720000000001</v>
      </c>
      <c r="BA11" s="1029">
        <f>'MXD P&amp;L'!O8</f>
        <v>7997</v>
      </c>
      <c r="BB11" s="1029">
        <f>'MXD P&amp;L'!P8</f>
        <v>25304</v>
      </c>
      <c r="BC11" s="1029">
        <f>'MXD P&amp;L'!Q8</f>
        <v>500576.67</v>
      </c>
      <c r="BD11" s="1029">
        <f>'MXD P&amp;L'!R8</f>
        <v>570421.92000000004</v>
      </c>
      <c r="BE11" s="1029">
        <f>'MXD P&amp;L'!S8</f>
        <v>588914.15</v>
      </c>
      <c r="BF11" s="1029">
        <f>'MXD P&amp;L'!T8</f>
        <v>189925.21</v>
      </c>
      <c r="BG11" s="1029"/>
      <c r="BH11" s="1029"/>
      <c r="BI11" s="1029"/>
      <c r="BJ11" s="1029"/>
      <c r="BK11" s="1029"/>
      <c r="BL11" s="1029">
        <f>SUM(AZ11:BC11)</f>
        <v>600972.39</v>
      </c>
      <c r="BM11" s="1030">
        <v>498919</v>
      </c>
      <c r="BN11" s="1031">
        <v>439053.06</v>
      </c>
      <c r="BO11" s="1032">
        <v>1724040.0834999997</v>
      </c>
      <c r="BP11" s="1032">
        <f>SUM(AN11:AQ11)</f>
        <v>1174710.72</v>
      </c>
      <c r="BR11" s="57"/>
    </row>
    <row r="12" spans="1:70" ht="15.6" x14ac:dyDescent="0.3">
      <c r="A12" s="972" t="s">
        <v>623</v>
      </c>
      <c r="B12" s="11" t="s">
        <v>623</v>
      </c>
      <c r="C12" s="364">
        <v>360626</v>
      </c>
      <c r="D12" s="354">
        <v>260714</v>
      </c>
      <c r="E12" s="616">
        <v>16629</v>
      </c>
      <c r="F12" s="364">
        <v>267906</v>
      </c>
      <c r="G12" s="354">
        <v>397725</v>
      </c>
      <c r="H12" s="616">
        <v>17391.766</v>
      </c>
      <c r="I12" s="364">
        <v>1035291</v>
      </c>
      <c r="J12" s="354">
        <v>133247</v>
      </c>
      <c r="K12" s="616">
        <v>505193.50000000006</v>
      </c>
      <c r="L12" s="364">
        <v>328764</v>
      </c>
      <c r="M12" s="354">
        <v>257143</v>
      </c>
      <c r="N12" s="616">
        <v>57457.000000000116</v>
      </c>
      <c r="O12" s="364">
        <v>119393</v>
      </c>
      <c r="P12" s="354">
        <v>683676</v>
      </c>
      <c r="Q12" s="616">
        <v>122509.82</v>
      </c>
      <c r="R12" s="364">
        <v>598536</v>
      </c>
      <c r="S12" s="354">
        <v>294240</v>
      </c>
      <c r="T12" s="616">
        <v>76034.299999999814</v>
      </c>
      <c r="U12" s="364">
        <v>529490</v>
      </c>
      <c r="V12" s="354">
        <v>87467</v>
      </c>
      <c r="W12" s="616">
        <v>41177.15</v>
      </c>
      <c r="X12" s="364">
        <v>353484</v>
      </c>
      <c r="Y12" s="354">
        <v>207149</v>
      </c>
      <c r="Z12" s="616">
        <v>265193.66000000003</v>
      </c>
      <c r="AA12" s="364">
        <v>83913</v>
      </c>
      <c r="AB12" s="354">
        <v>156771</v>
      </c>
      <c r="AC12" s="616">
        <v>210292.29999999996</v>
      </c>
      <c r="AD12" s="364">
        <v>184231</v>
      </c>
      <c r="AE12" s="354">
        <v>62320</v>
      </c>
      <c r="AF12" s="616">
        <v>198667.37000000032</v>
      </c>
      <c r="AG12" s="364">
        <v>305614</v>
      </c>
      <c r="AH12" s="354">
        <v>464753</v>
      </c>
      <c r="AI12" s="616">
        <v>80832</v>
      </c>
      <c r="AJ12" s="364">
        <v>1035261</v>
      </c>
      <c r="AK12" s="354"/>
      <c r="AL12" s="616">
        <v>513168.2999999997</v>
      </c>
      <c r="AM12" s="882">
        <v>0.16761776593847605</v>
      </c>
      <c r="AN12" s="1029">
        <v>15070</v>
      </c>
      <c r="AO12" s="1029">
        <v>70741.23</v>
      </c>
      <c r="AP12" s="1029">
        <v>120778.62</v>
      </c>
      <c r="AQ12" s="1029">
        <v>516604.73</v>
      </c>
      <c r="AR12" s="1029">
        <v>7994.23</v>
      </c>
      <c r="AS12" s="1029">
        <v>311257.15999999997</v>
      </c>
      <c r="AT12" s="1029">
        <v>2787995.2</v>
      </c>
      <c r="AU12" s="1029">
        <v>127608.45</v>
      </c>
      <c r="AV12" s="1029">
        <v>134879.6</v>
      </c>
      <c r="AW12" s="1029">
        <v>72638.5</v>
      </c>
      <c r="AX12" s="1029">
        <v>10699</v>
      </c>
      <c r="AY12" s="1029">
        <v>62769.79</v>
      </c>
      <c r="AZ12" s="1029">
        <f>'MXD P&amp;L'!N9</f>
        <v>130362.62</v>
      </c>
      <c r="BA12" s="1029">
        <f>'MXD P&amp;L'!O9</f>
        <v>835.1</v>
      </c>
      <c r="BB12" s="1029">
        <f>'MXD P&amp;L'!P9</f>
        <v>71262</v>
      </c>
      <c r="BC12" s="1029">
        <f>'MXD P&amp;L'!Q9</f>
        <v>120758.18</v>
      </c>
      <c r="BD12" s="1029">
        <f>'MXD P&amp;L'!R9</f>
        <v>845850.12</v>
      </c>
      <c r="BE12" s="1029">
        <f>'MXD P&amp;L'!S9</f>
        <v>259091.1</v>
      </c>
      <c r="BF12" s="1029">
        <f>'MXD P&amp;L'!T9</f>
        <v>318015.09999999998</v>
      </c>
      <c r="BG12" s="1029"/>
      <c r="BH12" s="1029"/>
      <c r="BI12" s="1029"/>
      <c r="BJ12" s="1029"/>
      <c r="BK12" s="1029"/>
      <c r="BL12" s="1029">
        <f>SUM(AZ12:BC12)</f>
        <v>323217.90000000002</v>
      </c>
      <c r="BM12" s="1030">
        <v>5202509</v>
      </c>
      <c r="BN12" s="1031">
        <v>3005205</v>
      </c>
      <c r="BO12" s="1032">
        <v>2104546.1660000002</v>
      </c>
      <c r="BP12" s="1032">
        <f>SUM(AN12:AQ12)</f>
        <v>723194.58</v>
      </c>
      <c r="BR12" s="57"/>
    </row>
    <row r="13" spans="1:70" ht="15.6" x14ac:dyDescent="0.3">
      <c r="A13" s="972"/>
      <c r="B13" s="1403" t="s">
        <v>1238</v>
      </c>
      <c r="C13" s="364"/>
      <c r="D13" s="354"/>
      <c r="E13" s="616"/>
      <c r="F13" s="364"/>
      <c r="G13" s="354"/>
      <c r="H13" s="616"/>
      <c r="I13" s="364"/>
      <c r="J13" s="354"/>
      <c r="K13" s="616"/>
      <c r="L13" s="364"/>
      <c r="M13" s="354"/>
      <c r="N13" s="616"/>
      <c r="O13" s="364"/>
      <c r="P13" s="354"/>
      <c r="Q13" s="616"/>
      <c r="R13" s="364"/>
      <c r="S13" s="354"/>
      <c r="T13" s="616"/>
      <c r="U13" s="364"/>
      <c r="V13" s="354"/>
      <c r="W13" s="616"/>
      <c r="X13" s="364"/>
      <c r="Y13" s="354"/>
      <c r="Z13" s="616"/>
      <c r="AA13" s="364"/>
      <c r="AB13" s="354"/>
      <c r="AC13" s="616"/>
      <c r="AD13" s="364"/>
      <c r="AE13" s="354"/>
      <c r="AF13" s="616"/>
      <c r="AG13" s="364"/>
      <c r="AH13" s="354"/>
      <c r="AI13" s="616"/>
      <c r="AJ13" s="364"/>
      <c r="AK13" s="354"/>
      <c r="AL13" s="616"/>
      <c r="AM13" s="882"/>
      <c r="AN13" s="1029"/>
      <c r="AO13" s="1029"/>
      <c r="AP13" s="1029"/>
      <c r="AQ13" s="1029"/>
      <c r="AR13" s="1029"/>
      <c r="AS13" s="1029"/>
      <c r="AT13" s="1029"/>
      <c r="AU13" s="1029"/>
      <c r="AV13" s="1029"/>
      <c r="AW13" s="1029"/>
      <c r="AX13" s="1029"/>
      <c r="AY13" s="1029"/>
      <c r="AZ13" s="1029"/>
      <c r="BA13" s="1029"/>
      <c r="BB13" s="1029"/>
      <c r="BC13" s="1029">
        <f>'MXD P&amp;L'!Q10</f>
        <v>0</v>
      </c>
      <c r="BD13" s="1029">
        <f>'MXD P&amp;L'!R10</f>
        <v>0</v>
      </c>
      <c r="BE13" s="1029">
        <f>'MXD P&amp;L'!S10</f>
        <v>0</v>
      </c>
      <c r="BF13" s="1029">
        <f>'MXD P&amp;L'!T10</f>
        <v>5333</v>
      </c>
      <c r="BG13" s="1029"/>
      <c r="BH13" s="1029"/>
      <c r="BI13" s="1029"/>
      <c r="BJ13" s="1029"/>
      <c r="BK13" s="1029"/>
      <c r="BL13" s="1029"/>
      <c r="BM13" s="1030"/>
      <c r="BN13" s="1031"/>
      <c r="BO13" s="1032"/>
      <c r="BP13" s="1032"/>
      <c r="BR13" s="57"/>
    </row>
    <row r="14" spans="1:70" ht="15.6" x14ac:dyDescent="0.3">
      <c r="A14" s="972" t="s">
        <v>624</v>
      </c>
      <c r="B14" s="11" t="s">
        <v>624</v>
      </c>
      <c r="C14" s="364">
        <v>3506</v>
      </c>
      <c r="D14" s="354">
        <v>17943</v>
      </c>
      <c r="E14" s="616"/>
      <c r="F14" s="364">
        <v>925</v>
      </c>
      <c r="G14" s="354">
        <v>375</v>
      </c>
      <c r="H14" s="616">
        <v>20000</v>
      </c>
      <c r="I14" s="364"/>
      <c r="J14" s="354"/>
      <c r="K14" s="616">
        <v>5000</v>
      </c>
      <c r="L14" s="364"/>
      <c r="M14" s="354">
        <v>800</v>
      </c>
      <c r="N14" s="616"/>
      <c r="O14" s="364"/>
      <c r="P14" s="354"/>
      <c r="Q14" s="616"/>
      <c r="R14" s="364">
        <v>300</v>
      </c>
      <c r="S14" s="354"/>
      <c r="T14" s="616">
        <v>19697.099999999999</v>
      </c>
      <c r="U14" s="364"/>
      <c r="V14" s="354"/>
      <c r="W14" s="616">
        <v>1586.84</v>
      </c>
      <c r="X14" s="364">
        <v>1000</v>
      </c>
      <c r="Y14" s="354">
        <v>10000</v>
      </c>
      <c r="Z14" s="616">
        <v>56.740000000005239</v>
      </c>
      <c r="AA14" s="364">
        <v>2150</v>
      </c>
      <c r="AB14" s="354"/>
      <c r="AC14" s="616">
        <v>161.46999999999389</v>
      </c>
      <c r="AD14" s="364">
        <v>550</v>
      </c>
      <c r="AE14" s="354"/>
      <c r="AF14" s="616"/>
      <c r="AG14" s="364">
        <v>400</v>
      </c>
      <c r="AH14" s="354">
        <v>16000</v>
      </c>
      <c r="AI14" s="616"/>
      <c r="AJ14" s="364">
        <v>78400</v>
      </c>
      <c r="AK14" s="354"/>
      <c r="AL14" s="616"/>
      <c r="AM14" s="882">
        <v>3.7036899547566887E-3</v>
      </c>
      <c r="AN14" s="1029">
        <v>62.2</v>
      </c>
      <c r="AO14" s="1029">
        <v>359.73</v>
      </c>
      <c r="AP14" s="1029">
        <v>1641.78</v>
      </c>
      <c r="AQ14" s="1029">
        <v>463.18</v>
      </c>
      <c r="AR14" s="1029">
        <v>3610.3</v>
      </c>
      <c r="AS14" s="1029">
        <v>2094.4299999999998</v>
      </c>
      <c r="AT14" s="1029">
        <v>563.97</v>
      </c>
      <c r="AU14" s="1029">
        <v>676.97</v>
      </c>
      <c r="AV14" s="1029">
        <v>440.81</v>
      </c>
      <c r="AW14" s="1029">
        <v>8246.39</v>
      </c>
      <c r="AX14" s="1029">
        <v>302.81</v>
      </c>
      <c r="AY14" s="1029">
        <v>757.32</v>
      </c>
      <c r="AZ14" s="1029">
        <f>'MXD P&amp;L'!N11</f>
        <v>185.81</v>
      </c>
      <c r="BA14" s="1029">
        <f>'MXD P&amp;L'!O11</f>
        <v>2033.95</v>
      </c>
      <c r="BB14" s="1029">
        <f>'MXD P&amp;L'!P11</f>
        <v>331.35</v>
      </c>
      <c r="BC14" s="1029">
        <f>'MXD P&amp;L'!Q11</f>
        <v>230.2</v>
      </c>
      <c r="BD14" s="1029">
        <f>'MXD P&amp;L'!R11</f>
        <v>795.34</v>
      </c>
      <c r="BE14" s="1029">
        <f>'MXD P&amp;L'!S11</f>
        <v>31118.26</v>
      </c>
      <c r="BF14" s="1029">
        <f>'MXD P&amp;L'!T11</f>
        <v>2136.73</v>
      </c>
      <c r="BG14" s="1029"/>
      <c r="BH14" s="1029"/>
      <c r="BI14" s="1029"/>
      <c r="BJ14" s="1029"/>
      <c r="BK14" s="1029"/>
      <c r="BL14" s="1029">
        <f t="shared" ref="BL14:BL28" si="0">SUM(AZ14:BC14)</f>
        <v>2781.31</v>
      </c>
      <c r="BM14" s="1030">
        <v>87231</v>
      </c>
      <c r="BN14" s="1031">
        <v>29118</v>
      </c>
      <c r="BO14" s="1032">
        <v>46502.149999999994</v>
      </c>
      <c r="BP14" s="1032">
        <f t="shared" ref="BP14:BP28" si="1">SUM(AN14:AQ14)</f>
        <v>2526.89</v>
      </c>
    </row>
    <row r="15" spans="1:70" ht="15.6" x14ac:dyDescent="0.3">
      <c r="A15" s="972" t="s">
        <v>625</v>
      </c>
      <c r="B15" s="11" t="s">
        <v>625</v>
      </c>
      <c r="C15" s="364"/>
      <c r="D15" s="354"/>
      <c r="E15" s="616"/>
      <c r="F15" s="364"/>
      <c r="G15" s="354"/>
      <c r="H15" s="616"/>
      <c r="I15" s="364"/>
      <c r="J15" s="354"/>
      <c r="K15" s="616"/>
      <c r="L15" s="364"/>
      <c r="M15" s="354"/>
      <c r="N15" s="616"/>
      <c r="O15" s="364"/>
      <c r="P15" s="354"/>
      <c r="Q15" s="616"/>
      <c r="R15" s="364"/>
      <c r="S15" s="354"/>
      <c r="T15" s="616"/>
      <c r="U15" s="364"/>
      <c r="V15" s="354"/>
      <c r="W15" s="616"/>
      <c r="X15" s="364"/>
      <c r="Y15" s="354"/>
      <c r="Z15" s="616"/>
      <c r="AA15" s="364"/>
      <c r="AB15" s="354"/>
      <c r="AC15" s="616"/>
      <c r="AD15" s="364"/>
      <c r="AE15" s="354"/>
      <c r="AF15" s="616"/>
      <c r="AG15" s="364"/>
      <c r="AH15" s="354"/>
      <c r="AI15" s="616"/>
      <c r="AJ15" s="364"/>
      <c r="AK15" s="354"/>
      <c r="AL15" s="616"/>
      <c r="AM15" s="882"/>
      <c r="AN15" s="1029">
        <v>0</v>
      </c>
      <c r="AO15" s="1029">
        <v>0</v>
      </c>
      <c r="AP15" s="1029">
        <v>0</v>
      </c>
      <c r="AQ15" s="1029">
        <v>1623.52</v>
      </c>
      <c r="AR15" s="1029">
        <v>0</v>
      </c>
      <c r="AS15" s="1029">
        <v>0</v>
      </c>
      <c r="AT15" s="1029">
        <v>0</v>
      </c>
      <c r="AU15" s="1029">
        <v>0.5</v>
      </c>
      <c r="AV15" s="1029">
        <v>2000</v>
      </c>
      <c r="AW15" s="1029">
        <v>100</v>
      </c>
      <c r="AX15" s="1029">
        <v>400</v>
      </c>
      <c r="AY15" s="1029">
        <v>7391.12</v>
      </c>
      <c r="AZ15" s="1029">
        <f>'MXD P&amp;L'!N12</f>
        <v>0</v>
      </c>
      <c r="BA15" s="1029">
        <f>'MXD P&amp;L'!O12</f>
        <v>0</v>
      </c>
      <c r="BB15" s="1029">
        <f>'MXD P&amp;L'!P12</f>
        <v>5477.83</v>
      </c>
      <c r="BC15" s="1029">
        <f>'MXD P&amp;L'!Q12</f>
        <v>9.16</v>
      </c>
      <c r="BD15" s="1029">
        <f>'MXD P&amp;L'!R12</f>
        <v>4547.97</v>
      </c>
      <c r="BE15" s="1029">
        <f>'MXD P&amp;L'!S12</f>
        <v>-36205.730000000003</v>
      </c>
      <c r="BF15" s="1029">
        <f>'MXD P&amp;L'!T12</f>
        <v>0</v>
      </c>
      <c r="BG15" s="1029"/>
      <c r="BH15" s="1029"/>
      <c r="BI15" s="1029"/>
      <c r="BJ15" s="1029"/>
      <c r="BK15" s="1029"/>
      <c r="BL15" s="1029">
        <f t="shared" si="0"/>
        <v>5486.99</v>
      </c>
      <c r="BM15" s="1030"/>
      <c r="BN15" s="1031"/>
      <c r="BO15" s="1032"/>
      <c r="BP15" s="1032">
        <f t="shared" si="1"/>
        <v>1623.52</v>
      </c>
      <c r="BR15" s="57"/>
    </row>
    <row r="16" spans="1:70" ht="15.6" x14ac:dyDescent="0.3">
      <c r="A16" s="972" t="s">
        <v>626</v>
      </c>
      <c r="B16" s="11" t="s">
        <v>626</v>
      </c>
      <c r="C16" s="364"/>
      <c r="D16" s="354"/>
      <c r="E16" s="616">
        <v>-16349</v>
      </c>
      <c r="F16" s="364"/>
      <c r="G16" s="354"/>
      <c r="H16" s="616">
        <v>-39848.699999999997</v>
      </c>
      <c r="I16" s="364"/>
      <c r="J16" s="354"/>
      <c r="K16" s="616">
        <v>-212831.50000000003</v>
      </c>
      <c r="L16" s="364"/>
      <c r="M16" s="354"/>
      <c r="N16" s="616">
        <v>-32923.800000000047</v>
      </c>
      <c r="O16" s="364"/>
      <c r="P16" s="354"/>
      <c r="Q16" s="616">
        <v>-1867.59</v>
      </c>
      <c r="R16" s="364"/>
      <c r="S16" s="354"/>
      <c r="T16" s="616">
        <v>231350.49</v>
      </c>
      <c r="U16" s="364"/>
      <c r="V16" s="354"/>
      <c r="W16" s="616">
        <v>96687.679999999993</v>
      </c>
      <c r="X16" s="364"/>
      <c r="Y16" s="354"/>
      <c r="Z16" s="616">
        <v>146533.00000000009</v>
      </c>
      <c r="AA16" s="364"/>
      <c r="AB16" s="354"/>
      <c r="AC16" s="616">
        <v>227405.45</v>
      </c>
      <c r="AD16" s="364"/>
      <c r="AE16" s="354"/>
      <c r="AF16" s="616">
        <v>497353.41000000015</v>
      </c>
      <c r="AG16" s="364"/>
      <c r="AH16" s="354"/>
      <c r="AI16" s="616">
        <v>316170.12999999989</v>
      </c>
      <c r="AJ16" s="364"/>
      <c r="AK16" s="354"/>
      <c r="AL16" s="616">
        <v>964906.05000000028</v>
      </c>
      <c r="AM16" s="882">
        <v>0.17335538886829666</v>
      </c>
      <c r="AN16" s="1029">
        <v>-51581.94</v>
      </c>
      <c r="AO16" s="1029">
        <v>937990.01</v>
      </c>
      <c r="AP16" s="1029">
        <v>317425.86</v>
      </c>
      <c r="AQ16" s="1029">
        <v>-598919.69999999995</v>
      </c>
      <c r="AR16" s="1029">
        <v>117723.46</v>
      </c>
      <c r="AS16" s="1029">
        <v>-413457.41</v>
      </c>
      <c r="AT16" s="1029">
        <v>-2300053.9500000002</v>
      </c>
      <c r="AU16" s="1029">
        <v>417559</v>
      </c>
      <c r="AV16" s="1029">
        <v>52969.22</v>
      </c>
      <c r="AW16" s="1029">
        <v>241099.9</v>
      </c>
      <c r="AX16" s="1029">
        <v>244946.87</v>
      </c>
      <c r="AY16" s="1029">
        <v>466406.45</v>
      </c>
      <c r="AZ16" s="1029">
        <f>'MXD P&amp;L'!N13</f>
        <v>-220154</v>
      </c>
      <c r="BA16" s="1029">
        <f>'MXD P&amp;L'!O13</f>
        <v>530310</v>
      </c>
      <c r="BB16" s="1029">
        <f>'MXD P&amp;L'!P13</f>
        <v>1153657</v>
      </c>
      <c r="BC16" s="1029">
        <f>'MXD P&amp;L'!Q13</f>
        <v>233629.36</v>
      </c>
      <c r="BD16" s="1029">
        <f>'MXD P&amp;L'!R13</f>
        <v>-712532.27</v>
      </c>
      <c r="BE16" s="1029">
        <f>'MXD P&amp;L'!S13</f>
        <v>-285433.33</v>
      </c>
      <c r="BF16" s="1029">
        <f>'MXD P&amp;L'!T13</f>
        <v>64439.6</v>
      </c>
      <c r="BG16" s="1029"/>
      <c r="BH16" s="1029"/>
      <c r="BI16" s="1029"/>
      <c r="BJ16" s="1029"/>
      <c r="BK16" s="1029"/>
      <c r="BL16" s="1029">
        <f t="shared" si="0"/>
        <v>1697442.3599999999</v>
      </c>
      <c r="BM16" s="1030">
        <v>-404495</v>
      </c>
      <c r="BN16" s="1031"/>
      <c r="BO16" s="1032"/>
      <c r="BP16" s="1032">
        <f t="shared" si="1"/>
        <v>604914.23000000021</v>
      </c>
      <c r="BR16" s="57"/>
    </row>
    <row r="17" spans="1:70" ht="15.6" x14ac:dyDescent="0.3">
      <c r="A17" s="972" t="s">
        <v>627</v>
      </c>
      <c r="B17" s="11" t="s">
        <v>627</v>
      </c>
      <c r="C17" s="364">
        <v>30402</v>
      </c>
      <c r="D17" s="354">
        <v>15982</v>
      </c>
      <c r="E17" s="616">
        <v>15220.022181</v>
      </c>
      <c r="F17" s="364">
        <v>25663</v>
      </c>
      <c r="G17" s="354">
        <v>26584</v>
      </c>
      <c r="H17" s="616">
        <v>20967.111553000002</v>
      </c>
      <c r="I17" s="364">
        <v>20791</v>
      </c>
      <c r="J17" s="354">
        <v>24201</v>
      </c>
      <c r="K17" s="616">
        <v>43648.180000000008</v>
      </c>
      <c r="L17" s="364">
        <v>26504</v>
      </c>
      <c r="M17" s="354">
        <v>33093</v>
      </c>
      <c r="N17" s="616">
        <v>27092.259999999991</v>
      </c>
      <c r="O17" s="364">
        <v>37095</v>
      </c>
      <c r="P17" s="354">
        <v>35707</v>
      </c>
      <c r="Q17" s="616">
        <v>49916.85</v>
      </c>
      <c r="R17" s="364">
        <v>34291</v>
      </c>
      <c r="S17" s="354">
        <v>35999</v>
      </c>
      <c r="T17" s="616">
        <v>32956.880000000012</v>
      </c>
      <c r="U17" s="364">
        <v>27732</v>
      </c>
      <c r="V17" s="354">
        <v>59907</v>
      </c>
      <c r="W17" s="616">
        <v>37146.690000000024</v>
      </c>
      <c r="X17" s="364">
        <v>28165</v>
      </c>
      <c r="Y17" s="354">
        <v>32454</v>
      </c>
      <c r="Z17" s="616">
        <v>37625.109999999979</v>
      </c>
      <c r="AA17" s="364">
        <v>17265</v>
      </c>
      <c r="AB17" s="354">
        <v>51067</v>
      </c>
      <c r="AC17" s="616">
        <v>31965.190000000024</v>
      </c>
      <c r="AD17" s="364">
        <v>23357</v>
      </c>
      <c r="AE17" s="354">
        <v>28937.78</v>
      </c>
      <c r="AF17" s="616">
        <v>42708.929999999964</v>
      </c>
      <c r="AG17" s="364">
        <v>32093</v>
      </c>
      <c r="AH17" s="354">
        <v>31307.7</v>
      </c>
      <c r="AI17" s="616">
        <v>32162.550000000039</v>
      </c>
      <c r="AJ17" s="364">
        <v>40875</v>
      </c>
      <c r="AK17" s="354"/>
      <c r="AL17" s="616">
        <v>36731.290000000008</v>
      </c>
      <c r="AM17" s="882">
        <v>3.2506625131855746E-2</v>
      </c>
      <c r="AN17" s="1029">
        <v>25778.71</v>
      </c>
      <c r="AO17" s="1029">
        <v>38636.050000000003</v>
      </c>
      <c r="AP17" s="1029">
        <v>54424.22</v>
      </c>
      <c r="AQ17" s="1029">
        <v>63280.69</v>
      </c>
      <c r="AR17" s="1029">
        <v>41111.480000000003</v>
      </c>
      <c r="AS17" s="1029">
        <v>103852.29</v>
      </c>
      <c r="AT17" s="1029">
        <v>73245.399999999994</v>
      </c>
      <c r="AU17" s="1029">
        <v>41695.94</v>
      </c>
      <c r="AV17" s="1029">
        <v>34037.839999999997</v>
      </c>
      <c r="AW17" s="1029">
        <v>33724.800000000003</v>
      </c>
      <c r="AX17" s="1029">
        <v>16886.66</v>
      </c>
      <c r="AY17" s="1029">
        <v>19315.310000000001</v>
      </c>
      <c r="AZ17" s="1029">
        <f>'MXD P&amp;L'!N14</f>
        <v>46977.1</v>
      </c>
      <c r="BA17" s="1029">
        <f>'MXD P&amp;L'!O14</f>
        <v>19188.36</v>
      </c>
      <c r="BB17" s="1029">
        <f>'MXD P&amp;L'!P14</f>
        <v>31421.21</v>
      </c>
      <c r="BC17" s="1029">
        <f>'MXD P&amp;L'!Q14</f>
        <v>46018.66</v>
      </c>
      <c r="BD17" s="1029">
        <f>'MXD P&amp;L'!R14</f>
        <v>46225.88</v>
      </c>
      <c r="BE17" s="1029">
        <f>'MXD P&amp;L'!S14</f>
        <v>58616.91</v>
      </c>
      <c r="BF17" s="1029">
        <f>'MXD P&amp;L'!T14</f>
        <v>36592.879999999997</v>
      </c>
      <c r="BG17" s="1029"/>
      <c r="BH17" s="1029"/>
      <c r="BI17" s="1029"/>
      <c r="BJ17" s="1029"/>
      <c r="BK17" s="1029"/>
      <c r="BL17" s="1029">
        <f t="shared" si="0"/>
        <v>143605.32999999999</v>
      </c>
      <c r="BM17" s="1030">
        <v>344233</v>
      </c>
      <c r="BN17" s="1031">
        <v>311456.11</v>
      </c>
      <c r="BO17" s="1032">
        <v>408141.06373400002</v>
      </c>
      <c r="BP17" s="1032">
        <f t="shared" si="1"/>
        <v>182119.67</v>
      </c>
      <c r="BR17" s="57"/>
    </row>
    <row r="18" spans="1:70" ht="15.6" x14ac:dyDescent="0.3">
      <c r="A18" s="972" t="s">
        <v>628</v>
      </c>
      <c r="B18" s="11" t="s">
        <v>628</v>
      </c>
      <c r="C18" s="364"/>
      <c r="D18" s="354"/>
      <c r="E18" s="616"/>
      <c r="F18" s="364">
        <v>108</v>
      </c>
      <c r="G18" s="354"/>
      <c r="H18" s="616"/>
      <c r="I18" s="364"/>
      <c r="J18" s="354">
        <v>-499</v>
      </c>
      <c r="K18" s="616"/>
      <c r="L18" s="364"/>
      <c r="M18" s="354"/>
      <c r="N18" s="616"/>
      <c r="O18" s="364"/>
      <c r="P18" s="354"/>
      <c r="Q18" s="616"/>
      <c r="R18" s="364"/>
      <c r="S18" s="354"/>
      <c r="T18" s="616"/>
      <c r="U18" s="364">
        <v>-800</v>
      </c>
      <c r="V18" s="354"/>
      <c r="W18" s="616">
        <v>-44.2</v>
      </c>
      <c r="X18" s="364"/>
      <c r="Y18" s="354"/>
      <c r="Z18" s="616">
        <v>-196.07</v>
      </c>
      <c r="AA18" s="364"/>
      <c r="AB18" s="354"/>
      <c r="AC18" s="616">
        <v>-154.76</v>
      </c>
      <c r="AD18" s="364"/>
      <c r="AE18" s="354">
        <v>-1948.64</v>
      </c>
      <c r="AF18" s="616"/>
      <c r="AG18" s="364"/>
      <c r="AH18" s="354">
        <v>-1589.25</v>
      </c>
      <c r="AI18" s="616">
        <v>-8175.8</v>
      </c>
      <c r="AJ18" s="364"/>
      <c r="AK18" s="354"/>
      <c r="AL18" s="616"/>
      <c r="AM18" s="882">
        <v>-6.826285876013749E-4</v>
      </c>
      <c r="AN18" s="1029">
        <v>0</v>
      </c>
      <c r="AO18" s="1029">
        <v>-2203.67</v>
      </c>
      <c r="AP18" s="1029">
        <v>-740.24</v>
      </c>
      <c r="AQ18" s="1029">
        <v>-234.31</v>
      </c>
      <c r="AR18" s="1029">
        <v>-5590</v>
      </c>
      <c r="AS18" s="1029">
        <v>-6092.84</v>
      </c>
      <c r="AT18" s="1029">
        <v>-1497.51</v>
      </c>
      <c r="AU18" s="1029">
        <v>0</v>
      </c>
      <c r="AV18" s="1029">
        <v>-10844.55</v>
      </c>
      <c r="AW18" s="1029">
        <v>-3860.92</v>
      </c>
      <c r="AX18" s="1029">
        <v>-1988.36</v>
      </c>
      <c r="AY18" s="1029">
        <v>-6318.38</v>
      </c>
      <c r="AZ18" s="1029">
        <f>'MXD P&amp;L'!N15</f>
        <v>-12854.12</v>
      </c>
      <c r="BA18" s="1029">
        <f>'MXD P&amp;L'!O15</f>
        <v>-7861.05</v>
      </c>
      <c r="BB18" s="1029">
        <f>'MXD P&amp;L'!P15</f>
        <v>-7671.43</v>
      </c>
      <c r="BC18" s="1029">
        <f>'MXD P&amp;L'!Q15</f>
        <v>-4434.04</v>
      </c>
      <c r="BD18" s="1029">
        <f>'MXD P&amp;L'!R15</f>
        <v>-17722.57</v>
      </c>
      <c r="BE18" s="1029">
        <f>'MXD P&amp;L'!S15</f>
        <v>0</v>
      </c>
      <c r="BF18" s="1029">
        <f>'MXD P&amp;L'!T15</f>
        <v>-9041.2999999999993</v>
      </c>
      <c r="BG18" s="1029"/>
      <c r="BH18" s="1029"/>
      <c r="BI18" s="1029"/>
      <c r="BJ18" s="1029"/>
      <c r="BK18" s="1029"/>
      <c r="BL18" s="1029">
        <f t="shared" si="0"/>
        <v>-32820.639999999999</v>
      </c>
      <c r="BM18" s="1030">
        <v>-692</v>
      </c>
      <c r="BN18" s="1031">
        <v>-403.23</v>
      </c>
      <c r="BO18" s="1032">
        <v>-8570.83</v>
      </c>
      <c r="BP18" s="1032">
        <f t="shared" si="1"/>
        <v>-3178.22</v>
      </c>
      <c r="BR18" s="57"/>
    </row>
    <row r="19" spans="1:70" ht="15.6" x14ac:dyDescent="0.3">
      <c r="A19" s="972" t="s">
        <v>629</v>
      </c>
      <c r="B19" t="s">
        <v>629</v>
      </c>
      <c r="Z19" s="997"/>
      <c r="AA19" s="997"/>
      <c r="AB19" s="997"/>
      <c r="AC19" s="997"/>
      <c r="AF19" s="997"/>
      <c r="AG19" s="997"/>
      <c r="AH19" s="997"/>
      <c r="AI19" s="997"/>
      <c r="AJ19" s="997"/>
      <c r="AK19" s="997"/>
      <c r="AL19" s="997"/>
      <c r="AN19" s="1033">
        <v>0</v>
      </c>
      <c r="AO19" s="1029">
        <v>0</v>
      </c>
      <c r="AP19" s="1029">
        <v>-2160</v>
      </c>
      <c r="AQ19" s="1029">
        <v>0</v>
      </c>
      <c r="AR19" s="1029">
        <v>0</v>
      </c>
      <c r="AS19" s="1029">
        <v>0</v>
      </c>
      <c r="AT19" s="1029">
        <v>0</v>
      </c>
      <c r="AU19" s="1029">
        <v>0</v>
      </c>
      <c r="AV19" s="1029">
        <v>0</v>
      </c>
      <c r="AW19" s="1029">
        <v>0</v>
      </c>
      <c r="AX19" s="1029">
        <v>0</v>
      </c>
      <c r="AY19" s="1029">
        <v>-11664.51</v>
      </c>
      <c r="AZ19" s="1029">
        <f>'MXD P&amp;L'!N16</f>
        <v>0</v>
      </c>
      <c r="BA19" s="1029">
        <f>'MXD P&amp;L'!O16</f>
        <v>0</v>
      </c>
      <c r="BB19" s="1029">
        <f>'MXD P&amp;L'!P16</f>
        <v>-401.32</v>
      </c>
      <c r="BC19" s="1029">
        <f>'MXD P&amp;L'!Q16</f>
        <v>0</v>
      </c>
      <c r="BD19" s="1029">
        <f>'MXD P&amp;L'!R16</f>
        <v>0</v>
      </c>
      <c r="BE19" s="1029">
        <f>'MXD P&amp;L'!S16</f>
        <v>0</v>
      </c>
      <c r="BF19" s="1029">
        <f>'MXD P&amp;L'!T16</f>
        <v>0</v>
      </c>
      <c r="BG19" s="1029"/>
      <c r="BH19" s="1029"/>
      <c r="BI19" s="1029"/>
      <c r="BJ19" s="1029"/>
      <c r="BK19" s="1029"/>
      <c r="BL19" s="1029">
        <f t="shared" si="0"/>
        <v>-401.32</v>
      </c>
      <c r="BM19" s="314"/>
      <c r="BN19" s="314"/>
      <c r="BO19" s="314"/>
      <c r="BP19" s="1032">
        <f t="shared" si="1"/>
        <v>-2160</v>
      </c>
      <c r="BR19" s="57"/>
    </row>
    <row r="20" spans="1:70" ht="15.6" x14ac:dyDescent="0.3">
      <c r="A20" s="976" t="s">
        <v>630</v>
      </c>
      <c r="B20" t="s">
        <v>630</v>
      </c>
      <c r="Z20" s="997"/>
      <c r="AA20" s="997"/>
      <c r="AB20" s="997"/>
      <c r="AC20" s="997"/>
      <c r="AF20" s="997"/>
      <c r="AG20" s="997"/>
      <c r="AH20" s="997"/>
      <c r="AI20" s="997"/>
      <c r="AJ20" s="997"/>
      <c r="AK20" s="997"/>
      <c r="AL20" s="997"/>
      <c r="AN20" s="1033">
        <v>0</v>
      </c>
      <c r="AO20" s="1029">
        <v>0</v>
      </c>
      <c r="AP20" s="1029">
        <v>0</v>
      </c>
      <c r="AQ20" s="1029">
        <v>0</v>
      </c>
      <c r="AR20" s="1029">
        <v>0</v>
      </c>
      <c r="AS20" s="1029">
        <v>-11037</v>
      </c>
      <c r="AT20" s="1029">
        <v>0</v>
      </c>
      <c r="AU20" s="1029">
        <v>0</v>
      </c>
      <c r="AV20" s="1029">
        <v>-2560</v>
      </c>
      <c r="AW20" s="1029">
        <v>0</v>
      </c>
      <c r="AX20" s="1029">
        <v>0</v>
      </c>
      <c r="AY20" s="1029">
        <v>0</v>
      </c>
      <c r="AZ20" s="1029">
        <f>'MXD P&amp;L'!N17</f>
        <v>0</v>
      </c>
      <c r="BA20" s="1029">
        <f>'MXD P&amp;L'!O17</f>
        <v>0</v>
      </c>
      <c r="BB20" s="1029">
        <f>'MXD P&amp;L'!P17</f>
        <v>0</v>
      </c>
      <c r="BC20" s="1029">
        <f>'MXD P&amp;L'!Q17</f>
        <v>0</v>
      </c>
      <c r="BD20" s="1029">
        <f>'MXD P&amp;L'!R17</f>
        <v>0</v>
      </c>
      <c r="BE20" s="1029">
        <f>'MXD P&amp;L'!S17</f>
        <v>0</v>
      </c>
      <c r="BF20" s="1029">
        <f>'MXD P&amp;L'!T17</f>
        <v>0</v>
      </c>
      <c r="BG20" s="1029"/>
      <c r="BH20" s="1029"/>
      <c r="BI20" s="1029"/>
      <c r="BJ20" s="1029"/>
      <c r="BK20" s="1029"/>
      <c r="BL20" s="1029">
        <f t="shared" si="0"/>
        <v>0</v>
      </c>
      <c r="BM20" s="314"/>
      <c r="BN20" s="314"/>
      <c r="BO20" s="314"/>
      <c r="BP20" s="1032">
        <f t="shared" si="1"/>
        <v>0</v>
      </c>
    </row>
    <row r="21" spans="1:70" x14ac:dyDescent="0.3">
      <c r="A21" t="s">
        <v>631</v>
      </c>
      <c r="B21" t="s">
        <v>631</v>
      </c>
      <c r="Z21" s="997"/>
      <c r="AA21" s="997"/>
      <c r="AB21" s="997"/>
      <c r="AC21" s="997"/>
      <c r="AF21" s="997"/>
      <c r="AG21" s="997"/>
      <c r="AH21" s="997"/>
      <c r="AI21" s="997"/>
      <c r="AJ21" s="997"/>
      <c r="AK21" s="997"/>
      <c r="AL21" s="997"/>
      <c r="AN21" s="1033">
        <v>0</v>
      </c>
      <c r="AO21" s="1029">
        <v>-780.9</v>
      </c>
      <c r="AP21" s="1029">
        <v>0</v>
      </c>
      <c r="AQ21" s="1029">
        <v>2131.8000000000002</v>
      </c>
      <c r="AR21" s="1029">
        <v>763.65</v>
      </c>
      <c r="AS21" s="1029">
        <v>0</v>
      </c>
      <c r="AT21" s="1029">
        <v>0</v>
      </c>
      <c r="AU21" s="1029">
        <v>0</v>
      </c>
      <c r="AV21" s="1029">
        <v>1067.51</v>
      </c>
      <c r="AW21" s="1029">
        <v>923.09</v>
      </c>
      <c r="AX21" s="1029">
        <v>27.52</v>
      </c>
      <c r="AY21" s="1029">
        <v>909.45</v>
      </c>
      <c r="AZ21" s="1029">
        <f>'MXD P&amp;L'!N18</f>
        <v>1440</v>
      </c>
      <c r="BA21" s="1029">
        <f>'MXD P&amp;L'!O18</f>
        <v>0</v>
      </c>
      <c r="BB21" s="1029">
        <f>'MXD P&amp;L'!P18</f>
        <v>61.44</v>
      </c>
      <c r="BC21" s="1029">
        <f>'MXD P&amp;L'!Q18</f>
        <v>800</v>
      </c>
      <c r="BD21" s="1029">
        <f>'MXD P&amp;L'!R18</f>
        <v>5748</v>
      </c>
      <c r="BE21" s="1029">
        <f>'MXD P&amp;L'!S18</f>
        <v>0</v>
      </c>
      <c r="BF21" s="1029">
        <f>'MXD P&amp;L'!T18</f>
        <v>2506.65</v>
      </c>
      <c r="BG21" s="1029"/>
      <c r="BH21" s="1029"/>
      <c r="BI21" s="1029"/>
      <c r="BJ21" s="1029"/>
      <c r="BK21" s="1029"/>
      <c r="BL21" s="1029">
        <f t="shared" si="0"/>
        <v>2301.44</v>
      </c>
      <c r="BM21" s="314"/>
      <c r="BN21" s="314"/>
      <c r="BO21" s="314"/>
      <c r="BP21" s="1032">
        <f t="shared" si="1"/>
        <v>1350.9</v>
      </c>
    </row>
    <row r="22" spans="1:70" x14ac:dyDescent="0.3">
      <c r="A22" t="s">
        <v>742</v>
      </c>
      <c r="B22" t="s">
        <v>742</v>
      </c>
      <c r="Z22" s="997"/>
      <c r="AA22" s="997"/>
      <c r="AB22" s="997"/>
      <c r="AC22" s="997"/>
      <c r="AF22" s="997"/>
      <c r="AG22" s="997"/>
      <c r="AH22" s="997"/>
      <c r="AI22" s="997"/>
      <c r="AJ22" s="997"/>
      <c r="AK22" s="997"/>
      <c r="AL22" s="997"/>
      <c r="AN22" s="1033">
        <v>0</v>
      </c>
      <c r="AO22" s="1029">
        <v>0</v>
      </c>
      <c r="AP22" s="1029">
        <v>0</v>
      </c>
      <c r="AQ22" s="1029">
        <v>0</v>
      </c>
      <c r="AR22" s="1029">
        <v>0</v>
      </c>
      <c r="AS22" s="1029">
        <v>0</v>
      </c>
      <c r="AT22" s="1029">
        <v>-67.44</v>
      </c>
      <c r="AU22" s="1029">
        <v>0</v>
      </c>
      <c r="AV22" s="1029">
        <v>0</v>
      </c>
      <c r="AW22" s="1029">
        <v>0</v>
      </c>
      <c r="AX22" s="1029">
        <v>0</v>
      </c>
      <c r="AY22" s="1029">
        <v>67.44</v>
      </c>
      <c r="AZ22" s="1029">
        <f>'MXD P&amp;L'!N19</f>
        <v>0</v>
      </c>
      <c r="BA22" s="1029">
        <f>'MXD P&amp;L'!O19</f>
        <v>0</v>
      </c>
      <c r="BB22" s="1029">
        <f>'MXD P&amp;L'!P19</f>
        <v>0</v>
      </c>
      <c r="BC22" s="1029">
        <f>'MXD P&amp;L'!Q19</f>
        <v>0</v>
      </c>
      <c r="BD22" s="1029">
        <f>'MXD P&amp;L'!R19</f>
        <v>0</v>
      </c>
      <c r="BE22" s="1029">
        <f>'MXD P&amp;L'!S19</f>
        <v>0</v>
      </c>
      <c r="BF22" s="1029">
        <f>'MXD P&amp;L'!T19</f>
        <v>0</v>
      </c>
      <c r="BG22" s="1029"/>
      <c r="BH22" s="1029"/>
      <c r="BI22" s="1029"/>
      <c r="BJ22" s="1029"/>
      <c r="BK22" s="1029"/>
      <c r="BL22" s="1029">
        <f t="shared" si="0"/>
        <v>0</v>
      </c>
      <c r="BM22" s="314"/>
      <c r="BN22" s="314"/>
      <c r="BO22" s="314"/>
      <c r="BP22" s="1032">
        <f t="shared" si="1"/>
        <v>0</v>
      </c>
    </row>
    <row r="23" spans="1:70" x14ac:dyDescent="0.3">
      <c r="B23" s="11" t="s">
        <v>632</v>
      </c>
      <c r="C23" s="364">
        <v>1435</v>
      </c>
      <c r="D23" s="354">
        <v>1351</v>
      </c>
      <c r="E23" s="616">
        <v>56.07</v>
      </c>
      <c r="F23" s="364">
        <v>1933</v>
      </c>
      <c r="G23" s="354">
        <v>1154</v>
      </c>
      <c r="H23" s="616">
        <v>57.98</v>
      </c>
      <c r="I23" s="364">
        <v>2190</v>
      </c>
      <c r="J23" s="354">
        <v>431</v>
      </c>
      <c r="K23" s="616">
        <v>21.58</v>
      </c>
      <c r="L23" s="364">
        <v>2037</v>
      </c>
      <c r="M23" s="354">
        <v>104</v>
      </c>
      <c r="N23" s="616">
        <v>10.670000000000019</v>
      </c>
      <c r="O23" s="364">
        <v>1924</v>
      </c>
      <c r="P23" s="354">
        <v>151</v>
      </c>
      <c r="Q23" s="616">
        <v>8.52</v>
      </c>
      <c r="R23" s="364">
        <v>2017</v>
      </c>
      <c r="S23" s="354">
        <v>120</v>
      </c>
      <c r="T23" s="616">
        <v>13.240000000000011</v>
      </c>
      <c r="U23" s="364">
        <v>1698</v>
      </c>
      <c r="V23" s="354">
        <v>110</v>
      </c>
      <c r="W23" s="616">
        <v>14.06</v>
      </c>
      <c r="X23" s="364">
        <v>1520</v>
      </c>
      <c r="Y23" s="354">
        <v>110</v>
      </c>
      <c r="Z23" s="616">
        <v>14.88</v>
      </c>
      <c r="AA23" s="364">
        <v>1832</v>
      </c>
      <c r="AB23" s="354">
        <v>60</v>
      </c>
      <c r="AC23" s="616">
        <v>16.809999999999999</v>
      </c>
      <c r="AD23" s="364">
        <v>1798</v>
      </c>
      <c r="AE23" s="354">
        <v>26.19</v>
      </c>
      <c r="AF23" s="616">
        <v>17.050000000000011</v>
      </c>
      <c r="AG23" s="364">
        <v>1326</v>
      </c>
      <c r="AH23" s="354">
        <v>69.580000000000013</v>
      </c>
      <c r="AI23" s="616">
        <v>19.30999999999997</v>
      </c>
      <c r="AJ23" s="364">
        <v>1597</v>
      </c>
      <c r="AK23" s="354"/>
      <c r="AL23" s="616">
        <v>19.430000000000039</v>
      </c>
      <c r="AM23" s="882">
        <v>2.1472444001027988E-5</v>
      </c>
      <c r="AN23" s="1029">
        <v>66.650000000000006</v>
      </c>
      <c r="AO23" s="1029">
        <v>80.06</v>
      </c>
      <c r="AP23" s="1029">
        <v>56.01</v>
      </c>
      <c r="AQ23" s="1029">
        <v>23.5</v>
      </c>
      <c r="AR23" s="1029">
        <v>237.29</v>
      </c>
      <c r="AS23" s="1029">
        <v>407.24</v>
      </c>
      <c r="AT23" s="1029">
        <v>239.07</v>
      </c>
      <c r="AU23" s="1029">
        <v>1289.8399999999999</v>
      </c>
      <c r="AV23" s="1029">
        <v>1423.24</v>
      </c>
      <c r="AW23" s="1029">
        <v>2300.9</v>
      </c>
      <c r="AX23" s="1029">
        <v>2219.6</v>
      </c>
      <c r="AY23" s="1029">
        <v>2669.64</v>
      </c>
      <c r="AZ23" s="1029">
        <f>'MXD P&amp;L'!N105</f>
        <v>2420.11</v>
      </c>
      <c r="BA23" s="1029">
        <f>'MXD P&amp;L'!O105</f>
        <v>2142.6</v>
      </c>
      <c r="BB23" s="1029">
        <f>'MXD P&amp;L'!P105</f>
        <v>0</v>
      </c>
      <c r="BC23" s="1029">
        <f>'MXD P&amp;L'!Q105</f>
        <v>0</v>
      </c>
      <c r="BD23" s="1029">
        <f>'MXD P&amp;L'!R105</f>
        <v>0</v>
      </c>
      <c r="BE23" s="1029">
        <f>'MXD P&amp;L'!S105</f>
        <v>0</v>
      </c>
      <c r="BF23" s="1029">
        <f>'MXD P&amp;L'!T105</f>
        <v>0</v>
      </c>
      <c r="BG23" s="1029"/>
      <c r="BH23" s="1029"/>
      <c r="BI23" s="1029"/>
      <c r="BJ23" s="1029"/>
      <c r="BK23" s="1029"/>
      <c r="BL23" s="1029">
        <f t="shared" si="0"/>
        <v>4562.71</v>
      </c>
      <c r="BM23" s="1030">
        <v>21307</v>
      </c>
      <c r="BN23" s="1031">
        <v>3591</v>
      </c>
      <c r="BO23" s="1032">
        <v>269.60000000000008</v>
      </c>
      <c r="BP23" s="1032">
        <f t="shared" si="1"/>
        <v>226.22</v>
      </c>
    </row>
    <row r="24" spans="1:70" ht="15.6" x14ac:dyDescent="0.3">
      <c r="B24" s="1403" t="s">
        <v>1249</v>
      </c>
      <c r="C24" s="364"/>
      <c r="D24" s="354"/>
      <c r="E24" s="616"/>
      <c r="F24" s="364"/>
      <c r="G24" s="354"/>
      <c r="H24" s="616"/>
      <c r="I24" s="364"/>
      <c r="J24" s="354"/>
      <c r="K24" s="616"/>
      <c r="L24" s="364"/>
      <c r="M24" s="354"/>
      <c r="N24" s="616"/>
      <c r="O24" s="364"/>
      <c r="P24" s="354"/>
      <c r="Q24" s="616"/>
      <c r="R24" s="364"/>
      <c r="S24" s="354"/>
      <c r="T24" s="616"/>
      <c r="U24" s="364"/>
      <c r="V24" s="354"/>
      <c r="W24" s="616"/>
      <c r="X24" s="364"/>
      <c r="Y24" s="354"/>
      <c r="Z24" s="616"/>
      <c r="AA24" s="364"/>
      <c r="AB24" s="354"/>
      <c r="AC24" s="616"/>
      <c r="AD24" s="364"/>
      <c r="AE24" s="354"/>
      <c r="AF24" s="616"/>
      <c r="AG24" s="364"/>
      <c r="AH24" s="354"/>
      <c r="AI24" s="616"/>
      <c r="AJ24" s="364"/>
      <c r="AK24" s="354"/>
      <c r="AL24" s="616"/>
      <c r="AM24" s="882"/>
      <c r="AN24" s="1029"/>
      <c r="AO24" s="1029"/>
      <c r="AP24" s="1029"/>
      <c r="AQ24" s="1029"/>
      <c r="AR24" s="1029"/>
      <c r="AS24" s="1029"/>
      <c r="AT24" s="1029"/>
      <c r="AU24" s="1029"/>
      <c r="AV24" s="1029"/>
      <c r="AW24" s="1029"/>
      <c r="AX24" s="1029"/>
      <c r="AY24" s="1029"/>
      <c r="AZ24" s="1029">
        <f>'MXD P&amp;L'!N106</f>
        <v>0</v>
      </c>
      <c r="BA24" s="1029">
        <f>'MXD P&amp;L'!O106</f>
        <v>0</v>
      </c>
      <c r="BB24" s="1029">
        <f>'MXD P&amp;L'!P106</f>
        <v>0</v>
      </c>
      <c r="BC24" s="1029">
        <f>'MXD P&amp;L'!Q106</f>
        <v>0</v>
      </c>
      <c r="BD24" s="1029">
        <f>'MXD P&amp;L'!R106</f>
        <v>0</v>
      </c>
      <c r="BE24" s="1029">
        <f>'MXD P&amp;L'!S106</f>
        <v>0</v>
      </c>
      <c r="BF24" s="1029">
        <f>'MXD P&amp;L'!T106</f>
        <v>2386</v>
      </c>
      <c r="BG24" s="1029"/>
      <c r="BH24" s="1029"/>
      <c r="BI24" s="1029"/>
      <c r="BJ24" s="1029"/>
      <c r="BK24" s="1029"/>
      <c r="BL24" s="1029"/>
      <c r="BM24" s="1030"/>
      <c r="BN24" s="1031"/>
      <c r="BO24" s="1032"/>
      <c r="BP24" s="1032"/>
    </row>
    <row r="25" spans="1:70" x14ac:dyDescent="0.3">
      <c r="B25" s="11" t="s">
        <v>633</v>
      </c>
      <c r="C25" s="364">
        <v>40</v>
      </c>
      <c r="D25" s="354">
        <v>24</v>
      </c>
      <c r="E25" s="616">
        <v>20.53</v>
      </c>
      <c r="F25" s="364">
        <v>2</v>
      </c>
      <c r="G25" s="354"/>
      <c r="H25" s="616">
        <v>1.0000000000005119E-2</v>
      </c>
      <c r="I25" s="364">
        <v>17</v>
      </c>
      <c r="J25" s="354"/>
      <c r="K25" s="616">
        <v>16000</v>
      </c>
      <c r="L25" s="364">
        <v>5</v>
      </c>
      <c r="M25" s="354"/>
      <c r="N25" s="616">
        <v>1000.660000000002</v>
      </c>
      <c r="O25" s="364"/>
      <c r="P25" s="354">
        <v>7</v>
      </c>
      <c r="Q25" s="616">
        <v>1000</v>
      </c>
      <c r="R25" s="364">
        <v>17</v>
      </c>
      <c r="S25" s="354">
        <v>10</v>
      </c>
      <c r="T25" s="616">
        <v>1000</v>
      </c>
      <c r="U25" s="364">
        <v>21</v>
      </c>
      <c r="V25" s="354">
        <v>5</v>
      </c>
      <c r="W25" s="616">
        <v>1000</v>
      </c>
      <c r="X25" s="364">
        <v>7</v>
      </c>
      <c r="Y25" s="354">
        <v>3</v>
      </c>
      <c r="Z25" s="616">
        <v>1000</v>
      </c>
      <c r="AA25" s="364">
        <v>438</v>
      </c>
      <c r="AB25" s="354">
        <v>29</v>
      </c>
      <c r="AC25" s="616">
        <v>1000</v>
      </c>
      <c r="AD25" s="364">
        <v>1</v>
      </c>
      <c r="AE25" s="354"/>
      <c r="AF25" s="616">
        <v>1000</v>
      </c>
      <c r="AG25" s="364">
        <v>4</v>
      </c>
      <c r="AH25" s="354"/>
      <c r="AI25" s="616">
        <v>1000</v>
      </c>
      <c r="AJ25" s="364">
        <v>11</v>
      </c>
      <c r="AK25" s="354"/>
      <c r="AL25" s="616">
        <v>1000</v>
      </c>
      <c r="AM25" s="882">
        <v>1.9928275810034181E-3</v>
      </c>
      <c r="AN25" s="1029">
        <v>0</v>
      </c>
      <c r="AO25" s="1029">
        <v>1000</v>
      </c>
      <c r="AP25" s="1029">
        <v>823.77</v>
      </c>
      <c r="AQ25" s="1029">
        <v>1992.43</v>
      </c>
      <c r="AR25" s="1029">
        <v>1027.26</v>
      </c>
      <c r="AS25" s="1029">
        <v>6428.55</v>
      </c>
      <c r="AT25" s="1029">
        <v>1203.96</v>
      </c>
      <c r="AU25" s="1029">
        <v>96.41</v>
      </c>
      <c r="AV25" s="1029">
        <v>1127.3399999999999</v>
      </c>
      <c r="AW25" s="1029">
        <v>2065.04</v>
      </c>
      <c r="AX25" s="1029">
        <v>1038.25</v>
      </c>
      <c r="AY25" s="1029">
        <v>4205.42</v>
      </c>
      <c r="AZ25" s="1029">
        <f>'MXD P&amp;L'!N107</f>
        <v>31.01</v>
      </c>
      <c r="BA25" s="1029">
        <f>'MXD P&amp;L'!O107</f>
        <v>2067.4499999999998</v>
      </c>
      <c r="BB25" s="1029">
        <f>'MXD P&amp;L'!P107</f>
        <v>-250.76</v>
      </c>
      <c r="BC25" s="1029">
        <f>'MXD P&amp;L'!Q107</f>
        <v>3020.88</v>
      </c>
      <c r="BD25" s="1029">
        <f>'MXD P&amp;L'!R107</f>
        <v>2805.83</v>
      </c>
      <c r="BE25" s="1029">
        <f>'MXD P&amp;L'!S107</f>
        <v>2191.9899999999998</v>
      </c>
      <c r="BF25" s="1029">
        <f>'MXD P&amp;L'!T107</f>
        <v>2175.9299999999998</v>
      </c>
      <c r="BG25" s="1029"/>
      <c r="BH25" s="1029"/>
      <c r="BI25" s="1029"/>
      <c r="BJ25" s="1029"/>
      <c r="BK25" s="1029"/>
      <c r="BL25" s="1029">
        <f t="shared" si="0"/>
        <v>4868.58</v>
      </c>
      <c r="BM25" s="1030">
        <v>563</v>
      </c>
      <c r="BN25" s="1031">
        <v>78</v>
      </c>
      <c r="BO25" s="1032">
        <v>25021.200000000001</v>
      </c>
      <c r="BP25" s="1032">
        <f t="shared" si="1"/>
        <v>3816.2</v>
      </c>
    </row>
    <row r="26" spans="1:70" x14ac:dyDescent="0.3">
      <c r="B26" s="11" t="s">
        <v>4</v>
      </c>
      <c r="C26" s="364"/>
      <c r="D26" s="354"/>
      <c r="E26" s="616"/>
      <c r="F26" s="364"/>
      <c r="G26" s="354"/>
      <c r="H26" s="616"/>
      <c r="I26" s="364"/>
      <c r="J26" s="354"/>
      <c r="K26" s="616"/>
      <c r="L26" s="364"/>
      <c r="M26" s="354"/>
      <c r="N26" s="616"/>
      <c r="O26" s="364"/>
      <c r="P26" s="354"/>
      <c r="Q26" s="616"/>
      <c r="R26" s="364"/>
      <c r="S26" s="354"/>
      <c r="T26" s="616"/>
      <c r="U26" s="364"/>
      <c r="V26" s="354"/>
      <c r="W26" s="616">
        <v>0</v>
      </c>
      <c r="X26" s="364"/>
      <c r="Y26" s="354"/>
      <c r="Z26" s="616">
        <v>95000</v>
      </c>
      <c r="AA26" s="364"/>
      <c r="AB26" s="354">
        <v>2520</v>
      </c>
      <c r="AC26" s="616"/>
      <c r="AD26" s="364"/>
      <c r="AE26" s="354">
        <v>0</v>
      </c>
      <c r="AF26" s="616">
        <v>0</v>
      </c>
      <c r="AG26" s="364"/>
      <c r="AH26" s="354">
        <v>30589.86</v>
      </c>
      <c r="AI26" s="616"/>
      <c r="AJ26" s="364"/>
      <c r="AK26" s="354"/>
      <c r="AL26" s="616"/>
      <c r="AM26" s="882">
        <v>7.5663285611930952E-3</v>
      </c>
      <c r="AN26" s="1029"/>
      <c r="AO26" s="1029">
        <v>0</v>
      </c>
      <c r="AP26" s="1029">
        <v>0</v>
      </c>
      <c r="AQ26" s="1029">
        <v>0</v>
      </c>
      <c r="AR26" s="1029">
        <v>0</v>
      </c>
      <c r="AS26" s="1029">
        <v>0</v>
      </c>
      <c r="AT26" s="1029">
        <v>0</v>
      </c>
      <c r="AU26" s="1029">
        <v>0</v>
      </c>
      <c r="AV26" s="1029">
        <v>0</v>
      </c>
      <c r="AW26" s="1029">
        <v>0</v>
      </c>
      <c r="AX26" s="1029">
        <v>0</v>
      </c>
      <c r="AY26" s="1029">
        <v>0</v>
      </c>
      <c r="AZ26" s="1029">
        <v>0</v>
      </c>
      <c r="BA26" s="1029">
        <v>0</v>
      </c>
      <c r="BB26" s="1029">
        <v>0</v>
      </c>
      <c r="BC26" s="1029">
        <v>0</v>
      </c>
      <c r="BD26" s="1029">
        <v>0</v>
      </c>
      <c r="BE26" s="1029">
        <v>0</v>
      </c>
      <c r="BF26" s="1029">
        <v>0</v>
      </c>
      <c r="BG26" s="1029"/>
      <c r="BH26" s="1029"/>
      <c r="BI26" s="1029"/>
      <c r="BJ26" s="1029"/>
      <c r="BK26" s="1029"/>
      <c r="BL26" s="1029">
        <f t="shared" si="0"/>
        <v>0</v>
      </c>
      <c r="BM26" s="1030">
        <v>0</v>
      </c>
      <c r="BN26" s="1031">
        <v>33109.86</v>
      </c>
      <c r="BO26" s="1032">
        <v>95000</v>
      </c>
      <c r="BP26" s="1032">
        <f t="shared" si="1"/>
        <v>0</v>
      </c>
    </row>
    <row r="27" spans="1:70" x14ac:dyDescent="0.3">
      <c r="B27" s="11" t="s">
        <v>11</v>
      </c>
      <c r="C27" s="364"/>
      <c r="D27" s="354"/>
      <c r="E27" s="616"/>
      <c r="F27" s="364"/>
      <c r="G27" s="354"/>
      <c r="H27" s="616"/>
      <c r="I27" s="364"/>
      <c r="J27" s="354"/>
      <c r="K27" s="616">
        <v>2736</v>
      </c>
      <c r="L27" s="364"/>
      <c r="M27" s="354"/>
      <c r="N27" s="616">
        <v>0</v>
      </c>
      <c r="O27" s="364"/>
      <c r="P27" s="354"/>
      <c r="Q27" s="616"/>
      <c r="R27" s="364"/>
      <c r="S27" s="354"/>
      <c r="T27" s="616"/>
      <c r="U27" s="364"/>
      <c r="V27" s="354"/>
      <c r="W27" s="616"/>
      <c r="X27" s="364"/>
      <c r="Y27" s="354"/>
      <c r="Z27" s="616">
        <v>32456.14</v>
      </c>
      <c r="AA27" s="364"/>
      <c r="AB27" s="354">
        <v>3500</v>
      </c>
      <c r="AC27" s="616"/>
      <c r="AD27" s="364"/>
      <c r="AE27" s="354">
        <v>0</v>
      </c>
      <c r="AF27" s="616">
        <v>30587.75</v>
      </c>
      <c r="AG27" s="364"/>
      <c r="AH27" s="354">
        <v>16000</v>
      </c>
      <c r="AI27" s="616"/>
      <c r="AJ27" s="364"/>
      <c r="AK27" s="354"/>
      <c r="AL27" s="616"/>
      <c r="AM27" s="882">
        <v>5.2390764258856849E-3</v>
      </c>
      <c r="AN27" s="1029"/>
      <c r="AO27" s="1029">
        <v>0</v>
      </c>
      <c r="AP27" s="1029">
        <v>0</v>
      </c>
      <c r="AQ27" s="1029">
        <v>0</v>
      </c>
      <c r="AR27" s="1029">
        <v>0</v>
      </c>
      <c r="AS27" s="1029">
        <v>0</v>
      </c>
      <c r="AT27" s="1029">
        <v>0</v>
      </c>
      <c r="AU27" s="1029">
        <v>0</v>
      </c>
      <c r="AV27" s="1029">
        <v>0</v>
      </c>
      <c r="AW27" s="1029">
        <v>0</v>
      </c>
      <c r="AX27" s="1029">
        <v>0</v>
      </c>
      <c r="AY27" s="1029">
        <v>0</v>
      </c>
      <c r="AZ27" s="1029">
        <v>0</v>
      </c>
      <c r="BA27" s="1029">
        <v>0</v>
      </c>
      <c r="BB27" s="1029">
        <v>0</v>
      </c>
      <c r="BC27" s="1029">
        <v>0</v>
      </c>
      <c r="BD27" s="1029">
        <v>0</v>
      </c>
      <c r="BE27" s="1029">
        <v>0</v>
      </c>
      <c r="BF27" s="1029">
        <v>0</v>
      </c>
      <c r="BG27" s="1029"/>
      <c r="BH27" s="1029"/>
      <c r="BI27" s="1029"/>
      <c r="BJ27" s="1029"/>
      <c r="BK27" s="1029"/>
      <c r="BL27" s="1029">
        <f t="shared" si="0"/>
        <v>0</v>
      </c>
      <c r="BM27" s="1030">
        <v>0</v>
      </c>
      <c r="BN27" s="1031">
        <v>19500</v>
      </c>
      <c r="BO27" s="1032">
        <v>65779.89</v>
      </c>
      <c r="BP27" s="1032">
        <f t="shared" si="1"/>
        <v>0</v>
      </c>
    </row>
    <row r="28" spans="1:70" x14ac:dyDescent="0.3">
      <c r="B28" s="11" t="s">
        <v>8</v>
      </c>
      <c r="C28" s="364">
        <v>-242</v>
      </c>
      <c r="D28" s="354">
        <v>-83</v>
      </c>
      <c r="E28" s="616">
        <v>-108.39</v>
      </c>
      <c r="F28" s="364">
        <v>-561</v>
      </c>
      <c r="G28" s="354">
        <v>-1331</v>
      </c>
      <c r="H28" s="616">
        <v>0</v>
      </c>
      <c r="I28" s="364">
        <v>-229</v>
      </c>
      <c r="J28" s="354">
        <v>-5</v>
      </c>
      <c r="K28" s="616">
        <v>-1.0000000000008669E-2</v>
      </c>
      <c r="L28" s="364">
        <v>-201</v>
      </c>
      <c r="M28" s="354">
        <v>-12</v>
      </c>
      <c r="N28" s="616">
        <v>-1.3899999999999859</v>
      </c>
      <c r="O28" s="364">
        <v>-420</v>
      </c>
      <c r="P28" s="354">
        <v>-55</v>
      </c>
      <c r="Q28" s="616"/>
      <c r="R28" s="364">
        <v>-184</v>
      </c>
      <c r="S28" s="354">
        <v>-50</v>
      </c>
      <c r="T28" s="616"/>
      <c r="U28" s="364">
        <v>-397</v>
      </c>
      <c r="V28" s="354">
        <v>-5</v>
      </c>
      <c r="W28" s="616">
        <v>-10.15</v>
      </c>
      <c r="X28" s="364">
        <v>-225</v>
      </c>
      <c r="Y28" s="354">
        <v>-69</v>
      </c>
      <c r="Z28" s="616"/>
      <c r="AA28" s="364">
        <v>-156</v>
      </c>
      <c r="AB28" s="354">
        <v>-52</v>
      </c>
      <c r="AC28" s="616"/>
      <c r="AD28" s="364">
        <v>-334</v>
      </c>
      <c r="AE28" s="354"/>
      <c r="AF28" s="616"/>
      <c r="AG28" s="364">
        <v>-362</v>
      </c>
      <c r="AH28" s="354"/>
      <c r="AI28" s="616"/>
      <c r="AJ28" s="364">
        <v>-245</v>
      </c>
      <c r="AK28" s="354"/>
      <c r="AL28" s="616"/>
      <c r="AM28" s="882">
        <v>-9.5526889224157876E-6</v>
      </c>
      <c r="AN28" s="1029"/>
      <c r="AO28" s="1029">
        <v>0</v>
      </c>
      <c r="AP28" s="1029">
        <v>0</v>
      </c>
      <c r="AQ28" s="1029">
        <v>0</v>
      </c>
      <c r="AR28" s="1029">
        <v>0</v>
      </c>
      <c r="AS28" s="1029">
        <v>0</v>
      </c>
      <c r="AT28" s="1029">
        <v>0</v>
      </c>
      <c r="AU28" s="1029">
        <v>0</v>
      </c>
      <c r="AV28" s="1029">
        <v>0</v>
      </c>
      <c r="AW28" s="1029">
        <v>0</v>
      </c>
      <c r="AX28" s="1029">
        <v>0</v>
      </c>
      <c r="AY28" s="1029">
        <v>0</v>
      </c>
      <c r="AZ28" s="1029">
        <v>0</v>
      </c>
      <c r="BA28" s="1029">
        <v>0</v>
      </c>
      <c r="BB28" s="1029">
        <v>0</v>
      </c>
      <c r="BC28" s="1029">
        <v>0</v>
      </c>
      <c r="BD28" s="1029">
        <v>0</v>
      </c>
      <c r="BE28" s="1029">
        <v>0</v>
      </c>
      <c r="BF28" s="1029">
        <v>0</v>
      </c>
      <c r="BG28" s="1029"/>
      <c r="BH28" s="1029"/>
      <c r="BI28" s="1029"/>
      <c r="BJ28" s="1029"/>
      <c r="BK28" s="1029"/>
      <c r="BL28" s="1029">
        <f t="shared" si="0"/>
        <v>0</v>
      </c>
      <c r="BM28" s="1030">
        <v>-3556</v>
      </c>
      <c r="BN28" s="1031">
        <v>-1662</v>
      </c>
      <c r="BO28" s="1032">
        <v>-119.94</v>
      </c>
      <c r="BP28" s="1032">
        <f t="shared" si="1"/>
        <v>0</v>
      </c>
    </row>
    <row r="29" spans="1:70" ht="15.6" customHeight="1" x14ac:dyDescent="0.3">
      <c r="B29" s="2" t="s">
        <v>10</v>
      </c>
      <c r="C29" s="365">
        <v>1085287</v>
      </c>
      <c r="D29" s="355">
        <v>762769</v>
      </c>
      <c r="E29" s="356">
        <v>355802.04232099996</v>
      </c>
      <c r="F29" s="365">
        <v>607752</v>
      </c>
      <c r="G29" s="355">
        <v>878962</v>
      </c>
      <c r="H29" s="356">
        <v>670560.46687500004</v>
      </c>
      <c r="I29" s="365">
        <v>1649458</v>
      </c>
      <c r="J29" s="355">
        <v>660823</v>
      </c>
      <c r="K29" s="356">
        <v>1141577.29</v>
      </c>
      <c r="L29" s="365">
        <v>782922</v>
      </c>
      <c r="M29" s="355">
        <v>666029</v>
      </c>
      <c r="N29" s="356">
        <v>722807.76000000013</v>
      </c>
      <c r="O29" s="365">
        <v>736135</v>
      </c>
      <c r="P29" s="355">
        <v>1116221</v>
      </c>
      <c r="Q29" s="356">
        <v>901665.15000000014</v>
      </c>
      <c r="R29" s="365">
        <v>1140039</v>
      </c>
      <c r="S29" s="355">
        <v>833694</v>
      </c>
      <c r="T29" s="356">
        <v>943816.0299999998</v>
      </c>
      <c r="U29" s="365">
        <v>970909</v>
      </c>
      <c r="V29" s="355">
        <v>750082</v>
      </c>
      <c r="W29" s="356">
        <v>925296.3600000001</v>
      </c>
      <c r="X29" s="365">
        <v>757957</v>
      </c>
      <c r="Y29" s="355">
        <v>807179</v>
      </c>
      <c r="Z29" s="356">
        <v>1204872.1999999997</v>
      </c>
      <c r="AA29" s="365">
        <v>509795</v>
      </c>
      <c r="AB29" s="355">
        <v>863180</v>
      </c>
      <c r="AC29" s="356">
        <v>1088183.1199999999</v>
      </c>
      <c r="AD29" s="365">
        <v>670946</v>
      </c>
      <c r="AE29" s="355">
        <v>666917.39</v>
      </c>
      <c r="AF29" s="356">
        <v>1585265.9400000004</v>
      </c>
      <c r="AG29" s="365">
        <v>876039</v>
      </c>
      <c r="AH29" s="355">
        <v>1056925.23</v>
      </c>
      <c r="AI29" s="356">
        <v>1018484.3899999999</v>
      </c>
      <c r="AJ29" s="365">
        <v>1795418</v>
      </c>
      <c r="AK29" s="355">
        <v>0</v>
      </c>
      <c r="AL29" s="356">
        <v>1997296.36</v>
      </c>
      <c r="AM29" s="883">
        <v>0.99999999999999989</v>
      </c>
      <c r="AN29" s="1034">
        <v>1044303.34</v>
      </c>
      <c r="AO29" s="1034">
        <v>1652884.5000000002</v>
      </c>
      <c r="AP29" s="1034">
        <v>1575982.7700000003</v>
      </c>
      <c r="AQ29" s="1034">
        <v>992763.59</v>
      </c>
      <c r="AR29" s="1034">
        <v>1381793.94</v>
      </c>
      <c r="AS29" s="1034">
        <v>1523904.52</v>
      </c>
      <c r="AT29" s="1034">
        <v>1176299.8900000001</v>
      </c>
      <c r="AU29" s="1034">
        <v>1603804.25</v>
      </c>
      <c r="AV29" s="1034">
        <v>1267203.2500000002</v>
      </c>
      <c r="AW29" s="1034">
        <v>1061294.9000000001</v>
      </c>
      <c r="AX29" s="1034">
        <v>895604.14</v>
      </c>
      <c r="AY29" s="1034">
        <v>1410447.7099999997</v>
      </c>
      <c r="AZ29" s="1034">
        <f t="shared" ref="AZ29:BF29" si="2">SUM(AZ9:AZ28)</f>
        <v>717619.09</v>
      </c>
      <c r="BA29" s="1034">
        <f t="shared" si="2"/>
        <v>993945.59999999986</v>
      </c>
      <c r="BB29" s="1034">
        <f t="shared" si="2"/>
        <v>1815376.93</v>
      </c>
      <c r="BC29" s="1034">
        <f t="shared" si="2"/>
        <v>1340763.2899999993</v>
      </c>
      <c r="BD29" s="1034">
        <f t="shared" si="2"/>
        <v>1315393.8800000001</v>
      </c>
      <c r="BE29" s="1034">
        <f t="shared" si="2"/>
        <v>1410473.3299999998</v>
      </c>
      <c r="BF29" s="1034">
        <f t="shared" si="2"/>
        <v>1125554.1499999997</v>
      </c>
      <c r="BG29" s="1034"/>
      <c r="BH29" s="1034"/>
      <c r="BI29" s="1034"/>
      <c r="BJ29" s="1034"/>
      <c r="BK29" s="1034"/>
      <c r="BL29" s="1034">
        <f>SUM(BL9:BL28)</f>
        <v>4867704.9100000011</v>
      </c>
      <c r="BM29" s="1035">
        <v>11178162</v>
      </c>
      <c r="BN29" s="1034">
        <v>8986536.1399999969</v>
      </c>
      <c r="BO29" s="1036">
        <v>10379041.489196001</v>
      </c>
      <c r="BP29" s="1036">
        <f>SUM(BP9:BP28)</f>
        <v>5265934.2</v>
      </c>
    </row>
    <row r="30" spans="1:70" x14ac:dyDescent="0.3">
      <c r="C30" s="349"/>
      <c r="E30" s="357"/>
      <c r="F30" s="349"/>
      <c r="H30" s="357"/>
      <c r="I30" s="349"/>
      <c r="K30" s="357"/>
      <c r="L30" s="349"/>
      <c r="N30" s="357"/>
      <c r="O30" s="349"/>
      <c r="Q30" s="357"/>
      <c r="R30" s="349"/>
      <c r="T30" s="357"/>
      <c r="U30" s="349"/>
      <c r="W30" s="357"/>
      <c r="X30" s="349"/>
      <c r="Z30" s="357"/>
      <c r="AA30" s="349"/>
      <c r="AC30" s="357"/>
      <c r="AD30" s="349"/>
      <c r="AF30" s="357"/>
      <c r="AG30" s="349"/>
      <c r="AI30" s="357"/>
      <c r="AJ30" s="349"/>
      <c r="AL30" s="357"/>
      <c r="AM30" s="27"/>
      <c r="AN30" s="314">
        <f>AN29-'MXD P&amp;L'!B20-'MXD P&amp;L'!B108</f>
        <v>2.3277380023500882E-11</v>
      </c>
      <c r="AO30" s="314">
        <f>AO29-'MXD P&amp;L'!C20-'MXD P&amp;L'!C108</f>
        <v>2.8876456781290472E-10</v>
      </c>
      <c r="AP30" s="314">
        <f>AP29-'MXD P&amp;L'!D20-'MXD P&amp;L'!D108</f>
        <v>2.6079760573338717E-10</v>
      </c>
      <c r="AQ30" s="314">
        <f>AQ29-'MXD P&amp;L'!E20-'MXD P&amp;L'!E108</f>
        <v>-6.5256244852207601E-11</v>
      </c>
      <c r="AR30" s="314">
        <f>AR29-'MXD P&amp;L'!F20-'MXD P&amp;L'!F108</f>
        <v>4.6611603465862572E-11</v>
      </c>
      <c r="AS30" s="314">
        <f>AS29-'MXD P&amp;L'!G20-'MXD P&amp;L'!G108</f>
        <v>3.7289282772690058E-11</v>
      </c>
      <c r="AT30" s="314">
        <f>AT29-'MXD P&amp;L'!H20-'MXD P&amp;L'!H108</f>
        <v>2.7966962079517543E-11</v>
      </c>
      <c r="AU30" s="314">
        <f>AU29-'MXD P&amp;L'!I20-'MXD P&amp;L'!I108</f>
        <v>0</v>
      </c>
      <c r="AV30" s="314">
        <f>AV29-'MXD P&amp;L'!J20-'MXD P&amp;L'!J108</f>
        <v>3.0740920919924974E-10</v>
      </c>
      <c r="AW30" s="314">
        <f>AW29-'MXD P&amp;L'!K20-'MXD P&amp;L'!K108</f>
        <v>1.7735146684572101E-10</v>
      </c>
      <c r="AX30" s="314">
        <f>AX29-'MXD P&amp;L'!L20-'MXD P&amp;L'!L108</f>
        <v>-2.319211489520967E-11</v>
      </c>
      <c r="AY30" s="314">
        <f>AY29-'MXD P&amp;L'!M20-'MXD P&amp;L'!M108</f>
        <v>-1.7735146684572101E-10</v>
      </c>
      <c r="AZ30" s="314">
        <f>AZ29-'MXD P&amp;L'!N20-'MXD P&amp;L'!N108</f>
        <v>-4.5474735088646412E-12</v>
      </c>
      <c r="BA30" s="314">
        <f>BA29-'MXD P&amp;L'!O20-'MXD P&amp;L'!O108</f>
        <v>-1.8644641386345029E-10</v>
      </c>
      <c r="BB30" s="314">
        <f>BB29-'MXD P&amp;L'!P20-'MXD P&amp;L'!P108</f>
        <v>-9.3223206931725144E-12</v>
      </c>
      <c r="BC30" s="314">
        <f>BC29-'MXD P&amp;L'!Q20-'MXD P&amp;L'!Q108</f>
        <v>-5.7752913562580943E-10</v>
      </c>
      <c r="BD30" s="314">
        <f>BD29-'MXD P&amp;L'!R20-'MXD P&amp;L'!R108</f>
        <v>7.4578565545380116E-11</v>
      </c>
      <c r="BE30" s="314">
        <f>BE29-'MXD P&amp;L'!S20-'MXD P&amp;L'!S108</f>
        <v>-2.4192559067159891E-10</v>
      </c>
      <c r="BF30" s="314">
        <f>BF29-'MXD P&amp;L'!T20-'MXD P&amp;L'!T108</f>
        <v>-2.9831426218152046E-10</v>
      </c>
      <c r="BG30" s="314"/>
      <c r="BH30" s="314"/>
      <c r="BI30" s="314"/>
      <c r="BJ30" s="314"/>
      <c r="BK30" s="314"/>
      <c r="BL30" s="314"/>
      <c r="BM30" s="1037"/>
      <c r="BN30" s="314"/>
      <c r="BO30" s="1038"/>
      <c r="BP30" s="1038"/>
      <c r="BQ30" s="27"/>
    </row>
    <row r="31" spans="1:70" x14ac:dyDescent="0.3">
      <c r="B31" s="2" t="s">
        <v>26</v>
      </c>
      <c r="C31" s="351"/>
      <c r="D31" s="1"/>
      <c r="E31" s="353"/>
      <c r="F31" s="351"/>
      <c r="G31" s="1"/>
      <c r="H31" s="353"/>
      <c r="I31" s="351"/>
      <c r="J31" s="1"/>
      <c r="K31" s="353"/>
      <c r="L31" s="351"/>
      <c r="M31" s="1"/>
      <c r="N31" s="353"/>
      <c r="O31" s="351"/>
      <c r="P31" s="1"/>
      <c r="Q31" s="353"/>
      <c r="R31" s="351"/>
      <c r="S31" s="1"/>
      <c r="T31" s="353"/>
      <c r="U31" s="351"/>
      <c r="V31" s="1"/>
      <c r="W31" s="353"/>
      <c r="X31" s="351"/>
      <c r="Y31" s="1"/>
      <c r="Z31" s="353"/>
      <c r="AA31" s="351"/>
      <c r="AB31" s="1"/>
      <c r="AC31" s="353"/>
      <c r="AD31" s="351"/>
      <c r="AE31" s="1"/>
      <c r="AF31" s="353"/>
      <c r="AG31" s="351"/>
      <c r="AH31" s="1"/>
      <c r="AI31" s="353"/>
      <c r="AJ31" s="351"/>
      <c r="AK31" s="1"/>
      <c r="AL31" s="353"/>
      <c r="AM31" s="1" t="s">
        <v>526</v>
      </c>
      <c r="AN31" s="1028"/>
      <c r="AO31" s="1028"/>
      <c r="AP31" s="1028"/>
      <c r="AQ31" s="1028"/>
      <c r="AR31" s="1028"/>
      <c r="AS31" s="1028"/>
      <c r="AT31" s="1028"/>
      <c r="AU31" s="1028"/>
      <c r="AV31" s="1028"/>
      <c r="AW31" s="1028"/>
      <c r="AX31" s="1028"/>
      <c r="AY31" s="1028"/>
      <c r="AZ31" s="1028"/>
      <c r="BA31" s="1028"/>
      <c r="BB31" s="1028"/>
      <c r="BC31" s="1028"/>
      <c r="BD31" s="1028"/>
      <c r="BE31" s="1028"/>
      <c r="BF31" s="1028"/>
      <c r="BG31" s="1028"/>
      <c r="BH31" s="1028"/>
      <c r="BI31" s="1028"/>
      <c r="BJ31" s="1028"/>
      <c r="BK31" s="1028"/>
      <c r="BL31" s="1028"/>
      <c r="BM31" s="1039"/>
      <c r="BN31" s="1028"/>
      <c r="BO31" s="1040"/>
      <c r="BP31" s="1040"/>
    </row>
    <row r="32" spans="1:70" ht="15.6" x14ac:dyDescent="0.3">
      <c r="A32" s="972" t="s">
        <v>743</v>
      </c>
      <c r="B32" t="s">
        <v>743</v>
      </c>
      <c r="AN32" s="1029">
        <v>0</v>
      </c>
      <c r="AO32" s="1029">
        <v>20000.59</v>
      </c>
      <c r="AP32" s="1029">
        <v>20046.41</v>
      </c>
      <c r="AQ32" s="1029">
        <v>-1442.73</v>
      </c>
      <c r="AR32" s="1029">
        <v>210.51</v>
      </c>
      <c r="AS32" s="1029">
        <v>2657.88</v>
      </c>
      <c r="AT32" s="1029">
        <v>3769.29</v>
      </c>
      <c r="AU32" s="1029">
        <v>1810</v>
      </c>
      <c r="AV32" s="1029">
        <v>552.70000000000005</v>
      </c>
      <c r="AW32" s="1029">
        <v>488.18</v>
      </c>
      <c r="AX32" s="1029">
        <v>2666.91</v>
      </c>
      <c r="AY32" s="1029">
        <v>2833.16</v>
      </c>
      <c r="AZ32" s="1029">
        <f>'MXD P&amp;L'!N23</f>
        <v>17910.47</v>
      </c>
      <c r="BA32" s="1029">
        <f>'MXD P&amp;L'!O23</f>
        <v>25832.49</v>
      </c>
      <c r="BB32" s="1029">
        <f>'MXD P&amp;L'!P23</f>
        <v>-37.57</v>
      </c>
      <c r="BC32" s="1029">
        <f>'MXD P&amp;L'!Q23</f>
        <v>17210.849999999999</v>
      </c>
      <c r="BD32" s="1029">
        <f>'MXD P&amp;L'!R23</f>
        <v>3146.24</v>
      </c>
      <c r="BE32" s="1029">
        <f>'MXD P&amp;L'!S23</f>
        <v>2138.08</v>
      </c>
      <c r="BF32" s="1029">
        <f>'MXD P&amp;L'!T23</f>
        <v>5406.63</v>
      </c>
      <c r="BG32" s="1029"/>
      <c r="BH32" s="1029"/>
      <c r="BI32" s="1029"/>
      <c r="BJ32" s="1029"/>
      <c r="BK32" s="1029"/>
      <c r="BL32" s="1029">
        <f>SUM(AZ32:BC32)</f>
        <v>60916.240000000005</v>
      </c>
      <c r="BM32" s="314"/>
      <c r="BN32" s="314"/>
      <c r="BO32" s="314"/>
      <c r="BP32" s="1231">
        <f>SUM(AN32:AQ32)</f>
        <v>38604.269999999997</v>
      </c>
    </row>
    <row r="33" spans="1:68" ht="15.6" x14ac:dyDescent="0.3">
      <c r="A33" s="972" t="s">
        <v>744</v>
      </c>
      <c r="B33" t="s">
        <v>744</v>
      </c>
      <c r="C33" s="364">
        <v>293871</v>
      </c>
      <c r="D33" s="354">
        <v>212066</v>
      </c>
      <c r="E33" s="616">
        <v>150549.39000000001</v>
      </c>
      <c r="F33" s="364">
        <v>130899</v>
      </c>
      <c r="G33" s="354">
        <v>228860</v>
      </c>
      <c r="H33" s="616">
        <v>288249.59000000003</v>
      </c>
      <c r="I33" s="364">
        <v>278899</v>
      </c>
      <c r="J33" s="354">
        <v>258022</v>
      </c>
      <c r="K33" s="616">
        <v>307876.88</v>
      </c>
      <c r="L33" s="364">
        <v>205028</v>
      </c>
      <c r="M33" s="354">
        <v>160138</v>
      </c>
      <c r="N33" s="616">
        <v>295878.84999999998</v>
      </c>
      <c r="O33" s="364">
        <v>241695</v>
      </c>
      <c r="P33" s="354">
        <v>164273</v>
      </c>
      <c r="Q33" s="616">
        <v>343148.03</v>
      </c>
      <c r="R33" s="364">
        <v>230171</v>
      </c>
      <c r="S33" s="354">
        <v>207389</v>
      </c>
      <c r="T33" s="616">
        <v>130467.47</v>
      </c>
      <c r="U33" s="364">
        <v>205720</v>
      </c>
      <c r="V33" s="354">
        <v>225869</v>
      </c>
      <c r="W33" s="616">
        <v>231606.21</v>
      </c>
      <c r="X33" s="364">
        <v>163719</v>
      </c>
      <c r="Y33" s="354">
        <v>298278</v>
      </c>
      <c r="Z33" s="616">
        <v>192258.41</v>
      </c>
      <c r="AA33" s="364">
        <v>186121</v>
      </c>
      <c r="AB33" s="354">
        <v>294612</v>
      </c>
      <c r="AC33" s="616">
        <v>194802.59</v>
      </c>
      <c r="AD33" s="364">
        <v>198233</v>
      </c>
      <c r="AE33" s="354">
        <v>261657.94</v>
      </c>
      <c r="AF33" s="616">
        <v>296692.52</v>
      </c>
      <c r="AG33" s="364">
        <v>262900</v>
      </c>
      <c r="AH33" s="354">
        <v>290828.59000000003</v>
      </c>
      <c r="AI33" s="616">
        <v>222248.87</v>
      </c>
      <c r="AJ33" s="364">
        <v>361805</v>
      </c>
      <c r="AK33" s="354"/>
      <c r="AL33" s="616">
        <v>200354.45</v>
      </c>
      <c r="AM33" s="884">
        <v>0.48224482580865585</v>
      </c>
      <c r="AN33" s="1029">
        <v>371035.72</v>
      </c>
      <c r="AO33" s="1029">
        <v>205886.4</v>
      </c>
      <c r="AP33" s="1029">
        <v>346798.2</v>
      </c>
      <c r="AQ33" s="1029">
        <v>274891.18</v>
      </c>
      <c r="AR33" s="1029">
        <v>278199.95</v>
      </c>
      <c r="AS33" s="1029">
        <v>447513.65</v>
      </c>
      <c r="AT33" s="1029">
        <v>224359.37</v>
      </c>
      <c r="AU33" s="1029">
        <v>297625.90999999997</v>
      </c>
      <c r="AV33" s="1029">
        <v>309587.33</v>
      </c>
      <c r="AW33" s="1029">
        <v>193629.67</v>
      </c>
      <c r="AX33" s="1029">
        <v>200442.09</v>
      </c>
      <c r="AY33" s="1029">
        <v>230577.56</v>
      </c>
      <c r="AZ33" s="1029">
        <f>'MXD P&amp;L'!N24</f>
        <v>268313.34999999998</v>
      </c>
      <c r="BA33" s="1029">
        <f>'MXD P&amp;L'!O24</f>
        <v>150857.48000000001</v>
      </c>
      <c r="BB33" s="1029">
        <f>'MXD P&amp;L'!P24</f>
        <v>188319.58</v>
      </c>
      <c r="BC33" s="1029">
        <f>'MXD P&amp;L'!Q24</f>
        <v>193913.56</v>
      </c>
      <c r="BD33" s="1029">
        <f>'MXD P&amp;L'!R24</f>
        <v>135619.87</v>
      </c>
      <c r="BE33" s="1029">
        <f>'MXD P&amp;L'!S24</f>
        <v>268993.46000000002</v>
      </c>
      <c r="BF33" s="1029">
        <f>'MXD P&amp;L'!T24</f>
        <v>207004.41</v>
      </c>
      <c r="BG33" s="1029"/>
      <c r="BH33" s="1029"/>
      <c r="BI33" s="1029"/>
      <c r="BJ33" s="1029"/>
      <c r="BK33" s="1029"/>
      <c r="BL33" s="1029">
        <f>SUM(AZ33:BC33)</f>
        <v>801403.97</v>
      </c>
      <c r="BM33" s="1030">
        <v>2759061</v>
      </c>
      <c r="BN33" s="1031">
        <v>2601993.5300000003</v>
      </c>
      <c r="BO33" s="1032">
        <v>2854133.26</v>
      </c>
      <c r="BP33" s="1231">
        <f>SUM(AN33:AQ33)</f>
        <v>1198611.5</v>
      </c>
    </row>
    <row r="34" spans="1:68" ht="15.6" x14ac:dyDescent="0.3">
      <c r="A34" s="972" t="s">
        <v>745</v>
      </c>
      <c r="B34" t="s">
        <v>745</v>
      </c>
      <c r="C34" s="364">
        <v>151245</v>
      </c>
      <c r="D34" s="354">
        <v>4530</v>
      </c>
      <c r="E34" s="616">
        <v>85382.200519999999</v>
      </c>
      <c r="F34" s="364">
        <v>15584</v>
      </c>
      <c r="G34" s="354">
        <v>46927</v>
      </c>
      <c r="H34" s="616">
        <v>63457.576461000019</v>
      </c>
      <c r="I34" s="364">
        <v>14085</v>
      </c>
      <c r="J34" s="354">
        <v>5576</v>
      </c>
      <c r="K34" s="616">
        <v>79879.48000000001</v>
      </c>
      <c r="L34" s="364">
        <v>372</v>
      </c>
      <c r="M34" s="354">
        <v>107</v>
      </c>
      <c r="N34" s="616">
        <v>75007.25</v>
      </c>
      <c r="O34" s="364">
        <v>60990</v>
      </c>
      <c r="P34" s="354">
        <v>12271</v>
      </c>
      <c r="Q34" s="616">
        <v>117241.64</v>
      </c>
      <c r="R34" s="364">
        <v>16066</v>
      </c>
      <c r="S34" s="354">
        <v>33924</v>
      </c>
      <c r="T34" s="616">
        <v>113001.55</v>
      </c>
      <c r="U34" s="364">
        <v>39145</v>
      </c>
      <c r="V34" s="354">
        <v>116234</v>
      </c>
      <c r="W34" s="616">
        <v>127851.98</v>
      </c>
      <c r="X34" s="364">
        <v>43284</v>
      </c>
      <c r="Y34" s="354">
        <v>18314</v>
      </c>
      <c r="Z34" s="616">
        <v>148548.89000000001</v>
      </c>
      <c r="AA34" s="364">
        <v>53141</v>
      </c>
      <c r="AB34" s="354">
        <v>133070</v>
      </c>
      <c r="AC34" s="616">
        <v>100226.62999999989</v>
      </c>
      <c r="AD34" s="364">
        <v>53160</v>
      </c>
      <c r="AE34" s="354">
        <v>41870.879999999997</v>
      </c>
      <c r="AF34" s="616">
        <v>197435.29</v>
      </c>
      <c r="AG34" s="364">
        <v>27939</v>
      </c>
      <c r="AH34" s="354">
        <v>9568.82</v>
      </c>
      <c r="AI34" s="616">
        <v>65684.14000000013</v>
      </c>
      <c r="AJ34" s="364">
        <v>19582</v>
      </c>
      <c r="AK34" s="354"/>
      <c r="AL34" s="616">
        <v>6164.439999999915</v>
      </c>
      <c r="AM34" s="884">
        <v>0.6843698579128773</v>
      </c>
      <c r="AN34" s="1029">
        <v>227812.07</v>
      </c>
      <c r="AO34" s="1029">
        <v>135492</v>
      </c>
      <c r="AP34" s="1029">
        <v>215916.09</v>
      </c>
      <c r="AQ34" s="1029">
        <v>239434.22</v>
      </c>
      <c r="AR34" s="1029">
        <v>495901.61</v>
      </c>
      <c r="AS34" s="1029">
        <v>292337.86</v>
      </c>
      <c r="AT34" s="1029">
        <v>44644.04</v>
      </c>
      <c r="AU34" s="1029">
        <v>186375.65</v>
      </c>
      <c r="AV34" s="1029">
        <v>200083.31</v>
      </c>
      <c r="AW34" s="1029">
        <v>71552.03</v>
      </c>
      <c r="AX34" s="1029">
        <v>19303.61</v>
      </c>
      <c r="AY34" s="1029">
        <v>200670.94</v>
      </c>
      <c r="AZ34" s="1029">
        <f>'MXD P&amp;L'!N25</f>
        <v>95058.69</v>
      </c>
      <c r="BA34" s="1029">
        <f>'MXD P&amp;L'!O25</f>
        <v>12202.03</v>
      </c>
      <c r="BB34" s="1029">
        <f>'MXD P&amp;L'!P25</f>
        <v>14081.64</v>
      </c>
      <c r="BC34" s="1029">
        <f>'MXD P&amp;L'!Q25</f>
        <v>286437.28000000003</v>
      </c>
      <c r="BD34" s="1029">
        <f>'MXD P&amp;L'!R25</f>
        <v>389395.54</v>
      </c>
      <c r="BE34" s="1029">
        <f>'MXD P&amp;L'!S25</f>
        <v>457478.3</v>
      </c>
      <c r="BF34" s="1029">
        <f>'MXD P&amp;L'!T25</f>
        <v>56051.28</v>
      </c>
      <c r="BG34" s="1029"/>
      <c r="BH34" s="1029"/>
      <c r="BI34" s="1029"/>
      <c r="BJ34" s="1029"/>
      <c r="BK34" s="1029"/>
      <c r="BL34" s="1029">
        <f>SUM(AZ34:BC34)</f>
        <v>407779.64</v>
      </c>
      <c r="BM34" s="1030">
        <v>494593</v>
      </c>
      <c r="BN34" s="1031">
        <v>422392.7</v>
      </c>
      <c r="BO34" s="1032">
        <v>1179881.0669809999</v>
      </c>
      <c r="BP34" s="1231">
        <f>SUM(AN34:AQ34)</f>
        <v>818654.38</v>
      </c>
    </row>
    <row r="35" spans="1:68" ht="15.6" x14ac:dyDescent="0.3">
      <c r="A35" s="972" t="s">
        <v>746</v>
      </c>
      <c r="B35" t="s">
        <v>746</v>
      </c>
      <c r="C35" s="364">
        <v>229952</v>
      </c>
      <c r="D35" s="354">
        <v>124088</v>
      </c>
      <c r="E35" s="616">
        <v>14992.828017</v>
      </c>
      <c r="F35" s="364">
        <v>181705</v>
      </c>
      <c r="G35" s="354">
        <v>279208</v>
      </c>
      <c r="H35" s="616">
        <v>10991.854692999997</v>
      </c>
      <c r="I35" s="364">
        <v>527105</v>
      </c>
      <c r="J35" s="354">
        <v>124818</v>
      </c>
      <c r="K35" s="616">
        <v>280470.38</v>
      </c>
      <c r="L35" s="364">
        <v>255731</v>
      </c>
      <c r="M35" s="354">
        <v>177766</v>
      </c>
      <c r="N35" s="616">
        <v>57644.160000000033</v>
      </c>
      <c r="O35" s="364">
        <v>86688</v>
      </c>
      <c r="P35" s="354">
        <v>404940</v>
      </c>
      <c r="Q35" s="616">
        <v>78799.709999999963</v>
      </c>
      <c r="R35" s="364">
        <v>344944</v>
      </c>
      <c r="S35" s="354">
        <v>194699</v>
      </c>
      <c r="T35" s="616">
        <v>61159.460000000021</v>
      </c>
      <c r="U35" s="364">
        <v>382071</v>
      </c>
      <c r="V35" s="354">
        <v>69862</v>
      </c>
      <c r="W35" s="616">
        <v>24256.16</v>
      </c>
      <c r="X35" s="364">
        <v>184313</v>
      </c>
      <c r="Y35" s="354">
        <v>155892</v>
      </c>
      <c r="Z35" s="616">
        <v>249882.18</v>
      </c>
      <c r="AA35" s="364">
        <v>79806</v>
      </c>
      <c r="AB35" s="354">
        <v>74476</v>
      </c>
      <c r="AC35" s="616">
        <v>140975.80000000002</v>
      </c>
      <c r="AD35" s="364">
        <v>169934</v>
      </c>
      <c r="AE35" s="354">
        <v>34773.11</v>
      </c>
      <c r="AF35" s="616">
        <v>151895.17000000001</v>
      </c>
      <c r="AG35" s="364">
        <v>191098</v>
      </c>
      <c r="AH35" s="354">
        <v>285122.40000000002</v>
      </c>
      <c r="AI35" s="616">
        <v>63467.809999999947</v>
      </c>
      <c r="AJ35" s="364">
        <v>749245</v>
      </c>
      <c r="AK35" s="354"/>
      <c r="AL35" s="616">
        <v>327932.25</v>
      </c>
      <c r="AM35" s="884">
        <v>0.69490885319452766</v>
      </c>
      <c r="AN35" s="1029">
        <v>285038.11</v>
      </c>
      <c r="AO35" s="1029">
        <v>61746.59</v>
      </c>
      <c r="AP35" s="1029">
        <v>134749.78</v>
      </c>
      <c r="AQ35" s="1029">
        <v>379023.56</v>
      </c>
      <c r="AR35" s="1029">
        <v>6819.34</v>
      </c>
      <c r="AS35" s="1029">
        <v>302170.17</v>
      </c>
      <c r="AT35" s="1029">
        <v>1018881.87</v>
      </c>
      <c r="AU35" s="1029">
        <v>94579.18</v>
      </c>
      <c r="AV35" s="1029">
        <v>120125.64</v>
      </c>
      <c r="AW35" s="1029">
        <v>70365.78</v>
      </c>
      <c r="AX35" s="1029">
        <v>96572.36</v>
      </c>
      <c r="AY35" s="1029">
        <v>27107.97</v>
      </c>
      <c r="AZ35" s="1029">
        <f>'MXD P&amp;L'!N26</f>
        <v>291753.86</v>
      </c>
      <c r="BA35" s="1029">
        <f>'MXD P&amp;L'!O26</f>
        <v>1482.18</v>
      </c>
      <c r="BB35" s="1029">
        <f>'MXD P&amp;L'!P26</f>
        <v>69607.48</v>
      </c>
      <c r="BC35" s="1029">
        <f>'MXD P&amp;L'!Q26</f>
        <v>121293.09</v>
      </c>
      <c r="BD35" s="1029">
        <f>'MXD P&amp;L'!R26</f>
        <v>194397.1</v>
      </c>
      <c r="BE35" s="1029">
        <f>'MXD P&amp;L'!S26</f>
        <v>313436.15999999997</v>
      </c>
      <c r="BF35" s="1029">
        <f>'MXD P&amp;L'!T26</f>
        <v>251236.9</v>
      </c>
      <c r="BG35" s="1029"/>
      <c r="BH35" s="1029"/>
      <c r="BI35" s="1029"/>
      <c r="BJ35" s="1029"/>
      <c r="BK35" s="1029"/>
      <c r="BL35" s="1029">
        <f>SUM(AZ35:BC35)</f>
        <v>484136.61</v>
      </c>
      <c r="BM35" s="1030">
        <v>3382592</v>
      </c>
      <c r="BN35" s="1031">
        <v>1925644.51</v>
      </c>
      <c r="BO35" s="1032">
        <v>1462467.7627100002</v>
      </c>
      <c r="BP35" s="1231">
        <f>SUM(AN35:AQ35)</f>
        <v>860558.04</v>
      </c>
    </row>
    <row r="36" spans="1:68" ht="15.6" x14ac:dyDescent="0.3">
      <c r="A36" s="972"/>
      <c r="B36" s="1402" t="s">
        <v>1239</v>
      </c>
      <c r="C36" s="364"/>
      <c r="D36" s="354"/>
      <c r="E36" s="616"/>
      <c r="F36" s="364"/>
      <c r="G36" s="354"/>
      <c r="H36" s="616"/>
      <c r="I36" s="364"/>
      <c r="J36" s="354"/>
      <c r="K36" s="616"/>
      <c r="L36" s="364"/>
      <c r="M36" s="354"/>
      <c r="N36" s="616"/>
      <c r="O36" s="364"/>
      <c r="P36" s="354"/>
      <c r="Q36" s="616"/>
      <c r="R36" s="364"/>
      <c r="S36" s="354"/>
      <c r="T36" s="616"/>
      <c r="U36" s="364"/>
      <c r="V36" s="354"/>
      <c r="W36" s="616"/>
      <c r="X36" s="364"/>
      <c r="Y36" s="354"/>
      <c r="Z36" s="616"/>
      <c r="AA36" s="364"/>
      <c r="AB36" s="354"/>
      <c r="AC36" s="616"/>
      <c r="AD36" s="364"/>
      <c r="AE36" s="354"/>
      <c r="AF36" s="616"/>
      <c r="AG36" s="364"/>
      <c r="AH36" s="354"/>
      <c r="AI36" s="616"/>
      <c r="AJ36" s="364"/>
      <c r="AK36" s="354"/>
      <c r="AL36" s="616"/>
      <c r="AM36" s="884"/>
      <c r="AN36" s="1029"/>
      <c r="AO36" s="1029"/>
      <c r="AP36" s="1029"/>
      <c r="AQ36" s="1029"/>
      <c r="AR36" s="1029"/>
      <c r="AS36" s="1029"/>
      <c r="AT36" s="1029"/>
      <c r="AU36" s="1029"/>
      <c r="AV36" s="1029"/>
      <c r="AW36" s="1029"/>
      <c r="AX36" s="1029"/>
      <c r="AY36" s="1029"/>
      <c r="AZ36" s="1029"/>
      <c r="BA36" s="1029"/>
      <c r="BB36" s="1029"/>
      <c r="BC36" s="1029">
        <f>'MXD P&amp;L'!Q27</f>
        <v>0</v>
      </c>
      <c r="BD36" s="1029">
        <f>'MXD P&amp;L'!R27</f>
        <v>16616.189999999999</v>
      </c>
      <c r="BE36" s="1029">
        <f>'MXD P&amp;L'!S27</f>
        <v>0</v>
      </c>
      <c r="BF36" s="1029">
        <f>'MXD P&amp;L'!T27</f>
        <v>4831.1899999999996</v>
      </c>
      <c r="BG36" s="1029"/>
      <c r="BH36" s="1029"/>
      <c r="BI36" s="1029"/>
      <c r="BJ36" s="1029"/>
      <c r="BK36" s="1029"/>
      <c r="BL36" s="1029"/>
      <c r="BM36" s="1030"/>
      <c r="BN36" s="1031"/>
      <c r="BO36" s="1032"/>
      <c r="BP36" s="1231"/>
    </row>
    <row r="37" spans="1:68" ht="15.6" x14ac:dyDescent="0.3">
      <c r="A37" s="972" t="s">
        <v>747</v>
      </c>
      <c r="B37" t="s">
        <v>747</v>
      </c>
      <c r="C37" s="364">
        <v>150</v>
      </c>
      <c r="D37" s="354">
        <v>517</v>
      </c>
      <c r="E37" s="616"/>
      <c r="F37" s="364"/>
      <c r="G37" s="354"/>
      <c r="H37" s="616"/>
      <c r="I37" s="364"/>
      <c r="J37" s="354"/>
      <c r="K37" s="616">
        <v>0</v>
      </c>
      <c r="L37" s="364"/>
      <c r="M37" s="354"/>
      <c r="N37" s="616">
        <v>0</v>
      </c>
      <c r="O37" s="364"/>
      <c r="P37" s="354"/>
      <c r="Q37" s="616"/>
      <c r="R37" s="364"/>
      <c r="S37" s="354"/>
      <c r="T37" s="616">
        <v>5266</v>
      </c>
      <c r="U37" s="364"/>
      <c r="V37" s="354"/>
      <c r="W37" s="616">
        <v>0</v>
      </c>
      <c r="X37" s="364"/>
      <c r="Y37" s="354"/>
      <c r="Z37" s="616"/>
      <c r="AA37" s="364"/>
      <c r="AB37" s="354">
        <v>1</v>
      </c>
      <c r="AC37" s="616"/>
      <c r="AD37" s="364"/>
      <c r="AE37" s="354">
        <v>12639.84</v>
      </c>
      <c r="AF37" s="616">
        <v>13516.61</v>
      </c>
      <c r="AG37" s="364"/>
      <c r="AH37" s="354">
        <v>2309.36</v>
      </c>
      <c r="AI37" s="616"/>
      <c r="AJ37" s="364"/>
      <c r="AK37" s="354"/>
      <c r="AL37" s="616">
        <v>42703.01</v>
      </c>
      <c r="AM37" s="884">
        <v>1.3222102633964239</v>
      </c>
      <c r="AN37" s="1029">
        <v>0</v>
      </c>
      <c r="AO37" s="1029">
        <v>435836.42</v>
      </c>
      <c r="AP37" s="1029">
        <v>159918.39000000001</v>
      </c>
      <c r="AQ37" s="1029">
        <v>0</v>
      </c>
      <c r="AR37" s="1029">
        <v>0</v>
      </c>
      <c r="AS37" s="1029">
        <v>44643.62</v>
      </c>
      <c r="AT37" s="1029">
        <v>0</v>
      </c>
      <c r="AU37" s="1029">
        <v>0</v>
      </c>
      <c r="AV37" s="1029">
        <v>0</v>
      </c>
      <c r="AW37" s="1029">
        <v>0</v>
      </c>
      <c r="AX37" s="1029">
        <v>1650</v>
      </c>
      <c r="AY37" s="1029">
        <v>-34643.620000000003</v>
      </c>
      <c r="AZ37" s="1029">
        <f>'MXD P&amp;L'!N28</f>
        <v>975</v>
      </c>
      <c r="BA37" s="1029">
        <f>'MXD P&amp;L'!O28</f>
        <v>0</v>
      </c>
      <c r="BB37" s="1029">
        <f>'MXD P&amp;L'!P28</f>
        <v>0</v>
      </c>
      <c r="BC37" s="1029">
        <f>'MXD P&amp;L'!Q28</f>
        <v>13815</v>
      </c>
      <c r="BD37" s="1029">
        <f>'MXD P&amp;L'!R28</f>
        <v>-11940</v>
      </c>
      <c r="BE37" s="1029">
        <f>'MXD P&amp;L'!S28</f>
        <v>0</v>
      </c>
      <c r="BF37" s="1029">
        <f>'MXD P&amp;L'!T28</f>
        <v>4600.09</v>
      </c>
      <c r="BG37" s="1029"/>
      <c r="BH37" s="1029"/>
      <c r="BI37" s="1029"/>
      <c r="BJ37" s="1029"/>
      <c r="BK37" s="1029"/>
      <c r="BL37" s="1029">
        <f t="shared" ref="BL37:BL43" si="3">SUM(AZ37:BC37)</f>
        <v>14790</v>
      </c>
      <c r="BM37" s="1030">
        <v>150</v>
      </c>
      <c r="BN37" s="1031">
        <v>15467.2</v>
      </c>
      <c r="BO37" s="1032">
        <v>61485.62</v>
      </c>
      <c r="BP37" s="1231">
        <f t="shared" ref="BP37:BP43" si="4">SUM(AN37:AQ37)</f>
        <v>595754.81000000006</v>
      </c>
    </row>
    <row r="38" spans="1:68" ht="15.6" x14ac:dyDescent="0.3">
      <c r="A38" s="972" t="s">
        <v>748</v>
      </c>
      <c r="B38" t="s">
        <v>748</v>
      </c>
      <c r="C38" s="364"/>
      <c r="D38" s="354"/>
      <c r="E38" s="616"/>
      <c r="F38" s="364"/>
      <c r="G38" s="354"/>
      <c r="H38" s="616"/>
      <c r="I38" s="364"/>
      <c r="J38" s="354"/>
      <c r="K38" s="616"/>
      <c r="L38" s="364"/>
      <c r="M38" s="354"/>
      <c r="N38" s="616"/>
      <c r="O38" s="364"/>
      <c r="P38" s="354"/>
      <c r="Q38" s="616"/>
      <c r="R38" s="364"/>
      <c r="S38" s="354"/>
      <c r="T38" s="616"/>
      <c r="U38" s="364"/>
      <c r="V38" s="354"/>
      <c r="W38" s="616"/>
      <c r="X38" s="364"/>
      <c r="Y38" s="354"/>
      <c r="Z38" s="616"/>
      <c r="AA38" s="364"/>
      <c r="AB38" s="354"/>
      <c r="AC38" s="616"/>
      <c r="AD38" s="364"/>
      <c r="AE38" s="354"/>
      <c r="AF38" s="616"/>
      <c r="AG38" s="364"/>
      <c r="AH38" s="354"/>
      <c r="AI38" s="616"/>
      <c r="AJ38" s="364"/>
      <c r="AK38" s="354"/>
      <c r="AL38" s="616"/>
      <c r="AM38" s="884"/>
      <c r="AN38" s="1029">
        <v>3173.16</v>
      </c>
      <c r="AO38" s="1029">
        <v>2675.72</v>
      </c>
      <c r="AP38" s="1029">
        <v>10853.48</v>
      </c>
      <c r="AQ38" s="1029">
        <v>2115.2399999999998</v>
      </c>
      <c r="AR38" s="1029">
        <v>3755.84</v>
      </c>
      <c r="AS38" s="1029">
        <v>1624.5</v>
      </c>
      <c r="AT38" s="1029">
        <v>1600</v>
      </c>
      <c r="AU38" s="1029">
        <v>807.25</v>
      </c>
      <c r="AV38" s="1029">
        <v>1679.84</v>
      </c>
      <c r="AW38" s="1029">
        <v>12776</v>
      </c>
      <c r="AX38" s="1029">
        <v>-11300</v>
      </c>
      <c r="AY38" s="1029">
        <v>394</v>
      </c>
      <c r="AZ38" s="1029">
        <f>'MXD P&amp;L'!N29</f>
        <v>325</v>
      </c>
      <c r="BA38" s="1029">
        <f>'MXD P&amp;L'!O29</f>
        <v>176.5</v>
      </c>
      <c r="BB38" s="1029">
        <f>'MXD P&amp;L'!P29</f>
        <v>758.89</v>
      </c>
      <c r="BC38" s="1029">
        <f>'MXD P&amp;L'!Q29</f>
        <v>1104.24</v>
      </c>
      <c r="BD38" s="1029">
        <f>'MXD P&amp;L'!R29</f>
        <v>1147.6199999999999</v>
      </c>
      <c r="BE38" s="1029">
        <f>'MXD P&amp;L'!S29</f>
        <v>685</v>
      </c>
      <c r="BF38" s="1029">
        <f>'MXD P&amp;L'!T29</f>
        <v>213</v>
      </c>
      <c r="BG38" s="1029"/>
      <c r="BH38" s="1029"/>
      <c r="BI38" s="1029"/>
      <c r="BJ38" s="1029"/>
      <c r="BK38" s="1029"/>
      <c r="BL38" s="1029">
        <f t="shared" si="3"/>
        <v>2364.63</v>
      </c>
      <c r="BM38" s="1030">
        <v>0</v>
      </c>
      <c r="BN38" s="1031">
        <v>0</v>
      </c>
      <c r="BO38" s="1032">
        <v>0</v>
      </c>
      <c r="BP38" s="1231">
        <f t="shared" si="4"/>
        <v>18817.599999999999</v>
      </c>
    </row>
    <row r="39" spans="1:68" ht="15.6" x14ac:dyDescent="0.3">
      <c r="A39" s="972" t="s">
        <v>749</v>
      </c>
      <c r="B39" t="s">
        <v>749</v>
      </c>
      <c r="C39" s="364"/>
      <c r="D39" s="354"/>
      <c r="E39" s="616">
        <v>-13378.41</v>
      </c>
      <c r="F39" s="364"/>
      <c r="G39" s="354"/>
      <c r="H39" s="616">
        <v>-21990.34</v>
      </c>
      <c r="I39" s="364"/>
      <c r="J39" s="354"/>
      <c r="K39" s="616">
        <v>-98919.61</v>
      </c>
      <c r="L39" s="364"/>
      <c r="M39" s="354"/>
      <c r="N39" s="616">
        <v>-19782.179999999989</v>
      </c>
      <c r="O39" s="364"/>
      <c r="P39" s="354"/>
      <c r="Q39" s="616">
        <v>-13553.22</v>
      </c>
      <c r="R39" s="364"/>
      <c r="S39" s="354"/>
      <c r="T39" s="616">
        <v>116485.08000000005</v>
      </c>
      <c r="U39" s="364"/>
      <c r="V39" s="354"/>
      <c r="W39" s="616">
        <v>-28446.1</v>
      </c>
      <c r="X39" s="364"/>
      <c r="Y39" s="354"/>
      <c r="Z39" s="616">
        <v>69280.219999999972</v>
      </c>
      <c r="AA39" s="364"/>
      <c r="AB39" s="354"/>
      <c r="AC39" s="616">
        <v>75936.569999999978</v>
      </c>
      <c r="AD39" s="364"/>
      <c r="AE39" s="354"/>
      <c r="AF39" s="616">
        <v>263645.87999999989</v>
      </c>
      <c r="AG39" s="364"/>
      <c r="AH39" s="354"/>
      <c r="AI39" s="616">
        <v>185488.06999999998</v>
      </c>
      <c r="AJ39" s="364"/>
      <c r="AK39" s="354"/>
      <c r="AL39" s="616">
        <v>496685.3400000002</v>
      </c>
      <c r="AM39" s="884">
        <v>0.4646963072373877</v>
      </c>
      <c r="AN39" s="1029">
        <v>-273380.17</v>
      </c>
      <c r="AO39" s="1029">
        <v>-74.78</v>
      </c>
      <c r="AP39" s="1029">
        <v>123160.18</v>
      </c>
      <c r="AQ39" s="1029">
        <v>-69440.009999999995</v>
      </c>
      <c r="AR39" s="1029">
        <v>174899.83</v>
      </c>
      <c r="AS39" s="1029">
        <v>-234712.95</v>
      </c>
      <c r="AT39" s="1029">
        <v>-729180.79</v>
      </c>
      <c r="AU39" s="1029">
        <v>56119</v>
      </c>
      <c r="AV39" s="1029">
        <v>95398.7</v>
      </c>
      <c r="AW39" s="1029">
        <v>116742.63</v>
      </c>
      <c r="AX39" s="1029">
        <v>92519.91</v>
      </c>
      <c r="AY39" s="1029">
        <v>177036</v>
      </c>
      <c r="AZ39" s="1029">
        <f>'MXD P&amp;L'!N30</f>
        <v>-156635</v>
      </c>
      <c r="BA39" s="1029">
        <f>'MXD P&amp;L'!O30</f>
        <v>273222</v>
      </c>
      <c r="BB39" s="1029">
        <f>'MXD P&amp;L'!P30</f>
        <v>665407</v>
      </c>
      <c r="BC39" s="1029">
        <f>'MXD P&amp;L'!Q30</f>
        <v>160520</v>
      </c>
      <c r="BD39" s="1029">
        <f>'MXD P&amp;L'!R30</f>
        <v>-423613.5</v>
      </c>
      <c r="BE39" s="1029">
        <f>'MXD P&amp;L'!S30</f>
        <v>-67882</v>
      </c>
      <c r="BF39" s="1029">
        <f>'MXD P&amp;L'!T30</f>
        <v>16885</v>
      </c>
      <c r="BG39" s="1029"/>
      <c r="BH39" s="1029"/>
      <c r="BI39" s="1029"/>
      <c r="BJ39" s="1029"/>
      <c r="BK39" s="1029"/>
      <c r="BL39" s="1029">
        <f t="shared" si="3"/>
        <v>942514</v>
      </c>
      <c r="BM39" s="1030">
        <v>-304476</v>
      </c>
      <c r="BN39" s="1031"/>
      <c r="BO39" s="1032"/>
      <c r="BP39" s="1231">
        <f t="shared" si="4"/>
        <v>-219734.78000000003</v>
      </c>
    </row>
    <row r="40" spans="1:68" ht="15.6" x14ac:dyDescent="0.3">
      <c r="B40" s="1402" t="s">
        <v>1241</v>
      </c>
      <c r="C40" s="364"/>
      <c r="D40" s="354"/>
      <c r="E40" s="616"/>
      <c r="F40" s="364"/>
      <c r="G40" s="354"/>
      <c r="H40" s="616"/>
      <c r="I40" s="364"/>
      <c r="J40" s="354"/>
      <c r="K40" s="616"/>
      <c r="L40" s="364"/>
      <c r="M40" s="354"/>
      <c r="N40" s="616"/>
      <c r="O40" s="364"/>
      <c r="P40" s="354"/>
      <c r="Q40" s="616"/>
      <c r="R40" s="364"/>
      <c r="S40" s="354"/>
      <c r="T40" s="616"/>
      <c r="U40" s="364"/>
      <c r="V40" s="354"/>
      <c r="W40" s="616"/>
      <c r="X40" s="364"/>
      <c r="Y40" s="354"/>
      <c r="Z40" s="616"/>
      <c r="AA40" s="364"/>
      <c r="AB40" s="354"/>
      <c r="AC40" s="616"/>
      <c r="AD40" s="364"/>
      <c r="AE40" s="354"/>
      <c r="AF40" s="616"/>
      <c r="AG40" s="364"/>
      <c r="AH40" s="354"/>
      <c r="AI40" s="616"/>
      <c r="AJ40" s="364"/>
      <c r="AK40" s="354"/>
      <c r="AL40" s="616"/>
      <c r="AM40" s="884"/>
      <c r="AN40" s="1029"/>
      <c r="AO40" s="1029"/>
      <c r="AP40" s="1029"/>
      <c r="AQ40" s="1029"/>
      <c r="AR40" s="1029"/>
      <c r="AS40" s="1029"/>
      <c r="AT40" s="1029"/>
      <c r="AU40" s="1029"/>
      <c r="AV40" s="1029"/>
      <c r="AW40" s="1029"/>
      <c r="AX40" s="1029"/>
      <c r="AY40" s="1029"/>
      <c r="AZ40" s="1029" cm="1">
        <f t="array" ref="AZ40:AZ41">'MXD P&amp;L'!N43:N44</f>
        <v>0</v>
      </c>
      <c r="BA40" s="1029" cm="1">
        <f t="array" ref="BA40:BA41">'MXD P&amp;L'!O43:O44</f>
        <v>0</v>
      </c>
      <c r="BB40" s="1029" cm="1">
        <f t="array" ref="BB40:BB41">'MXD P&amp;L'!P43:P44</f>
        <v>0</v>
      </c>
      <c r="BC40" s="1029" cm="1">
        <f t="array" ref="BC40:BC41">'MXD P&amp;L'!Q43:Q44</f>
        <v>0</v>
      </c>
      <c r="BD40" s="1029" cm="1">
        <f t="array" ref="BD40:BD41">'MXD P&amp;L'!R43:R44</f>
        <v>0</v>
      </c>
      <c r="BE40" s="1029" cm="1">
        <f t="array" ref="BE40:BE41">'MXD P&amp;L'!S43:S44</f>
        <v>0</v>
      </c>
      <c r="BF40" s="1029">
        <f>'MXD P&amp;L'!T43</f>
        <v>0</v>
      </c>
      <c r="BG40" s="1029"/>
      <c r="BH40" s="1029"/>
      <c r="BI40" s="1029"/>
      <c r="BJ40" s="1029"/>
      <c r="BK40" s="1029"/>
      <c r="BL40" s="1029"/>
      <c r="BM40" s="1030"/>
      <c r="BN40" s="1031"/>
      <c r="BO40" s="1032"/>
      <c r="BP40" s="1231"/>
    </row>
    <row r="41" spans="1:68" ht="15.6" x14ac:dyDescent="0.3">
      <c r="B41" s="1402" t="s">
        <v>1242</v>
      </c>
      <c r="C41" s="364"/>
      <c r="D41" s="354"/>
      <c r="E41" s="616"/>
      <c r="F41" s="364"/>
      <c r="G41" s="354"/>
      <c r="H41" s="616"/>
      <c r="I41" s="364"/>
      <c r="J41" s="354"/>
      <c r="K41" s="616"/>
      <c r="L41" s="364"/>
      <c r="M41" s="354"/>
      <c r="N41" s="616"/>
      <c r="O41" s="364"/>
      <c r="P41" s="354"/>
      <c r="Q41" s="616"/>
      <c r="R41" s="364"/>
      <c r="S41" s="354"/>
      <c r="T41" s="616"/>
      <c r="U41" s="364"/>
      <c r="V41" s="354"/>
      <c r="W41" s="616"/>
      <c r="X41" s="364"/>
      <c r="Y41" s="354"/>
      <c r="Z41" s="616"/>
      <c r="AA41" s="364"/>
      <c r="AB41" s="354"/>
      <c r="AC41" s="616"/>
      <c r="AD41" s="364"/>
      <c r="AE41" s="354"/>
      <c r="AF41" s="616"/>
      <c r="AG41" s="364"/>
      <c r="AH41" s="354"/>
      <c r="AI41" s="616"/>
      <c r="AJ41" s="364"/>
      <c r="AK41" s="354"/>
      <c r="AL41" s="616"/>
      <c r="AM41" s="884"/>
      <c r="AN41" s="1029"/>
      <c r="AO41" s="1029"/>
      <c r="AP41" s="1029"/>
      <c r="AQ41" s="1029"/>
      <c r="AR41" s="1029"/>
      <c r="AS41" s="1029"/>
      <c r="AT41" s="1029"/>
      <c r="AU41" s="1029"/>
      <c r="AV41" s="1029"/>
      <c r="AW41" s="1029"/>
      <c r="AX41" s="1029"/>
      <c r="AY41" s="1029"/>
      <c r="AZ41" s="1029">
        <v>0</v>
      </c>
      <c r="BA41" s="1029">
        <v>0</v>
      </c>
      <c r="BB41" s="1029">
        <v>0</v>
      </c>
      <c r="BC41" s="1029">
        <v>0</v>
      </c>
      <c r="BD41" s="1029">
        <v>8500</v>
      </c>
      <c r="BE41" s="1029">
        <v>9000</v>
      </c>
      <c r="BF41" s="1029">
        <f>'MXD P&amp;L'!T44</f>
        <v>11883.39</v>
      </c>
      <c r="BG41" s="1029"/>
      <c r="BH41" s="1029"/>
      <c r="BI41" s="1029"/>
      <c r="BJ41" s="1029"/>
      <c r="BK41" s="1029"/>
      <c r="BL41" s="1029"/>
      <c r="BM41" s="1030"/>
      <c r="BN41" s="1031"/>
      <c r="BO41" s="1032"/>
      <c r="BP41" s="1231"/>
    </row>
    <row r="42" spans="1:68" x14ac:dyDescent="0.3">
      <c r="B42" t="s">
        <v>751</v>
      </c>
      <c r="C42" s="364">
        <v>25231</v>
      </c>
      <c r="D42" s="354">
        <v>14672</v>
      </c>
      <c r="E42" s="616">
        <v>4793.49</v>
      </c>
      <c r="F42" s="364">
        <v>20175</v>
      </c>
      <c r="G42" s="354">
        <v>19042</v>
      </c>
      <c r="H42" s="616">
        <v>33529.22</v>
      </c>
      <c r="I42" s="364">
        <v>21412</v>
      </c>
      <c r="J42" s="354">
        <v>15486</v>
      </c>
      <c r="K42" s="616">
        <v>27351.1</v>
      </c>
      <c r="L42" s="364">
        <v>21354</v>
      </c>
      <c r="M42" s="354">
        <v>26197</v>
      </c>
      <c r="N42" s="616">
        <v>38847.490000000013</v>
      </c>
      <c r="O42" s="364">
        <v>31084</v>
      </c>
      <c r="P42" s="354">
        <v>34962</v>
      </c>
      <c r="Q42" s="616">
        <v>34246.489999999983</v>
      </c>
      <c r="R42" s="364">
        <v>27674</v>
      </c>
      <c r="S42" s="354">
        <v>38372</v>
      </c>
      <c r="T42" s="616">
        <v>44146.710000000021</v>
      </c>
      <c r="U42" s="364">
        <v>24757</v>
      </c>
      <c r="V42" s="354">
        <v>42024</v>
      </c>
      <c r="W42" s="616">
        <v>38343.53</v>
      </c>
      <c r="X42" s="364">
        <v>22985</v>
      </c>
      <c r="Y42" s="354">
        <v>26849</v>
      </c>
      <c r="Z42" s="616">
        <v>35020.199999999983</v>
      </c>
      <c r="AA42" s="364">
        <v>13964</v>
      </c>
      <c r="AB42" s="354">
        <v>35090</v>
      </c>
      <c r="AC42" s="616">
        <v>40138.079999999987</v>
      </c>
      <c r="AD42" s="364">
        <v>23156</v>
      </c>
      <c r="AE42" s="354">
        <v>343780.05983842636</v>
      </c>
      <c r="AF42" s="616">
        <v>27527.679999999989</v>
      </c>
      <c r="AG42" s="364">
        <v>26935</v>
      </c>
      <c r="AH42" s="354">
        <v>211191.27886995097</v>
      </c>
      <c r="AI42" s="616">
        <v>27797.950000000012</v>
      </c>
      <c r="AJ42" s="364">
        <v>32550</v>
      </c>
      <c r="AK42" s="354"/>
      <c r="AL42" s="616">
        <v>64208.340000000033</v>
      </c>
      <c r="AM42" s="885">
        <v>2.9612504956258487E-2</v>
      </c>
      <c r="AN42" s="1029">
        <v>18665.11</v>
      </c>
      <c r="AO42" s="1029">
        <v>22417.09</v>
      </c>
      <c r="AP42" s="1029">
        <v>68209.09</v>
      </c>
      <c r="AQ42" s="1029">
        <v>48598.25</v>
      </c>
      <c r="AR42" s="1029">
        <v>58385.5</v>
      </c>
      <c r="AS42" s="1029">
        <v>57553.63</v>
      </c>
      <c r="AT42" s="1029">
        <v>44239.64</v>
      </c>
      <c r="AU42" s="1029">
        <v>49574.39</v>
      </c>
      <c r="AV42" s="1029">
        <v>41127.1</v>
      </c>
      <c r="AW42" s="1029">
        <v>23927.35</v>
      </c>
      <c r="AX42" s="1029">
        <v>9887.14</v>
      </c>
      <c r="AY42" s="1029">
        <v>40977.519999999997</v>
      </c>
      <c r="AZ42" s="1029">
        <f>'MXD P&amp;L'!N45</f>
        <v>33899.94</v>
      </c>
      <c r="BA42" s="1029">
        <f>'MXD P&amp;L'!O45</f>
        <v>21220.91</v>
      </c>
      <c r="BB42" s="1029">
        <f>'MXD P&amp;L'!P45</f>
        <v>32132.78</v>
      </c>
      <c r="BC42" s="1029">
        <f>'MXD P&amp;L'!Q45</f>
        <v>45900.26</v>
      </c>
      <c r="BD42" s="1029">
        <f>'MXD P&amp;L'!R45</f>
        <v>32646.07</v>
      </c>
      <c r="BE42" s="1029">
        <f>'MXD P&amp;L'!S45</f>
        <v>49563</v>
      </c>
      <c r="BF42" s="1029">
        <f>'MXD P&amp;L'!T45</f>
        <v>51783.96</v>
      </c>
      <c r="BG42" s="1029"/>
      <c r="BH42" s="1029"/>
      <c r="BI42" s="1029"/>
      <c r="BJ42" s="1029"/>
      <c r="BK42" s="1029"/>
      <c r="BL42" s="1029">
        <f t="shared" si="3"/>
        <v>133153.89000000001</v>
      </c>
      <c r="BM42" s="1030">
        <v>291277</v>
      </c>
      <c r="BN42" s="1031">
        <v>807665.33870837733</v>
      </c>
      <c r="BO42" s="1032">
        <v>415950.27999999991</v>
      </c>
      <c r="BP42" s="1231">
        <f t="shared" si="4"/>
        <v>157889.53999999998</v>
      </c>
    </row>
    <row r="43" spans="1:68" x14ac:dyDescent="0.3">
      <c r="B43" t="s">
        <v>752</v>
      </c>
      <c r="C43" s="364">
        <v>2356</v>
      </c>
      <c r="D43" s="354">
        <v>3704</v>
      </c>
      <c r="E43" s="616">
        <v>689.95</v>
      </c>
      <c r="F43" s="364">
        <v>4690</v>
      </c>
      <c r="G43" s="354">
        <v>3762</v>
      </c>
      <c r="H43" s="616">
        <v>16979.96</v>
      </c>
      <c r="I43" s="364">
        <v>5376</v>
      </c>
      <c r="J43" s="354">
        <v>4371</v>
      </c>
      <c r="K43" s="616">
        <v>12417.87</v>
      </c>
      <c r="L43" s="364">
        <v>2068</v>
      </c>
      <c r="M43" s="354">
        <v>5094</v>
      </c>
      <c r="N43" s="616">
        <v>12622.95</v>
      </c>
      <c r="O43" s="364">
        <v>2723</v>
      </c>
      <c r="P43" s="354">
        <v>2573</v>
      </c>
      <c r="Q43" s="616">
        <v>10087.84</v>
      </c>
      <c r="R43" s="364">
        <v>3431</v>
      </c>
      <c r="S43" s="354">
        <v>11738</v>
      </c>
      <c r="T43" s="616">
        <v>9079.11</v>
      </c>
      <c r="U43" s="364">
        <v>7184</v>
      </c>
      <c r="V43" s="354">
        <v>2538</v>
      </c>
      <c r="W43" s="616">
        <v>7671.8600000000006</v>
      </c>
      <c r="X43" s="364">
        <v>2665</v>
      </c>
      <c r="Y43" s="354">
        <v>6728</v>
      </c>
      <c r="Z43" s="616">
        <v>811.66000000000349</v>
      </c>
      <c r="AA43" s="364">
        <v>4835</v>
      </c>
      <c r="AB43" s="354">
        <v>8983</v>
      </c>
      <c r="AC43" s="616">
        <v>12703.409999999991</v>
      </c>
      <c r="AD43" s="364">
        <v>2847</v>
      </c>
      <c r="AE43" s="354">
        <v>42267.31</v>
      </c>
      <c r="AF43" s="616">
        <v>854.24000000000524</v>
      </c>
      <c r="AG43" s="364">
        <v>4283</v>
      </c>
      <c r="AH43" s="354">
        <v>33582.04</v>
      </c>
      <c r="AI43" s="616">
        <v>3745.2100000000059</v>
      </c>
      <c r="AJ43" s="364">
        <v>5370</v>
      </c>
      <c r="AK43" s="354"/>
      <c r="AL43" s="616">
        <v>2718.610000000001</v>
      </c>
      <c r="AM43" s="885">
        <v>6.4754678753123837E-3</v>
      </c>
      <c r="AN43" s="1029">
        <v>3980.78</v>
      </c>
      <c r="AO43" s="1029">
        <v>4259.12</v>
      </c>
      <c r="AP43" s="1029">
        <v>2890.75</v>
      </c>
      <c r="AQ43" s="1029">
        <v>19194.169999999998</v>
      </c>
      <c r="AR43" s="1029">
        <v>3890.13</v>
      </c>
      <c r="AS43" s="1029">
        <v>14138.6</v>
      </c>
      <c r="AT43" s="1029">
        <v>4357.33</v>
      </c>
      <c r="AU43" s="1029">
        <v>6032.14</v>
      </c>
      <c r="AV43" s="1029">
        <v>3828.89</v>
      </c>
      <c r="AW43" s="1029">
        <v>2932.06</v>
      </c>
      <c r="AX43" s="1029">
        <v>2433.67</v>
      </c>
      <c r="AY43" s="1029">
        <v>2582.88</v>
      </c>
      <c r="AZ43" s="1029">
        <f>'MXD P&amp;L'!N46</f>
        <v>5752.42</v>
      </c>
      <c r="BA43" s="1029">
        <f>'MXD P&amp;L'!O46</f>
        <v>10800.92</v>
      </c>
      <c r="BB43" s="1029">
        <f>'MXD P&amp;L'!P46</f>
        <v>3140.65</v>
      </c>
      <c r="BC43" s="1029">
        <f>'MXD P&amp;L'!Q46</f>
        <v>684.03</v>
      </c>
      <c r="BD43" s="1029">
        <f>'MXD P&amp;L'!R46</f>
        <v>3176.49</v>
      </c>
      <c r="BE43" s="1029">
        <f>'MXD P&amp;L'!S46</f>
        <v>5902.83</v>
      </c>
      <c r="BF43" s="1029">
        <f>'MXD P&amp;L'!T46</f>
        <v>1734.6</v>
      </c>
      <c r="BG43" s="1029"/>
      <c r="BH43" s="1029"/>
      <c r="BI43" s="1029"/>
      <c r="BJ43" s="1029"/>
      <c r="BK43" s="1029"/>
      <c r="BL43" s="1029">
        <f t="shared" si="3"/>
        <v>20378.02</v>
      </c>
      <c r="BM43" s="1030">
        <v>47828</v>
      </c>
      <c r="BN43" s="1031">
        <v>125340.35</v>
      </c>
      <c r="BO43" s="1032">
        <v>90382.67</v>
      </c>
      <c r="BP43" s="1231">
        <f t="shared" si="4"/>
        <v>30324.82</v>
      </c>
    </row>
    <row r="44" spans="1:68" x14ac:dyDescent="0.3">
      <c r="B44" t="s">
        <v>750</v>
      </c>
      <c r="C44" s="364"/>
      <c r="D44" s="354"/>
      <c r="E44" s="616">
        <v>1829.44</v>
      </c>
      <c r="F44" s="364"/>
      <c r="G44" s="354"/>
      <c r="H44" s="616">
        <v>1829.44</v>
      </c>
      <c r="I44" s="364"/>
      <c r="J44" s="354"/>
      <c r="K44" s="616">
        <v>1829.44</v>
      </c>
      <c r="L44" s="364"/>
      <c r="M44" s="354"/>
      <c r="N44" s="616">
        <v>1829.44</v>
      </c>
      <c r="O44" s="364"/>
      <c r="P44" s="354"/>
      <c r="Q44" s="616">
        <v>1829.4599999999989</v>
      </c>
      <c r="R44" s="364"/>
      <c r="S44" s="354"/>
      <c r="T44" s="616">
        <v>1829.4600000000009</v>
      </c>
      <c r="U44" s="364"/>
      <c r="V44" s="354"/>
      <c r="W44" s="616">
        <v>1829.46</v>
      </c>
      <c r="X44" s="364"/>
      <c r="Y44" s="354"/>
      <c r="Z44" s="616">
        <v>1829.4600000000009</v>
      </c>
      <c r="AA44" s="364"/>
      <c r="AB44" s="354"/>
      <c r="AC44" s="616">
        <v>1829.4600000000009</v>
      </c>
      <c r="AD44" s="364"/>
      <c r="AE44" s="354"/>
      <c r="AF44" s="616">
        <v>1829.4599999999989</v>
      </c>
      <c r="AG44" s="364"/>
      <c r="AH44" s="354"/>
      <c r="AI44" s="616">
        <v>1829.4599999999989</v>
      </c>
      <c r="AJ44" s="364"/>
      <c r="AK44" s="354"/>
      <c r="AL44" s="616">
        <v>1829.4599999999989</v>
      </c>
      <c r="AM44" s="884">
        <v>0.23108884210526315</v>
      </c>
      <c r="AN44" s="1029">
        <v>1829.46</v>
      </c>
      <c r="AO44" s="1029">
        <v>1829.46</v>
      </c>
      <c r="AP44" s="1029">
        <v>1829.46</v>
      </c>
      <c r="AQ44" s="1029">
        <v>1829.46</v>
      </c>
      <c r="AR44" s="1029">
        <v>1829.46</v>
      </c>
      <c r="AS44" s="1029">
        <v>1829.46</v>
      </c>
      <c r="AT44" s="1029">
        <v>1829.46</v>
      </c>
      <c r="AU44" s="1029">
        <v>1829.46</v>
      </c>
      <c r="AV44" s="1029">
        <v>1829.46</v>
      </c>
      <c r="AW44" s="1029">
        <v>1829.46</v>
      </c>
      <c r="AX44" s="1029">
        <v>1829.46</v>
      </c>
      <c r="AY44" s="1029">
        <v>1829.46</v>
      </c>
      <c r="AZ44" s="1029">
        <f>'MXD P&amp;L'!N101</f>
        <v>1829.46</v>
      </c>
      <c r="BA44" s="1029">
        <f>'MXD P&amp;L'!O101</f>
        <v>1829.46</v>
      </c>
      <c r="BB44" s="1029">
        <f>'MXD P&amp;L'!P101</f>
        <v>1829.46</v>
      </c>
      <c r="BC44" s="1029">
        <f>'MXD P&amp;L'!Q101</f>
        <v>1829.46</v>
      </c>
      <c r="BD44" s="1029">
        <f>'MXD P&amp;L'!R101</f>
        <v>1829.46</v>
      </c>
      <c r="BE44" s="1029">
        <f>'MXD P&amp;L'!S101</f>
        <v>1829.46</v>
      </c>
      <c r="BF44" s="1029">
        <f>'MXD P&amp;L'!T101</f>
        <v>1829.46</v>
      </c>
      <c r="BG44" s="1029"/>
      <c r="BH44" s="1029"/>
      <c r="BI44" s="1029"/>
      <c r="BJ44" s="1029"/>
      <c r="BK44" s="1029"/>
      <c r="BL44" s="1029">
        <f>SUM(AZ44:BC44)</f>
        <v>7317.84</v>
      </c>
      <c r="BM44" s="1030">
        <v>0</v>
      </c>
      <c r="BN44" s="1031">
        <v>0</v>
      </c>
      <c r="BO44" s="1032">
        <v>21953.439999999995</v>
      </c>
      <c r="BP44" s="1231">
        <f>SUM(AN44:AQ44)</f>
        <v>7317.84</v>
      </c>
    </row>
    <row r="45" spans="1:68" x14ac:dyDescent="0.3">
      <c r="B45" s="2" t="s">
        <v>64</v>
      </c>
      <c r="C45" s="366">
        <v>702805</v>
      </c>
      <c r="D45" s="358">
        <v>359577</v>
      </c>
      <c r="E45" s="359">
        <v>244858.88853700002</v>
      </c>
      <c r="F45" s="366">
        <v>353053</v>
      </c>
      <c r="G45" s="358">
        <v>577799</v>
      </c>
      <c r="H45" s="359">
        <v>393047.30115400004</v>
      </c>
      <c r="I45" s="366">
        <v>846877</v>
      </c>
      <c r="J45" s="358">
        <v>408273</v>
      </c>
      <c r="K45" s="359">
        <v>610905.53999999992</v>
      </c>
      <c r="L45" s="366">
        <v>484553</v>
      </c>
      <c r="M45" s="358">
        <v>369302</v>
      </c>
      <c r="N45" s="359">
        <v>462047.96</v>
      </c>
      <c r="O45" s="366">
        <v>423180</v>
      </c>
      <c r="P45" s="358">
        <v>619019</v>
      </c>
      <c r="Q45" s="359">
        <v>571799.94999999995</v>
      </c>
      <c r="R45" s="366">
        <v>622286</v>
      </c>
      <c r="S45" s="358">
        <v>486122</v>
      </c>
      <c r="T45" s="359">
        <v>481434.84000000008</v>
      </c>
      <c r="U45" s="366">
        <v>658877</v>
      </c>
      <c r="V45" s="358">
        <v>456527</v>
      </c>
      <c r="W45" s="359">
        <v>403113.1</v>
      </c>
      <c r="X45" s="366">
        <v>416966</v>
      </c>
      <c r="Y45" s="358">
        <v>506061</v>
      </c>
      <c r="Z45" s="359">
        <v>697631.0199999999</v>
      </c>
      <c r="AA45" s="366">
        <v>337867</v>
      </c>
      <c r="AB45" s="358">
        <v>546232</v>
      </c>
      <c r="AC45" s="359">
        <v>566612.53999999992</v>
      </c>
      <c r="AD45" s="366">
        <v>447330</v>
      </c>
      <c r="AE45" s="358">
        <v>736989.13983842637</v>
      </c>
      <c r="AF45" s="359">
        <v>953396.84999999986</v>
      </c>
      <c r="AG45" s="366">
        <v>513155</v>
      </c>
      <c r="AH45" s="358">
        <v>832602.48886995111</v>
      </c>
      <c r="AI45" s="359">
        <v>570261.51</v>
      </c>
      <c r="AJ45" s="366">
        <v>1168552</v>
      </c>
      <c r="AK45" s="358">
        <v>0</v>
      </c>
      <c r="AL45" s="359">
        <v>1142595.9000000004</v>
      </c>
      <c r="AM45" s="358"/>
      <c r="AN45" s="1041">
        <v>638154.24000000011</v>
      </c>
      <c r="AO45" s="1041">
        <v>890068.60999999987</v>
      </c>
      <c r="AP45" s="1041">
        <v>1084371.83</v>
      </c>
      <c r="AQ45" s="1041">
        <v>894203.34</v>
      </c>
      <c r="AR45" s="1041">
        <v>1023892.1699999999</v>
      </c>
      <c r="AS45" s="1041">
        <v>929756.42000000016</v>
      </c>
      <c r="AT45" s="1041">
        <v>614500.21</v>
      </c>
      <c r="AU45" s="1041">
        <v>694752.98</v>
      </c>
      <c r="AV45" s="1041">
        <v>774212.96999999986</v>
      </c>
      <c r="AW45" s="1041">
        <v>494243.16000000003</v>
      </c>
      <c r="AX45" s="1041">
        <v>416005.15</v>
      </c>
      <c r="AY45" s="1041">
        <v>649365.87</v>
      </c>
      <c r="AZ45" s="1041">
        <f t="shared" ref="AZ45:BE45" si="5">SUM(AZ32:AZ43)</f>
        <v>557353.72999999986</v>
      </c>
      <c r="BA45" s="1041">
        <f t="shared" si="5"/>
        <v>495794.50999999995</v>
      </c>
      <c r="BB45" s="1041">
        <f t="shared" si="5"/>
        <v>973410.45000000007</v>
      </c>
      <c r="BC45" s="1041">
        <f t="shared" si="5"/>
        <v>840878.31</v>
      </c>
      <c r="BD45" s="1041">
        <f t="shared" si="5"/>
        <v>349091.61999999982</v>
      </c>
      <c r="BE45" s="1041">
        <f t="shared" si="5"/>
        <v>1039314.83</v>
      </c>
      <c r="BF45" s="1041">
        <f>SUM(BF32:BF44)</f>
        <v>613459.9099999998</v>
      </c>
      <c r="BG45" s="1041"/>
      <c r="BH45" s="1041"/>
      <c r="BI45" s="1041"/>
      <c r="BJ45" s="1041"/>
      <c r="BK45" s="1041"/>
      <c r="BL45" s="1041">
        <f>SUM(BL32:BL43)</f>
        <v>2867437</v>
      </c>
      <c r="BM45" s="1042">
        <v>6671025</v>
      </c>
      <c r="BN45" s="1041">
        <v>5898503.6287083775</v>
      </c>
      <c r="BO45" s="1043">
        <v>6086254.0996910008</v>
      </c>
      <c r="BP45" s="1043">
        <f>SUM(BP32:BP43)</f>
        <v>3499480.18</v>
      </c>
    </row>
    <row r="46" spans="1:68" x14ac:dyDescent="0.3">
      <c r="C46" s="367">
        <v>0.64757524968049929</v>
      </c>
      <c r="D46" s="360">
        <v>0.47141008614665775</v>
      </c>
      <c r="E46" s="361">
        <v>0.68818854141396846</v>
      </c>
      <c r="F46" s="367">
        <v>0.58091622898813988</v>
      </c>
      <c r="G46" s="360">
        <v>0.65736516481941198</v>
      </c>
      <c r="H46" s="361">
        <v>0.58614744019388854</v>
      </c>
      <c r="I46" s="367">
        <v>0.51342744101395732</v>
      </c>
      <c r="J46" s="360">
        <v>0.61782504543576722</v>
      </c>
      <c r="K46" s="361">
        <v>0.53514163723421648</v>
      </c>
      <c r="L46" s="367">
        <v>0.61890328793928384</v>
      </c>
      <c r="M46" s="360">
        <v>0.55448336333703185</v>
      </c>
      <c r="N46" s="361">
        <v>0.63924045309087429</v>
      </c>
      <c r="O46" s="367">
        <v>0.57486738166233098</v>
      </c>
      <c r="P46" s="360">
        <v>0.55456670318870549</v>
      </c>
      <c r="Q46" s="361">
        <v>0.6341599761286103</v>
      </c>
      <c r="R46" s="367">
        <v>0.54584623859359194</v>
      </c>
      <c r="S46" s="360">
        <v>0.58309403690082928</v>
      </c>
      <c r="T46" s="361">
        <v>0.51009394277823417</v>
      </c>
      <c r="U46" s="367">
        <v>0.67861869649987794</v>
      </c>
      <c r="V46" s="360">
        <v>0.60863612245061205</v>
      </c>
      <c r="W46" s="361">
        <v>0.43565836571539085</v>
      </c>
      <c r="X46" s="367">
        <v>0.55011827847753891</v>
      </c>
      <c r="Y46" s="360">
        <v>0.62695015603726068</v>
      </c>
      <c r="Z46" s="361">
        <v>0.57900831308083966</v>
      </c>
      <c r="AA46" s="367">
        <v>0.66275071352210202</v>
      </c>
      <c r="AB46" s="360">
        <v>0.63281354989689287</v>
      </c>
      <c r="AC46" s="361">
        <v>0.52069594683659493</v>
      </c>
      <c r="AD46" s="367">
        <v>0.66671535414176397</v>
      </c>
      <c r="AE46" s="360"/>
      <c r="AF46" s="361">
        <v>0.60141130011283761</v>
      </c>
      <c r="AG46" s="367">
        <v>0.58576730031425539</v>
      </c>
      <c r="AH46" s="360"/>
      <c r="AI46" s="361">
        <v>0.55991188043638063</v>
      </c>
      <c r="AJ46" s="367">
        <v>0.65085233633616235</v>
      </c>
      <c r="AK46" s="360"/>
      <c r="AL46" s="361">
        <v>0.57207128740774371</v>
      </c>
      <c r="AM46" s="360"/>
      <c r="AN46" s="1044">
        <v>0.61108129750882545</v>
      </c>
      <c r="AO46" s="1044"/>
      <c r="AP46" s="1044"/>
      <c r="AQ46" s="1044"/>
      <c r="AR46" s="1044"/>
      <c r="AS46" s="1044"/>
      <c r="AT46" s="1044"/>
      <c r="AU46" s="1044"/>
      <c r="AV46" s="1044"/>
      <c r="AW46" s="1044"/>
      <c r="AX46" s="1044"/>
      <c r="AY46" s="1044"/>
      <c r="AZ46" s="1044"/>
      <c r="BA46" s="1044"/>
      <c r="BB46" s="1044"/>
      <c r="BC46" s="1044"/>
      <c r="BD46" s="1044"/>
      <c r="BE46" s="1044"/>
      <c r="BF46" s="1044"/>
      <c r="BG46" s="1044"/>
      <c r="BH46" s="1044"/>
      <c r="BI46" s="1044"/>
      <c r="BJ46" s="1044"/>
      <c r="BK46" s="1044"/>
      <c r="BL46" s="1044"/>
      <c r="BM46" s="1045">
        <v>0.59679086776520152</v>
      </c>
      <c r="BN46" s="1044">
        <v>0.65637121320344227</v>
      </c>
      <c r="BO46" s="1046">
        <v>0.58639847485208052</v>
      </c>
      <c r="BP46" s="1046"/>
    </row>
    <row r="47" spans="1:68" x14ac:dyDescent="0.3">
      <c r="B47" s="7" t="s">
        <v>65</v>
      </c>
      <c r="C47" s="351"/>
      <c r="D47" s="1"/>
      <c r="E47" s="353"/>
      <c r="F47" s="351"/>
      <c r="G47" s="1"/>
      <c r="H47" s="353"/>
      <c r="I47" s="351"/>
      <c r="J47" s="1"/>
      <c r="K47" s="353"/>
      <c r="L47" s="351"/>
      <c r="M47" s="1"/>
      <c r="N47" s="353"/>
      <c r="O47" s="351"/>
      <c r="P47" s="1"/>
      <c r="Q47" s="353"/>
      <c r="R47" s="351"/>
      <c r="S47" s="1"/>
      <c r="T47" s="353"/>
      <c r="U47" s="351"/>
      <c r="V47" s="1"/>
      <c r="W47" s="353"/>
      <c r="X47" s="351"/>
      <c r="Y47" s="1"/>
      <c r="Z47" s="353"/>
      <c r="AA47" s="351"/>
      <c r="AB47" s="1"/>
      <c r="AC47" s="353"/>
      <c r="AD47" s="351"/>
      <c r="AE47" s="1"/>
      <c r="AF47" s="353"/>
      <c r="AG47" s="351"/>
      <c r="AH47" s="1"/>
      <c r="AI47" s="353"/>
      <c r="AJ47" s="351"/>
      <c r="AK47" s="1"/>
      <c r="AL47" s="353"/>
      <c r="AM47" s="1"/>
      <c r="AN47" s="1028"/>
      <c r="AO47" s="1028"/>
      <c r="AP47" s="1028"/>
      <c r="AQ47" s="1028"/>
      <c r="AR47" s="1028"/>
      <c r="AS47" s="1028"/>
      <c r="AT47" s="1028"/>
      <c r="AU47" s="1028"/>
      <c r="AV47" s="1028"/>
      <c r="AW47" s="1028"/>
      <c r="AX47" s="1028"/>
      <c r="AY47" s="1028"/>
      <c r="AZ47" s="1028"/>
      <c r="BA47" s="1028"/>
      <c r="BB47" s="1028"/>
      <c r="BC47" s="1028"/>
      <c r="BD47" s="1028"/>
      <c r="BE47" s="1028"/>
      <c r="BF47" s="1028"/>
      <c r="BG47" s="1028"/>
      <c r="BH47" s="1028"/>
      <c r="BI47" s="1028"/>
      <c r="BJ47" s="1028"/>
      <c r="BK47" s="1028"/>
      <c r="BL47" s="1028"/>
      <c r="BM47" s="1039"/>
      <c r="BN47" s="1028"/>
      <c r="BO47" s="1040"/>
      <c r="BP47" s="1040"/>
    </row>
    <row r="48" spans="1:68" x14ac:dyDescent="0.3">
      <c r="A48" t="s">
        <v>617</v>
      </c>
      <c r="B48" t="s">
        <v>617</v>
      </c>
      <c r="C48" s="364">
        <v>375</v>
      </c>
      <c r="D48" s="354">
        <v>593</v>
      </c>
      <c r="E48" s="616">
        <v>-15.1548</v>
      </c>
      <c r="F48" s="364">
        <v>469</v>
      </c>
      <c r="G48" s="354">
        <v>204</v>
      </c>
      <c r="H48" s="616">
        <v>16.339999999999989</v>
      </c>
      <c r="I48" s="364">
        <v>-1418</v>
      </c>
      <c r="J48" s="354">
        <v>172</v>
      </c>
      <c r="K48" s="616">
        <v>-99.19</v>
      </c>
      <c r="L48" s="364">
        <v>2613</v>
      </c>
      <c r="M48" s="354">
        <v>-29</v>
      </c>
      <c r="N48" s="616">
        <v>-374.26</v>
      </c>
      <c r="O48" s="364">
        <v>561</v>
      </c>
      <c r="P48" s="354">
        <v>195</v>
      </c>
      <c r="Q48" s="616">
        <v>1444.34</v>
      </c>
      <c r="R48" s="364">
        <v>547</v>
      </c>
      <c r="S48" s="354">
        <v>-54</v>
      </c>
      <c r="T48" s="616">
        <v>3410.76</v>
      </c>
      <c r="U48" s="364">
        <v>2211</v>
      </c>
      <c r="V48" s="354">
        <v>26</v>
      </c>
      <c r="W48" s="616">
        <v>2994.65</v>
      </c>
      <c r="X48" s="364">
        <v>-36</v>
      </c>
      <c r="Y48" s="354">
        <v>724</v>
      </c>
      <c r="Z48" s="616">
        <v>141.15999999999804</v>
      </c>
      <c r="AA48" s="364">
        <v>-559</v>
      </c>
      <c r="AB48" s="354">
        <v>-2959</v>
      </c>
      <c r="AC48" s="616">
        <v>-145.85999999999785</v>
      </c>
      <c r="AD48" s="364">
        <v>-986</v>
      </c>
      <c r="AE48" s="354">
        <v>-986</v>
      </c>
      <c r="AF48" s="616">
        <v>-7319.0400000000009</v>
      </c>
      <c r="AG48" s="364">
        <v>288</v>
      </c>
      <c r="AH48" s="354">
        <v>288</v>
      </c>
      <c r="AI48" s="616">
        <v>521.39999999999964</v>
      </c>
      <c r="AJ48" s="364">
        <v>-1499</v>
      </c>
      <c r="AK48" s="354"/>
      <c r="AL48" s="616">
        <v>-7130.7300000000014</v>
      </c>
      <c r="AM48" s="600">
        <v>-9966.3448000000026</v>
      </c>
      <c r="AN48" s="1029">
        <v>3825.52</v>
      </c>
      <c r="AO48" s="1029">
        <v>22622.7</v>
      </c>
      <c r="AP48" s="1029">
        <v>6592.04</v>
      </c>
      <c r="AQ48" s="1029">
        <v>1472.1</v>
      </c>
      <c r="AR48" s="1029">
        <v>24</v>
      </c>
      <c r="AS48" s="1029">
        <v>-2034.59</v>
      </c>
      <c r="AT48" s="1029">
        <v>735.04</v>
      </c>
      <c r="AU48" s="1029">
        <v>2093.33</v>
      </c>
      <c r="AV48" s="1029">
        <v>1275.1300000000001</v>
      </c>
      <c r="AW48" s="1029">
        <v>1115.22</v>
      </c>
      <c r="AX48" s="1029">
        <v>-1456.35</v>
      </c>
      <c r="AY48" s="1029">
        <v>5012.6000000000004</v>
      </c>
      <c r="AZ48" s="1029">
        <f>'MXD P&amp;L'!N31</f>
        <v>-669.7</v>
      </c>
      <c r="BA48" s="1029">
        <f>'MXD P&amp;L'!O31</f>
        <v>-1146.55</v>
      </c>
      <c r="BB48" s="1029">
        <f>'MXD P&amp;L'!P31</f>
        <v>-13476.58</v>
      </c>
      <c r="BC48" s="1029">
        <f>'MXD P&amp;L'!Q31</f>
        <v>-3960.9</v>
      </c>
      <c r="BD48" s="1029">
        <f>'MXD P&amp;L'!R31</f>
        <v>595.13</v>
      </c>
      <c r="BE48" s="1029">
        <f>'MXD P&amp;L'!S31</f>
        <v>-31110.28</v>
      </c>
      <c r="BF48" s="1029">
        <f>'MXD P&amp;L'!T31</f>
        <v>-2890.44</v>
      </c>
      <c r="BG48" s="1029"/>
      <c r="BH48" s="1029"/>
      <c r="BI48" s="1029"/>
      <c r="BJ48" s="1029"/>
      <c r="BK48" s="1029"/>
      <c r="BL48" s="1029">
        <f t="shared" ref="BL48:BL63" si="6">SUM(AZ48:BC48)</f>
        <v>-19253.73</v>
      </c>
      <c r="BM48" s="1030">
        <v>2566</v>
      </c>
      <c r="BN48" s="1031">
        <v>-1826</v>
      </c>
      <c r="BO48" s="1032">
        <v>-6555.5848000000015</v>
      </c>
      <c r="BP48" s="1032">
        <f t="shared" ref="BP48:BP63" si="7">SUM(AN48:AQ48)</f>
        <v>34512.36</v>
      </c>
    </row>
    <row r="49" spans="1:69" x14ac:dyDescent="0.3">
      <c r="A49" t="s">
        <v>618</v>
      </c>
      <c r="B49" t="s">
        <v>618</v>
      </c>
      <c r="C49" s="364"/>
      <c r="D49" s="354"/>
      <c r="E49" s="616"/>
      <c r="F49" s="364"/>
      <c r="G49" s="354"/>
      <c r="H49" s="616"/>
      <c r="I49" s="364"/>
      <c r="J49" s="354"/>
      <c r="K49" s="616"/>
      <c r="L49" s="364"/>
      <c r="M49" s="354"/>
      <c r="N49" s="616"/>
      <c r="O49" s="364"/>
      <c r="P49" s="354"/>
      <c r="Q49" s="616"/>
      <c r="R49" s="364"/>
      <c r="S49" s="354"/>
      <c r="T49" s="616"/>
      <c r="U49" s="364"/>
      <c r="V49" s="354"/>
      <c r="W49" s="616"/>
      <c r="X49" s="364"/>
      <c r="Y49" s="354"/>
      <c r="Z49" s="616"/>
      <c r="AA49" s="364"/>
      <c r="AB49" s="354"/>
      <c r="AC49" s="616"/>
      <c r="AD49" s="364"/>
      <c r="AE49" s="354"/>
      <c r="AF49" s="616"/>
      <c r="AG49" s="364"/>
      <c r="AH49" s="354"/>
      <c r="AI49" s="616"/>
      <c r="AJ49" s="364"/>
      <c r="AK49" s="354"/>
      <c r="AL49" s="616"/>
      <c r="AM49" s="600"/>
      <c r="AN49" s="1029">
        <v>0</v>
      </c>
      <c r="AO49" s="1029">
        <v>0</v>
      </c>
      <c r="AP49" s="1029">
        <v>0</v>
      </c>
      <c r="AQ49" s="1029">
        <v>0</v>
      </c>
      <c r="AR49" s="1029">
        <v>0</v>
      </c>
      <c r="AS49" s="1029">
        <v>-295.45</v>
      </c>
      <c r="AT49" s="1029">
        <v>185.12</v>
      </c>
      <c r="AU49" s="1029">
        <v>45.84</v>
      </c>
      <c r="AV49" s="1029">
        <v>150.18</v>
      </c>
      <c r="AW49" s="1029">
        <v>5025.88</v>
      </c>
      <c r="AX49" s="1029">
        <v>-172.59</v>
      </c>
      <c r="AY49" s="1029">
        <v>-4354.91</v>
      </c>
      <c r="AZ49" s="1029">
        <f>'MXD P&amp;L'!N32</f>
        <v>47.62</v>
      </c>
      <c r="BA49" s="1029">
        <f>'MXD P&amp;L'!O32</f>
        <v>-1.73</v>
      </c>
      <c r="BB49" s="1029">
        <f>'MXD P&amp;L'!P32</f>
        <v>15.25</v>
      </c>
      <c r="BC49" s="1029">
        <f>'MXD P&amp;L'!Q32</f>
        <v>237</v>
      </c>
      <c r="BD49" s="1029">
        <f>'MXD P&amp;L'!R32</f>
        <v>-281.92</v>
      </c>
      <c r="BE49" s="1029">
        <f>'MXD P&amp;L'!S32</f>
        <v>-9.6</v>
      </c>
      <c r="BF49" s="1029">
        <f>'MXD P&amp;L'!T32</f>
        <v>-72.52</v>
      </c>
      <c r="BG49" s="1029"/>
      <c r="BH49" s="1029"/>
      <c r="BI49" s="1029"/>
      <c r="BJ49" s="1029"/>
      <c r="BK49" s="1029"/>
      <c r="BL49" s="1029">
        <f t="shared" si="6"/>
        <v>298.14</v>
      </c>
      <c r="BM49" s="1030"/>
      <c r="BN49" s="1031"/>
      <c r="BO49" s="1032"/>
      <c r="BP49" s="1032">
        <f t="shared" si="7"/>
        <v>0</v>
      </c>
      <c r="BQ49" s="27"/>
    </row>
    <row r="50" spans="1:69" x14ac:dyDescent="0.3">
      <c r="A50" t="s">
        <v>619</v>
      </c>
      <c r="B50" t="s">
        <v>619</v>
      </c>
      <c r="C50" s="364"/>
      <c r="D50" s="354"/>
      <c r="E50" s="616"/>
      <c r="F50" s="364"/>
      <c r="G50" s="354"/>
      <c r="H50" s="616"/>
      <c r="I50" s="364"/>
      <c r="J50" s="354"/>
      <c r="K50" s="616"/>
      <c r="L50" s="364"/>
      <c r="M50" s="354"/>
      <c r="N50" s="616"/>
      <c r="O50" s="364"/>
      <c r="P50" s="354"/>
      <c r="Q50" s="616"/>
      <c r="R50" s="364"/>
      <c r="S50" s="354"/>
      <c r="T50" s="616"/>
      <c r="U50" s="364"/>
      <c r="V50" s="354"/>
      <c r="W50" s="616"/>
      <c r="X50" s="364"/>
      <c r="Y50" s="354"/>
      <c r="Z50" s="616"/>
      <c r="AA50" s="364"/>
      <c r="AB50" s="354"/>
      <c r="AC50" s="616"/>
      <c r="AD50" s="364"/>
      <c r="AE50" s="354"/>
      <c r="AF50" s="616"/>
      <c r="AG50" s="364"/>
      <c r="AH50" s="354"/>
      <c r="AI50" s="616"/>
      <c r="AJ50" s="364"/>
      <c r="AK50" s="354"/>
      <c r="AL50" s="616"/>
      <c r="AM50" s="600"/>
      <c r="AN50" s="1029">
        <v>0</v>
      </c>
      <c r="AO50" s="1029">
        <v>0</v>
      </c>
      <c r="AP50" s="1029">
        <v>0</v>
      </c>
      <c r="AQ50" s="1029">
        <v>0</v>
      </c>
      <c r="AR50" s="1029">
        <v>0</v>
      </c>
      <c r="AS50" s="1029">
        <v>-218.7</v>
      </c>
      <c r="AT50" s="1029">
        <v>0</v>
      </c>
      <c r="AU50" s="1029">
        <v>0</v>
      </c>
      <c r="AV50" s="1029">
        <v>218.7</v>
      </c>
      <c r="AW50" s="1029">
        <v>0</v>
      </c>
      <c r="AX50" s="1029">
        <v>0</v>
      </c>
      <c r="AY50" s="1029">
        <v>0</v>
      </c>
      <c r="AZ50" s="1029">
        <f>'MXD P&amp;L'!N33</f>
        <v>0</v>
      </c>
      <c r="BA50" s="1029">
        <f>'MXD P&amp;L'!O33</f>
        <v>0</v>
      </c>
      <c r="BB50" s="1029">
        <f>'MXD P&amp;L'!P33</f>
        <v>0</v>
      </c>
      <c r="BC50" s="1029">
        <f>'MXD P&amp;L'!Q33</f>
        <v>0</v>
      </c>
      <c r="BD50" s="1029">
        <f>'MXD P&amp;L'!R33</f>
        <v>0</v>
      </c>
      <c r="BE50" s="1029">
        <f>'MXD P&amp;L'!S33</f>
        <v>0</v>
      </c>
      <c r="BF50" s="1029">
        <f>'MXD P&amp;L'!T33</f>
        <v>5</v>
      </c>
      <c r="BG50" s="1029"/>
      <c r="BH50" s="1029"/>
      <c r="BI50" s="1029"/>
      <c r="BJ50" s="1029"/>
      <c r="BK50" s="1029"/>
      <c r="BL50" s="1029">
        <f t="shared" si="6"/>
        <v>0</v>
      </c>
      <c r="BM50" s="1030"/>
      <c r="BN50" s="1031"/>
      <c r="BO50" s="1032"/>
      <c r="BP50" s="1032">
        <f t="shared" si="7"/>
        <v>0</v>
      </c>
    </row>
    <row r="51" spans="1:69" x14ac:dyDescent="0.3">
      <c r="A51" t="s">
        <v>609</v>
      </c>
      <c r="B51" t="s">
        <v>609</v>
      </c>
      <c r="C51" s="364"/>
      <c r="D51" s="354"/>
      <c r="E51" s="616"/>
      <c r="F51" s="364"/>
      <c r="G51" s="354"/>
      <c r="H51" s="616"/>
      <c r="I51" s="364"/>
      <c r="J51" s="354"/>
      <c r="K51" s="616"/>
      <c r="L51" s="364"/>
      <c r="M51" s="354"/>
      <c r="N51" s="616"/>
      <c r="O51" s="364"/>
      <c r="P51" s="354"/>
      <c r="Q51" s="616"/>
      <c r="R51" s="364"/>
      <c r="S51" s="354"/>
      <c r="T51" s="616"/>
      <c r="U51" s="364"/>
      <c r="V51" s="354"/>
      <c r="W51" s="616"/>
      <c r="X51" s="364"/>
      <c r="Y51" s="354"/>
      <c r="Z51" s="616"/>
      <c r="AA51" s="364"/>
      <c r="AB51" s="354"/>
      <c r="AC51" s="616"/>
      <c r="AD51" s="364"/>
      <c r="AE51" s="354"/>
      <c r="AF51" s="616"/>
      <c r="AG51" s="364"/>
      <c r="AH51" s="354"/>
      <c r="AI51" s="616"/>
      <c r="AJ51" s="364"/>
      <c r="AK51" s="354"/>
      <c r="AL51" s="616"/>
      <c r="AM51" s="600"/>
      <c r="AN51" s="1029">
        <v>0</v>
      </c>
      <c r="AO51" s="1029">
        <v>0</v>
      </c>
      <c r="AP51" s="1029">
        <v>0</v>
      </c>
      <c r="AQ51" s="1029">
        <v>0</v>
      </c>
      <c r="AR51" s="1029">
        <v>0</v>
      </c>
      <c r="AS51" s="1029">
        <v>3483.58</v>
      </c>
      <c r="AT51" s="1029">
        <v>4940.46</v>
      </c>
      <c r="AU51" s="1029">
        <v>5554.71</v>
      </c>
      <c r="AV51" s="1029">
        <v>1348.25</v>
      </c>
      <c r="AW51" s="1029">
        <v>1619.7</v>
      </c>
      <c r="AX51" s="1029">
        <v>2075.27</v>
      </c>
      <c r="AY51" s="1029">
        <v>6741.08</v>
      </c>
      <c r="AZ51" s="1029">
        <f>'MXD P&amp;L'!N34</f>
        <v>1053.83</v>
      </c>
      <c r="BA51" s="1029">
        <f>'MXD P&amp;L'!O34</f>
        <v>1282.51</v>
      </c>
      <c r="BB51" s="1029">
        <f>'MXD P&amp;L'!P34</f>
        <v>1315.99</v>
      </c>
      <c r="BC51" s="1029">
        <f>'MXD P&amp;L'!Q34</f>
        <v>3366.93</v>
      </c>
      <c r="BD51" s="1029">
        <f>'MXD P&amp;L'!R34</f>
        <v>9192.4599999999991</v>
      </c>
      <c r="BE51" s="1029">
        <f>'MXD P&amp;L'!S34</f>
        <v>7843.54</v>
      </c>
      <c r="BF51" s="1029">
        <f>'MXD P&amp;L'!T34</f>
        <v>4073.37</v>
      </c>
      <c r="BG51" s="1029"/>
      <c r="BH51" s="1029"/>
      <c r="BI51" s="1029"/>
      <c r="BJ51" s="1029"/>
      <c r="BK51" s="1029"/>
      <c r="BL51" s="1029">
        <f t="shared" si="6"/>
        <v>7019.26</v>
      </c>
      <c r="BM51" s="1030"/>
      <c r="BN51" s="1031"/>
      <c r="BO51" s="1032"/>
      <c r="BP51" s="1032">
        <f t="shared" si="7"/>
        <v>0</v>
      </c>
    </row>
    <row r="52" spans="1:69" x14ac:dyDescent="0.3">
      <c r="A52" t="s">
        <v>610</v>
      </c>
      <c r="B52" t="s">
        <v>610</v>
      </c>
      <c r="C52" s="364">
        <v>5767</v>
      </c>
      <c r="D52" s="354">
        <v>6079</v>
      </c>
      <c r="E52" s="616">
        <v>1395.6911359999999</v>
      </c>
      <c r="F52" s="364">
        <v>4858</v>
      </c>
      <c r="G52" s="354">
        <v>5739</v>
      </c>
      <c r="H52" s="616">
        <v>4036.08</v>
      </c>
      <c r="I52" s="364">
        <v>7157</v>
      </c>
      <c r="J52" s="354">
        <v>6319</v>
      </c>
      <c r="K52" s="616">
        <v>4674.3499999999995</v>
      </c>
      <c r="L52" s="364">
        <v>6537</v>
      </c>
      <c r="M52" s="354">
        <v>7759</v>
      </c>
      <c r="N52" s="616">
        <v>5740.2300000000005</v>
      </c>
      <c r="O52" s="364">
        <v>7035</v>
      </c>
      <c r="P52" s="354">
        <v>5330</v>
      </c>
      <c r="Q52" s="616">
        <v>10641.02</v>
      </c>
      <c r="R52" s="364">
        <v>5878</v>
      </c>
      <c r="S52" s="354">
        <v>7616</v>
      </c>
      <c r="T52" s="616">
        <v>9792.3999999999978</v>
      </c>
      <c r="U52" s="364">
        <v>5206</v>
      </c>
      <c r="V52" s="354">
        <v>10956</v>
      </c>
      <c r="W52" s="616">
        <v>6534.3700000000026</v>
      </c>
      <c r="X52" s="364">
        <v>6346</v>
      </c>
      <c r="Y52" s="354">
        <v>6783</v>
      </c>
      <c r="Z52" s="616">
        <v>9967.4500000000044</v>
      </c>
      <c r="AA52" s="364">
        <v>6837</v>
      </c>
      <c r="AB52" s="354">
        <v>7695</v>
      </c>
      <c r="AC52" s="616">
        <v>11085.88</v>
      </c>
      <c r="AD52" s="364">
        <v>7359</v>
      </c>
      <c r="AE52" s="354">
        <v>7359</v>
      </c>
      <c r="AF52" s="616">
        <v>11890.499999999991</v>
      </c>
      <c r="AG52" s="364">
        <v>4905</v>
      </c>
      <c r="AH52" s="354">
        <v>4905</v>
      </c>
      <c r="AI52" s="616">
        <v>9483.9100000000035</v>
      </c>
      <c r="AJ52" s="364">
        <v>5216</v>
      </c>
      <c r="AK52" s="354"/>
      <c r="AL52" s="616">
        <v>8531.3099999999977</v>
      </c>
      <c r="AM52" s="600">
        <v>83980.791135999985</v>
      </c>
      <c r="AN52" s="1029">
        <v>7400.75</v>
      </c>
      <c r="AO52" s="1029">
        <v>9492.0400000000009</v>
      </c>
      <c r="AP52" s="1029">
        <v>10155.32</v>
      </c>
      <c r="AQ52" s="1029">
        <v>13556.74</v>
      </c>
      <c r="AR52" s="1029">
        <v>10938.48</v>
      </c>
      <c r="AS52" s="1029">
        <v>8780.67</v>
      </c>
      <c r="AT52" s="1029">
        <v>11243.34</v>
      </c>
      <c r="AU52" s="1029">
        <v>10918.32</v>
      </c>
      <c r="AV52" s="1029">
        <v>8088.61</v>
      </c>
      <c r="AW52" s="1029">
        <v>14991.08</v>
      </c>
      <c r="AX52" s="1029">
        <v>10456.290000000001</v>
      </c>
      <c r="AY52" s="1029">
        <v>9473.17</v>
      </c>
      <c r="AZ52" s="1029">
        <f>'MXD P&amp;L'!N35</f>
        <v>9229.65</v>
      </c>
      <c r="BA52" s="1029">
        <f>'MXD P&amp;L'!O35</f>
        <v>7077.6</v>
      </c>
      <c r="BB52" s="1029">
        <f>'MXD P&amp;L'!P35</f>
        <v>9688.18</v>
      </c>
      <c r="BC52" s="1029">
        <f>'MXD P&amp;L'!Q35</f>
        <v>10918.59</v>
      </c>
      <c r="BD52" s="1029">
        <f>'MXD P&amp;L'!R35</f>
        <v>16128.94</v>
      </c>
      <c r="BE52" s="1029">
        <f>'MXD P&amp;L'!S35</f>
        <v>12343.4</v>
      </c>
      <c r="BF52" s="1029">
        <f>'MXD P&amp;L'!T35</f>
        <v>11394.63</v>
      </c>
      <c r="BG52" s="1029"/>
      <c r="BH52" s="1029"/>
      <c r="BI52" s="1029"/>
      <c r="BJ52" s="1029"/>
      <c r="BK52" s="1029"/>
      <c r="BL52" s="1029">
        <f t="shared" si="6"/>
        <v>36914.020000000004</v>
      </c>
      <c r="BM52" s="1030">
        <v>73101</v>
      </c>
      <c r="BN52" s="1031">
        <v>76540</v>
      </c>
      <c r="BO52" s="1032">
        <v>93773.191135999994</v>
      </c>
      <c r="BP52" s="1032">
        <f t="shared" si="7"/>
        <v>40604.85</v>
      </c>
      <c r="BQ52" s="27"/>
    </row>
    <row r="53" spans="1:69" x14ac:dyDescent="0.3">
      <c r="A53" t="s">
        <v>611</v>
      </c>
      <c r="B53" t="s">
        <v>611</v>
      </c>
      <c r="C53" s="364">
        <v>213</v>
      </c>
      <c r="D53" s="354">
        <v>50</v>
      </c>
      <c r="E53" s="616">
        <v>140</v>
      </c>
      <c r="F53" s="364">
        <v>13545</v>
      </c>
      <c r="G53" s="354">
        <v>617</v>
      </c>
      <c r="H53" s="616">
        <v>140</v>
      </c>
      <c r="I53" s="364">
        <v>3297</v>
      </c>
      <c r="J53" s="354">
        <v>974</v>
      </c>
      <c r="K53" s="616">
        <v>140</v>
      </c>
      <c r="L53" s="364">
        <v>2041</v>
      </c>
      <c r="M53" s="354"/>
      <c r="N53" s="616">
        <v>710</v>
      </c>
      <c r="O53" s="364">
        <v>10</v>
      </c>
      <c r="P53" s="354">
        <v>-2</v>
      </c>
      <c r="Q53" s="616">
        <v>140</v>
      </c>
      <c r="R53" s="364">
        <v>527</v>
      </c>
      <c r="S53" s="354">
        <v>140</v>
      </c>
      <c r="T53" s="616">
        <v>2307.88</v>
      </c>
      <c r="U53" s="364">
        <v>2117</v>
      </c>
      <c r="V53" s="354">
        <v>140</v>
      </c>
      <c r="W53" s="616">
        <v>140</v>
      </c>
      <c r="X53" s="364">
        <v>4885</v>
      </c>
      <c r="Y53" s="354">
        <v>4280</v>
      </c>
      <c r="Z53" s="616">
        <v>140</v>
      </c>
      <c r="AA53" s="364">
        <v>300</v>
      </c>
      <c r="AB53" s="354">
        <v>3539</v>
      </c>
      <c r="AC53" s="616">
        <v>140</v>
      </c>
      <c r="AD53" s="364">
        <v>6307</v>
      </c>
      <c r="AE53" s="354">
        <v>6307</v>
      </c>
      <c r="AF53" s="616">
        <v>2337.1999999999998</v>
      </c>
      <c r="AG53" s="364">
        <v>60</v>
      </c>
      <c r="AH53" s="354">
        <v>60</v>
      </c>
      <c r="AI53" s="616">
        <v>9016.42</v>
      </c>
      <c r="AJ53" s="364">
        <v>3</v>
      </c>
      <c r="AK53" s="354"/>
      <c r="AL53" s="616">
        <v>2363.619999999999</v>
      </c>
      <c r="AM53" s="600">
        <v>15407.239999999998</v>
      </c>
      <c r="AN53" s="1029">
        <v>7585.7</v>
      </c>
      <c r="AO53" s="1029">
        <v>8535.44</v>
      </c>
      <c r="AP53" s="1029">
        <v>99</v>
      </c>
      <c r="AQ53" s="1029">
        <v>0</v>
      </c>
      <c r="AR53" s="1029">
        <v>620.35</v>
      </c>
      <c r="AS53" s="1029">
        <v>1434</v>
      </c>
      <c r="AT53" s="1029">
        <v>2131.63</v>
      </c>
      <c r="AU53" s="1029">
        <v>1636.33</v>
      </c>
      <c r="AV53" s="1029">
        <v>1627.45</v>
      </c>
      <c r="AW53" s="1029">
        <v>506.08</v>
      </c>
      <c r="AX53" s="1029">
        <v>1496.58</v>
      </c>
      <c r="AY53" s="1029">
        <v>5856.23</v>
      </c>
      <c r="AZ53" s="1029">
        <f>'MXD P&amp;L'!N36</f>
        <v>506.08</v>
      </c>
      <c r="BA53" s="1029">
        <f>'MXD P&amp;L'!O36</f>
        <v>-881.56</v>
      </c>
      <c r="BB53" s="1029">
        <f>'MXD P&amp;L'!P36</f>
        <v>506.08</v>
      </c>
      <c r="BC53" s="1029">
        <f>'MXD P&amp;L'!Q36</f>
        <v>2040.24</v>
      </c>
      <c r="BD53" s="1029">
        <f>'MXD P&amp;L'!R36</f>
        <v>0</v>
      </c>
      <c r="BE53" s="1029">
        <f>'MXD P&amp;L'!S36</f>
        <v>959.9</v>
      </c>
      <c r="BF53" s="1029">
        <f>'MXD P&amp;L'!T36</f>
        <v>0</v>
      </c>
      <c r="BG53" s="1029"/>
      <c r="BH53" s="1029"/>
      <c r="BI53" s="1029"/>
      <c r="BJ53" s="1029"/>
      <c r="BK53" s="1029"/>
      <c r="BL53" s="1029">
        <f t="shared" si="6"/>
        <v>2170.84</v>
      </c>
      <c r="BM53" s="1030">
        <v>33305</v>
      </c>
      <c r="BN53" s="1031">
        <v>16105</v>
      </c>
      <c r="BO53" s="1032">
        <v>17715.12</v>
      </c>
      <c r="BP53" s="1032">
        <f t="shared" si="7"/>
        <v>16220.14</v>
      </c>
    </row>
    <row r="54" spans="1:69" x14ac:dyDescent="0.3">
      <c r="A54" t="s">
        <v>612</v>
      </c>
      <c r="B54" t="s">
        <v>612</v>
      </c>
      <c r="C54" s="364">
        <v>14052</v>
      </c>
      <c r="D54" s="354">
        <v>5994</v>
      </c>
      <c r="E54" s="616">
        <v>5241.28</v>
      </c>
      <c r="F54" s="364">
        <v>11028</v>
      </c>
      <c r="G54" s="354">
        <v>8829</v>
      </c>
      <c r="H54" s="616">
        <v>12069.98</v>
      </c>
      <c r="I54" s="364">
        <v>12292</v>
      </c>
      <c r="J54" s="354">
        <v>10458</v>
      </c>
      <c r="K54" s="616">
        <v>8671.4400000000023</v>
      </c>
      <c r="L54" s="364">
        <v>10968</v>
      </c>
      <c r="M54" s="354">
        <v>7494</v>
      </c>
      <c r="N54" s="616">
        <v>10232.73</v>
      </c>
      <c r="O54" s="364">
        <v>8909</v>
      </c>
      <c r="P54" s="354">
        <v>9653</v>
      </c>
      <c r="Q54" s="616">
        <v>11473.71</v>
      </c>
      <c r="R54" s="364">
        <v>12082</v>
      </c>
      <c r="S54" s="354">
        <v>12674</v>
      </c>
      <c r="T54" s="616">
        <v>10401.049999999999</v>
      </c>
      <c r="U54" s="364">
        <v>8346</v>
      </c>
      <c r="V54" s="354">
        <v>13302</v>
      </c>
      <c r="W54" s="616">
        <v>9036.5599999999977</v>
      </c>
      <c r="X54" s="364">
        <v>10457</v>
      </c>
      <c r="Y54" s="354">
        <v>12459</v>
      </c>
      <c r="Z54" s="616">
        <v>19211.290000000008</v>
      </c>
      <c r="AA54" s="364">
        <v>11306</v>
      </c>
      <c r="AB54" s="354">
        <v>10821</v>
      </c>
      <c r="AC54" s="616">
        <v>18859.599999999991</v>
      </c>
      <c r="AD54" s="364">
        <v>8395</v>
      </c>
      <c r="AE54" s="354">
        <v>8395</v>
      </c>
      <c r="AF54" s="616">
        <v>9331.7299999999959</v>
      </c>
      <c r="AG54" s="364">
        <v>14067</v>
      </c>
      <c r="AH54" s="354">
        <v>14067</v>
      </c>
      <c r="AI54" s="616">
        <v>23469.969999999998</v>
      </c>
      <c r="AJ54" s="364">
        <v>16346</v>
      </c>
      <c r="AK54" s="354"/>
      <c r="AL54" s="616">
        <v>38747.750000000007</v>
      </c>
      <c r="AM54" s="600">
        <v>166346.04</v>
      </c>
      <c r="AN54" s="1029">
        <v>27049.45</v>
      </c>
      <c r="AO54" s="1029">
        <v>22421.85</v>
      </c>
      <c r="AP54" s="1029">
        <v>20996.66</v>
      </c>
      <c r="AQ54" s="1029">
        <v>71444.929999999993</v>
      </c>
      <c r="AR54" s="1029">
        <v>15960.14</v>
      </c>
      <c r="AS54" s="1029">
        <v>39744.71</v>
      </c>
      <c r="AT54" s="1029">
        <v>22679.13</v>
      </c>
      <c r="AU54" s="1029">
        <v>34097.410000000003</v>
      </c>
      <c r="AV54" s="1029">
        <v>13652.12</v>
      </c>
      <c r="AW54" s="1029">
        <v>19470.84</v>
      </c>
      <c r="AX54" s="1029">
        <v>11795.14</v>
      </c>
      <c r="AY54" s="1029">
        <v>20093.900000000001</v>
      </c>
      <c r="AZ54" s="1029">
        <f>'MXD P&amp;L'!N37</f>
        <v>15513.71</v>
      </c>
      <c r="BA54" s="1029">
        <f>'MXD P&amp;L'!O37</f>
        <v>17201.3</v>
      </c>
      <c r="BB54" s="1029">
        <f>'MXD P&amp;L'!P37</f>
        <v>34922.17</v>
      </c>
      <c r="BC54" s="1029">
        <f>'MXD P&amp;L'!Q37</f>
        <v>15119.07</v>
      </c>
      <c r="BD54" s="1029">
        <f>'MXD P&amp;L'!R37</f>
        <v>8956.64</v>
      </c>
      <c r="BE54" s="1029">
        <f>'MXD P&amp;L'!S37</f>
        <v>22559.13</v>
      </c>
      <c r="BF54" s="1029">
        <f>'MXD P&amp;L'!T37</f>
        <v>16244.23</v>
      </c>
      <c r="BG54" s="1029"/>
      <c r="BH54" s="1029"/>
      <c r="BI54" s="1029"/>
      <c r="BJ54" s="1029"/>
      <c r="BK54" s="1029"/>
      <c r="BL54" s="1029">
        <f t="shared" si="6"/>
        <v>82756.25</v>
      </c>
      <c r="BM54" s="1030">
        <v>138248</v>
      </c>
      <c r="BN54" s="1031">
        <v>114146</v>
      </c>
      <c r="BO54" s="1032">
        <v>176747.09000000003</v>
      </c>
      <c r="BP54" s="1032">
        <f t="shared" si="7"/>
        <v>141912.89000000001</v>
      </c>
    </row>
    <row r="55" spans="1:69" ht="15.6" x14ac:dyDescent="0.3">
      <c r="A55" s="1402" t="s">
        <v>1240</v>
      </c>
      <c r="B55" s="1402" t="s">
        <v>1240</v>
      </c>
      <c r="C55" s="1402" t="s">
        <v>1240</v>
      </c>
      <c r="D55" s="1402" t="s">
        <v>1240</v>
      </c>
      <c r="E55" s="1402" t="s">
        <v>1240</v>
      </c>
      <c r="F55" s="1402" t="s">
        <v>1240</v>
      </c>
      <c r="G55" s="1402" t="s">
        <v>1240</v>
      </c>
      <c r="H55" s="1402" t="s">
        <v>1240</v>
      </c>
      <c r="I55" s="1402" t="s">
        <v>1240</v>
      </c>
      <c r="J55" s="1402" t="s">
        <v>1240</v>
      </c>
      <c r="K55" s="1402" t="s">
        <v>1240</v>
      </c>
      <c r="L55" s="1402" t="s">
        <v>1240</v>
      </c>
      <c r="M55" s="1402" t="s">
        <v>1240</v>
      </c>
      <c r="N55" s="1402" t="s">
        <v>1240</v>
      </c>
      <c r="O55" s="1402" t="s">
        <v>1240</v>
      </c>
      <c r="P55" s="1402" t="s">
        <v>1240</v>
      </c>
      <c r="Q55" s="1402" t="s">
        <v>1240</v>
      </c>
      <c r="R55" s="1402" t="s">
        <v>1240</v>
      </c>
      <c r="S55" s="1402" t="s">
        <v>1240</v>
      </c>
      <c r="T55" s="1402" t="s">
        <v>1240</v>
      </c>
      <c r="U55" s="1402" t="s">
        <v>1240</v>
      </c>
      <c r="V55" s="1402" t="s">
        <v>1240</v>
      </c>
      <c r="W55" s="1402" t="s">
        <v>1240</v>
      </c>
      <c r="X55" s="1402" t="s">
        <v>1240</v>
      </c>
      <c r="Y55" s="1402" t="s">
        <v>1240</v>
      </c>
      <c r="Z55" s="1402" t="s">
        <v>1240</v>
      </c>
      <c r="AA55" s="1402" t="s">
        <v>1240</v>
      </c>
      <c r="AB55" s="1402" t="s">
        <v>1240</v>
      </c>
      <c r="AC55" s="1402" t="s">
        <v>1240</v>
      </c>
      <c r="AD55" s="1402" t="s">
        <v>1240</v>
      </c>
      <c r="AE55" s="1402" t="s">
        <v>1240</v>
      </c>
      <c r="AF55" s="1402" t="s">
        <v>1240</v>
      </c>
      <c r="AG55" s="1402" t="s">
        <v>1240</v>
      </c>
      <c r="AH55" s="1402" t="s">
        <v>1240</v>
      </c>
      <c r="AI55" s="1402" t="s">
        <v>1240</v>
      </c>
      <c r="AJ55" s="1402" t="s">
        <v>1240</v>
      </c>
      <c r="AK55" s="1402" t="s">
        <v>1240</v>
      </c>
      <c r="AL55" s="1402" t="s">
        <v>1240</v>
      </c>
      <c r="AM55" s="1402" t="s">
        <v>1240</v>
      </c>
      <c r="AN55" s="1029"/>
      <c r="AO55" s="1029"/>
      <c r="AP55" s="1029"/>
      <c r="AQ55" s="1029"/>
      <c r="AR55" s="1029"/>
      <c r="AS55" s="1029"/>
      <c r="AT55" s="1029"/>
      <c r="AU55" s="1029"/>
      <c r="AV55" s="1029"/>
      <c r="AW55" s="1029"/>
      <c r="AX55" s="1029"/>
      <c r="AY55" s="1029"/>
      <c r="AZ55" s="1029">
        <f>'MXD P&amp;L'!N38</f>
        <v>0</v>
      </c>
      <c r="BA55" s="1029">
        <f>'MXD P&amp;L'!O38</f>
        <v>0</v>
      </c>
      <c r="BB55" s="1029">
        <f>'MXD P&amp;L'!P38</f>
        <v>0</v>
      </c>
      <c r="BC55" s="1029">
        <f>'MXD P&amp;L'!Q38</f>
        <v>0</v>
      </c>
      <c r="BD55" s="1029">
        <f>'MXD P&amp;L'!R38</f>
        <v>0</v>
      </c>
      <c r="BE55" s="1029">
        <f>'MXD P&amp;L'!S38</f>
        <v>0</v>
      </c>
      <c r="BF55" s="1029">
        <f>'MXD P&amp;L'!T38</f>
        <v>0</v>
      </c>
      <c r="BG55" s="1029"/>
      <c r="BH55" s="1029"/>
      <c r="BI55" s="1029"/>
      <c r="BJ55" s="1029"/>
      <c r="BK55" s="1029"/>
      <c r="BL55" s="1029"/>
      <c r="BM55" s="1030"/>
      <c r="BN55" s="1031"/>
      <c r="BO55" s="1032"/>
      <c r="BP55" s="1032"/>
    </row>
    <row r="56" spans="1:69" x14ac:dyDescent="0.3">
      <c r="A56" t="s">
        <v>613</v>
      </c>
      <c r="B56" t="s">
        <v>613</v>
      </c>
      <c r="C56" s="364">
        <v>348</v>
      </c>
      <c r="D56" s="354">
        <v>441</v>
      </c>
      <c r="E56" s="616">
        <v>-8.74</v>
      </c>
      <c r="F56" s="364">
        <v>937</v>
      </c>
      <c r="G56" s="354">
        <v>2544</v>
      </c>
      <c r="H56" s="616">
        <v>1.7</v>
      </c>
      <c r="I56" s="364">
        <v>1787</v>
      </c>
      <c r="J56" s="354">
        <v>54</v>
      </c>
      <c r="K56" s="616">
        <v>10.93</v>
      </c>
      <c r="L56" s="364">
        <v>108</v>
      </c>
      <c r="M56" s="354">
        <v>398</v>
      </c>
      <c r="N56" s="616"/>
      <c r="O56" s="364">
        <v>233</v>
      </c>
      <c r="P56" s="354">
        <v>2298</v>
      </c>
      <c r="Q56" s="616"/>
      <c r="R56" s="364">
        <v>487</v>
      </c>
      <c r="S56" s="354">
        <v>830</v>
      </c>
      <c r="T56" s="616"/>
      <c r="U56" s="364">
        <v>-174</v>
      </c>
      <c r="V56" s="354">
        <v>320</v>
      </c>
      <c r="W56" s="616"/>
      <c r="X56" s="364">
        <v>346</v>
      </c>
      <c r="Y56" s="354"/>
      <c r="Z56" s="616"/>
      <c r="AA56" s="364"/>
      <c r="AB56" s="354">
        <v>485</v>
      </c>
      <c r="AC56" s="616">
        <v>100</v>
      </c>
      <c r="AD56" s="364"/>
      <c r="AE56" s="354">
        <v>0</v>
      </c>
      <c r="AF56" s="616">
        <v>8678.75</v>
      </c>
      <c r="AG56" s="364">
        <v>2189</v>
      </c>
      <c r="AH56" s="354">
        <v>2189</v>
      </c>
      <c r="AI56" s="616"/>
      <c r="AJ56" s="364">
        <v>6865</v>
      </c>
      <c r="AK56" s="354"/>
      <c r="AL56" s="616"/>
      <c r="AM56" s="600">
        <v>8782.64</v>
      </c>
      <c r="AN56" s="1029">
        <v>0</v>
      </c>
      <c r="AO56" s="1029">
        <v>0</v>
      </c>
      <c r="AP56" s="1029">
        <v>0</v>
      </c>
      <c r="AQ56" s="1029">
        <v>0</v>
      </c>
      <c r="AR56" s="1029">
        <v>0</v>
      </c>
      <c r="AS56" s="1029">
        <v>249.9</v>
      </c>
      <c r="AT56" s="1029">
        <v>0</v>
      </c>
      <c r="AU56" s="1029">
        <v>7500</v>
      </c>
      <c r="AV56" s="1029">
        <v>2000</v>
      </c>
      <c r="AW56" s="1029">
        <v>5000</v>
      </c>
      <c r="AX56" s="1029">
        <v>8000</v>
      </c>
      <c r="AY56" s="1029">
        <v>23368.73</v>
      </c>
      <c r="AZ56" s="1029">
        <f>'MXD P&amp;L'!N39</f>
        <v>9724</v>
      </c>
      <c r="BA56" s="1029">
        <f>'MXD P&amp;L'!O39</f>
        <v>9224.35</v>
      </c>
      <c r="BB56" s="1029">
        <f>'MXD P&amp;L'!P39</f>
        <v>23500</v>
      </c>
      <c r="BC56" s="1029">
        <f>'MXD P&amp;L'!Q39</f>
        <v>0</v>
      </c>
      <c r="BD56" s="1029">
        <f>'MXD P&amp;L'!R39</f>
        <v>0</v>
      </c>
      <c r="BE56" s="1029">
        <f>'MXD P&amp;L'!S39</f>
        <v>0</v>
      </c>
      <c r="BF56" s="1029">
        <f>'MXD P&amp;L'!T39</f>
        <v>0</v>
      </c>
      <c r="BG56" s="1029"/>
      <c r="BH56" s="1029"/>
      <c r="BI56" s="1029"/>
      <c r="BJ56" s="1029"/>
      <c r="BK56" s="1029"/>
      <c r="BL56" s="1029">
        <f t="shared" si="6"/>
        <v>42448.35</v>
      </c>
      <c r="BM56" s="1030">
        <v>13126</v>
      </c>
      <c r="BN56" s="1031">
        <v>9559</v>
      </c>
      <c r="BO56" s="1032">
        <v>8782.6400000000012</v>
      </c>
      <c r="BP56" s="1032">
        <f t="shared" si="7"/>
        <v>0</v>
      </c>
    </row>
    <row r="57" spans="1:69" x14ac:dyDescent="0.3">
      <c r="A57" t="s">
        <v>614</v>
      </c>
      <c r="B57" t="s">
        <v>614</v>
      </c>
      <c r="C57" s="364">
        <v>7600</v>
      </c>
      <c r="D57" s="354">
        <v>1398</v>
      </c>
      <c r="E57" s="616"/>
      <c r="F57" s="364">
        <v>810</v>
      </c>
      <c r="G57" s="354">
        <v>6907</v>
      </c>
      <c r="H57" s="616"/>
      <c r="I57" s="364">
        <v>-2165</v>
      </c>
      <c r="J57" s="354">
        <v>8194</v>
      </c>
      <c r="K57" s="616"/>
      <c r="L57" s="364">
        <v>4613</v>
      </c>
      <c r="M57" s="354">
        <v>40015</v>
      </c>
      <c r="N57" s="616"/>
      <c r="O57" s="364">
        <v>4051</v>
      </c>
      <c r="P57" s="354">
        <v>10158</v>
      </c>
      <c r="Q57" s="616"/>
      <c r="R57" s="364">
        <v>-539</v>
      </c>
      <c r="S57" s="354">
        <v>3695</v>
      </c>
      <c r="T57" s="616">
        <v>68224.679999999935</v>
      </c>
      <c r="U57" s="364">
        <v>6345</v>
      </c>
      <c r="V57" s="354">
        <v>6746</v>
      </c>
      <c r="W57" s="616">
        <v>-84362.49</v>
      </c>
      <c r="X57" s="364">
        <v>2046</v>
      </c>
      <c r="Y57" s="354">
        <v>2625</v>
      </c>
      <c r="Z57" s="616">
        <v>24693.510000000009</v>
      </c>
      <c r="AA57" s="364">
        <v>12621</v>
      </c>
      <c r="AB57" s="354">
        <v>2245</v>
      </c>
      <c r="AC57" s="616">
        <v>16404.429999999935</v>
      </c>
      <c r="AD57" s="364">
        <v>10677</v>
      </c>
      <c r="AE57" s="354">
        <v>10677</v>
      </c>
      <c r="AF57" s="616">
        <v>-621.83000000008178</v>
      </c>
      <c r="AG57" s="364">
        <v>2303</v>
      </c>
      <c r="AH57" s="354">
        <v>2303</v>
      </c>
      <c r="AI57" s="616">
        <v>44495.56</v>
      </c>
      <c r="AJ57" s="364">
        <v>20000</v>
      </c>
      <c r="AK57" s="354">
        <v>0</v>
      </c>
      <c r="AL57" s="616">
        <v>214722.70000000022</v>
      </c>
      <c r="AM57" s="600">
        <v>215331.88000000006</v>
      </c>
      <c r="AN57" s="1029">
        <v>3303.9</v>
      </c>
      <c r="AO57" s="1029">
        <v>12601.99</v>
      </c>
      <c r="AP57" s="1029">
        <v>21176.17</v>
      </c>
      <c r="AQ57" s="1029">
        <v>-5863.57</v>
      </c>
      <c r="AR57" s="1029">
        <v>-11583.58</v>
      </c>
      <c r="AS57" s="1029">
        <v>-10961.39</v>
      </c>
      <c r="AT57" s="1029">
        <v>77477.009999999995</v>
      </c>
      <c r="AU57" s="1029">
        <v>18894.11</v>
      </c>
      <c r="AV57" s="1029">
        <v>-49966.17</v>
      </c>
      <c r="AW57" s="1029">
        <v>3697.1</v>
      </c>
      <c r="AX57" s="1029">
        <v>18465.740000000002</v>
      </c>
      <c r="AY57" s="1029">
        <v>10528.42</v>
      </c>
      <c r="AZ57" s="1029">
        <f>'MXD P&amp;L'!N40</f>
        <v>6796.64</v>
      </c>
      <c r="BA57" s="1029">
        <f>'MXD P&amp;L'!O40</f>
        <v>17695.09</v>
      </c>
      <c r="BB57" s="1029">
        <f>'MXD P&amp;L'!P40</f>
        <v>5522.38</v>
      </c>
      <c r="BC57" s="1029">
        <f>'MXD P&amp;L'!Q40</f>
        <v>12783.99</v>
      </c>
      <c r="BD57" s="1029">
        <f>'MXD P&amp;L'!R40</f>
        <v>47606.2</v>
      </c>
      <c r="BE57" s="1029">
        <f>'MXD P&amp;L'!S40</f>
        <v>25280.98</v>
      </c>
      <c r="BF57" s="1029">
        <f>'MXD P&amp;L'!T40</f>
        <v>26528.39</v>
      </c>
      <c r="BG57" s="1029"/>
      <c r="BH57" s="1029"/>
      <c r="BI57" s="1029"/>
      <c r="BJ57" s="1029"/>
      <c r="BK57" s="1029"/>
      <c r="BL57" s="1029">
        <f t="shared" si="6"/>
        <v>42798.1</v>
      </c>
      <c r="BM57" s="1030">
        <v>68362</v>
      </c>
      <c r="BN57" s="1031">
        <v>94963</v>
      </c>
      <c r="BO57" s="1032">
        <v>283556.56000000006</v>
      </c>
      <c r="BP57" s="1032">
        <f t="shared" si="7"/>
        <v>31218.489999999998</v>
      </c>
    </row>
    <row r="58" spans="1:69" x14ac:dyDescent="0.3">
      <c r="A58" t="s">
        <v>615</v>
      </c>
      <c r="B58" t="s">
        <v>615</v>
      </c>
      <c r="AN58" s="1026">
        <v>0</v>
      </c>
      <c r="AO58" s="1026">
        <v>0</v>
      </c>
      <c r="AP58" s="1026">
        <v>3654.75</v>
      </c>
      <c r="AQ58" s="1026">
        <v>0</v>
      </c>
      <c r="AR58" s="1026">
        <v>0</v>
      </c>
      <c r="AS58" s="1026">
        <v>547.9</v>
      </c>
      <c r="AT58" s="1026">
        <v>51.68</v>
      </c>
      <c r="AU58" s="1026">
        <v>0</v>
      </c>
      <c r="AV58" s="1026">
        <v>0</v>
      </c>
      <c r="AW58" s="1026">
        <v>0</v>
      </c>
      <c r="AX58" s="1026">
        <v>0</v>
      </c>
      <c r="AY58" s="1026">
        <v>0</v>
      </c>
      <c r="AZ58" s="1029">
        <f>'MXD P&amp;L'!N41</f>
        <v>0</v>
      </c>
      <c r="BA58" s="1029">
        <f>'MXD P&amp;L'!O41</f>
        <v>0</v>
      </c>
      <c r="BB58" s="1029">
        <f>'MXD P&amp;L'!P41</f>
        <v>0</v>
      </c>
      <c r="BC58" s="1029">
        <f>'MXD P&amp;L'!Q41</f>
        <v>7000</v>
      </c>
      <c r="BD58" s="1029">
        <f>'MXD P&amp;L'!R41</f>
        <v>7000</v>
      </c>
      <c r="BE58" s="1029">
        <f>'MXD P&amp;L'!S41</f>
        <v>7000</v>
      </c>
      <c r="BF58" s="1029">
        <f>'MXD P&amp;L'!T41</f>
        <v>0</v>
      </c>
      <c r="BG58" s="1029"/>
      <c r="BH58" s="1029"/>
      <c r="BI58" s="1029"/>
      <c r="BJ58" s="1029"/>
      <c r="BK58" s="1029"/>
      <c r="BL58" s="1029">
        <f t="shared" si="6"/>
        <v>7000</v>
      </c>
      <c r="BM58" s="1030">
        <v>0</v>
      </c>
      <c r="BN58" s="1031">
        <v>0</v>
      </c>
      <c r="BO58" s="1032">
        <v>0</v>
      </c>
      <c r="BP58" s="1032">
        <f t="shared" si="7"/>
        <v>3654.75</v>
      </c>
    </row>
    <row r="59" spans="1:69" x14ac:dyDescent="0.3">
      <c r="A59" t="s">
        <v>616</v>
      </c>
      <c r="B59" t="s">
        <v>616</v>
      </c>
      <c r="AN59" s="1026">
        <v>0</v>
      </c>
      <c r="AO59" s="1026">
        <v>0</v>
      </c>
      <c r="AP59" s="1026">
        <v>0</v>
      </c>
      <c r="AQ59" s="1026">
        <v>0</v>
      </c>
      <c r="AR59" s="1026">
        <v>0</v>
      </c>
      <c r="AS59" s="1026">
        <v>33599.370000000003</v>
      </c>
      <c r="AT59" s="1026">
        <v>0</v>
      </c>
      <c r="AU59" s="1026">
        <v>0</v>
      </c>
      <c r="AV59" s="1026">
        <v>0</v>
      </c>
      <c r="AW59" s="1026">
        <v>0</v>
      </c>
      <c r="AX59" s="1026">
        <v>0</v>
      </c>
      <c r="AY59" s="1026">
        <v>0</v>
      </c>
      <c r="AZ59" s="1029">
        <f>'MXD P&amp;L'!N42</f>
        <v>0</v>
      </c>
      <c r="BA59" s="1029">
        <f>'MXD P&amp;L'!O42</f>
        <v>0</v>
      </c>
      <c r="BB59" s="1029">
        <f>'MXD P&amp;L'!P42</f>
        <v>0</v>
      </c>
      <c r="BC59" s="1029">
        <f>'MXD P&amp;L'!Q42</f>
        <v>0</v>
      </c>
      <c r="BD59" s="1029">
        <f>'MXD P&amp;L'!R42</f>
        <v>0</v>
      </c>
      <c r="BE59" s="1029">
        <f>'MXD P&amp;L'!S42</f>
        <v>0</v>
      </c>
      <c r="BF59" s="1029">
        <f>'MXD P&amp;L'!T42</f>
        <v>0</v>
      </c>
      <c r="BG59" s="1029"/>
      <c r="BH59" s="1029"/>
      <c r="BI59" s="1029"/>
      <c r="BJ59" s="1029"/>
      <c r="BK59" s="1029"/>
      <c r="BL59" s="1029">
        <f t="shared" si="6"/>
        <v>0</v>
      </c>
      <c r="BM59" s="1030">
        <v>0</v>
      </c>
      <c r="BN59" s="1031">
        <v>0</v>
      </c>
      <c r="BO59" s="1032">
        <v>0</v>
      </c>
      <c r="BP59" s="1032">
        <f t="shared" si="7"/>
        <v>0</v>
      </c>
    </row>
    <row r="60" spans="1:69" x14ac:dyDescent="0.3">
      <c r="B60" t="s">
        <v>66</v>
      </c>
      <c r="C60" s="364"/>
      <c r="D60" s="354"/>
      <c r="E60" s="616">
        <v>-236.55</v>
      </c>
      <c r="F60" s="364">
        <v>-4</v>
      </c>
      <c r="G60" s="354">
        <v>-54</v>
      </c>
      <c r="H60" s="616">
        <v>-5.5799999999999841</v>
      </c>
      <c r="I60" s="364"/>
      <c r="J60" s="354">
        <v>-14</v>
      </c>
      <c r="K60" s="616">
        <v>-23.259999999999991</v>
      </c>
      <c r="L60" s="364"/>
      <c r="M60" s="354">
        <v>-98</v>
      </c>
      <c r="N60" s="616">
        <v>-9.6700000000000159</v>
      </c>
      <c r="O60" s="364"/>
      <c r="P60" s="354"/>
      <c r="Q60" s="616">
        <v>5</v>
      </c>
      <c r="R60" s="364"/>
      <c r="S60" s="354"/>
      <c r="T60" s="616"/>
      <c r="U60" s="364"/>
      <c r="V60" s="354"/>
      <c r="W60" s="616"/>
      <c r="X60" s="364">
        <v>-12</v>
      </c>
      <c r="Y60" s="354"/>
      <c r="Z60" s="616"/>
      <c r="AA60" s="364"/>
      <c r="AB60" s="354"/>
      <c r="AC60" s="616"/>
      <c r="AD60" s="364"/>
      <c r="AE60" s="354">
        <v>0</v>
      </c>
      <c r="AF60" s="616"/>
      <c r="AG60" s="364"/>
      <c r="AH60" s="354">
        <v>0</v>
      </c>
      <c r="AI60" s="616">
        <v>-4.4499999999999886</v>
      </c>
      <c r="AJ60" s="364"/>
      <c r="AK60" s="354"/>
      <c r="AL60" s="616">
        <v>9.09</v>
      </c>
      <c r="AM60" s="600">
        <v>-265.42</v>
      </c>
      <c r="AN60" s="1029"/>
      <c r="AO60" s="1029">
        <v>0</v>
      </c>
      <c r="AP60" s="1029">
        <v>0</v>
      </c>
      <c r="AQ60" s="1029">
        <v>0</v>
      </c>
      <c r="AR60" s="1029">
        <v>0</v>
      </c>
      <c r="AS60" s="1029">
        <v>0</v>
      </c>
      <c r="AT60" s="1029">
        <v>0</v>
      </c>
      <c r="AU60" s="1029">
        <v>0</v>
      </c>
      <c r="AV60" s="1029">
        <v>0</v>
      </c>
      <c r="AW60" s="1029">
        <v>0</v>
      </c>
      <c r="AX60" s="1029">
        <v>0</v>
      </c>
      <c r="AY60" s="1029">
        <v>0</v>
      </c>
      <c r="AZ60" s="1029">
        <v>0</v>
      </c>
      <c r="BA60" s="1029">
        <v>0</v>
      </c>
      <c r="BB60" s="1029">
        <v>0</v>
      </c>
      <c r="BC60" s="1029">
        <v>0</v>
      </c>
      <c r="BD60" s="1029">
        <v>0</v>
      </c>
      <c r="BE60" s="1029">
        <v>0</v>
      </c>
      <c r="BF60" s="1029">
        <v>0</v>
      </c>
      <c r="BG60" s="1029"/>
      <c r="BH60" s="1029"/>
      <c r="BI60" s="1029"/>
      <c r="BJ60" s="1029"/>
      <c r="BK60" s="1029"/>
      <c r="BL60" s="1029">
        <f t="shared" si="6"/>
        <v>0</v>
      </c>
      <c r="BM60" s="1030">
        <v>-16</v>
      </c>
      <c r="BN60" s="1031">
        <v>-166</v>
      </c>
      <c r="BO60" s="1032">
        <v>-265.42</v>
      </c>
      <c r="BP60" s="1032">
        <f t="shared" si="7"/>
        <v>0</v>
      </c>
    </row>
    <row r="61" spans="1:69" x14ac:dyDescent="0.3">
      <c r="B61" t="s">
        <v>67</v>
      </c>
      <c r="C61" s="364"/>
      <c r="D61" s="354"/>
      <c r="E61" s="616">
        <v>0</v>
      </c>
      <c r="F61" s="364"/>
      <c r="G61" s="354"/>
      <c r="H61" s="616"/>
      <c r="I61" s="364"/>
      <c r="J61" s="354"/>
      <c r="K61" s="616"/>
      <c r="L61" s="364"/>
      <c r="M61" s="354"/>
      <c r="N61" s="616">
        <v>0</v>
      </c>
      <c r="O61" s="364"/>
      <c r="P61" s="354"/>
      <c r="Q61" s="616"/>
      <c r="R61" s="364"/>
      <c r="S61" s="354"/>
      <c r="T61" s="616"/>
      <c r="U61" s="364"/>
      <c r="V61" s="354"/>
      <c r="W61" s="616"/>
      <c r="X61" s="364"/>
      <c r="Y61" s="354"/>
      <c r="Z61" s="616"/>
      <c r="AA61" s="364"/>
      <c r="AB61" s="354"/>
      <c r="AC61" s="616"/>
      <c r="AD61" s="364"/>
      <c r="AE61" s="354">
        <v>0</v>
      </c>
      <c r="AF61" s="616"/>
      <c r="AG61" s="364"/>
      <c r="AH61" s="354">
        <v>0</v>
      </c>
      <c r="AI61" s="616"/>
      <c r="AJ61" s="364"/>
      <c r="AK61" s="354"/>
      <c r="AL61" s="616"/>
      <c r="AM61" s="600">
        <v>0</v>
      </c>
      <c r="AN61" s="1029"/>
      <c r="AO61" s="1029">
        <v>0</v>
      </c>
      <c r="AP61" s="1029">
        <v>0</v>
      </c>
      <c r="AQ61" s="1029">
        <v>0</v>
      </c>
      <c r="AR61" s="1029">
        <v>0</v>
      </c>
      <c r="AS61" s="1029">
        <v>0</v>
      </c>
      <c r="AT61" s="1029">
        <v>0</v>
      </c>
      <c r="AU61" s="1029">
        <v>0</v>
      </c>
      <c r="AV61" s="1029">
        <v>0</v>
      </c>
      <c r="AW61" s="1029">
        <v>0</v>
      </c>
      <c r="AX61" s="1029">
        <v>0</v>
      </c>
      <c r="AY61" s="1029">
        <v>0</v>
      </c>
      <c r="AZ61" s="1029">
        <v>0</v>
      </c>
      <c r="BA61" s="1029">
        <v>0</v>
      </c>
      <c r="BB61" s="1029">
        <v>0</v>
      </c>
      <c r="BC61" s="1029">
        <v>0</v>
      </c>
      <c r="BD61" s="1029">
        <v>0</v>
      </c>
      <c r="BE61" s="1029">
        <v>0</v>
      </c>
      <c r="BF61" s="1029">
        <v>0</v>
      </c>
      <c r="BG61" s="1029"/>
      <c r="BH61" s="1029"/>
      <c r="BI61" s="1029"/>
      <c r="BJ61" s="1029"/>
      <c r="BK61" s="1029"/>
      <c r="BL61" s="1029">
        <f t="shared" si="6"/>
        <v>0</v>
      </c>
      <c r="BM61" s="1030">
        <v>0</v>
      </c>
      <c r="BN61" s="1031">
        <v>0</v>
      </c>
      <c r="BO61" s="1032">
        <v>0</v>
      </c>
      <c r="BP61" s="1032">
        <f t="shared" si="7"/>
        <v>0</v>
      </c>
    </row>
    <row r="62" spans="1:69" x14ac:dyDescent="0.3">
      <c r="B62" t="s">
        <v>68</v>
      </c>
      <c r="C62" s="364"/>
      <c r="D62" s="354"/>
      <c r="E62" s="616">
        <v>0</v>
      </c>
      <c r="F62" s="364">
        <v>2599</v>
      </c>
      <c r="G62" s="354">
        <v>-15944</v>
      </c>
      <c r="H62" s="616"/>
      <c r="I62" s="364">
        <v>-29</v>
      </c>
      <c r="J62" s="354"/>
      <c r="K62" s="616"/>
      <c r="L62" s="364">
        <v>-8</v>
      </c>
      <c r="M62" s="354"/>
      <c r="N62" s="616"/>
      <c r="O62" s="364"/>
      <c r="P62" s="354"/>
      <c r="Q62" s="616"/>
      <c r="R62" s="364">
        <v>1791</v>
      </c>
      <c r="S62" s="354"/>
      <c r="T62" s="616"/>
      <c r="U62" s="364"/>
      <c r="V62" s="354"/>
      <c r="W62" s="616">
        <v>0</v>
      </c>
      <c r="X62" s="364"/>
      <c r="Y62" s="354"/>
      <c r="Z62" s="616"/>
      <c r="AA62" s="364"/>
      <c r="AB62" s="354"/>
      <c r="AC62" s="616"/>
      <c r="AD62" s="364">
        <v>-2</v>
      </c>
      <c r="AE62" s="354">
        <v>-2</v>
      </c>
      <c r="AF62" s="616"/>
      <c r="AG62" s="364"/>
      <c r="AH62" s="354">
        <v>0</v>
      </c>
      <c r="AI62" s="616">
        <v>10.85</v>
      </c>
      <c r="AJ62" s="364"/>
      <c r="AK62" s="354"/>
      <c r="AL62" s="616"/>
      <c r="AM62" s="600">
        <v>10.85</v>
      </c>
      <c r="AN62" s="1029"/>
      <c r="AO62" s="1029">
        <v>0</v>
      </c>
      <c r="AP62" s="1029">
        <v>0</v>
      </c>
      <c r="AQ62" s="1029">
        <v>0</v>
      </c>
      <c r="AR62" s="1029">
        <v>0</v>
      </c>
      <c r="AS62" s="1029">
        <v>0</v>
      </c>
      <c r="AT62" s="1029">
        <v>0</v>
      </c>
      <c r="AU62" s="1029">
        <v>0</v>
      </c>
      <c r="AV62" s="1029">
        <v>0</v>
      </c>
      <c r="AW62" s="1029">
        <v>0</v>
      </c>
      <c r="AX62" s="1029">
        <v>0</v>
      </c>
      <c r="AY62" s="1029">
        <v>0</v>
      </c>
      <c r="AZ62" s="1029">
        <v>0</v>
      </c>
      <c r="BA62" s="1029">
        <v>0</v>
      </c>
      <c r="BB62" s="1029">
        <v>0</v>
      </c>
      <c r="BC62" s="1029">
        <v>0</v>
      </c>
      <c r="BD62" s="1029">
        <v>0</v>
      </c>
      <c r="BE62" s="1029">
        <v>0</v>
      </c>
      <c r="BF62" s="1029">
        <v>0</v>
      </c>
      <c r="BG62" s="1029"/>
      <c r="BH62" s="1029"/>
      <c r="BI62" s="1029"/>
      <c r="BJ62" s="1029"/>
      <c r="BK62" s="1029"/>
      <c r="BL62" s="1029">
        <f t="shared" si="6"/>
        <v>0</v>
      </c>
      <c r="BM62" s="1030">
        <v>4351</v>
      </c>
      <c r="BN62" s="1031">
        <v>-15946</v>
      </c>
      <c r="BO62" s="1032">
        <v>10.85</v>
      </c>
      <c r="BP62" s="1032">
        <f t="shared" si="7"/>
        <v>0</v>
      </c>
    </row>
    <row r="63" spans="1:69" x14ac:dyDescent="0.3">
      <c r="B63" t="s">
        <v>69</v>
      </c>
      <c r="C63" s="364"/>
      <c r="D63" s="354"/>
      <c r="E63" s="616">
        <v>0</v>
      </c>
      <c r="F63" s="364"/>
      <c r="G63" s="354"/>
      <c r="H63" s="616"/>
      <c r="I63" s="364"/>
      <c r="J63" s="354"/>
      <c r="K63" s="616"/>
      <c r="L63" s="364"/>
      <c r="M63" s="354"/>
      <c r="N63" s="616">
        <v>0</v>
      </c>
      <c r="O63" s="364"/>
      <c r="P63" s="354"/>
      <c r="Q63" s="616"/>
      <c r="R63" s="364">
        <v>1000</v>
      </c>
      <c r="S63" s="354"/>
      <c r="T63" s="616"/>
      <c r="U63" s="364"/>
      <c r="V63" s="354"/>
      <c r="W63" s="616">
        <v>2059.48</v>
      </c>
      <c r="X63" s="364"/>
      <c r="Y63" s="354"/>
      <c r="Z63" s="616"/>
      <c r="AA63" s="364"/>
      <c r="AB63" s="354"/>
      <c r="AC63" s="616"/>
      <c r="AD63" s="364"/>
      <c r="AE63" s="354">
        <v>0</v>
      </c>
      <c r="AF63" s="616"/>
      <c r="AG63" s="364"/>
      <c r="AH63" s="354">
        <v>0</v>
      </c>
      <c r="AI63" s="616"/>
      <c r="AJ63" s="364"/>
      <c r="AK63" s="354"/>
      <c r="AL63" s="616"/>
      <c r="AM63" s="600">
        <v>2059.48</v>
      </c>
      <c r="AN63" s="1029"/>
      <c r="AO63" s="1029">
        <v>0</v>
      </c>
      <c r="AP63" s="1029">
        <v>0</v>
      </c>
      <c r="AQ63" s="1029">
        <v>0</v>
      </c>
      <c r="AR63" s="1029">
        <v>0</v>
      </c>
      <c r="AS63" s="1029">
        <v>0</v>
      </c>
      <c r="AT63" s="1029">
        <v>0</v>
      </c>
      <c r="AU63" s="1029">
        <v>0</v>
      </c>
      <c r="AV63" s="1029">
        <v>0</v>
      </c>
      <c r="AW63" s="1029">
        <v>0</v>
      </c>
      <c r="AX63" s="1029">
        <v>0</v>
      </c>
      <c r="AY63" s="1029">
        <v>0</v>
      </c>
      <c r="AZ63" s="1029">
        <v>0</v>
      </c>
      <c r="BA63" s="1029">
        <v>0</v>
      </c>
      <c r="BB63" s="1029">
        <v>0</v>
      </c>
      <c r="BC63" s="1029">
        <v>0</v>
      </c>
      <c r="BD63" s="1029">
        <v>0</v>
      </c>
      <c r="BE63" s="1029">
        <v>0</v>
      </c>
      <c r="BF63" s="1029">
        <v>0</v>
      </c>
      <c r="BG63" s="1029"/>
      <c r="BH63" s="1029"/>
      <c r="BI63" s="1029"/>
      <c r="BJ63" s="1029"/>
      <c r="BK63" s="1029"/>
      <c r="BL63" s="1029">
        <f t="shared" si="6"/>
        <v>0</v>
      </c>
      <c r="BM63" s="1030">
        <v>1000</v>
      </c>
      <c r="BN63" s="1031">
        <v>0</v>
      </c>
      <c r="BO63" s="1032">
        <v>2059.48</v>
      </c>
      <c r="BP63" s="1032">
        <f t="shared" si="7"/>
        <v>0</v>
      </c>
    </row>
    <row r="64" spans="1:69" x14ac:dyDescent="0.3">
      <c r="B64" s="2" t="s">
        <v>70</v>
      </c>
      <c r="C64" s="366">
        <v>27980</v>
      </c>
      <c r="D64" s="358">
        <v>13962</v>
      </c>
      <c r="E64" s="359">
        <v>6531.6811360000002</v>
      </c>
      <c r="F64" s="366">
        <v>33773</v>
      </c>
      <c r="G64" s="358">
        <v>8638</v>
      </c>
      <c r="H64" s="359">
        <v>16242.18</v>
      </c>
      <c r="I64" s="366">
        <v>22339</v>
      </c>
      <c r="J64" s="358">
        <v>25985</v>
      </c>
      <c r="K64" s="359">
        <v>13473.460000000001</v>
      </c>
      <c r="L64" s="366">
        <v>24259</v>
      </c>
      <c r="M64" s="358">
        <v>55568</v>
      </c>
      <c r="N64" s="359">
        <v>16673.29</v>
      </c>
      <c r="O64" s="366">
        <v>20238</v>
      </c>
      <c r="P64" s="358">
        <v>27437</v>
      </c>
      <c r="Q64" s="359">
        <v>22259.73</v>
      </c>
      <c r="R64" s="366">
        <v>21226</v>
      </c>
      <c r="S64" s="358">
        <v>24955</v>
      </c>
      <c r="T64" s="359">
        <v>90726.009999999937</v>
      </c>
      <c r="U64" s="366">
        <v>21840</v>
      </c>
      <c r="V64" s="358">
        <v>31464</v>
      </c>
      <c r="W64" s="359">
        <v>-66592.08</v>
      </c>
      <c r="X64" s="366">
        <v>24068</v>
      </c>
      <c r="Y64" s="358">
        <v>26147</v>
      </c>
      <c r="Z64" s="359">
        <v>54012.250000000022</v>
      </c>
      <c r="AA64" s="366">
        <v>31064</v>
      </c>
      <c r="AB64" s="358">
        <v>24785</v>
      </c>
      <c r="AC64" s="359">
        <v>46589.909999999923</v>
      </c>
      <c r="AD64" s="366">
        <v>32736</v>
      </c>
      <c r="AE64" s="358">
        <v>32736</v>
      </c>
      <c r="AF64" s="359">
        <v>31616.349999999904</v>
      </c>
      <c r="AG64" s="366">
        <v>23524</v>
      </c>
      <c r="AH64" s="358">
        <v>27687.190000000002</v>
      </c>
      <c r="AI64" s="359">
        <v>86993.66</v>
      </c>
      <c r="AJ64" s="366">
        <v>48430</v>
      </c>
      <c r="AK64" s="358">
        <v>0</v>
      </c>
      <c r="AL64" s="359">
        <v>264374.47000000026</v>
      </c>
      <c r="AM64" s="358"/>
      <c r="AN64" s="1041">
        <v>49165.32</v>
      </c>
      <c r="AO64" s="1041">
        <v>75674.02</v>
      </c>
      <c r="AP64" s="1041">
        <v>62673.94</v>
      </c>
      <c r="AQ64" s="1041">
        <v>80610.199999999983</v>
      </c>
      <c r="AR64" s="1041">
        <v>15959.390000000001</v>
      </c>
      <c r="AS64" s="1041">
        <v>74330</v>
      </c>
      <c r="AT64" s="1041">
        <v>119443.40999999999</v>
      </c>
      <c r="AU64" s="1041">
        <v>80740.05</v>
      </c>
      <c r="AV64" s="1041">
        <v>-21605.729999999996</v>
      </c>
      <c r="AW64" s="1041">
        <v>51425.9</v>
      </c>
      <c r="AX64" s="1041">
        <v>50660.08</v>
      </c>
      <c r="AY64" s="1041">
        <v>76719.22</v>
      </c>
      <c r="AZ64" s="1041">
        <f t="shared" ref="AZ64:BF64" si="8">SUM(AZ48:AZ63)</f>
        <v>42201.83</v>
      </c>
      <c r="BA64" s="1041">
        <f t="shared" si="8"/>
        <v>50451.009999999995</v>
      </c>
      <c r="BB64" s="1041">
        <f t="shared" si="8"/>
        <v>61993.469999999994</v>
      </c>
      <c r="BC64" s="1041">
        <f t="shared" si="8"/>
        <v>47504.92</v>
      </c>
      <c r="BD64" s="1041">
        <f t="shared" si="8"/>
        <v>89197.45</v>
      </c>
      <c r="BE64" s="1041">
        <f t="shared" si="8"/>
        <v>44867.070000000007</v>
      </c>
      <c r="BF64" s="1041">
        <f t="shared" si="8"/>
        <v>55282.659999999996</v>
      </c>
      <c r="BG64" s="1041"/>
      <c r="BH64" s="1041"/>
      <c r="BI64" s="1041"/>
      <c r="BJ64" s="1041"/>
      <c r="BK64" s="1041"/>
      <c r="BL64" s="1041">
        <f>SUM(BL48:BL63)</f>
        <v>202151.23</v>
      </c>
      <c r="BM64" s="1042">
        <v>334043</v>
      </c>
      <c r="BN64" s="1041">
        <v>293375</v>
      </c>
      <c r="BO64" s="1043">
        <v>575823.92633599997</v>
      </c>
      <c r="BP64" s="1043">
        <f>SUM(BP48:BP63)</f>
        <v>268123.48</v>
      </c>
    </row>
    <row r="65" spans="2:68" x14ac:dyDescent="0.3">
      <c r="B65" s="2" t="s">
        <v>551</v>
      </c>
      <c r="C65" s="366"/>
      <c r="D65" s="358"/>
      <c r="E65" s="359"/>
      <c r="F65" s="366"/>
      <c r="G65" s="358"/>
      <c r="H65" s="359"/>
      <c r="I65" s="366"/>
      <c r="J65" s="358"/>
      <c r="K65" s="359"/>
      <c r="L65" s="366"/>
      <c r="M65" s="358"/>
      <c r="N65" s="359"/>
      <c r="O65" s="366"/>
      <c r="P65" s="358"/>
      <c r="Q65" s="359"/>
      <c r="R65" s="366"/>
      <c r="S65" s="358"/>
      <c r="T65" s="359"/>
      <c r="U65" s="366"/>
      <c r="V65" s="358"/>
      <c r="W65" s="359"/>
      <c r="X65" s="366"/>
      <c r="Y65" s="358"/>
      <c r="Z65" s="359"/>
      <c r="AA65" s="366"/>
      <c r="AB65" s="358"/>
      <c r="AC65" s="359"/>
      <c r="AD65" s="366"/>
      <c r="AE65" s="358"/>
      <c r="AF65" s="359"/>
      <c r="AG65" s="366"/>
      <c r="AH65" s="358"/>
      <c r="AI65" s="359"/>
      <c r="AJ65" s="366"/>
      <c r="AK65" s="358"/>
      <c r="AL65" s="359"/>
      <c r="AM65" s="358"/>
      <c r="AN65" s="1041">
        <v>687319.56</v>
      </c>
      <c r="AO65" s="1041">
        <v>965742.62999999989</v>
      </c>
      <c r="AP65" s="1041">
        <v>1147045.77</v>
      </c>
      <c r="AQ65" s="1041">
        <v>974813.53999999992</v>
      </c>
      <c r="AR65" s="1041">
        <v>1039851.5599999999</v>
      </c>
      <c r="AS65" s="1041">
        <v>1004086.4200000002</v>
      </c>
      <c r="AT65" s="1041">
        <v>733943.62</v>
      </c>
      <c r="AU65" s="1041">
        <v>775493.03</v>
      </c>
      <c r="AV65" s="1041">
        <v>752607.23999999987</v>
      </c>
      <c r="AW65" s="1041">
        <v>545669.06000000006</v>
      </c>
      <c r="AX65" s="1041">
        <v>466665.23000000004</v>
      </c>
      <c r="AY65" s="1041">
        <v>726085.09</v>
      </c>
      <c r="AZ65" s="1041">
        <f t="shared" ref="AZ65:BF65" si="9">AZ64+AZ45</f>
        <v>599555.55999999982</v>
      </c>
      <c r="BA65" s="1041">
        <f t="shared" si="9"/>
        <v>546245.5199999999</v>
      </c>
      <c r="BB65" s="1041">
        <f t="shared" si="9"/>
        <v>1035403.92</v>
      </c>
      <c r="BC65" s="1041">
        <f t="shared" si="9"/>
        <v>888383.2300000001</v>
      </c>
      <c r="BD65" s="1041">
        <f t="shared" si="9"/>
        <v>438289.06999999983</v>
      </c>
      <c r="BE65" s="1041">
        <f t="shared" si="9"/>
        <v>1084181.8999999999</v>
      </c>
      <c r="BF65" s="1041">
        <f t="shared" si="9"/>
        <v>668742.56999999983</v>
      </c>
      <c r="BG65" s="1041"/>
      <c r="BH65" s="1041"/>
      <c r="BI65" s="1041"/>
      <c r="BJ65" s="1041"/>
      <c r="BK65" s="1041"/>
      <c r="BL65" s="1041">
        <f>BL64+BL45</f>
        <v>3069588.23</v>
      </c>
      <c r="BM65" s="1042">
        <v>7005068</v>
      </c>
      <c r="BN65" s="1041">
        <v>6191878.6287083775</v>
      </c>
      <c r="BO65" s="1043">
        <v>6662078.0260270005</v>
      </c>
      <c r="BP65" s="1043">
        <f>BP64+BP45</f>
        <v>3767603.66</v>
      </c>
    </row>
    <row r="66" spans="2:68" x14ac:dyDescent="0.3">
      <c r="C66" s="368">
        <v>0.32664355142925328</v>
      </c>
      <c r="D66" s="362">
        <v>0.51028555172011447</v>
      </c>
      <c r="E66" s="363">
        <v>0.29345383170623079</v>
      </c>
      <c r="F66" s="368">
        <v>0.36351340678434624</v>
      </c>
      <c r="G66" s="362">
        <v>0.33280733410545621</v>
      </c>
      <c r="H66" s="363">
        <v>0.3896307620677314</v>
      </c>
      <c r="I66" s="368">
        <v>0.47302932235922346</v>
      </c>
      <c r="J66" s="362">
        <v>0.34285277600809899</v>
      </c>
      <c r="K66" s="363">
        <v>0.45305586799120723</v>
      </c>
      <c r="L66" s="368">
        <v>0.35011150536068725</v>
      </c>
      <c r="M66" s="362">
        <v>0.36208483414385861</v>
      </c>
      <c r="N66" s="363">
        <v>0.33769215482689346</v>
      </c>
      <c r="O66" s="368">
        <v>0.3976403784631895</v>
      </c>
      <c r="P66" s="362">
        <v>0.42085303895913084</v>
      </c>
      <c r="Q66" s="363">
        <v>0.34115266626418927</v>
      </c>
      <c r="R66" s="368">
        <v>0.43553510011499608</v>
      </c>
      <c r="S66" s="362">
        <v>0.38697291812103723</v>
      </c>
      <c r="T66" s="363">
        <v>0.39377926225728527</v>
      </c>
      <c r="U66" s="368">
        <v>0.29888691937143441</v>
      </c>
      <c r="V66" s="362">
        <v>0.34941646379995789</v>
      </c>
      <c r="W66" s="363">
        <v>0.63631001423154854</v>
      </c>
      <c r="X66" s="368">
        <v>0.41812794129482278</v>
      </c>
      <c r="Y66" s="362">
        <v>0.34065678120962017</v>
      </c>
      <c r="Z66" s="363">
        <v>0.37616348854260223</v>
      </c>
      <c r="AA66" s="368">
        <v>0.2763149893584676</v>
      </c>
      <c r="AB66" s="362">
        <v>0.33847285618295142</v>
      </c>
      <c r="AC66" s="363">
        <v>0.43648965074922325</v>
      </c>
      <c r="AD66" s="368">
        <v>0.2844938340790466</v>
      </c>
      <c r="AE66" s="362">
        <v>-0.15415364988222358</v>
      </c>
      <c r="AF66" s="363">
        <v>0.37864482220566759</v>
      </c>
      <c r="AG66" s="368">
        <v>0.38738001390349058</v>
      </c>
      <c r="AH66" s="362">
        <v>0.18604490227757065</v>
      </c>
      <c r="AI66" s="363">
        <v>0.35467330039294948</v>
      </c>
      <c r="AJ66" s="368">
        <v>0.32217344373288004</v>
      </c>
      <c r="AK66" s="362" t="e">
        <v>#DIV/0!</v>
      </c>
      <c r="AL66" s="363">
        <v>0.29556254235600743</v>
      </c>
      <c r="AM66" s="362"/>
      <c r="AN66" s="362">
        <v>0.34183916332202852</v>
      </c>
      <c r="AO66" s="362"/>
      <c r="AP66" s="362"/>
      <c r="AQ66" s="362"/>
      <c r="AR66" s="362"/>
      <c r="AS66" s="362"/>
      <c r="AT66" s="362"/>
      <c r="AU66" s="362"/>
      <c r="AV66" s="362"/>
      <c r="AW66" s="362"/>
      <c r="AX66" s="362"/>
      <c r="AY66" s="362"/>
      <c r="AZ66" s="362"/>
      <c r="BA66" s="362"/>
      <c r="BB66" s="362"/>
      <c r="BC66" s="1400">
        <f>BC65-'MXD P&amp;L'!Q102</f>
        <v>10822.280000000144</v>
      </c>
      <c r="BD66" s="1400">
        <f>BD65-'MXD P&amp;L'!R102</f>
        <v>59716.559999999823</v>
      </c>
      <c r="BE66" s="1400">
        <f>BE65-'MXD P&amp;L'!S102</f>
        <v>206323.28999999992</v>
      </c>
      <c r="BF66" s="1400">
        <f>BF65-'MXD P&amp;L'!T102</f>
        <v>677.90999999979977</v>
      </c>
      <c r="BG66" s="362"/>
      <c r="BH66" s="362"/>
      <c r="BI66" s="362"/>
      <c r="BJ66" s="362"/>
      <c r="BK66" s="362"/>
      <c r="BL66" s="362"/>
      <c r="BM66" s="368">
        <v>0.37332559681994232</v>
      </c>
      <c r="BN66" s="362">
        <v>0.31098272657607323</v>
      </c>
      <c r="BO66" s="363">
        <v>0.35812203535732567</v>
      </c>
      <c r="BP66" s="363"/>
    </row>
    <row r="67" spans="2:68" x14ac:dyDescent="0.3">
      <c r="C67" s="362"/>
      <c r="D67" s="362"/>
      <c r="E67" s="966">
        <v>44197</v>
      </c>
      <c r="F67" s="362"/>
      <c r="G67" s="362"/>
      <c r="H67" s="966">
        <v>44228</v>
      </c>
      <c r="I67" s="966">
        <v>44256</v>
      </c>
      <c r="J67" s="362"/>
      <c r="K67" s="966">
        <v>44256</v>
      </c>
      <c r="L67" s="966">
        <v>44287</v>
      </c>
      <c r="M67" s="966">
        <v>44317</v>
      </c>
      <c r="N67" s="966">
        <v>44287</v>
      </c>
      <c r="O67" s="362"/>
      <c r="P67" s="966">
        <v>44348</v>
      </c>
      <c r="Q67" s="966">
        <v>44317</v>
      </c>
      <c r="R67" s="362"/>
      <c r="S67" s="362"/>
      <c r="T67" s="966">
        <v>44348</v>
      </c>
      <c r="U67" s="966"/>
      <c r="V67" s="362"/>
      <c r="W67" s="966">
        <v>44378</v>
      </c>
      <c r="X67" s="966"/>
      <c r="Y67" s="966"/>
      <c r="Z67" s="966">
        <v>44409</v>
      </c>
      <c r="AA67" s="362"/>
      <c r="AB67" s="966"/>
      <c r="AC67" s="966">
        <v>44440</v>
      </c>
      <c r="AD67" s="362"/>
      <c r="AE67" s="362"/>
      <c r="AF67" s="966">
        <v>44470</v>
      </c>
      <c r="AG67" s="362"/>
      <c r="AH67" s="362"/>
      <c r="AI67" s="966">
        <v>44501</v>
      </c>
      <c r="AJ67" s="362"/>
      <c r="AK67" s="362"/>
      <c r="AL67" s="966">
        <v>44531</v>
      </c>
      <c r="AM67" s="362"/>
      <c r="AN67" s="966">
        <v>44562</v>
      </c>
      <c r="AO67" s="966">
        <v>44593</v>
      </c>
      <c r="AP67" s="966">
        <v>44621</v>
      </c>
      <c r="AQ67" s="966">
        <v>44652</v>
      </c>
      <c r="AR67" s="966">
        <v>44682</v>
      </c>
      <c r="AS67" s="966">
        <v>44713</v>
      </c>
      <c r="AT67" s="966">
        <v>44743</v>
      </c>
      <c r="AU67" s="966">
        <v>44774</v>
      </c>
      <c r="AV67" s="966">
        <v>44805</v>
      </c>
      <c r="AW67" s="966">
        <v>44835</v>
      </c>
      <c r="AX67" s="966">
        <v>44866</v>
      </c>
      <c r="AY67" s="966">
        <v>44896</v>
      </c>
      <c r="AZ67" s="966">
        <v>44927</v>
      </c>
      <c r="BA67" s="966">
        <v>44958</v>
      </c>
      <c r="BB67" s="966">
        <v>44986</v>
      </c>
      <c r="BC67" s="966">
        <v>45017</v>
      </c>
      <c r="BD67" s="966">
        <v>45017</v>
      </c>
      <c r="BE67" s="966">
        <v>45017</v>
      </c>
      <c r="BF67" s="966">
        <v>45017</v>
      </c>
      <c r="BG67" s="966"/>
      <c r="BH67" s="966"/>
      <c r="BI67" s="966"/>
      <c r="BJ67" s="966"/>
      <c r="BK67" s="966"/>
      <c r="BL67" s="966">
        <v>45017</v>
      </c>
      <c r="BM67" s="966">
        <v>44897</v>
      </c>
      <c r="BN67" s="966">
        <v>44898</v>
      </c>
      <c r="BO67" s="966">
        <v>44899</v>
      </c>
      <c r="BP67" s="966">
        <v>44652</v>
      </c>
    </row>
    <row r="68" spans="2:68" x14ac:dyDescent="0.3">
      <c r="C68" s="362"/>
      <c r="D68" s="362"/>
      <c r="E68" s="354">
        <v>1</v>
      </c>
      <c r="F68" s="362"/>
      <c r="G68" s="362"/>
      <c r="H68" s="967">
        <v>2</v>
      </c>
      <c r="I68" s="966"/>
      <c r="J68" s="362"/>
      <c r="K68" s="967">
        <v>3</v>
      </c>
      <c r="L68" s="966"/>
      <c r="M68" s="966"/>
      <c r="N68" s="967">
        <v>4</v>
      </c>
      <c r="O68" s="362"/>
      <c r="P68" s="966"/>
      <c r="Q68" s="967">
        <v>5</v>
      </c>
      <c r="R68" s="362"/>
      <c r="S68" s="362"/>
      <c r="T68" s="967">
        <v>6</v>
      </c>
      <c r="U68" s="966"/>
      <c r="V68" s="362"/>
      <c r="W68" s="967">
        <v>7</v>
      </c>
      <c r="X68" s="966"/>
      <c r="Y68" s="966"/>
      <c r="Z68" s="967">
        <v>8</v>
      </c>
      <c r="AA68" s="362"/>
      <c r="AB68" s="966"/>
      <c r="AC68" s="967">
        <v>9</v>
      </c>
      <c r="AD68" s="362"/>
      <c r="AE68" s="362"/>
      <c r="AF68" s="967">
        <v>10</v>
      </c>
      <c r="AG68" s="362"/>
      <c r="AH68" s="362"/>
      <c r="AI68" s="967">
        <v>11</v>
      </c>
      <c r="AJ68" s="362"/>
      <c r="AK68" s="362"/>
      <c r="AL68" s="967">
        <v>12</v>
      </c>
      <c r="AM68" s="362"/>
      <c r="AN68" s="967">
        <v>13</v>
      </c>
      <c r="AO68" s="967">
        <v>14</v>
      </c>
      <c r="AP68" s="967">
        <v>15</v>
      </c>
      <c r="AQ68" s="967">
        <v>16</v>
      </c>
      <c r="AR68" s="967">
        <v>17</v>
      </c>
      <c r="AS68" s="967">
        <v>18</v>
      </c>
      <c r="AT68" s="967">
        <v>19</v>
      </c>
      <c r="AU68" s="967">
        <v>20</v>
      </c>
      <c r="AV68" s="967">
        <v>21</v>
      </c>
      <c r="AW68" s="967">
        <v>22</v>
      </c>
      <c r="AX68" s="967">
        <f t="shared" ref="AX68:BF68" si="10">AW68+1</f>
        <v>23</v>
      </c>
      <c r="AY68" s="967">
        <f t="shared" si="10"/>
        <v>24</v>
      </c>
      <c r="AZ68" s="967">
        <f>AO68+1</f>
        <v>15</v>
      </c>
      <c r="BA68" s="967">
        <f t="shared" si="10"/>
        <v>16</v>
      </c>
      <c r="BB68" s="1280">
        <f t="shared" si="10"/>
        <v>17</v>
      </c>
      <c r="BC68" s="1280">
        <f t="shared" si="10"/>
        <v>18</v>
      </c>
      <c r="BD68" s="1280">
        <f t="shared" si="10"/>
        <v>19</v>
      </c>
      <c r="BE68" s="1280">
        <f t="shared" si="10"/>
        <v>20</v>
      </c>
      <c r="BF68" s="1280">
        <f t="shared" si="10"/>
        <v>21</v>
      </c>
      <c r="BG68" s="1280"/>
      <c r="BH68" s="1280"/>
      <c r="BI68" s="1280"/>
      <c r="BJ68" s="1280"/>
      <c r="BK68" s="1280"/>
      <c r="BL68" s="1280"/>
      <c r="BM68" s="1280">
        <f>BL68+1</f>
        <v>1</v>
      </c>
      <c r="BN68" s="1280">
        <f>BM68+1</f>
        <v>2</v>
      </c>
      <c r="BO68" s="1280">
        <f>BN68+1</f>
        <v>3</v>
      </c>
      <c r="BP68" s="1280"/>
    </row>
    <row r="69" spans="2:68" x14ac:dyDescent="0.3">
      <c r="B69" t="s">
        <v>551</v>
      </c>
      <c r="E69" s="310">
        <v>371293.70967300003</v>
      </c>
      <c r="F69" s="315"/>
      <c r="G69" s="315"/>
      <c r="H69" s="310">
        <v>555021.1674540001</v>
      </c>
      <c r="I69" s="315"/>
      <c r="J69" s="315"/>
      <c r="K69" s="310">
        <v>672812.65999999992</v>
      </c>
      <c r="L69" s="315"/>
      <c r="M69" s="315"/>
      <c r="N69" s="310">
        <v>558579.57999999996</v>
      </c>
      <c r="O69" s="315"/>
      <c r="P69" s="315"/>
      <c r="Q69" s="310">
        <v>715728.98</v>
      </c>
      <c r="R69" s="315"/>
      <c r="S69" s="315"/>
      <c r="T69" s="310">
        <v>660848.47</v>
      </c>
      <c r="U69" s="315"/>
      <c r="V69" s="315"/>
      <c r="W69" s="310">
        <v>462067.74</v>
      </c>
      <c r="X69" s="315"/>
      <c r="Y69" s="315"/>
      <c r="Z69" s="310">
        <v>869238.30999999994</v>
      </c>
      <c r="AA69" s="315"/>
      <c r="AB69" s="315"/>
      <c r="AC69" s="310">
        <v>636133.85999999987</v>
      </c>
      <c r="AD69" s="315"/>
      <c r="AE69" s="315"/>
      <c r="AF69" s="310">
        <v>1118692.0899999999</v>
      </c>
      <c r="AG69" s="315"/>
      <c r="AH69" s="315"/>
      <c r="AI69" s="310">
        <v>718284.60999999987</v>
      </c>
      <c r="AJ69" s="315"/>
      <c r="AK69" s="315"/>
      <c r="AL69" s="310">
        <v>1525345.7700000005</v>
      </c>
      <c r="AM69" s="315"/>
      <c r="AN69" s="310">
        <v>755038.60000000009</v>
      </c>
      <c r="AO69" s="310">
        <v>1151665.8999999999</v>
      </c>
      <c r="AP69" s="310">
        <v>1252713.6700000002</v>
      </c>
      <c r="AQ69" s="310">
        <v>959201.77</v>
      </c>
      <c r="AR69" s="310">
        <v>1178862.18</v>
      </c>
      <c r="AS69" s="310">
        <v>1004086.4200000002</v>
      </c>
      <c r="AT69" s="310">
        <v>733943.62</v>
      </c>
      <c r="AU69" s="310">
        <v>775493.03</v>
      </c>
      <c r="AV69" s="310">
        <v>752607.23999999987</v>
      </c>
      <c r="AW69" s="310">
        <v>545669.06000000006</v>
      </c>
      <c r="AX69" s="310">
        <f>AX45+AX64</f>
        <v>466665.23000000004</v>
      </c>
      <c r="AY69" s="1230">
        <f>AO45+AO64</f>
        <v>965742.62999999989</v>
      </c>
      <c r="AZ69" s="1230">
        <f t="shared" ref="AZ69:BP69" si="11">AZ45+AZ64</f>
        <v>599555.55999999982</v>
      </c>
      <c r="BA69" s="800">
        <f t="shared" si="11"/>
        <v>546245.5199999999</v>
      </c>
      <c r="BB69" s="800">
        <f>BB45+BB64</f>
        <v>1035403.92</v>
      </c>
      <c r="BC69" s="800">
        <f>BC45+BC64</f>
        <v>888383.2300000001</v>
      </c>
      <c r="BD69" s="800">
        <f>BD45+BD64</f>
        <v>438289.06999999983</v>
      </c>
      <c r="BE69" s="800">
        <f>BE45+BE64</f>
        <v>1084181.8999999999</v>
      </c>
      <c r="BF69" s="800">
        <f>BF45+BF64</f>
        <v>668742.56999999983</v>
      </c>
      <c r="BG69" s="800"/>
      <c r="BH69" s="800"/>
      <c r="BI69" s="800"/>
      <c r="BJ69" s="800"/>
      <c r="BK69" s="800"/>
      <c r="BL69" s="800">
        <f t="shared" si="11"/>
        <v>3069588.23</v>
      </c>
      <c r="BM69" s="800">
        <f t="shared" si="11"/>
        <v>7005068</v>
      </c>
      <c r="BN69" s="800">
        <f t="shared" si="11"/>
        <v>6191878.6287083775</v>
      </c>
      <c r="BO69" s="800">
        <f t="shared" si="11"/>
        <v>6662078.0260270005</v>
      </c>
      <c r="BP69" s="800">
        <f t="shared" si="11"/>
        <v>3767603.66</v>
      </c>
    </row>
    <row r="70" spans="2:68" x14ac:dyDescent="0.3">
      <c r="B70" t="s">
        <v>931</v>
      </c>
      <c r="E70" s="310">
        <v>57228.939999999995</v>
      </c>
      <c r="F70" s="315"/>
      <c r="G70" s="315"/>
      <c r="H70" s="310">
        <v>76306.989999999991</v>
      </c>
      <c r="I70" s="315"/>
      <c r="J70" s="315"/>
      <c r="K70" s="310">
        <v>92616.12000000001</v>
      </c>
      <c r="L70" s="315"/>
      <c r="M70" s="315"/>
      <c r="N70" s="310">
        <v>89766.289999999979</v>
      </c>
      <c r="O70" s="315"/>
      <c r="P70" s="315"/>
      <c r="Q70" s="310">
        <v>95313.010000000009</v>
      </c>
      <c r="R70" s="315"/>
      <c r="S70" s="315"/>
      <c r="T70" s="310">
        <v>98658.12000000001</v>
      </c>
      <c r="U70" s="315"/>
      <c r="V70" s="315"/>
      <c r="W70" s="310">
        <v>113942.72999999998</v>
      </c>
      <c r="X70" s="315"/>
      <c r="Y70" s="315"/>
      <c r="Z70" s="310">
        <v>99831.070000000123</v>
      </c>
      <c r="AA70" s="315"/>
      <c r="AB70" s="315"/>
      <c r="AC70" s="310">
        <v>102419.29999999992</v>
      </c>
      <c r="AD70" s="315"/>
      <c r="AE70" s="315"/>
      <c r="AF70" s="310">
        <v>111979.25000000012</v>
      </c>
      <c r="AG70" s="315"/>
      <c r="AH70" s="315"/>
      <c r="AI70" s="310">
        <v>108807.15999999989</v>
      </c>
      <c r="AJ70" s="315"/>
      <c r="AK70" s="315"/>
      <c r="AL70" s="310">
        <v>131946.1699999999</v>
      </c>
      <c r="AM70" s="315"/>
      <c r="AN70" s="310">
        <v>99949.81</v>
      </c>
      <c r="AO70" s="310">
        <v>125463.94</v>
      </c>
      <c r="AP70" s="310">
        <v>139053.50999999998</v>
      </c>
      <c r="AQ70" s="310">
        <v>107492.19999999998</v>
      </c>
      <c r="AR70" s="310">
        <v>130789.35</v>
      </c>
      <c r="AS70" s="310">
        <v>114976.48</v>
      </c>
      <c r="AT70" s="310">
        <v>100559.87</v>
      </c>
      <c r="AU70" s="310">
        <v>96996.02</v>
      </c>
      <c r="AV70" s="310">
        <v>107917.35999999999</v>
      </c>
      <c r="AW70" s="310">
        <v>95299.7</v>
      </c>
      <c r="AX70" s="310">
        <f>Operations!AX59</f>
        <v>79977.089999999982</v>
      </c>
      <c r="AY70" s="1230">
        <f>Operations!AO59</f>
        <v>125463.94</v>
      </c>
      <c r="AZ70" s="1230">
        <f>Operations!AZ59</f>
        <v>94728.14</v>
      </c>
      <c r="BA70" s="800">
        <f>Operations!BA59</f>
        <v>100541.59999999999</v>
      </c>
      <c r="BB70" s="800">
        <f>Operations!BB59</f>
        <v>125177.14000000001</v>
      </c>
      <c r="BC70" s="800">
        <f>Operations!BC59</f>
        <v>105213.01000000001</v>
      </c>
      <c r="BD70" s="800">
        <f>Operations!BD59</f>
        <v>120348.60999999999</v>
      </c>
      <c r="BE70" s="800">
        <f>Operations!BE59</f>
        <v>103859.84</v>
      </c>
      <c r="BF70" s="800">
        <f>Operations!BF59</f>
        <v>88330.22</v>
      </c>
      <c r="BG70" s="800"/>
      <c r="BH70" s="800"/>
      <c r="BI70" s="800"/>
      <c r="BJ70" s="800"/>
      <c r="BK70" s="800"/>
      <c r="BL70" s="800">
        <f>Operations!BL59</f>
        <v>1028124.7800000001</v>
      </c>
      <c r="BM70" s="800">
        <f>Operations!BM59</f>
        <v>471959.45999999996</v>
      </c>
      <c r="BN70" s="800">
        <f>Operations!BN59</f>
        <v>0</v>
      </c>
      <c r="BO70" s="800">
        <f>Operations!BO59</f>
        <v>0</v>
      </c>
      <c r="BP70" s="800">
        <f>Operations!BM59</f>
        <v>471959.45999999996</v>
      </c>
    </row>
    <row r="71" spans="2:68" x14ac:dyDescent="0.3">
      <c r="B71" t="s">
        <v>555</v>
      </c>
      <c r="E71" s="311">
        <v>0.16084488899130261</v>
      </c>
      <c r="F71" s="315"/>
      <c r="G71" s="315"/>
      <c r="H71" s="311">
        <v>0.1137958376156769</v>
      </c>
      <c r="I71" s="315"/>
      <c r="J71" s="315"/>
      <c r="K71" s="311">
        <v>8.1129960109840665E-2</v>
      </c>
      <c r="L71" s="315"/>
      <c r="M71" s="315"/>
      <c r="N71" s="311">
        <v>0.12419109888914304</v>
      </c>
      <c r="O71" s="315"/>
      <c r="P71" s="315"/>
      <c r="Q71" s="311">
        <v>0.10570776745668832</v>
      </c>
      <c r="R71" s="315"/>
      <c r="S71" s="315"/>
      <c r="T71" s="311">
        <v>0.104531091721339</v>
      </c>
      <c r="U71" s="315"/>
      <c r="V71" s="315"/>
      <c r="W71" s="311">
        <v>0.12314187640379345</v>
      </c>
      <c r="X71" s="315"/>
      <c r="Y71" s="315"/>
      <c r="Z71" s="311">
        <v>8.2856148560818438E-2</v>
      </c>
      <c r="AA71" s="315"/>
      <c r="AB71" s="315"/>
      <c r="AC71" s="311">
        <v>9.4119544879541897E-2</v>
      </c>
      <c r="AD71" s="315"/>
      <c r="AE71" s="315"/>
      <c r="AF71" s="311">
        <v>7.0637517134822247E-2</v>
      </c>
      <c r="AG71" s="315"/>
      <c r="AH71" s="315"/>
      <c r="AI71" s="311">
        <v>0.10683242774098864</v>
      </c>
      <c r="AJ71" s="315"/>
      <c r="AK71" s="315"/>
      <c r="AL71" s="311">
        <v>6.6062389459318846E-2</v>
      </c>
      <c r="AM71" s="315"/>
      <c r="AN71" s="311">
        <v>9.5709556956889555E-2</v>
      </c>
      <c r="AO71" s="311">
        <v>7.5906053931778045E-2</v>
      </c>
      <c r="AP71" s="311">
        <v>8.8232887216146375E-2</v>
      </c>
      <c r="AQ71" s="311">
        <v>0.10827572755765548</v>
      </c>
      <c r="AR71" s="311">
        <v>9.4651848017223178E-2</v>
      </c>
      <c r="AS71" s="311">
        <v>7.5448611439252106E-2</v>
      </c>
      <c r="AT71" s="311">
        <v>8.548829329568329E-2</v>
      </c>
      <c r="AU71" s="311">
        <v>6.0478714905512938E-2</v>
      </c>
      <c r="AV71" s="311">
        <v>8.5161839665420652E-2</v>
      </c>
      <c r="AW71" s="311">
        <v>8.9795682613757949E-2</v>
      </c>
      <c r="AX71" s="311">
        <f>AX70/AX$29</f>
        <v>8.9299598369431368E-2</v>
      </c>
      <c r="AY71" s="360">
        <f>AO70/AO$29</f>
        <v>7.5906053931778045E-2</v>
      </c>
      <c r="AZ71" s="360">
        <f t="shared" ref="AZ71:BP71" si="12">AZ70/AZ$29</f>
        <v>0.13200337242979421</v>
      </c>
      <c r="BA71" s="713">
        <f t="shared" si="12"/>
        <v>0.10115402694070984</v>
      </c>
      <c r="BB71" s="713">
        <f>BB70/BB$29</f>
        <v>6.8953801236198375E-2</v>
      </c>
      <c r="BC71" s="713">
        <f>BC70/BC$29</f>
        <v>7.8472472199026325E-2</v>
      </c>
      <c r="BD71" s="713">
        <f>BD70/BD$29</f>
        <v>9.1492450915158563E-2</v>
      </c>
      <c r="BE71" s="713">
        <f>BE70/BE$29</f>
        <v>7.363474217552203E-2</v>
      </c>
      <c r="BF71" s="713">
        <f>BF70/BF$29</f>
        <v>7.8477095038030853E-2</v>
      </c>
      <c r="BG71" s="713"/>
      <c r="BH71" s="713"/>
      <c r="BI71" s="713"/>
      <c r="BJ71" s="713"/>
      <c r="BK71" s="713"/>
      <c r="BL71" s="713">
        <f t="shared" si="12"/>
        <v>0.21121345665138108</v>
      </c>
      <c r="BM71" s="713">
        <f t="shared" si="12"/>
        <v>4.2221562006347732E-2</v>
      </c>
      <c r="BN71" s="713">
        <f t="shared" si="12"/>
        <v>0</v>
      </c>
      <c r="BO71" s="713">
        <f t="shared" si="12"/>
        <v>0</v>
      </c>
      <c r="BP71" s="713">
        <f t="shared" si="12"/>
        <v>8.9625020380999051E-2</v>
      </c>
    </row>
    <row r="72" spans="2:68" x14ac:dyDescent="0.3">
      <c r="B72" t="s">
        <v>932</v>
      </c>
      <c r="E72" s="310">
        <v>40883.529999999992</v>
      </c>
      <c r="F72" s="315"/>
      <c r="G72" s="315"/>
      <c r="H72" s="310">
        <v>41258.507999999987</v>
      </c>
      <c r="I72" s="315"/>
      <c r="J72" s="315"/>
      <c r="K72" s="310">
        <v>40270.990000000005</v>
      </c>
      <c r="L72" s="315"/>
      <c r="M72" s="315"/>
      <c r="N72" s="310">
        <v>33748.610000000008</v>
      </c>
      <c r="O72" s="315"/>
      <c r="P72" s="315"/>
      <c r="Q72" s="310">
        <v>33146.329999999994</v>
      </c>
      <c r="R72" s="315"/>
      <c r="S72" s="315"/>
      <c r="T72" s="310">
        <v>34120.379999999983</v>
      </c>
      <c r="U72" s="315"/>
      <c r="V72" s="315"/>
      <c r="W72" s="310">
        <v>41243.500000000022</v>
      </c>
      <c r="X72" s="315"/>
      <c r="Y72" s="315"/>
      <c r="Z72" s="310">
        <v>38546.320000000014</v>
      </c>
      <c r="AA72" s="315"/>
      <c r="AB72" s="315"/>
      <c r="AC72" s="310">
        <v>43730.380000000005</v>
      </c>
      <c r="AD72" s="315"/>
      <c r="AE72" s="315"/>
      <c r="AF72" s="310">
        <v>50314.689999999973</v>
      </c>
      <c r="AG72" s="315"/>
      <c r="AH72" s="315"/>
      <c r="AI72" s="310">
        <v>49315.100000000013</v>
      </c>
      <c r="AJ72" s="315"/>
      <c r="AK72" s="315"/>
      <c r="AL72" s="310">
        <v>61270.519999999975</v>
      </c>
      <c r="AM72" s="315"/>
      <c r="AN72" s="310">
        <v>44967.899999999994</v>
      </c>
      <c r="AO72" s="310">
        <v>70123.03</v>
      </c>
      <c r="AP72" s="310">
        <v>67580.349999999991</v>
      </c>
      <c r="AQ72" s="310">
        <v>49749.079999999994</v>
      </c>
      <c r="AR72" s="310">
        <v>66240.97</v>
      </c>
      <c r="AS72" s="310">
        <v>61255.15</v>
      </c>
      <c r="AT72" s="310">
        <v>73053.95</v>
      </c>
      <c r="AU72" s="310">
        <v>61949.80000000001</v>
      </c>
      <c r="AV72" s="310">
        <v>58029.810000000005</v>
      </c>
      <c r="AW72" s="310">
        <v>66770.369999999981</v>
      </c>
      <c r="AX72" s="310">
        <f>Operations!AX47</f>
        <v>57597.59</v>
      </c>
      <c r="AY72" s="1230">
        <f>Operations!AO47</f>
        <v>70123.03</v>
      </c>
      <c r="AZ72" s="1230">
        <f>Operations!AZ47</f>
        <v>66959.039999999994</v>
      </c>
      <c r="BA72" s="800">
        <f>Operations!BA47</f>
        <v>50999.26</v>
      </c>
      <c r="BB72" s="800">
        <f>Operations!BB47</f>
        <v>77486.769999999975</v>
      </c>
      <c r="BC72" s="800">
        <f>Operations!BC47</f>
        <v>55780.05999999999</v>
      </c>
      <c r="BD72" s="800">
        <f>Operations!BD47</f>
        <v>67204.239999999991</v>
      </c>
      <c r="BE72" s="800">
        <f>Operations!BE47</f>
        <v>71518.949999999983</v>
      </c>
      <c r="BF72" s="800">
        <f>Operations!BF47</f>
        <v>64237.130000000005</v>
      </c>
      <c r="BG72" s="800"/>
      <c r="BH72" s="800"/>
      <c r="BI72" s="800"/>
      <c r="BJ72" s="800"/>
      <c r="BK72" s="800"/>
      <c r="BL72" s="800">
        <f>Operations!BL47</f>
        <v>641298.29999999993</v>
      </c>
      <c r="BM72" s="800">
        <f>Operations!BM47</f>
        <v>232420.35999999996</v>
      </c>
      <c r="BN72" s="800">
        <f>Operations!BN47</f>
        <v>0</v>
      </c>
      <c r="BO72" s="800">
        <f>Operations!BO47</f>
        <v>0</v>
      </c>
      <c r="BP72" s="800">
        <f>Operations!BM47</f>
        <v>232420.35999999996</v>
      </c>
    </row>
    <row r="73" spans="2:68" x14ac:dyDescent="0.3">
      <c r="B73" t="s">
        <v>556</v>
      </c>
      <c r="E73" s="311">
        <v>0.11490527073230064</v>
      </c>
      <c r="F73" s="315"/>
      <c r="G73" s="315"/>
      <c r="H73" s="311">
        <v>6.1528393095221096E-2</v>
      </c>
      <c r="I73" s="315"/>
      <c r="J73" s="315"/>
      <c r="K73" s="311">
        <v>3.527662152424213E-2</v>
      </c>
      <c r="L73" s="315"/>
      <c r="M73" s="315"/>
      <c r="N73" s="311">
        <v>4.669099014653634E-2</v>
      </c>
      <c r="O73" s="315"/>
      <c r="P73" s="315"/>
      <c r="Q73" s="311">
        <v>3.6761241132586733E-2</v>
      </c>
      <c r="R73" s="315"/>
      <c r="S73" s="315"/>
      <c r="T73" s="311">
        <v>3.6151515671968393E-2</v>
      </c>
      <c r="U73" s="315"/>
      <c r="V73" s="315"/>
      <c r="W73" s="311">
        <v>4.4573286768360372E-2</v>
      </c>
      <c r="X73" s="315"/>
      <c r="Y73" s="315"/>
      <c r="Z73" s="311">
        <v>3.1992040317637027E-2</v>
      </c>
      <c r="AA73" s="315"/>
      <c r="AB73" s="315"/>
      <c r="AC73" s="311">
        <v>4.0186600211185051E-2</v>
      </c>
      <c r="AD73" s="315"/>
      <c r="AE73" s="315"/>
      <c r="AF73" s="311">
        <v>3.1738958574988346E-2</v>
      </c>
      <c r="AG73" s="315"/>
      <c r="AH73" s="315"/>
      <c r="AI73" s="311">
        <v>4.8420084278365833E-2</v>
      </c>
      <c r="AJ73" s="315"/>
      <c r="AK73" s="315"/>
      <c r="AL73" s="311">
        <v>3.067672941635961E-2</v>
      </c>
      <c r="AM73" s="315"/>
      <c r="AN73" s="311">
        <v>4.3060189772063731E-2</v>
      </c>
      <c r="AO73" s="311">
        <v>4.2424640076181963E-2</v>
      </c>
      <c r="AP73" s="311">
        <v>4.2881401552378635E-2</v>
      </c>
      <c r="AQ73" s="311">
        <v>5.0111708871192581E-2</v>
      </c>
      <c r="AR73" s="311">
        <v>4.7938385082221452E-2</v>
      </c>
      <c r="AS73" s="311">
        <v>4.0196186307000392E-2</v>
      </c>
      <c r="AT73" s="311">
        <v>6.2104868512739546E-2</v>
      </c>
      <c r="AU73" s="311">
        <v>3.8626783786113554E-2</v>
      </c>
      <c r="AV73" s="311">
        <v>4.5793608878449445E-2</v>
      </c>
      <c r="AW73" s="311">
        <v>6.2914059042401854E-2</v>
      </c>
      <c r="AX73" s="311">
        <f>AX72/AX$29</f>
        <v>6.4311437863607906E-2</v>
      </c>
      <c r="AY73" s="360">
        <f>AO72/AO$29</f>
        <v>4.2424640076181963E-2</v>
      </c>
      <c r="AZ73" s="360">
        <f t="shared" ref="AZ73:BP73" si="13">AZ72/AZ$29</f>
        <v>9.3307216785439753E-2</v>
      </c>
      <c r="BA73" s="713">
        <f t="shared" si="13"/>
        <v>5.1309910723484273E-2</v>
      </c>
      <c r="BB73" s="713">
        <f>BB72/BB$29</f>
        <v>4.2683570954049732E-2</v>
      </c>
      <c r="BC73" s="713">
        <f>BC72/BC$29</f>
        <v>4.1603212450722765E-2</v>
      </c>
      <c r="BD73" s="713">
        <f>BD72/BD$29</f>
        <v>5.1090582845041047E-2</v>
      </c>
      <c r="BE73" s="713">
        <f>BE72/BE$29</f>
        <v>5.0705637943540549E-2</v>
      </c>
      <c r="BF73" s="713">
        <f>BF72/BF$29</f>
        <v>5.7071558929439353E-2</v>
      </c>
      <c r="BG73" s="713"/>
      <c r="BH73" s="713"/>
      <c r="BI73" s="713"/>
      <c r="BJ73" s="713"/>
      <c r="BK73" s="713"/>
      <c r="BL73" s="713">
        <f t="shared" si="13"/>
        <v>0.13174551700587778</v>
      </c>
      <c r="BM73" s="713">
        <f t="shared" si="13"/>
        <v>2.0792359244748818E-2</v>
      </c>
      <c r="BN73" s="713">
        <f t="shared" si="13"/>
        <v>0</v>
      </c>
      <c r="BO73" s="713">
        <f t="shared" si="13"/>
        <v>0</v>
      </c>
      <c r="BP73" s="713">
        <f t="shared" si="13"/>
        <v>4.413658643892663E-2</v>
      </c>
    </row>
    <row r="74" spans="2:68" x14ac:dyDescent="0.3">
      <c r="B74" t="s">
        <v>39</v>
      </c>
      <c r="E74" s="310">
        <v>45449.659999999996</v>
      </c>
      <c r="F74" s="315"/>
      <c r="G74" s="315"/>
      <c r="H74" s="310">
        <v>50714.708299999991</v>
      </c>
      <c r="I74" s="315"/>
      <c r="J74" s="315"/>
      <c r="K74" s="310">
        <v>60364.359999999993</v>
      </c>
      <c r="L74" s="315"/>
      <c r="M74" s="315"/>
      <c r="N74" s="310">
        <v>58227.279999999992</v>
      </c>
      <c r="O74" s="315"/>
      <c r="P74" s="315"/>
      <c r="Q74" s="310">
        <v>58166.929999999993</v>
      </c>
      <c r="R74" s="315"/>
      <c r="S74" s="315"/>
      <c r="T74" s="310">
        <v>54957.140000000043</v>
      </c>
      <c r="U74" s="315"/>
      <c r="V74" s="315"/>
      <c r="W74" s="310">
        <v>62334.229999999981</v>
      </c>
      <c r="X74" s="315"/>
      <c r="Y74" s="315"/>
      <c r="Z74" s="310">
        <v>63711.04000000003</v>
      </c>
      <c r="AA74" s="315"/>
      <c r="AB74" s="315"/>
      <c r="AC74" s="310">
        <v>56428.530000000006</v>
      </c>
      <c r="AD74" s="315"/>
      <c r="AE74" s="315"/>
      <c r="AF74" s="310">
        <v>64137.129999999925</v>
      </c>
      <c r="AG74" s="315"/>
      <c r="AH74" s="315"/>
      <c r="AI74" s="310">
        <v>53542</v>
      </c>
      <c r="AJ74" s="315"/>
      <c r="AK74" s="315"/>
      <c r="AL74" s="310">
        <v>65086.400000000023</v>
      </c>
      <c r="AM74" s="315"/>
      <c r="AN74" s="310">
        <v>60188.14</v>
      </c>
      <c r="AO74" s="310">
        <v>59562.390000000014</v>
      </c>
      <c r="AP74" s="310">
        <v>67874.39999999998</v>
      </c>
      <c r="AQ74" s="310">
        <v>62141.98</v>
      </c>
      <c r="AR74" s="310">
        <v>74791.600000000006</v>
      </c>
      <c r="AS74" s="310">
        <v>75057.010000000009</v>
      </c>
      <c r="AT74" s="310">
        <v>82952.539999999994</v>
      </c>
      <c r="AU74" s="310">
        <v>68068.460000000006</v>
      </c>
      <c r="AV74" s="310">
        <v>63530.189999999995</v>
      </c>
      <c r="AW74" s="310">
        <v>56958.159999999996</v>
      </c>
      <c r="AX74" s="310">
        <f>Operations!AX33</f>
        <v>64169.840000000011</v>
      </c>
      <c r="AY74" s="1230">
        <f>Operations!AO33</f>
        <v>59562.390000000014</v>
      </c>
      <c r="AZ74" s="1230">
        <f>Operations!AZ33</f>
        <v>70663.429999999993</v>
      </c>
      <c r="BA74" s="800">
        <f>Operations!BA33</f>
        <v>63826.369999999995</v>
      </c>
      <c r="BB74" s="800">
        <f>Operations!BB33</f>
        <v>68407.91</v>
      </c>
      <c r="BC74" s="800">
        <f>Operations!BC33</f>
        <v>61148.18</v>
      </c>
      <c r="BD74" s="800">
        <f>Operations!BD33</f>
        <v>70360.69</v>
      </c>
      <c r="BE74" s="800">
        <f>Operations!BE33</f>
        <v>63849.98</v>
      </c>
      <c r="BF74" s="800">
        <f>Operations!BF33</f>
        <v>54625.05</v>
      </c>
      <c r="BG74" s="800"/>
      <c r="BH74" s="800"/>
      <c r="BI74" s="800"/>
      <c r="BJ74" s="800"/>
      <c r="BK74" s="800"/>
      <c r="BL74" s="800">
        <f>Operations!BL33</f>
        <v>264045.8899999999</v>
      </c>
      <c r="BM74" s="800">
        <f>Operations!BM33</f>
        <v>249766.90999999997</v>
      </c>
      <c r="BN74" s="800">
        <f>Operations!BN33</f>
        <v>0</v>
      </c>
      <c r="BO74" s="800">
        <f>Operations!BO33</f>
        <v>0</v>
      </c>
      <c r="BP74" s="800">
        <f>Operations!BM33</f>
        <v>249766.90999999997</v>
      </c>
    </row>
    <row r="75" spans="2:68" x14ac:dyDescent="0.3">
      <c r="B75" t="s">
        <v>557</v>
      </c>
      <c r="E75" s="311">
        <v>0.12773861471822556</v>
      </c>
      <c r="F75" s="315"/>
      <c r="G75" s="315"/>
      <c r="H75" s="311">
        <v>7.5630328367469621E-2</v>
      </c>
      <c r="I75" s="315"/>
      <c r="J75" s="315"/>
      <c r="K75" s="311">
        <v>5.2878031587331238E-2</v>
      </c>
      <c r="L75" s="315"/>
      <c r="M75" s="315"/>
      <c r="N75" s="311">
        <v>8.0557076476323361E-2</v>
      </c>
      <c r="O75" s="315"/>
      <c r="P75" s="315"/>
      <c r="Q75" s="311">
        <v>6.4510566921655993E-2</v>
      </c>
      <c r="R75" s="315"/>
      <c r="S75" s="315"/>
      <c r="T75" s="311">
        <v>5.8228657125054401E-2</v>
      </c>
      <c r="U75" s="315"/>
      <c r="V75" s="315"/>
      <c r="W75" s="311">
        <v>6.7366773170922212E-2</v>
      </c>
      <c r="X75" s="315"/>
      <c r="Y75" s="315"/>
      <c r="Z75" s="311">
        <v>5.2877840487978764E-2</v>
      </c>
      <c r="AA75" s="315"/>
      <c r="AB75" s="315"/>
      <c r="AC75" s="311">
        <v>5.1855729943688166E-2</v>
      </c>
      <c r="AD75" s="315"/>
      <c r="AE75" s="315"/>
      <c r="AF75" s="311">
        <v>4.0458277934111109E-2</v>
      </c>
      <c r="AG75" s="315"/>
      <c r="AH75" s="315"/>
      <c r="AI75" s="311">
        <v>5.2570270615536881E-2</v>
      </c>
      <c r="AJ75" s="315"/>
      <c r="AK75" s="315"/>
      <c r="AL75" s="311">
        <v>3.2587252099132658E-2</v>
      </c>
      <c r="AM75" s="315"/>
      <c r="AN75" s="311">
        <v>5.7634729005080078E-2</v>
      </c>
      <c r="AO75" s="311">
        <v>3.6035421712769404E-2</v>
      </c>
      <c r="AP75" s="311">
        <v>4.306798354146979E-2</v>
      </c>
      <c r="AQ75" s="311">
        <v>6.2594942669079959E-2</v>
      </c>
      <c r="AR75" s="311">
        <v>5.4126449563094779E-2</v>
      </c>
      <c r="AS75" s="311">
        <v>4.9253092313158837E-2</v>
      </c>
      <c r="AT75" s="311">
        <v>7.0519890977801578E-2</v>
      </c>
      <c r="AU75" s="311">
        <v>4.244187530990768E-2</v>
      </c>
      <c r="AV75" s="311">
        <v>5.0134175397671989E-2</v>
      </c>
      <c r="AW75" s="311">
        <v>5.3668551502508856E-2</v>
      </c>
      <c r="AX75" s="311">
        <f>AX74/AX$29</f>
        <v>7.1649780448759443E-2</v>
      </c>
      <c r="AY75" s="360">
        <f>AO74/AO$29</f>
        <v>3.6035421712769404E-2</v>
      </c>
      <c r="AZ75" s="360">
        <f t="shared" ref="AZ75:BP75" si="14">AZ74/AZ$29</f>
        <v>9.8469272884030998E-2</v>
      </c>
      <c r="BA75" s="713">
        <f t="shared" si="14"/>
        <v>6.4215154229768714E-2</v>
      </c>
      <c r="BB75" s="713">
        <f>BB74/BB$29</f>
        <v>3.7682482832917794E-2</v>
      </c>
      <c r="BC75" s="713">
        <f>BC74/BC$29</f>
        <v>4.5606991521971063E-2</v>
      </c>
      <c r="BD75" s="713">
        <f>BD74/BD$29</f>
        <v>5.3490206294710747E-2</v>
      </c>
      <c r="BE75" s="713">
        <f>BE74/BE$29</f>
        <v>4.5268477355754053E-2</v>
      </c>
      <c r="BF75" s="713">
        <f>BF74/BF$29</f>
        <v>4.8531694365837499E-2</v>
      </c>
      <c r="BG75" s="713"/>
      <c r="BH75" s="713"/>
      <c r="BI75" s="713"/>
      <c r="BJ75" s="713"/>
      <c r="BK75" s="713"/>
      <c r="BL75" s="713">
        <f t="shared" si="14"/>
        <v>5.424443241363204E-2</v>
      </c>
      <c r="BM75" s="713">
        <f t="shared" si="14"/>
        <v>2.2344184133312791E-2</v>
      </c>
      <c r="BN75" s="713">
        <f t="shared" si="14"/>
        <v>0</v>
      </c>
      <c r="BO75" s="713">
        <f t="shared" si="14"/>
        <v>0</v>
      </c>
      <c r="BP75" s="713">
        <f t="shared" si="14"/>
        <v>4.7430693304143443E-2</v>
      </c>
    </row>
    <row r="76" spans="2:68" x14ac:dyDescent="0.3">
      <c r="B76" t="s">
        <v>43</v>
      </c>
      <c r="E76" s="310">
        <v>23072.060000000005</v>
      </c>
      <c r="F76" s="315"/>
      <c r="G76" s="315"/>
      <c r="H76" s="310">
        <v>66333.63</v>
      </c>
      <c r="I76" s="315"/>
      <c r="J76" s="315"/>
      <c r="K76" s="310">
        <v>52492.070000000007</v>
      </c>
      <c r="L76" s="315"/>
      <c r="M76" s="315"/>
      <c r="N76" s="310">
        <v>62501.590000000011</v>
      </c>
      <c r="O76" s="315"/>
      <c r="P76" s="315"/>
      <c r="Q76" s="310">
        <v>86198.66</v>
      </c>
      <c r="R76" s="315"/>
      <c r="S76" s="315"/>
      <c r="T76" s="310">
        <v>57806.490000000005</v>
      </c>
      <c r="U76" s="315"/>
      <c r="V76" s="315"/>
      <c r="W76" s="310">
        <v>57403.540000000008</v>
      </c>
      <c r="X76" s="315"/>
      <c r="Y76" s="315"/>
      <c r="Z76" s="310">
        <v>66199.489999999962</v>
      </c>
      <c r="AA76" s="315"/>
      <c r="AB76" s="315"/>
      <c r="AC76" s="310">
        <v>60693.530000000028</v>
      </c>
      <c r="AD76" s="315"/>
      <c r="AE76" s="315"/>
      <c r="AF76" s="310">
        <v>71096.520000000019</v>
      </c>
      <c r="AG76" s="315"/>
      <c r="AH76" s="315"/>
      <c r="AI76" s="310">
        <v>68346.63</v>
      </c>
      <c r="AJ76" s="315"/>
      <c r="AK76" s="315"/>
      <c r="AL76" s="310">
        <v>64787.619999999966</v>
      </c>
      <c r="AM76" s="315"/>
      <c r="AN76" s="310">
        <v>68227.300000000017</v>
      </c>
      <c r="AO76" s="310">
        <v>103258.23999999998</v>
      </c>
      <c r="AP76" s="310">
        <v>91379.180000000008</v>
      </c>
      <c r="AQ76" s="310">
        <v>108009.40000000001</v>
      </c>
      <c r="AR76" s="310">
        <v>50742.570000000007</v>
      </c>
      <c r="AS76" s="310">
        <v>65983.650000000023</v>
      </c>
      <c r="AT76" s="310">
        <v>79554.209999999992</v>
      </c>
      <c r="AU76" s="310">
        <v>74208.75</v>
      </c>
      <c r="AV76" s="310">
        <v>85146.150000000009</v>
      </c>
      <c r="AW76" s="310">
        <v>76412.59</v>
      </c>
      <c r="AX76" s="310">
        <f>Operations!AX84</f>
        <v>65156.33</v>
      </c>
      <c r="AY76" s="1230">
        <f>Operations!AO84</f>
        <v>103258.23999999998</v>
      </c>
      <c r="AZ76" s="1230">
        <f>Operations!AZ84</f>
        <v>87313.77</v>
      </c>
      <c r="BA76" s="800">
        <f>Operations!BA84</f>
        <v>66934.97</v>
      </c>
      <c r="BB76" s="800">
        <f>Operations!BB84</f>
        <v>100976.48</v>
      </c>
      <c r="BC76" s="800">
        <f>Operations!BC84</f>
        <v>71353.539999999994</v>
      </c>
      <c r="BD76" s="800">
        <f>Operations!BD84</f>
        <v>78202.080000000002</v>
      </c>
      <c r="BE76" s="800">
        <f>Operations!BE84</f>
        <v>101323.19999999998</v>
      </c>
      <c r="BF76" s="800">
        <f>Operations!BF84</f>
        <v>82208.740000000005</v>
      </c>
      <c r="BG76" s="800"/>
      <c r="BH76" s="800"/>
      <c r="BI76" s="800"/>
      <c r="BJ76" s="800"/>
      <c r="BK76" s="800"/>
      <c r="BL76" s="800">
        <f>Operations!BL84</f>
        <v>837728.38999999978</v>
      </c>
      <c r="BM76" s="800">
        <f>Operations!BM84</f>
        <v>370874.11999999994</v>
      </c>
      <c r="BN76" s="800">
        <f>Operations!BN84</f>
        <v>0</v>
      </c>
      <c r="BO76" s="800">
        <f>Operations!BO84</f>
        <v>0</v>
      </c>
      <c r="BP76" s="800">
        <f>Operations!BM84</f>
        <v>370874.11999999994</v>
      </c>
    </row>
    <row r="77" spans="2:68" x14ac:dyDescent="0.3">
      <c r="B77" t="s">
        <v>558</v>
      </c>
      <c r="E77" s="311">
        <v>6.4845215191836059E-2</v>
      </c>
      <c r="F77" s="315"/>
      <c r="G77" s="315"/>
      <c r="H77" s="311">
        <v>9.8922667345919355E-2</v>
      </c>
      <c r="I77" s="315"/>
      <c r="J77" s="315"/>
      <c r="K77" s="311">
        <v>4.5982055231669865E-2</v>
      </c>
      <c r="L77" s="315"/>
      <c r="M77" s="315"/>
      <c r="N77" s="311">
        <v>8.6470557538009835E-2</v>
      </c>
      <c r="O77" s="315"/>
      <c r="P77" s="315"/>
      <c r="Q77" s="311">
        <v>9.5599414039679795E-2</v>
      </c>
      <c r="R77" s="315"/>
      <c r="S77" s="315"/>
      <c r="T77" s="311">
        <v>6.1247624709234935E-2</v>
      </c>
      <c r="U77" s="315"/>
      <c r="V77" s="315"/>
      <c r="W77" s="311">
        <v>6.2038004775032296E-2</v>
      </c>
      <c r="X77" s="315"/>
      <c r="Y77" s="315"/>
      <c r="Z77" s="311">
        <v>5.4943163266610334E-2</v>
      </c>
      <c r="AA77" s="315"/>
      <c r="AB77" s="315"/>
      <c r="AC77" s="311">
        <v>5.5775107042645572E-2</v>
      </c>
      <c r="AD77" s="315"/>
      <c r="AE77" s="315"/>
      <c r="AF77" s="311">
        <v>4.4848323682523575E-2</v>
      </c>
      <c r="AG77" s="315"/>
      <c r="AH77" s="315"/>
      <c r="AI77" s="311">
        <v>6.710621259497164E-2</v>
      </c>
      <c r="AJ77" s="315"/>
      <c r="AK77" s="315"/>
      <c r="AL77" s="311">
        <v>3.2437659877375416E-2</v>
      </c>
      <c r="AM77" s="315"/>
      <c r="AN77" s="311">
        <v>6.5332837104590716E-2</v>
      </c>
      <c r="AO77" s="311">
        <v>6.2471539904935862E-2</v>
      </c>
      <c r="AP77" s="311">
        <v>5.7982347103959768E-2</v>
      </c>
      <c r="AQ77" s="311">
        <v>0.10879669750982709</v>
      </c>
      <c r="AR77" s="311">
        <v>3.67222409442612E-2</v>
      </c>
      <c r="AS77" s="311">
        <v>4.3299070994290395E-2</v>
      </c>
      <c r="AT77" s="311">
        <v>6.7630891302727217E-2</v>
      </c>
      <c r="AU77" s="311">
        <v>4.6270453517004956E-2</v>
      </c>
      <c r="AV77" s="311">
        <v>6.7192180891265857E-2</v>
      </c>
      <c r="AW77" s="311">
        <v>7.199939432480075E-2</v>
      </c>
      <c r="AX77" s="311">
        <f>AX76/AX$29</f>
        <v>7.2751260395022291E-2</v>
      </c>
      <c r="AY77" s="360">
        <f>AO76/AO$29</f>
        <v>6.2471539904935862E-2</v>
      </c>
      <c r="AZ77" s="360">
        <f t="shared" ref="AZ77:BP77" si="15">AZ76/AZ$29</f>
        <v>0.12167147058476385</v>
      </c>
      <c r="BA77" s="713">
        <f t="shared" si="15"/>
        <v>6.7342689579791906E-2</v>
      </c>
      <c r="BB77" s="713">
        <f>BB76/BB$29</f>
        <v>5.5622872766153304E-2</v>
      </c>
      <c r="BC77" s="713">
        <f>BC76/BC$29</f>
        <v>5.3218596102821425E-2</v>
      </c>
      <c r="BD77" s="713">
        <f>BD76/BD$29</f>
        <v>5.9451454951272839E-2</v>
      </c>
      <c r="BE77" s="713">
        <f>BE76/BE$29</f>
        <v>7.1836310439134632E-2</v>
      </c>
      <c r="BF77" s="713">
        <f>BF76/BF$29</f>
        <v>7.3038458434007844E-2</v>
      </c>
      <c r="BG77" s="713"/>
      <c r="BH77" s="713"/>
      <c r="BI77" s="713"/>
      <c r="BJ77" s="713"/>
      <c r="BK77" s="713"/>
      <c r="BL77" s="713">
        <f t="shared" si="15"/>
        <v>0.17209925529359987</v>
      </c>
      <c r="BM77" s="713">
        <f t="shared" si="15"/>
        <v>3.3178452772468316E-2</v>
      </c>
      <c r="BN77" s="713">
        <f t="shared" si="15"/>
        <v>0</v>
      </c>
      <c r="BO77" s="713">
        <f t="shared" si="15"/>
        <v>0</v>
      </c>
      <c r="BP77" s="713">
        <f t="shared" si="15"/>
        <v>7.0428931679396969E-2</v>
      </c>
    </row>
    <row r="78" spans="2:68" x14ac:dyDescent="0.3">
      <c r="B78" t="s">
        <v>552</v>
      </c>
      <c r="E78" s="376">
        <v>166634.18999999997</v>
      </c>
      <c r="H78" s="376">
        <v>234613.83629999997</v>
      </c>
      <c r="K78" s="376">
        <v>245743.54000000004</v>
      </c>
      <c r="N78" s="376">
        <v>244243.77000000002</v>
      </c>
      <c r="Q78" s="376">
        <v>272824.93</v>
      </c>
      <c r="T78" s="376">
        <v>245542.13</v>
      </c>
      <c r="W78" s="376">
        <v>274924</v>
      </c>
      <c r="Z78" s="376">
        <v>268287.92000000016</v>
      </c>
      <c r="AC78" s="376">
        <v>263271.73999999993</v>
      </c>
      <c r="AF78" s="376">
        <v>297527.59000000003</v>
      </c>
      <c r="AI78" s="376">
        <v>280010.8899999999</v>
      </c>
      <c r="AL78" s="376">
        <v>323090.70999999985</v>
      </c>
      <c r="AN78" s="376">
        <v>273333.15000000002</v>
      </c>
      <c r="AO78" s="376">
        <v>358407.6</v>
      </c>
      <c r="AP78" s="376">
        <v>365887.43999999994</v>
      </c>
      <c r="AQ78" s="376">
        <v>327392.65999999997</v>
      </c>
      <c r="AR78" s="376">
        <v>322564.49000000005</v>
      </c>
      <c r="AS78" s="376">
        <v>317272.29000000004</v>
      </c>
      <c r="AT78" s="376">
        <v>336120.56999999995</v>
      </c>
      <c r="AU78" s="376">
        <v>301223.03000000003</v>
      </c>
      <c r="AV78" s="376">
        <v>314623.51</v>
      </c>
      <c r="AW78" s="376">
        <v>295440.81999999995</v>
      </c>
      <c r="AX78" s="376">
        <f>Operations!AX33+Operations!AX47+Operations!AX59+Operations!AX84</f>
        <v>266900.84999999998</v>
      </c>
      <c r="AY78" s="376">
        <f>Operations!AO33+Operations!AO47+Operations!AO59+Operations!AO84</f>
        <v>358407.6</v>
      </c>
      <c r="AZ78" s="376">
        <f>Operations!AZ33+Operations!AZ47+Operations!AZ59+Operations!AZ84</f>
        <v>319664.38</v>
      </c>
      <c r="BA78" s="376">
        <f>Operations!BA33+Operations!BA47+Operations!BA59+Operations!BA84</f>
        <v>282302.19999999995</v>
      </c>
      <c r="BB78" s="376">
        <f>Operations!BB33+Operations!BB47+Operations!BB59+Operations!BB84</f>
        <v>372048.3</v>
      </c>
      <c r="BC78" s="376">
        <f>Operations!BC33+Operations!BC47+Operations!BC59+Operations!BC84</f>
        <v>293494.78999999998</v>
      </c>
      <c r="BD78" s="376">
        <f>Operations!BD33+Operations!BD47+Operations!BD59+Operations!BD84</f>
        <v>336115.62</v>
      </c>
      <c r="BE78" s="376">
        <f>Operations!BE33+Operations!BE47+Operations!BE59+Operations!BE84</f>
        <v>340551.97</v>
      </c>
      <c r="BF78" s="376">
        <f>Operations!BF33+Operations!BF47+Operations!BF59+Operations!BF84</f>
        <v>289401.14</v>
      </c>
      <c r="BG78" s="376"/>
      <c r="BH78" s="376"/>
      <c r="BI78" s="376"/>
      <c r="BJ78" s="376"/>
      <c r="BK78" s="376"/>
      <c r="BL78" s="376">
        <f>Operations!BL33+Operations!BL47+Operations!BL59+Operations!BL84</f>
        <v>2771197.36</v>
      </c>
      <c r="BM78" s="376">
        <f>Operations!BM33+Operations!BM47+Operations!BM59+Operations!BM84</f>
        <v>1325020.8499999999</v>
      </c>
      <c r="BN78" s="376">
        <f>Operations!BN33+Operations!BN47+Operations!BN59+Operations!BN84</f>
        <v>0</v>
      </c>
      <c r="BO78" s="376">
        <f>Operations!BO33+Operations!BO47+Operations!BO59+Operations!BO84</f>
        <v>0</v>
      </c>
      <c r="BP78" s="376">
        <f>Operations!BM33+Operations!BM47+Operations!BM59+Operations!BM84</f>
        <v>1325020.8499999999</v>
      </c>
    </row>
    <row r="79" spans="2:68" x14ac:dyDescent="0.3">
      <c r="B79" t="s">
        <v>554</v>
      </c>
      <c r="E79" s="376">
        <v>204659.51967300006</v>
      </c>
      <c r="H79" s="376">
        <v>320407.33115400013</v>
      </c>
      <c r="K79" s="376">
        <v>427069.11999999988</v>
      </c>
      <c r="N79" s="376">
        <v>314335.80999999994</v>
      </c>
      <c r="Q79" s="376">
        <v>442904.05</v>
      </c>
      <c r="T79" s="376">
        <v>415306.33999999997</v>
      </c>
      <c r="W79" s="376">
        <v>187143.74</v>
      </c>
      <c r="Z79" s="376">
        <v>600950.38999999978</v>
      </c>
      <c r="AC79" s="376">
        <v>372862.11999999994</v>
      </c>
      <c r="AD79" s="311"/>
      <c r="AF79" s="376">
        <v>821164.49999999977</v>
      </c>
      <c r="AG79" s="29"/>
      <c r="AI79" s="376">
        <v>438273.72</v>
      </c>
      <c r="AL79" s="376">
        <v>1202255.0600000005</v>
      </c>
      <c r="AN79" s="376">
        <v>481705.45000000007</v>
      </c>
      <c r="AO79" s="376">
        <v>793258.29999999993</v>
      </c>
      <c r="AP79" s="376">
        <v>886826.23000000021</v>
      </c>
      <c r="AQ79" s="376">
        <v>631809.1100000001</v>
      </c>
      <c r="AR79" s="376">
        <v>856297.69</v>
      </c>
      <c r="AS79" s="376">
        <v>686814.13000000012</v>
      </c>
      <c r="AT79" s="376">
        <v>397823.05000000005</v>
      </c>
      <c r="AU79" s="376">
        <v>474270</v>
      </c>
      <c r="AV79" s="376">
        <v>437983.72999999986</v>
      </c>
      <c r="AW79" s="376">
        <v>250228.24000000011</v>
      </c>
      <c r="AX79" s="376">
        <f>AX69-AX78</f>
        <v>199764.38000000006</v>
      </c>
      <c r="AY79" s="376">
        <f>AO69-AO78</f>
        <v>793258.29999999993</v>
      </c>
      <c r="AZ79" s="376">
        <f t="shared" ref="AZ79:BP79" si="16">AZ69-AZ78</f>
        <v>279891.17999999982</v>
      </c>
      <c r="BA79" s="376">
        <f t="shared" si="16"/>
        <v>263943.31999999995</v>
      </c>
      <c r="BB79" s="376">
        <f>BB69-BB78</f>
        <v>663355.62000000011</v>
      </c>
      <c r="BC79" s="376">
        <f>BC69-BC78</f>
        <v>594888.44000000018</v>
      </c>
      <c r="BD79" s="376">
        <f>BD69-BD78</f>
        <v>102173.44999999984</v>
      </c>
      <c r="BE79" s="376">
        <f>BE69-BE78</f>
        <v>743629.92999999993</v>
      </c>
      <c r="BF79" s="376">
        <f>BF69-BF78</f>
        <v>379341.42999999982</v>
      </c>
      <c r="BG79" s="376"/>
      <c r="BH79" s="376"/>
      <c r="BI79" s="376"/>
      <c r="BJ79" s="376"/>
      <c r="BK79" s="376"/>
      <c r="BL79" s="376">
        <f t="shared" si="16"/>
        <v>298390.87000000011</v>
      </c>
      <c r="BM79" s="376">
        <f t="shared" si="16"/>
        <v>5680047.1500000004</v>
      </c>
      <c r="BN79" s="376">
        <f t="shared" si="16"/>
        <v>6191878.6287083775</v>
      </c>
      <c r="BO79" s="376">
        <f t="shared" si="16"/>
        <v>6662078.0260270005</v>
      </c>
      <c r="BP79" s="376">
        <f t="shared" si="16"/>
        <v>2442582.8100000005</v>
      </c>
    </row>
    <row r="80" spans="2:68" x14ac:dyDescent="0.3">
      <c r="B80" t="s">
        <v>553</v>
      </c>
      <c r="E80" s="311">
        <v>0.5752061408584016</v>
      </c>
      <c r="H80" s="311">
        <v>0.47782019218518534</v>
      </c>
      <c r="K80" s="311">
        <v>0.37410442879430428</v>
      </c>
      <c r="N80" s="311">
        <v>0.43488162052936441</v>
      </c>
      <c r="Q80" s="311">
        <v>0.49120679666947303</v>
      </c>
      <c r="T80" s="311">
        <v>0.44002891114277859</v>
      </c>
      <c r="W80" s="311">
        <v>0.202252757159879</v>
      </c>
      <c r="Z80" s="311">
        <v>0.49876691486449759</v>
      </c>
      <c r="AC80" s="311">
        <v>0.34264648398515868</v>
      </c>
      <c r="AD80" s="311"/>
      <c r="AF80" s="311">
        <v>0.5179979455055973</v>
      </c>
      <c r="AG80" s="29"/>
      <c r="AI80" s="311">
        <v>0.43031952605577001</v>
      </c>
      <c r="AL80" s="311">
        <v>0.60194124621545919</v>
      </c>
      <c r="AN80" s="311">
        <v>0.46126966327618957</v>
      </c>
      <c r="AO80" s="311">
        <v>0.47992361232741904</v>
      </c>
      <c r="AP80" s="311">
        <v>0.56271315072816441</v>
      </c>
      <c r="AQ80" s="311">
        <v>0.6364144660059502</v>
      </c>
      <c r="AR80" s="311">
        <v>0.61969998942099858</v>
      </c>
      <c r="AS80" s="311">
        <v>0.4506936760053708</v>
      </c>
      <c r="AT80" s="311">
        <v>0.33819866292769951</v>
      </c>
      <c r="AU80" s="311">
        <v>0.29571563986066257</v>
      </c>
      <c r="AV80" s="311">
        <v>0.34563021362200563</v>
      </c>
      <c r="AW80" s="311">
        <v>0.23577635207707121</v>
      </c>
      <c r="AX80" s="311">
        <f>AX79/AX29</f>
        <v>0.22304986218576442</v>
      </c>
      <c r="AY80" s="360">
        <f>AO79/AO29</f>
        <v>0.47992361232741904</v>
      </c>
      <c r="AZ80" s="360">
        <f t="shared" ref="AZ80:BF80" si="17">AZ79/AZ29</f>
        <v>0.39002750052259594</v>
      </c>
      <c r="BA80" s="713">
        <f t="shared" si="17"/>
        <v>0.26555107241281611</v>
      </c>
      <c r="BB80" s="713">
        <f t="shared" si="17"/>
        <v>0.36540930373065839</v>
      </c>
      <c r="BC80" s="713">
        <f t="shared" si="17"/>
        <v>0.44369386038306619</v>
      </c>
      <c r="BD80" s="713">
        <f t="shared" si="17"/>
        <v>7.7675175134614305E-2</v>
      </c>
      <c r="BE80" s="713">
        <f t="shared" si="17"/>
        <v>0.52722012829551346</v>
      </c>
      <c r="BF80" s="713">
        <f t="shared" si="17"/>
        <v>0.33702637052157813</v>
      </c>
      <c r="BG80" s="713"/>
      <c r="BH80" s="713"/>
      <c r="BI80" s="713"/>
      <c r="BJ80" s="713"/>
      <c r="BK80" s="713"/>
      <c r="BL80" s="713">
        <f>BL79/BL29</f>
        <v>6.1300114842006731E-2</v>
      </c>
      <c r="BM80" s="713">
        <f>BM79/BM29</f>
        <v>0.50813784502318005</v>
      </c>
      <c r="BN80" s="713">
        <f>BN79/BN29</f>
        <v>0.68901727342392682</v>
      </c>
      <c r="BO80" s="713">
        <f>BO79/BO29</f>
        <v>0.64187796464267433</v>
      </c>
      <c r="BP80" s="713">
        <f>BP79/BP29</f>
        <v>0.46384605603313472</v>
      </c>
    </row>
    <row r="81" spans="2:68" x14ac:dyDescent="0.3">
      <c r="B81" t="s">
        <v>559</v>
      </c>
      <c r="E81" s="311">
        <v>0.55120653633815819</v>
      </c>
      <c r="H81" s="311">
        <v>0.5772884890566905</v>
      </c>
      <c r="K81" s="311">
        <v>0.63475190850302954</v>
      </c>
      <c r="N81" s="311">
        <v>0.56274131968805585</v>
      </c>
      <c r="Q81" s="311">
        <v>0.61881530911323446</v>
      </c>
      <c r="T81" s="311">
        <v>0.62844412728987631</v>
      </c>
      <c r="W81" s="311">
        <v>0.40501364583469945</v>
      </c>
      <c r="Z81" s="311">
        <v>0.6913528581132139</v>
      </c>
      <c r="AC81" s="311">
        <v>0.58613782954424087</v>
      </c>
      <c r="AD81" s="311"/>
      <c r="AF81" s="311">
        <v>0.73403978390514935</v>
      </c>
      <c r="AG81" s="29"/>
      <c r="AI81" s="311">
        <v>0.61016721491499037</v>
      </c>
      <c r="AL81" s="311">
        <v>0.78818526503666131</v>
      </c>
      <c r="AN81" s="311">
        <v>0.63798784591940072</v>
      </c>
      <c r="AO81" s="311">
        <v>0.68879203595417737</v>
      </c>
      <c r="AP81" s="311">
        <v>0.70792412602953403</v>
      </c>
      <c r="AQ81" s="311">
        <v>0.65868217695219655</v>
      </c>
      <c r="AR81" s="311">
        <v>0.72637642001544234</v>
      </c>
      <c r="AS81" s="311">
        <v>0.68401894131782004</v>
      </c>
      <c r="AT81" s="311">
        <v>0.54203489090892298</v>
      </c>
      <c r="AU81" s="311">
        <v>0.61157222779939102</v>
      </c>
      <c r="AV81" s="311">
        <v>0.58195524401279997</v>
      </c>
      <c r="AW81" s="311">
        <v>0.45857142789074401</v>
      </c>
      <c r="AX81" s="863">
        <f>AX79/AX69</f>
        <v>0.42806784640887013</v>
      </c>
      <c r="AY81" s="863">
        <f>AO79/AO69</f>
        <v>0.68879203595417737</v>
      </c>
      <c r="AZ81" s="863">
        <f t="shared" ref="AZ81:BP81" si="18">AZ79/AZ69</f>
        <v>0.46683109735484712</v>
      </c>
      <c r="BA81" s="1275">
        <f t="shared" si="18"/>
        <v>0.48319539535994727</v>
      </c>
      <c r="BB81" s="1275">
        <f>BB79/BB69</f>
        <v>0.6406732746385585</v>
      </c>
      <c r="BC81" s="1275">
        <f>BC79/BC69</f>
        <v>0.66963042514884041</v>
      </c>
      <c r="BD81" s="1275">
        <f>BD79/BD69</f>
        <v>0.233118863767239</v>
      </c>
      <c r="BE81" s="1275">
        <f>BE79/BE69</f>
        <v>0.68589037503762051</v>
      </c>
      <c r="BF81" s="1275">
        <f>BF79/BF69</f>
        <v>0.56724582375546984</v>
      </c>
      <c r="BG81" s="1399"/>
      <c r="BH81" s="1399"/>
      <c r="BI81" s="1399"/>
      <c r="BJ81" s="1399"/>
      <c r="BK81" s="1399"/>
      <c r="BL81" s="1275">
        <f t="shared" si="18"/>
        <v>9.7208761450065934E-2</v>
      </c>
      <c r="BM81" s="1275">
        <f t="shared" si="18"/>
        <v>0.8108482530076796</v>
      </c>
      <c r="BN81" s="1275">
        <f t="shared" si="18"/>
        <v>1</v>
      </c>
      <c r="BO81" s="1275">
        <f t="shared" si="18"/>
        <v>1</v>
      </c>
      <c r="BP81" s="1275">
        <f t="shared" si="18"/>
        <v>0.64831203874560428</v>
      </c>
    </row>
    <row r="82" spans="2:68" x14ac:dyDescent="0.3">
      <c r="AN82" s="959"/>
      <c r="AP82" s="959"/>
      <c r="AQ82" s="984"/>
      <c r="AR82" s="984"/>
      <c r="AS82" s="1792" t="s">
        <v>933</v>
      </c>
      <c r="AT82" s="1792"/>
      <c r="AU82" s="1792"/>
      <c r="AV82" s="1792"/>
      <c r="AW82" s="1792"/>
      <c r="AX82" s="959"/>
    </row>
    <row r="83" spans="2:68" x14ac:dyDescent="0.3">
      <c r="AI83" s="27"/>
      <c r="AN83" s="960"/>
      <c r="AO83" s="960"/>
      <c r="AP83" s="960"/>
      <c r="AQ83" s="955"/>
      <c r="AR83" s="955"/>
      <c r="AS83" s="955"/>
      <c r="AT83" s="955" t="s">
        <v>0</v>
      </c>
      <c r="AU83" s="955" t="s">
        <v>496</v>
      </c>
      <c r="AV83" s="955" t="s">
        <v>497</v>
      </c>
      <c r="AW83" s="955" t="s">
        <v>411</v>
      </c>
      <c r="AX83" s="960"/>
    </row>
    <row r="84" spans="2:68" x14ac:dyDescent="0.3">
      <c r="AI84" s="27"/>
      <c r="AN84" s="371"/>
      <c r="AO84" s="371"/>
      <c r="AP84" s="371"/>
      <c r="AQ84" s="371"/>
      <c r="AR84" s="371"/>
      <c r="AS84" s="371" t="s">
        <v>491</v>
      </c>
      <c r="AT84" s="310">
        <f>BC10</f>
        <v>440054.22</v>
      </c>
      <c r="AU84" s="310">
        <f>BC33</f>
        <v>193913.56</v>
      </c>
      <c r="AV84" s="310">
        <f t="shared" ref="AV84:AV91" si="19">AT84-AU84</f>
        <v>246140.65999999997</v>
      </c>
      <c r="AW84" s="311">
        <f>AV84/AT84</f>
        <v>0.5593416647612196</v>
      </c>
      <c r="AX84" s="360"/>
    </row>
    <row r="85" spans="2:68" x14ac:dyDescent="0.3">
      <c r="AI85" s="27"/>
      <c r="AN85" s="371"/>
      <c r="AO85" s="371"/>
      <c r="AP85" s="371"/>
      <c r="AQ85" s="371"/>
      <c r="AR85" s="371"/>
      <c r="AS85" s="371" t="s">
        <v>2</v>
      </c>
      <c r="AT85" s="310">
        <f>BC11</f>
        <v>500576.67</v>
      </c>
      <c r="AU85" s="310">
        <f>BC34</f>
        <v>286437.28000000003</v>
      </c>
      <c r="AV85" s="310">
        <f t="shared" si="19"/>
        <v>214139.38999999996</v>
      </c>
      <c r="AW85" s="311">
        <f>AV85/AT85</f>
        <v>0.42778539798908322</v>
      </c>
      <c r="AX85" s="360"/>
    </row>
    <row r="86" spans="2:68" x14ac:dyDescent="0.3">
      <c r="AI86" s="27"/>
      <c r="AN86" s="371"/>
      <c r="AO86" s="371"/>
      <c r="AP86" s="371"/>
      <c r="AQ86" s="371"/>
      <c r="AR86" s="371"/>
      <c r="AS86" s="371" t="s">
        <v>3</v>
      </c>
      <c r="AT86" s="310">
        <f>BC12</f>
        <v>120758.18</v>
      </c>
      <c r="AU86" s="310">
        <f>BC35</f>
        <v>121293.09</v>
      </c>
      <c r="AV86" s="310">
        <f t="shared" si="19"/>
        <v>-534.91000000000349</v>
      </c>
      <c r="AW86" s="311">
        <f>AV86/AT86</f>
        <v>-4.4295964049806272E-3</v>
      </c>
      <c r="AX86" s="360"/>
    </row>
    <row r="87" spans="2:68" x14ac:dyDescent="0.3">
      <c r="K87" t="s">
        <v>564</v>
      </c>
      <c r="AI87" s="27"/>
      <c r="AN87" s="371"/>
      <c r="AO87" s="371"/>
      <c r="AP87" s="371"/>
      <c r="AQ87" s="371"/>
      <c r="AR87" s="371"/>
      <c r="AS87" s="371" t="s">
        <v>5</v>
      </c>
      <c r="AT87" s="310">
        <f>BC16</f>
        <v>233629.36</v>
      </c>
      <c r="AU87" s="310">
        <f>BC39</f>
        <v>160520</v>
      </c>
      <c r="AV87" s="310">
        <f t="shared" si="19"/>
        <v>73109.359999999986</v>
      </c>
      <c r="AW87" s="311">
        <f>AV87/AT87</f>
        <v>0.31292882024759211</v>
      </c>
      <c r="AX87" s="360"/>
    </row>
    <row r="88" spans="2:68" x14ac:dyDescent="0.3">
      <c r="E88" t="s">
        <v>0</v>
      </c>
      <c r="H88">
        <v>1000</v>
      </c>
      <c r="K88" s="29">
        <v>0.5</v>
      </c>
      <c r="N88">
        <v>1500</v>
      </c>
      <c r="AI88" s="27"/>
      <c r="AN88" s="371"/>
      <c r="AO88" s="371"/>
      <c r="AP88" s="371"/>
      <c r="AQ88" s="371"/>
      <c r="AR88" s="371"/>
      <c r="AS88" s="371" t="s">
        <v>493</v>
      </c>
      <c r="AT88" s="310">
        <v>0</v>
      </c>
      <c r="AU88" s="310">
        <f>BC64</f>
        <v>47504.92</v>
      </c>
      <c r="AV88" s="310">
        <f t="shared" si="19"/>
        <v>-47504.92</v>
      </c>
      <c r="AW88" s="1248" t="s">
        <v>495</v>
      </c>
      <c r="AX88" s="961"/>
    </row>
    <row r="89" spans="2:68" x14ac:dyDescent="0.3">
      <c r="E89" s="29" t="s">
        <v>496</v>
      </c>
      <c r="H89">
        <v>350</v>
      </c>
      <c r="K89" s="29">
        <v>0.5</v>
      </c>
      <c r="N89">
        <v>525</v>
      </c>
      <c r="AI89" s="27"/>
      <c r="AN89" s="371"/>
      <c r="AO89" s="371"/>
      <c r="AP89" s="371"/>
      <c r="AQ89" s="371"/>
      <c r="AR89" s="371"/>
      <c r="AS89" s="371" t="s">
        <v>548</v>
      </c>
      <c r="AT89" s="310">
        <f>BC29-SUM(AT84:AT88)</f>
        <v>45744.859999999637</v>
      </c>
      <c r="AU89" s="310">
        <f>BC45+BC64-SUM(AU84:AU88)</f>
        <v>78714.38</v>
      </c>
      <c r="AV89" s="310">
        <f t="shared" si="19"/>
        <v>-32969.520000000368</v>
      </c>
      <c r="AW89" s="311">
        <f>AV89/AT89</f>
        <v>-0.7207262192954712</v>
      </c>
      <c r="AX89" s="360"/>
    </row>
    <row r="90" spans="2:68" x14ac:dyDescent="0.3">
      <c r="E90" t="s">
        <v>561</v>
      </c>
      <c r="H90">
        <v>650</v>
      </c>
      <c r="N90">
        <v>975</v>
      </c>
      <c r="AN90" s="371"/>
      <c r="AO90" s="371"/>
      <c r="AP90" s="371"/>
      <c r="AQ90" s="377"/>
      <c r="AR90" s="377"/>
      <c r="AS90" s="377" t="s">
        <v>492</v>
      </c>
      <c r="AT90" s="862">
        <v>0</v>
      </c>
      <c r="AU90" s="379">
        <f>SUM('All Statements'!AI66:AI70)</f>
        <v>0</v>
      </c>
      <c r="AV90" s="862">
        <f t="shared" si="19"/>
        <v>0</v>
      </c>
      <c r="AW90" s="1249" t="s">
        <v>495</v>
      </c>
      <c r="AX90" s="961"/>
    </row>
    <row r="91" spans="2:68" x14ac:dyDescent="0.3">
      <c r="E91" s="970" t="s">
        <v>562</v>
      </c>
      <c r="F91" s="970"/>
      <c r="G91" s="970"/>
      <c r="H91" s="971">
        <v>0.65</v>
      </c>
      <c r="I91" s="970"/>
      <c r="J91" s="970"/>
      <c r="K91" s="970"/>
      <c r="L91" s="970"/>
      <c r="M91" s="970"/>
      <c r="N91" s="971">
        <v>0.65</v>
      </c>
      <c r="AN91" s="371"/>
      <c r="AO91" s="371"/>
      <c r="AP91" s="371"/>
      <c r="AQ91" s="371"/>
      <c r="AR91" s="371"/>
      <c r="AS91" s="371" t="s">
        <v>142</v>
      </c>
      <c r="AT91" s="310">
        <f>SUM(AT84:AT90)</f>
        <v>1340763.2899999993</v>
      </c>
      <c r="AU91" s="310">
        <f>SUM(AU84:AU90)</f>
        <v>888383.2300000001</v>
      </c>
      <c r="AV91" s="310">
        <f t="shared" si="19"/>
        <v>452380.05999999924</v>
      </c>
      <c r="AW91" s="311">
        <f>AV91/AT91</f>
        <v>0.33740486734239228</v>
      </c>
      <c r="AX91" s="360"/>
    </row>
    <row r="92" spans="2:68" x14ac:dyDescent="0.3">
      <c r="E92" t="s">
        <v>560</v>
      </c>
      <c r="H92">
        <v>20</v>
      </c>
      <c r="N92">
        <v>20</v>
      </c>
      <c r="AP92" s="857"/>
    </row>
    <row r="93" spans="2:68" x14ac:dyDescent="0.3">
      <c r="E93" t="s">
        <v>202</v>
      </c>
      <c r="H93">
        <v>630</v>
      </c>
      <c r="N93">
        <v>955</v>
      </c>
      <c r="AO93" s="371"/>
      <c r="AP93"/>
    </row>
    <row r="94" spans="2:68" x14ac:dyDescent="0.3">
      <c r="E94" s="968" t="s">
        <v>563</v>
      </c>
      <c r="F94" s="968"/>
      <c r="G94" s="968"/>
      <c r="H94" s="969">
        <v>0.63</v>
      </c>
      <c r="I94" s="968"/>
      <c r="J94" s="968"/>
      <c r="K94" s="968"/>
      <c r="L94" s="968"/>
      <c r="M94" s="968"/>
      <c r="N94" s="969">
        <v>0.63666666666666671</v>
      </c>
      <c r="AO94" s="371"/>
      <c r="AP94"/>
    </row>
    <row r="95" spans="2:68" x14ac:dyDescent="0.3">
      <c r="AP95"/>
    </row>
    <row r="96" spans="2:68" x14ac:dyDescent="0.3">
      <c r="AP96"/>
      <c r="AQ96" s="857"/>
    </row>
    <row r="97" spans="42:43" x14ac:dyDescent="0.3">
      <c r="AP97"/>
      <c r="AQ97" s="311"/>
    </row>
    <row r="98" spans="42:43" x14ac:dyDescent="0.3">
      <c r="AP98"/>
    </row>
    <row r="99" spans="42:43" x14ac:dyDescent="0.3">
      <c r="AP99"/>
    </row>
    <row r="100" spans="42:43" x14ac:dyDescent="0.3">
      <c r="AP100"/>
    </row>
    <row r="101" spans="42:43" x14ac:dyDescent="0.3">
      <c r="AP101"/>
    </row>
    <row r="102" spans="42:43" x14ac:dyDescent="0.3">
      <c r="AP102"/>
    </row>
    <row r="103" spans="42:43" x14ac:dyDescent="0.3">
      <c r="AP103"/>
    </row>
    <row r="104" spans="42:43" x14ac:dyDescent="0.3">
      <c r="AP104"/>
    </row>
    <row r="105" spans="42:43" x14ac:dyDescent="0.3">
      <c r="AP105"/>
    </row>
    <row r="106" spans="42:43" x14ac:dyDescent="0.3">
      <c r="AP106"/>
    </row>
    <row r="107" spans="42:43" x14ac:dyDescent="0.3">
      <c r="AP107"/>
    </row>
    <row r="108" spans="42:43" x14ac:dyDescent="0.3">
      <c r="AP108"/>
    </row>
    <row r="109" spans="42:43" x14ac:dyDescent="0.3">
      <c r="AP109"/>
    </row>
    <row r="110" spans="42:43" x14ac:dyDescent="0.3">
      <c r="AP110"/>
    </row>
    <row r="111" spans="42:43" x14ac:dyDescent="0.3">
      <c r="AP111"/>
    </row>
    <row r="112" spans="42:43" x14ac:dyDescent="0.3">
      <c r="AP112"/>
    </row>
    <row r="113" spans="42:42" x14ac:dyDescent="0.3">
      <c r="AP113"/>
    </row>
    <row r="114" spans="42:42" x14ac:dyDescent="0.3">
      <c r="AP114"/>
    </row>
    <row r="115" spans="42:42" x14ac:dyDescent="0.3">
      <c r="AP115"/>
    </row>
    <row r="116" spans="42:42" x14ac:dyDescent="0.3">
      <c r="AP116"/>
    </row>
    <row r="117" spans="42:42" x14ac:dyDescent="0.3">
      <c r="AP117"/>
    </row>
    <row r="118" spans="42:42" x14ac:dyDescent="0.3">
      <c r="AP118"/>
    </row>
    <row r="119" spans="42:42" x14ac:dyDescent="0.3">
      <c r="AP119"/>
    </row>
    <row r="120" spans="42:42" x14ac:dyDescent="0.3">
      <c r="AP120"/>
    </row>
    <row r="121" spans="42:42" x14ac:dyDescent="0.3">
      <c r="AP121"/>
    </row>
    <row r="122" spans="42:42" x14ac:dyDescent="0.3">
      <c r="AP122"/>
    </row>
    <row r="123" spans="42:42" x14ac:dyDescent="0.3">
      <c r="AP123"/>
    </row>
    <row r="124" spans="42:42" x14ac:dyDescent="0.3">
      <c r="AP124"/>
    </row>
    <row r="125" spans="42:42" x14ac:dyDescent="0.3">
      <c r="AP125"/>
    </row>
    <row r="126" spans="42:42" x14ac:dyDescent="0.3">
      <c r="AP126"/>
    </row>
    <row r="127" spans="42:42" x14ac:dyDescent="0.3">
      <c r="AP127"/>
    </row>
    <row r="128" spans="42:42" x14ac:dyDescent="0.3">
      <c r="AP128"/>
    </row>
    <row r="129" spans="42:42" x14ac:dyDescent="0.3">
      <c r="AP129"/>
    </row>
    <row r="130" spans="42:42" x14ac:dyDescent="0.3">
      <c r="AP130"/>
    </row>
    <row r="131" spans="42:42" x14ac:dyDescent="0.3">
      <c r="AP131"/>
    </row>
    <row r="132" spans="42:42" x14ac:dyDescent="0.3">
      <c r="AP132"/>
    </row>
    <row r="133" spans="42:42" x14ac:dyDescent="0.3">
      <c r="AP133"/>
    </row>
    <row r="134" spans="42:42" x14ac:dyDescent="0.3">
      <c r="AP134"/>
    </row>
    <row r="135" spans="42:42" x14ac:dyDescent="0.3">
      <c r="AP135"/>
    </row>
    <row r="136" spans="42:42" x14ac:dyDescent="0.3">
      <c r="AP136"/>
    </row>
    <row r="137" spans="42:42" x14ac:dyDescent="0.3">
      <c r="AP137"/>
    </row>
    <row r="138" spans="42:42" x14ac:dyDescent="0.3">
      <c r="AP138"/>
    </row>
    <row r="139" spans="42:42" x14ac:dyDescent="0.3">
      <c r="AP139"/>
    </row>
    <row r="140" spans="42:42" x14ac:dyDescent="0.3">
      <c r="AP140"/>
    </row>
    <row r="141" spans="42:42" x14ac:dyDescent="0.3">
      <c r="AP141"/>
    </row>
    <row r="142" spans="42:42" x14ac:dyDescent="0.3">
      <c r="AP142"/>
    </row>
    <row r="143" spans="42:42" x14ac:dyDescent="0.3">
      <c r="AP143"/>
    </row>
    <row r="144" spans="42:42" x14ac:dyDescent="0.3">
      <c r="AP144"/>
    </row>
    <row r="145" spans="42:42" x14ac:dyDescent="0.3">
      <c r="AP145"/>
    </row>
    <row r="146" spans="42:42" x14ac:dyDescent="0.3">
      <c r="AP146"/>
    </row>
    <row r="147" spans="42:42" x14ac:dyDescent="0.3">
      <c r="AP147"/>
    </row>
    <row r="148" spans="42:42" x14ac:dyDescent="0.3">
      <c r="AP148"/>
    </row>
    <row r="149" spans="42:42" x14ac:dyDescent="0.3">
      <c r="AP149"/>
    </row>
    <row r="150" spans="42:42" x14ac:dyDescent="0.3">
      <c r="AP150"/>
    </row>
    <row r="151" spans="42:42" x14ac:dyDescent="0.3">
      <c r="AP151"/>
    </row>
    <row r="152" spans="42:42" x14ac:dyDescent="0.3">
      <c r="AP152"/>
    </row>
    <row r="153" spans="42:42" x14ac:dyDescent="0.3">
      <c r="AP153"/>
    </row>
    <row r="154" spans="42:42" x14ac:dyDescent="0.3">
      <c r="AP154"/>
    </row>
    <row r="155" spans="42:42" x14ac:dyDescent="0.3">
      <c r="AP155"/>
    </row>
    <row r="156" spans="42:42" x14ac:dyDescent="0.3">
      <c r="AP156"/>
    </row>
    <row r="157" spans="42:42" x14ac:dyDescent="0.3">
      <c r="AP157"/>
    </row>
    <row r="158" spans="42:42" x14ac:dyDescent="0.3">
      <c r="AP158"/>
    </row>
    <row r="159" spans="42:42" x14ac:dyDescent="0.3">
      <c r="AP159"/>
    </row>
    <row r="160" spans="42:42" x14ac:dyDescent="0.3">
      <c r="AP160"/>
    </row>
    <row r="161" spans="42:42" x14ac:dyDescent="0.3">
      <c r="AP161"/>
    </row>
    <row r="162" spans="42:42" x14ac:dyDescent="0.3">
      <c r="AP162"/>
    </row>
    <row r="163" spans="42:42" x14ac:dyDescent="0.3">
      <c r="AP163"/>
    </row>
    <row r="164" spans="42:42" x14ac:dyDescent="0.3">
      <c r="AP164"/>
    </row>
    <row r="165" spans="42:42" x14ac:dyDescent="0.3">
      <c r="AP165"/>
    </row>
    <row r="166" spans="42:42" x14ac:dyDescent="0.3">
      <c r="AP166"/>
    </row>
    <row r="167" spans="42:42" x14ac:dyDescent="0.3">
      <c r="AP167"/>
    </row>
    <row r="168" spans="42:42" x14ac:dyDescent="0.3">
      <c r="AP168"/>
    </row>
    <row r="169" spans="42:42" x14ac:dyDescent="0.3">
      <c r="AP169"/>
    </row>
    <row r="170" spans="42:42" x14ac:dyDescent="0.3">
      <c r="AP170"/>
    </row>
    <row r="171" spans="42:42" x14ac:dyDescent="0.3">
      <c r="AP171"/>
    </row>
    <row r="172" spans="42:42" x14ac:dyDescent="0.3">
      <c r="AP172"/>
    </row>
    <row r="173" spans="42:42" x14ac:dyDescent="0.3">
      <c r="AP173"/>
    </row>
    <row r="174" spans="42:42" x14ac:dyDescent="0.3">
      <c r="AP174"/>
    </row>
    <row r="175" spans="42:42" x14ac:dyDescent="0.3">
      <c r="AP175"/>
    </row>
    <row r="176" spans="42:42" x14ac:dyDescent="0.3">
      <c r="AP176"/>
    </row>
    <row r="177" spans="42:42" x14ac:dyDescent="0.3">
      <c r="AP177"/>
    </row>
    <row r="178" spans="42:42" x14ac:dyDescent="0.3">
      <c r="AP178"/>
    </row>
    <row r="179" spans="42:42" x14ac:dyDescent="0.3">
      <c r="AP179"/>
    </row>
    <row r="180" spans="42:42" x14ac:dyDescent="0.3">
      <c r="AP180"/>
    </row>
    <row r="181" spans="42:42" x14ac:dyDescent="0.3">
      <c r="AP181"/>
    </row>
    <row r="182" spans="42:42" x14ac:dyDescent="0.3">
      <c r="AP182"/>
    </row>
    <row r="183" spans="42:42" x14ac:dyDescent="0.3">
      <c r="AP183"/>
    </row>
    <row r="184" spans="42:42" x14ac:dyDescent="0.3">
      <c r="AP184"/>
    </row>
    <row r="185" spans="42:42" x14ac:dyDescent="0.3">
      <c r="AP185"/>
    </row>
    <row r="186" spans="42:42" x14ac:dyDescent="0.3">
      <c r="AP186"/>
    </row>
    <row r="187" spans="42:42" x14ac:dyDescent="0.3">
      <c r="AP187"/>
    </row>
    <row r="188" spans="42:42" x14ac:dyDescent="0.3">
      <c r="AP188"/>
    </row>
    <row r="189" spans="42:42" x14ac:dyDescent="0.3">
      <c r="AP189"/>
    </row>
    <row r="190" spans="42:42" x14ac:dyDescent="0.3">
      <c r="AP190"/>
    </row>
    <row r="191" spans="42:42" x14ac:dyDescent="0.3">
      <c r="AP191"/>
    </row>
    <row r="192" spans="42:42" x14ac:dyDescent="0.3">
      <c r="AP192"/>
    </row>
    <row r="193" spans="42:42" x14ac:dyDescent="0.3">
      <c r="AP193"/>
    </row>
    <row r="194" spans="42:42" x14ac:dyDescent="0.3">
      <c r="AP194"/>
    </row>
    <row r="195" spans="42:42" x14ac:dyDescent="0.3">
      <c r="AP195"/>
    </row>
    <row r="196" spans="42:42" x14ac:dyDescent="0.3">
      <c r="AP196"/>
    </row>
    <row r="197" spans="42:42" x14ac:dyDescent="0.3">
      <c r="AP197"/>
    </row>
    <row r="198" spans="42:42" x14ac:dyDescent="0.3">
      <c r="AP198"/>
    </row>
    <row r="199" spans="42:42" x14ac:dyDescent="0.3">
      <c r="AP199"/>
    </row>
    <row r="200" spans="42:42" x14ac:dyDescent="0.3">
      <c r="AP200"/>
    </row>
    <row r="201" spans="42:42" x14ac:dyDescent="0.3">
      <c r="AP201"/>
    </row>
    <row r="202" spans="42:42" x14ac:dyDescent="0.3">
      <c r="AP202"/>
    </row>
    <row r="203" spans="42:42" x14ac:dyDescent="0.3">
      <c r="AP203"/>
    </row>
    <row r="204" spans="42:42" x14ac:dyDescent="0.3">
      <c r="AP204"/>
    </row>
    <row r="205" spans="42:42" x14ac:dyDescent="0.3">
      <c r="AP205"/>
    </row>
    <row r="206" spans="42:42" x14ac:dyDescent="0.3">
      <c r="AP206"/>
    </row>
    <row r="207" spans="42:42" x14ac:dyDescent="0.3">
      <c r="AP207"/>
    </row>
    <row r="208" spans="42:42" x14ac:dyDescent="0.3">
      <c r="AP208"/>
    </row>
    <row r="209" spans="42:42" x14ac:dyDescent="0.3">
      <c r="AP209"/>
    </row>
    <row r="210" spans="42:42" x14ac:dyDescent="0.3">
      <c r="AP210"/>
    </row>
    <row r="211" spans="42:42" x14ac:dyDescent="0.3">
      <c r="AP211"/>
    </row>
    <row r="212" spans="42:42" x14ac:dyDescent="0.3">
      <c r="AP212"/>
    </row>
    <row r="213" spans="42:42" x14ac:dyDescent="0.3">
      <c r="AP213"/>
    </row>
    <row r="214" spans="42:42" x14ac:dyDescent="0.3">
      <c r="AP214"/>
    </row>
    <row r="215" spans="42:42" x14ac:dyDescent="0.3">
      <c r="AP215"/>
    </row>
    <row r="216" spans="42:42" x14ac:dyDescent="0.3">
      <c r="AP216"/>
    </row>
    <row r="217" spans="42:42" x14ac:dyDescent="0.3">
      <c r="AP217"/>
    </row>
    <row r="218" spans="42:42" x14ac:dyDescent="0.3">
      <c r="AP218"/>
    </row>
    <row r="219" spans="42:42" x14ac:dyDescent="0.3">
      <c r="AP219"/>
    </row>
    <row r="220" spans="42:42" x14ac:dyDescent="0.3">
      <c r="AP220"/>
    </row>
    <row r="221" spans="42:42" x14ac:dyDescent="0.3">
      <c r="AP221"/>
    </row>
    <row r="222" spans="42:42" x14ac:dyDescent="0.3">
      <c r="AP222"/>
    </row>
    <row r="223" spans="42:42" x14ac:dyDescent="0.3">
      <c r="AP223"/>
    </row>
    <row r="224" spans="42:42" x14ac:dyDescent="0.3">
      <c r="AP224"/>
    </row>
    <row r="225" spans="42:42" x14ac:dyDescent="0.3">
      <c r="AP225"/>
    </row>
    <row r="226" spans="42:42" x14ac:dyDescent="0.3">
      <c r="AP226"/>
    </row>
    <row r="227" spans="42:42" x14ac:dyDescent="0.3">
      <c r="AP227"/>
    </row>
    <row r="228" spans="42:42" x14ac:dyDescent="0.3">
      <c r="AP228"/>
    </row>
    <row r="229" spans="42:42" x14ac:dyDescent="0.3">
      <c r="AP229"/>
    </row>
    <row r="230" spans="42:42" x14ac:dyDescent="0.3">
      <c r="AP230"/>
    </row>
    <row r="231" spans="42:42" x14ac:dyDescent="0.3">
      <c r="AP231"/>
    </row>
    <row r="232" spans="42:42" x14ac:dyDescent="0.3">
      <c r="AP232"/>
    </row>
    <row r="233" spans="42:42" x14ac:dyDescent="0.3">
      <c r="AP233"/>
    </row>
    <row r="234" spans="42:42" x14ac:dyDescent="0.3">
      <c r="AP234"/>
    </row>
    <row r="235" spans="42:42" x14ac:dyDescent="0.3">
      <c r="AP235"/>
    </row>
    <row r="236" spans="42:42" x14ac:dyDescent="0.3">
      <c r="AP236"/>
    </row>
    <row r="237" spans="42:42" x14ac:dyDescent="0.3">
      <c r="AP237"/>
    </row>
    <row r="238" spans="42:42" x14ac:dyDescent="0.3">
      <c r="AP238"/>
    </row>
    <row r="239" spans="42:42" x14ac:dyDescent="0.3">
      <c r="AP239"/>
    </row>
    <row r="240" spans="42:42" x14ac:dyDescent="0.3">
      <c r="AP240"/>
    </row>
    <row r="241" spans="42:42" x14ac:dyDescent="0.3">
      <c r="AP241"/>
    </row>
    <row r="242" spans="42:42" x14ac:dyDescent="0.3">
      <c r="AP242"/>
    </row>
    <row r="243" spans="42:42" x14ac:dyDescent="0.3">
      <c r="AP243"/>
    </row>
    <row r="244" spans="42:42" x14ac:dyDescent="0.3">
      <c r="AP244"/>
    </row>
    <row r="245" spans="42:42" x14ac:dyDescent="0.3">
      <c r="AP245"/>
    </row>
    <row r="246" spans="42:42" x14ac:dyDescent="0.3">
      <c r="AP246"/>
    </row>
    <row r="247" spans="42:42" x14ac:dyDescent="0.3">
      <c r="AP247"/>
    </row>
    <row r="248" spans="42:42" x14ac:dyDescent="0.3">
      <c r="AP248"/>
    </row>
    <row r="249" spans="42:42" x14ac:dyDescent="0.3">
      <c r="AP249"/>
    </row>
    <row r="250" spans="42:42" x14ac:dyDescent="0.3">
      <c r="AP250"/>
    </row>
    <row r="251" spans="42:42" x14ac:dyDescent="0.3">
      <c r="AP251"/>
    </row>
    <row r="252" spans="42:42" x14ac:dyDescent="0.3">
      <c r="AP252"/>
    </row>
    <row r="253" spans="42:42" x14ac:dyDescent="0.3">
      <c r="AP253"/>
    </row>
    <row r="254" spans="42:42" x14ac:dyDescent="0.3">
      <c r="AP254"/>
    </row>
    <row r="255" spans="42:42" x14ac:dyDescent="0.3">
      <c r="AP255"/>
    </row>
    <row r="256" spans="42:42" x14ac:dyDescent="0.3">
      <c r="AP256"/>
    </row>
    <row r="257" spans="42:42" x14ac:dyDescent="0.3">
      <c r="AP257"/>
    </row>
    <row r="258" spans="42:42" x14ac:dyDescent="0.3">
      <c r="AP258"/>
    </row>
    <row r="259" spans="42:42" x14ac:dyDescent="0.3">
      <c r="AP259"/>
    </row>
    <row r="260" spans="42:42" x14ac:dyDescent="0.3">
      <c r="AP260"/>
    </row>
    <row r="261" spans="42:42" x14ac:dyDescent="0.3">
      <c r="AP261"/>
    </row>
    <row r="262" spans="42:42" x14ac:dyDescent="0.3">
      <c r="AP262"/>
    </row>
    <row r="263" spans="42:42" x14ac:dyDescent="0.3">
      <c r="AP263"/>
    </row>
    <row r="264" spans="42:42" x14ac:dyDescent="0.3">
      <c r="AP264"/>
    </row>
    <row r="265" spans="42:42" x14ac:dyDescent="0.3">
      <c r="AP265"/>
    </row>
    <row r="266" spans="42:42" x14ac:dyDescent="0.3">
      <c r="AP266"/>
    </row>
    <row r="267" spans="42:42" x14ac:dyDescent="0.3">
      <c r="AP267"/>
    </row>
    <row r="268" spans="42:42" x14ac:dyDescent="0.3">
      <c r="AP268"/>
    </row>
    <row r="269" spans="42:42" x14ac:dyDescent="0.3">
      <c r="AP269"/>
    </row>
    <row r="270" spans="42:42" x14ac:dyDescent="0.3">
      <c r="AP270"/>
    </row>
    <row r="271" spans="42:42" x14ac:dyDescent="0.3">
      <c r="AP271"/>
    </row>
    <row r="272" spans="42:42" x14ac:dyDescent="0.3">
      <c r="AP272"/>
    </row>
    <row r="273" spans="42:42" x14ac:dyDescent="0.3">
      <c r="AP273"/>
    </row>
    <row r="274" spans="42:42" x14ac:dyDescent="0.3">
      <c r="AP274"/>
    </row>
    <row r="275" spans="42:42" x14ac:dyDescent="0.3">
      <c r="AP275"/>
    </row>
    <row r="276" spans="42:42" x14ac:dyDescent="0.3">
      <c r="AP276"/>
    </row>
    <row r="277" spans="42:42" x14ac:dyDescent="0.3">
      <c r="AP277"/>
    </row>
    <row r="278" spans="42:42" x14ac:dyDescent="0.3">
      <c r="AP278"/>
    </row>
    <row r="279" spans="42:42" x14ac:dyDescent="0.3">
      <c r="AP279"/>
    </row>
    <row r="280" spans="42:42" x14ac:dyDescent="0.3">
      <c r="AP280"/>
    </row>
    <row r="281" spans="42:42" x14ac:dyDescent="0.3">
      <c r="AP281"/>
    </row>
    <row r="282" spans="42:42" x14ac:dyDescent="0.3">
      <c r="AP282"/>
    </row>
    <row r="283" spans="42:42" x14ac:dyDescent="0.3">
      <c r="AP283"/>
    </row>
    <row r="284" spans="42:42" x14ac:dyDescent="0.3">
      <c r="AP284"/>
    </row>
    <row r="285" spans="42:42" x14ac:dyDescent="0.3">
      <c r="AP285"/>
    </row>
    <row r="286" spans="42:42" x14ac:dyDescent="0.3">
      <c r="AP286"/>
    </row>
    <row r="287" spans="42:42" x14ac:dyDescent="0.3">
      <c r="AP287"/>
    </row>
    <row r="288" spans="42:42" x14ac:dyDescent="0.3">
      <c r="AP288"/>
    </row>
    <row r="289" spans="42:42" x14ac:dyDescent="0.3">
      <c r="AP289"/>
    </row>
    <row r="290" spans="42:42" x14ac:dyDescent="0.3">
      <c r="AP290"/>
    </row>
    <row r="291" spans="42:42" x14ac:dyDescent="0.3">
      <c r="AP291"/>
    </row>
    <row r="292" spans="42:42" x14ac:dyDescent="0.3">
      <c r="AP292"/>
    </row>
    <row r="293" spans="42:42" x14ac:dyDescent="0.3">
      <c r="AP293"/>
    </row>
    <row r="294" spans="42:42" x14ac:dyDescent="0.3">
      <c r="AP294"/>
    </row>
    <row r="295" spans="42:42" x14ac:dyDescent="0.3">
      <c r="AP295"/>
    </row>
    <row r="296" spans="42:42" x14ac:dyDescent="0.3">
      <c r="AP296"/>
    </row>
    <row r="297" spans="42:42" x14ac:dyDescent="0.3">
      <c r="AP297"/>
    </row>
    <row r="298" spans="42:42" x14ac:dyDescent="0.3">
      <c r="AP298"/>
    </row>
    <row r="299" spans="42:42" x14ac:dyDescent="0.3">
      <c r="AP299"/>
    </row>
    <row r="300" spans="42:42" x14ac:dyDescent="0.3">
      <c r="AP300"/>
    </row>
    <row r="301" spans="42:42" x14ac:dyDescent="0.3">
      <c r="AP301"/>
    </row>
    <row r="302" spans="42:42" x14ac:dyDescent="0.3">
      <c r="AP302"/>
    </row>
    <row r="303" spans="42:42" x14ac:dyDescent="0.3">
      <c r="AP303"/>
    </row>
    <row r="304" spans="42:42" x14ac:dyDescent="0.3">
      <c r="AP304"/>
    </row>
    <row r="305" spans="42:42" x14ac:dyDescent="0.3">
      <c r="AP305"/>
    </row>
    <row r="306" spans="42:42" x14ac:dyDescent="0.3">
      <c r="AP306"/>
    </row>
    <row r="307" spans="42:42" x14ac:dyDescent="0.3">
      <c r="AP307"/>
    </row>
    <row r="308" spans="42:42" x14ac:dyDescent="0.3">
      <c r="AP308"/>
    </row>
    <row r="309" spans="42:42" x14ac:dyDescent="0.3">
      <c r="AP309"/>
    </row>
    <row r="310" spans="42:42" x14ac:dyDescent="0.3">
      <c r="AP310"/>
    </row>
    <row r="311" spans="42:42" x14ac:dyDescent="0.3">
      <c r="AP311"/>
    </row>
    <row r="312" spans="42:42" x14ac:dyDescent="0.3">
      <c r="AP312"/>
    </row>
    <row r="313" spans="42:42" x14ac:dyDescent="0.3">
      <c r="AP313"/>
    </row>
    <row r="314" spans="42:42" x14ac:dyDescent="0.3">
      <c r="AP314"/>
    </row>
    <row r="315" spans="42:42" x14ac:dyDescent="0.3">
      <c r="AP315"/>
    </row>
    <row r="316" spans="42:42" x14ac:dyDescent="0.3">
      <c r="AP316"/>
    </row>
    <row r="317" spans="42:42" x14ac:dyDescent="0.3">
      <c r="AP317"/>
    </row>
    <row r="318" spans="42:42" x14ac:dyDescent="0.3">
      <c r="AP318"/>
    </row>
    <row r="319" spans="42:42" x14ac:dyDescent="0.3">
      <c r="AP319"/>
    </row>
    <row r="320" spans="42:42" x14ac:dyDescent="0.3">
      <c r="AP320"/>
    </row>
    <row r="321" spans="42:42" x14ac:dyDescent="0.3">
      <c r="AP321"/>
    </row>
    <row r="322" spans="42:42" x14ac:dyDescent="0.3">
      <c r="AP322"/>
    </row>
    <row r="323" spans="42:42" x14ac:dyDescent="0.3">
      <c r="AP323"/>
    </row>
    <row r="324" spans="42:42" x14ac:dyDescent="0.3">
      <c r="AP324"/>
    </row>
    <row r="325" spans="42:42" x14ac:dyDescent="0.3">
      <c r="AP325"/>
    </row>
    <row r="326" spans="42:42" x14ac:dyDescent="0.3">
      <c r="AP326"/>
    </row>
    <row r="327" spans="42:42" x14ac:dyDescent="0.3">
      <c r="AP327"/>
    </row>
    <row r="328" spans="42:42" x14ac:dyDescent="0.3">
      <c r="AP328"/>
    </row>
    <row r="329" spans="42:42" x14ac:dyDescent="0.3">
      <c r="AP329"/>
    </row>
    <row r="330" spans="42:42" x14ac:dyDescent="0.3">
      <c r="AP330"/>
    </row>
    <row r="331" spans="42:42" x14ac:dyDescent="0.3">
      <c r="AP331"/>
    </row>
    <row r="332" spans="42:42" x14ac:dyDescent="0.3">
      <c r="AP332"/>
    </row>
    <row r="333" spans="42:42" x14ac:dyDescent="0.3">
      <c r="AP333"/>
    </row>
    <row r="334" spans="42:42" x14ac:dyDescent="0.3">
      <c r="AP334"/>
    </row>
    <row r="335" spans="42:42" x14ac:dyDescent="0.3">
      <c r="AP335"/>
    </row>
    <row r="336" spans="42:42" x14ac:dyDescent="0.3">
      <c r="AP336"/>
    </row>
    <row r="337" spans="42:42" x14ac:dyDescent="0.3">
      <c r="AP337"/>
    </row>
    <row r="338" spans="42:42" x14ac:dyDescent="0.3">
      <c r="AP338"/>
    </row>
    <row r="339" spans="42:42" x14ac:dyDescent="0.3">
      <c r="AP339"/>
    </row>
    <row r="340" spans="42:42" x14ac:dyDescent="0.3">
      <c r="AP340"/>
    </row>
    <row r="341" spans="42:42" x14ac:dyDescent="0.3">
      <c r="AP341"/>
    </row>
    <row r="342" spans="42:42" x14ac:dyDescent="0.3">
      <c r="AP342"/>
    </row>
    <row r="343" spans="42:42" x14ac:dyDescent="0.3">
      <c r="AP343"/>
    </row>
    <row r="344" spans="42:42" x14ac:dyDescent="0.3">
      <c r="AP344"/>
    </row>
    <row r="345" spans="42:42" x14ac:dyDescent="0.3">
      <c r="AP345"/>
    </row>
    <row r="346" spans="42:42" x14ac:dyDescent="0.3">
      <c r="AP346"/>
    </row>
    <row r="347" spans="42:42" x14ac:dyDescent="0.3">
      <c r="AP347"/>
    </row>
    <row r="348" spans="42:42" x14ac:dyDescent="0.3">
      <c r="AP348"/>
    </row>
    <row r="349" spans="42:42" x14ac:dyDescent="0.3">
      <c r="AP349"/>
    </row>
    <row r="350" spans="42:42" x14ac:dyDescent="0.3">
      <c r="AP350"/>
    </row>
    <row r="351" spans="42:42" x14ac:dyDescent="0.3">
      <c r="AP351"/>
    </row>
    <row r="352" spans="42:42" x14ac:dyDescent="0.3">
      <c r="AP352"/>
    </row>
    <row r="353" spans="42:42" x14ac:dyDescent="0.3">
      <c r="AP353"/>
    </row>
    <row r="354" spans="42:42" x14ac:dyDescent="0.3">
      <c r="AP354"/>
    </row>
    <row r="355" spans="42:42" x14ac:dyDescent="0.3">
      <c r="AP355"/>
    </row>
    <row r="356" spans="42:42" x14ac:dyDescent="0.3">
      <c r="AP356"/>
    </row>
    <row r="357" spans="42:42" x14ac:dyDescent="0.3">
      <c r="AP357"/>
    </row>
    <row r="358" spans="42:42" x14ac:dyDescent="0.3">
      <c r="AP358"/>
    </row>
    <row r="359" spans="42:42" x14ac:dyDescent="0.3">
      <c r="AP359"/>
    </row>
    <row r="360" spans="42:42" x14ac:dyDescent="0.3">
      <c r="AP360"/>
    </row>
    <row r="361" spans="42:42" x14ac:dyDescent="0.3">
      <c r="AP361"/>
    </row>
    <row r="362" spans="42:42" x14ac:dyDescent="0.3">
      <c r="AP362"/>
    </row>
    <row r="363" spans="42:42" x14ac:dyDescent="0.3">
      <c r="AP363"/>
    </row>
    <row r="364" spans="42:42" x14ac:dyDescent="0.3">
      <c r="AP364"/>
    </row>
    <row r="365" spans="42:42" x14ac:dyDescent="0.3">
      <c r="AP365"/>
    </row>
    <row r="366" spans="42:42" x14ac:dyDescent="0.3">
      <c r="AP366"/>
    </row>
    <row r="367" spans="42:42" x14ac:dyDescent="0.3">
      <c r="AP367"/>
    </row>
    <row r="368" spans="42:42" x14ac:dyDescent="0.3">
      <c r="AP368"/>
    </row>
    <row r="369" spans="42:42" x14ac:dyDescent="0.3">
      <c r="AP369"/>
    </row>
    <row r="370" spans="42:42" x14ac:dyDescent="0.3">
      <c r="AP370"/>
    </row>
    <row r="371" spans="42:42" x14ac:dyDescent="0.3">
      <c r="AP371"/>
    </row>
    <row r="372" spans="42:42" x14ac:dyDescent="0.3">
      <c r="AP372"/>
    </row>
    <row r="373" spans="42:42" x14ac:dyDescent="0.3">
      <c r="AP373"/>
    </row>
    <row r="374" spans="42:42" x14ac:dyDescent="0.3">
      <c r="AP374"/>
    </row>
    <row r="375" spans="42:42" x14ac:dyDescent="0.3">
      <c r="AP375"/>
    </row>
    <row r="376" spans="42:42" x14ac:dyDescent="0.3">
      <c r="AP376"/>
    </row>
    <row r="377" spans="42:42" x14ac:dyDescent="0.3">
      <c r="AP377"/>
    </row>
    <row r="378" spans="42:42" x14ac:dyDescent="0.3">
      <c r="AP378"/>
    </row>
    <row r="379" spans="42:42" x14ac:dyDescent="0.3">
      <c r="AP379"/>
    </row>
    <row r="380" spans="42:42" x14ac:dyDescent="0.3">
      <c r="AP380"/>
    </row>
    <row r="381" spans="42:42" x14ac:dyDescent="0.3">
      <c r="AP381"/>
    </row>
    <row r="382" spans="42:42" x14ac:dyDescent="0.3">
      <c r="AP382"/>
    </row>
    <row r="383" spans="42:42" x14ac:dyDescent="0.3">
      <c r="AP383"/>
    </row>
    <row r="384" spans="42:42" x14ac:dyDescent="0.3">
      <c r="AP384"/>
    </row>
    <row r="385" spans="42:42" x14ac:dyDescent="0.3">
      <c r="AP385"/>
    </row>
    <row r="386" spans="42:42" x14ac:dyDescent="0.3">
      <c r="AP386"/>
    </row>
    <row r="387" spans="42:42" x14ac:dyDescent="0.3">
      <c r="AP387"/>
    </row>
    <row r="388" spans="42:42" x14ac:dyDescent="0.3">
      <c r="AP388"/>
    </row>
    <row r="389" spans="42:42" x14ac:dyDescent="0.3">
      <c r="AP389"/>
    </row>
    <row r="390" spans="42:42" x14ac:dyDescent="0.3">
      <c r="AP390"/>
    </row>
    <row r="391" spans="42:42" x14ac:dyDescent="0.3">
      <c r="AP391"/>
    </row>
    <row r="392" spans="42:42" x14ac:dyDescent="0.3">
      <c r="AP392"/>
    </row>
    <row r="393" spans="42:42" x14ac:dyDescent="0.3">
      <c r="AP393"/>
    </row>
    <row r="394" spans="42:42" x14ac:dyDescent="0.3">
      <c r="AP394"/>
    </row>
    <row r="395" spans="42:42" x14ac:dyDescent="0.3">
      <c r="AP395"/>
    </row>
    <row r="396" spans="42:42" x14ac:dyDescent="0.3">
      <c r="AP396"/>
    </row>
    <row r="397" spans="42:42" x14ac:dyDescent="0.3">
      <c r="AP397"/>
    </row>
    <row r="398" spans="42:42" x14ac:dyDescent="0.3">
      <c r="AP398"/>
    </row>
    <row r="399" spans="42:42" x14ac:dyDescent="0.3">
      <c r="AP399"/>
    </row>
    <row r="400" spans="42:42" x14ac:dyDescent="0.3">
      <c r="AP400"/>
    </row>
    <row r="401" spans="42:42" x14ac:dyDescent="0.3">
      <c r="AP401"/>
    </row>
    <row r="402" spans="42:42" x14ac:dyDescent="0.3">
      <c r="AP402"/>
    </row>
    <row r="403" spans="42:42" x14ac:dyDescent="0.3">
      <c r="AP403"/>
    </row>
    <row r="404" spans="42:42" x14ac:dyDescent="0.3">
      <c r="AP404"/>
    </row>
    <row r="405" spans="42:42" x14ac:dyDescent="0.3">
      <c r="AP405"/>
    </row>
    <row r="406" spans="42:42" x14ac:dyDescent="0.3">
      <c r="AP406"/>
    </row>
    <row r="407" spans="42:42" x14ac:dyDescent="0.3">
      <c r="AP407"/>
    </row>
    <row r="408" spans="42:42" x14ac:dyDescent="0.3">
      <c r="AP408"/>
    </row>
    <row r="409" spans="42:42" x14ac:dyDescent="0.3">
      <c r="AP409"/>
    </row>
    <row r="410" spans="42:42" x14ac:dyDescent="0.3">
      <c r="AP410"/>
    </row>
    <row r="411" spans="42:42" x14ac:dyDescent="0.3">
      <c r="AP411"/>
    </row>
    <row r="412" spans="42:42" x14ac:dyDescent="0.3">
      <c r="AP412"/>
    </row>
    <row r="413" spans="42:42" x14ac:dyDescent="0.3">
      <c r="AP413"/>
    </row>
    <row r="414" spans="42:42" x14ac:dyDescent="0.3">
      <c r="AP414"/>
    </row>
    <row r="415" spans="42:42" x14ac:dyDescent="0.3">
      <c r="AP415"/>
    </row>
    <row r="416" spans="42:42" x14ac:dyDescent="0.3">
      <c r="AP416"/>
    </row>
    <row r="417" spans="42:42" x14ac:dyDescent="0.3">
      <c r="AP417"/>
    </row>
    <row r="418" spans="42:42" x14ac:dyDescent="0.3">
      <c r="AP418"/>
    </row>
    <row r="419" spans="42:42" x14ac:dyDescent="0.3">
      <c r="AP419"/>
    </row>
    <row r="420" spans="42:42" x14ac:dyDescent="0.3">
      <c r="AP420"/>
    </row>
    <row r="421" spans="42:42" x14ac:dyDescent="0.3">
      <c r="AP421"/>
    </row>
    <row r="422" spans="42:42" x14ac:dyDescent="0.3">
      <c r="AP422"/>
    </row>
    <row r="423" spans="42:42" x14ac:dyDescent="0.3">
      <c r="AP423"/>
    </row>
    <row r="424" spans="42:42" x14ac:dyDescent="0.3">
      <c r="AP424"/>
    </row>
    <row r="425" spans="42:42" x14ac:dyDescent="0.3">
      <c r="AP425"/>
    </row>
    <row r="426" spans="42:42" x14ac:dyDescent="0.3">
      <c r="AP426"/>
    </row>
    <row r="427" spans="42:42" x14ac:dyDescent="0.3">
      <c r="AP427"/>
    </row>
    <row r="428" spans="42:42" x14ac:dyDescent="0.3">
      <c r="AP428"/>
    </row>
    <row r="429" spans="42:42" x14ac:dyDescent="0.3">
      <c r="AP429"/>
    </row>
    <row r="430" spans="42:42" x14ac:dyDescent="0.3">
      <c r="AP430"/>
    </row>
    <row r="431" spans="42:42" x14ac:dyDescent="0.3">
      <c r="AP431"/>
    </row>
    <row r="432" spans="42:42" x14ac:dyDescent="0.3">
      <c r="AP432"/>
    </row>
    <row r="433" spans="42:42" x14ac:dyDescent="0.3">
      <c r="AP433"/>
    </row>
    <row r="434" spans="42:42" x14ac:dyDescent="0.3">
      <c r="AP434"/>
    </row>
    <row r="435" spans="42:42" x14ac:dyDescent="0.3">
      <c r="AP435"/>
    </row>
    <row r="436" spans="42:42" x14ac:dyDescent="0.3">
      <c r="AP436"/>
    </row>
    <row r="437" spans="42:42" x14ac:dyDescent="0.3">
      <c r="AP437"/>
    </row>
    <row r="438" spans="42:42" x14ac:dyDescent="0.3">
      <c r="AP438"/>
    </row>
    <row r="439" spans="42:42" x14ac:dyDescent="0.3">
      <c r="AP439"/>
    </row>
    <row r="440" spans="42:42" x14ac:dyDescent="0.3">
      <c r="AP440"/>
    </row>
    <row r="441" spans="42:42" x14ac:dyDescent="0.3">
      <c r="AP441"/>
    </row>
    <row r="442" spans="42:42" x14ac:dyDescent="0.3">
      <c r="AP442"/>
    </row>
    <row r="443" spans="42:42" x14ac:dyDescent="0.3">
      <c r="AP443"/>
    </row>
    <row r="444" spans="42:42" x14ac:dyDescent="0.3">
      <c r="AP444"/>
    </row>
    <row r="445" spans="42:42" x14ac:dyDescent="0.3">
      <c r="AP445"/>
    </row>
    <row r="446" spans="42:42" x14ac:dyDescent="0.3">
      <c r="AP446"/>
    </row>
    <row r="447" spans="42:42" x14ac:dyDescent="0.3">
      <c r="AP447"/>
    </row>
    <row r="448" spans="42:42" x14ac:dyDescent="0.3">
      <c r="AP448"/>
    </row>
    <row r="449" spans="42:42" x14ac:dyDescent="0.3">
      <c r="AP449"/>
    </row>
    <row r="450" spans="42:42" x14ac:dyDescent="0.3">
      <c r="AP450"/>
    </row>
    <row r="451" spans="42:42" x14ac:dyDescent="0.3">
      <c r="AP451"/>
    </row>
    <row r="452" spans="42:42" x14ac:dyDescent="0.3">
      <c r="AP452"/>
    </row>
    <row r="453" spans="42:42" x14ac:dyDescent="0.3">
      <c r="AP453"/>
    </row>
    <row r="454" spans="42:42" x14ac:dyDescent="0.3">
      <c r="AP454"/>
    </row>
    <row r="455" spans="42:42" x14ac:dyDescent="0.3">
      <c r="AP455"/>
    </row>
    <row r="456" spans="42:42" x14ac:dyDescent="0.3">
      <c r="AP456"/>
    </row>
    <row r="457" spans="42:42" x14ac:dyDescent="0.3">
      <c r="AP457"/>
    </row>
    <row r="458" spans="42:42" x14ac:dyDescent="0.3">
      <c r="AP458"/>
    </row>
    <row r="459" spans="42:42" x14ac:dyDescent="0.3">
      <c r="AP459"/>
    </row>
    <row r="460" spans="42:42" x14ac:dyDescent="0.3">
      <c r="AP460"/>
    </row>
    <row r="461" spans="42:42" x14ac:dyDescent="0.3">
      <c r="AP461"/>
    </row>
    <row r="462" spans="42:42" x14ac:dyDescent="0.3">
      <c r="AP462"/>
    </row>
    <row r="463" spans="42:42" x14ac:dyDescent="0.3">
      <c r="AP463"/>
    </row>
    <row r="464" spans="42:42" x14ac:dyDescent="0.3">
      <c r="AP464"/>
    </row>
    <row r="465" spans="42:42" x14ac:dyDescent="0.3">
      <c r="AP465"/>
    </row>
    <row r="466" spans="42:42" x14ac:dyDescent="0.3">
      <c r="AP466"/>
    </row>
    <row r="467" spans="42:42" x14ac:dyDescent="0.3">
      <c r="AP467"/>
    </row>
    <row r="468" spans="42:42" x14ac:dyDescent="0.3">
      <c r="AP468"/>
    </row>
    <row r="469" spans="42:42" x14ac:dyDescent="0.3">
      <c r="AP469"/>
    </row>
    <row r="470" spans="42:42" x14ac:dyDescent="0.3">
      <c r="AP470"/>
    </row>
    <row r="471" spans="42:42" x14ac:dyDescent="0.3">
      <c r="AP471"/>
    </row>
    <row r="472" spans="42:42" x14ac:dyDescent="0.3">
      <c r="AP472"/>
    </row>
    <row r="473" spans="42:42" x14ac:dyDescent="0.3">
      <c r="AP473"/>
    </row>
    <row r="474" spans="42:42" x14ac:dyDescent="0.3">
      <c r="AP474"/>
    </row>
    <row r="475" spans="42:42" x14ac:dyDescent="0.3">
      <c r="AP475"/>
    </row>
    <row r="476" spans="42:42" x14ac:dyDescent="0.3">
      <c r="AP476"/>
    </row>
    <row r="477" spans="42:42" x14ac:dyDescent="0.3">
      <c r="AP477"/>
    </row>
    <row r="478" spans="42:42" x14ac:dyDescent="0.3">
      <c r="AP478"/>
    </row>
    <row r="479" spans="42:42" x14ac:dyDescent="0.3">
      <c r="AP479"/>
    </row>
    <row r="480" spans="42:42" x14ac:dyDescent="0.3">
      <c r="AP480"/>
    </row>
    <row r="481" spans="42:42" x14ac:dyDescent="0.3">
      <c r="AP481"/>
    </row>
    <row r="482" spans="42:42" x14ac:dyDescent="0.3">
      <c r="AP482"/>
    </row>
    <row r="483" spans="42:42" x14ac:dyDescent="0.3">
      <c r="AP483"/>
    </row>
    <row r="484" spans="42:42" x14ac:dyDescent="0.3">
      <c r="AP484"/>
    </row>
    <row r="485" spans="42:42" x14ac:dyDescent="0.3">
      <c r="AP485"/>
    </row>
    <row r="486" spans="42:42" x14ac:dyDescent="0.3">
      <c r="AP486"/>
    </row>
    <row r="487" spans="42:42" x14ac:dyDescent="0.3">
      <c r="AP487"/>
    </row>
    <row r="488" spans="42:42" x14ac:dyDescent="0.3">
      <c r="AP488"/>
    </row>
    <row r="489" spans="42:42" x14ac:dyDescent="0.3">
      <c r="AP489"/>
    </row>
    <row r="490" spans="42:42" x14ac:dyDescent="0.3">
      <c r="AP490"/>
    </row>
    <row r="491" spans="42:42" x14ac:dyDescent="0.3">
      <c r="AP491"/>
    </row>
    <row r="492" spans="42:42" x14ac:dyDescent="0.3">
      <c r="AP492"/>
    </row>
    <row r="493" spans="42:42" x14ac:dyDescent="0.3">
      <c r="AP493"/>
    </row>
    <row r="494" spans="42:42" x14ac:dyDescent="0.3">
      <c r="AP494"/>
    </row>
    <row r="495" spans="42:42" x14ac:dyDescent="0.3">
      <c r="AP495"/>
    </row>
    <row r="496" spans="42:42" x14ac:dyDescent="0.3">
      <c r="AP496"/>
    </row>
    <row r="497" spans="42:42" x14ac:dyDescent="0.3">
      <c r="AP497"/>
    </row>
    <row r="498" spans="42:42" x14ac:dyDescent="0.3">
      <c r="AP498"/>
    </row>
    <row r="499" spans="42:42" x14ac:dyDescent="0.3">
      <c r="AP499"/>
    </row>
    <row r="500" spans="42:42" x14ac:dyDescent="0.3">
      <c r="AP500"/>
    </row>
    <row r="501" spans="42:42" x14ac:dyDescent="0.3">
      <c r="AP501"/>
    </row>
    <row r="502" spans="42:42" x14ac:dyDescent="0.3">
      <c r="AP502"/>
    </row>
    <row r="503" spans="42:42" x14ac:dyDescent="0.3">
      <c r="AP503"/>
    </row>
    <row r="504" spans="42:42" x14ac:dyDescent="0.3">
      <c r="AP504"/>
    </row>
    <row r="505" spans="42:42" x14ac:dyDescent="0.3">
      <c r="AP505"/>
    </row>
    <row r="506" spans="42:42" x14ac:dyDescent="0.3">
      <c r="AP506"/>
    </row>
    <row r="507" spans="42:42" x14ac:dyDescent="0.3">
      <c r="AP507"/>
    </row>
    <row r="508" spans="42:42" x14ac:dyDescent="0.3">
      <c r="AP508"/>
    </row>
    <row r="509" spans="42:42" x14ac:dyDescent="0.3">
      <c r="AP509"/>
    </row>
    <row r="510" spans="42:42" x14ac:dyDescent="0.3">
      <c r="AP510"/>
    </row>
    <row r="511" spans="42:42" x14ac:dyDescent="0.3">
      <c r="AP511"/>
    </row>
    <row r="512" spans="42:42" x14ac:dyDescent="0.3">
      <c r="AP512"/>
    </row>
    <row r="513" spans="42:42" x14ac:dyDescent="0.3">
      <c r="AP513"/>
    </row>
    <row r="514" spans="42:42" x14ac:dyDescent="0.3">
      <c r="AP514"/>
    </row>
    <row r="515" spans="42:42" x14ac:dyDescent="0.3">
      <c r="AP515"/>
    </row>
    <row r="516" spans="42:42" x14ac:dyDescent="0.3">
      <c r="AP516"/>
    </row>
    <row r="517" spans="42:42" x14ac:dyDescent="0.3">
      <c r="AP517"/>
    </row>
    <row r="518" spans="42:42" x14ac:dyDescent="0.3">
      <c r="AP518"/>
    </row>
    <row r="519" spans="42:42" x14ac:dyDescent="0.3">
      <c r="AP519"/>
    </row>
    <row r="520" spans="42:42" x14ac:dyDescent="0.3">
      <c r="AP520"/>
    </row>
    <row r="521" spans="42:42" x14ac:dyDescent="0.3">
      <c r="AP521"/>
    </row>
    <row r="522" spans="42:42" x14ac:dyDescent="0.3">
      <c r="AP522"/>
    </row>
    <row r="523" spans="42:42" x14ac:dyDescent="0.3">
      <c r="AP523"/>
    </row>
    <row r="524" spans="42:42" x14ac:dyDescent="0.3">
      <c r="AP524"/>
    </row>
    <row r="525" spans="42:42" x14ac:dyDescent="0.3">
      <c r="AP525"/>
    </row>
    <row r="526" spans="42:42" x14ac:dyDescent="0.3">
      <c r="AP526"/>
    </row>
    <row r="527" spans="42:42" x14ac:dyDescent="0.3">
      <c r="AP527"/>
    </row>
    <row r="528" spans="42:42" x14ac:dyDescent="0.3">
      <c r="AP528"/>
    </row>
    <row r="529" spans="42:42" x14ac:dyDescent="0.3">
      <c r="AP529"/>
    </row>
    <row r="530" spans="42:42" x14ac:dyDescent="0.3">
      <c r="AP530"/>
    </row>
    <row r="531" spans="42:42" x14ac:dyDescent="0.3">
      <c r="AP531"/>
    </row>
    <row r="532" spans="42:42" x14ac:dyDescent="0.3">
      <c r="AP532"/>
    </row>
    <row r="533" spans="42:42" x14ac:dyDescent="0.3">
      <c r="AP533"/>
    </row>
    <row r="534" spans="42:42" x14ac:dyDescent="0.3">
      <c r="AP534"/>
    </row>
    <row r="535" spans="42:42" x14ac:dyDescent="0.3">
      <c r="AP535"/>
    </row>
    <row r="536" spans="42:42" x14ac:dyDescent="0.3">
      <c r="AP536"/>
    </row>
    <row r="537" spans="42:42" x14ac:dyDescent="0.3">
      <c r="AP537"/>
    </row>
    <row r="538" spans="42:42" x14ac:dyDescent="0.3">
      <c r="AP538"/>
    </row>
    <row r="539" spans="42:42" x14ac:dyDescent="0.3">
      <c r="AP539"/>
    </row>
    <row r="540" spans="42:42" x14ac:dyDescent="0.3">
      <c r="AP540"/>
    </row>
    <row r="541" spans="42:42" x14ac:dyDescent="0.3">
      <c r="AP541"/>
    </row>
    <row r="542" spans="42:42" x14ac:dyDescent="0.3">
      <c r="AP542"/>
    </row>
    <row r="543" spans="42:42" x14ac:dyDescent="0.3">
      <c r="AP543"/>
    </row>
    <row r="544" spans="42:42" x14ac:dyDescent="0.3">
      <c r="AP544"/>
    </row>
    <row r="545" spans="42:42" x14ac:dyDescent="0.3">
      <c r="AP545"/>
    </row>
    <row r="546" spans="42:42" x14ac:dyDescent="0.3">
      <c r="AP546"/>
    </row>
    <row r="547" spans="42:42" x14ac:dyDescent="0.3">
      <c r="AP547"/>
    </row>
    <row r="548" spans="42:42" x14ac:dyDescent="0.3">
      <c r="AP548"/>
    </row>
    <row r="549" spans="42:42" x14ac:dyDescent="0.3">
      <c r="AP549"/>
    </row>
    <row r="550" spans="42:42" x14ac:dyDescent="0.3">
      <c r="AP550"/>
    </row>
    <row r="551" spans="42:42" x14ac:dyDescent="0.3">
      <c r="AP551"/>
    </row>
    <row r="552" spans="42:42" x14ac:dyDescent="0.3">
      <c r="AP552"/>
    </row>
    <row r="553" spans="42:42" x14ac:dyDescent="0.3">
      <c r="AP553"/>
    </row>
    <row r="554" spans="42:42" x14ac:dyDescent="0.3">
      <c r="AP554"/>
    </row>
    <row r="555" spans="42:42" x14ac:dyDescent="0.3">
      <c r="AP555"/>
    </row>
    <row r="556" spans="42:42" x14ac:dyDescent="0.3">
      <c r="AP556"/>
    </row>
    <row r="557" spans="42:42" x14ac:dyDescent="0.3">
      <c r="AP557"/>
    </row>
    <row r="558" spans="42:42" x14ac:dyDescent="0.3">
      <c r="AP558"/>
    </row>
    <row r="559" spans="42:42" x14ac:dyDescent="0.3">
      <c r="AP559"/>
    </row>
    <row r="560" spans="42:42" x14ac:dyDescent="0.3">
      <c r="AP560"/>
    </row>
    <row r="561" spans="42:42" x14ac:dyDescent="0.3">
      <c r="AP561"/>
    </row>
    <row r="562" spans="42:42" x14ac:dyDescent="0.3">
      <c r="AP562"/>
    </row>
    <row r="563" spans="42:42" x14ac:dyDescent="0.3">
      <c r="AP563"/>
    </row>
    <row r="564" spans="42:42" x14ac:dyDescent="0.3">
      <c r="AP564"/>
    </row>
    <row r="565" spans="42:42" x14ac:dyDescent="0.3">
      <c r="AP565"/>
    </row>
    <row r="566" spans="42:42" x14ac:dyDescent="0.3">
      <c r="AP566"/>
    </row>
    <row r="567" spans="42:42" x14ac:dyDescent="0.3">
      <c r="AP567"/>
    </row>
    <row r="568" spans="42:42" x14ac:dyDescent="0.3">
      <c r="AP568"/>
    </row>
    <row r="569" spans="42:42" x14ac:dyDescent="0.3">
      <c r="AP569"/>
    </row>
    <row r="570" spans="42:42" x14ac:dyDescent="0.3">
      <c r="AP570"/>
    </row>
    <row r="571" spans="42:42" x14ac:dyDescent="0.3">
      <c r="AP571"/>
    </row>
    <row r="572" spans="42:42" x14ac:dyDescent="0.3">
      <c r="AP572"/>
    </row>
    <row r="573" spans="42:42" x14ac:dyDescent="0.3">
      <c r="AP573"/>
    </row>
    <row r="574" spans="42:42" x14ac:dyDescent="0.3">
      <c r="AP574"/>
    </row>
    <row r="575" spans="42:42" x14ac:dyDescent="0.3">
      <c r="AP575"/>
    </row>
    <row r="576" spans="42:42" x14ac:dyDescent="0.3">
      <c r="AP576"/>
    </row>
    <row r="577" spans="42:42" x14ac:dyDescent="0.3">
      <c r="AP577"/>
    </row>
    <row r="578" spans="42:42" x14ac:dyDescent="0.3">
      <c r="AP578"/>
    </row>
    <row r="579" spans="42:42" x14ac:dyDescent="0.3">
      <c r="AP579"/>
    </row>
    <row r="580" spans="42:42" x14ac:dyDescent="0.3">
      <c r="AP580"/>
    </row>
    <row r="581" spans="42:42" x14ac:dyDescent="0.3">
      <c r="AP581"/>
    </row>
    <row r="582" spans="42:42" x14ac:dyDescent="0.3">
      <c r="AP582"/>
    </row>
    <row r="583" spans="42:42" x14ac:dyDescent="0.3">
      <c r="AP583"/>
    </row>
    <row r="584" spans="42:42" x14ac:dyDescent="0.3">
      <c r="AP584"/>
    </row>
    <row r="585" spans="42:42" x14ac:dyDescent="0.3">
      <c r="AP585"/>
    </row>
    <row r="586" spans="42:42" x14ac:dyDescent="0.3">
      <c r="AP586"/>
    </row>
    <row r="587" spans="42:42" x14ac:dyDescent="0.3">
      <c r="AP587"/>
    </row>
    <row r="588" spans="42:42" x14ac:dyDescent="0.3">
      <c r="AP588"/>
    </row>
    <row r="589" spans="42:42" x14ac:dyDescent="0.3">
      <c r="AP589"/>
    </row>
    <row r="590" spans="42:42" x14ac:dyDescent="0.3">
      <c r="AP590"/>
    </row>
    <row r="591" spans="42:42" x14ac:dyDescent="0.3">
      <c r="AP591"/>
    </row>
    <row r="592" spans="42:42" x14ac:dyDescent="0.3">
      <c r="AP592"/>
    </row>
    <row r="593" spans="42:42" x14ac:dyDescent="0.3">
      <c r="AP593"/>
    </row>
    <row r="594" spans="42:42" x14ac:dyDescent="0.3">
      <c r="AP594"/>
    </row>
    <row r="595" spans="42:42" x14ac:dyDescent="0.3">
      <c r="AP595"/>
    </row>
    <row r="596" spans="42:42" x14ac:dyDescent="0.3">
      <c r="AP596"/>
    </row>
    <row r="597" spans="42:42" x14ac:dyDescent="0.3">
      <c r="AP597"/>
    </row>
    <row r="598" spans="42:42" x14ac:dyDescent="0.3">
      <c r="AP598"/>
    </row>
    <row r="599" spans="42:42" x14ac:dyDescent="0.3">
      <c r="AP599"/>
    </row>
    <row r="600" spans="42:42" x14ac:dyDescent="0.3">
      <c r="AP600"/>
    </row>
    <row r="601" spans="42:42" x14ac:dyDescent="0.3">
      <c r="AP601"/>
    </row>
    <row r="602" spans="42:42" x14ac:dyDescent="0.3">
      <c r="AP602"/>
    </row>
    <row r="603" spans="42:42" x14ac:dyDescent="0.3">
      <c r="AP603"/>
    </row>
    <row r="604" spans="42:42" x14ac:dyDescent="0.3">
      <c r="AP604"/>
    </row>
    <row r="605" spans="42:42" x14ac:dyDescent="0.3">
      <c r="AP605"/>
    </row>
    <row r="606" spans="42:42" x14ac:dyDescent="0.3">
      <c r="AP606"/>
    </row>
    <row r="607" spans="42:42" x14ac:dyDescent="0.3">
      <c r="AP607"/>
    </row>
    <row r="608" spans="42:42" x14ac:dyDescent="0.3">
      <c r="AP608"/>
    </row>
    <row r="609" spans="42:42" x14ac:dyDescent="0.3">
      <c r="AP609"/>
    </row>
    <row r="610" spans="42:42" x14ac:dyDescent="0.3">
      <c r="AP610"/>
    </row>
    <row r="611" spans="42:42" x14ac:dyDescent="0.3">
      <c r="AP611"/>
    </row>
    <row r="612" spans="42:42" x14ac:dyDescent="0.3">
      <c r="AP612"/>
    </row>
    <row r="613" spans="42:42" x14ac:dyDescent="0.3">
      <c r="AP613"/>
    </row>
    <row r="614" spans="42:42" x14ac:dyDescent="0.3">
      <c r="AP614"/>
    </row>
    <row r="615" spans="42:42" x14ac:dyDescent="0.3">
      <c r="AP615"/>
    </row>
    <row r="616" spans="42:42" x14ac:dyDescent="0.3">
      <c r="AP616"/>
    </row>
    <row r="617" spans="42:42" x14ac:dyDescent="0.3">
      <c r="AP617"/>
    </row>
    <row r="618" spans="42:42" x14ac:dyDescent="0.3">
      <c r="AP618"/>
    </row>
    <row r="619" spans="42:42" x14ac:dyDescent="0.3">
      <c r="AP619"/>
    </row>
    <row r="620" spans="42:42" x14ac:dyDescent="0.3">
      <c r="AP620"/>
    </row>
    <row r="621" spans="42:42" x14ac:dyDescent="0.3">
      <c r="AP621"/>
    </row>
    <row r="622" spans="42:42" x14ac:dyDescent="0.3">
      <c r="AP622"/>
    </row>
    <row r="623" spans="42:42" x14ac:dyDescent="0.3">
      <c r="AP623"/>
    </row>
    <row r="624" spans="42:42" x14ac:dyDescent="0.3">
      <c r="AP624"/>
    </row>
    <row r="625" spans="42:42" x14ac:dyDescent="0.3">
      <c r="AP625"/>
    </row>
    <row r="626" spans="42:42" x14ac:dyDescent="0.3">
      <c r="AP626"/>
    </row>
    <row r="627" spans="42:42" x14ac:dyDescent="0.3">
      <c r="AP627"/>
    </row>
    <row r="628" spans="42:42" x14ac:dyDescent="0.3">
      <c r="AP628"/>
    </row>
    <row r="629" spans="42:42" x14ac:dyDescent="0.3">
      <c r="AP629"/>
    </row>
    <row r="630" spans="42:42" x14ac:dyDescent="0.3">
      <c r="AP630"/>
    </row>
    <row r="631" spans="42:42" x14ac:dyDescent="0.3">
      <c r="AP631"/>
    </row>
    <row r="632" spans="42:42" x14ac:dyDescent="0.3">
      <c r="AP632"/>
    </row>
    <row r="633" spans="42:42" x14ac:dyDescent="0.3">
      <c r="AP633"/>
    </row>
    <row r="634" spans="42:42" x14ac:dyDescent="0.3">
      <c r="AP634"/>
    </row>
    <row r="635" spans="42:42" x14ac:dyDescent="0.3">
      <c r="AP635"/>
    </row>
    <row r="636" spans="42:42" x14ac:dyDescent="0.3">
      <c r="AP636"/>
    </row>
    <row r="637" spans="42:42" x14ac:dyDescent="0.3">
      <c r="AP637"/>
    </row>
    <row r="638" spans="42:42" x14ac:dyDescent="0.3">
      <c r="AP638"/>
    </row>
    <row r="639" spans="42:42" x14ac:dyDescent="0.3">
      <c r="AP639"/>
    </row>
    <row r="640" spans="42:42" x14ac:dyDescent="0.3">
      <c r="AP640"/>
    </row>
    <row r="641" spans="42:42" x14ac:dyDescent="0.3">
      <c r="AP641"/>
    </row>
    <row r="642" spans="42:42" x14ac:dyDescent="0.3">
      <c r="AP642"/>
    </row>
    <row r="643" spans="42:42" x14ac:dyDescent="0.3">
      <c r="AP643"/>
    </row>
    <row r="644" spans="42:42" x14ac:dyDescent="0.3">
      <c r="AP644"/>
    </row>
    <row r="645" spans="42:42" x14ac:dyDescent="0.3">
      <c r="AP645"/>
    </row>
    <row r="646" spans="42:42" x14ac:dyDescent="0.3">
      <c r="AP646"/>
    </row>
    <row r="647" spans="42:42" x14ac:dyDescent="0.3">
      <c r="AP647"/>
    </row>
    <row r="648" spans="42:42" x14ac:dyDescent="0.3">
      <c r="AP648"/>
    </row>
    <row r="649" spans="42:42" x14ac:dyDescent="0.3">
      <c r="AP649"/>
    </row>
    <row r="650" spans="42:42" x14ac:dyDescent="0.3">
      <c r="AP650"/>
    </row>
    <row r="651" spans="42:42" x14ac:dyDescent="0.3">
      <c r="AP651"/>
    </row>
    <row r="652" spans="42:42" x14ac:dyDescent="0.3">
      <c r="AP652"/>
    </row>
    <row r="653" spans="42:42" x14ac:dyDescent="0.3">
      <c r="AP653"/>
    </row>
    <row r="654" spans="42:42" x14ac:dyDescent="0.3">
      <c r="AP654"/>
    </row>
    <row r="655" spans="42:42" x14ac:dyDescent="0.3">
      <c r="AP655"/>
    </row>
    <row r="656" spans="42:42" x14ac:dyDescent="0.3">
      <c r="AP656"/>
    </row>
    <row r="657" spans="42:42" x14ac:dyDescent="0.3">
      <c r="AP657"/>
    </row>
    <row r="658" spans="42:42" x14ac:dyDescent="0.3">
      <c r="AP658"/>
    </row>
    <row r="659" spans="42:42" x14ac:dyDescent="0.3">
      <c r="AP659"/>
    </row>
    <row r="660" spans="42:42" x14ac:dyDescent="0.3">
      <c r="AP660"/>
    </row>
    <row r="661" spans="42:42" x14ac:dyDescent="0.3">
      <c r="AP661"/>
    </row>
    <row r="662" spans="42:42" x14ac:dyDescent="0.3">
      <c r="AP662"/>
    </row>
    <row r="663" spans="42:42" x14ac:dyDescent="0.3">
      <c r="AP663"/>
    </row>
    <row r="664" spans="42:42" x14ac:dyDescent="0.3">
      <c r="AP664"/>
    </row>
    <row r="665" spans="42:42" x14ac:dyDescent="0.3">
      <c r="AP665"/>
    </row>
    <row r="666" spans="42:42" x14ac:dyDescent="0.3">
      <c r="AP666"/>
    </row>
    <row r="667" spans="42:42" x14ac:dyDescent="0.3">
      <c r="AP667"/>
    </row>
    <row r="668" spans="42:42" x14ac:dyDescent="0.3">
      <c r="AP668"/>
    </row>
    <row r="669" spans="42:42" x14ac:dyDescent="0.3">
      <c r="AP669"/>
    </row>
    <row r="670" spans="42:42" x14ac:dyDescent="0.3">
      <c r="AP670"/>
    </row>
    <row r="671" spans="42:42" x14ac:dyDescent="0.3">
      <c r="AP671"/>
    </row>
    <row r="672" spans="42:42" x14ac:dyDescent="0.3">
      <c r="AP672"/>
    </row>
    <row r="673" spans="42:42" x14ac:dyDescent="0.3">
      <c r="AP673"/>
    </row>
    <row r="674" spans="42:42" x14ac:dyDescent="0.3">
      <c r="AP674"/>
    </row>
    <row r="675" spans="42:42" x14ac:dyDescent="0.3">
      <c r="AP675"/>
    </row>
    <row r="676" spans="42:42" x14ac:dyDescent="0.3">
      <c r="AP676"/>
    </row>
    <row r="677" spans="42:42" x14ac:dyDescent="0.3">
      <c r="AP677"/>
    </row>
    <row r="678" spans="42:42" x14ac:dyDescent="0.3">
      <c r="AP678"/>
    </row>
    <row r="679" spans="42:42" x14ac:dyDescent="0.3">
      <c r="AP679"/>
    </row>
    <row r="680" spans="42:42" x14ac:dyDescent="0.3">
      <c r="AP680"/>
    </row>
    <row r="681" spans="42:42" x14ac:dyDescent="0.3">
      <c r="AP681"/>
    </row>
    <row r="682" spans="42:42" x14ac:dyDescent="0.3">
      <c r="AP682"/>
    </row>
    <row r="683" spans="42:42" x14ac:dyDescent="0.3">
      <c r="AP683"/>
    </row>
    <row r="684" spans="42:42" x14ac:dyDescent="0.3">
      <c r="AP684"/>
    </row>
    <row r="685" spans="42:42" x14ac:dyDescent="0.3">
      <c r="AP685"/>
    </row>
    <row r="686" spans="42:42" x14ac:dyDescent="0.3">
      <c r="AP686"/>
    </row>
    <row r="687" spans="42:42" x14ac:dyDescent="0.3">
      <c r="AP687"/>
    </row>
    <row r="688" spans="42:42" x14ac:dyDescent="0.3">
      <c r="AP688"/>
    </row>
    <row r="689" spans="42:42" x14ac:dyDescent="0.3">
      <c r="AP689"/>
    </row>
    <row r="690" spans="42:42" x14ac:dyDescent="0.3">
      <c r="AP690"/>
    </row>
    <row r="691" spans="42:42" x14ac:dyDescent="0.3">
      <c r="AP691"/>
    </row>
    <row r="692" spans="42:42" x14ac:dyDescent="0.3">
      <c r="AP692"/>
    </row>
    <row r="693" spans="42:42" x14ac:dyDescent="0.3">
      <c r="AP693"/>
    </row>
    <row r="694" spans="42:42" x14ac:dyDescent="0.3">
      <c r="AP694"/>
    </row>
    <row r="695" spans="42:42" x14ac:dyDescent="0.3">
      <c r="AP695"/>
    </row>
    <row r="696" spans="42:42" x14ac:dyDescent="0.3">
      <c r="AP696"/>
    </row>
    <row r="697" spans="42:42" x14ac:dyDescent="0.3">
      <c r="AP697"/>
    </row>
    <row r="698" spans="42:42" x14ac:dyDescent="0.3">
      <c r="AP698"/>
    </row>
    <row r="699" spans="42:42" x14ac:dyDescent="0.3">
      <c r="AP699"/>
    </row>
    <row r="700" spans="42:42" x14ac:dyDescent="0.3">
      <c r="AP700"/>
    </row>
    <row r="701" spans="42:42" x14ac:dyDescent="0.3">
      <c r="AP701"/>
    </row>
    <row r="702" spans="42:42" x14ac:dyDescent="0.3">
      <c r="AP702"/>
    </row>
    <row r="703" spans="42:42" x14ac:dyDescent="0.3">
      <c r="AP703"/>
    </row>
    <row r="704" spans="42:42" x14ac:dyDescent="0.3">
      <c r="AP704"/>
    </row>
    <row r="705" spans="42:42" x14ac:dyDescent="0.3">
      <c r="AP705"/>
    </row>
    <row r="706" spans="42:42" x14ac:dyDescent="0.3">
      <c r="AP706"/>
    </row>
    <row r="707" spans="42:42" x14ac:dyDescent="0.3">
      <c r="AP707"/>
    </row>
    <row r="708" spans="42:42" x14ac:dyDescent="0.3">
      <c r="AP708"/>
    </row>
    <row r="709" spans="42:42" x14ac:dyDescent="0.3">
      <c r="AP709"/>
    </row>
    <row r="710" spans="42:42" x14ac:dyDescent="0.3">
      <c r="AP710"/>
    </row>
    <row r="711" spans="42:42" x14ac:dyDescent="0.3">
      <c r="AP711"/>
    </row>
    <row r="712" spans="42:42" x14ac:dyDescent="0.3">
      <c r="AP712"/>
    </row>
    <row r="713" spans="42:42" x14ac:dyDescent="0.3">
      <c r="AP713"/>
    </row>
    <row r="714" spans="42:42" x14ac:dyDescent="0.3">
      <c r="AP714"/>
    </row>
    <row r="715" spans="42:42" x14ac:dyDescent="0.3">
      <c r="AP715"/>
    </row>
    <row r="716" spans="42:42" x14ac:dyDescent="0.3">
      <c r="AP716"/>
    </row>
    <row r="717" spans="42:42" x14ac:dyDescent="0.3">
      <c r="AP717"/>
    </row>
    <row r="718" spans="42:42" x14ac:dyDescent="0.3">
      <c r="AP718"/>
    </row>
    <row r="719" spans="42:42" x14ac:dyDescent="0.3">
      <c r="AP719"/>
    </row>
    <row r="720" spans="42:42" x14ac:dyDescent="0.3">
      <c r="AP720"/>
    </row>
    <row r="721" spans="42:42" x14ac:dyDescent="0.3">
      <c r="AP721"/>
    </row>
    <row r="722" spans="42:42" x14ac:dyDescent="0.3">
      <c r="AP722"/>
    </row>
    <row r="723" spans="42:42" x14ac:dyDescent="0.3">
      <c r="AP723"/>
    </row>
    <row r="724" spans="42:42" x14ac:dyDescent="0.3">
      <c r="AP724"/>
    </row>
    <row r="725" spans="42:42" x14ac:dyDescent="0.3">
      <c r="AP725"/>
    </row>
    <row r="726" spans="42:42" x14ac:dyDescent="0.3">
      <c r="AP726"/>
    </row>
    <row r="727" spans="42:42" x14ac:dyDescent="0.3">
      <c r="AP727"/>
    </row>
    <row r="728" spans="42:42" x14ac:dyDescent="0.3">
      <c r="AP728"/>
    </row>
    <row r="729" spans="42:42" x14ac:dyDescent="0.3">
      <c r="AP729"/>
    </row>
    <row r="730" spans="42:42" x14ac:dyDescent="0.3">
      <c r="AP730"/>
    </row>
    <row r="731" spans="42:42" x14ac:dyDescent="0.3">
      <c r="AP731"/>
    </row>
    <row r="732" spans="42:42" x14ac:dyDescent="0.3">
      <c r="AP732"/>
    </row>
    <row r="733" spans="42:42" x14ac:dyDescent="0.3">
      <c r="AP733"/>
    </row>
    <row r="734" spans="42:42" x14ac:dyDescent="0.3">
      <c r="AP734"/>
    </row>
    <row r="735" spans="42:42" x14ac:dyDescent="0.3">
      <c r="AP735"/>
    </row>
    <row r="736" spans="42:42" x14ac:dyDescent="0.3">
      <c r="AP736"/>
    </row>
    <row r="737" spans="42:42" x14ac:dyDescent="0.3">
      <c r="AP737"/>
    </row>
    <row r="738" spans="42:42" x14ac:dyDescent="0.3">
      <c r="AP738"/>
    </row>
    <row r="739" spans="42:42" x14ac:dyDescent="0.3">
      <c r="AP739"/>
    </row>
    <row r="740" spans="42:42" x14ac:dyDescent="0.3">
      <c r="AP740"/>
    </row>
    <row r="741" spans="42:42" x14ac:dyDescent="0.3">
      <c r="AP741"/>
    </row>
    <row r="742" spans="42:42" x14ac:dyDescent="0.3">
      <c r="AP742"/>
    </row>
    <row r="743" spans="42:42" x14ac:dyDescent="0.3">
      <c r="AP743"/>
    </row>
    <row r="744" spans="42:42" x14ac:dyDescent="0.3">
      <c r="AP744"/>
    </row>
    <row r="745" spans="42:42" x14ac:dyDescent="0.3">
      <c r="AP745"/>
    </row>
    <row r="746" spans="42:42" x14ac:dyDescent="0.3">
      <c r="AP746"/>
    </row>
    <row r="747" spans="42:42" x14ac:dyDescent="0.3">
      <c r="AP747"/>
    </row>
    <row r="748" spans="42:42" x14ac:dyDescent="0.3">
      <c r="AP748"/>
    </row>
    <row r="749" spans="42:42" x14ac:dyDescent="0.3">
      <c r="AP749"/>
    </row>
    <row r="750" spans="42:42" x14ac:dyDescent="0.3">
      <c r="AP750"/>
    </row>
    <row r="751" spans="42:42" x14ac:dyDescent="0.3">
      <c r="AP751"/>
    </row>
    <row r="752" spans="42:42" x14ac:dyDescent="0.3">
      <c r="AP752"/>
    </row>
    <row r="753" spans="42:42" x14ac:dyDescent="0.3">
      <c r="AP753"/>
    </row>
    <row r="754" spans="42:42" x14ac:dyDescent="0.3">
      <c r="AP754"/>
    </row>
    <row r="755" spans="42:42" x14ac:dyDescent="0.3">
      <c r="AP755"/>
    </row>
    <row r="756" spans="42:42" x14ac:dyDescent="0.3">
      <c r="AP756"/>
    </row>
    <row r="757" spans="42:42" x14ac:dyDescent="0.3">
      <c r="AP757"/>
    </row>
    <row r="758" spans="42:42" x14ac:dyDescent="0.3">
      <c r="AP758"/>
    </row>
    <row r="759" spans="42:42" x14ac:dyDescent="0.3">
      <c r="AP759"/>
    </row>
    <row r="760" spans="42:42" x14ac:dyDescent="0.3">
      <c r="AP760"/>
    </row>
    <row r="761" spans="42:42" x14ac:dyDescent="0.3">
      <c r="AP761"/>
    </row>
    <row r="762" spans="42:42" x14ac:dyDescent="0.3">
      <c r="AP762"/>
    </row>
    <row r="763" spans="42:42" x14ac:dyDescent="0.3">
      <c r="AP763"/>
    </row>
    <row r="764" spans="42:42" x14ac:dyDescent="0.3">
      <c r="AP764"/>
    </row>
    <row r="765" spans="42:42" x14ac:dyDescent="0.3">
      <c r="AP765"/>
    </row>
    <row r="766" spans="42:42" x14ac:dyDescent="0.3">
      <c r="AP766"/>
    </row>
    <row r="767" spans="42:42" x14ac:dyDescent="0.3">
      <c r="AP767"/>
    </row>
    <row r="768" spans="42:42" x14ac:dyDescent="0.3">
      <c r="AP768"/>
    </row>
    <row r="769" spans="42:42" x14ac:dyDescent="0.3">
      <c r="AP769"/>
    </row>
    <row r="770" spans="42:42" x14ac:dyDescent="0.3">
      <c r="AP770"/>
    </row>
    <row r="771" spans="42:42" x14ac:dyDescent="0.3">
      <c r="AP771"/>
    </row>
    <row r="772" spans="42:42" x14ac:dyDescent="0.3">
      <c r="AP772"/>
    </row>
    <row r="773" spans="42:42" x14ac:dyDescent="0.3">
      <c r="AP773"/>
    </row>
    <row r="774" spans="42:42" x14ac:dyDescent="0.3">
      <c r="AP774"/>
    </row>
    <row r="775" spans="42:42" x14ac:dyDescent="0.3">
      <c r="AP775"/>
    </row>
    <row r="776" spans="42:42" x14ac:dyDescent="0.3">
      <c r="AP776"/>
    </row>
    <row r="777" spans="42:42" x14ac:dyDescent="0.3">
      <c r="AP777"/>
    </row>
    <row r="778" spans="42:42" x14ac:dyDescent="0.3">
      <c r="AP778"/>
    </row>
    <row r="779" spans="42:42" x14ac:dyDescent="0.3">
      <c r="AP779"/>
    </row>
    <row r="780" spans="42:42" x14ac:dyDescent="0.3">
      <c r="AP780"/>
    </row>
    <row r="781" spans="42:42" x14ac:dyDescent="0.3">
      <c r="AP781"/>
    </row>
    <row r="782" spans="42:42" x14ac:dyDescent="0.3">
      <c r="AP782"/>
    </row>
    <row r="783" spans="42:42" x14ac:dyDescent="0.3">
      <c r="AP783"/>
    </row>
    <row r="784" spans="42:42" x14ac:dyDescent="0.3">
      <c r="AP784"/>
    </row>
    <row r="785" spans="42:42" x14ac:dyDescent="0.3">
      <c r="AP785"/>
    </row>
    <row r="786" spans="42:42" x14ac:dyDescent="0.3">
      <c r="AP786"/>
    </row>
    <row r="787" spans="42:42" x14ac:dyDescent="0.3">
      <c r="AP787"/>
    </row>
    <row r="788" spans="42:42" x14ac:dyDescent="0.3">
      <c r="AP788"/>
    </row>
    <row r="789" spans="42:42" x14ac:dyDescent="0.3">
      <c r="AP789"/>
    </row>
    <row r="790" spans="42:42" x14ac:dyDescent="0.3">
      <c r="AP790"/>
    </row>
    <row r="791" spans="42:42" x14ac:dyDescent="0.3">
      <c r="AP791"/>
    </row>
    <row r="792" spans="42:42" x14ac:dyDescent="0.3">
      <c r="AP792"/>
    </row>
    <row r="793" spans="42:42" x14ac:dyDescent="0.3">
      <c r="AP793"/>
    </row>
    <row r="794" spans="42:42" x14ac:dyDescent="0.3">
      <c r="AP794"/>
    </row>
    <row r="795" spans="42:42" x14ac:dyDescent="0.3">
      <c r="AP795"/>
    </row>
    <row r="796" spans="42:42" x14ac:dyDescent="0.3">
      <c r="AP796"/>
    </row>
    <row r="797" spans="42:42" x14ac:dyDescent="0.3">
      <c r="AP797"/>
    </row>
    <row r="798" spans="42:42" x14ac:dyDescent="0.3">
      <c r="AP798"/>
    </row>
    <row r="799" spans="42:42" x14ac:dyDescent="0.3">
      <c r="AP799"/>
    </row>
    <row r="800" spans="42:42" x14ac:dyDescent="0.3">
      <c r="AP800"/>
    </row>
    <row r="801" spans="42:42" x14ac:dyDescent="0.3">
      <c r="AP801"/>
    </row>
    <row r="802" spans="42:42" x14ac:dyDescent="0.3">
      <c r="AP802"/>
    </row>
    <row r="803" spans="42:42" x14ac:dyDescent="0.3">
      <c r="AP803"/>
    </row>
    <row r="804" spans="42:42" x14ac:dyDescent="0.3">
      <c r="AP804"/>
    </row>
    <row r="805" spans="42:42" x14ac:dyDescent="0.3">
      <c r="AP805"/>
    </row>
    <row r="806" spans="42:42" x14ac:dyDescent="0.3">
      <c r="AP806"/>
    </row>
    <row r="807" spans="42:42" x14ac:dyDescent="0.3">
      <c r="AP807"/>
    </row>
    <row r="808" spans="42:42" x14ac:dyDescent="0.3">
      <c r="AP808"/>
    </row>
    <row r="809" spans="42:42" x14ac:dyDescent="0.3">
      <c r="AP809"/>
    </row>
    <row r="810" spans="42:42" x14ac:dyDescent="0.3">
      <c r="AP810"/>
    </row>
    <row r="811" spans="42:42" x14ac:dyDescent="0.3">
      <c r="AP811"/>
    </row>
    <row r="812" spans="42:42" x14ac:dyDescent="0.3">
      <c r="AP812"/>
    </row>
    <row r="813" spans="42:42" x14ac:dyDescent="0.3">
      <c r="AP813"/>
    </row>
    <row r="814" spans="42:42" x14ac:dyDescent="0.3">
      <c r="AP814"/>
    </row>
    <row r="815" spans="42:42" x14ac:dyDescent="0.3">
      <c r="AP815"/>
    </row>
    <row r="816" spans="42:42" x14ac:dyDescent="0.3">
      <c r="AP816"/>
    </row>
    <row r="817" spans="42:42" x14ac:dyDescent="0.3">
      <c r="AP817"/>
    </row>
    <row r="818" spans="42:42" x14ac:dyDescent="0.3">
      <c r="AP818"/>
    </row>
    <row r="819" spans="42:42" x14ac:dyDescent="0.3">
      <c r="AP819"/>
    </row>
    <row r="820" spans="42:42" x14ac:dyDescent="0.3">
      <c r="AP820"/>
    </row>
    <row r="821" spans="42:42" x14ac:dyDescent="0.3">
      <c r="AP821"/>
    </row>
    <row r="822" spans="42:42" x14ac:dyDescent="0.3">
      <c r="AP822"/>
    </row>
    <row r="823" spans="42:42" x14ac:dyDescent="0.3">
      <c r="AP823"/>
    </row>
    <row r="824" spans="42:42" x14ac:dyDescent="0.3">
      <c r="AP824"/>
    </row>
    <row r="825" spans="42:42" x14ac:dyDescent="0.3">
      <c r="AP825"/>
    </row>
    <row r="826" spans="42:42" x14ac:dyDescent="0.3">
      <c r="AP826"/>
    </row>
    <row r="827" spans="42:42" x14ac:dyDescent="0.3">
      <c r="AP827"/>
    </row>
    <row r="828" spans="42:42" x14ac:dyDescent="0.3">
      <c r="AP828"/>
    </row>
    <row r="829" spans="42:42" x14ac:dyDescent="0.3">
      <c r="AP829"/>
    </row>
    <row r="830" spans="42:42" x14ac:dyDescent="0.3">
      <c r="AP830"/>
    </row>
    <row r="831" spans="42:42" x14ac:dyDescent="0.3">
      <c r="AP831"/>
    </row>
    <row r="832" spans="42:42" x14ac:dyDescent="0.3">
      <c r="AP832"/>
    </row>
    <row r="833" spans="42:42" x14ac:dyDescent="0.3">
      <c r="AP833"/>
    </row>
    <row r="834" spans="42:42" x14ac:dyDescent="0.3">
      <c r="AP834"/>
    </row>
    <row r="835" spans="42:42" x14ac:dyDescent="0.3">
      <c r="AP835"/>
    </row>
    <row r="836" spans="42:42" x14ac:dyDescent="0.3">
      <c r="AP836"/>
    </row>
    <row r="837" spans="42:42" x14ac:dyDescent="0.3">
      <c r="AP837"/>
    </row>
    <row r="838" spans="42:42" x14ac:dyDescent="0.3">
      <c r="AP838"/>
    </row>
    <row r="839" spans="42:42" x14ac:dyDescent="0.3">
      <c r="AP839"/>
    </row>
    <row r="840" spans="42:42" x14ac:dyDescent="0.3">
      <c r="AP840"/>
    </row>
    <row r="841" spans="42:42" x14ac:dyDescent="0.3">
      <c r="AP841"/>
    </row>
    <row r="842" spans="42:42" x14ac:dyDescent="0.3">
      <c r="AP842"/>
    </row>
    <row r="843" spans="42:42" x14ac:dyDescent="0.3">
      <c r="AP843"/>
    </row>
    <row r="844" spans="42:42" x14ac:dyDescent="0.3">
      <c r="AP844"/>
    </row>
    <row r="845" spans="42:42" x14ac:dyDescent="0.3">
      <c r="AP845"/>
    </row>
    <row r="846" spans="42:42" x14ac:dyDescent="0.3">
      <c r="AP846"/>
    </row>
    <row r="847" spans="42:42" x14ac:dyDescent="0.3">
      <c r="AP847"/>
    </row>
    <row r="848" spans="42:42" x14ac:dyDescent="0.3">
      <c r="AP848"/>
    </row>
    <row r="849" spans="42:42" x14ac:dyDescent="0.3">
      <c r="AP849"/>
    </row>
    <row r="850" spans="42:42" x14ac:dyDescent="0.3">
      <c r="AP850"/>
    </row>
    <row r="851" spans="42:42" x14ac:dyDescent="0.3">
      <c r="AP851"/>
    </row>
    <row r="852" spans="42:42" x14ac:dyDescent="0.3">
      <c r="AP852"/>
    </row>
    <row r="853" spans="42:42" x14ac:dyDescent="0.3">
      <c r="AP853"/>
    </row>
    <row r="854" spans="42:42" x14ac:dyDescent="0.3">
      <c r="AP854"/>
    </row>
    <row r="855" spans="42:42" x14ac:dyDescent="0.3">
      <c r="AP855"/>
    </row>
    <row r="856" spans="42:42" x14ac:dyDescent="0.3">
      <c r="AP856"/>
    </row>
    <row r="857" spans="42:42" x14ac:dyDescent="0.3">
      <c r="AP857"/>
    </row>
    <row r="858" spans="42:42" x14ac:dyDescent="0.3">
      <c r="AP858"/>
    </row>
    <row r="859" spans="42:42" x14ac:dyDescent="0.3">
      <c r="AP859"/>
    </row>
    <row r="860" spans="42:42" x14ac:dyDescent="0.3">
      <c r="AP860"/>
    </row>
    <row r="861" spans="42:42" x14ac:dyDescent="0.3">
      <c r="AP861"/>
    </row>
    <row r="862" spans="42:42" x14ac:dyDescent="0.3">
      <c r="AP862"/>
    </row>
    <row r="863" spans="42:42" x14ac:dyDescent="0.3">
      <c r="AP863"/>
    </row>
    <row r="864" spans="42:42" x14ac:dyDescent="0.3">
      <c r="AP864"/>
    </row>
    <row r="865" spans="42:42" x14ac:dyDescent="0.3">
      <c r="AP865"/>
    </row>
    <row r="866" spans="42:42" x14ac:dyDescent="0.3">
      <c r="AP866"/>
    </row>
    <row r="867" spans="42:42" x14ac:dyDescent="0.3">
      <c r="AP867"/>
    </row>
    <row r="868" spans="42:42" x14ac:dyDescent="0.3">
      <c r="AP868"/>
    </row>
    <row r="869" spans="42:42" x14ac:dyDescent="0.3">
      <c r="AP869"/>
    </row>
    <row r="870" spans="42:42" x14ac:dyDescent="0.3">
      <c r="AP870"/>
    </row>
    <row r="871" spans="42:42" x14ac:dyDescent="0.3">
      <c r="AP871"/>
    </row>
    <row r="872" spans="42:42" x14ac:dyDescent="0.3">
      <c r="AP872"/>
    </row>
    <row r="873" spans="42:42" x14ac:dyDescent="0.3">
      <c r="AP873"/>
    </row>
    <row r="874" spans="42:42" x14ac:dyDescent="0.3">
      <c r="AP874"/>
    </row>
    <row r="875" spans="42:42" x14ac:dyDescent="0.3">
      <c r="AP875"/>
    </row>
    <row r="876" spans="42:42" x14ac:dyDescent="0.3">
      <c r="AP876"/>
    </row>
    <row r="877" spans="42:42" x14ac:dyDescent="0.3">
      <c r="AP877"/>
    </row>
    <row r="878" spans="42:42" x14ac:dyDescent="0.3">
      <c r="AP878"/>
    </row>
    <row r="879" spans="42:42" x14ac:dyDescent="0.3">
      <c r="AP879"/>
    </row>
    <row r="880" spans="42:42" x14ac:dyDescent="0.3">
      <c r="AP880"/>
    </row>
    <row r="881" spans="42:42" x14ac:dyDescent="0.3">
      <c r="AP881"/>
    </row>
    <row r="882" spans="42:42" x14ac:dyDescent="0.3">
      <c r="AP882"/>
    </row>
    <row r="883" spans="42:42" x14ac:dyDescent="0.3">
      <c r="AP883"/>
    </row>
    <row r="884" spans="42:42" x14ac:dyDescent="0.3">
      <c r="AP884"/>
    </row>
    <row r="885" spans="42:42" x14ac:dyDescent="0.3">
      <c r="AP885"/>
    </row>
    <row r="886" spans="42:42" x14ac:dyDescent="0.3">
      <c r="AP886"/>
    </row>
    <row r="887" spans="42:42" x14ac:dyDescent="0.3">
      <c r="AP887"/>
    </row>
    <row r="888" spans="42:42" x14ac:dyDescent="0.3">
      <c r="AP888"/>
    </row>
    <row r="889" spans="42:42" x14ac:dyDescent="0.3">
      <c r="AP889"/>
    </row>
    <row r="890" spans="42:42" x14ac:dyDescent="0.3">
      <c r="AP890"/>
    </row>
    <row r="891" spans="42:42" x14ac:dyDescent="0.3">
      <c r="AP891"/>
    </row>
    <row r="892" spans="42:42" x14ac:dyDescent="0.3">
      <c r="AP892"/>
    </row>
    <row r="893" spans="42:42" x14ac:dyDescent="0.3">
      <c r="AP893"/>
    </row>
    <row r="894" spans="42:42" x14ac:dyDescent="0.3">
      <c r="AP894"/>
    </row>
    <row r="895" spans="42:42" x14ac:dyDescent="0.3">
      <c r="AP895"/>
    </row>
    <row r="896" spans="42:42" x14ac:dyDescent="0.3">
      <c r="AP896"/>
    </row>
    <row r="897" spans="42:42" x14ac:dyDescent="0.3">
      <c r="AP897"/>
    </row>
    <row r="898" spans="42:42" x14ac:dyDescent="0.3">
      <c r="AP898"/>
    </row>
    <row r="899" spans="42:42" x14ac:dyDescent="0.3">
      <c r="AP899"/>
    </row>
    <row r="900" spans="42:42" x14ac:dyDescent="0.3">
      <c r="AP900"/>
    </row>
    <row r="901" spans="42:42" x14ac:dyDescent="0.3">
      <c r="AP901"/>
    </row>
    <row r="902" spans="42:42" x14ac:dyDescent="0.3">
      <c r="AP902"/>
    </row>
    <row r="903" spans="42:42" x14ac:dyDescent="0.3">
      <c r="AP903"/>
    </row>
    <row r="904" spans="42:42" x14ac:dyDescent="0.3">
      <c r="AP904"/>
    </row>
    <row r="905" spans="42:42" x14ac:dyDescent="0.3">
      <c r="AP905"/>
    </row>
    <row r="906" spans="42:42" x14ac:dyDescent="0.3">
      <c r="AP906"/>
    </row>
    <row r="907" spans="42:42" x14ac:dyDescent="0.3">
      <c r="AP907"/>
    </row>
    <row r="908" spans="42:42" x14ac:dyDescent="0.3">
      <c r="AP908"/>
    </row>
    <row r="909" spans="42:42" x14ac:dyDescent="0.3">
      <c r="AP909"/>
    </row>
    <row r="910" spans="42:42" x14ac:dyDescent="0.3">
      <c r="AP910"/>
    </row>
    <row r="911" spans="42:42" x14ac:dyDescent="0.3">
      <c r="AP911"/>
    </row>
    <row r="912" spans="42:42" x14ac:dyDescent="0.3">
      <c r="AP912"/>
    </row>
    <row r="913" spans="42:42" x14ac:dyDescent="0.3">
      <c r="AP913"/>
    </row>
    <row r="914" spans="42:42" x14ac:dyDescent="0.3">
      <c r="AP914"/>
    </row>
    <row r="915" spans="42:42" x14ac:dyDescent="0.3">
      <c r="AP915"/>
    </row>
    <row r="916" spans="42:42" x14ac:dyDescent="0.3">
      <c r="AP916"/>
    </row>
    <row r="917" spans="42:42" x14ac:dyDescent="0.3">
      <c r="AP917"/>
    </row>
    <row r="918" spans="42:42" x14ac:dyDescent="0.3">
      <c r="AP918"/>
    </row>
    <row r="919" spans="42:42" x14ac:dyDescent="0.3">
      <c r="AP919"/>
    </row>
    <row r="920" spans="42:42" x14ac:dyDescent="0.3">
      <c r="AP920"/>
    </row>
    <row r="921" spans="42:42" x14ac:dyDescent="0.3">
      <c r="AP921"/>
    </row>
    <row r="922" spans="42:42" x14ac:dyDescent="0.3">
      <c r="AP922"/>
    </row>
    <row r="923" spans="42:42" x14ac:dyDescent="0.3">
      <c r="AP923"/>
    </row>
    <row r="924" spans="42:42" x14ac:dyDescent="0.3">
      <c r="AP924"/>
    </row>
    <row r="925" spans="42:42" x14ac:dyDescent="0.3">
      <c r="AP925"/>
    </row>
    <row r="926" spans="42:42" x14ac:dyDescent="0.3">
      <c r="AP926"/>
    </row>
    <row r="927" spans="42:42" x14ac:dyDescent="0.3">
      <c r="AP927"/>
    </row>
    <row r="928" spans="42:42" x14ac:dyDescent="0.3">
      <c r="AP928"/>
    </row>
    <row r="929" spans="42:42" x14ac:dyDescent="0.3">
      <c r="AP929"/>
    </row>
    <row r="930" spans="42:42" x14ac:dyDescent="0.3">
      <c r="AP930"/>
    </row>
    <row r="931" spans="42:42" x14ac:dyDescent="0.3">
      <c r="AP931"/>
    </row>
    <row r="932" spans="42:42" x14ac:dyDescent="0.3">
      <c r="AP932"/>
    </row>
    <row r="933" spans="42:42" x14ac:dyDescent="0.3">
      <c r="AP933"/>
    </row>
    <row r="934" spans="42:42" x14ac:dyDescent="0.3">
      <c r="AP934"/>
    </row>
    <row r="935" spans="42:42" x14ac:dyDescent="0.3">
      <c r="AP935"/>
    </row>
    <row r="936" spans="42:42" x14ac:dyDescent="0.3">
      <c r="AP936"/>
    </row>
    <row r="937" spans="42:42" x14ac:dyDescent="0.3">
      <c r="AP937"/>
    </row>
    <row r="938" spans="42:42" x14ac:dyDescent="0.3">
      <c r="AP938"/>
    </row>
    <row r="939" spans="42:42" x14ac:dyDescent="0.3">
      <c r="AP939"/>
    </row>
    <row r="940" spans="42:42" x14ac:dyDescent="0.3">
      <c r="AP940"/>
    </row>
    <row r="941" spans="42:42" x14ac:dyDescent="0.3">
      <c r="AP941"/>
    </row>
    <row r="942" spans="42:42" x14ac:dyDescent="0.3">
      <c r="AP942"/>
    </row>
    <row r="943" spans="42:42" x14ac:dyDescent="0.3">
      <c r="AP943"/>
    </row>
    <row r="944" spans="42:42" x14ac:dyDescent="0.3">
      <c r="AP944"/>
    </row>
    <row r="945" spans="42:42" x14ac:dyDescent="0.3">
      <c r="AP945"/>
    </row>
    <row r="946" spans="42:42" x14ac:dyDescent="0.3">
      <c r="AP946"/>
    </row>
    <row r="947" spans="42:42" x14ac:dyDescent="0.3">
      <c r="AP947"/>
    </row>
    <row r="948" spans="42:42" x14ac:dyDescent="0.3">
      <c r="AP948"/>
    </row>
    <row r="949" spans="42:42" x14ac:dyDescent="0.3">
      <c r="AP949"/>
    </row>
    <row r="950" spans="42:42" x14ac:dyDescent="0.3">
      <c r="AP950"/>
    </row>
    <row r="951" spans="42:42" x14ac:dyDescent="0.3">
      <c r="AP951"/>
    </row>
    <row r="952" spans="42:42" x14ac:dyDescent="0.3">
      <c r="AP952"/>
    </row>
    <row r="953" spans="42:42" x14ac:dyDescent="0.3">
      <c r="AP953"/>
    </row>
    <row r="954" spans="42:42" x14ac:dyDescent="0.3">
      <c r="AP954"/>
    </row>
    <row r="955" spans="42:42" x14ac:dyDescent="0.3">
      <c r="AP955"/>
    </row>
    <row r="956" spans="42:42" x14ac:dyDescent="0.3">
      <c r="AP956"/>
    </row>
    <row r="957" spans="42:42" x14ac:dyDescent="0.3">
      <c r="AP957"/>
    </row>
    <row r="958" spans="42:42" x14ac:dyDescent="0.3">
      <c r="AP958"/>
    </row>
    <row r="959" spans="42:42" x14ac:dyDescent="0.3">
      <c r="AP959"/>
    </row>
    <row r="960" spans="42:42" x14ac:dyDescent="0.3">
      <c r="AP960"/>
    </row>
    <row r="961" spans="42:42" x14ac:dyDescent="0.3">
      <c r="AP961"/>
    </row>
    <row r="962" spans="42:42" x14ac:dyDescent="0.3">
      <c r="AP962"/>
    </row>
    <row r="963" spans="42:42" x14ac:dyDescent="0.3">
      <c r="AP963"/>
    </row>
    <row r="964" spans="42:42" x14ac:dyDescent="0.3">
      <c r="AP964"/>
    </row>
    <row r="965" spans="42:42" x14ac:dyDescent="0.3">
      <c r="AP965"/>
    </row>
    <row r="966" spans="42:42" x14ac:dyDescent="0.3">
      <c r="AP966"/>
    </row>
    <row r="967" spans="42:42" x14ac:dyDescent="0.3">
      <c r="AP967"/>
    </row>
    <row r="968" spans="42:42" x14ac:dyDescent="0.3">
      <c r="AP968"/>
    </row>
    <row r="969" spans="42:42" x14ac:dyDescent="0.3">
      <c r="AP969"/>
    </row>
    <row r="970" spans="42:42" x14ac:dyDescent="0.3">
      <c r="AP970"/>
    </row>
    <row r="971" spans="42:42" x14ac:dyDescent="0.3">
      <c r="AP971"/>
    </row>
    <row r="972" spans="42:42" x14ac:dyDescent="0.3">
      <c r="AP972"/>
    </row>
    <row r="973" spans="42:42" x14ac:dyDescent="0.3">
      <c r="AP973"/>
    </row>
    <row r="974" spans="42:42" x14ac:dyDescent="0.3">
      <c r="AP974"/>
    </row>
    <row r="975" spans="42:42" x14ac:dyDescent="0.3">
      <c r="AP975"/>
    </row>
    <row r="976" spans="42:42" x14ac:dyDescent="0.3">
      <c r="AP976"/>
    </row>
    <row r="977" spans="42:42" x14ac:dyDescent="0.3">
      <c r="AP977"/>
    </row>
    <row r="978" spans="42:42" x14ac:dyDescent="0.3">
      <c r="AP978"/>
    </row>
    <row r="979" spans="42:42" x14ac:dyDescent="0.3">
      <c r="AP979"/>
    </row>
    <row r="980" spans="42:42" x14ac:dyDescent="0.3">
      <c r="AP980"/>
    </row>
    <row r="981" spans="42:42" x14ac:dyDescent="0.3">
      <c r="AP981"/>
    </row>
    <row r="982" spans="42:42" x14ac:dyDescent="0.3">
      <c r="AP982"/>
    </row>
    <row r="983" spans="42:42" x14ac:dyDescent="0.3">
      <c r="AP983"/>
    </row>
    <row r="984" spans="42:42" x14ac:dyDescent="0.3">
      <c r="AP984"/>
    </row>
    <row r="985" spans="42:42" x14ac:dyDescent="0.3">
      <c r="AP985"/>
    </row>
    <row r="986" spans="42:42" x14ac:dyDescent="0.3">
      <c r="AP986"/>
    </row>
    <row r="987" spans="42:42" x14ac:dyDescent="0.3">
      <c r="AP987"/>
    </row>
    <row r="988" spans="42:42" x14ac:dyDescent="0.3">
      <c r="AP988"/>
    </row>
    <row r="989" spans="42:42" x14ac:dyDescent="0.3">
      <c r="AP989"/>
    </row>
    <row r="990" spans="42:42" x14ac:dyDescent="0.3">
      <c r="AP990"/>
    </row>
    <row r="991" spans="42:42" x14ac:dyDescent="0.3">
      <c r="AP991"/>
    </row>
    <row r="992" spans="42:42" x14ac:dyDescent="0.3">
      <c r="AP992"/>
    </row>
    <row r="993" spans="42:42" x14ac:dyDescent="0.3">
      <c r="AP993"/>
    </row>
    <row r="994" spans="42:42" x14ac:dyDescent="0.3">
      <c r="AP994"/>
    </row>
    <row r="995" spans="42:42" x14ac:dyDescent="0.3">
      <c r="AP995"/>
    </row>
    <row r="996" spans="42:42" x14ac:dyDescent="0.3">
      <c r="AP996"/>
    </row>
    <row r="997" spans="42:42" x14ac:dyDescent="0.3">
      <c r="AP997"/>
    </row>
    <row r="998" spans="42:42" x14ac:dyDescent="0.3">
      <c r="AP998"/>
    </row>
    <row r="999" spans="42:42" x14ac:dyDescent="0.3">
      <c r="AP999"/>
    </row>
    <row r="1000" spans="42:42" x14ac:dyDescent="0.3">
      <c r="AP1000"/>
    </row>
    <row r="1001" spans="42:42" x14ac:dyDescent="0.3">
      <c r="AP1001"/>
    </row>
    <row r="1002" spans="42:42" x14ac:dyDescent="0.3">
      <c r="AP1002"/>
    </row>
    <row r="1003" spans="42:42" x14ac:dyDescent="0.3">
      <c r="AP1003"/>
    </row>
    <row r="1004" spans="42:42" x14ac:dyDescent="0.3">
      <c r="AP1004"/>
    </row>
    <row r="1005" spans="42:42" x14ac:dyDescent="0.3">
      <c r="AP1005"/>
    </row>
    <row r="1006" spans="42:42" x14ac:dyDescent="0.3">
      <c r="AP1006"/>
    </row>
    <row r="1007" spans="42:42" x14ac:dyDescent="0.3">
      <c r="AP1007"/>
    </row>
    <row r="1008" spans="42:42" x14ac:dyDescent="0.3">
      <c r="AP1008"/>
    </row>
    <row r="1009" spans="42:42" x14ac:dyDescent="0.3">
      <c r="AP1009"/>
    </row>
    <row r="1010" spans="42:42" x14ac:dyDescent="0.3">
      <c r="AP1010"/>
    </row>
    <row r="1011" spans="42:42" x14ac:dyDescent="0.3">
      <c r="AP1011"/>
    </row>
    <row r="1012" spans="42:42" x14ac:dyDescent="0.3">
      <c r="AP1012"/>
    </row>
    <row r="1013" spans="42:42" x14ac:dyDescent="0.3">
      <c r="AP1013"/>
    </row>
    <row r="1014" spans="42:42" x14ac:dyDescent="0.3">
      <c r="AP1014"/>
    </row>
    <row r="1015" spans="42:42" x14ac:dyDescent="0.3">
      <c r="AP1015"/>
    </row>
    <row r="1016" spans="42:42" x14ac:dyDescent="0.3">
      <c r="AP1016"/>
    </row>
    <row r="1017" spans="42:42" x14ac:dyDescent="0.3">
      <c r="AP1017"/>
    </row>
    <row r="1018" spans="42:42" x14ac:dyDescent="0.3">
      <c r="AP1018"/>
    </row>
    <row r="1019" spans="42:42" x14ac:dyDescent="0.3">
      <c r="AP1019"/>
    </row>
    <row r="1020" spans="42:42" x14ac:dyDescent="0.3">
      <c r="AP1020"/>
    </row>
    <row r="1021" spans="42:42" x14ac:dyDescent="0.3">
      <c r="AP1021"/>
    </row>
    <row r="1022" spans="42:42" x14ac:dyDescent="0.3">
      <c r="AP1022"/>
    </row>
    <row r="1023" spans="42:42" x14ac:dyDescent="0.3">
      <c r="AP1023"/>
    </row>
    <row r="1024" spans="42:42" x14ac:dyDescent="0.3">
      <c r="AP1024"/>
    </row>
    <row r="1025" spans="42:42" x14ac:dyDescent="0.3">
      <c r="AP1025"/>
    </row>
    <row r="1026" spans="42:42" x14ac:dyDescent="0.3">
      <c r="AP1026"/>
    </row>
    <row r="1027" spans="42:42" x14ac:dyDescent="0.3">
      <c r="AP1027"/>
    </row>
    <row r="1028" spans="42:42" x14ac:dyDescent="0.3">
      <c r="AP1028"/>
    </row>
    <row r="1029" spans="42:42" x14ac:dyDescent="0.3">
      <c r="AP1029"/>
    </row>
    <row r="1030" spans="42:42" x14ac:dyDescent="0.3">
      <c r="AP1030"/>
    </row>
    <row r="1031" spans="42:42" x14ac:dyDescent="0.3">
      <c r="AP1031"/>
    </row>
    <row r="1032" spans="42:42" x14ac:dyDescent="0.3">
      <c r="AP1032"/>
    </row>
    <row r="1033" spans="42:42" x14ac:dyDescent="0.3">
      <c r="AP1033"/>
    </row>
    <row r="1034" spans="42:42" x14ac:dyDescent="0.3">
      <c r="AP1034"/>
    </row>
    <row r="1035" spans="42:42" x14ac:dyDescent="0.3">
      <c r="AP1035"/>
    </row>
    <row r="1036" spans="42:42" x14ac:dyDescent="0.3">
      <c r="AP1036"/>
    </row>
    <row r="1037" spans="42:42" x14ac:dyDescent="0.3">
      <c r="AP1037"/>
    </row>
    <row r="1038" spans="42:42" x14ac:dyDescent="0.3">
      <c r="AP1038"/>
    </row>
    <row r="1039" spans="42:42" x14ac:dyDescent="0.3">
      <c r="AP1039"/>
    </row>
    <row r="1040" spans="42:42" x14ac:dyDescent="0.3">
      <c r="AP1040"/>
    </row>
    <row r="1041" spans="42:42" x14ac:dyDescent="0.3">
      <c r="AP1041"/>
    </row>
    <row r="1042" spans="42:42" x14ac:dyDescent="0.3">
      <c r="AP1042"/>
    </row>
    <row r="1043" spans="42:42" x14ac:dyDescent="0.3">
      <c r="AP1043"/>
    </row>
    <row r="1044" spans="42:42" x14ac:dyDescent="0.3">
      <c r="AP1044"/>
    </row>
    <row r="1045" spans="42:42" x14ac:dyDescent="0.3">
      <c r="AP1045"/>
    </row>
    <row r="1046" spans="42:42" x14ac:dyDescent="0.3">
      <c r="AP1046"/>
    </row>
    <row r="1047" spans="42:42" x14ac:dyDescent="0.3">
      <c r="AP1047"/>
    </row>
    <row r="1048" spans="42:42" x14ac:dyDescent="0.3">
      <c r="AP1048"/>
    </row>
    <row r="1049" spans="42:42" x14ac:dyDescent="0.3">
      <c r="AP1049"/>
    </row>
    <row r="1050" spans="42:42" x14ac:dyDescent="0.3">
      <c r="AP1050"/>
    </row>
    <row r="1051" spans="42:42" x14ac:dyDescent="0.3">
      <c r="AP1051"/>
    </row>
    <row r="1052" spans="42:42" x14ac:dyDescent="0.3">
      <c r="AP1052"/>
    </row>
    <row r="1053" spans="42:42" x14ac:dyDescent="0.3">
      <c r="AP1053"/>
    </row>
    <row r="1054" spans="42:42" x14ac:dyDescent="0.3">
      <c r="AP1054"/>
    </row>
    <row r="1055" spans="42:42" x14ac:dyDescent="0.3">
      <c r="AP1055"/>
    </row>
    <row r="1056" spans="42:42" x14ac:dyDescent="0.3">
      <c r="AP1056"/>
    </row>
    <row r="1057" spans="42:42" x14ac:dyDescent="0.3">
      <c r="AP1057"/>
    </row>
    <row r="1058" spans="42:42" x14ac:dyDescent="0.3">
      <c r="AP1058"/>
    </row>
    <row r="1059" spans="42:42" x14ac:dyDescent="0.3">
      <c r="AP1059"/>
    </row>
    <row r="1060" spans="42:42" x14ac:dyDescent="0.3">
      <c r="AP1060"/>
    </row>
    <row r="1061" spans="42:42" x14ac:dyDescent="0.3">
      <c r="AP1061"/>
    </row>
    <row r="1062" spans="42:42" x14ac:dyDescent="0.3">
      <c r="AP1062"/>
    </row>
    <row r="1063" spans="42:42" x14ac:dyDescent="0.3">
      <c r="AP1063"/>
    </row>
    <row r="1064" spans="42:42" x14ac:dyDescent="0.3">
      <c r="AP1064"/>
    </row>
    <row r="1065" spans="42:42" x14ac:dyDescent="0.3">
      <c r="AP1065"/>
    </row>
    <row r="1066" spans="42:42" x14ac:dyDescent="0.3">
      <c r="AP1066"/>
    </row>
    <row r="1067" spans="42:42" x14ac:dyDescent="0.3">
      <c r="AP1067"/>
    </row>
    <row r="1068" spans="42:42" x14ac:dyDescent="0.3">
      <c r="AP1068"/>
    </row>
    <row r="1069" spans="42:42" x14ac:dyDescent="0.3">
      <c r="AP1069"/>
    </row>
    <row r="1070" spans="42:42" x14ac:dyDescent="0.3">
      <c r="AP1070"/>
    </row>
    <row r="1071" spans="42:42" x14ac:dyDescent="0.3">
      <c r="AP1071"/>
    </row>
    <row r="1072" spans="42:42" x14ac:dyDescent="0.3">
      <c r="AP1072"/>
    </row>
    <row r="1073" spans="42:42" x14ac:dyDescent="0.3">
      <c r="AP1073"/>
    </row>
    <row r="1074" spans="42:42" x14ac:dyDescent="0.3">
      <c r="AP1074"/>
    </row>
    <row r="1075" spans="42:42" x14ac:dyDescent="0.3">
      <c r="AP1075"/>
    </row>
    <row r="1076" spans="42:42" x14ac:dyDescent="0.3">
      <c r="AP1076"/>
    </row>
    <row r="1077" spans="42:42" x14ac:dyDescent="0.3">
      <c r="AP1077"/>
    </row>
    <row r="1078" spans="42:42" x14ac:dyDescent="0.3">
      <c r="AP1078"/>
    </row>
    <row r="1079" spans="42:42" x14ac:dyDescent="0.3">
      <c r="AP1079"/>
    </row>
    <row r="1080" spans="42:42" x14ac:dyDescent="0.3">
      <c r="AP1080"/>
    </row>
    <row r="1081" spans="42:42" x14ac:dyDescent="0.3">
      <c r="AP1081"/>
    </row>
    <row r="1082" spans="42:42" x14ac:dyDescent="0.3">
      <c r="AP1082"/>
    </row>
    <row r="1083" spans="42:42" x14ac:dyDescent="0.3">
      <c r="AP1083"/>
    </row>
    <row r="1084" spans="42:42" x14ac:dyDescent="0.3">
      <c r="AP1084"/>
    </row>
    <row r="1085" spans="42:42" x14ac:dyDescent="0.3">
      <c r="AP1085"/>
    </row>
    <row r="1086" spans="42:42" x14ac:dyDescent="0.3">
      <c r="AP1086"/>
    </row>
    <row r="1087" spans="42:42" x14ac:dyDescent="0.3">
      <c r="AP1087"/>
    </row>
    <row r="1088" spans="42:42" x14ac:dyDescent="0.3">
      <c r="AP1088"/>
    </row>
    <row r="1089" spans="42:42" x14ac:dyDescent="0.3">
      <c r="AP1089"/>
    </row>
    <row r="1090" spans="42:42" x14ac:dyDescent="0.3">
      <c r="AP1090"/>
    </row>
    <row r="1091" spans="42:42" x14ac:dyDescent="0.3">
      <c r="AP1091"/>
    </row>
    <row r="1092" spans="42:42" x14ac:dyDescent="0.3">
      <c r="AP1092"/>
    </row>
    <row r="1093" spans="42:42" x14ac:dyDescent="0.3">
      <c r="AP1093"/>
    </row>
    <row r="1094" spans="42:42" x14ac:dyDescent="0.3">
      <c r="AP1094"/>
    </row>
    <row r="1095" spans="42:42" x14ac:dyDescent="0.3">
      <c r="AP1095"/>
    </row>
    <row r="1096" spans="42:42" x14ac:dyDescent="0.3">
      <c r="AP1096"/>
    </row>
    <row r="1097" spans="42:42" x14ac:dyDescent="0.3">
      <c r="AP1097"/>
    </row>
    <row r="1098" spans="42:42" x14ac:dyDescent="0.3">
      <c r="AP1098"/>
    </row>
    <row r="1099" spans="42:42" x14ac:dyDescent="0.3">
      <c r="AP1099"/>
    </row>
    <row r="1100" spans="42:42" x14ac:dyDescent="0.3">
      <c r="AP1100"/>
    </row>
    <row r="1101" spans="42:42" x14ac:dyDescent="0.3">
      <c r="AP1101"/>
    </row>
    <row r="1102" spans="42:42" x14ac:dyDescent="0.3">
      <c r="AP1102"/>
    </row>
    <row r="1103" spans="42:42" x14ac:dyDescent="0.3">
      <c r="AP1103"/>
    </row>
    <row r="1104" spans="42:42" x14ac:dyDescent="0.3">
      <c r="AP1104"/>
    </row>
    <row r="1105" spans="42:42" x14ac:dyDescent="0.3">
      <c r="AP1105"/>
    </row>
    <row r="1106" spans="42:42" x14ac:dyDescent="0.3">
      <c r="AP1106"/>
    </row>
    <row r="1107" spans="42:42" x14ac:dyDescent="0.3">
      <c r="AP1107"/>
    </row>
    <row r="1108" spans="42:42" x14ac:dyDescent="0.3">
      <c r="AP1108"/>
    </row>
    <row r="1109" spans="42:42" x14ac:dyDescent="0.3">
      <c r="AP1109"/>
    </row>
    <row r="1110" spans="42:42" x14ac:dyDescent="0.3">
      <c r="AP1110"/>
    </row>
    <row r="1111" spans="42:42" x14ac:dyDescent="0.3">
      <c r="AP1111"/>
    </row>
    <row r="1112" spans="42:42" x14ac:dyDescent="0.3">
      <c r="AP1112"/>
    </row>
    <row r="1113" spans="42:42" x14ac:dyDescent="0.3">
      <c r="AP1113"/>
    </row>
    <row r="1114" spans="42:42" x14ac:dyDescent="0.3">
      <c r="AP1114"/>
    </row>
    <row r="1115" spans="42:42" x14ac:dyDescent="0.3">
      <c r="AP1115"/>
    </row>
    <row r="1116" spans="42:42" x14ac:dyDescent="0.3">
      <c r="AP1116"/>
    </row>
    <row r="1117" spans="42:42" x14ac:dyDescent="0.3">
      <c r="AP1117"/>
    </row>
    <row r="1118" spans="42:42" x14ac:dyDescent="0.3">
      <c r="AP1118"/>
    </row>
    <row r="1119" spans="42:42" x14ac:dyDescent="0.3">
      <c r="AP1119"/>
    </row>
    <row r="1120" spans="42:42" x14ac:dyDescent="0.3">
      <c r="AP1120"/>
    </row>
    <row r="1121" spans="42:42" x14ac:dyDescent="0.3">
      <c r="AP1121"/>
    </row>
    <row r="1122" spans="42:42" x14ac:dyDescent="0.3">
      <c r="AP1122"/>
    </row>
    <row r="1123" spans="42:42" x14ac:dyDescent="0.3">
      <c r="AP1123"/>
    </row>
    <row r="1124" spans="42:42" x14ac:dyDescent="0.3">
      <c r="AP1124"/>
    </row>
    <row r="1125" spans="42:42" x14ac:dyDescent="0.3">
      <c r="AP1125"/>
    </row>
    <row r="1126" spans="42:42" x14ac:dyDescent="0.3">
      <c r="AP1126"/>
    </row>
    <row r="1127" spans="42:42" x14ac:dyDescent="0.3">
      <c r="AP1127"/>
    </row>
    <row r="1128" spans="42:42" x14ac:dyDescent="0.3">
      <c r="AP1128"/>
    </row>
    <row r="1129" spans="42:42" x14ac:dyDescent="0.3">
      <c r="AP1129"/>
    </row>
    <row r="1130" spans="42:42" x14ac:dyDescent="0.3">
      <c r="AP1130"/>
    </row>
    <row r="1131" spans="42:42" x14ac:dyDescent="0.3">
      <c r="AP1131"/>
    </row>
    <row r="1132" spans="42:42" x14ac:dyDescent="0.3">
      <c r="AP1132"/>
    </row>
    <row r="1133" spans="42:42" x14ac:dyDescent="0.3">
      <c r="AP1133"/>
    </row>
    <row r="1134" spans="42:42" x14ac:dyDescent="0.3">
      <c r="AP1134"/>
    </row>
    <row r="1135" spans="42:42" x14ac:dyDescent="0.3">
      <c r="AP1135"/>
    </row>
    <row r="1136" spans="42:42" x14ac:dyDescent="0.3">
      <c r="AP1136"/>
    </row>
    <row r="1137" spans="42:42" x14ac:dyDescent="0.3">
      <c r="AP1137"/>
    </row>
    <row r="1138" spans="42:42" x14ac:dyDescent="0.3">
      <c r="AP1138"/>
    </row>
    <row r="1139" spans="42:42" x14ac:dyDescent="0.3">
      <c r="AP1139"/>
    </row>
    <row r="1140" spans="42:42" x14ac:dyDescent="0.3">
      <c r="AP1140"/>
    </row>
    <row r="1141" spans="42:42" x14ac:dyDescent="0.3">
      <c r="AP1141"/>
    </row>
    <row r="1142" spans="42:42" x14ac:dyDescent="0.3">
      <c r="AP1142"/>
    </row>
    <row r="1143" spans="42:42" x14ac:dyDescent="0.3">
      <c r="AP1143"/>
    </row>
    <row r="1144" spans="42:42" x14ac:dyDescent="0.3">
      <c r="AP1144"/>
    </row>
    <row r="1145" spans="42:42" x14ac:dyDescent="0.3">
      <c r="AP1145"/>
    </row>
    <row r="1146" spans="42:42" x14ac:dyDescent="0.3">
      <c r="AP1146"/>
    </row>
    <row r="1147" spans="42:42" x14ac:dyDescent="0.3">
      <c r="AP1147"/>
    </row>
    <row r="1148" spans="42:42" x14ac:dyDescent="0.3">
      <c r="AP1148"/>
    </row>
    <row r="1149" spans="42:42" x14ac:dyDescent="0.3">
      <c r="AP1149"/>
    </row>
    <row r="1150" spans="42:42" x14ac:dyDescent="0.3">
      <c r="AP1150"/>
    </row>
    <row r="1151" spans="42:42" x14ac:dyDescent="0.3">
      <c r="AP1151"/>
    </row>
    <row r="1152" spans="42:42" x14ac:dyDescent="0.3">
      <c r="AP1152"/>
    </row>
    <row r="1153" spans="42:42" x14ac:dyDescent="0.3">
      <c r="AP1153"/>
    </row>
    <row r="1154" spans="42:42" x14ac:dyDescent="0.3">
      <c r="AP1154"/>
    </row>
    <row r="1155" spans="42:42" x14ac:dyDescent="0.3">
      <c r="AP1155"/>
    </row>
    <row r="1156" spans="42:42" x14ac:dyDescent="0.3">
      <c r="AP1156"/>
    </row>
    <row r="1157" spans="42:42" x14ac:dyDescent="0.3">
      <c r="AP1157"/>
    </row>
    <row r="1158" spans="42:42" x14ac:dyDescent="0.3">
      <c r="AP1158"/>
    </row>
    <row r="1159" spans="42:42" x14ac:dyDescent="0.3">
      <c r="AP1159"/>
    </row>
    <row r="1160" spans="42:42" x14ac:dyDescent="0.3">
      <c r="AP1160"/>
    </row>
    <row r="1161" spans="42:42" x14ac:dyDescent="0.3">
      <c r="AP1161"/>
    </row>
    <row r="1162" spans="42:42" x14ac:dyDescent="0.3">
      <c r="AP1162"/>
    </row>
    <row r="1163" spans="42:42" x14ac:dyDescent="0.3">
      <c r="AP1163"/>
    </row>
    <row r="1164" spans="42:42" x14ac:dyDescent="0.3">
      <c r="AP1164"/>
    </row>
    <row r="1165" spans="42:42" x14ac:dyDescent="0.3">
      <c r="AP1165"/>
    </row>
    <row r="1166" spans="42:42" x14ac:dyDescent="0.3">
      <c r="AP1166"/>
    </row>
    <row r="1167" spans="42:42" x14ac:dyDescent="0.3">
      <c r="AP1167"/>
    </row>
    <row r="1168" spans="42:42" x14ac:dyDescent="0.3">
      <c r="AP1168"/>
    </row>
    <row r="1169" spans="42:42" x14ac:dyDescent="0.3">
      <c r="AP1169"/>
    </row>
    <row r="1170" spans="42:42" x14ac:dyDescent="0.3">
      <c r="AP1170"/>
    </row>
    <row r="1171" spans="42:42" x14ac:dyDescent="0.3">
      <c r="AP1171"/>
    </row>
    <row r="1172" spans="42:42" x14ac:dyDescent="0.3">
      <c r="AP1172"/>
    </row>
    <row r="1173" spans="42:42" x14ac:dyDescent="0.3">
      <c r="AP1173"/>
    </row>
    <row r="1174" spans="42:42" x14ac:dyDescent="0.3">
      <c r="AP1174"/>
    </row>
    <row r="1175" spans="42:42" x14ac:dyDescent="0.3">
      <c r="AP1175"/>
    </row>
    <row r="1176" spans="42:42" x14ac:dyDescent="0.3">
      <c r="AP1176"/>
    </row>
    <row r="1177" spans="42:42" x14ac:dyDescent="0.3">
      <c r="AP1177"/>
    </row>
    <row r="1178" spans="42:42" x14ac:dyDescent="0.3">
      <c r="AP1178"/>
    </row>
    <row r="1179" spans="42:42" x14ac:dyDescent="0.3">
      <c r="AP1179"/>
    </row>
    <row r="1180" spans="42:42" x14ac:dyDescent="0.3">
      <c r="AP1180"/>
    </row>
    <row r="1181" spans="42:42" x14ac:dyDescent="0.3">
      <c r="AP1181"/>
    </row>
    <row r="1182" spans="42:42" x14ac:dyDescent="0.3">
      <c r="AP1182"/>
    </row>
    <row r="1183" spans="42:42" x14ac:dyDescent="0.3">
      <c r="AP1183"/>
    </row>
    <row r="1184" spans="42:42" x14ac:dyDescent="0.3">
      <c r="AP1184"/>
    </row>
    <row r="1185" spans="42:42" x14ac:dyDescent="0.3">
      <c r="AP1185"/>
    </row>
    <row r="1186" spans="42:42" x14ac:dyDescent="0.3">
      <c r="AP1186"/>
    </row>
    <row r="1187" spans="42:42" x14ac:dyDescent="0.3">
      <c r="AP1187"/>
    </row>
    <row r="1188" spans="42:42" x14ac:dyDescent="0.3">
      <c r="AP1188"/>
    </row>
    <row r="1189" spans="42:42" x14ac:dyDescent="0.3">
      <c r="AP1189"/>
    </row>
    <row r="1190" spans="42:42" x14ac:dyDescent="0.3">
      <c r="AP1190"/>
    </row>
    <row r="1191" spans="42:42" x14ac:dyDescent="0.3">
      <c r="AP1191"/>
    </row>
    <row r="1192" spans="42:42" x14ac:dyDescent="0.3">
      <c r="AP1192"/>
    </row>
    <row r="1193" spans="42:42" x14ac:dyDescent="0.3">
      <c r="AP1193"/>
    </row>
    <row r="1194" spans="42:42" x14ac:dyDescent="0.3">
      <c r="AP1194"/>
    </row>
    <row r="1195" spans="42:42" x14ac:dyDescent="0.3">
      <c r="AP1195"/>
    </row>
    <row r="1196" spans="42:42" x14ac:dyDescent="0.3">
      <c r="AP1196"/>
    </row>
    <row r="1197" spans="42:42" x14ac:dyDescent="0.3">
      <c r="AP1197"/>
    </row>
    <row r="1198" spans="42:42" x14ac:dyDescent="0.3">
      <c r="AP1198"/>
    </row>
    <row r="1199" spans="42:42" x14ac:dyDescent="0.3">
      <c r="AP1199"/>
    </row>
    <row r="1200" spans="42:42" x14ac:dyDescent="0.3">
      <c r="AP1200"/>
    </row>
    <row r="1201" spans="42:42" x14ac:dyDescent="0.3">
      <c r="AP1201"/>
    </row>
    <row r="1202" spans="42:42" x14ac:dyDescent="0.3">
      <c r="AP1202"/>
    </row>
    <row r="1203" spans="42:42" x14ac:dyDescent="0.3">
      <c r="AP1203"/>
    </row>
    <row r="1204" spans="42:42" x14ac:dyDescent="0.3">
      <c r="AP1204"/>
    </row>
    <row r="1205" spans="42:42" x14ac:dyDescent="0.3">
      <c r="AP1205"/>
    </row>
    <row r="1206" spans="42:42" x14ac:dyDescent="0.3">
      <c r="AP1206"/>
    </row>
    <row r="1207" spans="42:42" x14ac:dyDescent="0.3">
      <c r="AP1207"/>
    </row>
    <row r="1208" spans="42:42" x14ac:dyDescent="0.3">
      <c r="AP1208"/>
    </row>
    <row r="1209" spans="42:42" x14ac:dyDescent="0.3">
      <c r="AP1209"/>
    </row>
    <row r="1210" spans="42:42" x14ac:dyDescent="0.3">
      <c r="AP1210"/>
    </row>
    <row r="1211" spans="42:42" x14ac:dyDescent="0.3">
      <c r="AP1211"/>
    </row>
    <row r="1212" spans="42:42" x14ac:dyDescent="0.3">
      <c r="AP1212"/>
    </row>
    <row r="1213" spans="42:42" x14ac:dyDescent="0.3">
      <c r="AP1213"/>
    </row>
    <row r="1214" spans="42:42" x14ac:dyDescent="0.3">
      <c r="AP1214"/>
    </row>
    <row r="1215" spans="42:42" x14ac:dyDescent="0.3">
      <c r="AP1215"/>
    </row>
    <row r="1216" spans="42:42" x14ac:dyDescent="0.3">
      <c r="AP1216"/>
    </row>
    <row r="1217" spans="42:42" x14ac:dyDescent="0.3">
      <c r="AP1217"/>
    </row>
    <row r="1218" spans="42:42" x14ac:dyDescent="0.3">
      <c r="AP1218"/>
    </row>
    <row r="1219" spans="42:42" x14ac:dyDescent="0.3">
      <c r="AP1219"/>
    </row>
    <row r="1220" spans="42:42" x14ac:dyDescent="0.3">
      <c r="AP1220"/>
    </row>
    <row r="1221" spans="42:42" x14ac:dyDescent="0.3">
      <c r="AP1221"/>
    </row>
    <row r="1222" spans="42:42" x14ac:dyDescent="0.3">
      <c r="AP1222"/>
    </row>
    <row r="1223" spans="42:42" x14ac:dyDescent="0.3">
      <c r="AP1223"/>
    </row>
    <row r="1224" spans="42:42" x14ac:dyDescent="0.3">
      <c r="AP1224"/>
    </row>
    <row r="1225" spans="42:42" x14ac:dyDescent="0.3">
      <c r="AP1225"/>
    </row>
    <row r="1226" spans="42:42" x14ac:dyDescent="0.3">
      <c r="AP1226"/>
    </row>
    <row r="1227" spans="42:42" x14ac:dyDescent="0.3">
      <c r="AP1227"/>
    </row>
    <row r="1228" spans="42:42" x14ac:dyDescent="0.3">
      <c r="AP1228"/>
    </row>
    <row r="1229" spans="42:42" x14ac:dyDescent="0.3">
      <c r="AP1229"/>
    </row>
    <row r="1230" spans="42:42" x14ac:dyDescent="0.3">
      <c r="AP1230"/>
    </row>
    <row r="1231" spans="42:42" x14ac:dyDescent="0.3">
      <c r="AP1231"/>
    </row>
    <row r="1232" spans="42:42" x14ac:dyDescent="0.3">
      <c r="AP1232"/>
    </row>
    <row r="1233" spans="42:42" x14ac:dyDescent="0.3">
      <c r="AP1233"/>
    </row>
    <row r="1234" spans="42:42" x14ac:dyDescent="0.3">
      <c r="AP1234"/>
    </row>
    <row r="1235" spans="42:42" x14ac:dyDescent="0.3">
      <c r="AP1235"/>
    </row>
    <row r="1236" spans="42:42" x14ac:dyDescent="0.3">
      <c r="AP1236"/>
    </row>
    <row r="1237" spans="42:42" x14ac:dyDescent="0.3">
      <c r="AP1237"/>
    </row>
    <row r="1238" spans="42:42" x14ac:dyDescent="0.3">
      <c r="AP1238"/>
    </row>
    <row r="1239" spans="42:42" x14ac:dyDescent="0.3">
      <c r="AP1239"/>
    </row>
    <row r="1240" spans="42:42" x14ac:dyDescent="0.3">
      <c r="AP1240"/>
    </row>
    <row r="1241" spans="42:42" x14ac:dyDescent="0.3">
      <c r="AP1241"/>
    </row>
    <row r="1242" spans="42:42" x14ac:dyDescent="0.3">
      <c r="AP1242"/>
    </row>
    <row r="1243" spans="42:42" x14ac:dyDescent="0.3">
      <c r="AP1243"/>
    </row>
    <row r="1244" spans="42:42" x14ac:dyDescent="0.3">
      <c r="AP1244"/>
    </row>
    <row r="1245" spans="42:42" x14ac:dyDescent="0.3">
      <c r="AP1245"/>
    </row>
    <row r="1246" spans="42:42" x14ac:dyDescent="0.3">
      <c r="AP1246"/>
    </row>
    <row r="1247" spans="42:42" x14ac:dyDescent="0.3">
      <c r="AP1247"/>
    </row>
    <row r="1248" spans="42:42" x14ac:dyDescent="0.3">
      <c r="AP1248"/>
    </row>
    <row r="1249" spans="42:42" x14ac:dyDescent="0.3">
      <c r="AP1249"/>
    </row>
    <row r="1250" spans="42:42" x14ac:dyDescent="0.3">
      <c r="AP1250"/>
    </row>
    <row r="1251" spans="42:42" x14ac:dyDescent="0.3">
      <c r="AP1251"/>
    </row>
    <row r="1252" spans="42:42" x14ac:dyDescent="0.3">
      <c r="AP1252"/>
    </row>
    <row r="1253" spans="42:42" x14ac:dyDescent="0.3">
      <c r="AP1253"/>
    </row>
    <row r="1254" spans="42:42" x14ac:dyDescent="0.3">
      <c r="AP1254"/>
    </row>
    <row r="1255" spans="42:42" x14ac:dyDescent="0.3">
      <c r="AP1255"/>
    </row>
    <row r="1256" spans="42:42" x14ac:dyDescent="0.3">
      <c r="AP1256"/>
    </row>
    <row r="1257" spans="42:42" x14ac:dyDescent="0.3">
      <c r="AP1257"/>
    </row>
    <row r="1258" spans="42:42" x14ac:dyDescent="0.3">
      <c r="AP1258"/>
    </row>
    <row r="1259" spans="42:42" x14ac:dyDescent="0.3">
      <c r="AP1259"/>
    </row>
    <row r="1260" spans="42:42" x14ac:dyDescent="0.3">
      <c r="AP1260"/>
    </row>
    <row r="1261" spans="42:42" x14ac:dyDescent="0.3">
      <c r="AP1261"/>
    </row>
    <row r="1262" spans="42:42" x14ac:dyDescent="0.3">
      <c r="AP1262"/>
    </row>
    <row r="1263" spans="42:42" x14ac:dyDescent="0.3">
      <c r="AP1263"/>
    </row>
    <row r="1264" spans="42:42" x14ac:dyDescent="0.3">
      <c r="AP1264"/>
    </row>
    <row r="1265" spans="42:42" x14ac:dyDescent="0.3">
      <c r="AP1265"/>
    </row>
    <row r="1266" spans="42:42" x14ac:dyDescent="0.3">
      <c r="AP1266"/>
    </row>
    <row r="1267" spans="42:42" x14ac:dyDescent="0.3">
      <c r="AP1267"/>
    </row>
    <row r="1268" spans="42:42" x14ac:dyDescent="0.3">
      <c r="AP1268"/>
    </row>
    <row r="1269" spans="42:42" x14ac:dyDescent="0.3">
      <c r="AP1269"/>
    </row>
    <row r="1270" spans="42:42" x14ac:dyDescent="0.3">
      <c r="AP1270"/>
    </row>
    <row r="1271" spans="42:42" x14ac:dyDescent="0.3">
      <c r="AP1271"/>
    </row>
    <row r="1272" spans="42:42" x14ac:dyDescent="0.3">
      <c r="AP1272"/>
    </row>
    <row r="1273" spans="42:42" x14ac:dyDescent="0.3">
      <c r="AP1273"/>
    </row>
    <row r="1274" spans="42:42" x14ac:dyDescent="0.3">
      <c r="AP1274"/>
    </row>
    <row r="1275" spans="42:42" x14ac:dyDescent="0.3">
      <c r="AP1275"/>
    </row>
    <row r="1276" spans="42:42" x14ac:dyDescent="0.3">
      <c r="AP1276"/>
    </row>
    <row r="1277" spans="42:42" x14ac:dyDescent="0.3">
      <c r="AP1277"/>
    </row>
    <row r="1278" spans="42:42" x14ac:dyDescent="0.3">
      <c r="AP1278"/>
    </row>
    <row r="1279" spans="42:42" x14ac:dyDescent="0.3">
      <c r="AP1279"/>
    </row>
    <row r="1280" spans="42:42" x14ac:dyDescent="0.3">
      <c r="AP1280"/>
    </row>
    <row r="1281" spans="42:42" x14ac:dyDescent="0.3">
      <c r="AP1281"/>
    </row>
    <row r="1282" spans="42:42" x14ac:dyDescent="0.3">
      <c r="AP1282"/>
    </row>
    <row r="1283" spans="42:42" x14ac:dyDescent="0.3">
      <c r="AP1283"/>
    </row>
    <row r="1284" spans="42:42" x14ac:dyDescent="0.3">
      <c r="AP1284"/>
    </row>
    <row r="1285" spans="42:42" x14ac:dyDescent="0.3">
      <c r="AP1285"/>
    </row>
    <row r="1286" spans="42:42" x14ac:dyDescent="0.3">
      <c r="AP1286"/>
    </row>
    <row r="1287" spans="42:42" x14ac:dyDescent="0.3">
      <c r="AP1287"/>
    </row>
    <row r="1288" spans="42:42" x14ac:dyDescent="0.3">
      <c r="AP1288"/>
    </row>
    <row r="1289" spans="42:42" x14ac:dyDescent="0.3">
      <c r="AP1289"/>
    </row>
    <row r="1290" spans="42:42" x14ac:dyDescent="0.3">
      <c r="AP1290"/>
    </row>
    <row r="1291" spans="42:42" x14ac:dyDescent="0.3">
      <c r="AP1291"/>
    </row>
    <row r="1292" spans="42:42" x14ac:dyDescent="0.3">
      <c r="AP1292"/>
    </row>
    <row r="1293" spans="42:42" x14ac:dyDescent="0.3">
      <c r="AP1293"/>
    </row>
    <row r="1294" spans="42:42" x14ac:dyDescent="0.3">
      <c r="AP1294"/>
    </row>
    <row r="1295" spans="42:42" x14ac:dyDescent="0.3">
      <c r="AP1295"/>
    </row>
    <row r="1296" spans="42:42" x14ac:dyDescent="0.3">
      <c r="AP1296"/>
    </row>
    <row r="1297" spans="42:42" x14ac:dyDescent="0.3">
      <c r="AP1297"/>
    </row>
    <row r="1298" spans="42:42" x14ac:dyDescent="0.3">
      <c r="AP1298"/>
    </row>
    <row r="1299" spans="42:42" x14ac:dyDescent="0.3">
      <c r="AP1299"/>
    </row>
    <row r="1300" spans="42:42" x14ac:dyDescent="0.3">
      <c r="AP1300"/>
    </row>
    <row r="1301" spans="42:42" x14ac:dyDescent="0.3">
      <c r="AP1301"/>
    </row>
    <row r="1302" spans="42:42" x14ac:dyDescent="0.3">
      <c r="AP1302"/>
    </row>
    <row r="1303" spans="42:42" x14ac:dyDescent="0.3">
      <c r="AP1303"/>
    </row>
    <row r="1304" spans="42:42" x14ac:dyDescent="0.3">
      <c r="AP1304"/>
    </row>
    <row r="1305" spans="42:42" x14ac:dyDescent="0.3">
      <c r="AP1305"/>
    </row>
    <row r="1306" spans="42:42" x14ac:dyDescent="0.3">
      <c r="AP1306"/>
    </row>
    <row r="1307" spans="42:42" x14ac:dyDescent="0.3">
      <c r="AP1307"/>
    </row>
    <row r="1308" spans="42:42" x14ac:dyDescent="0.3">
      <c r="AP1308"/>
    </row>
    <row r="1309" spans="42:42" x14ac:dyDescent="0.3">
      <c r="AP1309"/>
    </row>
    <row r="1310" spans="42:42" x14ac:dyDescent="0.3">
      <c r="AP1310"/>
    </row>
    <row r="1311" spans="42:42" x14ac:dyDescent="0.3">
      <c r="AP1311"/>
    </row>
    <row r="1312" spans="42:42" x14ac:dyDescent="0.3">
      <c r="AP1312"/>
    </row>
    <row r="1313" spans="42:42" x14ac:dyDescent="0.3">
      <c r="AP1313"/>
    </row>
    <row r="1314" spans="42:42" x14ac:dyDescent="0.3">
      <c r="AP1314"/>
    </row>
    <row r="1315" spans="42:42" x14ac:dyDescent="0.3">
      <c r="AP1315"/>
    </row>
    <row r="1316" spans="42:42" x14ac:dyDescent="0.3">
      <c r="AP1316"/>
    </row>
    <row r="1317" spans="42:42" x14ac:dyDescent="0.3">
      <c r="AP1317"/>
    </row>
    <row r="1318" spans="42:42" x14ac:dyDescent="0.3">
      <c r="AP1318"/>
    </row>
    <row r="1319" spans="42:42" x14ac:dyDescent="0.3">
      <c r="AP1319"/>
    </row>
    <row r="1320" spans="42:42" x14ac:dyDescent="0.3">
      <c r="AP1320"/>
    </row>
    <row r="1321" spans="42:42" x14ac:dyDescent="0.3">
      <c r="AP1321"/>
    </row>
    <row r="1322" spans="42:42" x14ac:dyDescent="0.3">
      <c r="AP1322"/>
    </row>
    <row r="1323" spans="42:42" x14ac:dyDescent="0.3">
      <c r="AP1323"/>
    </row>
    <row r="1324" spans="42:42" x14ac:dyDescent="0.3">
      <c r="AP1324"/>
    </row>
    <row r="1325" spans="42:42" x14ac:dyDescent="0.3">
      <c r="AP1325"/>
    </row>
    <row r="1326" spans="42:42" x14ac:dyDescent="0.3">
      <c r="AP1326"/>
    </row>
    <row r="1327" spans="42:42" x14ac:dyDescent="0.3">
      <c r="AP1327"/>
    </row>
    <row r="1328" spans="42:42" x14ac:dyDescent="0.3">
      <c r="AP1328"/>
    </row>
    <row r="1329" spans="42:42" x14ac:dyDescent="0.3">
      <c r="AP1329"/>
    </row>
    <row r="1330" spans="42:42" x14ac:dyDescent="0.3">
      <c r="AP1330"/>
    </row>
    <row r="1331" spans="42:42" x14ac:dyDescent="0.3">
      <c r="AP1331"/>
    </row>
    <row r="1332" spans="42:42" x14ac:dyDescent="0.3">
      <c r="AP1332"/>
    </row>
    <row r="1333" spans="42:42" x14ac:dyDescent="0.3">
      <c r="AP1333"/>
    </row>
    <row r="1334" spans="42:42" x14ac:dyDescent="0.3">
      <c r="AP1334"/>
    </row>
    <row r="1335" spans="42:42" x14ac:dyDescent="0.3">
      <c r="AP1335"/>
    </row>
    <row r="1336" spans="42:42" x14ac:dyDescent="0.3">
      <c r="AP1336"/>
    </row>
    <row r="1337" spans="42:42" x14ac:dyDescent="0.3">
      <c r="AP1337"/>
    </row>
    <row r="1338" spans="42:42" x14ac:dyDescent="0.3">
      <c r="AP1338"/>
    </row>
    <row r="1339" spans="42:42" x14ac:dyDescent="0.3">
      <c r="AP1339"/>
    </row>
    <row r="1340" spans="42:42" x14ac:dyDescent="0.3">
      <c r="AP1340"/>
    </row>
    <row r="1341" spans="42:42" x14ac:dyDescent="0.3">
      <c r="AP1341"/>
    </row>
    <row r="1342" spans="42:42" x14ac:dyDescent="0.3">
      <c r="AP1342"/>
    </row>
    <row r="1343" spans="42:42" x14ac:dyDescent="0.3">
      <c r="AP1343"/>
    </row>
    <row r="1344" spans="42:42" x14ac:dyDescent="0.3">
      <c r="AP1344"/>
    </row>
    <row r="1345" spans="42:42" x14ac:dyDescent="0.3">
      <c r="AP1345"/>
    </row>
    <row r="1346" spans="42:42" x14ac:dyDescent="0.3">
      <c r="AP1346"/>
    </row>
    <row r="1347" spans="42:42" x14ac:dyDescent="0.3">
      <c r="AP1347"/>
    </row>
    <row r="1348" spans="42:42" x14ac:dyDescent="0.3">
      <c r="AP1348"/>
    </row>
    <row r="1349" spans="42:42" x14ac:dyDescent="0.3">
      <c r="AP1349"/>
    </row>
    <row r="1350" spans="42:42" x14ac:dyDescent="0.3">
      <c r="AP1350"/>
    </row>
    <row r="1351" spans="42:42" x14ac:dyDescent="0.3">
      <c r="AP1351"/>
    </row>
    <row r="1352" spans="42:42" x14ac:dyDescent="0.3">
      <c r="AP1352"/>
    </row>
    <row r="1353" spans="42:42" x14ac:dyDescent="0.3">
      <c r="AP1353"/>
    </row>
    <row r="1354" spans="42:42" x14ac:dyDescent="0.3">
      <c r="AP1354"/>
    </row>
    <row r="1355" spans="42:42" x14ac:dyDescent="0.3">
      <c r="AP1355"/>
    </row>
    <row r="1356" spans="42:42" x14ac:dyDescent="0.3">
      <c r="AP1356"/>
    </row>
    <row r="1357" spans="42:42" x14ac:dyDescent="0.3">
      <c r="AP1357"/>
    </row>
    <row r="1358" spans="42:42" x14ac:dyDescent="0.3">
      <c r="AP1358"/>
    </row>
    <row r="1359" spans="42:42" x14ac:dyDescent="0.3">
      <c r="AP1359"/>
    </row>
    <row r="1360" spans="42:42" x14ac:dyDescent="0.3">
      <c r="AP1360"/>
    </row>
    <row r="1361" spans="42:42" x14ac:dyDescent="0.3">
      <c r="AP1361"/>
    </row>
    <row r="1362" spans="42:42" x14ac:dyDescent="0.3">
      <c r="AP1362"/>
    </row>
    <row r="1363" spans="42:42" x14ac:dyDescent="0.3">
      <c r="AP1363"/>
    </row>
    <row r="1364" spans="42:42" x14ac:dyDescent="0.3">
      <c r="AP1364"/>
    </row>
    <row r="1365" spans="42:42" x14ac:dyDescent="0.3">
      <c r="AP1365"/>
    </row>
    <row r="1366" spans="42:42" x14ac:dyDescent="0.3">
      <c r="AP1366"/>
    </row>
    <row r="1367" spans="42:42" x14ac:dyDescent="0.3">
      <c r="AP1367"/>
    </row>
    <row r="1368" spans="42:42" x14ac:dyDescent="0.3">
      <c r="AP1368"/>
    </row>
    <row r="1369" spans="42:42" x14ac:dyDescent="0.3">
      <c r="AP1369"/>
    </row>
    <row r="1370" spans="42:42" x14ac:dyDescent="0.3">
      <c r="AP1370"/>
    </row>
    <row r="1371" spans="42:42" x14ac:dyDescent="0.3">
      <c r="AP1371"/>
    </row>
    <row r="1372" spans="42:42" x14ac:dyDescent="0.3">
      <c r="AP1372"/>
    </row>
    <row r="1373" spans="42:42" x14ac:dyDescent="0.3">
      <c r="AP1373"/>
    </row>
    <row r="1374" spans="42:42" x14ac:dyDescent="0.3">
      <c r="AP1374"/>
    </row>
    <row r="1375" spans="42:42" x14ac:dyDescent="0.3">
      <c r="AP1375"/>
    </row>
    <row r="1376" spans="42:42" x14ac:dyDescent="0.3">
      <c r="AP1376"/>
    </row>
    <row r="1377" spans="42:42" x14ac:dyDescent="0.3">
      <c r="AP1377"/>
    </row>
    <row r="1378" spans="42:42" x14ac:dyDescent="0.3">
      <c r="AP1378"/>
    </row>
    <row r="1379" spans="42:42" x14ac:dyDescent="0.3">
      <c r="AP1379"/>
    </row>
    <row r="1380" spans="42:42" x14ac:dyDescent="0.3">
      <c r="AP1380"/>
    </row>
    <row r="1381" spans="42:42" x14ac:dyDescent="0.3">
      <c r="AP1381"/>
    </row>
    <row r="1382" spans="42:42" x14ac:dyDescent="0.3">
      <c r="AP1382"/>
    </row>
    <row r="1383" spans="42:42" x14ac:dyDescent="0.3">
      <c r="AP1383"/>
    </row>
    <row r="1384" spans="42:42" x14ac:dyDescent="0.3">
      <c r="AP1384"/>
    </row>
    <row r="1385" spans="42:42" x14ac:dyDescent="0.3">
      <c r="AP1385"/>
    </row>
    <row r="1386" spans="42:42" x14ac:dyDescent="0.3">
      <c r="AP1386"/>
    </row>
    <row r="1387" spans="42:42" x14ac:dyDescent="0.3">
      <c r="AP1387"/>
    </row>
    <row r="1388" spans="42:42" x14ac:dyDescent="0.3">
      <c r="AP1388"/>
    </row>
    <row r="1389" spans="42:42" x14ac:dyDescent="0.3">
      <c r="AP1389"/>
    </row>
    <row r="1390" spans="42:42" x14ac:dyDescent="0.3">
      <c r="AP1390"/>
    </row>
    <row r="1391" spans="42:42" x14ac:dyDescent="0.3">
      <c r="AP1391"/>
    </row>
    <row r="1392" spans="42:42" x14ac:dyDescent="0.3">
      <c r="AP1392"/>
    </row>
    <row r="1393" spans="42:42" x14ac:dyDescent="0.3">
      <c r="AP1393"/>
    </row>
    <row r="1394" spans="42:42" x14ac:dyDescent="0.3">
      <c r="AP1394"/>
    </row>
    <row r="1395" spans="42:42" x14ac:dyDescent="0.3">
      <c r="AP1395"/>
    </row>
    <row r="1396" spans="42:42" x14ac:dyDescent="0.3">
      <c r="AP1396"/>
    </row>
    <row r="1397" spans="42:42" x14ac:dyDescent="0.3">
      <c r="AP1397"/>
    </row>
    <row r="1398" spans="42:42" x14ac:dyDescent="0.3">
      <c r="AP1398"/>
    </row>
    <row r="1399" spans="42:42" x14ac:dyDescent="0.3">
      <c r="AP1399"/>
    </row>
    <row r="1400" spans="42:42" x14ac:dyDescent="0.3">
      <c r="AP1400"/>
    </row>
    <row r="1401" spans="42:42" x14ac:dyDescent="0.3">
      <c r="AP1401"/>
    </row>
    <row r="1402" spans="42:42" x14ac:dyDescent="0.3">
      <c r="AP1402"/>
    </row>
    <row r="1403" spans="42:42" x14ac:dyDescent="0.3">
      <c r="AP1403"/>
    </row>
    <row r="1404" spans="42:42" x14ac:dyDescent="0.3">
      <c r="AP1404"/>
    </row>
    <row r="1405" spans="42:42" x14ac:dyDescent="0.3">
      <c r="AP1405"/>
    </row>
    <row r="1406" spans="42:42" x14ac:dyDescent="0.3">
      <c r="AP1406"/>
    </row>
    <row r="1407" spans="42:42" x14ac:dyDescent="0.3">
      <c r="AP1407"/>
    </row>
    <row r="1408" spans="42:42" x14ac:dyDescent="0.3">
      <c r="AP1408"/>
    </row>
    <row r="1409" spans="42:42" x14ac:dyDescent="0.3">
      <c r="AP1409"/>
    </row>
    <row r="1410" spans="42:42" x14ac:dyDescent="0.3">
      <c r="AP1410"/>
    </row>
    <row r="1411" spans="42:42" x14ac:dyDescent="0.3">
      <c r="AP1411"/>
    </row>
    <row r="1412" spans="42:42" x14ac:dyDescent="0.3">
      <c r="AP1412"/>
    </row>
  </sheetData>
  <mergeCells count="14">
    <mergeCell ref="BM6:BO6"/>
    <mergeCell ref="AS82:AW82"/>
    <mergeCell ref="C6:E6"/>
    <mergeCell ref="F6:H6"/>
    <mergeCell ref="I6:K6"/>
    <mergeCell ref="L6:N6"/>
    <mergeCell ref="O6:Q6"/>
    <mergeCell ref="R6:T6"/>
    <mergeCell ref="U6:W6"/>
    <mergeCell ref="X6:Z6"/>
    <mergeCell ref="AA6:AC6"/>
    <mergeCell ref="AD6:AF6"/>
    <mergeCell ref="AG6:AI6"/>
    <mergeCell ref="AJ6:AL6"/>
  </mergeCells>
  <phoneticPr fontId="68" type="noConversion"/>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3D73F-9CC2-409C-B151-47C5515A7951}">
  <sheetPr codeName="Sheet3">
    <tabColor theme="5" tint="0.59999389629810485"/>
  </sheetPr>
  <dimension ref="B1:BO89"/>
  <sheetViews>
    <sheetView zoomScale="86" zoomScaleNormal="86" workbookViewId="0">
      <pane xSplit="2" ySplit="3" topLeftCell="AZ20" activePane="bottomRight" state="frozen"/>
      <selection activeCell="AI79" sqref="AI79"/>
      <selection pane="topRight" activeCell="AI79" sqref="AI79"/>
      <selection pane="bottomLeft" activeCell="AI79" sqref="AI79"/>
      <selection pane="bottomRight" activeCell="BH21" sqref="BH21"/>
    </sheetView>
  </sheetViews>
  <sheetFormatPr defaultRowHeight="14.4" x14ac:dyDescent="0.3"/>
  <cols>
    <col min="1" max="1" width="6.44140625" customWidth="1"/>
    <col min="2" max="2" width="45.88671875" bestFit="1" customWidth="1"/>
    <col min="3" max="25" width="13.109375" hidden="1" customWidth="1"/>
    <col min="26" max="26" width="15.88671875" hidden="1" customWidth="1"/>
    <col min="27" max="29" width="16.88671875" hidden="1" customWidth="1"/>
    <col min="30" max="31" width="13.109375" hidden="1" customWidth="1"/>
    <col min="32" max="32" width="16" hidden="1" customWidth="1"/>
    <col min="33" max="34" width="13.109375" hidden="1" customWidth="1"/>
    <col min="35" max="35" width="16" hidden="1" customWidth="1"/>
    <col min="36" max="39" width="13.109375" hidden="1" customWidth="1"/>
    <col min="40" max="64" width="13.109375" customWidth="1"/>
    <col min="65" max="65" width="11.5546875" bestFit="1" customWidth="1"/>
    <col min="66" max="66" width="15.109375" customWidth="1"/>
    <col min="67" max="67" width="13.88671875" customWidth="1"/>
    <col min="68" max="68" width="12" customWidth="1"/>
    <col min="69" max="69" width="9.109375" bestFit="1" customWidth="1"/>
    <col min="70" max="70" width="10.5546875" bestFit="1" customWidth="1"/>
    <col min="72" max="72" width="9.88671875" bestFit="1" customWidth="1"/>
    <col min="73" max="73" width="10" bestFit="1" customWidth="1"/>
  </cols>
  <sheetData>
    <row r="1" spans="2:66" ht="15" thickBot="1" x14ac:dyDescent="0.35">
      <c r="C1" s="12"/>
      <c r="D1" s="12"/>
      <c r="E1" s="12"/>
      <c r="AN1" s="29"/>
      <c r="AU1" s="771"/>
      <c r="AV1" s="771"/>
    </row>
    <row r="2" spans="2:66" x14ac:dyDescent="0.3">
      <c r="B2" s="1793" t="s">
        <v>33</v>
      </c>
      <c r="C2" s="747"/>
      <c r="D2" s="748" t="s">
        <v>14</v>
      </c>
      <c r="E2" s="749">
        <v>1</v>
      </c>
      <c r="F2" s="747"/>
      <c r="G2" s="748" t="s">
        <v>15</v>
      </c>
      <c r="H2" s="749">
        <v>2</v>
      </c>
      <c r="I2" s="747"/>
      <c r="J2" s="748" t="s">
        <v>16</v>
      </c>
      <c r="K2" s="749">
        <v>3</v>
      </c>
      <c r="L2" s="747"/>
      <c r="M2" s="748" t="s">
        <v>17</v>
      </c>
      <c r="N2" s="749">
        <v>4</v>
      </c>
      <c r="O2" s="747"/>
      <c r="P2" s="748" t="s">
        <v>913</v>
      </c>
      <c r="Q2" s="749">
        <v>5</v>
      </c>
      <c r="R2" s="747"/>
      <c r="S2" s="748" t="s">
        <v>19</v>
      </c>
      <c r="T2" s="749">
        <v>6</v>
      </c>
      <c r="U2" s="747"/>
      <c r="V2" s="748" t="s">
        <v>20</v>
      </c>
      <c r="W2" s="749">
        <v>7</v>
      </c>
      <c r="X2" s="747"/>
      <c r="Y2" s="748" t="s">
        <v>21</v>
      </c>
      <c r="Z2" s="749">
        <v>8</v>
      </c>
      <c r="AA2" s="767"/>
      <c r="AB2" s="748" t="s">
        <v>22</v>
      </c>
      <c r="AC2" s="749">
        <v>9</v>
      </c>
      <c r="AD2" s="767"/>
      <c r="AE2" s="748" t="s">
        <v>23</v>
      </c>
      <c r="AF2" s="749">
        <v>10</v>
      </c>
      <c r="AG2" s="767"/>
      <c r="AH2" s="748" t="s">
        <v>24</v>
      </c>
      <c r="AI2" s="749">
        <v>11</v>
      </c>
      <c r="AJ2" s="767"/>
      <c r="AK2" s="748" t="s">
        <v>25</v>
      </c>
      <c r="AL2" s="749">
        <v>12</v>
      </c>
      <c r="AM2" s="748"/>
      <c r="AN2" s="767">
        <v>13</v>
      </c>
      <c r="AO2" s="749">
        <v>14</v>
      </c>
      <c r="AP2" s="749">
        <v>15</v>
      </c>
      <c r="AQ2" s="767">
        <v>16</v>
      </c>
      <c r="AR2" s="748">
        <v>17</v>
      </c>
      <c r="AS2" s="748">
        <v>18</v>
      </c>
      <c r="AT2" s="748">
        <v>19</v>
      </c>
      <c r="AU2" s="5">
        <v>20</v>
      </c>
      <c r="AV2" s="5">
        <v>21</v>
      </c>
      <c r="AW2" s="5">
        <v>22</v>
      </c>
      <c r="AX2" s="5">
        <v>23</v>
      </c>
      <c r="AY2" s="751">
        <v>24</v>
      </c>
      <c r="AZ2" s="5"/>
      <c r="BA2" s="5"/>
      <c r="BB2" s="5"/>
      <c r="BC2" s="5"/>
      <c r="BD2" s="5"/>
      <c r="BE2" s="5"/>
      <c r="BF2" s="5"/>
      <c r="BG2" s="5"/>
      <c r="BH2" s="5"/>
      <c r="BI2" s="5"/>
      <c r="BJ2" s="5"/>
      <c r="BK2" s="5"/>
      <c r="BL2" s="5"/>
      <c r="BM2" s="5"/>
    </row>
    <row r="3" spans="2:66" x14ac:dyDescent="0.3">
      <c r="B3" s="1793"/>
      <c r="C3" s="750" t="s">
        <v>12</v>
      </c>
      <c r="D3" s="5" t="s">
        <v>13</v>
      </c>
      <c r="E3" s="751" t="s">
        <v>408</v>
      </c>
      <c r="F3" s="750" t="s">
        <v>12</v>
      </c>
      <c r="G3" s="5" t="s">
        <v>13</v>
      </c>
      <c r="H3" s="751" t="s">
        <v>408</v>
      </c>
      <c r="I3" s="750" t="s">
        <v>12</v>
      </c>
      <c r="J3" s="5" t="s">
        <v>13</v>
      </c>
      <c r="K3" s="751" t="s">
        <v>408</v>
      </c>
      <c r="L3" s="750" t="s">
        <v>12</v>
      </c>
      <c r="M3" s="5" t="s">
        <v>13</v>
      </c>
      <c r="N3" s="751" t="s">
        <v>408</v>
      </c>
      <c r="O3" s="750" t="s">
        <v>12</v>
      </c>
      <c r="P3" s="5" t="s">
        <v>13</v>
      </c>
      <c r="Q3" s="751" t="s">
        <v>408</v>
      </c>
      <c r="R3" s="750" t="s">
        <v>12</v>
      </c>
      <c r="S3" s="5" t="s">
        <v>13</v>
      </c>
      <c r="T3" s="751" t="s">
        <v>408</v>
      </c>
      <c r="U3" s="750" t="s">
        <v>12</v>
      </c>
      <c r="V3" s="5" t="s">
        <v>13</v>
      </c>
      <c r="W3" s="751" t="s">
        <v>408</v>
      </c>
      <c r="X3" s="750" t="s">
        <v>12</v>
      </c>
      <c r="Y3" s="5" t="s">
        <v>13</v>
      </c>
      <c r="Z3" s="751" t="s">
        <v>408</v>
      </c>
      <c r="AA3" s="750" t="s">
        <v>12</v>
      </c>
      <c r="AB3" s="5" t="s">
        <v>13</v>
      </c>
      <c r="AC3" s="751" t="s">
        <v>408</v>
      </c>
      <c r="AD3" s="750" t="s">
        <v>12</v>
      </c>
      <c r="AE3" s="5" t="s">
        <v>13</v>
      </c>
      <c r="AF3" s="751" t="s">
        <v>408</v>
      </c>
      <c r="AG3" s="750" t="s">
        <v>12</v>
      </c>
      <c r="AH3" s="5" t="s">
        <v>13</v>
      </c>
      <c r="AI3" s="751" t="s">
        <v>408</v>
      </c>
      <c r="AJ3" s="750" t="s">
        <v>12</v>
      </c>
      <c r="AK3" s="5" t="s">
        <v>13</v>
      </c>
      <c r="AL3" s="751" t="s">
        <v>408</v>
      </c>
      <c r="AM3" s="5" t="s">
        <v>527</v>
      </c>
      <c r="AN3" s="772">
        <v>44562</v>
      </c>
      <c r="AO3" s="772">
        <v>44593</v>
      </c>
      <c r="AP3" s="772">
        <v>44621</v>
      </c>
      <c r="AQ3" s="799">
        <v>44652</v>
      </c>
      <c r="AR3" s="772">
        <v>44682</v>
      </c>
      <c r="AS3" s="799">
        <v>44713</v>
      </c>
      <c r="AT3" s="799">
        <v>44743</v>
      </c>
      <c r="AU3" s="799">
        <v>44774</v>
      </c>
      <c r="AV3" s="772">
        <v>44805</v>
      </c>
      <c r="AW3" s="799">
        <v>44856</v>
      </c>
      <c r="AX3" s="799">
        <v>44887</v>
      </c>
      <c r="AY3" s="772">
        <v>44917</v>
      </c>
      <c r="AZ3" s="772">
        <v>44948</v>
      </c>
      <c r="BA3" s="772">
        <v>44979</v>
      </c>
      <c r="BB3" s="772">
        <v>45007</v>
      </c>
      <c r="BC3" s="772">
        <v>45017</v>
      </c>
      <c r="BD3" s="772">
        <f>DATE(YEAR(BC3),MONTH(BC3)+1,1)</f>
        <v>45047</v>
      </c>
      <c r="BE3" s="772">
        <f t="shared" ref="BE3:BK3" si="0">DATE(YEAR(BD3),MONTH(BD3)+1,1)</f>
        <v>45078</v>
      </c>
      <c r="BF3" s="772">
        <f t="shared" si="0"/>
        <v>45108</v>
      </c>
      <c r="BG3" s="772">
        <f t="shared" si="0"/>
        <v>45139</v>
      </c>
      <c r="BH3" s="772">
        <f t="shared" si="0"/>
        <v>45170</v>
      </c>
      <c r="BI3" s="772">
        <f t="shared" si="0"/>
        <v>45200</v>
      </c>
      <c r="BJ3" s="772">
        <f t="shared" si="0"/>
        <v>45231</v>
      </c>
      <c r="BK3" s="772">
        <f t="shared" si="0"/>
        <v>45261</v>
      </c>
      <c r="BL3" s="772" t="s">
        <v>893</v>
      </c>
      <c r="BM3" s="772" t="s">
        <v>540</v>
      </c>
      <c r="BN3" s="30"/>
    </row>
    <row r="4" spans="2:66" ht="18" hidden="1" customHeight="1" x14ac:dyDescent="0.3">
      <c r="B4" s="7" t="s">
        <v>32</v>
      </c>
      <c r="C4" s="752"/>
      <c r="D4" s="1"/>
      <c r="E4" s="753"/>
      <c r="F4" s="752"/>
      <c r="G4" s="1"/>
      <c r="H4" s="753"/>
      <c r="I4" s="752"/>
      <c r="J4" s="1"/>
      <c r="K4" s="753"/>
      <c r="L4" s="752"/>
      <c r="M4" s="1"/>
      <c r="N4" s="753"/>
      <c r="O4" s="752"/>
      <c r="P4" s="1"/>
      <c r="Q4" s="753"/>
      <c r="R4" s="752"/>
      <c r="S4" s="1"/>
      <c r="T4" s="753"/>
      <c r="U4" s="752"/>
      <c r="V4" s="1"/>
      <c r="W4" s="753"/>
      <c r="X4" s="752"/>
      <c r="Y4" s="1"/>
      <c r="Z4" s="753"/>
      <c r="AA4" s="752"/>
      <c r="AB4" s="1"/>
      <c r="AC4" s="753"/>
      <c r="AD4" s="752"/>
      <c r="AE4" s="1"/>
      <c r="AF4" s="753"/>
      <c r="AG4" s="752"/>
      <c r="AH4" s="1"/>
      <c r="AI4" s="753"/>
      <c r="AJ4" s="752"/>
      <c r="AK4" s="1"/>
      <c r="AL4" s="753"/>
      <c r="AM4" s="1"/>
      <c r="AN4" s="752"/>
      <c r="AO4" s="1"/>
      <c r="AP4" s="753"/>
      <c r="AQ4" s="752"/>
      <c r="AR4" s="1"/>
      <c r="AS4" s="753"/>
      <c r="AT4" s="1"/>
      <c r="AU4" s="904"/>
      <c r="AV4" s="904"/>
      <c r="AW4" s="904"/>
      <c r="AX4" s="904"/>
      <c r="AY4" s="905"/>
      <c r="AZ4" s="1"/>
      <c r="BA4" s="1"/>
      <c r="BB4" s="1"/>
      <c r="BC4" s="1"/>
      <c r="BD4" s="1"/>
      <c r="BE4" s="1"/>
      <c r="BF4" s="1"/>
      <c r="BG4" s="1"/>
      <c r="BH4" s="1"/>
      <c r="BI4" s="1"/>
      <c r="BJ4" s="1"/>
      <c r="BK4" s="1"/>
      <c r="BL4" s="1"/>
    </row>
    <row r="5" spans="2:66" hidden="1" x14ac:dyDescent="0.3">
      <c r="B5" t="s">
        <v>792</v>
      </c>
      <c r="C5" s="754">
        <v>60</v>
      </c>
      <c r="D5" s="8">
        <v>15</v>
      </c>
      <c r="E5" s="755">
        <v>78.13</v>
      </c>
      <c r="F5" s="754">
        <v>186</v>
      </c>
      <c r="G5" s="8">
        <v>30</v>
      </c>
      <c r="H5" s="755">
        <v>233.28</v>
      </c>
      <c r="I5" s="754">
        <v>49</v>
      </c>
      <c r="J5" s="8">
        <v>275</v>
      </c>
      <c r="K5" s="755">
        <v>150.17999999999989</v>
      </c>
      <c r="L5" s="754">
        <v>120</v>
      </c>
      <c r="M5" s="8"/>
      <c r="N5" s="755">
        <v>226.4800000000001</v>
      </c>
      <c r="O5" s="754"/>
      <c r="P5" s="8">
        <v>142</v>
      </c>
      <c r="Q5" s="755">
        <v>346.20999999999992</v>
      </c>
      <c r="R5" s="754">
        <v>75</v>
      </c>
      <c r="S5" s="8">
        <v>165</v>
      </c>
      <c r="T5" s="755">
        <v>173.80999999999989</v>
      </c>
      <c r="U5" s="754">
        <v>54</v>
      </c>
      <c r="V5" s="8">
        <v>54</v>
      </c>
      <c r="W5" s="755">
        <v>230.76</v>
      </c>
      <c r="X5" s="754">
        <v>92</v>
      </c>
      <c r="Y5" s="8">
        <v>24</v>
      </c>
      <c r="Z5" s="755">
        <v>221.57000000000019</v>
      </c>
      <c r="AA5" s="754">
        <v>174</v>
      </c>
      <c r="AB5" s="8">
        <v>224</v>
      </c>
      <c r="AC5" s="755">
        <v>198.76</v>
      </c>
      <c r="AD5" s="754">
        <v>8</v>
      </c>
      <c r="AE5" s="8">
        <v>169</v>
      </c>
      <c r="AF5" s="755">
        <v>309.05999999999972</v>
      </c>
      <c r="AG5" s="754">
        <v>103</v>
      </c>
      <c r="AH5" s="8"/>
      <c r="AI5" s="755">
        <v>371.98</v>
      </c>
      <c r="AJ5" s="754"/>
      <c r="AK5" s="8"/>
      <c r="AL5" s="755">
        <v>201.8100000000004</v>
      </c>
      <c r="AM5" s="730">
        <v>2742.03</v>
      </c>
      <c r="AN5" s="1026">
        <v>0</v>
      </c>
      <c r="AO5" s="1026">
        <v>0</v>
      </c>
      <c r="AP5" s="1026">
        <v>0</v>
      </c>
      <c r="AQ5" s="1024">
        <v>0</v>
      </c>
      <c r="AR5" s="1026">
        <v>0</v>
      </c>
      <c r="AS5" s="1026">
        <v>0</v>
      </c>
      <c r="AT5" s="1024">
        <v>0</v>
      </c>
      <c r="AU5" s="1026">
        <v>0</v>
      </c>
      <c r="AV5" s="1026">
        <v>0</v>
      </c>
      <c r="AW5" s="1026">
        <v>0</v>
      </c>
      <c r="AX5" s="1026">
        <v>0</v>
      </c>
      <c r="AY5" s="1025">
        <v>0</v>
      </c>
      <c r="AZ5" s="1026">
        <v>0</v>
      </c>
      <c r="BA5" s="1026">
        <v>0</v>
      </c>
      <c r="BB5" s="1026"/>
      <c r="BC5" s="1026"/>
      <c r="BD5" s="1026"/>
      <c r="BE5" s="1026"/>
      <c r="BF5" s="1026"/>
      <c r="BG5" s="1026"/>
      <c r="BH5" s="1026"/>
      <c r="BI5" s="1026"/>
      <c r="BJ5" s="1026"/>
      <c r="BK5" s="1026"/>
      <c r="BL5" s="1026">
        <f t="shared" ref="BL5:BL17" si="1">SUM(AZ5:AZ5)</f>
        <v>0</v>
      </c>
      <c r="BM5" s="314">
        <f t="shared" ref="BM5:BM17" si="2">SUM(AP5:AS5)</f>
        <v>0</v>
      </c>
      <c r="BN5" s="373"/>
    </row>
    <row r="6" spans="2:66" hidden="1" x14ac:dyDescent="0.3">
      <c r="B6" t="s">
        <v>793</v>
      </c>
      <c r="C6" s="754">
        <v>170</v>
      </c>
      <c r="D6" s="8">
        <v>147</v>
      </c>
      <c r="E6" s="755">
        <v>35</v>
      </c>
      <c r="F6" s="754">
        <v>170</v>
      </c>
      <c r="G6" s="8">
        <v>35</v>
      </c>
      <c r="H6" s="755">
        <v>35</v>
      </c>
      <c r="I6" s="754">
        <v>170</v>
      </c>
      <c r="J6" s="8">
        <v>294</v>
      </c>
      <c r="K6" s="755">
        <v>35</v>
      </c>
      <c r="L6" s="754">
        <v>169</v>
      </c>
      <c r="M6" s="8">
        <v>35</v>
      </c>
      <c r="N6" s="755">
        <v>35</v>
      </c>
      <c r="O6" s="754">
        <v>169</v>
      </c>
      <c r="P6" s="8">
        <v>294</v>
      </c>
      <c r="Q6" s="755">
        <v>35</v>
      </c>
      <c r="R6" s="754">
        <v>169</v>
      </c>
      <c r="S6" s="8">
        <v>204</v>
      </c>
      <c r="T6" s="755">
        <v>35</v>
      </c>
      <c r="U6" s="754">
        <v>172</v>
      </c>
      <c r="V6" s="8">
        <v>223</v>
      </c>
      <c r="W6" s="755">
        <v>52.5</v>
      </c>
      <c r="X6" s="754">
        <v>174</v>
      </c>
      <c r="Y6" s="8">
        <v>206</v>
      </c>
      <c r="Z6" s="755">
        <v>35</v>
      </c>
      <c r="AA6" s="754">
        <v>174</v>
      </c>
      <c r="AB6" s="8">
        <v>203</v>
      </c>
      <c r="AC6" s="755">
        <v>35</v>
      </c>
      <c r="AD6" s="754">
        <v>809</v>
      </c>
      <c r="AE6" s="8">
        <v>203</v>
      </c>
      <c r="AF6" s="755">
        <v>35</v>
      </c>
      <c r="AG6" s="754">
        <v>115</v>
      </c>
      <c r="AH6" s="8"/>
      <c r="AI6" s="755">
        <v>35</v>
      </c>
      <c r="AJ6" s="754">
        <v>130</v>
      </c>
      <c r="AK6" s="8"/>
      <c r="AL6" s="755">
        <v>52.5</v>
      </c>
      <c r="AM6" s="730">
        <v>455</v>
      </c>
      <c r="AN6" s="1026">
        <v>0</v>
      </c>
      <c r="AO6" s="1026">
        <v>0</v>
      </c>
      <c r="AP6" s="1026">
        <v>0</v>
      </c>
      <c r="AQ6" s="1024">
        <v>0</v>
      </c>
      <c r="AR6" s="1026">
        <v>0</v>
      </c>
      <c r="AS6" s="1026">
        <v>0</v>
      </c>
      <c r="AT6" s="1024">
        <v>0</v>
      </c>
      <c r="AU6" s="1026">
        <v>0</v>
      </c>
      <c r="AV6" s="1026">
        <v>0</v>
      </c>
      <c r="AW6" s="1026">
        <v>0</v>
      </c>
      <c r="AX6" s="1026">
        <v>0</v>
      </c>
      <c r="AY6" s="1025">
        <v>0</v>
      </c>
      <c r="AZ6" s="1026">
        <v>0</v>
      </c>
      <c r="BA6" s="1026">
        <v>0</v>
      </c>
      <c r="BB6" s="1026"/>
      <c r="BC6" s="1026"/>
      <c r="BD6" s="1026"/>
      <c r="BE6" s="1026"/>
      <c r="BF6" s="1026"/>
      <c r="BG6" s="1026"/>
      <c r="BH6" s="1026"/>
      <c r="BI6" s="1026"/>
      <c r="BJ6" s="1026"/>
      <c r="BK6" s="1026"/>
      <c r="BL6" s="1026">
        <f t="shared" si="1"/>
        <v>0</v>
      </c>
      <c r="BM6" s="314">
        <f t="shared" si="2"/>
        <v>0</v>
      </c>
    </row>
    <row r="7" spans="2:66" hidden="1" x14ac:dyDescent="0.3">
      <c r="B7" t="s">
        <v>794</v>
      </c>
      <c r="C7" s="757">
        <v>29885</v>
      </c>
      <c r="D7" s="12">
        <v>34352</v>
      </c>
      <c r="E7" s="755">
        <v>30972.57</v>
      </c>
      <c r="F7" s="757">
        <v>25467</v>
      </c>
      <c r="G7" s="12">
        <v>29831</v>
      </c>
      <c r="H7" s="755">
        <v>25569.470000000005</v>
      </c>
      <c r="I7" s="757">
        <v>26589</v>
      </c>
      <c r="J7" s="12">
        <v>32423</v>
      </c>
      <c r="K7" s="755">
        <v>22195.490000000009</v>
      </c>
      <c r="L7" s="757">
        <v>28763</v>
      </c>
      <c r="M7" s="12">
        <v>33974</v>
      </c>
      <c r="N7" s="755">
        <v>21639.55999999999</v>
      </c>
      <c r="O7" s="757">
        <v>31000</v>
      </c>
      <c r="P7" s="12">
        <v>31816</v>
      </c>
      <c r="Q7" s="755">
        <v>25539.180000000011</v>
      </c>
      <c r="R7" s="757">
        <v>27582</v>
      </c>
      <c r="S7" s="12">
        <v>32024</v>
      </c>
      <c r="T7" s="755">
        <v>26603.46999999999</v>
      </c>
      <c r="U7" s="757">
        <v>31040</v>
      </c>
      <c r="V7" s="12">
        <v>37464</v>
      </c>
      <c r="W7" s="755">
        <v>36242.87000000001</v>
      </c>
      <c r="X7" s="757">
        <v>30200</v>
      </c>
      <c r="Y7" s="12">
        <v>34749</v>
      </c>
      <c r="Z7" s="755">
        <v>29621.190000000017</v>
      </c>
      <c r="AA7" s="757">
        <v>29017</v>
      </c>
      <c r="AB7" s="12">
        <v>38422</v>
      </c>
      <c r="AC7" s="14">
        <v>26832.129999999997</v>
      </c>
      <c r="AD7" s="757">
        <v>32023</v>
      </c>
      <c r="AE7" s="12">
        <v>40396</v>
      </c>
      <c r="AF7" s="14">
        <v>27179.049999999959</v>
      </c>
      <c r="AG7" s="757">
        <v>29123</v>
      </c>
      <c r="AH7" s="12"/>
      <c r="AI7" s="14">
        <v>28034.160000000044</v>
      </c>
      <c r="AJ7" s="757">
        <v>30135</v>
      </c>
      <c r="AK7" s="12"/>
      <c r="AL7" s="14">
        <v>29621.000000000011</v>
      </c>
      <c r="AM7" s="730">
        <v>330050.14</v>
      </c>
      <c r="AN7" s="975">
        <v>0</v>
      </c>
      <c r="AO7" s="975">
        <v>0</v>
      </c>
      <c r="AP7" s="975">
        <v>0</v>
      </c>
      <c r="AQ7" s="973">
        <v>0</v>
      </c>
      <c r="AR7" s="975">
        <v>0</v>
      </c>
      <c r="AS7" s="975">
        <v>0</v>
      </c>
      <c r="AT7" s="973">
        <v>0</v>
      </c>
      <c r="AU7" s="975">
        <v>0</v>
      </c>
      <c r="AV7" s="975">
        <v>0</v>
      </c>
      <c r="AW7" s="975">
        <v>0</v>
      </c>
      <c r="AX7" s="975">
        <v>0</v>
      </c>
      <c r="AY7" s="974">
        <v>0</v>
      </c>
      <c r="AZ7" s="975">
        <v>0</v>
      </c>
      <c r="BA7" s="975">
        <v>0</v>
      </c>
      <c r="BB7" s="975"/>
      <c r="BC7" s="975"/>
      <c r="BD7" s="975"/>
      <c r="BE7" s="975"/>
      <c r="BF7" s="975"/>
      <c r="BG7" s="975"/>
      <c r="BH7" s="975"/>
      <c r="BI7" s="975"/>
      <c r="BJ7" s="975"/>
      <c r="BK7" s="975"/>
      <c r="BL7" s="1026">
        <f t="shared" si="1"/>
        <v>0</v>
      </c>
      <c r="BM7" s="314">
        <f t="shared" si="2"/>
        <v>0</v>
      </c>
    </row>
    <row r="8" spans="2:66" hidden="1" x14ac:dyDescent="0.3">
      <c r="B8" t="s">
        <v>914</v>
      </c>
      <c r="C8" s="757">
        <v>3880</v>
      </c>
      <c r="D8" s="12">
        <v>5467</v>
      </c>
      <c r="E8" s="755">
        <v>2650.2</v>
      </c>
      <c r="F8" s="757">
        <v>3430</v>
      </c>
      <c r="G8" s="12">
        <v>3012</v>
      </c>
      <c r="H8" s="755">
        <v>2016.5699999999997</v>
      </c>
      <c r="I8" s="757">
        <v>3378</v>
      </c>
      <c r="J8" s="12">
        <v>3862</v>
      </c>
      <c r="K8" s="755">
        <v>2150.54</v>
      </c>
      <c r="L8" s="757">
        <v>2721</v>
      </c>
      <c r="M8" s="12">
        <v>3311</v>
      </c>
      <c r="N8" s="755">
        <v>1945.4900000000007</v>
      </c>
      <c r="O8" s="757">
        <v>5114</v>
      </c>
      <c r="P8" s="12">
        <v>3280</v>
      </c>
      <c r="Q8" s="755">
        <v>2167.61</v>
      </c>
      <c r="R8" s="757">
        <v>3037</v>
      </c>
      <c r="S8" s="12">
        <v>3675</v>
      </c>
      <c r="T8" s="755">
        <v>2346.9100000000012</v>
      </c>
      <c r="U8" s="757">
        <v>3599</v>
      </c>
      <c r="V8" s="12">
        <v>3472</v>
      </c>
      <c r="W8" s="755">
        <v>2939.13</v>
      </c>
      <c r="X8" s="757">
        <v>1795</v>
      </c>
      <c r="Y8" s="12">
        <v>3025</v>
      </c>
      <c r="Z8" s="755">
        <v>2500.6399999999994</v>
      </c>
      <c r="AA8" s="757">
        <v>2928</v>
      </c>
      <c r="AB8" s="12">
        <v>3730</v>
      </c>
      <c r="AC8" s="14">
        <v>2260.91</v>
      </c>
      <c r="AD8" s="757">
        <v>2862</v>
      </c>
      <c r="AE8" s="12">
        <v>3459</v>
      </c>
      <c r="AF8" s="14">
        <v>2281.7899999999986</v>
      </c>
      <c r="AG8" s="757">
        <v>2779</v>
      </c>
      <c r="AH8" s="12"/>
      <c r="AI8" s="14">
        <v>2439.0600000000022</v>
      </c>
      <c r="AJ8" s="757">
        <v>3394</v>
      </c>
      <c r="AK8" s="12"/>
      <c r="AL8" s="14">
        <v>2852.380000000001</v>
      </c>
      <c r="AM8" s="730">
        <v>28551.23</v>
      </c>
      <c r="AN8" s="975">
        <v>0</v>
      </c>
      <c r="AO8" s="975">
        <v>0</v>
      </c>
      <c r="AP8" s="975">
        <v>0</v>
      </c>
      <c r="AQ8" s="973">
        <v>0</v>
      </c>
      <c r="AR8" s="975">
        <v>0</v>
      </c>
      <c r="AS8" s="975">
        <v>0</v>
      </c>
      <c r="AT8" s="973">
        <v>0</v>
      </c>
      <c r="AU8" s="975">
        <v>0</v>
      </c>
      <c r="AV8" s="975">
        <v>0</v>
      </c>
      <c r="AW8" s="975">
        <v>0</v>
      </c>
      <c r="AX8" s="975">
        <v>0</v>
      </c>
      <c r="AY8" s="974">
        <v>0</v>
      </c>
      <c r="AZ8" s="975">
        <v>0</v>
      </c>
      <c r="BA8" s="975">
        <v>0</v>
      </c>
      <c r="BB8" s="975"/>
      <c r="BC8" s="975"/>
      <c r="BD8" s="975"/>
      <c r="BE8" s="975"/>
      <c r="BF8" s="975"/>
      <c r="BG8" s="975"/>
      <c r="BH8" s="975"/>
      <c r="BI8" s="975"/>
      <c r="BJ8" s="975"/>
      <c r="BK8" s="975"/>
      <c r="BL8" s="1026">
        <f t="shared" si="1"/>
        <v>0</v>
      </c>
      <c r="BM8" s="314">
        <f t="shared" si="2"/>
        <v>0</v>
      </c>
    </row>
    <row r="9" spans="2:66" hidden="1" x14ac:dyDescent="0.3">
      <c r="B9" t="s">
        <v>796</v>
      </c>
      <c r="C9" s="757"/>
      <c r="D9" s="12">
        <v>238</v>
      </c>
      <c r="E9" s="755">
        <v>112.19</v>
      </c>
      <c r="F9" s="757"/>
      <c r="G9" s="12">
        <v>238</v>
      </c>
      <c r="H9" s="755"/>
      <c r="I9" s="757"/>
      <c r="J9" s="12">
        <v>238</v>
      </c>
      <c r="K9" s="755"/>
      <c r="L9" s="757"/>
      <c r="M9" s="12">
        <v>238</v>
      </c>
      <c r="N9" s="755"/>
      <c r="O9" s="757">
        <v>420</v>
      </c>
      <c r="P9" s="12">
        <v>360</v>
      </c>
      <c r="Q9" s="755">
        <v>143.44999999999999</v>
      </c>
      <c r="R9" s="757">
        <v>378</v>
      </c>
      <c r="S9" s="12">
        <v>112</v>
      </c>
      <c r="T9" s="755">
        <v>129.91</v>
      </c>
      <c r="U9" s="757">
        <v>378</v>
      </c>
      <c r="V9" s="12">
        <v>112</v>
      </c>
      <c r="W9" s="755">
        <v>129.91</v>
      </c>
      <c r="X9" s="757">
        <v>94</v>
      </c>
      <c r="Y9" s="12">
        <v>112</v>
      </c>
      <c r="Z9" s="755">
        <v>455.20999999999992</v>
      </c>
      <c r="AA9" s="757">
        <v>-1185</v>
      </c>
      <c r="AB9" s="12">
        <v>112</v>
      </c>
      <c r="AC9" s="14">
        <v>129.91</v>
      </c>
      <c r="AD9" s="757">
        <v>77</v>
      </c>
      <c r="AE9" s="12">
        <v>871</v>
      </c>
      <c r="AF9" s="14">
        <v>129.91000000000011</v>
      </c>
      <c r="AG9" s="757">
        <v>238</v>
      </c>
      <c r="AH9" s="12">
        <v>112</v>
      </c>
      <c r="AI9" s="14">
        <v>129.91000000000011</v>
      </c>
      <c r="AJ9" s="757">
        <v>238</v>
      </c>
      <c r="AK9" s="12">
        <v>112</v>
      </c>
      <c r="AL9" s="14">
        <v>-266.7700000000001</v>
      </c>
      <c r="AM9" s="730">
        <v>1093.6300000000001</v>
      </c>
      <c r="AN9" s="1026">
        <v>0</v>
      </c>
      <c r="AO9" s="1026">
        <v>0</v>
      </c>
      <c r="AP9" s="1026">
        <v>0</v>
      </c>
      <c r="AQ9" s="1024">
        <v>0</v>
      </c>
      <c r="AR9" s="1026">
        <v>0</v>
      </c>
      <c r="AS9" s="1026">
        <v>0</v>
      </c>
      <c r="AT9" s="1024">
        <v>0</v>
      </c>
      <c r="AU9" s="1026">
        <v>0</v>
      </c>
      <c r="AV9" s="1026">
        <v>0</v>
      </c>
      <c r="AW9" s="1026">
        <v>0</v>
      </c>
      <c r="AX9" s="1026">
        <v>0</v>
      </c>
      <c r="AY9" s="1025">
        <v>0</v>
      </c>
      <c r="AZ9" s="1026">
        <v>0</v>
      </c>
      <c r="BA9" s="1026">
        <v>0</v>
      </c>
      <c r="BB9" s="1026"/>
      <c r="BC9" s="1026"/>
      <c r="BD9" s="1026"/>
      <c r="BE9" s="1026"/>
      <c r="BF9" s="1026"/>
      <c r="BG9" s="1026"/>
      <c r="BH9" s="1026"/>
      <c r="BI9" s="1026"/>
      <c r="BJ9" s="1026"/>
      <c r="BK9" s="1026"/>
      <c r="BL9" s="1026">
        <f t="shared" si="1"/>
        <v>0</v>
      </c>
      <c r="BM9" s="314">
        <f t="shared" si="2"/>
        <v>0</v>
      </c>
    </row>
    <row r="10" spans="2:66" hidden="1" x14ac:dyDescent="0.3">
      <c r="B10" t="s">
        <v>797</v>
      </c>
      <c r="C10" s="757">
        <v>1954</v>
      </c>
      <c r="D10" s="12">
        <v>2415</v>
      </c>
      <c r="E10" s="755">
        <v>2682.28</v>
      </c>
      <c r="F10" s="757">
        <v>1954</v>
      </c>
      <c r="G10" s="12">
        <v>2091</v>
      </c>
      <c r="H10" s="755">
        <v>1870.26</v>
      </c>
      <c r="I10" s="757">
        <v>1954</v>
      </c>
      <c r="J10" s="12">
        <v>2415</v>
      </c>
      <c r="K10" s="755">
        <v>1870.24</v>
      </c>
      <c r="L10" s="757">
        <v>1954</v>
      </c>
      <c r="M10" s="12">
        <v>2415</v>
      </c>
      <c r="N10" s="755">
        <v>1870.2400000000009</v>
      </c>
      <c r="O10" s="757">
        <v>1954</v>
      </c>
      <c r="P10" s="12">
        <v>2415</v>
      </c>
      <c r="Q10" s="755">
        <v>1335.559999999999</v>
      </c>
      <c r="R10" s="757">
        <v>2199</v>
      </c>
      <c r="S10" s="12">
        <v>2415</v>
      </c>
      <c r="T10" s="755">
        <v>1602.9</v>
      </c>
      <c r="U10" s="757">
        <v>1927</v>
      </c>
      <c r="V10" s="12">
        <v>2415</v>
      </c>
      <c r="W10" s="755">
        <v>1602.9</v>
      </c>
      <c r="X10" s="757">
        <v>2199</v>
      </c>
      <c r="Y10" s="12">
        <v>2415</v>
      </c>
      <c r="Z10" s="755">
        <v>2137.5600000000009</v>
      </c>
      <c r="AA10" s="757">
        <v>2199</v>
      </c>
      <c r="AB10" s="12">
        <v>2415</v>
      </c>
      <c r="AC10" s="14">
        <v>2137.559999999999</v>
      </c>
      <c r="AD10" s="757">
        <v>2199</v>
      </c>
      <c r="AE10" s="12">
        <v>2415</v>
      </c>
      <c r="AF10" s="14">
        <v>2404.889999999999</v>
      </c>
      <c r="AG10" s="757">
        <v>2199</v>
      </c>
      <c r="AH10" s="12">
        <v>2415</v>
      </c>
      <c r="AI10" s="14">
        <v>2137.5600000000009</v>
      </c>
      <c r="AJ10" s="757">
        <v>2199</v>
      </c>
      <c r="AK10" s="12">
        <v>2415</v>
      </c>
      <c r="AL10" s="14">
        <v>2137.5599999999981</v>
      </c>
      <c r="AM10" s="730">
        <v>23789.51</v>
      </c>
      <c r="AN10" s="975">
        <v>0</v>
      </c>
      <c r="AO10" s="975">
        <v>0</v>
      </c>
      <c r="AP10" s="975">
        <v>0</v>
      </c>
      <c r="AQ10" s="973">
        <v>0</v>
      </c>
      <c r="AR10" s="975">
        <v>0</v>
      </c>
      <c r="AS10" s="975">
        <v>0</v>
      </c>
      <c r="AT10" s="973">
        <v>0</v>
      </c>
      <c r="AU10" s="975">
        <v>0</v>
      </c>
      <c r="AV10" s="975">
        <v>0</v>
      </c>
      <c r="AW10" s="975">
        <v>0</v>
      </c>
      <c r="AX10" s="975">
        <v>0</v>
      </c>
      <c r="AY10" s="974">
        <v>0</v>
      </c>
      <c r="AZ10" s="975">
        <v>0</v>
      </c>
      <c r="BA10" s="975">
        <v>0</v>
      </c>
      <c r="BB10" s="975"/>
      <c r="BC10" s="975"/>
      <c r="BD10" s="975"/>
      <c r="BE10" s="975"/>
      <c r="BF10" s="975"/>
      <c r="BG10" s="975"/>
      <c r="BH10" s="975"/>
      <c r="BI10" s="975"/>
      <c r="BJ10" s="975"/>
      <c r="BK10" s="975"/>
      <c r="BL10" s="1026">
        <f t="shared" si="1"/>
        <v>0</v>
      </c>
      <c r="BM10" s="314">
        <f t="shared" si="2"/>
        <v>0</v>
      </c>
    </row>
    <row r="11" spans="2:66" hidden="1" x14ac:dyDescent="0.3">
      <c r="B11" t="s">
        <v>798</v>
      </c>
      <c r="C11" s="757">
        <v>15617</v>
      </c>
      <c r="D11" s="12">
        <v>7675</v>
      </c>
      <c r="E11" s="755">
        <v>1672</v>
      </c>
      <c r="F11" s="757">
        <v>17346</v>
      </c>
      <c r="G11" s="12">
        <v>18469</v>
      </c>
      <c r="H11" s="755">
        <v>2688</v>
      </c>
      <c r="I11" s="757">
        <v>8639</v>
      </c>
      <c r="J11" s="12">
        <v>8071</v>
      </c>
      <c r="K11" s="755">
        <v>4800</v>
      </c>
      <c r="L11" s="757">
        <v>21705</v>
      </c>
      <c r="M11" s="12">
        <v>11782</v>
      </c>
      <c r="N11" s="755">
        <v>3568</v>
      </c>
      <c r="O11" s="757">
        <v>15593</v>
      </c>
      <c r="P11" s="12">
        <v>11723</v>
      </c>
      <c r="Q11" s="755">
        <v>4814</v>
      </c>
      <c r="R11" s="757">
        <v>17436</v>
      </c>
      <c r="S11" s="12">
        <v>15099</v>
      </c>
      <c r="T11" s="755">
        <v>3542</v>
      </c>
      <c r="U11" s="757">
        <v>8653</v>
      </c>
      <c r="V11" s="12">
        <v>7025</v>
      </c>
      <c r="W11" s="755">
        <v>3989</v>
      </c>
      <c r="X11" s="757">
        <v>10730</v>
      </c>
      <c r="Y11" s="12">
        <v>11917</v>
      </c>
      <c r="Z11" s="755">
        <v>3851</v>
      </c>
      <c r="AA11" s="757">
        <v>6864</v>
      </c>
      <c r="AB11" s="12">
        <v>7980</v>
      </c>
      <c r="AC11" s="14">
        <v>3779</v>
      </c>
      <c r="AD11" s="757">
        <v>9965</v>
      </c>
      <c r="AE11" s="12">
        <v>7242</v>
      </c>
      <c r="AF11" s="14">
        <v>4992</v>
      </c>
      <c r="AG11" s="757">
        <v>12784</v>
      </c>
      <c r="AH11" s="12"/>
      <c r="AI11" s="14">
        <v>4477</v>
      </c>
      <c r="AJ11" s="757">
        <v>27910</v>
      </c>
      <c r="AK11" s="12"/>
      <c r="AL11" s="14">
        <v>4347</v>
      </c>
      <c r="AM11" s="730">
        <v>46519</v>
      </c>
      <c r="AN11" s="1026">
        <v>0</v>
      </c>
      <c r="AO11" s="1026">
        <v>0</v>
      </c>
      <c r="AP11" s="1026">
        <v>0</v>
      </c>
      <c r="AQ11" s="1024">
        <v>0</v>
      </c>
      <c r="AR11" s="1026">
        <v>0</v>
      </c>
      <c r="AS11" s="1026">
        <v>0</v>
      </c>
      <c r="AT11" s="1024">
        <v>0</v>
      </c>
      <c r="AU11" s="1026">
        <v>0</v>
      </c>
      <c r="AV11" s="1026">
        <v>0</v>
      </c>
      <c r="AW11" s="1026">
        <v>0</v>
      </c>
      <c r="AX11" s="1026">
        <v>0</v>
      </c>
      <c r="AY11" s="1025">
        <v>0</v>
      </c>
      <c r="AZ11" s="1026">
        <v>0</v>
      </c>
      <c r="BA11" s="1026">
        <v>0</v>
      </c>
      <c r="BB11" s="1026"/>
      <c r="BC11" s="1026"/>
      <c r="BD11" s="1026"/>
      <c r="BE11" s="1026"/>
      <c r="BF11" s="1026"/>
      <c r="BG11" s="1026"/>
      <c r="BH11" s="1026"/>
      <c r="BI11" s="1026"/>
      <c r="BJ11" s="1026"/>
      <c r="BK11" s="1026"/>
      <c r="BL11" s="1026">
        <f t="shared" si="1"/>
        <v>0</v>
      </c>
      <c r="BM11" s="314">
        <f t="shared" si="2"/>
        <v>0</v>
      </c>
    </row>
    <row r="12" spans="2:66" hidden="1" x14ac:dyDescent="0.3">
      <c r="B12" t="s">
        <v>799</v>
      </c>
      <c r="C12" s="759"/>
      <c r="E12" s="755">
        <v>556</v>
      </c>
      <c r="F12" s="759"/>
      <c r="H12" s="755">
        <v>556</v>
      </c>
      <c r="I12" s="759"/>
      <c r="K12" s="755">
        <v>556</v>
      </c>
      <c r="L12" s="759"/>
      <c r="N12" s="755">
        <v>556</v>
      </c>
      <c r="O12" s="759"/>
      <c r="Q12" s="755">
        <v>556</v>
      </c>
      <c r="R12" s="759"/>
      <c r="T12" s="755">
        <v>556</v>
      </c>
      <c r="U12" s="759"/>
      <c r="W12" s="755">
        <v>556</v>
      </c>
      <c r="X12" s="759"/>
      <c r="Z12" s="755">
        <v>230.9200000000001</v>
      </c>
      <c r="AA12" s="759"/>
      <c r="AC12" s="14">
        <v>556</v>
      </c>
      <c r="AD12" s="759"/>
      <c r="AF12" s="14">
        <v>556</v>
      </c>
      <c r="AG12" s="759"/>
      <c r="AI12" s="14">
        <v>556</v>
      </c>
      <c r="AJ12" s="759"/>
      <c r="AL12" s="14">
        <v>556</v>
      </c>
      <c r="AM12" s="730">
        <v>6346.92</v>
      </c>
      <c r="AN12" s="1026">
        <v>0</v>
      </c>
      <c r="AO12" s="1026">
        <v>0</v>
      </c>
      <c r="AP12" s="1026">
        <v>0</v>
      </c>
      <c r="AQ12" s="1024">
        <v>0</v>
      </c>
      <c r="AR12" s="1026">
        <v>0</v>
      </c>
      <c r="AS12" s="1026">
        <v>0</v>
      </c>
      <c r="AT12" s="1024">
        <v>0</v>
      </c>
      <c r="AU12" s="1026">
        <v>0</v>
      </c>
      <c r="AV12" s="1026">
        <v>0</v>
      </c>
      <c r="AW12" s="1026">
        <v>0</v>
      </c>
      <c r="AX12" s="1026">
        <v>0</v>
      </c>
      <c r="AY12" s="1025">
        <v>0</v>
      </c>
      <c r="AZ12" s="1026">
        <v>0</v>
      </c>
      <c r="BA12" s="1026">
        <v>0</v>
      </c>
      <c r="BB12" s="1026"/>
      <c r="BC12" s="1026"/>
      <c r="BD12" s="1026"/>
      <c r="BE12" s="1026"/>
      <c r="BF12" s="1026"/>
      <c r="BG12" s="1026"/>
      <c r="BH12" s="1026"/>
      <c r="BI12" s="1026"/>
      <c r="BJ12" s="1026"/>
      <c r="BK12" s="1026"/>
      <c r="BL12" s="1026">
        <f t="shared" si="1"/>
        <v>0</v>
      </c>
      <c r="BM12" s="314">
        <f t="shared" si="2"/>
        <v>0</v>
      </c>
    </row>
    <row r="13" spans="2:66" hidden="1" x14ac:dyDescent="0.3">
      <c r="B13" t="s">
        <v>800</v>
      </c>
      <c r="C13" s="759"/>
      <c r="E13" s="756"/>
      <c r="F13" s="759"/>
      <c r="H13" s="756"/>
      <c r="I13" s="759"/>
      <c r="K13" s="756"/>
      <c r="L13" s="759"/>
      <c r="N13" s="756"/>
      <c r="O13" s="759"/>
      <c r="Q13" s="756">
        <v>1385.49</v>
      </c>
      <c r="R13" s="759"/>
      <c r="T13" s="756">
        <v>230.9200000000001</v>
      </c>
      <c r="U13" s="759"/>
      <c r="W13" s="756">
        <v>230.91999999999979</v>
      </c>
      <c r="X13" s="759"/>
      <c r="Z13" s="756"/>
      <c r="AA13" s="759"/>
      <c r="AC13" s="13">
        <v>230.9200000000001</v>
      </c>
      <c r="AD13" s="759"/>
      <c r="AF13" s="13">
        <v>230.9200000000001</v>
      </c>
      <c r="AG13" s="759"/>
      <c r="AI13" s="13">
        <v>230.9200000000001</v>
      </c>
      <c r="AJ13" s="759"/>
      <c r="AL13" s="13">
        <v>230.91999999999959</v>
      </c>
      <c r="AM13" s="730">
        <v>2771.0099999999998</v>
      </c>
      <c r="AN13" s="1026">
        <v>0</v>
      </c>
      <c r="AO13" s="1026">
        <v>0</v>
      </c>
      <c r="AP13" s="1026">
        <v>0</v>
      </c>
      <c r="AQ13" s="1024">
        <v>0</v>
      </c>
      <c r="AR13" s="1026">
        <v>0</v>
      </c>
      <c r="AS13" s="1026">
        <v>0</v>
      </c>
      <c r="AT13" s="1024">
        <v>0</v>
      </c>
      <c r="AU13" s="1026">
        <v>0</v>
      </c>
      <c r="AV13" s="1026">
        <v>0</v>
      </c>
      <c r="AW13" s="1026">
        <v>0</v>
      </c>
      <c r="AX13" s="1026">
        <v>0</v>
      </c>
      <c r="AY13" s="1025">
        <v>0</v>
      </c>
      <c r="AZ13" s="1026">
        <v>0</v>
      </c>
      <c r="BA13" s="1026">
        <v>0</v>
      </c>
      <c r="BB13" s="1026"/>
      <c r="BC13" s="1026"/>
      <c r="BD13" s="1026"/>
      <c r="BE13" s="1026"/>
      <c r="BF13" s="1026"/>
      <c r="BG13" s="1026"/>
      <c r="BH13" s="1026"/>
      <c r="BI13" s="1026"/>
      <c r="BJ13" s="1026"/>
      <c r="BK13" s="1026"/>
      <c r="BL13" s="1026">
        <f t="shared" si="1"/>
        <v>0</v>
      </c>
      <c r="BM13" s="314">
        <f t="shared" si="2"/>
        <v>0</v>
      </c>
    </row>
    <row r="14" spans="2:66" hidden="1" x14ac:dyDescent="0.3">
      <c r="B14" t="s">
        <v>801</v>
      </c>
      <c r="C14" s="759"/>
      <c r="E14" s="756"/>
      <c r="F14" s="759"/>
      <c r="H14" s="756"/>
      <c r="I14" s="759"/>
      <c r="K14" s="756"/>
      <c r="L14" s="759"/>
      <c r="N14" s="756"/>
      <c r="O14" s="759"/>
      <c r="Q14" s="756"/>
      <c r="R14" s="759"/>
      <c r="T14" s="756"/>
      <c r="U14" s="759"/>
      <c r="W14" s="756"/>
      <c r="X14" s="759"/>
      <c r="Z14" s="756"/>
      <c r="AA14" s="759"/>
      <c r="AC14" s="756"/>
      <c r="AD14" s="759"/>
      <c r="AF14" s="756"/>
      <c r="AG14" s="759"/>
      <c r="AI14" s="756"/>
      <c r="AJ14" s="759"/>
      <c r="AL14" s="756">
        <v>5127.5600000000004</v>
      </c>
      <c r="AM14" s="730">
        <v>5127.5600000000004</v>
      </c>
      <c r="AN14" s="1026">
        <v>0</v>
      </c>
      <c r="AO14" s="1026">
        <v>0</v>
      </c>
      <c r="AP14" s="1026">
        <v>0</v>
      </c>
      <c r="AQ14" s="1024">
        <v>0</v>
      </c>
      <c r="AR14" s="1026">
        <v>0</v>
      </c>
      <c r="AS14" s="1026">
        <v>0</v>
      </c>
      <c r="AT14" s="1024">
        <v>0</v>
      </c>
      <c r="AU14" s="1026">
        <v>0</v>
      </c>
      <c r="AV14" s="1026">
        <v>0</v>
      </c>
      <c r="AW14" s="1026">
        <v>0</v>
      </c>
      <c r="AX14" s="1026">
        <v>0</v>
      </c>
      <c r="AY14" s="1025">
        <v>0</v>
      </c>
      <c r="AZ14" s="1026">
        <v>0</v>
      </c>
      <c r="BA14" s="1026">
        <v>0</v>
      </c>
      <c r="BB14" s="1026"/>
      <c r="BC14" s="1026"/>
      <c r="BD14" s="1026"/>
      <c r="BE14" s="1026"/>
      <c r="BF14" s="1026"/>
      <c r="BG14" s="1026"/>
      <c r="BH14" s="1026"/>
      <c r="BI14" s="1026"/>
      <c r="BJ14" s="1026"/>
      <c r="BK14" s="1026"/>
      <c r="BL14" s="1026">
        <f t="shared" si="1"/>
        <v>0</v>
      </c>
      <c r="BM14" s="314">
        <f t="shared" si="2"/>
        <v>0</v>
      </c>
    </row>
    <row r="15" spans="2:66" hidden="1" x14ac:dyDescent="0.3">
      <c r="B15" t="s">
        <v>36</v>
      </c>
      <c r="C15" s="754">
        <v>1577</v>
      </c>
      <c r="D15" s="8">
        <v>4007</v>
      </c>
      <c r="E15" s="758"/>
      <c r="F15" s="754">
        <v>22419</v>
      </c>
      <c r="G15" s="8">
        <v>6105</v>
      </c>
      <c r="H15" s="758"/>
      <c r="I15" s="754">
        <v>37703</v>
      </c>
      <c r="J15" s="8">
        <v>10781</v>
      </c>
      <c r="K15" s="758"/>
      <c r="L15" s="754">
        <v>5505</v>
      </c>
      <c r="M15" s="8">
        <v>2783</v>
      </c>
      <c r="N15" s="758"/>
      <c r="O15" s="754">
        <v>5427</v>
      </c>
      <c r="P15" s="8">
        <v>1426</v>
      </c>
      <c r="Q15" s="758"/>
      <c r="R15" s="754">
        <v>2860</v>
      </c>
      <c r="S15" s="8">
        <v>4545</v>
      </c>
      <c r="T15" s="758"/>
      <c r="U15" s="754">
        <v>15954</v>
      </c>
      <c r="V15" s="8">
        <v>6338</v>
      </c>
      <c r="W15" s="758"/>
      <c r="X15" s="754">
        <v>4076</v>
      </c>
      <c r="Y15" s="8">
        <v>5714</v>
      </c>
      <c r="Z15" s="758">
        <v>556</v>
      </c>
      <c r="AA15" s="754">
        <v>27702</v>
      </c>
      <c r="AB15" s="8">
        <v>1684</v>
      </c>
      <c r="AC15" s="858"/>
      <c r="AD15" s="754">
        <v>86736</v>
      </c>
      <c r="AE15" s="8">
        <v>3947</v>
      </c>
      <c r="AF15" s="858"/>
      <c r="AG15" s="754">
        <v>4089</v>
      </c>
      <c r="AH15" s="8"/>
      <c r="AI15" s="858">
        <v>250</v>
      </c>
      <c r="AJ15" s="754">
        <v>98685</v>
      </c>
      <c r="AK15" s="8"/>
      <c r="AL15" s="858">
        <v>2680</v>
      </c>
      <c r="AM15" s="730">
        <v>3486</v>
      </c>
      <c r="AN15" s="1026">
        <v>0</v>
      </c>
      <c r="AO15" s="1026">
        <v>0</v>
      </c>
      <c r="AP15" s="1026">
        <v>0</v>
      </c>
      <c r="AQ15" s="1024">
        <v>0</v>
      </c>
      <c r="AR15" s="1026">
        <v>0</v>
      </c>
      <c r="AS15" s="1026">
        <v>0</v>
      </c>
      <c r="AT15" s="1024">
        <v>0</v>
      </c>
      <c r="AU15" s="1026">
        <v>0</v>
      </c>
      <c r="AV15" s="1026">
        <v>0</v>
      </c>
      <c r="AW15" s="1026">
        <v>0</v>
      </c>
      <c r="AX15" s="1026">
        <v>0</v>
      </c>
      <c r="AY15" s="1025">
        <v>0</v>
      </c>
      <c r="AZ15" s="1026">
        <v>0</v>
      </c>
      <c r="BA15" s="1026">
        <v>0</v>
      </c>
      <c r="BB15" s="1026"/>
      <c r="BC15" s="1026"/>
      <c r="BD15" s="1026"/>
      <c r="BE15" s="1026"/>
      <c r="BF15" s="1026"/>
      <c r="BG15" s="1026"/>
      <c r="BH15" s="1026"/>
      <c r="BI15" s="1026"/>
      <c r="BJ15" s="1026"/>
      <c r="BK15" s="1026"/>
      <c r="BL15" s="1026">
        <f t="shared" si="1"/>
        <v>0</v>
      </c>
      <c r="BM15" s="314">
        <f t="shared" si="2"/>
        <v>0</v>
      </c>
    </row>
    <row r="16" spans="2:66" hidden="1" x14ac:dyDescent="0.3">
      <c r="B16" t="s">
        <v>545</v>
      </c>
      <c r="C16" s="759"/>
      <c r="E16" s="755"/>
      <c r="F16" s="759"/>
      <c r="H16" s="755"/>
      <c r="I16" s="759"/>
      <c r="K16" s="755"/>
      <c r="L16" s="759"/>
      <c r="N16" s="755"/>
      <c r="O16" s="759"/>
      <c r="Q16" s="755"/>
      <c r="R16" s="759"/>
      <c r="T16" s="755"/>
      <c r="U16" s="759"/>
      <c r="W16" s="755"/>
      <c r="X16" s="759"/>
      <c r="Z16" s="755"/>
      <c r="AA16" s="759"/>
      <c r="AC16" s="14"/>
      <c r="AD16" s="759"/>
      <c r="AF16" s="14"/>
      <c r="AG16" s="759"/>
      <c r="AI16" s="14"/>
      <c r="AJ16" s="759"/>
      <c r="AL16" s="14"/>
      <c r="AM16" s="730"/>
      <c r="AN16" s="1026">
        <v>0</v>
      </c>
      <c r="AO16" s="1026">
        <v>0</v>
      </c>
      <c r="AP16" s="1026">
        <v>0</v>
      </c>
      <c r="AQ16" s="1024">
        <v>0</v>
      </c>
      <c r="AR16" s="1026">
        <v>0</v>
      </c>
      <c r="AS16" s="1026">
        <v>0</v>
      </c>
      <c r="AT16" s="1024">
        <v>0</v>
      </c>
      <c r="AU16" s="1026">
        <v>0</v>
      </c>
      <c r="AV16" s="1026">
        <v>0</v>
      </c>
      <c r="AW16" s="1026">
        <v>0</v>
      </c>
      <c r="AX16" s="1026">
        <v>0</v>
      </c>
      <c r="AY16" s="1025">
        <v>0</v>
      </c>
      <c r="AZ16" s="1026">
        <v>0</v>
      </c>
      <c r="BA16" s="1026">
        <v>0</v>
      </c>
      <c r="BB16" s="1026"/>
      <c r="BC16" s="1026"/>
      <c r="BD16" s="1026"/>
      <c r="BE16" s="1026"/>
      <c r="BF16" s="1026"/>
      <c r="BG16" s="1026"/>
      <c r="BH16" s="1026"/>
      <c r="BI16" s="1026"/>
      <c r="BJ16" s="1026"/>
      <c r="BK16" s="1026"/>
      <c r="BL16" s="1026">
        <f t="shared" si="1"/>
        <v>0</v>
      </c>
      <c r="BM16" s="314">
        <f t="shared" si="2"/>
        <v>0</v>
      </c>
    </row>
    <row r="17" spans="2:67" hidden="1" x14ac:dyDescent="0.3">
      <c r="B17" t="s">
        <v>34</v>
      </c>
      <c r="C17" s="754">
        <v>4777</v>
      </c>
      <c r="D17" s="8">
        <v>265</v>
      </c>
      <c r="E17" s="756"/>
      <c r="F17" s="754">
        <v>434</v>
      </c>
      <c r="G17" s="8">
        <v>273</v>
      </c>
      <c r="H17" s="756"/>
      <c r="I17" s="754">
        <v>366</v>
      </c>
      <c r="J17" s="8">
        <v>213</v>
      </c>
      <c r="K17" s="756"/>
      <c r="L17" s="754">
        <v>987</v>
      </c>
      <c r="M17" s="8">
        <v>526</v>
      </c>
      <c r="N17" s="756"/>
      <c r="O17" s="754">
        <v>1281</v>
      </c>
      <c r="P17" s="8">
        <v>186</v>
      </c>
      <c r="Q17" s="756"/>
      <c r="R17" s="754">
        <v>383</v>
      </c>
      <c r="S17" s="8">
        <v>314</v>
      </c>
      <c r="T17" s="756"/>
      <c r="U17" s="754">
        <v>642</v>
      </c>
      <c r="V17" s="8">
        <v>196</v>
      </c>
      <c r="W17" s="756">
        <v>476</v>
      </c>
      <c r="X17" s="754">
        <v>1833</v>
      </c>
      <c r="Y17" s="8">
        <v>319</v>
      </c>
      <c r="Z17" s="756">
        <v>0</v>
      </c>
      <c r="AA17" s="754">
        <v>4361</v>
      </c>
      <c r="AB17" s="8">
        <v>294</v>
      </c>
      <c r="AC17" s="756"/>
      <c r="AD17" s="754">
        <v>1723</v>
      </c>
      <c r="AE17" s="8">
        <v>276</v>
      </c>
      <c r="AF17" s="756">
        <v>33.639999999999993</v>
      </c>
      <c r="AG17" s="754">
        <v>328</v>
      </c>
      <c r="AH17" s="8">
        <v>0</v>
      </c>
      <c r="AI17" s="756"/>
      <c r="AJ17" s="754">
        <v>566</v>
      </c>
      <c r="AK17" s="8"/>
      <c r="AL17" s="756">
        <v>11.529999999999969</v>
      </c>
      <c r="AM17" s="730">
        <v>521.16999999999996</v>
      </c>
      <c r="AN17" s="1026">
        <v>0</v>
      </c>
      <c r="AO17" s="1026">
        <v>0</v>
      </c>
      <c r="AP17" s="1026">
        <v>0</v>
      </c>
      <c r="AQ17" s="1024">
        <v>0</v>
      </c>
      <c r="AR17" s="1026">
        <v>0</v>
      </c>
      <c r="AS17" s="1026">
        <v>0</v>
      </c>
      <c r="AT17" s="1024">
        <v>0</v>
      </c>
      <c r="AU17" s="1026">
        <v>0</v>
      </c>
      <c r="AV17" s="1026">
        <v>0</v>
      </c>
      <c r="AW17" s="1026">
        <v>0</v>
      </c>
      <c r="AX17" s="1026">
        <v>0</v>
      </c>
      <c r="AY17" s="1025">
        <v>0</v>
      </c>
      <c r="AZ17" s="1026">
        <v>0</v>
      </c>
      <c r="BA17" s="1026">
        <v>0</v>
      </c>
      <c r="BB17" s="1026"/>
      <c r="BC17" s="1026"/>
      <c r="BD17" s="1026"/>
      <c r="BE17" s="1026"/>
      <c r="BF17" s="1026"/>
      <c r="BG17" s="1026"/>
      <c r="BH17" s="1026"/>
      <c r="BI17" s="1026"/>
      <c r="BJ17" s="1026"/>
      <c r="BK17" s="1026"/>
      <c r="BL17" s="1026">
        <f t="shared" si="1"/>
        <v>0</v>
      </c>
      <c r="BM17" s="314">
        <f t="shared" si="2"/>
        <v>0</v>
      </c>
    </row>
    <row r="18" spans="2:67" hidden="1" x14ac:dyDescent="0.3">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1263"/>
      <c r="AR18" s="7"/>
      <c r="AS18" s="907">
        <v>0</v>
      </c>
      <c r="AT18" s="901">
        <v>0</v>
      </c>
      <c r="AU18" s="901">
        <v>0</v>
      </c>
      <c r="AV18" s="901">
        <v>0</v>
      </c>
      <c r="AW18" s="901">
        <v>0</v>
      </c>
      <c r="AX18" s="901">
        <v>0</v>
      </c>
      <c r="AY18" s="907">
        <v>0</v>
      </c>
      <c r="AZ18" s="901">
        <f>SUM(AZ5:AZ17)</f>
        <v>0</v>
      </c>
      <c r="BA18" s="901">
        <f>SUM(BA5:BA17)</f>
        <v>0</v>
      </c>
      <c r="BB18" s="901"/>
      <c r="BC18" s="901"/>
      <c r="BD18" s="901"/>
      <c r="BE18" s="901"/>
      <c r="BF18" s="901"/>
      <c r="BG18" s="901"/>
      <c r="BH18" s="901"/>
      <c r="BI18" s="901"/>
      <c r="BJ18" s="901"/>
      <c r="BK18" s="901"/>
      <c r="BL18" s="901">
        <f>SUM(BL5:BL17)</f>
        <v>0</v>
      </c>
      <c r="BM18" s="901">
        <f>SUM(BM5:BM17)</f>
        <v>0</v>
      </c>
    </row>
    <row r="19" spans="2:67" hidden="1" x14ac:dyDescent="0.3">
      <c r="E19" s="762"/>
      <c r="F19" s="759"/>
      <c r="H19" s="762">
        <v>268800</v>
      </c>
      <c r="I19" s="759"/>
      <c r="K19" s="762"/>
      <c r="L19" s="759"/>
      <c r="N19" s="762"/>
      <c r="O19" s="759"/>
      <c r="Q19" s="762"/>
      <c r="R19" s="759"/>
      <c r="T19" s="762"/>
      <c r="U19" s="759"/>
      <c r="W19" s="762"/>
      <c r="X19" s="759"/>
      <c r="Z19" s="762"/>
      <c r="AA19" s="759"/>
      <c r="AC19" s="762"/>
      <c r="AD19" s="759"/>
      <c r="AF19" s="762"/>
      <c r="AG19" s="759"/>
      <c r="AI19" s="762"/>
      <c r="AJ19" s="759"/>
      <c r="AL19" s="762"/>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O19" s="27"/>
    </row>
    <row r="20" spans="2:67" ht="18" customHeight="1" x14ac:dyDescent="0.3">
      <c r="B20" s="7" t="s">
        <v>39</v>
      </c>
      <c r="C20" s="1"/>
      <c r="D20" s="1"/>
      <c r="E20" s="753"/>
      <c r="F20" s="752"/>
      <c r="G20" s="1"/>
      <c r="H20" s="753"/>
      <c r="I20" s="752"/>
      <c r="J20" s="1"/>
      <c r="K20" s="753"/>
      <c r="L20" s="752"/>
      <c r="M20" s="1"/>
      <c r="N20" s="753"/>
      <c r="O20" s="752"/>
      <c r="P20" s="1"/>
      <c r="Q20" s="753"/>
      <c r="R20" s="752"/>
      <c r="S20" s="1"/>
      <c r="T20" s="753"/>
      <c r="U20" s="752"/>
      <c r="V20" s="1"/>
      <c r="W20" s="753"/>
      <c r="X20" s="752"/>
      <c r="Y20" s="1"/>
      <c r="Z20" s="753"/>
      <c r="AA20" s="752"/>
      <c r="AB20" s="1"/>
      <c r="AC20" s="753"/>
      <c r="AD20" s="752"/>
      <c r="AE20" s="1"/>
      <c r="AF20" s="753"/>
      <c r="AG20" s="752"/>
      <c r="AH20" s="1"/>
      <c r="AI20" s="753"/>
      <c r="AJ20" s="752"/>
      <c r="AK20" s="1"/>
      <c r="AL20" s="753"/>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row>
    <row r="21" spans="2:67" x14ac:dyDescent="0.3">
      <c r="B21" t="s">
        <v>565</v>
      </c>
      <c r="C21" s="757">
        <v>29218</v>
      </c>
      <c r="D21" s="12">
        <v>49233</v>
      </c>
      <c r="E21" s="755">
        <v>39708.589999999997</v>
      </c>
      <c r="F21" s="757">
        <v>26147</v>
      </c>
      <c r="G21" s="12">
        <v>42454</v>
      </c>
      <c r="H21" s="755">
        <v>40507.409999999996</v>
      </c>
      <c r="I21" s="757">
        <v>27130</v>
      </c>
      <c r="J21" s="12">
        <v>39083</v>
      </c>
      <c r="K21" s="755">
        <v>45383.43</v>
      </c>
      <c r="L21" s="757">
        <v>27619</v>
      </c>
      <c r="M21" s="12">
        <v>36428</v>
      </c>
      <c r="N21" s="755">
        <v>47315.499999999993</v>
      </c>
      <c r="O21" s="757">
        <v>32622</v>
      </c>
      <c r="P21" s="12">
        <v>38334</v>
      </c>
      <c r="Q21" s="755">
        <v>46817.01999999999</v>
      </c>
      <c r="R21" s="757">
        <v>28930</v>
      </c>
      <c r="S21" s="12">
        <v>35834</v>
      </c>
      <c r="T21" s="755">
        <v>43178.970000000045</v>
      </c>
      <c r="U21" s="757">
        <v>33007</v>
      </c>
      <c r="V21" s="12">
        <v>41594</v>
      </c>
      <c r="W21" s="755">
        <v>50214.519999999975</v>
      </c>
      <c r="X21" s="757">
        <v>31996</v>
      </c>
      <c r="Y21" s="12">
        <v>42816</v>
      </c>
      <c r="Z21" s="755">
        <v>45220.590000000026</v>
      </c>
      <c r="AA21" s="757">
        <v>35350</v>
      </c>
      <c r="AB21" s="12">
        <v>41951</v>
      </c>
      <c r="AC21" s="755">
        <v>46391.350000000006</v>
      </c>
      <c r="AD21" s="757">
        <v>40350</v>
      </c>
      <c r="AE21" s="12">
        <v>39722</v>
      </c>
      <c r="AF21" s="755">
        <v>44342.679999999935</v>
      </c>
      <c r="AG21" s="757">
        <v>36831</v>
      </c>
      <c r="AH21" s="12"/>
      <c r="AI21" s="755">
        <v>43343.540000000008</v>
      </c>
      <c r="AJ21" s="757">
        <v>38498</v>
      </c>
      <c r="AK21" s="12"/>
      <c r="AL21" s="755">
        <v>47651.48000000001</v>
      </c>
      <c r="AM21" s="17">
        <v>540075.07999999996</v>
      </c>
      <c r="AN21" s="973">
        <v>46260.13</v>
      </c>
      <c r="AO21" s="975">
        <v>44037.8</v>
      </c>
      <c r="AP21" s="975">
        <v>55905.31</v>
      </c>
      <c r="AQ21" s="975">
        <v>51696.68</v>
      </c>
      <c r="AR21" s="975">
        <v>56420.26</v>
      </c>
      <c r="AS21" s="975">
        <v>61350.49</v>
      </c>
      <c r="AT21" s="975">
        <v>67113.789999999994</v>
      </c>
      <c r="AU21" s="975">
        <v>56385</v>
      </c>
      <c r="AV21" s="975">
        <v>52802.400000000001</v>
      </c>
      <c r="AW21" s="975">
        <v>45035.45</v>
      </c>
      <c r="AX21" s="975">
        <v>55412.55</v>
      </c>
      <c r="AY21" s="975">
        <v>51832.62</v>
      </c>
      <c r="AZ21" s="975">
        <v>54374.07</v>
      </c>
      <c r="BA21" s="975">
        <v>47180.869999999995</v>
      </c>
      <c r="BB21" s="975">
        <f>'MXD P&amp;L'!P80</f>
        <v>60759.839999999997</v>
      </c>
      <c r="BC21" s="975">
        <f>'MXD P&amp;L'!Q80</f>
        <v>47561.83</v>
      </c>
      <c r="BD21" s="975">
        <f>'MXD P&amp;L'!R80</f>
        <v>52436.54</v>
      </c>
      <c r="BE21" s="975">
        <f>'MXD P&amp;L'!S80</f>
        <v>55083.88</v>
      </c>
      <c r="BF21" s="975">
        <f>'MXD P&amp;L'!T80</f>
        <v>46359.47</v>
      </c>
      <c r="BG21" s="975">
        <f>'MXD P&amp;L'!U80</f>
        <v>54327.15</v>
      </c>
      <c r="BH21" s="975">
        <f>'MXD P&amp;L'!V80</f>
        <v>53761.41</v>
      </c>
      <c r="BI21" s="975">
        <f>'MXD P&amp;L'!W80</f>
        <v>55277.599999999999</v>
      </c>
      <c r="BJ21" s="975">
        <f>'MXD P&amp;L'!X80</f>
        <v>0</v>
      </c>
      <c r="BK21" s="975">
        <f>'MXD P&amp;L'!Y81</f>
        <v>0</v>
      </c>
      <c r="BL21" s="1026">
        <f t="shared" ref="BL21:BL32" si="3">SUM(AZ21:BC21)</f>
        <v>209876.61</v>
      </c>
      <c r="BM21" s="314">
        <f t="shared" ref="BM21:BM32" si="4">SUM(AN21:AQ21)</f>
        <v>197899.91999999998</v>
      </c>
    </row>
    <row r="22" spans="2:67" x14ac:dyDescent="0.3">
      <c r="B22" t="s">
        <v>566</v>
      </c>
      <c r="C22" s="757">
        <v>2912</v>
      </c>
      <c r="D22" s="12">
        <v>4738</v>
      </c>
      <c r="E22" s="755">
        <v>3134.67</v>
      </c>
      <c r="F22" s="757">
        <v>2676</v>
      </c>
      <c r="G22" s="12">
        <v>3877</v>
      </c>
      <c r="H22" s="755">
        <v>2184.3599999999997</v>
      </c>
      <c r="I22" s="757">
        <v>2228</v>
      </c>
      <c r="J22" s="12">
        <v>3069</v>
      </c>
      <c r="K22" s="755">
        <v>3347.9499999999994</v>
      </c>
      <c r="L22" s="757">
        <v>2065</v>
      </c>
      <c r="M22" s="12">
        <v>2958</v>
      </c>
      <c r="N22" s="755">
        <v>3472.3300000000022</v>
      </c>
      <c r="O22" s="757">
        <v>2788</v>
      </c>
      <c r="P22" s="12">
        <v>2943</v>
      </c>
      <c r="Q22" s="755">
        <v>3471.5399999999991</v>
      </c>
      <c r="R22" s="757">
        <v>2215</v>
      </c>
      <c r="S22" s="12">
        <v>2721</v>
      </c>
      <c r="T22" s="755">
        <v>3146.6299999999987</v>
      </c>
      <c r="U22" s="757">
        <v>2532</v>
      </c>
      <c r="V22" s="12">
        <v>3064</v>
      </c>
      <c r="W22" s="755">
        <v>3620</v>
      </c>
      <c r="X22" s="757">
        <v>2473</v>
      </c>
      <c r="Y22" s="12">
        <v>3310</v>
      </c>
      <c r="Z22" s="755">
        <v>3290.3100000000013</v>
      </c>
      <c r="AA22" s="757">
        <v>2753</v>
      </c>
      <c r="AB22" s="12">
        <v>2219</v>
      </c>
      <c r="AC22" s="755">
        <v>3392.7800000000007</v>
      </c>
      <c r="AD22" s="757">
        <v>3184</v>
      </c>
      <c r="AE22" s="12">
        <v>2986</v>
      </c>
      <c r="AF22" s="755">
        <v>3280.5700000000015</v>
      </c>
      <c r="AG22" s="757">
        <v>2710</v>
      </c>
      <c r="AH22" s="12"/>
      <c r="AI22" s="755">
        <v>3146.4499999999962</v>
      </c>
      <c r="AJ22" s="757">
        <v>3208</v>
      </c>
      <c r="AK22" s="12"/>
      <c r="AL22" s="755">
        <v>3712.1700000000033</v>
      </c>
      <c r="AM22" s="17">
        <v>39199.760000000002</v>
      </c>
      <c r="AN22" s="973">
        <v>3658.84</v>
      </c>
      <c r="AO22" s="975">
        <v>3670.83</v>
      </c>
      <c r="AP22" s="975">
        <v>4567.24</v>
      </c>
      <c r="AQ22" s="975">
        <v>3852.47</v>
      </c>
      <c r="AR22" s="975">
        <v>4643.4799999999996</v>
      </c>
      <c r="AS22" s="975">
        <v>4697.92</v>
      </c>
      <c r="AT22" s="975">
        <v>5306.74</v>
      </c>
      <c r="AU22" s="975">
        <v>4194.54</v>
      </c>
      <c r="AV22" s="975">
        <v>3949.56</v>
      </c>
      <c r="AW22" s="975">
        <v>4017.78</v>
      </c>
      <c r="AX22" s="975">
        <v>4449.12</v>
      </c>
      <c r="AY22" s="975">
        <v>4415.49</v>
      </c>
      <c r="AZ22" s="975">
        <v>5571.25</v>
      </c>
      <c r="BA22" s="975">
        <v>5766</v>
      </c>
      <c r="BB22" s="975">
        <f>'MXD P&amp;L'!P81</f>
        <v>4846.26</v>
      </c>
      <c r="BC22" s="975">
        <f>'MXD P&amp;L'!Q81</f>
        <v>4136.1000000000004</v>
      </c>
      <c r="BD22" s="975">
        <f>'MXD P&amp;L'!R81</f>
        <v>3927.54</v>
      </c>
      <c r="BE22" s="975">
        <f>'MXD P&amp;L'!S81</f>
        <v>4070.48</v>
      </c>
      <c r="BF22" s="975">
        <f>'MXD P&amp;L'!T81</f>
        <v>3859.44</v>
      </c>
      <c r="BG22" s="975">
        <f>'MXD P&amp;L'!U81</f>
        <v>4216.74</v>
      </c>
      <c r="BH22" s="975">
        <f>'MXD P&amp;L'!V81</f>
        <v>4026</v>
      </c>
      <c r="BI22" s="975">
        <f>'MXD P&amp;L'!W81</f>
        <v>4090.91</v>
      </c>
      <c r="BJ22" s="975">
        <f>'MXD P&amp;L'!X81</f>
        <v>0</v>
      </c>
      <c r="BK22" s="975">
        <f>'MXD P&amp;L'!Y82</f>
        <v>0</v>
      </c>
      <c r="BL22" s="1026">
        <f t="shared" si="3"/>
        <v>20319.61</v>
      </c>
      <c r="BM22" s="314">
        <f t="shared" si="4"/>
        <v>15749.38</v>
      </c>
    </row>
    <row r="23" spans="2:67" x14ac:dyDescent="0.3">
      <c r="B23" t="s">
        <v>567</v>
      </c>
      <c r="C23" s="757">
        <v>978</v>
      </c>
      <c r="D23" s="12">
        <v>2386</v>
      </c>
      <c r="E23" s="755">
        <v>1075.77</v>
      </c>
      <c r="F23" s="757">
        <v>1222</v>
      </c>
      <c r="G23" s="12">
        <v>1607</v>
      </c>
      <c r="H23" s="755">
        <v>1874.58</v>
      </c>
      <c r="I23" s="757">
        <v>733</v>
      </c>
      <c r="J23" s="12">
        <v>1340</v>
      </c>
      <c r="K23" s="755">
        <v>1607.24</v>
      </c>
      <c r="L23" s="757">
        <v>1472</v>
      </c>
      <c r="M23" s="12">
        <v>1607</v>
      </c>
      <c r="N23" s="755">
        <v>2141.92</v>
      </c>
      <c r="O23" s="757">
        <v>1225</v>
      </c>
      <c r="P23" s="12">
        <v>1073</v>
      </c>
      <c r="Q23" s="755">
        <v>1874.58</v>
      </c>
      <c r="R23" s="757">
        <v>1225</v>
      </c>
      <c r="S23" s="12">
        <v>1607</v>
      </c>
      <c r="T23" s="755">
        <v>1874.58</v>
      </c>
      <c r="U23" s="757">
        <v>1708</v>
      </c>
      <c r="V23" s="12">
        <v>1607</v>
      </c>
      <c r="W23" s="755">
        <v>1339.9</v>
      </c>
      <c r="X23" s="757">
        <v>1467</v>
      </c>
      <c r="Y23" s="12">
        <v>1607</v>
      </c>
      <c r="Z23" s="755">
        <v>2676.58</v>
      </c>
      <c r="AA23" s="757">
        <v>1475</v>
      </c>
      <c r="AB23" s="12">
        <v>1607</v>
      </c>
      <c r="AC23" s="755">
        <v>2412.440000000001</v>
      </c>
      <c r="AD23" s="757">
        <v>1958</v>
      </c>
      <c r="AE23" s="12">
        <v>928</v>
      </c>
      <c r="AF23" s="755">
        <v>1877.77</v>
      </c>
      <c r="AG23" s="757">
        <v>1714</v>
      </c>
      <c r="AH23" s="12"/>
      <c r="AI23" s="755">
        <v>1877.77</v>
      </c>
      <c r="AJ23" s="757">
        <v>1714</v>
      </c>
      <c r="AK23" s="12"/>
      <c r="AL23" s="755">
        <v>1884.169999999998</v>
      </c>
      <c r="AM23" s="17">
        <v>22517.3</v>
      </c>
      <c r="AN23" s="973">
        <v>1984.3</v>
      </c>
      <c r="AO23" s="975">
        <v>1984.3</v>
      </c>
      <c r="AP23" s="975">
        <v>1984.3</v>
      </c>
      <c r="AQ23" s="975">
        <v>1984.3</v>
      </c>
      <c r="AR23" s="975">
        <v>1984.3</v>
      </c>
      <c r="AS23" s="975">
        <v>1984.3</v>
      </c>
      <c r="AT23" s="975">
        <v>1984.3</v>
      </c>
      <c r="AU23" s="975">
        <v>1984.3</v>
      </c>
      <c r="AV23" s="975">
        <v>1974.7</v>
      </c>
      <c r="AW23" s="975">
        <v>1981.1</v>
      </c>
      <c r="AX23" s="975">
        <v>1695.8</v>
      </c>
      <c r="AY23" s="975">
        <v>1081.67</v>
      </c>
      <c r="AZ23" s="975">
        <v>1408.3</v>
      </c>
      <c r="BA23" s="975">
        <v>1259.8</v>
      </c>
      <c r="BB23" s="975">
        <f>'MXD P&amp;L'!P82</f>
        <v>1259.8</v>
      </c>
      <c r="BC23" s="975">
        <f>'MXD P&amp;L'!Q82</f>
        <v>1256.4000000000001</v>
      </c>
      <c r="BD23" s="975">
        <f>'MXD P&amp;L'!R82</f>
        <v>1877.8</v>
      </c>
      <c r="BE23" s="975">
        <f>'MXD P&amp;L'!S82</f>
        <v>1565.4</v>
      </c>
      <c r="BF23" s="975">
        <f>'MXD P&amp;L'!T82</f>
        <v>1565.4</v>
      </c>
      <c r="BG23" s="975">
        <f>'MXD P&amp;L'!U82</f>
        <v>2186.8000000000002</v>
      </c>
      <c r="BH23" s="975">
        <f>'MXD P&amp;L'!V82</f>
        <v>2186.8000000000002</v>
      </c>
      <c r="BI23" s="975">
        <f>'MXD P&amp;L'!W82</f>
        <v>2186.8000000000002</v>
      </c>
      <c r="BJ23" s="975">
        <f>'MXD P&amp;L'!X82</f>
        <v>0</v>
      </c>
      <c r="BK23" s="975">
        <f>'MXD P&amp;L'!Y83</f>
        <v>0</v>
      </c>
      <c r="BL23" s="1026">
        <f t="shared" si="3"/>
        <v>5184.2999999999993</v>
      </c>
      <c r="BM23" s="314">
        <f t="shared" si="4"/>
        <v>7937.2</v>
      </c>
    </row>
    <row r="24" spans="2:67" x14ac:dyDescent="0.3">
      <c r="B24" t="s">
        <v>568</v>
      </c>
      <c r="C24" s="757">
        <v>500</v>
      </c>
      <c r="D24" s="12">
        <v>4000</v>
      </c>
      <c r="E24" s="755"/>
      <c r="F24" s="757"/>
      <c r="G24" s="12">
        <v>2000</v>
      </c>
      <c r="H24" s="755"/>
      <c r="I24" s="757"/>
      <c r="J24" s="12">
        <v>1200</v>
      </c>
      <c r="K24" s="755"/>
      <c r="L24" s="757"/>
      <c r="M24" s="12"/>
      <c r="N24" s="755"/>
      <c r="O24" s="757"/>
      <c r="P24" s="12"/>
      <c r="Q24" s="755"/>
      <c r="R24" s="757"/>
      <c r="S24" s="12"/>
      <c r="T24" s="755"/>
      <c r="U24" s="757"/>
      <c r="V24" s="12"/>
      <c r="W24" s="755"/>
      <c r="X24" s="757"/>
      <c r="Y24" s="12">
        <v>2000</v>
      </c>
      <c r="Z24" s="755"/>
      <c r="AA24" s="757"/>
      <c r="AB24" s="12"/>
      <c r="AC24" s="755"/>
      <c r="AD24" s="757"/>
      <c r="AE24" s="12"/>
      <c r="AF24" s="755">
        <v>500</v>
      </c>
      <c r="AG24" s="757"/>
      <c r="AH24" s="12"/>
      <c r="AI24" s="755"/>
      <c r="AJ24" s="757">
        <v>3250</v>
      </c>
      <c r="AK24" s="12"/>
      <c r="AL24" s="755">
        <v>4487.47</v>
      </c>
      <c r="AM24" s="18">
        <v>4987.47</v>
      </c>
      <c r="AN24" s="1024">
        <v>500</v>
      </c>
      <c r="AO24" s="1026">
        <v>0</v>
      </c>
      <c r="AP24" s="1026">
        <v>500</v>
      </c>
      <c r="AQ24" s="1026">
        <v>0</v>
      </c>
      <c r="AR24" s="1026">
        <v>2500</v>
      </c>
      <c r="AS24" s="1026">
        <v>0</v>
      </c>
      <c r="AT24" s="1026">
        <v>3000</v>
      </c>
      <c r="AU24" s="1026">
        <v>0</v>
      </c>
      <c r="AV24" s="1026">
        <v>0</v>
      </c>
      <c r="AW24" s="1026">
        <v>3000</v>
      </c>
      <c r="AX24" s="1026">
        <v>0</v>
      </c>
      <c r="AY24" s="1026">
        <v>4334.09</v>
      </c>
      <c r="AZ24" s="975">
        <v>0</v>
      </c>
      <c r="BA24" s="975">
        <v>250</v>
      </c>
      <c r="BB24" s="975">
        <f>'MXD P&amp;L'!P83</f>
        <v>250</v>
      </c>
      <c r="BC24" s="975">
        <f>'MXD P&amp;L'!Q83</f>
        <v>7000</v>
      </c>
      <c r="BD24" s="975">
        <f>'MXD P&amp;L'!R83</f>
        <v>0</v>
      </c>
      <c r="BE24" s="975">
        <f>'MXD P&amp;L'!S83</f>
        <v>0</v>
      </c>
      <c r="BF24" s="975">
        <f>'MXD P&amp;L'!T83</f>
        <v>0</v>
      </c>
      <c r="BG24" s="975">
        <f>'MXD P&amp;L'!U83</f>
        <v>0</v>
      </c>
      <c r="BH24" s="975">
        <f>'MXD P&amp;L'!V83</f>
        <v>0</v>
      </c>
      <c r="BI24" s="975">
        <f>'MXD P&amp;L'!W83</f>
        <v>0</v>
      </c>
      <c r="BJ24" s="975">
        <f>'MXD P&amp;L'!X83</f>
        <v>0</v>
      </c>
      <c r="BK24" s="975">
        <f>'MXD P&amp;L'!Y84</f>
        <v>0</v>
      </c>
      <c r="BL24" s="1026">
        <f t="shared" si="3"/>
        <v>7500</v>
      </c>
      <c r="BM24" s="314">
        <f t="shared" si="4"/>
        <v>1000</v>
      </c>
    </row>
    <row r="25" spans="2:67" x14ac:dyDescent="0.3">
      <c r="B25" t="s">
        <v>569</v>
      </c>
      <c r="C25" s="757"/>
      <c r="D25" s="12">
        <v>438</v>
      </c>
      <c r="E25" s="755">
        <v>154.76</v>
      </c>
      <c r="F25" s="757"/>
      <c r="G25" s="12">
        <v>438</v>
      </c>
      <c r="H25" s="755"/>
      <c r="I25" s="757"/>
      <c r="J25" s="12">
        <v>438</v>
      </c>
      <c r="K25" s="755"/>
      <c r="L25" s="757"/>
      <c r="M25" s="12">
        <v>438</v>
      </c>
      <c r="N25" s="755"/>
      <c r="O25" s="757">
        <v>752</v>
      </c>
      <c r="P25" s="12">
        <v>664</v>
      </c>
      <c r="Q25" s="755">
        <v>197.89</v>
      </c>
      <c r="R25" s="757">
        <v>438</v>
      </c>
      <c r="S25" s="12">
        <v>206</v>
      </c>
      <c r="T25" s="755">
        <v>179.2</v>
      </c>
      <c r="U25" s="757">
        <v>438</v>
      </c>
      <c r="V25" s="12">
        <v>206</v>
      </c>
      <c r="W25" s="755">
        <v>179.1999999999999</v>
      </c>
      <c r="X25" s="757">
        <v>438</v>
      </c>
      <c r="Y25" s="12">
        <v>206</v>
      </c>
      <c r="Z25" s="755">
        <v>627.92000000000007</v>
      </c>
      <c r="AA25" s="757">
        <v>-629</v>
      </c>
      <c r="AB25" s="12">
        <v>206</v>
      </c>
      <c r="AC25" s="755">
        <v>179.2</v>
      </c>
      <c r="AD25" s="757">
        <v>438</v>
      </c>
      <c r="AE25" s="12">
        <v>1604</v>
      </c>
      <c r="AF25" s="755">
        <v>179.19999999999979</v>
      </c>
      <c r="AG25" s="757">
        <v>438</v>
      </c>
      <c r="AH25" s="12">
        <v>206</v>
      </c>
      <c r="AI25" s="755">
        <v>179.2</v>
      </c>
      <c r="AJ25" s="757">
        <v>438</v>
      </c>
      <c r="AK25" s="12">
        <v>206</v>
      </c>
      <c r="AL25" s="755">
        <v>-367.99000000000007</v>
      </c>
      <c r="AM25" s="12">
        <v>1508.5799999999997</v>
      </c>
      <c r="AN25" s="1024">
        <v>179.2</v>
      </c>
      <c r="AO25" s="1026">
        <v>179.2</v>
      </c>
      <c r="AP25" s="1026">
        <v>179.2</v>
      </c>
      <c r="AQ25" s="1026">
        <v>179.2</v>
      </c>
      <c r="AR25" s="1026">
        <v>430.2</v>
      </c>
      <c r="AS25" s="1026">
        <v>430.2</v>
      </c>
      <c r="AT25" s="1026">
        <v>430</v>
      </c>
      <c r="AU25" s="1026">
        <v>430.4</v>
      </c>
      <c r="AV25" s="1026">
        <v>0</v>
      </c>
      <c r="AW25" s="1026">
        <v>430.2</v>
      </c>
      <c r="AX25" s="1026">
        <v>430.2</v>
      </c>
      <c r="AY25" s="1026">
        <v>430.2</v>
      </c>
      <c r="AZ25" s="975">
        <v>430.2</v>
      </c>
      <c r="BA25" s="975">
        <v>430.2</v>
      </c>
      <c r="BB25" s="975">
        <f>'MXD P&amp;L'!P84</f>
        <v>0</v>
      </c>
      <c r="BC25" s="975">
        <f>'MXD P&amp;L'!Q84</f>
        <v>0</v>
      </c>
      <c r="BD25" s="975">
        <f>'MXD P&amp;L'!R84</f>
        <v>512.01</v>
      </c>
      <c r="BE25" s="975">
        <f>'MXD P&amp;L'!S84</f>
        <v>512.01</v>
      </c>
      <c r="BF25" s="975">
        <f>'MXD P&amp;L'!T84</f>
        <v>1024.02</v>
      </c>
      <c r="BG25" s="975">
        <f>'MXD P&amp;L'!U84</f>
        <v>512.01</v>
      </c>
      <c r="BH25" s="975">
        <f>'MXD P&amp;L'!V84</f>
        <v>512.01</v>
      </c>
      <c r="BI25" s="975">
        <f>'MXD P&amp;L'!W84</f>
        <v>520.27</v>
      </c>
      <c r="BJ25" s="975">
        <f>'MXD P&amp;L'!X84</f>
        <v>0</v>
      </c>
      <c r="BK25" s="975">
        <f>'MXD P&amp;L'!Y85</f>
        <v>0</v>
      </c>
      <c r="BL25" s="1026">
        <f t="shared" si="3"/>
        <v>860.4</v>
      </c>
      <c r="BM25" s="314">
        <f t="shared" si="4"/>
        <v>716.8</v>
      </c>
    </row>
    <row r="26" spans="2:67" x14ac:dyDescent="0.3">
      <c r="B26" t="s">
        <v>570</v>
      </c>
      <c r="C26" s="754"/>
      <c r="D26" s="8"/>
      <c r="E26" s="755">
        <v>-500</v>
      </c>
      <c r="F26" s="754">
        <v>198</v>
      </c>
      <c r="G26" s="8">
        <v>1227</v>
      </c>
      <c r="H26" s="755">
        <v>3765.41</v>
      </c>
      <c r="I26" s="754"/>
      <c r="J26" s="8">
        <v>50</v>
      </c>
      <c r="K26" s="755">
        <v>7572.24</v>
      </c>
      <c r="L26" s="754">
        <v>4111</v>
      </c>
      <c r="M26" s="8"/>
      <c r="N26" s="755">
        <v>2766.639999999999</v>
      </c>
      <c r="O26" s="754"/>
      <c r="P26" s="8">
        <v>5</v>
      </c>
      <c r="Q26" s="755">
        <v>950.36000000000058</v>
      </c>
      <c r="R26" s="754"/>
      <c r="S26" s="8">
        <v>123</v>
      </c>
      <c r="T26" s="755">
        <v>3868.440000000001</v>
      </c>
      <c r="U26" s="754"/>
      <c r="V26" s="8">
        <v>2223</v>
      </c>
      <c r="W26" s="755">
        <v>4216.9700000000012</v>
      </c>
      <c r="X26" s="754"/>
      <c r="Y26" s="8">
        <v>26</v>
      </c>
      <c r="Z26" s="755">
        <v>7059.3499999999995</v>
      </c>
      <c r="AA26" s="754"/>
      <c r="AB26" s="8">
        <v>610</v>
      </c>
      <c r="AC26" s="755">
        <v>620.09000000000015</v>
      </c>
      <c r="AD26" s="754">
        <v>2436</v>
      </c>
      <c r="AE26" s="8">
        <v>805</v>
      </c>
      <c r="AF26" s="755">
        <v>1267.2699999999991</v>
      </c>
      <c r="AG26" s="754">
        <v>74</v>
      </c>
      <c r="AH26" s="8"/>
      <c r="AI26" s="755">
        <v>1544.360000000001</v>
      </c>
      <c r="AJ26" s="754">
        <v>41</v>
      </c>
      <c r="AK26" s="8"/>
      <c r="AL26" s="755">
        <v>4722.4699999999984</v>
      </c>
      <c r="AM26" s="18">
        <v>37853.600000000006</v>
      </c>
      <c r="AN26" s="1024">
        <v>4930.5600000000004</v>
      </c>
      <c r="AO26" s="1026">
        <v>8188.51</v>
      </c>
      <c r="AP26" s="1026">
        <v>2934.43</v>
      </c>
      <c r="AQ26" s="1026">
        <v>2973.42</v>
      </c>
      <c r="AR26" s="1026">
        <v>2776.7</v>
      </c>
      <c r="AS26" s="1026">
        <v>4752.8</v>
      </c>
      <c r="AT26" s="1026">
        <v>1377.92</v>
      </c>
      <c r="AU26" s="1026">
        <v>3267.99</v>
      </c>
      <c r="AV26" s="1026">
        <v>1855.81</v>
      </c>
      <c r="AW26" s="1026">
        <v>593.53</v>
      </c>
      <c r="AX26" s="1026">
        <v>333.41</v>
      </c>
      <c r="AY26" s="1026">
        <v>1717.46</v>
      </c>
      <c r="AZ26" s="975">
        <v>6186.35</v>
      </c>
      <c r="BA26" s="975">
        <v>7330.2</v>
      </c>
      <c r="BB26" s="975">
        <f>'MXD P&amp;L'!P85</f>
        <v>271.38</v>
      </c>
      <c r="BC26" s="975">
        <f>'MXD P&amp;L'!Q85</f>
        <v>8</v>
      </c>
      <c r="BD26" s="975">
        <f>'MXD P&amp;L'!R85</f>
        <v>9267.8799999999992</v>
      </c>
      <c r="BE26" s="975">
        <f>'MXD P&amp;L'!S85</f>
        <v>1703.46</v>
      </c>
      <c r="BF26" s="975">
        <f>'MXD P&amp;L'!T85</f>
        <v>-35.49</v>
      </c>
      <c r="BG26" s="975">
        <f>'MXD P&amp;L'!U85</f>
        <v>113.5</v>
      </c>
      <c r="BH26" s="975">
        <f>'MXD P&amp;L'!V85</f>
        <v>16.96</v>
      </c>
      <c r="BI26" s="975">
        <f>'MXD P&amp;L'!W85</f>
        <v>23.85</v>
      </c>
      <c r="BJ26" s="975">
        <f>'MXD P&amp;L'!X85</f>
        <v>0</v>
      </c>
      <c r="BK26" s="975">
        <f>'MXD P&amp;L'!Y86</f>
        <v>0</v>
      </c>
      <c r="BL26" s="1026">
        <f t="shared" si="3"/>
        <v>13795.929999999998</v>
      </c>
      <c r="BM26" s="314">
        <f t="shared" si="4"/>
        <v>19026.919999999998</v>
      </c>
    </row>
    <row r="27" spans="2:67" x14ac:dyDescent="0.3">
      <c r="B27" t="s">
        <v>571</v>
      </c>
      <c r="C27" s="754">
        <v>287</v>
      </c>
      <c r="D27" s="8">
        <v>299</v>
      </c>
      <c r="E27" s="755">
        <v>187.08</v>
      </c>
      <c r="F27" s="754">
        <v>112</v>
      </c>
      <c r="G27" s="8">
        <v>318</v>
      </c>
      <c r="H27" s="755">
        <v>306.37830000000002</v>
      </c>
      <c r="I27" s="754">
        <v>461</v>
      </c>
      <c r="J27" s="8">
        <v>297</v>
      </c>
      <c r="K27" s="755">
        <v>164.54</v>
      </c>
      <c r="L27" s="754">
        <v>208</v>
      </c>
      <c r="M27" s="8">
        <v>20</v>
      </c>
      <c r="N27" s="755">
        <v>409.63000000000011</v>
      </c>
      <c r="O27" s="754">
        <v>300</v>
      </c>
      <c r="P27" s="8">
        <v>235</v>
      </c>
      <c r="Q27" s="755">
        <v>85.009999999999991</v>
      </c>
      <c r="R27" s="754">
        <v>132</v>
      </c>
      <c r="S27" s="8">
        <v>151</v>
      </c>
      <c r="T27" s="755">
        <v>81.529999999999973</v>
      </c>
      <c r="U27" s="754">
        <v>203</v>
      </c>
      <c r="V27" s="8">
        <v>73</v>
      </c>
      <c r="W27" s="755">
        <v>111.23</v>
      </c>
      <c r="X27" s="754">
        <v>74</v>
      </c>
      <c r="Y27" s="8">
        <v>162</v>
      </c>
      <c r="Z27" s="755">
        <v>201.8299999999999</v>
      </c>
      <c r="AA27" s="754">
        <v>77</v>
      </c>
      <c r="AB27" s="8">
        <v>67</v>
      </c>
      <c r="AC27" s="755">
        <v>112.05</v>
      </c>
      <c r="AD27" s="754">
        <v>221</v>
      </c>
      <c r="AE27" s="8">
        <v>9</v>
      </c>
      <c r="AF27" s="755">
        <v>78.019999999999982</v>
      </c>
      <c r="AG27" s="754">
        <v>480</v>
      </c>
      <c r="AH27" s="8"/>
      <c r="AI27" s="755">
        <v>131.06999999999991</v>
      </c>
      <c r="AJ27" s="754">
        <v>32</v>
      </c>
      <c r="AK27" s="8"/>
      <c r="AL27" s="755">
        <v>321.52</v>
      </c>
      <c r="AM27" s="18">
        <v>2189.8882999999996</v>
      </c>
      <c r="AN27" s="1024">
        <v>0</v>
      </c>
      <c r="AO27" s="1026">
        <v>151.97999999999999</v>
      </c>
      <c r="AP27" s="1026">
        <v>248.15</v>
      </c>
      <c r="AQ27" s="1026">
        <v>106.14</v>
      </c>
      <c r="AR27" s="1026">
        <v>207.2</v>
      </c>
      <c r="AS27" s="1026">
        <v>683.32</v>
      </c>
      <c r="AT27" s="1026">
        <v>459.81</v>
      </c>
      <c r="AU27" s="1026">
        <v>26.25</v>
      </c>
      <c r="AV27" s="1026">
        <v>555.05999999999995</v>
      </c>
      <c r="AW27" s="1026">
        <v>282.12</v>
      </c>
      <c r="AX27" s="1026">
        <v>230.78</v>
      </c>
      <c r="AY27" s="1026">
        <v>0</v>
      </c>
      <c r="AZ27" s="975">
        <v>1075.28</v>
      </c>
      <c r="BA27" s="975">
        <v>694.55</v>
      </c>
      <c r="BB27" s="975">
        <f>'MXD P&amp;L'!P86</f>
        <v>105.88</v>
      </c>
      <c r="BC27" s="975">
        <f>'MXD P&amp;L'!Q86</f>
        <v>0</v>
      </c>
      <c r="BD27" s="975">
        <f>'MXD P&amp;L'!R86</f>
        <v>0</v>
      </c>
      <c r="BE27" s="975">
        <f>'MXD P&amp;L'!S86</f>
        <v>0</v>
      </c>
      <c r="BF27" s="975">
        <f>'MXD P&amp;L'!T86</f>
        <v>187.46</v>
      </c>
      <c r="BG27" s="975">
        <f>'MXD P&amp;L'!U86</f>
        <v>0</v>
      </c>
      <c r="BH27" s="975">
        <f>'MXD P&amp;L'!V86</f>
        <v>0</v>
      </c>
      <c r="BI27" s="975">
        <f>'MXD P&amp;L'!W86</f>
        <v>0</v>
      </c>
      <c r="BJ27" s="975">
        <f>'MXD P&amp;L'!X86</f>
        <v>0</v>
      </c>
      <c r="BK27" s="975">
        <f>'MXD P&amp;L'!Y87</f>
        <v>0</v>
      </c>
      <c r="BL27" s="1026">
        <f t="shared" si="3"/>
        <v>1875.71</v>
      </c>
      <c r="BM27" s="314">
        <f t="shared" si="4"/>
        <v>506.27</v>
      </c>
    </row>
    <row r="28" spans="2:67" x14ac:dyDescent="0.3">
      <c r="B28" t="s">
        <v>572</v>
      </c>
      <c r="C28" s="759"/>
      <c r="E28" s="763">
        <v>1040.79</v>
      </c>
      <c r="F28" s="759"/>
      <c r="H28" s="763">
        <v>1328.29</v>
      </c>
      <c r="I28" s="759"/>
      <c r="K28" s="763">
        <v>1328.29</v>
      </c>
      <c r="L28" s="759"/>
      <c r="N28" s="763">
        <v>1328.29</v>
      </c>
      <c r="O28" s="759"/>
      <c r="Q28" s="763">
        <v>1477.79</v>
      </c>
      <c r="R28" s="759"/>
      <c r="T28" s="763">
        <v>1477.79</v>
      </c>
      <c r="U28" s="759"/>
      <c r="W28" s="763">
        <v>1477.7900000000011</v>
      </c>
      <c r="X28" s="759"/>
      <c r="Z28" s="763">
        <v>1477.7899999999991</v>
      </c>
      <c r="AA28" s="754"/>
      <c r="AB28" s="8"/>
      <c r="AC28" s="763">
        <v>1477.7900000000011</v>
      </c>
      <c r="AD28" s="754"/>
      <c r="AE28" s="8"/>
      <c r="AF28" s="763">
        <v>11643</v>
      </c>
      <c r="AG28" s="754"/>
      <c r="AH28" s="8"/>
      <c r="AI28" s="763">
        <v>1757.989999999998</v>
      </c>
      <c r="AJ28" s="754"/>
      <c r="AK28" s="8"/>
      <c r="AL28" s="763">
        <v>1757.9900000000021</v>
      </c>
      <c r="AM28" s="16">
        <v>27573.59</v>
      </c>
      <c r="AN28" s="1024">
        <v>1757.99</v>
      </c>
      <c r="AO28" s="1026">
        <v>432.65</v>
      </c>
      <c r="AP28" s="1026">
        <v>432.65</v>
      </c>
      <c r="AQ28" s="1026">
        <v>432.65</v>
      </c>
      <c r="AR28" s="1026">
        <v>4914.71</v>
      </c>
      <c r="AS28" s="1026">
        <v>1170.23</v>
      </c>
      <c r="AT28" s="1026">
        <v>865.23</v>
      </c>
      <c r="AU28" s="1026">
        <v>865.23</v>
      </c>
      <c r="AV28" s="1026">
        <v>1477.91</v>
      </c>
      <c r="AW28" s="1026">
        <v>703.23</v>
      </c>
      <c r="AX28" s="1026">
        <v>703.23</v>
      </c>
      <c r="AY28" s="1026">
        <v>703.23</v>
      </c>
      <c r="AZ28" s="975">
        <v>703.23</v>
      </c>
      <c r="BA28" s="975">
        <v>0</v>
      </c>
      <c r="BB28" s="975">
        <v>0</v>
      </c>
      <c r="BC28" s="975">
        <v>0</v>
      </c>
      <c r="BD28" s="975">
        <v>0</v>
      </c>
      <c r="BE28" s="975">
        <v>0</v>
      </c>
      <c r="BF28" s="975">
        <v>0</v>
      </c>
      <c r="BG28" s="975">
        <v>0</v>
      </c>
      <c r="BH28" s="975">
        <v>0</v>
      </c>
      <c r="BI28" s="975">
        <v>0</v>
      </c>
      <c r="BJ28" s="975">
        <v>0</v>
      </c>
      <c r="BK28" s="975">
        <v>0</v>
      </c>
      <c r="BL28" s="1026">
        <f t="shared" si="3"/>
        <v>703.23</v>
      </c>
      <c r="BM28" s="314">
        <f t="shared" si="4"/>
        <v>3055.94</v>
      </c>
    </row>
    <row r="29" spans="2:67" x14ac:dyDescent="0.3">
      <c r="B29" t="s">
        <v>573</v>
      </c>
      <c r="C29" s="759"/>
      <c r="E29" s="756"/>
      <c r="F29" s="759"/>
      <c r="H29" s="756"/>
      <c r="I29" s="759"/>
      <c r="K29" s="756"/>
      <c r="L29" s="759"/>
      <c r="N29" s="756"/>
      <c r="O29" s="759"/>
      <c r="Q29" s="756">
        <v>1030</v>
      </c>
      <c r="R29" s="759"/>
      <c r="T29" s="756"/>
      <c r="U29" s="759"/>
      <c r="W29" s="756">
        <v>257.5</v>
      </c>
      <c r="X29" s="759"/>
      <c r="Z29" s="756">
        <v>2111.5</v>
      </c>
      <c r="AA29" s="754"/>
      <c r="AB29" s="8"/>
      <c r="AC29" s="756">
        <v>921.13000000000011</v>
      </c>
      <c r="AD29" s="754"/>
      <c r="AE29" s="8"/>
      <c r="AF29" s="756">
        <v>51.5</v>
      </c>
      <c r="AG29" s="754"/>
      <c r="AH29" s="8"/>
      <c r="AI29" s="756">
        <v>644.5</v>
      </c>
      <c r="AJ29" s="754"/>
      <c r="AK29" s="8"/>
      <c r="AL29" s="756"/>
      <c r="AM29" s="16">
        <v>5016.13</v>
      </c>
      <c r="AN29" s="1024">
        <v>0</v>
      </c>
      <c r="AO29" s="1026">
        <v>0</v>
      </c>
      <c r="AP29" s="1026">
        <v>206</v>
      </c>
      <c r="AQ29" s="1026">
        <v>0</v>
      </c>
      <c r="AR29" s="1026">
        <v>0</v>
      </c>
      <c r="AS29" s="1026">
        <v>-927</v>
      </c>
      <c r="AT29" s="1026">
        <v>1500</v>
      </c>
      <c r="AU29" s="1026">
        <v>0</v>
      </c>
      <c r="AV29" s="1026">
        <v>0</v>
      </c>
      <c r="AW29" s="1026">
        <v>0</v>
      </c>
      <c r="AX29" s="1026">
        <v>0</v>
      </c>
      <c r="AY29" s="1026">
        <v>8901.59</v>
      </c>
      <c r="AZ29" s="975">
        <v>0</v>
      </c>
      <c r="BA29" s="975">
        <v>0</v>
      </c>
      <c r="BB29" s="975">
        <f>'MXD P&amp;L'!P88</f>
        <v>0</v>
      </c>
      <c r="BC29" s="975">
        <f>'MXD P&amp;L'!Q88</f>
        <v>0</v>
      </c>
      <c r="BD29" s="975">
        <f>'MXD P&amp;L'!R88</f>
        <v>1424.17</v>
      </c>
      <c r="BE29" s="975">
        <f>'MXD P&amp;L'!S88</f>
        <v>0</v>
      </c>
      <c r="BF29" s="975">
        <f>'MXD P&amp;L'!T88</f>
        <v>0</v>
      </c>
      <c r="BG29" s="975">
        <f>'MXD P&amp;L'!U88</f>
        <v>0</v>
      </c>
      <c r="BH29" s="975">
        <f>'MXD P&amp;L'!V88</f>
        <v>0</v>
      </c>
      <c r="BI29" s="975">
        <f>'MXD P&amp;L'!W88</f>
        <v>0</v>
      </c>
      <c r="BJ29" s="975">
        <f>'MXD P&amp;L'!X88</f>
        <v>0</v>
      </c>
      <c r="BK29" s="975">
        <f>'MXD P&amp;L'!Y89</f>
        <v>0</v>
      </c>
      <c r="BL29" s="1026">
        <f t="shared" si="3"/>
        <v>0</v>
      </c>
      <c r="BM29" s="314">
        <f t="shared" si="4"/>
        <v>206</v>
      </c>
    </row>
    <row r="30" spans="2:67" x14ac:dyDescent="0.3">
      <c r="B30" t="s">
        <v>574</v>
      </c>
      <c r="C30" s="759"/>
      <c r="E30" s="763">
        <v>648</v>
      </c>
      <c r="F30" s="759"/>
      <c r="H30" s="763">
        <v>648</v>
      </c>
      <c r="I30" s="759"/>
      <c r="K30" s="763">
        <v>648</v>
      </c>
      <c r="L30" s="759"/>
      <c r="N30" s="763">
        <v>648</v>
      </c>
      <c r="O30" s="759"/>
      <c r="Q30" s="763">
        <v>648</v>
      </c>
      <c r="R30" s="759"/>
      <c r="T30" s="763">
        <v>648</v>
      </c>
      <c r="U30" s="759"/>
      <c r="W30" s="763">
        <v>648</v>
      </c>
      <c r="X30" s="759"/>
      <c r="Z30" s="763">
        <v>648</v>
      </c>
      <c r="AA30" s="754"/>
      <c r="AB30" s="8"/>
      <c r="AC30" s="763">
        <v>648</v>
      </c>
      <c r="AD30" s="754"/>
      <c r="AE30" s="8"/>
      <c r="AF30" s="763">
        <v>648</v>
      </c>
      <c r="AG30" s="754"/>
      <c r="AH30" s="8"/>
      <c r="AI30" s="763">
        <v>648</v>
      </c>
      <c r="AJ30" s="754"/>
      <c r="AK30" s="8"/>
      <c r="AL30" s="763">
        <v>648</v>
      </c>
      <c r="AM30" s="768">
        <v>7776</v>
      </c>
      <c r="AN30" s="1024">
        <v>648</v>
      </c>
      <c r="AO30" s="1026">
        <v>648</v>
      </c>
      <c r="AP30" s="1026">
        <v>648</v>
      </c>
      <c r="AQ30" s="1026">
        <v>648</v>
      </c>
      <c r="AR30" s="1026">
        <v>648</v>
      </c>
      <c r="AS30" s="1026">
        <v>648</v>
      </c>
      <c r="AT30" s="1026">
        <v>648</v>
      </c>
      <c r="AU30" s="1026">
        <v>648</v>
      </c>
      <c r="AV30" s="1026">
        <v>648</v>
      </c>
      <c r="AW30" s="1026">
        <v>648</v>
      </c>
      <c r="AX30" s="1026">
        <v>648</v>
      </c>
      <c r="AY30" s="1026">
        <v>648</v>
      </c>
      <c r="AZ30" s="975">
        <v>648</v>
      </c>
      <c r="BA30" s="975">
        <v>648</v>
      </c>
      <c r="BB30" s="975">
        <f>'MXD P&amp;L'!P89</f>
        <v>648</v>
      </c>
      <c r="BC30" s="975">
        <f>'MXD P&amp;L'!Q89</f>
        <v>648</v>
      </c>
      <c r="BD30" s="975">
        <f>'MXD P&amp;L'!R89</f>
        <v>648</v>
      </c>
      <c r="BE30" s="975">
        <f>'MXD P&amp;L'!S89</f>
        <v>648</v>
      </c>
      <c r="BF30" s="975">
        <f>'MXD P&amp;L'!T89</f>
        <v>648</v>
      </c>
      <c r="BG30" s="975">
        <f>'MXD P&amp;L'!U89</f>
        <v>648</v>
      </c>
      <c r="BH30" s="975">
        <f>'MXD P&amp;L'!V89</f>
        <v>648</v>
      </c>
      <c r="BI30" s="975">
        <f>'MXD P&amp;L'!W89</f>
        <v>648</v>
      </c>
      <c r="BJ30" s="975">
        <f>'MXD P&amp;L'!X89</f>
        <v>0</v>
      </c>
      <c r="BK30" s="975">
        <f>'MXD P&amp;L'!Y90</f>
        <v>0</v>
      </c>
      <c r="BL30" s="1026">
        <f t="shared" si="3"/>
        <v>2592</v>
      </c>
      <c r="BM30" s="314">
        <f t="shared" si="4"/>
        <v>2592</v>
      </c>
    </row>
    <row r="31" spans="2:67" x14ac:dyDescent="0.3">
      <c r="B31" t="s">
        <v>575</v>
      </c>
      <c r="C31" s="759"/>
      <c r="E31" s="763"/>
      <c r="F31" s="759"/>
      <c r="H31" s="763"/>
      <c r="I31" s="759"/>
      <c r="K31" s="763"/>
      <c r="L31" s="759"/>
      <c r="N31" s="763"/>
      <c r="O31" s="759"/>
      <c r="Q31" s="763">
        <v>1614.74</v>
      </c>
      <c r="R31" s="759"/>
      <c r="T31" s="763">
        <v>269.11999999999989</v>
      </c>
      <c r="U31" s="759"/>
      <c r="W31" s="763">
        <v>269.12000000000012</v>
      </c>
      <c r="X31" s="759"/>
      <c r="Z31" s="763">
        <v>269.11999999999989</v>
      </c>
      <c r="AA31" s="754"/>
      <c r="AB31" s="8"/>
      <c r="AC31" s="763">
        <v>269.11999999999989</v>
      </c>
      <c r="AD31" s="754"/>
      <c r="AE31" s="8"/>
      <c r="AF31" s="763">
        <v>269.12000000000029</v>
      </c>
      <c r="AG31" s="754"/>
      <c r="AH31" s="8"/>
      <c r="AI31" s="763">
        <v>269.11999999999989</v>
      </c>
      <c r="AJ31" s="754"/>
      <c r="AK31" s="8"/>
      <c r="AL31" s="763">
        <v>269.11999999999989</v>
      </c>
      <c r="AM31" s="768">
        <v>3498.58</v>
      </c>
      <c r="AN31" s="1024">
        <v>269.12</v>
      </c>
      <c r="AO31" s="1026">
        <v>269.12</v>
      </c>
      <c r="AP31" s="1026">
        <v>269.12</v>
      </c>
      <c r="AQ31" s="1026">
        <v>269.12</v>
      </c>
      <c r="AR31" s="1026">
        <v>266.75</v>
      </c>
      <c r="AS31" s="1026">
        <v>266.75</v>
      </c>
      <c r="AT31" s="1026">
        <v>266.75</v>
      </c>
      <c r="AU31" s="1026">
        <v>266.75</v>
      </c>
      <c r="AV31" s="1026">
        <v>266.75</v>
      </c>
      <c r="AW31" s="1026">
        <v>266.75</v>
      </c>
      <c r="AX31" s="1026">
        <v>266.75</v>
      </c>
      <c r="AY31" s="1026">
        <v>266.75</v>
      </c>
      <c r="AZ31" s="975">
        <v>266.75</v>
      </c>
      <c r="BA31" s="975">
        <v>266.75</v>
      </c>
      <c r="BB31" s="975">
        <f>'MXD P&amp;L'!P90</f>
        <v>266.75</v>
      </c>
      <c r="BC31" s="975">
        <f>'MXD P&amp;L'!Q90</f>
        <v>537.85</v>
      </c>
      <c r="BD31" s="975">
        <f>'MXD P&amp;L'!R90</f>
        <v>266.75</v>
      </c>
      <c r="BE31" s="975">
        <f>'MXD P&amp;L'!S90</f>
        <v>266.75</v>
      </c>
      <c r="BF31" s="975">
        <f>'MXD P&amp;L'!T90</f>
        <v>1016.75</v>
      </c>
      <c r="BG31" s="975">
        <f>'MXD P&amp;L'!U90</f>
        <v>266.75</v>
      </c>
      <c r="BH31" s="975">
        <f>'MXD P&amp;L'!V90</f>
        <v>266.75</v>
      </c>
      <c r="BI31" s="975">
        <f>'MXD P&amp;L'!W90</f>
        <v>266.75</v>
      </c>
      <c r="BJ31" s="975">
        <f>'MXD P&amp;L'!X90</f>
        <v>0</v>
      </c>
      <c r="BK31" s="975">
        <f>'MXD P&amp;L'!Y91</f>
        <v>0</v>
      </c>
      <c r="BL31" s="1026">
        <f t="shared" si="3"/>
        <v>1338.1</v>
      </c>
      <c r="BM31" s="314">
        <f t="shared" si="4"/>
        <v>1076.48</v>
      </c>
    </row>
    <row r="32" spans="2:67" x14ac:dyDescent="0.3">
      <c r="B32" t="s">
        <v>35</v>
      </c>
      <c r="C32" s="754">
        <v>19</v>
      </c>
      <c r="D32" s="8">
        <v>54</v>
      </c>
      <c r="E32" s="755"/>
      <c r="F32" s="754">
        <v>60</v>
      </c>
      <c r="G32" s="8"/>
      <c r="H32" s="755">
        <v>100.28</v>
      </c>
      <c r="I32" s="754">
        <v>60</v>
      </c>
      <c r="J32" s="8">
        <v>722</v>
      </c>
      <c r="K32" s="755">
        <v>312.67</v>
      </c>
      <c r="L32" s="754">
        <v>60</v>
      </c>
      <c r="M32" s="8"/>
      <c r="N32" s="755">
        <v>144.97</v>
      </c>
      <c r="O32" s="754">
        <v>60</v>
      </c>
      <c r="P32" s="8">
        <v>228</v>
      </c>
      <c r="Q32" s="755"/>
      <c r="R32" s="754">
        <v>60</v>
      </c>
      <c r="S32" s="8">
        <v>100</v>
      </c>
      <c r="T32" s="755">
        <v>232.88</v>
      </c>
      <c r="U32" s="754">
        <v>60</v>
      </c>
      <c r="V32" s="8">
        <v>101</v>
      </c>
      <c r="W32" s="755"/>
      <c r="X32" s="754">
        <v>571</v>
      </c>
      <c r="Y32" s="8">
        <v>134</v>
      </c>
      <c r="Z32" s="755">
        <v>128.0500000000001</v>
      </c>
      <c r="AA32" s="754">
        <v>77</v>
      </c>
      <c r="AB32" s="8">
        <v>141</v>
      </c>
      <c r="AC32" s="755">
        <v>4.5799999999999272</v>
      </c>
      <c r="AD32" s="754">
        <v>77</v>
      </c>
      <c r="AE32" s="8">
        <v>132</v>
      </c>
      <c r="AF32" s="755"/>
      <c r="AG32" s="754">
        <v>34</v>
      </c>
      <c r="AH32" s="8"/>
      <c r="AI32" s="755"/>
      <c r="AJ32" s="754">
        <v>55</v>
      </c>
      <c r="AK32" s="8"/>
      <c r="AL32" s="755"/>
      <c r="AM32" s="18">
        <v>923.43000000000006</v>
      </c>
      <c r="AN32" s="1024"/>
      <c r="AO32" s="1026">
        <v>0</v>
      </c>
      <c r="AP32" s="1026">
        <v>0</v>
      </c>
      <c r="AQ32" s="1026">
        <v>0</v>
      </c>
      <c r="AR32" s="1026">
        <v>0</v>
      </c>
      <c r="AS32" s="1026">
        <v>0</v>
      </c>
      <c r="AT32" s="1026">
        <v>0</v>
      </c>
      <c r="AU32" s="1026">
        <v>0</v>
      </c>
      <c r="AV32" s="1026">
        <v>0</v>
      </c>
      <c r="AW32" s="1026">
        <v>0</v>
      </c>
      <c r="AX32" s="1026">
        <v>0</v>
      </c>
      <c r="AY32" s="1026">
        <v>0</v>
      </c>
      <c r="AZ32" s="1026"/>
      <c r="BA32" s="1026"/>
      <c r="BB32" s="1026"/>
      <c r="BC32" s="1026"/>
      <c r="BD32" s="1026"/>
      <c r="BE32" s="1026"/>
      <c r="BF32" s="1026"/>
      <c r="BG32" s="1026"/>
      <c r="BH32" s="1026"/>
      <c r="BI32" s="1026"/>
      <c r="BJ32" s="1026"/>
      <c r="BK32" s="1026"/>
      <c r="BL32" s="1026">
        <f t="shared" si="3"/>
        <v>0</v>
      </c>
      <c r="BM32" s="314">
        <f t="shared" si="4"/>
        <v>0</v>
      </c>
    </row>
    <row r="33" spans="2:65" x14ac:dyDescent="0.3">
      <c r="B33" s="7" t="s">
        <v>41</v>
      </c>
      <c r="C33" s="906">
        <v>33914</v>
      </c>
      <c r="D33" s="901">
        <v>61148</v>
      </c>
      <c r="E33" s="907">
        <v>45449.659999999996</v>
      </c>
      <c r="F33" s="906">
        <v>30415</v>
      </c>
      <c r="G33" s="901">
        <v>51921</v>
      </c>
      <c r="H33" s="907">
        <v>50714.708299999991</v>
      </c>
      <c r="I33" s="906">
        <v>30612</v>
      </c>
      <c r="J33" s="901">
        <v>46199</v>
      </c>
      <c r="K33" s="907">
        <v>60364.359999999993</v>
      </c>
      <c r="L33" s="906">
        <v>35535</v>
      </c>
      <c r="M33" s="901">
        <v>41451</v>
      </c>
      <c r="N33" s="907">
        <v>58227.279999999992</v>
      </c>
      <c r="O33" s="906">
        <v>37747</v>
      </c>
      <c r="P33" s="901">
        <v>43482</v>
      </c>
      <c r="Q33" s="907">
        <v>58166.929999999993</v>
      </c>
      <c r="R33" s="906">
        <v>33000</v>
      </c>
      <c r="S33" s="901">
        <v>40742</v>
      </c>
      <c r="T33" s="907">
        <v>54957.140000000043</v>
      </c>
      <c r="U33" s="906">
        <v>37948</v>
      </c>
      <c r="V33" s="901">
        <v>48868</v>
      </c>
      <c r="W33" s="907">
        <v>62334.229999999981</v>
      </c>
      <c r="X33" s="906">
        <v>37019</v>
      </c>
      <c r="Y33" s="901">
        <v>50261</v>
      </c>
      <c r="Z33" s="907">
        <v>63711.04000000003</v>
      </c>
      <c r="AA33" s="906">
        <v>39103</v>
      </c>
      <c r="AB33" s="901">
        <v>46801</v>
      </c>
      <c r="AC33" s="907">
        <v>56428.530000000006</v>
      </c>
      <c r="AD33" s="906">
        <v>48664</v>
      </c>
      <c r="AE33" s="901">
        <v>46186</v>
      </c>
      <c r="AF33" s="907">
        <v>64137.129999999925</v>
      </c>
      <c r="AG33" s="906">
        <v>42281</v>
      </c>
      <c r="AH33" s="901">
        <v>206</v>
      </c>
      <c r="AI33" s="907">
        <v>53542</v>
      </c>
      <c r="AJ33" s="906">
        <v>47236</v>
      </c>
      <c r="AK33" s="901">
        <v>206</v>
      </c>
      <c r="AL33" s="907">
        <v>65086.400000000023</v>
      </c>
      <c r="AM33" s="901">
        <v>693119.40829999989</v>
      </c>
      <c r="AN33" s="906">
        <f>SUM(AN21:AN32)</f>
        <v>60188.14</v>
      </c>
      <c r="AO33" s="901">
        <f t="shared" ref="AO33:BM33" si="5">SUM(AO21:AO32)</f>
        <v>59562.390000000014</v>
      </c>
      <c r="AP33" s="901">
        <f t="shared" si="5"/>
        <v>67874.39999999998</v>
      </c>
      <c r="AQ33" s="901">
        <f t="shared" si="5"/>
        <v>62141.98</v>
      </c>
      <c r="AR33" s="901">
        <f t="shared" si="5"/>
        <v>74791.600000000006</v>
      </c>
      <c r="AS33" s="901">
        <f t="shared" si="5"/>
        <v>75057.010000000009</v>
      </c>
      <c r="AT33" s="901">
        <f t="shared" si="5"/>
        <v>82952.539999999994</v>
      </c>
      <c r="AU33" s="901">
        <f t="shared" si="5"/>
        <v>68068.460000000006</v>
      </c>
      <c r="AV33" s="901">
        <f t="shared" si="5"/>
        <v>63530.189999999995</v>
      </c>
      <c r="AW33" s="901">
        <f t="shared" si="5"/>
        <v>56958.159999999996</v>
      </c>
      <c r="AX33" s="901">
        <f t="shared" si="5"/>
        <v>64169.840000000011</v>
      </c>
      <c r="AY33" s="901">
        <f t="shared" si="5"/>
        <v>74331.099999999991</v>
      </c>
      <c r="AZ33" s="899">
        <f t="shared" si="5"/>
        <v>70663.429999999993</v>
      </c>
      <c r="BA33" s="899">
        <f t="shared" si="5"/>
        <v>63826.369999999995</v>
      </c>
      <c r="BB33" s="899">
        <f>SUM(BB21:BB32)</f>
        <v>68407.91</v>
      </c>
      <c r="BC33" s="899">
        <f>SUM(BC21:BC32)</f>
        <v>61148.18</v>
      </c>
      <c r="BD33" s="899">
        <f t="shared" ref="BD33:BK33" si="6">SUM(BD21:BD32)</f>
        <v>70360.69</v>
      </c>
      <c r="BE33" s="899">
        <f t="shared" si="6"/>
        <v>63849.98</v>
      </c>
      <c r="BF33" s="899">
        <f t="shared" si="6"/>
        <v>54625.05</v>
      </c>
      <c r="BG33" s="899">
        <f t="shared" si="6"/>
        <v>62270.950000000004</v>
      </c>
      <c r="BH33" s="899">
        <f t="shared" si="6"/>
        <v>61417.930000000008</v>
      </c>
      <c r="BI33" s="899">
        <f t="shared" si="6"/>
        <v>63014.179999999993</v>
      </c>
      <c r="BJ33" s="899">
        <f t="shared" si="6"/>
        <v>0</v>
      </c>
      <c r="BK33" s="899">
        <f t="shared" si="6"/>
        <v>0</v>
      </c>
      <c r="BL33" s="899">
        <f t="shared" si="5"/>
        <v>264045.8899999999</v>
      </c>
      <c r="BM33" s="899">
        <f t="shared" si="5"/>
        <v>249766.90999999997</v>
      </c>
    </row>
    <row r="34" spans="2:65" ht="18" customHeight="1" x14ac:dyDescent="0.3">
      <c r="C34" s="759"/>
      <c r="E34" s="764"/>
      <c r="F34" s="759"/>
      <c r="H34" s="764"/>
      <c r="I34" s="759"/>
      <c r="K34" s="764"/>
      <c r="L34" s="759"/>
      <c r="N34" s="764"/>
      <c r="O34" s="759"/>
      <c r="Q34" s="764"/>
      <c r="R34" s="759"/>
      <c r="T34" s="764"/>
      <c r="U34" s="759"/>
      <c r="W34" s="764"/>
      <c r="X34" s="759"/>
      <c r="Z34" s="764"/>
      <c r="AA34" s="759"/>
      <c r="AC34" s="764"/>
      <c r="AD34" s="759"/>
      <c r="AF34" s="764"/>
      <c r="AG34" s="759"/>
      <c r="AI34" s="764">
        <v>171203.73</v>
      </c>
      <c r="AJ34" s="759"/>
      <c r="AL34" s="764">
        <v>191144.53999999998</v>
      </c>
      <c r="AN34" s="962"/>
      <c r="AO34" s="314"/>
      <c r="AP34" s="314"/>
      <c r="AQ34" s="314"/>
      <c r="AR34" s="314"/>
      <c r="AS34" s="314"/>
      <c r="AT34" s="314"/>
      <c r="AU34" s="314"/>
      <c r="AV34" s="314"/>
      <c r="AW34" s="314"/>
      <c r="AX34" s="314"/>
      <c r="AY34" s="314"/>
      <c r="AZ34" s="314"/>
      <c r="BA34" s="314"/>
      <c r="BB34" s="314"/>
      <c r="BC34" s="314"/>
      <c r="BD34" s="314"/>
      <c r="BE34" s="314"/>
      <c r="BF34" s="314"/>
      <c r="BG34" s="314"/>
      <c r="BH34" s="314"/>
      <c r="BI34" s="314"/>
      <c r="BJ34" s="314"/>
      <c r="BK34" s="314"/>
      <c r="BL34" s="314"/>
    </row>
    <row r="35" spans="2:65" x14ac:dyDescent="0.3">
      <c r="B35" s="7" t="s">
        <v>38</v>
      </c>
      <c r="C35" s="752"/>
      <c r="D35" s="1"/>
      <c r="E35" s="753"/>
      <c r="F35" s="752"/>
      <c r="G35" s="1"/>
      <c r="H35" s="753"/>
      <c r="I35" s="752"/>
      <c r="J35" s="1"/>
      <c r="K35" s="753"/>
      <c r="L35" s="752"/>
      <c r="M35" s="1"/>
      <c r="N35" s="753"/>
      <c r="O35" s="752"/>
      <c r="P35" s="1"/>
      <c r="Q35" s="753"/>
      <c r="R35" s="752"/>
      <c r="S35" s="1"/>
      <c r="T35" s="753"/>
      <c r="U35" s="752"/>
      <c r="V35" s="1"/>
      <c r="W35" s="753"/>
      <c r="X35" s="752"/>
      <c r="Y35" s="1"/>
      <c r="Z35" s="753"/>
      <c r="AA35" s="752"/>
      <c r="AB35" s="1"/>
      <c r="AC35" s="753"/>
      <c r="AD35" s="752"/>
      <c r="AE35" s="1"/>
      <c r="AF35" s="753"/>
      <c r="AG35" s="752"/>
      <c r="AH35" s="1"/>
      <c r="AI35" s="753"/>
      <c r="AJ35" s="752"/>
      <c r="AK35" s="1"/>
      <c r="AL35" s="753"/>
      <c r="AM35" s="1"/>
      <c r="AN35" s="752"/>
      <c r="AO35" s="1"/>
      <c r="AP35" s="1"/>
      <c r="AQ35" s="1"/>
      <c r="AR35" s="1"/>
      <c r="AS35" s="1"/>
      <c r="AT35" s="1"/>
      <c r="AU35" s="1"/>
      <c r="AV35" s="1"/>
      <c r="AW35" s="1"/>
      <c r="AX35" s="1"/>
      <c r="AY35" s="1"/>
      <c r="AZ35" s="1"/>
      <c r="BA35" s="1"/>
      <c r="BB35" s="1"/>
      <c r="BC35" s="1"/>
      <c r="BD35" s="1"/>
      <c r="BE35" s="1"/>
      <c r="BF35" s="1"/>
      <c r="BG35" s="1"/>
      <c r="BH35" s="1"/>
      <c r="BI35" s="1"/>
      <c r="BJ35" s="1"/>
      <c r="BK35" s="1"/>
      <c r="BL35" s="1"/>
      <c r="BM35" s="1"/>
    </row>
    <row r="36" spans="2:65" x14ac:dyDescent="0.3">
      <c r="B36" t="s">
        <v>576</v>
      </c>
      <c r="C36" s="757">
        <v>38129</v>
      </c>
      <c r="D36" s="12">
        <v>35108</v>
      </c>
      <c r="E36" s="755">
        <v>34553.96</v>
      </c>
      <c r="F36" s="757">
        <v>30108</v>
      </c>
      <c r="G36" s="12">
        <v>35318</v>
      </c>
      <c r="H36" s="755">
        <v>35585.759999999995</v>
      </c>
      <c r="I36" s="757">
        <v>29830</v>
      </c>
      <c r="J36" s="12">
        <v>28481</v>
      </c>
      <c r="K36" s="755">
        <v>34229.130000000005</v>
      </c>
      <c r="L36" s="757">
        <v>32880</v>
      </c>
      <c r="M36" s="12">
        <v>40121</v>
      </c>
      <c r="N36" s="755">
        <v>28869.240000000013</v>
      </c>
      <c r="O36" s="757">
        <v>32960</v>
      </c>
      <c r="P36" s="12">
        <v>28982</v>
      </c>
      <c r="Q36" s="755">
        <v>27136.969999999994</v>
      </c>
      <c r="R36" s="757">
        <v>29391</v>
      </c>
      <c r="S36" s="12">
        <v>31634</v>
      </c>
      <c r="T36" s="755">
        <v>28804.44999999999</v>
      </c>
      <c r="U36" s="757">
        <v>34133</v>
      </c>
      <c r="V36" s="12">
        <v>29062</v>
      </c>
      <c r="W36" s="755">
        <v>35249.270000000026</v>
      </c>
      <c r="X36" s="757">
        <v>34484</v>
      </c>
      <c r="Y36" s="12">
        <v>31821</v>
      </c>
      <c r="Z36" s="755">
        <v>32105.700000000019</v>
      </c>
      <c r="AA36" s="757">
        <v>30467</v>
      </c>
      <c r="AB36" s="12">
        <v>31566</v>
      </c>
      <c r="AC36" s="755">
        <v>36214.430000000008</v>
      </c>
      <c r="AD36" s="757">
        <v>35295</v>
      </c>
      <c r="AE36" s="12">
        <v>31392</v>
      </c>
      <c r="AF36" s="755">
        <v>43088.689999999973</v>
      </c>
      <c r="AG36" s="757">
        <v>32256</v>
      </c>
      <c r="AH36" s="12"/>
      <c r="AI36" s="755">
        <v>43266.420000000013</v>
      </c>
      <c r="AJ36" s="757">
        <v>37848</v>
      </c>
      <c r="AK36" s="12"/>
      <c r="AL36" s="755">
        <v>48835.569999999978</v>
      </c>
      <c r="AM36" s="17">
        <v>427939.58999999997</v>
      </c>
      <c r="AN36" s="973">
        <v>37206.959999999999</v>
      </c>
      <c r="AO36" s="975">
        <v>43988.68</v>
      </c>
      <c r="AP36" s="975">
        <v>56578.49</v>
      </c>
      <c r="AQ36" s="975">
        <v>43084.31</v>
      </c>
      <c r="AR36" s="975">
        <v>50745.14</v>
      </c>
      <c r="AS36" s="975">
        <v>53613.08</v>
      </c>
      <c r="AT36" s="975">
        <v>60914.559999999998</v>
      </c>
      <c r="AU36" s="975">
        <v>53849.23</v>
      </c>
      <c r="AV36" s="975">
        <v>50356.160000000003</v>
      </c>
      <c r="AW36" s="975">
        <v>52059.14</v>
      </c>
      <c r="AX36" s="975">
        <v>46642.95</v>
      </c>
      <c r="AY36" s="975">
        <v>56721.09</v>
      </c>
      <c r="AZ36" s="975">
        <f>'MXD P&amp;L'!N70</f>
        <v>50412.11</v>
      </c>
      <c r="BA36" s="975">
        <f>'MXD P&amp;L'!O70</f>
        <v>42460.639999999999</v>
      </c>
      <c r="BB36" s="975">
        <f>'MXD P&amp;L'!P70</f>
        <v>69570.73</v>
      </c>
      <c r="BC36" s="975">
        <f>'MXD P&amp;L'!Q70</f>
        <v>48681.7</v>
      </c>
      <c r="BD36" s="975">
        <f>'MXD P&amp;L'!R70</f>
        <v>57238.81</v>
      </c>
      <c r="BE36" s="975">
        <f>'MXD P&amp;L'!S70</f>
        <v>61379.22</v>
      </c>
      <c r="BF36" s="975">
        <f>'MXD P&amp;L'!T70</f>
        <v>53396.81</v>
      </c>
      <c r="BG36" s="975">
        <f>'MXD P&amp;L'!U70</f>
        <v>56404.38</v>
      </c>
      <c r="BH36" s="975">
        <f>'MXD P&amp;L'!V70</f>
        <v>51776.03</v>
      </c>
      <c r="BI36" s="975">
        <f>'MXD P&amp;L'!W70</f>
        <v>52945.68</v>
      </c>
      <c r="BJ36" s="975">
        <f>'MXD P&amp;L'!X70</f>
        <v>0</v>
      </c>
      <c r="BK36" s="975">
        <f>'MXD P&amp;L'!Y71</f>
        <v>0</v>
      </c>
      <c r="BL36" s="1026">
        <f t="shared" ref="BL36:BL46" si="7">SUM(AZ36:BK36)</f>
        <v>544266.11</v>
      </c>
      <c r="BM36" s="314">
        <f t="shared" ref="BM36:BM46" si="8">SUM(AN36:AQ36)</f>
        <v>180858.44</v>
      </c>
    </row>
    <row r="37" spans="2:65" x14ac:dyDescent="0.3">
      <c r="B37" t="s">
        <v>577</v>
      </c>
      <c r="C37" s="757">
        <v>3859</v>
      </c>
      <c r="D37" s="12">
        <v>3166</v>
      </c>
      <c r="E37" s="755">
        <v>2687.02</v>
      </c>
      <c r="F37" s="757">
        <v>2597</v>
      </c>
      <c r="G37" s="12">
        <v>3234</v>
      </c>
      <c r="H37" s="755">
        <v>2301.81</v>
      </c>
      <c r="I37" s="757">
        <v>2394</v>
      </c>
      <c r="J37" s="12">
        <v>2278</v>
      </c>
      <c r="K37" s="755">
        <v>2551.2099999999991</v>
      </c>
      <c r="L37" s="757">
        <v>2425</v>
      </c>
      <c r="M37" s="12">
        <v>3100</v>
      </c>
      <c r="N37" s="755">
        <v>2191.4500000000007</v>
      </c>
      <c r="O37" s="757">
        <v>2263</v>
      </c>
      <c r="P37" s="12">
        <v>-560</v>
      </c>
      <c r="Q37" s="755">
        <v>2063.2299999999987</v>
      </c>
      <c r="R37" s="757">
        <v>2157</v>
      </c>
      <c r="S37" s="12">
        <v>1719</v>
      </c>
      <c r="T37" s="755">
        <v>2194.69</v>
      </c>
      <c r="U37" s="757">
        <v>2555</v>
      </c>
      <c r="V37" s="12">
        <v>798</v>
      </c>
      <c r="W37" s="755">
        <v>2634.65</v>
      </c>
      <c r="X37" s="757">
        <v>2664</v>
      </c>
      <c r="Y37" s="12">
        <v>1686</v>
      </c>
      <c r="Z37" s="755">
        <v>2422.9099999999989</v>
      </c>
      <c r="AA37" s="757">
        <v>2277</v>
      </c>
      <c r="AB37" s="12">
        <v>2318</v>
      </c>
      <c r="AC37" s="755">
        <v>2729.2100000000009</v>
      </c>
      <c r="AD37" s="757">
        <v>2626</v>
      </c>
      <c r="AE37" s="12">
        <v>2366</v>
      </c>
      <c r="AF37" s="755">
        <v>3387.5800000000027</v>
      </c>
      <c r="AG37" s="757">
        <v>2233</v>
      </c>
      <c r="AH37" s="12"/>
      <c r="AI37" s="755">
        <v>3286.949999999998</v>
      </c>
      <c r="AJ37" s="757">
        <v>2719</v>
      </c>
      <c r="AK37" s="12"/>
      <c r="AL37" s="755">
        <v>4044.6099999999983</v>
      </c>
      <c r="AM37" s="17">
        <v>32495.319999999996</v>
      </c>
      <c r="AN37" s="973">
        <v>3019.57</v>
      </c>
      <c r="AO37" s="975">
        <v>5181</v>
      </c>
      <c r="AP37" s="975">
        <v>4824.53</v>
      </c>
      <c r="AQ37" s="975">
        <v>3300.39</v>
      </c>
      <c r="AR37" s="975">
        <v>4312.49</v>
      </c>
      <c r="AS37" s="975">
        <v>4061.82</v>
      </c>
      <c r="AT37" s="975">
        <v>4794.96</v>
      </c>
      <c r="AU37" s="975">
        <v>4139.8900000000003</v>
      </c>
      <c r="AV37" s="975">
        <v>3830.27</v>
      </c>
      <c r="AW37" s="975">
        <v>4392.9799999999996</v>
      </c>
      <c r="AX37" s="975">
        <v>3853.72</v>
      </c>
      <c r="AY37" s="975">
        <v>5915.58</v>
      </c>
      <c r="AZ37" s="975">
        <f>'MXD P&amp;L'!N71</f>
        <v>5715.06</v>
      </c>
      <c r="BA37" s="975">
        <f>'MXD P&amp;L'!O71</f>
        <v>4017.14</v>
      </c>
      <c r="BB37" s="975">
        <f>'MXD P&amp;L'!P71</f>
        <v>4531.03</v>
      </c>
      <c r="BC37" s="975">
        <f>'MXD P&amp;L'!Q71</f>
        <v>3682.77</v>
      </c>
      <c r="BD37" s="975">
        <f>'MXD P&amp;L'!R71</f>
        <v>4495.07</v>
      </c>
      <c r="BE37" s="975">
        <f>'MXD P&amp;L'!S71</f>
        <v>5679.56</v>
      </c>
      <c r="BF37" s="975">
        <f>'MXD P&amp;L'!T71</f>
        <v>4846.62</v>
      </c>
      <c r="BG37" s="975">
        <f>'MXD P&amp;L'!U71</f>
        <v>4441.3</v>
      </c>
      <c r="BH37" s="975">
        <f>'MXD P&amp;L'!V71</f>
        <v>3924.99</v>
      </c>
      <c r="BI37" s="975">
        <f>'MXD P&amp;L'!W71</f>
        <v>3981.31</v>
      </c>
      <c r="BJ37" s="975">
        <f>'MXD P&amp;L'!X71</f>
        <v>0</v>
      </c>
      <c r="BK37" s="975">
        <f>'MXD P&amp;L'!Y72</f>
        <v>0</v>
      </c>
      <c r="BL37" s="1026">
        <f t="shared" si="7"/>
        <v>45314.85</v>
      </c>
      <c r="BM37" s="314">
        <f t="shared" si="8"/>
        <v>16325.489999999998</v>
      </c>
    </row>
    <row r="38" spans="2:65" x14ac:dyDescent="0.3">
      <c r="B38" t="s">
        <v>578</v>
      </c>
      <c r="C38" s="757">
        <v>1839</v>
      </c>
      <c r="D38" s="12">
        <v>2142</v>
      </c>
      <c r="E38" s="755">
        <v>1607.26</v>
      </c>
      <c r="F38" s="757">
        <v>1839</v>
      </c>
      <c r="G38" s="12">
        <v>2409</v>
      </c>
      <c r="H38" s="755">
        <v>1607.24</v>
      </c>
      <c r="I38" s="757">
        <v>1714</v>
      </c>
      <c r="J38" s="12">
        <v>1875</v>
      </c>
      <c r="K38" s="755">
        <v>1607.23</v>
      </c>
      <c r="L38" s="757">
        <v>1714</v>
      </c>
      <c r="M38" s="12">
        <v>2145</v>
      </c>
      <c r="N38" s="755">
        <v>1343.09</v>
      </c>
      <c r="O38" s="757">
        <v>1714</v>
      </c>
      <c r="P38" s="12">
        <v>2409</v>
      </c>
      <c r="Q38" s="755">
        <v>432.36999999999989</v>
      </c>
      <c r="R38" s="757">
        <v>1469</v>
      </c>
      <c r="S38" s="12">
        <v>1610</v>
      </c>
      <c r="T38" s="755">
        <v>1075.75</v>
      </c>
      <c r="U38" s="757">
        <v>1469</v>
      </c>
      <c r="V38" s="12">
        <v>1607</v>
      </c>
      <c r="W38" s="755">
        <v>1075.7500000000009</v>
      </c>
      <c r="X38" s="757">
        <v>1469</v>
      </c>
      <c r="Y38" s="12">
        <v>970</v>
      </c>
      <c r="Z38" s="755">
        <v>1075.75</v>
      </c>
      <c r="AA38" s="757">
        <v>2397</v>
      </c>
      <c r="AB38" s="12">
        <v>970</v>
      </c>
      <c r="AC38" s="755">
        <v>1075.75</v>
      </c>
      <c r="AD38" s="757">
        <v>1664</v>
      </c>
      <c r="AE38" s="12">
        <v>2129</v>
      </c>
      <c r="AF38" s="755">
        <v>1610.43</v>
      </c>
      <c r="AG38" s="757">
        <v>1714</v>
      </c>
      <c r="AH38" s="12"/>
      <c r="AI38" s="755">
        <v>808.40999999999985</v>
      </c>
      <c r="AJ38" s="757">
        <v>2203</v>
      </c>
      <c r="AK38" s="12"/>
      <c r="AL38" s="755">
        <v>1075.75</v>
      </c>
      <c r="AM38" s="17">
        <v>14394.78</v>
      </c>
      <c r="AN38" s="973">
        <v>1684.25</v>
      </c>
      <c r="AO38" s="975">
        <v>859.1</v>
      </c>
      <c r="AP38" s="975">
        <v>1141.2</v>
      </c>
      <c r="AQ38" s="975">
        <v>1684.25</v>
      </c>
      <c r="AR38" s="975">
        <v>1695.8</v>
      </c>
      <c r="AS38" s="975">
        <v>1416.9</v>
      </c>
      <c r="AT38" s="975">
        <v>1977.9</v>
      </c>
      <c r="AU38" s="975">
        <v>1977.9</v>
      </c>
      <c r="AV38" s="975">
        <v>1977.9</v>
      </c>
      <c r="AW38" s="975">
        <v>1974.7</v>
      </c>
      <c r="AX38" s="975">
        <v>2260</v>
      </c>
      <c r="AY38" s="975">
        <v>1909.83</v>
      </c>
      <c r="AZ38" s="975">
        <f>'MXD P&amp;L'!N72</f>
        <v>1841.12</v>
      </c>
      <c r="BA38" s="975">
        <f>'MXD P&amp;L'!O72</f>
        <v>2200.4</v>
      </c>
      <c r="BB38" s="975">
        <f>'MXD P&amp;L'!P72</f>
        <v>1428.18</v>
      </c>
      <c r="BC38" s="975">
        <f>'MXD P&amp;L'!Q72</f>
        <v>1885.2</v>
      </c>
      <c r="BD38" s="975">
        <f>'MXD P&amp;L'!R72</f>
        <v>1884.6</v>
      </c>
      <c r="BE38" s="975">
        <f>'MXD P&amp;L'!S72</f>
        <v>1884.6</v>
      </c>
      <c r="BF38" s="975">
        <f>'MXD P&amp;L'!T72</f>
        <v>1891.4</v>
      </c>
      <c r="BG38" s="975">
        <f>'MXD P&amp;L'!U72</f>
        <v>1891.4</v>
      </c>
      <c r="BH38" s="975">
        <f>'MXD P&amp;L'!V72</f>
        <v>1891.4</v>
      </c>
      <c r="BI38" s="975">
        <f>'MXD P&amp;L'!W72</f>
        <v>1888</v>
      </c>
      <c r="BJ38" s="975">
        <f>'MXD P&amp;L'!X72</f>
        <v>0</v>
      </c>
      <c r="BK38" s="975">
        <f>'MXD P&amp;L'!Y73</f>
        <v>0</v>
      </c>
      <c r="BL38" s="1026">
        <f t="shared" si="7"/>
        <v>18686.3</v>
      </c>
      <c r="BM38" s="314">
        <f t="shared" si="8"/>
        <v>5368.8</v>
      </c>
    </row>
    <row r="39" spans="2:65" x14ac:dyDescent="0.3">
      <c r="B39" t="s">
        <v>579</v>
      </c>
      <c r="C39" s="757"/>
      <c r="D39" s="12"/>
      <c r="E39" s="755"/>
      <c r="F39" s="757"/>
      <c r="G39" s="12"/>
      <c r="H39" s="755"/>
      <c r="I39" s="757"/>
      <c r="J39" s="12"/>
      <c r="K39" s="755"/>
      <c r="L39" s="757"/>
      <c r="M39" s="12"/>
      <c r="N39" s="755"/>
      <c r="O39" s="757"/>
      <c r="P39" s="12"/>
      <c r="Q39" s="755"/>
      <c r="R39" s="757"/>
      <c r="S39" s="12"/>
      <c r="T39" s="755"/>
      <c r="U39" s="757"/>
      <c r="V39" s="12"/>
      <c r="W39" s="755"/>
      <c r="X39" s="757"/>
      <c r="Y39" s="12"/>
      <c r="Z39" s="755"/>
      <c r="AA39" s="757"/>
      <c r="AB39" s="12"/>
      <c r="AC39" s="755">
        <v>1500</v>
      </c>
      <c r="AD39" s="757"/>
      <c r="AE39" s="12"/>
      <c r="AF39" s="755"/>
      <c r="AG39" s="757"/>
      <c r="AH39" s="12"/>
      <c r="AI39" s="755"/>
      <c r="AJ39" s="757"/>
      <c r="AK39" s="12"/>
      <c r="AL39" s="755">
        <v>5983.26</v>
      </c>
      <c r="AM39" s="768">
        <v>7483.26</v>
      </c>
      <c r="AN39" s="1024">
        <v>1500</v>
      </c>
      <c r="AO39" s="975">
        <v>18000</v>
      </c>
      <c r="AP39" s="975">
        <v>3000</v>
      </c>
      <c r="AQ39" s="1026">
        <v>0</v>
      </c>
      <c r="AR39" s="975">
        <v>7274.59</v>
      </c>
      <c r="AS39" s="975">
        <v>0</v>
      </c>
      <c r="AT39" s="975">
        <v>2500</v>
      </c>
      <c r="AU39" s="975">
        <v>0</v>
      </c>
      <c r="AV39" s="975">
        <v>0</v>
      </c>
      <c r="AW39" s="975">
        <v>5844.57</v>
      </c>
      <c r="AX39" s="975">
        <v>2655.28</v>
      </c>
      <c r="AY39" s="975">
        <v>22252.84</v>
      </c>
      <c r="AZ39" s="975">
        <f>'MXD P&amp;L'!N73</f>
        <v>6597.06</v>
      </c>
      <c r="BA39" s="975">
        <f>'MXD P&amp;L'!O73</f>
        <v>0</v>
      </c>
      <c r="BB39" s="975">
        <f>'MXD P&amp;L'!P73</f>
        <v>0</v>
      </c>
      <c r="BC39" s="975">
        <f>'MXD P&amp;L'!Q73</f>
        <v>0</v>
      </c>
      <c r="BD39" s="975">
        <f>'MXD P&amp;L'!R73</f>
        <v>0</v>
      </c>
      <c r="BE39" s="975">
        <f>'MXD P&amp;L'!S73</f>
        <v>0.01</v>
      </c>
      <c r="BF39" s="975">
        <f>'MXD P&amp;L'!T73</f>
        <v>0</v>
      </c>
      <c r="BG39" s="975">
        <f>'MXD P&amp;L'!U73</f>
        <v>0</v>
      </c>
      <c r="BH39" s="975">
        <f>'MXD P&amp;L'!V73</f>
        <v>0</v>
      </c>
      <c r="BI39" s="975">
        <f>'MXD P&amp;L'!W73</f>
        <v>0</v>
      </c>
      <c r="BJ39" s="975">
        <f>'MXD P&amp;L'!X73</f>
        <v>0</v>
      </c>
      <c r="BK39" s="975">
        <f>'MXD P&amp;L'!Y74</f>
        <v>0</v>
      </c>
      <c r="BL39" s="1026">
        <f t="shared" si="7"/>
        <v>6597.0700000000006</v>
      </c>
      <c r="BM39" s="314">
        <f t="shared" si="8"/>
        <v>22500</v>
      </c>
    </row>
    <row r="40" spans="2:65" x14ac:dyDescent="0.3">
      <c r="B40" t="s">
        <v>580</v>
      </c>
      <c r="C40" s="757"/>
      <c r="D40" s="12">
        <v>482</v>
      </c>
      <c r="E40" s="755">
        <v>226.38</v>
      </c>
      <c r="F40" s="757"/>
      <c r="G40" s="12">
        <v>482</v>
      </c>
      <c r="H40" s="755"/>
      <c r="I40" s="757"/>
      <c r="J40" s="12">
        <v>482</v>
      </c>
      <c r="K40" s="755"/>
      <c r="L40" s="757"/>
      <c r="M40" s="12">
        <v>482</v>
      </c>
      <c r="N40" s="755"/>
      <c r="O40" s="757">
        <v>860</v>
      </c>
      <c r="P40" s="12">
        <v>730</v>
      </c>
      <c r="Q40" s="755">
        <v>289.47000000000003</v>
      </c>
      <c r="R40" s="757">
        <v>482</v>
      </c>
      <c r="S40" s="12">
        <v>226</v>
      </c>
      <c r="T40" s="755">
        <v>262.14</v>
      </c>
      <c r="U40" s="757">
        <v>482</v>
      </c>
      <c r="V40" s="12">
        <v>226</v>
      </c>
      <c r="W40" s="755">
        <v>262.1400000000001</v>
      </c>
      <c r="X40" s="757">
        <v>482</v>
      </c>
      <c r="Y40" s="12">
        <v>226</v>
      </c>
      <c r="Z40" s="755">
        <v>918.55</v>
      </c>
      <c r="AA40" s="757">
        <v>-1296</v>
      </c>
      <c r="AB40" s="12">
        <v>226</v>
      </c>
      <c r="AC40" s="755">
        <v>262.1400000000001</v>
      </c>
      <c r="AD40" s="757">
        <v>482</v>
      </c>
      <c r="AE40" s="12">
        <v>1764</v>
      </c>
      <c r="AF40" s="755">
        <v>262.13999999999987</v>
      </c>
      <c r="AG40" s="757">
        <v>482</v>
      </c>
      <c r="AH40" s="12">
        <v>226</v>
      </c>
      <c r="AI40" s="755">
        <v>262.13999999999987</v>
      </c>
      <c r="AJ40" s="757">
        <v>482</v>
      </c>
      <c r="AK40" s="12">
        <v>226</v>
      </c>
      <c r="AL40" s="755">
        <v>-538.31000000000017</v>
      </c>
      <c r="AM40" s="12">
        <v>2206.79</v>
      </c>
      <c r="AN40" s="1024">
        <v>262.14</v>
      </c>
      <c r="AO40" s="975">
        <v>262.14</v>
      </c>
      <c r="AP40" s="975">
        <v>262.14</v>
      </c>
      <c r="AQ40" s="1026">
        <v>262.14</v>
      </c>
      <c r="AR40" s="975">
        <v>669.2</v>
      </c>
      <c r="AS40" s="975">
        <v>669.2</v>
      </c>
      <c r="AT40" s="975">
        <v>670</v>
      </c>
      <c r="AU40" s="975">
        <v>668.4</v>
      </c>
      <c r="AV40" s="975">
        <v>0</v>
      </c>
      <c r="AW40" s="975">
        <v>669.2</v>
      </c>
      <c r="AX40" s="975">
        <v>669.2</v>
      </c>
      <c r="AY40" s="975">
        <v>669.2</v>
      </c>
      <c r="AZ40" s="975">
        <f>'MXD P&amp;L'!N74</f>
        <v>669.2</v>
      </c>
      <c r="BA40" s="975">
        <f>'MXD P&amp;L'!O74</f>
        <v>669.2</v>
      </c>
      <c r="BB40" s="975">
        <f>'MXD P&amp;L'!P74</f>
        <v>0</v>
      </c>
      <c r="BC40" s="975">
        <f>'MXD P&amp;L'!Q74</f>
        <v>0</v>
      </c>
      <c r="BD40" s="975">
        <f>'MXD P&amp;L'!R74</f>
        <v>797.43</v>
      </c>
      <c r="BE40" s="975">
        <f>'MXD P&amp;L'!S74</f>
        <v>797.43</v>
      </c>
      <c r="BF40" s="975">
        <f>'MXD P&amp;L'!T74</f>
        <v>1594.86</v>
      </c>
      <c r="BG40" s="975">
        <f>'MXD P&amp;L'!U74</f>
        <v>797.43</v>
      </c>
      <c r="BH40" s="975">
        <f>'MXD P&amp;L'!V74</f>
        <v>797.43</v>
      </c>
      <c r="BI40" s="975">
        <f>'MXD P&amp;L'!W74</f>
        <v>810.29</v>
      </c>
      <c r="BJ40" s="975">
        <f>'MXD P&amp;L'!X74</f>
        <v>0</v>
      </c>
      <c r="BK40" s="975">
        <f>'MXD P&amp;L'!Y75</f>
        <v>0</v>
      </c>
      <c r="BL40" s="1026">
        <f t="shared" si="7"/>
        <v>6933.27</v>
      </c>
      <c r="BM40" s="314">
        <f t="shared" si="8"/>
        <v>1048.56</v>
      </c>
    </row>
    <row r="41" spans="2:65" x14ac:dyDescent="0.3">
      <c r="B41" t="s">
        <v>581</v>
      </c>
      <c r="C41" s="754">
        <v>526</v>
      </c>
      <c r="D41" s="8">
        <v>4937</v>
      </c>
      <c r="E41" s="755">
        <v>934.39</v>
      </c>
      <c r="F41" s="754">
        <v>398</v>
      </c>
      <c r="G41" s="8">
        <v>1319</v>
      </c>
      <c r="H41" s="755">
        <v>889.178</v>
      </c>
      <c r="I41" s="754">
        <v>397</v>
      </c>
      <c r="J41" s="8">
        <v>446</v>
      </c>
      <c r="K41" s="755">
        <v>1008.9</v>
      </c>
      <c r="L41" s="754">
        <v>135</v>
      </c>
      <c r="M41" s="8">
        <v>911</v>
      </c>
      <c r="N41" s="755">
        <v>470.3100000000004</v>
      </c>
      <c r="O41" s="754">
        <v>410</v>
      </c>
      <c r="P41" s="8">
        <v>1059</v>
      </c>
      <c r="Q41" s="755">
        <v>274.02999999999969</v>
      </c>
      <c r="R41" s="754">
        <v>316</v>
      </c>
      <c r="S41" s="8">
        <v>478</v>
      </c>
      <c r="T41" s="755">
        <v>562.87999999999965</v>
      </c>
      <c r="U41" s="754">
        <v>783</v>
      </c>
      <c r="V41" s="8">
        <v>758</v>
      </c>
      <c r="W41" s="755">
        <v>780.46</v>
      </c>
      <c r="X41" s="754">
        <v>670</v>
      </c>
      <c r="Y41" s="8">
        <v>587</v>
      </c>
      <c r="Z41" s="755">
        <v>802.94000000000051</v>
      </c>
      <c r="AA41" s="754">
        <v>482</v>
      </c>
      <c r="AB41" s="8">
        <v>596</v>
      </c>
      <c r="AC41" s="755">
        <v>707.61999999999989</v>
      </c>
      <c r="AD41" s="754">
        <v>344</v>
      </c>
      <c r="AE41" s="8">
        <v>628</v>
      </c>
      <c r="AF41" s="755">
        <v>703.85999999999967</v>
      </c>
      <c r="AG41" s="754">
        <v>627</v>
      </c>
      <c r="AH41" s="8"/>
      <c r="AI41" s="755">
        <v>429.19000000000051</v>
      </c>
      <c r="AJ41" s="754">
        <v>893</v>
      </c>
      <c r="AK41" s="8"/>
      <c r="AL41" s="755">
        <v>566.13000000000011</v>
      </c>
      <c r="AM41" s="768">
        <v>8129.8880000000008</v>
      </c>
      <c r="AN41" s="1024">
        <v>32.99</v>
      </c>
      <c r="AO41" s="1026">
        <v>611.64</v>
      </c>
      <c r="AP41" s="1026">
        <v>595.04</v>
      </c>
      <c r="AQ41" s="1026">
        <v>239.04</v>
      </c>
      <c r="AR41" s="1026">
        <v>183.19</v>
      </c>
      <c r="AS41" s="1026">
        <v>133.61000000000001</v>
      </c>
      <c r="AT41" s="1026">
        <v>812.91</v>
      </c>
      <c r="AU41" s="1026">
        <v>0</v>
      </c>
      <c r="AV41" s="1026">
        <v>481.86</v>
      </c>
      <c r="AW41" s="1026">
        <v>423.08</v>
      </c>
      <c r="AX41" s="1026">
        <v>109.74</v>
      </c>
      <c r="AY41" s="1026">
        <v>250.91</v>
      </c>
      <c r="AZ41" s="975">
        <f>'MXD P&amp;L'!N75</f>
        <v>387.03</v>
      </c>
      <c r="BA41" s="975">
        <f>'MXD P&amp;L'!O75</f>
        <v>268.26</v>
      </c>
      <c r="BB41" s="975">
        <f>'MXD P&amp;L'!P75</f>
        <v>596.29</v>
      </c>
      <c r="BC41" s="975">
        <f>'MXD P&amp;L'!Q75</f>
        <v>169.85</v>
      </c>
      <c r="BD41" s="975">
        <f>'MXD P&amp;L'!R75</f>
        <v>1427.79</v>
      </c>
      <c r="BE41" s="975">
        <f>'MXD P&amp;L'!S75</f>
        <v>168.29</v>
      </c>
      <c r="BF41" s="975">
        <f>'MXD P&amp;L'!T75</f>
        <v>121.06</v>
      </c>
      <c r="BG41" s="975">
        <f>'MXD P&amp;L'!U75</f>
        <v>154.38999999999999</v>
      </c>
      <c r="BH41" s="975">
        <f>'MXD P&amp;L'!V75</f>
        <v>498.19</v>
      </c>
      <c r="BI41" s="975">
        <f>'MXD P&amp;L'!W75</f>
        <v>421.12</v>
      </c>
      <c r="BJ41" s="975">
        <f>'MXD P&amp;L'!X75</f>
        <v>0</v>
      </c>
      <c r="BK41" s="975">
        <f>'MXD P&amp;L'!Y76</f>
        <v>0</v>
      </c>
      <c r="BL41" s="1026">
        <f t="shared" si="7"/>
        <v>4212.2699999999995</v>
      </c>
      <c r="BM41" s="314">
        <f t="shared" si="8"/>
        <v>1478.71</v>
      </c>
    </row>
    <row r="42" spans="2:65" ht="15.6" x14ac:dyDescent="0.3">
      <c r="B42" s="1402" t="s">
        <v>1247</v>
      </c>
      <c r="C42" s="754"/>
      <c r="D42" s="8"/>
      <c r="E42" s="755"/>
      <c r="F42" s="754"/>
      <c r="G42" s="8"/>
      <c r="H42" s="755"/>
      <c r="I42" s="754"/>
      <c r="J42" s="8"/>
      <c r="K42" s="755"/>
      <c r="L42" s="754"/>
      <c r="M42" s="8"/>
      <c r="N42" s="755"/>
      <c r="O42" s="754"/>
      <c r="P42" s="8"/>
      <c r="Q42" s="755"/>
      <c r="R42" s="754"/>
      <c r="S42" s="8"/>
      <c r="T42" s="755"/>
      <c r="U42" s="754"/>
      <c r="V42" s="8"/>
      <c r="W42" s="755"/>
      <c r="X42" s="754"/>
      <c r="Y42" s="8"/>
      <c r="Z42" s="755"/>
      <c r="AA42" s="754"/>
      <c r="AB42" s="8"/>
      <c r="AC42" s="755"/>
      <c r="AD42" s="754"/>
      <c r="AE42" s="8"/>
      <c r="AF42" s="755"/>
      <c r="AG42" s="754"/>
      <c r="AH42" s="8"/>
      <c r="AI42" s="755"/>
      <c r="AJ42" s="754"/>
      <c r="AK42" s="8"/>
      <c r="AL42" s="755"/>
      <c r="AM42" s="768"/>
      <c r="AN42" s="1024"/>
      <c r="AO42" s="1026"/>
      <c r="AP42" s="1026"/>
      <c r="AQ42" s="1026"/>
      <c r="AR42" s="1026"/>
      <c r="AS42" s="1026"/>
      <c r="AT42" s="1026"/>
      <c r="AU42" s="1026"/>
      <c r="AV42" s="1026"/>
      <c r="AW42" s="1026"/>
      <c r="AX42" s="1026"/>
      <c r="AY42" s="1026"/>
      <c r="AZ42" s="975">
        <f>'MXD P&amp;L'!N76</f>
        <v>0</v>
      </c>
      <c r="BA42" s="975">
        <f>'MXD P&amp;L'!O76</f>
        <v>0</v>
      </c>
      <c r="BB42" s="975">
        <f>'MXD P&amp;L'!P76</f>
        <v>0</v>
      </c>
      <c r="BC42" s="975">
        <f>'MXD P&amp;L'!Q76</f>
        <v>0</v>
      </c>
      <c r="BD42" s="975">
        <f>'MXD P&amp;L'!R76</f>
        <v>0</v>
      </c>
      <c r="BE42" s="975">
        <f>'MXD P&amp;L'!S76</f>
        <v>156.97999999999999</v>
      </c>
      <c r="BF42" s="975">
        <f>'MXD P&amp;L'!T76</f>
        <v>22</v>
      </c>
      <c r="BG42" s="975">
        <f>'MXD P&amp;L'!U76</f>
        <v>433.9</v>
      </c>
      <c r="BH42" s="975">
        <f>'MXD P&amp;L'!V76</f>
        <v>112.47</v>
      </c>
      <c r="BI42" s="975">
        <f>'MXD P&amp;L'!W76</f>
        <v>0</v>
      </c>
      <c r="BJ42" s="975">
        <f>'MXD P&amp;L'!X76</f>
        <v>0</v>
      </c>
      <c r="BK42" s="975">
        <f>'MXD P&amp;L'!Y77</f>
        <v>0</v>
      </c>
      <c r="BL42" s="1026">
        <f t="shared" si="7"/>
        <v>725.35</v>
      </c>
      <c r="BM42" s="314">
        <f t="shared" si="8"/>
        <v>0</v>
      </c>
    </row>
    <row r="43" spans="2:65" x14ac:dyDescent="0.3">
      <c r="B43" t="s">
        <v>582</v>
      </c>
      <c r="C43" s="754">
        <v>103</v>
      </c>
      <c r="D43" s="8">
        <v>137</v>
      </c>
      <c r="E43" s="755">
        <v>41.52</v>
      </c>
      <c r="F43" s="754">
        <v>83</v>
      </c>
      <c r="G43" s="8">
        <v>42</v>
      </c>
      <c r="H43" s="755">
        <v>41.52</v>
      </c>
      <c r="I43" s="754">
        <v>83</v>
      </c>
      <c r="J43" s="8">
        <v>190</v>
      </c>
      <c r="K43" s="755">
        <v>41.52</v>
      </c>
      <c r="L43" s="754">
        <v>123</v>
      </c>
      <c r="M43" s="8">
        <v>42</v>
      </c>
      <c r="N43" s="755">
        <v>41.52000000000001</v>
      </c>
      <c r="O43" s="754">
        <v>115</v>
      </c>
      <c r="P43" s="8">
        <v>190</v>
      </c>
      <c r="Q43" s="755">
        <v>41.519999999999982</v>
      </c>
      <c r="R43" s="754">
        <v>136</v>
      </c>
      <c r="S43" s="8">
        <v>104</v>
      </c>
      <c r="T43" s="755">
        <v>41.52000000000001</v>
      </c>
      <c r="U43" s="754">
        <v>115</v>
      </c>
      <c r="V43" s="8">
        <v>125</v>
      </c>
      <c r="W43" s="755">
        <v>62.279999999999973</v>
      </c>
      <c r="X43" s="754">
        <v>116</v>
      </c>
      <c r="Y43" s="8">
        <v>105</v>
      </c>
      <c r="Z43" s="755">
        <v>41.520000000000039</v>
      </c>
      <c r="AA43" s="754">
        <v>116</v>
      </c>
      <c r="AB43" s="8">
        <v>104</v>
      </c>
      <c r="AC43" s="755">
        <v>62.279999999999973</v>
      </c>
      <c r="AD43" s="754">
        <v>116</v>
      </c>
      <c r="AE43" s="8">
        <v>145</v>
      </c>
      <c r="AF43" s="755">
        <v>83.04000000000002</v>
      </c>
      <c r="AG43" s="754">
        <v>316</v>
      </c>
      <c r="AH43" s="8"/>
      <c r="AI43" s="755">
        <v>83.039999999999964</v>
      </c>
      <c r="AJ43" s="754">
        <v>116</v>
      </c>
      <c r="AK43" s="8"/>
      <c r="AL43" s="755">
        <v>124.5600000000001</v>
      </c>
      <c r="AM43" s="18">
        <v>705.84</v>
      </c>
      <c r="AN43" s="1024">
        <v>83.04</v>
      </c>
      <c r="AO43" s="1026">
        <v>41.52</v>
      </c>
      <c r="AP43" s="1026">
        <v>0</v>
      </c>
      <c r="AQ43" s="1026">
        <v>0</v>
      </c>
      <c r="AR43" s="1026">
        <v>184.66</v>
      </c>
      <c r="AS43" s="1026">
        <v>184.64</v>
      </c>
      <c r="AT43" s="1026">
        <v>207.72</v>
      </c>
      <c r="AU43" s="1026">
        <v>138.47999999999999</v>
      </c>
      <c r="AV43" s="1026">
        <v>184.64</v>
      </c>
      <c r="AW43" s="1026">
        <v>230.8</v>
      </c>
      <c r="AX43" s="1026">
        <v>230.8</v>
      </c>
      <c r="AY43" s="1026">
        <v>330.8</v>
      </c>
      <c r="AZ43" s="975">
        <f>'MXD P&amp;L'!N77</f>
        <v>161.56</v>
      </c>
      <c r="BA43" s="975">
        <f>'MXD P&amp;L'!O77</f>
        <v>207.72</v>
      </c>
      <c r="BB43" s="975">
        <f>'MXD P&amp;L'!P77</f>
        <v>184.64</v>
      </c>
      <c r="BC43" s="975">
        <f>'MXD P&amp;L'!Q77</f>
        <v>184.64</v>
      </c>
      <c r="BD43" s="975">
        <f>'MXD P&amp;L'!R77</f>
        <v>184.64</v>
      </c>
      <c r="BE43" s="975">
        <f>'MXD P&amp;L'!S77</f>
        <v>276.95999999999998</v>
      </c>
      <c r="BF43" s="975">
        <f>'MXD P&amp;L'!T77</f>
        <v>138.47999999999999</v>
      </c>
      <c r="BG43" s="975">
        <f>'MXD P&amp;L'!U77</f>
        <v>138.47999999999999</v>
      </c>
      <c r="BH43" s="975">
        <f>'MXD P&amp;L'!V77</f>
        <v>138.47999999999999</v>
      </c>
      <c r="BI43" s="975">
        <f>'MXD P&amp;L'!W77</f>
        <v>138.47999999999999</v>
      </c>
      <c r="BJ43" s="975">
        <f>'MXD P&amp;L'!X77</f>
        <v>0</v>
      </c>
      <c r="BK43" s="975">
        <f>'MXD P&amp;L'!Y78</f>
        <v>0</v>
      </c>
      <c r="BL43" s="1026">
        <f t="shared" si="7"/>
        <v>1754.08</v>
      </c>
      <c r="BM43" s="314">
        <f t="shared" si="8"/>
        <v>124.56</v>
      </c>
    </row>
    <row r="44" spans="2:65" x14ac:dyDescent="0.3">
      <c r="B44" t="s">
        <v>583</v>
      </c>
      <c r="C44" s="759"/>
      <c r="E44" s="755">
        <v>833</v>
      </c>
      <c r="F44" s="759"/>
      <c r="H44" s="755">
        <v>833</v>
      </c>
      <c r="I44" s="759"/>
      <c r="K44" s="755">
        <v>833</v>
      </c>
      <c r="L44" s="759"/>
      <c r="N44" s="755">
        <v>833</v>
      </c>
      <c r="O44" s="759"/>
      <c r="Q44" s="755">
        <v>833</v>
      </c>
      <c r="R44" s="759"/>
      <c r="T44" s="755">
        <v>833</v>
      </c>
      <c r="U44" s="759"/>
      <c r="W44" s="755">
        <v>833</v>
      </c>
      <c r="X44" s="759"/>
      <c r="Z44" s="755">
        <v>833</v>
      </c>
      <c r="AA44" s="754"/>
      <c r="AB44" s="8"/>
      <c r="AC44" s="755">
        <v>833</v>
      </c>
      <c r="AD44" s="754"/>
      <c r="AE44" s="8"/>
      <c r="AF44" s="755">
        <v>833</v>
      </c>
      <c r="AG44" s="754"/>
      <c r="AH44" s="8"/>
      <c r="AI44" s="755">
        <v>833</v>
      </c>
      <c r="AJ44" s="754"/>
      <c r="AK44" s="8"/>
      <c r="AL44" s="755">
        <v>833</v>
      </c>
      <c r="AM44" s="768">
        <v>9996</v>
      </c>
      <c r="AN44" s="1024">
        <v>833</v>
      </c>
      <c r="AO44" s="1026">
        <v>833</v>
      </c>
      <c r="AP44" s="1026">
        <v>833</v>
      </c>
      <c r="AQ44" s="1026">
        <v>833</v>
      </c>
      <c r="AR44" s="1026">
        <v>833</v>
      </c>
      <c r="AS44" s="1026">
        <v>833</v>
      </c>
      <c r="AT44" s="1026">
        <v>833</v>
      </c>
      <c r="AU44" s="1026">
        <v>833</v>
      </c>
      <c r="AV44" s="1026">
        <v>856.08</v>
      </c>
      <c r="AW44" s="1026">
        <v>833</v>
      </c>
      <c r="AX44" s="1026">
        <v>833</v>
      </c>
      <c r="AY44" s="1026">
        <v>833</v>
      </c>
      <c r="AZ44" s="975">
        <f>'MXD P&amp;L'!N78</f>
        <v>833</v>
      </c>
      <c r="BA44" s="975">
        <f>'MXD P&amp;L'!O78</f>
        <v>833</v>
      </c>
      <c r="BB44" s="975">
        <f>'MXD P&amp;L'!P78</f>
        <v>833</v>
      </c>
      <c r="BC44" s="975">
        <f>'MXD P&amp;L'!Q78</f>
        <v>833</v>
      </c>
      <c r="BD44" s="975">
        <f>'MXD P&amp;L'!R78</f>
        <v>833</v>
      </c>
      <c r="BE44" s="975">
        <f>'MXD P&amp;L'!S78</f>
        <v>833</v>
      </c>
      <c r="BF44" s="975">
        <f>'MXD P&amp;L'!T78</f>
        <v>833</v>
      </c>
      <c r="BG44" s="975">
        <f>'MXD P&amp;L'!U78</f>
        <v>833</v>
      </c>
      <c r="BH44" s="975">
        <f>'MXD P&amp;L'!V78</f>
        <v>833</v>
      </c>
      <c r="BI44" s="975">
        <f>'MXD P&amp;L'!W78</f>
        <v>833</v>
      </c>
      <c r="BJ44" s="975">
        <f>'MXD P&amp;L'!X78</f>
        <v>0</v>
      </c>
      <c r="BK44" s="975">
        <f>'MXD P&amp;L'!Y79</f>
        <v>0</v>
      </c>
      <c r="BL44" s="1026">
        <f t="shared" si="7"/>
        <v>8330</v>
      </c>
      <c r="BM44" s="314">
        <f t="shared" si="8"/>
        <v>3332</v>
      </c>
    </row>
    <row r="45" spans="2:65" x14ac:dyDescent="0.3">
      <c r="B45" t="s">
        <v>584</v>
      </c>
      <c r="C45" s="759"/>
      <c r="E45" s="756"/>
      <c r="F45" s="759"/>
      <c r="H45" s="756"/>
      <c r="I45" s="759"/>
      <c r="K45" s="756"/>
      <c r="L45" s="759"/>
      <c r="N45" s="756"/>
      <c r="O45" s="759"/>
      <c r="Q45" s="756">
        <v>2075.7399999999998</v>
      </c>
      <c r="R45" s="759"/>
      <c r="T45" s="756">
        <v>345.95000000000027</v>
      </c>
      <c r="U45" s="759"/>
      <c r="W45" s="756">
        <v>345.94999999999982</v>
      </c>
      <c r="X45" s="759"/>
      <c r="Z45" s="756">
        <v>345.95000000000027</v>
      </c>
      <c r="AA45" s="754"/>
      <c r="AB45" s="8"/>
      <c r="AC45" s="756">
        <v>345.94999999999982</v>
      </c>
      <c r="AD45" s="754"/>
      <c r="AE45" s="8"/>
      <c r="AF45" s="756">
        <v>345.94999999999982</v>
      </c>
      <c r="AG45" s="754"/>
      <c r="AH45" s="8"/>
      <c r="AI45" s="756">
        <v>345.94999999999982</v>
      </c>
      <c r="AJ45" s="754"/>
      <c r="AK45" s="8"/>
      <c r="AL45" s="756">
        <v>345.95000000000073</v>
      </c>
      <c r="AM45" s="16">
        <v>4497.3900000000003</v>
      </c>
      <c r="AN45" s="1024">
        <v>345.95</v>
      </c>
      <c r="AO45" s="1026">
        <v>345.95</v>
      </c>
      <c r="AP45" s="1026">
        <v>345.95</v>
      </c>
      <c r="AQ45" s="1026">
        <v>345.95</v>
      </c>
      <c r="AR45" s="1026">
        <v>342.9</v>
      </c>
      <c r="AS45" s="1026">
        <v>342.9</v>
      </c>
      <c r="AT45" s="1026">
        <v>342.9</v>
      </c>
      <c r="AU45" s="1026">
        <v>342.9</v>
      </c>
      <c r="AV45" s="1026">
        <v>342.9</v>
      </c>
      <c r="AW45" s="1026">
        <v>342.9</v>
      </c>
      <c r="AX45" s="1026">
        <v>342.9</v>
      </c>
      <c r="AY45" s="1026">
        <v>342.9</v>
      </c>
      <c r="AZ45" s="975">
        <f>'MXD P&amp;L'!N79</f>
        <v>342.9</v>
      </c>
      <c r="BA45" s="975">
        <f>'MXD P&amp;L'!O79</f>
        <v>342.9</v>
      </c>
      <c r="BB45" s="975">
        <f>'MXD P&amp;L'!P79</f>
        <v>342.9</v>
      </c>
      <c r="BC45" s="975">
        <f>'MXD P&amp;L'!Q79</f>
        <v>342.9</v>
      </c>
      <c r="BD45" s="975">
        <f>'MXD P&amp;L'!R79</f>
        <v>342.9</v>
      </c>
      <c r="BE45" s="975">
        <f>'MXD P&amp;L'!S79</f>
        <v>342.9</v>
      </c>
      <c r="BF45" s="975">
        <f>'MXD P&amp;L'!T79</f>
        <v>1392.9</v>
      </c>
      <c r="BG45" s="975">
        <f>'MXD P&amp;L'!U79</f>
        <v>342.9</v>
      </c>
      <c r="BH45" s="975">
        <f>'MXD P&amp;L'!V79</f>
        <v>342.9</v>
      </c>
      <c r="BI45" s="975">
        <f>'MXD P&amp;L'!W79</f>
        <v>342.9</v>
      </c>
      <c r="BJ45" s="975">
        <f>'MXD P&amp;L'!X79</f>
        <v>0</v>
      </c>
      <c r="BK45" s="975">
        <f>'MXD P&amp;L'!Y80</f>
        <v>0</v>
      </c>
      <c r="BL45" s="1026">
        <f t="shared" si="7"/>
        <v>4479</v>
      </c>
      <c r="BM45" s="314">
        <f t="shared" si="8"/>
        <v>1383.8</v>
      </c>
    </row>
    <row r="46" spans="2:65" ht="18" customHeight="1" x14ac:dyDescent="0.3">
      <c r="B46" t="s">
        <v>128</v>
      </c>
      <c r="C46" s="759"/>
      <c r="E46" s="756"/>
      <c r="F46" s="759"/>
      <c r="H46" s="756"/>
      <c r="I46" s="759"/>
      <c r="K46" s="756"/>
      <c r="L46" s="759"/>
      <c r="N46" s="756"/>
      <c r="O46" s="759"/>
      <c r="Q46" s="756"/>
      <c r="R46" s="759"/>
      <c r="T46" s="756"/>
      <c r="U46" s="759"/>
      <c r="W46" s="756"/>
      <c r="X46" s="759"/>
      <c r="Z46" s="756"/>
      <c r="AA46" s="754"/>
      <c r="AB46" s="8"/>
      <c r="AC46" s="756"/>
      <c r="AD46" s="754"/>
      <c r="AE46" s="8"/>
      <c r="AF46" s="756"/>
      <c r="AG46" s="754"/>
      <c r="AH46" s="8"/>
      <c r="AI46" s="756"/>
      <c r="AJ46" s="754"/>
      <c r="AK46" s="8"/>
      <c r="AL46" s="756"/>
      <c r="AM46" s="768">
        <v>0</v>
      </c>
      <c r="AN46" s="1024"/>
      <c r="AO46" s="1026"/>
      <c r="AP46" s="1026"/>
      <c r="AQ46" s="1026"/>
      <c r="AR46" s="1026"/>
      <c r="AS46" s="1026"/>
      <c r="AT46" s="1026"/>
      <c r="AU46" s="1026"/>
      <c r="AV46" s="1026"/>
      <c r="AW46" s="1026"/>
      <c r="AX46" s="1026"/>
      <c r="AY46" s="1026">
        <v>0</v>
      </c>
      <c r="AZ46" s="1026">
        <v>0</v>
      </c>
      <c r="BA46" s="1026">
        <v>0</v>
      </c>
      <c r="BB46" s="1026">
        <v>0</v>
      </c>
      <c r="BC46" s="1026">
        <v>0</v>
      </c>
      <c r="BD46" s="1026">
        <v>0</v>
      </c>
      <c r="BE46" s="1026">
        <v>0</v>
      </c>
      <c r="BF46" s="1026">
        <v>0</v>
      </c>
      <c r="BG46" s="1026">
        <v>0</v>
      </c>
      <c r="BH46" s="1026">
        <v>0</v>
      </c>
      <c r="BI46" s="1026">
        <v>0</v>
      </c>
      <c r="BJ46" s="1026">
        <v>0</v>
      </c>
      <c r="BK46" s="1026">
        <v>0</v>
      </c>
      <c r="BL46" s="1026">
        <f t="shared" si="7"/>
        <v>0</v>
      </c>
      <c r="BM46" s="314">
        <f t="shared" si="8"/>
        <v>0</v>
      </c>
    </row>
    <row r="47" spans="2:65" x14ac:dyDescent="0.3">
      <c r="B47" s="7" t="s">
        <v>42</v>
      </c>
      <c r="C47" s="906">
        <v>44456</v>
      </c>
      <c r="D47" s="901">
        <v>45972</v>
      </c>
      <c r="E47" s="907">
        <v>40883.529999999992</v>
      </c>
      <c r="F47" s="906">
        <v>35025</v>
      </c>
      <c r="G47" s="901">
        <v>42804</v>
      </c>
      <c r="H47" s="907">
        <v>41258.507999999987</v>
      </c>
      <c r="I47" s="906">
        <v>34418</v>
      </c>
      <c r="J47" s="901">
        <v>33752</v>
      </c>
      <c r="K47" s="907">
        <v>40270.990000000005</v>
      </c>
      <c r="L47" s="906">
        <v>37277</v>
      </c>
      <c r="M47" s="901">
        <v>46801</v>
      </c>
      <c r="N47" s="907">
        <v>33748.610000000008</v>
      </c>
      <c r="O47" s="906">
        <v>38322</v>
      </c>
      <c r="P47" s="901">
        <v>32810</v>
      </c>
      <c r="Q47" s="907">
        <v>33146.329999999994</v>
      </c>
      <c r="R47" s="906">
        <v>33951</v>
      </c>
      <c r="S47" s="901">
        <v>35771</v>
      </c>
      <c r="T47" s="907">
        <v>34120.379999999983</v>
      </c>
      <c r="U47" s="906">
        <v>39537</v>
      </c>
      <c r="V47" s="901">
        <v>32576</v>
      </c>
      <c r="W47" s="907">
        <v>41243.500000000022</v>
      </c>
      <c r="X47" s="906">
        <v>39885</v>
      </c>
      <c r="Y47" s="901">
        <v>35395</v>
      </c>
      <c r="Z47" s="907">
        <v>38546.320000000014</v>
      </c>
      <c r="AA47" s="906">
        <v>34443</v>
      </c>
      <c r="AB47" s="901">
        <v>35780</v>
      </c>
      <c r="AC47" s="907">
        <v>43730.380000000005</v>
      </c>
      <c r="AD47" s="906">
        <v>40527</v>
      </c>
      <c r="AE47" s="901">
        <v>38424</v>
      </c>
      <c r="AF47" s="907">
        <v>50314.689999999973</v>
      </c>
      <c r="AG47" s="906">
        <v>37628</v>
      </c>
      <c r="AH47" s="901">
        <v>226</v>
      </c>
      <c r="AI47" s="907">
        <v>49315.100000000013</v>
      </c>
      <c r="AJ47" s="906">
        <v>44261</v>
      </c>
      <c r="AK47" s="901">
        <v>226</v>
      </c>
      <c r="AL47" s="907">
        <v>61270.519999999975</v>
      </c>
      <c r="AM47" s="901">
        <v>507848.85800000001</v>
      </c>
      <c r="AN47" s="906">
        <f>SUM(AN36:AN46)</f>
        <v>44967.899999999994</v>
      </c>
      <c r="AO47" s="901">
        <f t="shared" ref="AO47:BM47" si="9">SUM(AO36:AO46)</f>
        <v>70123.03</v>
      </c>
      <c r="AP47" s="901">
        <f t="shared" si="9"/>
        <v>67580.349999999991</v>
      </c>
      <c r="AQ47" s="901">
        <f t="shared" si="9"/>
        <v>49749.079999999994</v>
      </c>
      <c r="AR47" s="901">
        <f t="shared" si="9"/>
        <v>66240.97</v>
      </c>
      <c r="AS47" s="901">
        <f t="shared" si="9"/>
        <v>61255.15</v>
      </c>
      <c r="AT47" s="901">
        <f t="shared" si="9"/>
        <v>73053.95</v>
      </c>
      <c r="AU47" s="901">
        <f t="shared" si="9"/>
        <v>61949.80000000001</v>
      </c>
      <c r="AV47" s="901">
        <f t="shared" si="9"/>
        <v>58029.810000000005</v>
      </c>
      <c r="AW47" s="901">
        <f t="shared" si="9"/>
        <v>66770.369999999981</v>
      </c>
      <c r="AX47" s="901">
        <f t="shared" si="9"/>
        <v>57597.59</v>
      </c>
      <c r="AY47" s="901">
        <f t="shared" si="9"/>
        <v>89226.15</v>
      </c>
      <c r="AZ47" s="899">
        <f t="shared" si="9"/>
        <v>66959.039999999994</v>
      </c>
      <c r="BA47" s="899">
        <f t="shared" si="9"/>
        <v>50999.26</v>
      </c>
      <c r="BB47" s="899">
        <f>SUM(BB36:BB46)</f>
        <v>77486.769999999975</v>
      </c>
      <c r="BC47" s="899">
        <f>SUM(BC36:BC46)</f>
        <v>55780.05999999999</v>
      </c>
      <c r="BD47" s="899">
        <f t="shared" ref="BD47:BK47" si="10">SUM(BD36:BD46)</f>
        <v>67204.239999999991</v>
      </c>
      <c r="BE47" s="899">
        <f t="shared" si="10"/>
        <v>71518.949999999983</v>
      </c>
      <c r="BF47" s="899">
        <f t="shared" si="10"/>
        <v>64237.130000000005</v>
      </c>
      <c r="BG47" s="899">
        <f t="shared" si="10"/>
        <v>65437.180000000008</v>
      </c>
      <c r="BH47" s="899">
        <f t="shared" si="10"/>
        <v>60314.890000000007</v>
      </c>
      <c r="BI47" s="899">
        <f t="shared" si="10"/>
        <v>61360.780000000006</v>
      </c>
      <c r="BJ47" s="899">
        <f t="shared" si="10"/>
        <v>0</v>
      </c>
      <c r="BK47" s="899">
        <f t="shared" si="10"/>
        <v>0</v>
      </c>
      <c r="BL47" s="899">
        <f t="shared" si="9"/>
        <v>641298.29999999993</v>
      </c>
      <c r="BM47" s="899">
        <f t="shared" si="9"/>
        <v>232420.35999999996</v>
      </c>
    </row>
    <row r="48" spans="2:65" x14ac:dyDescent="0.3">
      <c r="C48" s="759"/>
      <c r="E48" s="764"/>
      <c r="F48" s="759"/>
      <c r="H48" s="764"/>
      <c r="I48" s="759"/>
      <c r="K48" s="764"/>
      <c r="L48" s="759"/>
      <c r="N48" s="764"/>
      <c r="O48" s="759"/>
      <c r="Q48" s="764"/>
      <c r="R48" s="759"/>
      <c r="T48" s="764"/>
      <c r="U48" s="759"/>
      <c r="W48" s="764"/>
      <c r="X48" s="759"/>
      <c r="Z48" s="764"/>
      <c r="AA48" s="759"/>
      <c r="AC48" s="764"/>
      <c r="AD48" s="759"/>
      <c r="AF48" s="764"/>
      <c r="AG48" s="759"/>
      <c r="AI48" s="764"/>
      <c r="AJ48" s="759"/>
      <c r="AL48" s="764"/>
      <c r="AN48" s="962"/>
      <c r="AO48" s="314"/>
      <c r="AP48" s="314"/>
      <c r="AQ48" s="314"/>
      <c r="AR48" s="314"/>
      <c r="AS48" s="314"/>
      <c r="AT48" s="314"/>
      <c r="BM48" s="314"/>
    </row>
    <row r="49" spans="2:65" x14ac:dyDescent="0.3">
      <c r="B49" s="7" t="s">
        <v>45</v>
      </c>
      <c r="C49" s="752"/>
      <c r="D49" s="1"/>
      <c r="E49" s="753"/>
      <c r="F49" s="752"/>
      <c r="G49" s="1"/>
      <c r="H49" s="753"/>
      <c r="I49" s="752"/>
      <c r="J49" s="1"/>
      <c r="K49" s="753"/>
      <c r="L49" s="752"/>
      <c r="M49" s="1"/>
      <c r="N49" s="753"/>
      <c r="O49" s="752"/>
      <c r="P49" s="1"/>
      <c r="Q49" s="753"/>
      <c r="R49" s="752"/>
      <c r="S49" s="1"/>
      <c r="T49" s="753"/>
      <c r="U49" s="752"/>
      <c r="V49" s="1"/>
      <c r="W49" s="753"/>
      <c r="X49" s="752"/>
      <c r="Y49" s="1"/>
      <c r="Z49" s="753"/>
      <c r="AA49" s="752"/>
      <c r="AB49" s="1"/>
      <c r="AC49" s="753"/>
      <c r="AD49" s="752"/>
      <c r="AE49" s="1"/>
      <c r="AF49" s="753"/>
      <c r="AG49" s="752"/>
      <c r="AH49" s="1"/>
      <c r="AI49" s="753"/>
      <c r="AJ49" s="752"/>
      <c r="AK49" s="1"/>
      <c r="AL49" s="753"/>
      <c r="AM49" s="1"/>
      <c r="AN49" s="752"/>
      <c r="AO49" s="1"/>
      <c r="AP49" s="1"/>
      <c r="AQ49" s="1"/>
      <c r="AR49" s="1"/>
      <c r="AS49" s="1"/>
      <c r="AT49" s="1"/>
      <c r="AU49" s="1"/>
      <c r="AV49" s="1"/>
      <c r="AW49" s="1"/>
      <c r="AX49" s="1"/>
      <c r="AY49" s="1"/>
      <c r="AZ49" s="1"/>
      <c r="BA49" s="1"/>
      <c r="BB49" s="1"/>
      <c r="BC49" s="1"/>
      <c r="BD49" s="1"/>
      <c r="BE49" s="1"/>
      <c r="BF49" s="1"/>
      <c r="BG49" s="1"/>
      <c r="BH49" s="1"/>
      <c r="BI49" s="1"/>
      <c r="BJ49" s="1"/>
      <c r="BK49" s="1"/>
      <c r="BL49" s="1"/>
      <c r="BM49" s="1028"/>
    </row>
    <row r="50" spans="2:65" x14ac:dyDescent="0.3">
      <c r="B50" t="s">
        <v>604</v>
      </c>
      <c r="C50" s="757">
        <v>91660</v>
      </c>
      <c r="D50" s="12">
        <v>79872</v>
      </c>
      <c r="E50" s="755">
        <v>50721.63</v>
      </c>
      <c r="F50" s="757">
        <v>73295</v>
      </c>
      <c r="G50" s="12">
        <v>64712</v>
      </c>
      <c r="H50" s="755">
        <v>69869.329999999987</v>
      </c>
      <c r="I50" s="757">
        <v>77053</v>
      </c>
      <c r="J50" s="12">
        <v>78218</v>
      </c>
      <c r="K50" s="755">
        <v>83278.990000000005</v>
      </c>
      <c r="L50" s="757">
        <v>77794</v>
      </c>
      <c r="M50" s="12">
        <v>71044</v>
      </c>
      <c r="N50" s="755">
        <v>78985.599999999991</v>
      </c>
      <c r="O50" s="757">
        <v>82445</v>
      </c>
      <c r="P50" s="12">
        <v>67977</v>
      </c>
      <c r="Q50" s="755">
        <v>77502.289999999994</v>
      </c>
      <c r="R50" s="757">
        <v>71274</v>
      </c>
      <c r="S50" s="12">
        <v>59321</v>
      </c>
      <c r="T50" s="755">
        <v>80705.890000000014</v>
      </c>
      <c r="U50" s="757">
        <v>70463</v>
      </c>
      <c r="V50" s="12">
        <v>73490</v>
      </c>
      <c r="W50" s="755">
        <v>97895.549999999988</v>
      </c>
      <c r="X50" s="757">
        <v>73887</v>
      </c>
      <c r="Y50" s="12">
        <v>68592</v>
      </c>
      <c r="Z50" s="755">
        <v>83486.120000000112</v>
      </c>
      <c r="AA50" s="757">
        <v>74989</v>
      </c>
      <c r="AB50" s="12">
        <v>65697</v>
      </c>
      <c r="AC50" s="755">
        <v>88576.55999999991</v>
      </c>
      <c r="AD50" s="757">
        <v>82910</v>
      </c>
      <c r="AE50" s="12">
        <v>59625</v>
      </c>
      <c r="AF50" s="755">
        <v>91577.920000000115</v>
      </c>
      <c r="AG50" s="757">
        <v>78623</v>
      </c>
      <c r="AH50" s="12"/>
      <c r="AI50" s="755">
        <v>87837.149999999892</v>
      </c>
      <c r="AJ50" s="757">
        <v>74285</v>
      </c>
      <c r="AK50" s="12"/>
      <c r="AL50" s="755">
        <v>100939.71999999988</v>
      </c>
      <c r="AM50" s="17">
        <v>991376.75</v>
      </c>
      <c r="AN50" s="973">
        <v>86950.93</v>
      </c>
      <c r="AO50" s="975">
        <v>90602.99</v>
      </c>
      <c r="AP50" s="975">
        <v>113486.04</v>
      </c>
      <c r="AQ50" s="975">
        <v>80737.679999999993</v>
      </c>
      <c r="AR50" s="975">
        <v>95848.53</v>
      </c>
      <c r="AS50" s="975">
        <v>81669.509999999995</v>
      </c>
      <c r="AT50" s="975">
        <v>63628.71</v>
      </c>
      <c r="AU50" s="975">
        <v>75373.710000000006</v>
      </c>
      <c r="AV50" s="975">
        <v>79918.28</v>
      </c>
      <c r="AW50" s="975">
        <v>76096.639999999999</v>
      </c>
      <c r="AX50" s="975">
        <v>64204.52</v>
      </c>
      <c r="AY50" s="975">
        <v>81465</v>
      </c>
      <c r="AZ50" s="975">
        <f>'MXD P&amp;L'!N48</f>
        <v>73647.78</v>
      </c>
      <c r="BA50" s="975">
        <f>'MXD P&amp;L'!O48</f>
        <v>74507.679999999993</v>
      </c>
      <c r="BB50" s="975">
        <f>'MXD P&amp;L'!P48</f>
        <v>100565.53</v>
      </c>
      <c r="BC50" s="975">
        <f>'MXD P&amp;L'!Q48</f>
        <v>83326.960000000006</v>
      </c>
      <c r="BD50" s="975">
        <f>'MXD P&amp;L'!R48</f>
        <v>93093.87</v>
      </c>
      <c r="BE50" s="975">
        <f>'MXD P&amp;L'!S48</f>
        <v>78927.94</v>
      </c>
      <c r="BF50" s="975">
        <f>'MXD P&amp;L'!T48</f>
        <v>66431.5</v>
      </c>
      <c r="BG50" s="975">
        <f>'MXD P&amp;L'!U48</f>
        <v>75089.52</v>
      </c>
      <c r="BH50" s="975">
        <f>'MXD P&amp;L'!V48</f>
        <v>77737.27</v>
      </c>
      <c r="BI50" s="975">
        <f>'MXD P&amp;L'!W48</f>
        <v>82327.039999999994</v>
      </c>
      <c r="BJ50" s="975">
        <f>'MXD P&amp;L'!X48</f>
        <v>0</v>
      </c>
      <c r="BK50" s="975">
        <f>'MXD P&amp;L'!Y49</f>
        <v>0</v>
      </c>
      <c r="BL50" s="1026">
        <f>SUM(AZ50:BK50)</f>
        <v>805655.09000000008</v>
      </c>
      <c r="BM50" s="314">
        <f t="shared" ref="BM50:BM58" si="11">SUM(AN50:AQ50)</f>
        <v>371777.63999999996</v>
      </c>
    </row>
    <row r="51" spans="2:65" x14ac:dyDescent="0.3">
      <c r="B51" t="s">
        <v>605</v>
      </c>
      <c r="C51" s="757">
        <v>9018</v>
      </c>
      <c r="D51" s="12">
        <v>7205</v>
      </c>
      <c r="E51" s="755">
        <v>3224.099999999999</v>
      </c>
      <c r="F51" s="757">
        <v>6456</v>
      </c>
      <c r="G51" s="12">
        <v>5690</v>
      </c>
      <c r="H51" s="755">
        <v>2656.53</v>
      </c>
      <c r="I51" s="757">
        <v>6267</v>
      </c>
      <c r="J51" s="12">
        <v>6316</v>
      </c>
      <c r="K51" s="755">
        <v>6386.800000000002</v>
      </c>
      <c r="L51" s="757">
        <v>5701</v>
      </c>
      <c r="M51" s="12">
        <v>5687</v>
      </c>
      <c r="N51" s="755">
        <v>5958.98</v>
      </c>
      <c r="O51" s="757">
        <v>6244</v>
      </c>
      <c r="P51" s="12">
        <v>5288</v>
      </c>
      <c r="Q51" s="755">
        <v>5889.93</v>
      </c>
      <c r="R51" s="757">
        <v>5137</v>
      </c>
      <c r="S51" s="12">
        <v>5134</v>
      </c>
      <c r="T51" s="755">
        <v>6178.9199999999983</v>
      </c>
      <c r="U51" s="757">
        <v>5418</v>
      </c>
      <c r="V51" s="12">
        <v>5557</v>
      </c>
      <c r="W51" s="755">
        <v>7362.5</v>
      </c>
      <c r="X51" s="757">
        <v>5882</v>
      </c>
      <c r="Y51" s="12">
        <v>482</v>
      </c>
      <c r="Z51" s="755">
        <v>6342.8200000000052</v>
      </c>
      <c r="AA51" s="757">
        <v>5954</v>
      </c>
      <c r="AB51" s="12">
        <v>4978</v>
      </c>
      <c r="AC51" s="755">
        <v>6720.7699999999968</v>
      </c>
      <c r="AD51" s="757">
        <v>6532</v>
      </c>
      <c r="AE51" s="12">
        <v>4109</v>
      </c>
      <c r="AF51" s="755">
        <v>6955.2599999999984</v>
      </c>
      <c r="AG51" s="757">
        <v>5930</v>
      </c>
      <c r="AH51" s="12"/>
      <c r="AI51" s="755">
        <v>6650.98</v>
      </c>
      <c r="AJ51" s="757">
        <v>6195</v>
      </c>
      <c r="AK51" s="12"/>
      <c r="AL51" s="755">
        <v>8813.1500000000106</v>
      </c>
      <c r="AM51" s="17">
        <v>73140.740000000005</v>
      </c>
      <c r="AN51" s="973">
        <v>7012.84</v>
      </c>
      <c r="AO51" s="975">
        <v>8194.6</v>
      </c>
      <c r="AP51" s="975">
        <v>10016.790000000001</v>
      </c>
      <c r="AQ51" s="975">
        <v>6458.59</v>
      </c>
      <c r="AR51" s="975">
        <v>7455.38</v>
      </c>
      <c r="AS51" s="975">
        <v>6346.2</v>
      </c>
      <c r="AT51" s="975">
        <v>4700.28</v>
      </c>
      <c r="AU51" s="975">
        <v>6045.28</v>
      </c>
      <c r="AV51" s="975">
        <v>6382.81</v>
      </c>
      <c r="AW51" s="975">
        <v>5990.54</v>
      </c>
      <c r="AX51" s="975">
        <v>4872.0200000000004</v>
      </c>
      <c r="AY51" s="975">
        <v>6260.27</v>
      </c>
      <c r="AZ51" s="975">
        <f>'MXD P&amp;L'!N49</f>
        <v>7403.75</v>
      </c>
      <c r="BA51" s="975">
        <f>'MXD P&amp;L'!O49</f>
        <v>7643.14</v>
      </c>
      <c r="BB51" s="975">
        <f>'MXD P&amp;L'!P49</f>
        <v>8677.0400000000009</v>
      </c>
      <c r="BC51" s="975">
        <f>'MXD P&amp;L'!Q49</f>
        <v>6538.69</v>
      </c>
      <c r="BD51" s="975">
        <f>'MXD P&amp;L'!R49</f>
        <v>7504.7</v>
      </c>
      <c r="BE51" s="975">
        <f>'MXD P&amp;L'!S49</f>
        <v>6403.12</v>
      </c>
      <c r="BF51" s="975">
        <f>'MXD P&amp;L'!T49</f>
        <v>5585.65</v>
      </c>
      <c r="BG51" s="975">
        <f>'MXD P&amp;L'!U49</f>
        <v>5920.42</v>
      </c>
      <c r="BH51" s="975">
        <f>'MXD P&amp;L'!V49</f>
        <v>6011.66</v>
      </c>
      <c r="BI51" s="975">
        <f>'MXD P&amp;L'!W49</f>
        <v>6328.82</v>
      </c>
      <c r="BJ51" s="975">
        <f>'MXD P&amp;L'!X49</f>
        <v>0</v>
      </c>
      <c r="BK51" s="975">
        <f>'MXD P&amp;L'!Y50</f>
        <v>0</v>
      </c>
      <c r="BL51" s="1026">
        <f t="shared" ref="BL51:BL58" si="12">SUM(AZ51:BK51)</f>
        <v>68016.989999999991</v>
      </c>
      <c r="BM51" s="314">
        <f t="shared" si="11"/>
        <v>31682.820000000003</v>
      </c>
    </row>
    <row r="52" spans="2:65" x14ac:dyDescent="0.3">
      <c r="B52" t="s">
        <v>606</v>
      </c>
      <c r="C52" s="757">
        <v>4289</v>
      </c>
      <c r="D52" s="12">
        <v>4027</v>
      </c>
      <c r="E52" s="755">
        <v>2686.21</v>
      </c>
      <c r="F52" s="757">
        <v>4289</v>
      </c>
      <c r="G52" s="12">
        <v>5598</v>
      </c>
      <c r="H52" s="755">
        <v>3781.13</v>
      </c>
      <c r="I52" s="757">
        <v>5141</v>
      </c>
      <c r="J52" s="12">
        <v>4010</v>
      </c>
      <c r="K52" s="755">
        <v>2950.33</v>
      </c>
      <c r="L52" s="757">
        <v>4650</v>
      </c>
      <c r="M52" s="12">
        <v>3740</v>
      </c>
      <c r="N52" s="755">
        <v>4821.7099999999991</v>
      </c>
      <c r="O52" s="757">
        <v>4650</v>
      </c>
      <c r="P52" s="12">
        <v>4545</v>
      </c>
      <c r="Q52" s="755">
        <v>4554.33</v>
      </c>
      <c r="R52" s="757">
        <v>4405</v>
      </c>
      <c r="S52" s="12">
        <v>3746</v>
      </c>
      <c r="T52" s="755">
        <v>4815.2800000000016</v>
      </c>
      <c r="U52" s="757">
        <v>4405</v>
      </c>
      <c r="V52" s="12">
        <v>4023</v>
      </c>
      <c r="W52" s="755">
        <v>2947.119999999999</v>
      </c>
      <c r="X52" s="757">
        <v>2939</v>
      </c>
      <c r="Y52" s="12">
        <v>3221</v>
      </c>
      <c r="Z52" s="755">
        <v>4283.7900000000009</v>
      </c>
      <c r="AA52" s="757">
        <v>2893</v>
      </c>
      <c r="AB52" s="12">
        <v>3752</v>
      </c>
      <c r="AC52" s="755">
        <v>3752.32</v>
      </c>
      <c r="AD52" s="757">
        <v>3428</v>
      </c>
      <c r="AE52" s="12">
        <v>3752</v>
      </c>
      <c r="AF52" s="755">
        <v>4296.5899999999974</v>
      </c>
      <c r="AG52" s="757">
        <v>3189</v>
      </c>
      <c r="AH52" s="12"/>
      <c r="AI52" s="755">
        <v>4290.1900000000023</v>
      </c>
      <c r="AJ52" s="757">
        <v>4414</v>
      </c>
      <c r="AK52" s="12"/>
      <c r="AL52" s="755">
        <v>6034.4199999999983</v>
      </c>
      <c r="AM52" s="17">
        <v>49213.42</v>
      </c>
      <c r="AN52" s="973">
        <v>4808.5</v>
      </c>
      <c r="AO52" s="975">
        <v>5372.7</v>
      </c>
      <c r="AP52" s="975">
        <v>5087.3999999999996</v>
      </c>
      <c r="AQ52" s="975">
        <v>5084.2</v>
      </c>
      <c r="AR52" s="975">
        <v>5920.9</v>
      </c>
      <c r="AS52" s="975">
        <v>5034.2700000000004</v>
      </c>
      <c r="AT52" s="975">
        <v>5933.7</v>
      </c>
      <c r="AU52" s="975">
        <v>3516.29</v>
      </c>
      <c r="AV52" s="975">
        <v>4798.8999999999996</v>
      </c>
      <c r="AW52" s="975">
        <v>3852.74</v>
      </c>
      <c r="AX52" s="975">
        <v>4237.8999999999996</v>
      </c>
      <c r="AY52" s="975">
        <v>4121.67</v>
      </c>
      <c r="AZ52" s="975">
        <f>'MXD P&amp;L'!N50</f>
        <v>4533.6000000000004</v>
      </c>
      <c r="BA52" s="975">
        <f>'MXD P&amp;L'!O50</f>
        <v>4805.3599999999997</v>
      </c>
      <c r="BB52" s="975">
        <f>'MXD P&amp;L'!P50</f>
        <v>4888.63</v>
      </c>
      <c r="BC52" s="975">
        <f>'MXD P&amp;L'!Q50</f>
        <v>4971.25</v>
      </c>
      <c r="BD52" s="975">
        <f>'MXD P&amp;L'!R50</f>
        <v>4373.04</v>
      </c>
      <c r="BE52" s="975">
        <f>'MXD P&amp;L'!S50</f>
        <v>7855.75</v>
      </c>
      <c r="BF52" s="975">
        <f>'MXD P&amp;L'!T50</f>
        <v>7630.85</v>
      </c>
      <c r="BG52" s="975">
        <f>'MXD P&amp;L'!U50</f>
        <v>3934.66</v>
      </c>
      <c r="BH52" s="975">
        <f>'MXD P&amp;L'!V50</f>
        <v>3306.77</v>
      </c>
      <c r="BI52" s="975">
        <f>'MXD P&amp;L'!W50</f>
        <v>6179.35</v>
      </c>
      <c r="BJ52" s="975">
        <f>'MXD P&amp;L'!X50</f>
        <v>0</v>
      </c>
      <c r="BK52" s="975">
        <f>'MXD P&amp;L'!Y51</f>
        <v>0</v>
      </c>
      <c r="BL52" s="1026">
        <f t="shared" si="12"/>
        <v>52479.259999999995</v>
      </c>
      <c r="BM52" s="314">
        <f t="shared" si="11"/>
        <v>20352.8</v>
      </c>
    </row>
    <row r="53" spans="2:65" ht="15.6" x14ac:dyDescent="0.3">
      <c r="B53" s="1403" t="s">
        <v>1243</v>
      </c>
      <c r="C53" s="757"/>
      <c r="D53" s="12"/>
      <c r="E53" s="755"/>
      <c r="F53" s="757"/>
      <c r="G53" s="12"/>
      <c r="H53" s="755"/>
      <c r="I53" s="757"/>
      <c r="J53" s="12"/>
      <c r="K53" s="755"/>
      <c r="L53" s="757"/>
      <c r="M53" s="12"/>
      <c r="N53" s="755"/>
      <c r="O53" s="757"/>
      <c r="P53" s="12"/>
      <c r="Q53" s="755"/>
      <c r="R53" s="757"/>
      <c r="S53" s="12"/>
      <c r="T53" s="755"/>
      <c r="U53" s="757"/>
      <c r="V53" s="12"/>
      <c r="W53" s="755"/>
      <c r="X53" s="757"/>
      <c r="Y53" s="12"/>
      <c r="Z53" s="755"/>
      <c r="AA53" s="757"/>
      <c r="AB53" s="12"/>
      <c r="AC53" s="755"/>
      <c r="AD53" s="757"/>
      <c r="AE53" s="12"/>
      <c r="AF53" s="755"/>
      <c r="AG53" s="757"/>
      <c r="AH53" s="12"/>
      <c r="AI53" s="755"/>
      <c r="AJ53" s="757"/>
      <c r="AK53" s="12"/>
      <c r="AL53" s="755"/>
      <c r="AM53" s="17"/>
      <c r="AN53" s="973"/>
      <c r="AO53" s="975"/>
      <c r="AP53" s="975"/>
      <c r="AQ53" s="975"/>
      <c r="AR53" s="975"/>
      <c r="AS53" s="975"/>
      <c r="AT53" s="975"/>
      <c r="AU53" s="975"/>
      <c r="AV53" s="975"/>
      <c r="AW53" s="975"/>
      <c r="AX53" s="975"/>
      <c r="AY53" s="975"/>
      <c r="AZ53" s="975">
        <f>'MXD P&amp;L'!N51</f>
        <v>0</v>
      </c>
      <c r="BA53" s="975">
        <f>'MXD P&amp;L'!O51</f>
        <v>0</v>
      </c>
      <c r="BB53" s="975">
        <f>'MXD P&amp;L'!P51</f>
        <v>0</v>
      </c>
      <c r="BC53" s="975">
        <f>'MXD P&amp;L'!Q51</f>
        <v>0</v>
      </c>
      <c r="BD53" s="975">
        <f>'MXD P&amp;L'!R51</f>
        <v>1423</v>
      </c>
      <c r="BE53" s="975">
        <f>'MXD P&amp;L'!S51</f>
        <v>0</v>
      </c>
      <c r="BF53" s="975">
        <f>'MXD P&amp;L'!T51</f>
        <v>0</v>
      </c>
      <c r="BG53" s="975">
        <f>'MXD P&amp;L'!U51</f>
        <v>0</v>
      </c>
      <c r="BH53" s="975">
        <f>'MXD P&amp;L'!V51</f>
        <v>0</v>
      </c>
      <c r="BI53" s="975">
        <f>'MXD P&amp;L'!W51</f>
        <v>0</v>
      </c>
      <c r="BJ53" s="975">
        <f>'MXD P&amp;L'!X51</f>
        <v>0</v>
      </c>
      <c r="BK53" s="975">
        <f>'MXD P&amp;L'!Y52</f>
        <v>0</v>
      </c>
      <c r="BL53" s="1026">
        <f t="shared" si="12"/>
        <v>1423</v>
      </c>
      <c r="BM53" s="314"/>
    </row>
    <row r="54" spans="2:65" x14ac:dyDescent="0.3">
      <c r="B54" t="s">
        <v>607</v>
      </c>
      <c r="C54" s="757"/>
      <c r="D54" s="12">
        <v>1270</v>
      </c>
      <c r="E54" s="755">
        <v>597</v>
      </c>
      <c r="F54" s="757"/>
      <c r="G54" s="12">
        <v>1270</v>
      </c>
      <c r="H54" s="755"/>
      <c r="I54" s="757"/>
      <c r="J54" s="12">
        <v>1270</v>
      </c>
      <c r="K54" s="755"/>
      <c r="L54" s="757"/>
      <c r="M54" s="12">
        <v>1270</v>
      </c>
      <c r="N54" s="755"/>
      <c r="O54" s="757">
        <v>2257</v>
      </c>
      <c r="P54" s="12">
        <v>1926</v>
      </c>
      <c r="Q54" s="755">
        <v>763.3900000000001</v>
      </c>
      <c r="R54" s="757">
        <v>1270</v>
      </c>
      <c r="S54" s="12">
        <v>596</v>
      </c>
      <c r="T54" s="755">
        <v>691.3</v>
      </c>
      <c r="U54" s="757">
        <v>1270</v>
      </c>
      <c r="V54" s="12">
        <v>596</v>
      </c>
      <c r="W54" s="755">
        <v>691.29999999999973</v>
      </c>
      <c r="X54" s="757">
        <v>1270</v>
      </c>
      <c r="Y54" s="12">
        <v>596</v>
      </c>
      <c r="Z54" s="755">
        <v>2422.34</v>
      </c>
      <c r="AA54" s="757">
        <v>-508</v>
      </c>
      <c r="AB54" s="12">
        <v>596</v>
      </c>
      <c r="AC54" s="755">
        <v>691.30000000000018</v>
      </c>
      <c r="AD54" s="757">
        <v>1270</v>
      </c>
      <c r="AE54" s="12">
        <v>4651</v>
      </c>
      <c r="AF54" s="755">
        <v>691.30000000000018</v>
      </c>
      <c r="AG54" s="757">
        <v>1270</v>
      </c>
      <c r="AH54" s="12">
        <v>596</v>
      </c>
      <c r="AI54" s="755">
        <v>691.29999999999927</v>
      </c>
      <c r="AJ54" s="757">
        <v>1270</v>
      </c>
      <c r="AK54" s="12">
        <v>596</v>
      </c>
      <c r="AL54" s="755">
        <v>-1419.5899999999997</v>
      </c>
      <c r="AM54" s="768">
        <v>5819.6399999999994</v>
      </c>
      <c r="AN54" s="973">
        <v>847.3</v>
      </c>
      <c r="AO54" s="975">
        <v>691.3</v>
      </c>
      <c r="AP54" s="975">
        <v>691.3</v>
      </c>
      <c r="AQ54" s="975">
        <v>691.3</v>
      </c>
      <c r="AR54" s="975">
        <v>1195</v>
      </c>
      <c r="AS54" s="975">
        <v>1195.24</v>
      </c>
      <c r="AT54" s="975">
        <v>1200</v>
      </c>
      <c r="AU54" s="975">
        <v>412.44</v>
      </c>
      <c r="AV54" s="975">
        <v>-0.22</v>
      </c>
      <c r="AW54" s="975">
        <v>1195</v>
      </c>
      <c r="AX54" s="975">
        <v>1195</v>
      </c>
      <c r="AY54" s="975">
        <v>1195</v>
      </c>
      <c r="AZ54" s="975">
        <f>'MXD P&amp;L'!N52</f>
        <v>1195</v>
      </c>
      <c r="BA54" s="975">
        <f>'MXD P&amp;L'!O52</f>
        <v>1195</v>
      </c>
      <c r="BB54" s="975">
        <f>'MXD P&amp;L'!P52</f>
        <v>0</v>
      </c>
      <c r="BC54" s="975">
        <f>'MXD P&amp;L'!Q52</f>
        <v>0</v>
      </c>
      <c r="BD54" s="975">
        <f>'MXD P&amp;L'!R52</f>
        <v>0</v>
      </c>
      <c r="BE54" s="975">
        <f>'MXD P&amp;L'!S52</f>
        <v>1423</v>
      </c>
      <c r="BF54" s="975">
        <f>'MXD P&amp;L'!T52</f>
        <v>2846</v>
      </c>
      <c r="BG54" s="975">
        <f>'MXD P&amp;L'!U52</f>
        <v>1423</v>
      </c>
      <c r="BH54" s="975">
        <f>'MXD P&amp;L'!V52</f>
        <v>1423</v>
      </c>
      <c r="BI54" s="975">
        <f>'MXD P&amp;L'!W52</f>
        <v>-5127.07</v>
      </c>
      <c r="BJ54" s="975">
        <f>'MXD P&amp;L'!X52</f>
        <v>0</v>
      </c>
      <c r="BK54" s="975">
        <f>'MXD P&amp;L'!Y53</f>
        <v>0</v>
      </c>
      <c r="BL54" s="1026">
        <f t="shared" si="12"/>
        <v>4377.93</v>
      </c>
      <c r="BM54" s="314">
        <f t="shared" si="11"/>
        <v>2921.2</v>
      </c>
    </row>
    <row r="55" spans="2:65" x14ac:dyDescent="0.3">
      <c r="B55" t="s">
        <v>608</v>
      </c>
      <c r="C55" s="754"/>
      <c r="D55" s="8"/>
      <c r="E55" s="755"/>
      <c r="F55" s="754"/>
      <c r="G55" s="8"/>
      <c r="H55" s="755"/>
      <c r="I55" s="754"/>
      <c r="J55" s="8"/>
      <c r="K55" s="755"/>
      <c r="L55" s="754"/>
      <c r="M55" s="8"/>
      <c r="N55" s="755"/>
      <c r="O55" s="754"/>
      <c r="P55" s="8">
        <v>50</v>
      </c>
      <c r="Q55" s="755">
        <v>6603.07</v>
      </c>
      <c r="R55" s="754"/>
      <c r="S55" s="8">
        <v>422</v>
      </c>
      <c r="T55" s="755">
        <v>6266.73</v>
      </c>
      <c r="U55" s="754"/>
      <c r="V55" s="8">
        <v>20</v>
      </c>
      <c r="W55" s="755">
        <v>5046.26</v>
      </c>
      <c r="X55" s="754"/>
      <c r="Y55" s="8"/>
      <c r="Z55" s="755">
        <v>3296</v>
      </c>
      <c r="AA55" s="754"/>
      <c r="AB55" s="8"/>
      <c r="AC55" s="755">
        <v>2678.3500000000022</v>
      </c>
      <c r="AD55" s="754"/>
      <c r="AE55" s="8"/>
      <c r="AF55" s="755">
        <v>8458.18</v>
      </c>
      <c r="AG55" s="754"/>
      <c r="AH55" s="8"/>
      <c r="AI55" s="755">
        <v>9337.5399999999972</v>
      </c>
      <c r="AJ55" s="754"/>
      <c r="AK55" s="8"/>
      <c r="AL55" s="755">
        <v>542.33000000000175</v>
      </c>
      <c r="AM55" s="768">
        <v>42228.46</v>
      </c>
      <c r="AN55" s="973">
        <v>330.24</v>
      </c>
      <c r="AO55" s="975">
        <v>20602.349999999999</v>
      </c>
      <c r="AP55" s="975">
        <v>9771.98</v>
      </c>
      <c r="AQ55" s="975">
        <v>14520.43</v>
      </c>
      <c r="AR55" s="975">
        <v>20369.54</v>
      </c>
      <c r="AS55" s="975">
        <v>20731.259999999998</v>
      </c>
      <c r="AT55" s="975">
        <v>25097.18</v>
      </c>
      <c r="AU55" s="975">
        <v>11648.3</v>
      </c>
      <c r="AV55" s="975">
        <v>16817.59</v>
      </c>
      <c r="AW55" s="975">
        <v>8164.78</v>
      </c>
      <c r="AX55" s="975">
        <v>5467.65</v>
      </c>
      <c r="AY55" s="975">
        <v>8445.5400000000009</v>
      </c>
      <c r="AZ55" s="975">
        <f>'MXD P&amp;L'!N53</f>
        <v>7948.01</v>
      </c>
      <c r="BA55" s="975">
        <f>'MXD P&amp;L'!O53</f>
        <v>12390.42</v>
      </c>
      <c r="BB55" s="975">
        <f>'MXD P&amp;L'!P53</f>
        <v>11045.94</v>
      </c>
      <c r="BC55" s="975">
        <f>'MXD P&amp;L'!Q53</f>
        <v>10376.11</v>
      </c>
      <c r="BD55" s="975">
        <f>'MXD P&amp;L'!R53</f>
        <v>12909</v>
      </c>
      <c r="BE55" s="975">
        <f>'MXD P&amp;L'!S53</f>
        <v>9250.0300000000007</v>
      </c>
      <c r="BF55" s="975">
        <f>'MXD P&amp;L'!T53</f>
        <v>5836.22</v>
      </c>
      <c r="BG55" s="975">
        <f>'MXD P&amp;L'!U53</f>
        <v>5629.56</v>
      </c>
      <c r="BH55" s="975">
        <f>'MXD P&amp;L'!V53</f>
        <v>8118.68</v>
      </c>
      <c r="BI55" s="975">
        <f>'MXD P&amp;L'!W53</f>
        <v>8823.5400000000009</v>
      </c>
      <c r="BJ55" s="975">
        <f>'MXD P&amp;L'!X53</f>
        <v>0</v>
      </c>
      <c r="BK55" s="975">
        <f>'MXD P&amp;L'!Y54</f>
        <v>0</v>
      </c>
      <c r="BL55" s="1026">
        <f t="shared" si="12"/>
        <v>92327.510000000009</v>
      </c>
      <c r="BM55" s="314">
        <f t="shared" si="11"/>
        <v>45225</v>
      </c>
    </row>
    <row r="56" spans="2:65" ht="15.6" x14ac:dyDescent="0.3">
      <c r="B56" s="1398" t="s">
        <v>1244</v>
      </c>
      <c r="C56" s="754"/>
      <c r="D56" s="8"/>
      <c r="E56" s="755"/>
      <c r="F56" s="754"/>
      <c r="G56" s="8"/>
      <c r="H56" s="755"/>
      <c r="I56" s="754"/>
      <c r="J56" s="8"/>
      <c r="K56" s="755"/>
      <c r="L56" s="754"/>
      <c r="M56" s="8"/>
      <c r="N56" s="755"/>
      <c r="O56" s="754"/>
      <c r="P56" s="8"/>
      <c r="Q56" s="755"/>
      <c r="R56" s="754"/>
      <c r="S56" s="8"/>
      <c r="T56" s="755"/>
      <c r="U56" s="754"/>
      <c r="V56" s="8"/>
      <c r="W56" s="755"/>
      <c r="X56" s="754"/>
      <c r="Y56" s="8"/>
      <c r="Z56" s="755"/>
      <c r="AA56" s="754"/>
      <c r="AB56" s="8"/>
      <c r="AC56" s="755"/>
      <c r="AD56" s="754"/>
      <c r="AE56" s="8"/>
      <c r="AF56" s="755"/>
      <c r="AG56" s="754"/>
      <c r="AH56" s="8"/>
      <c r="AI56" s="755"/>
      <c r="AJ56" s="754"/>
      <c r="AK56" s="8"/>
      <c r="AL56" s="755"/>
      <c r="AM56" s="768"/>
      <c r="AN56" s="973"/>
      <c r="AO56" s="975"/>
      <c r="AP56" s="975"/>
      <c r="AQ56" s="975"/>
      <c r="AR56" s="975"/>
      <c r="AS56" s="975"/>
      <c r="AT56" s="975"/>
      <c r="AU56" s="975"/>
      <c r="AV56" s="975"/>
      <c r="AW56" s="975"/>
      <c r="AX56" s="975"/>
      <c r="AY56" s="975"/>
      <c r="AZ56" s="975">
        <f>'MXD P&amp;L'!N54</f>
        <v>0</v>
      </c>
      <c r="BA56" s="975">
        <f>'MXD P&amp;L'!O54</f>
        <v>0</v>
      </c>
      <c r="BB56" s="975">
        <f>'MXD P&amp;L'!P54</f>
        <v>0</v>
      </c>
      <c r="BC56" s="975">
        <f>'MXD P&amp;L'!Q54</f>
        <v>0</v>
      </c>
      <c r="BD56" s="975">
        <f>'MXD P&amp;L'!R54</f>
        <v>1045</v>
      </c>
      <c r="BE56" s="975">
        <f>'MXD P&amp;L'!S54</f>
        <v>0</v>
      </c>
      <c r="BF56" s="975">
        <f>'MXD P&amp;L'!T54</f>
        <v>0</v>
      </c>
      <c r="BG56" s="975">
        <f>'MXD P&amp;L'!U54</f>
        <v>0</v>
      </c>
      <c r="BH56" s="975">
        <f>'MXD P&amp;L'!V54</f>
        <v>0</v>
      </c>
      <c r="BI56" s="975">
        <f>'MXD P&amp;L'!W54</f>
        <v>2800</v>
      </c>
      <c r="BJ56" s="975">
        <f>'MXD P&amp;L'!X54</f>
        <v>0</v>
      </c>
      <c r="BK56" s="975">
        <f>'MXD P&amp;L'!Y55</f>
        <v>0</v>
      </c>
      <c r="BL56" s="1026">
        <f t="shared" si="12"/>
        <v>3845</v>
      </c>
      <c r="BM56" s="314"/>
    </row>
    <row r="57" spans="2:65" x14ac:dyDescent="0.3">
      <c r="B57" t="s">
        <v>40</v>
      </c>
      <c r="C57" s="757"/>
      <c r="D57" s="12"/>
      <c r="E57" s="755"/>
      <c r="F57" s="757"/>
      <c r="G57" s="12"/>
      <c r="H57" s="755"/>
      <c r="I57" s="757"/>
      <c r="J57" s="12"/>
      <c r="K57" s="755"/>
      <c r="L57" s="757"/>
      <c r="M57" s="12"/>
      <c r="N57" s="755"/>
      <c r="O57" s="757"/>
      <c r="P57" s="12"/>
      <c r="Q57" s="755"/>
      <c r="R57" s="757"/>
      <c r="S57" s="12"/>
      <c r="T57" s="755"/>
      <c r="U57" s="757"/>
      <c r="V57" s="12"/>
      <c r="W57" s="755"/>
      <c r="X57" s="757"/>
      <c r="Y57" s="12"/>
      <c r="Z57" s="755"/>
      <c r="AA57" s="757"/>
      <c r="AB57" s="12"/>
      <c r="AC57" s="755"/>
      <c r="AD57" s="757"/>
      <c r="AE57" s="12"/>
      <c r="AF57" s="755"/>
      <c r="AG57" s="757"/>
      <c r="AH57" s="12"/>
      <c r="AI57" s="755"/>
      <c r="AJ57" s="757"/>
      <c r="AK57" s="12"/>
      <c r="AL57" s="755">
        <v>17036.14</v>
      </c>
      <c r="AM57" s="768">
        <v>17036.14</v>
      </c>
      <c r="AN57" s="973">
        <v>0</v>
      </c>
      <c r="AO57" s="975">
        <v>0</v>
      </c>
      <c r="AP57" s="975"/>
      <c r="AQ57" s="975"/>
      <c r="AR57" s="975"/>
      <c r="AS57" s="975"/>
      <c r="AT57" s="975"/>
      <c r="AU57" s="975"/>
      <c r="AV57" s="975"/>
      <c r="AW57" s="975"/>
      <c r="AX57" s="975"/>
      <c r="AY57" s="975"/>
      <c r="AZ57" s="975">
        <v>0</v>
      </c>
      <c r="BA57" s="975">
        <v>0</v>
      </c>
      <c r="BB57" s="975">
        <v>0</v>
      </c>
      <c r="BC57" s="975">
        <v>0</v>
      </c>
      <c r="BD57" s="975">
        <v>0</v>
      </c>
      <c r="BE57" s="975">
        <v>0</v>
      </c>
      <c r="BF57" s="975">
        <v>0</v>
      </c>
      <c r="BG57" s="975">
        <v>0</v>
      </c>
      <c r="BH57" s="975">
        <v>0</v>
      </c>
      <c r="BI57" s="975">
        <v>0</v>
      </c>
      <c r="BJ57" s="975">
        <v>0</v>
      </c>
      <c r="BK57" s="975">
        <v>0</v>
      </c>
      <c r="BL57" s="1026">
        <f t="shared" si="12"/>
        <v>0</v>
      </c>
      <c r="BM57" s="314">
        <f t="shared" si="11"/>
        <v>0</v>
      </c>
    </row>
    <row r="58" spans="2:65" x14ac:dyDescent="0.3">
      <c r="B58" t="s">
        <v>46</v>
      </c>
      <c r="C58" s="754"/>
      <c r="D58" s="8"/>
      <c r="E58" s="755"/>
      <c r="F58" s="754">
        <v>213</v>
      </c>
      <c r="G58" s="8">
        <v>412</v>
      </c>
      <c r="H58" s="755"/>
      <c r="I58" s="754"/>
      <c r="J58" s="8"/>
      <c r="K58" s="755"/>
      <c r="L58" s="754">
        <v>227</v>
      </c>
      <c r="M58" s="8"/>
      <c r="N58" s="755"/>
      <c r="O58" s="754"/>
      <c r="P58" s="8">
        <v>1920</v>
      </c>
      <c r="Q58" s="755"/>
      <c r="R58" s="754"/>
      <c r="S58" s="8"/>
      <c r="T58" s="755"/>
      <c r="U58" s="754"/>
      <c r="V58" s="8"/>
      <c r="W58" s="755"/>
      <c r="X58" s="754"/>
      <c r="Y58" s="8">
        <v>712</v>
      </c>
      <c r="Z58" s="755"/>
      <c r="AA58" s="754">
        <v>412</v>
      </c>
      <c r="AB58" s="8"/>
      <c r="AC58" s="755"/>
      <c r="AD58" s="754">
        <v>206</v>
      </c>
      <c r="AE58" s="8">
        <v>206</v>
      </c>
      <c r="AF58" s="755"/>
      <c r="AG58" s="754">
        <v>206</v>
      </c>
      <c r="AH58" s="8"/>
      <c r="AI58" s="755"/>
      <c r="AJ58" s="754"/>
      <c r="AK58" s="8"/>
      <c r="AL58" s="755"/>
      <c r="AM58" s="768">
        <v>0</v>
      </c>
      <c r="AN58" s="973"/>
      <c r="AO58" s="975"/>
      <c r="AP58" s="975"/>
      <c r="AQ58" s="975"/>
      <c r="AR58" s="975"/>
      <c r="AS58" s="975"/>
      <c r="AT58" s="975"/>
      <c r="AU58" s="975"/>
      <c r="AV58" s="975"/>
      <c r="AW58" s="975"/>
      <c r="AX58" s="975"/>
      <c r="AY58" s="975"/>
      <c r="AZ58" s="975">
        <v>0</v>
      </c>
      <c r="BA58" s="975">
        <v>0</v>
      </c>
      <c r="BB58" s="975">
        <v>0</v>
      </c>
      <c r="BC58" s="975">
        <v>0</v>
      </c>
      <c r="BD58" s="975">
        <v>0</v>
      </c>
      <c r="BE58" s="975">
        <v>0</v>
      </c>
      <c r="BF58" s="975">
        <v>0</v>
      </c>
      <c r="BG58" s="975">
        <v>0</v>
      </c>
      <c r="BH58" s="975">
        <v>0</v>
      </c>
      <c r="BI58" s="975">
        <v>0</v>
      </c>
      <c r="BJ58" s="975">
        <v>0</v>
      </c>
      <c r="BK58" s="975">
        <v>0</v>
      </c>
      <c r="BL58" s="1026">
        <f t="shared" si="12"/>
        <v>0</v>
      </c>
      <c r="BM58" s="314">
        <f t="shared" si="11"/>
        <v>0</v>
      </c>
    </row>
    <row r="59" spans="2:65" x14ac:dyDescent="0.3">
      <c r="B59" s="7" t="s">
        <v>47</v>
      </c>
      <c r="C59" s="906">
        <v>104967</v>
      </c>
      <c r="D59" s="901">
        <v>92374</v>
      </c>
      <c r="E59" s="907">
        <v>57228.939999999995</v>
      </c>
      <c r="F59" s="906">
        <v>84253</v>
      </c>
      <c r="G59" s="901">
        <v>77682</v>
      </c>
      <c r="H59" s="907">
        <v>76306.989999999991</v>
      </c>
      <c r="I59" s="906">
        <v>88461</v>
      </c>
      <c r="J59" s="901">
        <v>89814</v>
      </c>
      <c r="K59" s="907">
        <v>92616.12000000001</v>
      </c>
      <c r="L59" s="906">
        <v>88372</v>
      </c>
      <c r="M59" s="901">
        <v>81741</v>
      </c>
      <c r="N59" s="907">
        <v>89766.289999999979</v>
      </c>
      <c r="O59" s="906">
        <v>95596</v>
      </c>
      <c r="P59" s="901">
        <v>81706</v>
      </c>
      <c r="Q59" s="907">
        <v>95313.010000000009</v>
      </c>
      <c r="R59" s="906">
        <v>82086</v>
      </c>
      <c r="S59" s="901">
        <v>69219</v>
      </c>
      <c r="T59" s="907">
        <v>98658.12000000001</v>
      </c>
      <c r="U59" s="906">
        <v>81556</v>
      </c>
      <c r="V59" s="901">
        <v>83686</v>
      </c>
      <c r="W59" s="907">
        <v>113942.72999999998</v>
      </c>
      <c r="X59" s="906">
        <v>83978</v>
      </c>
      <c r="Y59" s="901">
        <v>73603</v>
      </c>
      <c r="Z59" s="907">
        <v>99831.070000000123</v>
      </c>
      <c r="AA59" s="906">
        <v>83740</v>
      </c>
      <c r="AB59" s="901">
        <v>75023</v>
      </c>
      <c r="AC59" s="907">
        <v>102419.29999999992</v>
      </c>
      <c r="AD59" s="906">
        <v>94346</v>
      </c>
      <c r="AE59" s="901">
        <v>72343</v>
      </c>
      <c r="AF59" s="907">
        <v>111979.25000000012</v>
      </c>
      <c r="AG59" s="906">
        <v>89218</v>
      </c>
      <c r="AH59" s="901">
        <v>596</v>
      </c>
      <c r="AI59" s="907">
        <v>108807.15999999989</v>
      </c>
      <c r="AJ59" s="906">
        <v>86164</v>
      </c>
      <c r="AK59" s="901">
        <v>596</v>
      </c>
      <c r="AL59" s="907">
        <v>131946.1699999999</v>
      </c>
      <c r="AM59" s="901">
        <v>1178815.1499999997</v>
      </c>
      <c r="AN59" s="906">
        <f t="shared" ref="AN59:BM59" si="13">SUM(AN50:AN58)</f>
        <v>99949.81</v>
      </c>
      <c r="AO59" s="901">
        <f t="shared" si="13"/>
        <v>125463.94</v>
      </c>
      <c r="AP59" s="1264">
        <f t="shared" si="13"/>
        <v>139053.50999999998</v>
      </c>
      <c r="AQ59" s="901">
        <f t="shared" si="13"/>
        <v>107492.19999999998</v>
      </c>
      <c r="AR59" s="901">
        <f t="shared" si="13"/>
        <v>130789.35</v>
      </c>
      <c r="AS59" s="901">
        <f t="shared" si="13"/>
        <v>114976.48</v>
      </c>
      <c r="AT59" s="901">
        <f t="shared" si="13"/>
        <v>100559.87</v>
      </c>
      <c r="AU59" s="901">
        <f t="shared" si="13"/>
        <v>96996.02</v>
      </c>
      <c r="AV59" s="901">
        <f t="shared" si="13"/>
        <v>107917.35999999999</v>
      </c>
      <c r="AW59" s="901">
        <f t="shared" si="13"/>
        <v>95299.7</v>
      </c>
      <c r="AX59" s="901">
        <f t="shared" si="13"/>
        <v>79977.089999999982</v>
      </c>
      <c r="AY59" s="901">
        <f t="shared" si="13"/>
        <v>101487.48000000001</v>
      </c>
      <c r="AZ59" s="899">
        <f t="shared" si="13"/>
        <v>94728.14</v>
      </c>
      <c r="BA59" s="899">
        <f t="shared" si="13"/>
        <v>100541.59999999999</v>
      </c>
      <c r="BB59" s="899">
        <f t="shared" si="13"/>
        <v>125177.14000000001</v>
      </c>
      <c r="BC59" s="899">
        <f t="shared" si="13"/>
        <v>105213.01000000001</v>
      </c>
      <c r="BD59" s="899">
        <f t="shared" si="13"/>
        <v>120348.60999999999</v>
      </c>
      <c r="BE59" s="899">
        <f t="shared" si="13"/>
        <v>103859.84</v>
      </c>
      <c r="BF59" s="899">
        <f t="shared" si="13"/>
        <v>88330.22</v>
      </c>
      <c r="BG59" s="899">
        <f t="shared" si="13"/>
        <v>91997.16</v>
      </c>
      <c r="BH59" s="899">
        <f t="shared" si="13"/>
        <v>96597.38</v>
      </c>
      <c r="BI59" s="899">
        <f t="shared" si="13"/>
        <v>101331.68</v>
      </c>
      <c r="BJ59" s="899">
        <f t="shared" si="13"/>
        <v>0</v>
      </c>
      <c r="BK59" s="899">
        <f t="shared" si="13"/>
        <v>0</v>
      </c>
      <c r="BL59" s="899">
        <f t="shared" si="13"/>
        <v>1028124.7800000001</v>
      </c>
      <c r="BM59" s="899">
        <f t="shared" si="13"/>
        <v>471959.45999999996</v>
      </c>
    </row>
    <row r="60" spans="2:65" x14ac:dyDescent="0.3">
      <c r="C60" s="759"/>
      <c r="E60" s="764"/>
      <c r="F60" s="759"/>
      <c r="H60" s="764"/>
      <c r="I60" s="759"/>
      <c r="K60" s="764"/>
      <c r="L60" s="759"/>
      <c r="N60" s="764"/>
      <c r="O60" s="759"/>
      <c r="Q60" s="764"/>
      <c r="R60" s="759"/>
      <c r="T60" s="764"/>
      <c r="U60" s="759"/>
      <c r="W60" s="764"/>
      <c r="X60" s="759"/>
      <c r="Z60" s="764"/>
      <c r="AA60" s="759"/>
      <c r="AC60" s="764"/>
      <c r="AD60" s="759"/>
      <c r="AF60" s="764"/>
      <c r="AG60" s="759"/>
      <c r="AI60" s="764"/>
      <c r="AJ60" s="759"/>
      <c r="AL60" s="764"/>
      <c r="AN60" s="962"/>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row>
    <row r="61" spans="2:65" x14ac:dyDescent="0.3">
      <c r="B61" s="7" t="s">
        <v>43</v>
      </c>
      <c r="C61" s="752"/>
      <c r="D61" s="1"/>
      <c r="E61" s="753"/>
      <c r="F61" s="752"/>
      <c r="G61" s="1"/>
      <c r="H61" s="753"/>
      <c r="I61" s="752"/>
      <c r="J61" s="1"/>
      <c r="K61" s="753"/>
      <c r="L61" s="752"/>
      <c r="M61" s="1"/>
      <c r="N61" s="753"/>
      <c r="O61" s="752"/>
      <c r="P61" s="1"/>
      <c r="Q61" s="753"/>
      <c r="R61" s="752"/>
      <c r="S61" s="1"/>
      <c r="T61" s="753"/>
      <c r="U61" s="752"/>
      <c r="V61" s="1"/>
      <c r="W61" s="753"/>
      <c r="X61" s="752"/>
      <c r="Y61" s="1"/>
      <c r="Z61" s="753"/>
      <c r="AA61" s="752"/>
      <c r="AB61" s="1"/>
      <c r="AC61" s="753"/>
      <c r="AD61" s="752"/>
      <c r="AE61" s="1"/>
      <c r="AF61" s="753"/>
      <c r="AG61" s="752"/>
      <c r="AH61" s="1"/>
      <c r="AI61" s="753"/>
      <c r="AJ61" s="752"/>
      <c r="AK61" s="1"/>
      <c r="AL61" s="753"/>
      <c r="AM61" s="1"/>
      <c r="AN61" s="1027"/>
      <c r="AO61" s="1028"/>
      <c r="AP61" s="1028"/>
      <c r="AQ61" s="1028"/>
      <c r="AR61" s="1028"/>
      <c r="AS61" s="1028"/>
      <c r="AT61" s="1028"/>
      <c r="AU61" s="1"/>
      <c r="AV61" s="1"/>
      <c r="AW61" s="1"/>
      <c r="AX61" s="1"/>
      <c r="AY61" s="1"/>
      <c r="AZ61" s="1"/>
      <c r="BA61" s="1"/>
      <c r="BB61" s="1"/>
      <c r="BC61" s="1"/>
      <c r="BD61" s="1"/>
      <c r="BE61" s="1"/>
      <c r="BF61" s="1"/>
      <c r="BG61" s="1"/>
      <c r="BH61" s="1"/>
      <c r="BI61" s="1"/>
      <c r="BJ61" s="1"/>
      <c r="BK61" s="1"/>
      <c r="BL61" s="1"/>
      <c r="BM61" s="1028"/>
    </row>
    <row r="62" spans="2:65" x14ac:dyDescent="0.3">
      <c r="B62" t="s">
        <v>592</v>
      </c>
      <c r="C62" s="765">
        <v>6579</v>
      </c>
      <c r="D62" s="617">
        <v>13722</v>
      </c>
      <c r="E62" s="755">
        <v>10537</v>
      </c>
      <c r="F62" s="765">
        <v>6579</v>
      </c>
      <c r="G62" s="617">
        <v>13722</v>
      </c>
      <c r="H62" s="755">
        <v>10537</v>
      </c>
      <c r="I62" s="765">
        <v>6579</v>
      </c>
      <c r="J62" s="617">
        <v>16161</v>
      </c>
      <c r="K62" s="755">
        <v>10537</v>
      </c>
      <c r="L62" s="765">
        <v>6579</v>
      </c>
      <c r="M62" s="617">
        <v>22871</v>
      </c>
      <c r="N62" s="755">
        <v>10537</v>
      </c>
      <c r="O62" s="765">
        <v>6579</v>
      </c>
      <c r="P62" s="617">
        <v>12910</v>
      </c>
      <c r="Q62" s="755">
        <v>10537</v>
      </c>
      <c r="R62" s="765">
        <v>6711</v>
      </c>
      <c r="S62" s="617">
        <v>54075</v>
      </c>
      <c r="T62" s="755">
        <v>10537</v>
      </c>
      <c r="U62" s="765">
        <v>6711</v>
      </c>
      <c r="V62" s="617">
        <v>9450</v>
      </c>
      <c r="W62" s="755">
        <v>10537</v>
      </c>
      <c r="X62" s="765">
        <v>6711</v>
      </c>
      <c r="Y62" s="617">
        <v>9450</v>
      </c>
      <c r="Z62" s="755">
        <v>10537</v>
      </c>
      <c r="AA62" s="765">
        <v>6711</v>
      </c>
      <c r="AB62" s="617">
        <v>9450</v>
      </c>
      <c r="AC62" s="755">
        <v>10537</v>
      </c>
      <c r="AD62" s="765">
        <v>13722</v>
      </c>
      <c r="AE62" s="617">
        <v>9450</v>
      </c>
      <c r="AF62" s="755">
        <v>10537</v>
      </c>
      <c r="AG62" s="765">
        <v>13722</v>
      </c>
      <c r="AH62" s="617">
        <v>9450</v>
      </c>
      <c r="AI62" s="755">
        <v>10537</v>
      </c>
      <c r="AJ62" s="765">
        <v>13722</v>
      </c>
      <c r="AK62" s="617">
        <v>9450</v>
      </c>
      <c r="AL62" s="755">
        <v>10537</v>
      </c>
      <c r="AM62" s="768">
        <v>126444</v>
      </c>
      <c r="AN62" s="973">
        <v>10537</v>
      </c>
      <c r="AO62" s="975">
        <v>10537</v>
      </c>
      <c r="AP62" s="975">
        <v>10537</v>
      </c>
      <c r="AQ62" s="975">
        <v>10537</v>
      </c>
      <c r="AR62" s="975">
        <v>10537</v>
      </c>
      <c r="AS62" s="975">
        <v>10537</v>
      </c>
      <c r="AT62" s="975">
        <v>10537</v>
      </c>
      <c r="AU62" s="975">
        <v>10537</v>
      </c>
      <c r="AV62" s="975">
        <v>10537</v>
      </c>
      <c r="AW62" s="975">
        <v>10537</v>
      </c>
      <c r="AX62" s="975">
        <v>10537</v>
      </c>
      <c r="AY62" s="975">
        <v>13694</v>
      </c>
      <c r="AZ62" s="975">
        <f>'MXD P&amp;L'!N56</f>
        <v>10537</v>
      </c>
      <c r="BA62" s="975">
        <f>'MXD P&amp;L'!O56</f>
        <v>10537</v>
      </c>
      <c r="BB62" s="975">
        <f>'MXD P&amp;L'!P56</f>
        <v>10537</v>
      </c>
      <c r="BC62" s="975">
        <f>'MXD P&amp;L'!Q56</f>
        <v>10537</v>
      </c>
      <c r="BD62" s="975">
        <f>'MXD P&amp;L'!R56</f>
        <v>10537</v>
      </c>
      <c r="BE62" s="975">
        <f>'MXD P&amp;L'!S56</f>
        <v>10537</v>
      </c>
      <c r="BF62" s="975">
        <f>'MXD P&amp;L'!T56</f>
        <v>10537</v>
      </c>
      <c r="BG62" s="975">
        <f>'MXD P&amp;L'!U56</f>
        <v>10537</v>
      </c>
      <c r="BH62" s="975">
        <f>'MXD P&amp;L'!V56</f>
        <v>10537</v>
      </c>
      <c r="BI62" s="975">
        <f>'MXD P&amp;L'!W56</f>
        <v>10537</v>
      </c>
      <c r="BJ62" s="975">
        <f>'MXD P&amp;L'!X56</f>
        <v>0</v>
      </c>
      <c r="BK62" s="975">
        <f>'MXD P&amp;L'!Y57</f>
        <v>0</v>
      </c>
      <c r="BL62" s="1026">
        <f t="shared" ref="BL62:BL83" si="14">SUM(AZ62:BK62)</f>
        <v>105370</v>
      </c>
      <c r="BM62" s="314">
        <f t="shared" ref="BM62:BM83" si="15">SUM(AN62:AQ62)</f>
        <v>42148</v>
      </c>
    </row>
    <row r="63" spans="2:65" x14ac:dyDescent="0.3">
      <c r="B63" t="s">
        <v>593</v>
      </c>
      <c r="C63" s="765">
        <v>13210</v>
      </c>
      <c r="D63" s="617">
        <v>9970</v>
      </c>
      <c r="E63" s="755">
        <v>6881.47</v>
      </c>
      <c r="F63" s="765">
        <v>13210</v>
      </c>
      <c r="G63" s="617">
        <v>9970</v>
      </c>
      <c r="H63" s="755">
        <v>6881.47</v>
      </c>
      <c r="I63" s="765">
        <v>13210</v>
      </c>
      <c r="J63" s="617">
        <v>9970</v>
      </c>
      <c r="K63" s="755">
        <v>6881.4699999999993</v>
      </c>
      <c r="L63" s="765">
        <v>13210</v>
      </c>
      <c r="M63" s="617">
        <v>9970</v>
      </c>
      <c r="N63" s="755">
        <v>6708.6800000000012</v>
      </c>
      <c r="O63" s="765">
        <v>13210</v>
      </c>
      <c r="P63" s="617">
        <v>9970</v>
      </c>
      <c r="Q63" s="755">
        <v>6838.27</v>
      </c>
      <c r="R63" s="765">
        <v>13210</v>
      </c>
      <c r="S63" s="617">
        <v>11670</v>
      </c>
      <c r="T63" s="755">
        <v>6838.2699999999968</v>
      </c>
      <c r="U63" s="765">
        <v>13210</v>
      </c>
      <c r="V63" s="617">
        <v>10536</v>
      </c>
      <c r="W63" s="755">
        <v>6838.2700000000041</v>
      </c>
      <c r="X63" s="765">
        <v>13210</v>
      </c>
      <c r="Y63" s="617">
        <v>10536</v>
      </c>
      <c r="Z63" s="755">
        <v>6838.2699999999968</v>
      </c>
      <c r="AA63" s="765">
        <v>13210</v>
      </c>
      <c r="AB63" s="617">
        <v>10536</v>
      </c>
      <c r="AC63" s="755">
        <v>6838.2700000000041</v>
      </c>
      <c r="AD63" s="765">
        <v>13210</v>
      </c>
      <c r="AE63" s="617">
        <v>10536</v>
      </c>
      <c r="AF63" s="755">
        <v>6838.2699999999968</v>
      </c>
      <c r="AG63" s="765">
        <v>13210</v>
      </c>
      <c r="AH63" s="617">
        <v>10536</v>
      </c>
      <c r="AI63" s="755">
        <v>6838.2700000000041</v>
      </c>
      <c r="AJ63" s="765">
        <v>12572</v>
      </c>
      <c r="AK63" s="617">
        <v>10536</v>
      </c>
      <c r="AL63" s="755">
        <v>6838.2699999999904</v>
      </c>
      <c r="AM63" s="768">
        <v>82059.249999999985</v>
      </c>
      <c r="AN63" s="973">
        <v>6838.27</v>
      </c>
      <c r="AO63" s="975">
        <v>6838.27</v>
      </c>
      <c r="AP63" s="975">
        <v>6838.27</v>
      </c>
      <c r="AQ63" s="975">
        <v>6838.27</v>
      </c>
      <c r="AR63" s="975">
        <v>6838.27</v>
      </c>
      <c r="AS63" s="975">
        <v>6838.27</v>
      </c>
      <c r="AT63" s="975">
        <v>6838.27</v>
      </c>
      <c r="AU63" s="975">
        <v>6838.27</v>
      </c>
      <c r="AV63" s="975">
        <v>6838.27</v>
      </c>
      <c r="AW63" s="975">
        <v>10192.18</v>
      </c>
      <c r="AX63" s="975">
        <v>10192.18</v>
      </c>
      <c r="AY63" s="975">
        <v>19921.36</v>
      </c>
      <c r="AZ63" s="975">
        <f>'MXD P&amp;L'!N57</f>
        <v>10192.18</v>
      </c>
      <c r="BA63" s="975">
        <f>'MXD P&amp;L'!O57</f>
        <v>12953.87</v>
      </c>
      <c r="BB63" s="975">
        <f>'MXD P&amp;L'!P57</f>
        <v>12953.87</v>
      </c>
      <c r="BC63" s="975">
        <f>'MXD P&amp;L'!Q57</f>
        <v>12953.87</v>
      </c>
      <c r="BD63" s="975">
        <f>'MXD P&amp;L'!R57</f>
        <v>12953.87</v>
      </c>
      <c r="BE63" s="975">
        <f>'MXD P&amp;L'!S57</f>
        <v>12953.87</v>
      </c>
      <c r="BF63" s="975">
        <f>'MXD P&amp;L'!T57</f>
        <v>12953.87</v>
      </c>
      <c r="BG63" s="975">
        <f>'MXD P&amp;L'!U57</f>
        <v>12953.87</v>
      </c>
      <c r="BH63" s="975">
        <f>'MXD P&amp;L'!V57</f>
        <v>12953.87</v>
      </c>
      <c r="BI63" s="975">
        <f>'MXD P&amp;L'!W57</f>
        <v>14783.33</v>
      </c>
      <c r="BJ63" s="975">
        <f>'MXD P&amp;L'!X57</f>
        <v>0</v>
      </c>
      <c r="BK63" s="975">
        <f>'MXD P&amp;L'!Y58</f>
        <v>0</v>
      </c>
      <c r="BL63" s="1026">
        <f t="shared" si="14"/>
        <v>128606.47</v>
      </c>
      <c r="BM63" s="314">
        <f t="shared" si="15"/>
        <v>27353.08</v>
      </c>
    </row>
    <row r="64" spans="2:65" x14ac:dyDescent="0.3">
      <c r="B64" t="s">
        <v>594</v>
      </c>
      <c r="C64" s="765">
        <v>1577</v>
      </c>
      <c r="D64" s="617">
        <v>1537</v>
      </c>
      <c r="E64" s="755">
        <v>3311.68</v>
      </c>
      <c r="F64" s="765">
        <v>1577</v>
      </c>
      <c r="G64" s="617">
        <v>1537</v>
      </c>
      <c r="H64" s="755">
        <v>3311.68</v>
      </c>
      <c r="I64" s="765">
        <v>1577</v>
      </c>
      <c r="J64" s="617">
        <v>1537</v>
      </c>
      <c r="K64" s="755">
        <v>3311.6800000000012</v>
      </c>
      <c r="L64" s="765">
        <v>1577</v>
      </c>
      <c r="M64" s="617">
        <v>1537</v>
      </c>
      <c r="N64" s="755">
        <v>9330.369999999999</v>
      </c>
      <c r="O64" s="765">
        <v>1577</v>
      </c>
      <c r="P64" s="617">
        <v>1537</v>
      </c>
      <c r="Q64" s="755">
        <v>4816.3499999999995</v>
      </c>
      <c r="R64" s="765">
        <v>1577</v>
      </c>
      <c r="S64" s="617">
        <v>10659</v>
      </c>
      <c r="T64" s="755">
        <v>4816.3500000000022</v>
      </c>
      <c r="U64" s="765">
        <v>1577</v>
      </c>
      <c r="V64" s="617">
        <v>4578</v>
      </c>
      <c r="W64" s="755">
        <v>4816.3499999999995</v>
      </c>
      <c r="X64" s="765">
        <v>1577</v>
      </c>
      <c r="Y64" s="617">
        <v>4578</v>
      </c>
      <c r="Z64" s="755">
        <v>4816.3499999999995</v>
      </c>
      <c r="AA64" s="765">
        <v>1577</v>
      </c>
      <c r="AB64" s="617">
        <v>4578</v>
      </c>
      <c r="AC64" s="755">
        <v>4816.3500000000058</v>
      </c>
      <c r="AD64" s="765">
        <v>1577</v>
      </c>
      <c r="AE64" s="617">
        <v>4578</v>
      </c>
      <c r="AF64" s="755">
        <v>4816.3499999999995</v>
      </c>
      <c r="AG64" s="765">
        <v>1577</v>
      </c>
      <c r="AH64" s="617">
        <v>4578</v>
      </c>
      <c r="AI64" s="755">
        <v>4816.3499999999995</v>
      </c>
      <c r="AJ64" s="765">
        <v>1576</v>
      </c>
      <c r="AK64" s="617">
        <v>4578</v>
      </c>
      <c r="AL64" s="755">
        <v>4816.3499999999995</v>
      </c>
      <c r="AM64" s="768">
        <v>57796.21</v>
      </c>
      <c r="AN64" s="973">
        <v>4816.3500000000004</v>
      </c>
      <c r="AO64" s="975">
        <v>4816.3500000000004</v>
      </c>
      <c r="AP64" s="975">
        <v>4816.3500000000004</v>
      </c>
      <c r="AQ64" s="975">
        <v>4816.3500000000004</v>
      </c>
      <c r="AR64" s="975">
        <v>4816.3500000000004</v>
      </c>
      <c r="AS64" s="975">
        <v>4816.3500000000004</v>
      </c>
      <c r="AT64" s="975">
        <v>4816.3500000000004</v>
      </c>
      <c r="AU64" s="975">
        <v>4816.3500000000004</v>
      </c>
      <c r="AV64" s="975">
        <v>4816.3500000000004</v>
      </c>
      <c r="AW64" s="975">
        <v>4816.3500000000004</v>
      </c>
      <c r="AX64" s="975">
        <v>4816.3500000000004</v>
      </c>
      <c r="AY64" s="975">
        <v>4816.3500000000004</v>
      </c>
      <c r="AZ64" s="975">
        <f>'MXD P&amp;L'!N58</f>
        <v>4816.3500000000004</v>
      </c>
      <c r="BA64" s="975">
        <f>'MXD P&amp;L'!O58</f>
        <v>4816.3500000000004</v>
      </c>
      <c r="BB64" s="975">
        <f>'MXD P&amp;L'!P58</f>
        <v>4816.3500000000004</v>
      </c>
      <c r="BC64" s="975">
        <f>'MXD P&amp;L'!Q58</f>
        <v>4816.3500000000004</v>
      </c>
      <c r="BD64" s="975">
        <f>'MXD P&amp;L'!R58</f>
        <v>4816.3500000000004</v>
      </c>
      <c r="BE64" s="975">
        <f>'MXD P&amp;L'!S58</f>
        <v>4816.3500000000004</v>
      </c>
      <c r="BF64" s="975">
        <f>'MXD P&amp;L'!T58</f>
        <v>4816.3500000000004</v>
      </c>
      <c r="BG64" s="975">
        <f>'MXD P&amp;L'!U58</f>
        <v>4816.3500000000004</v>
      </c>
      <c r="BH64" s="975">
        <f>'MXD P&amp;L'!V58</f>
        <v>4816.3500000000004</v>
      </c>
      <c r="BI64" s="975">
        <f>'MXD P&amp;L'!W58</f>
        <v>4816.3500000000004</v>
      </c>
      <c r="BJ64" s="975">
        <f>'MXD P&amp;L'!X58</f>
        <v>0</v>
      </c>
      <c r="BK64" s="975">
        <f>'MXD P&amp;L'!Y59</f>
        <v>0</v>
      </c>
      <c r="BL64" s="1026">
        <f t="shared" si="14"/>
        <v>48163.499999999993</v>
      </c>
      <c r="BM64" s="314">
        <f t="shared" si="15"/>
        <v>19265.400000000001</v>
      </c>
    </row>
    <row r="65" spans="2:66" x14ac:dyDescent="0.3">
      <c r="B65" t="s">
        <v>595</v>
      </c>
      <c r="C65" s="765">
        <v>252</v>
      </c>
      <c r="D65" s="617">
        <v>143</v>
      </c>
      <c r="E65" s="756"/>
      <c r="F65" s="765"/>
      <c r="G65" s="617"/>
      <c r="H65" s="756">
        <v>229</v>
      </c>
      <c r="I65" s="765"/>
      <c r="J65" s="617"/>
      <c r="K65" s="756">
        <v>229</v>
      </c>
      <c r="L65" s="765"/>
      <c r="M65" s="617"/>
      <c r="N65" s="756">
        <v>229</v>
      </c>
      <c r="O65" s="765">
        <v>285</v>
      </c>
      <c r="P65" s="617">
        <v>550</v>
      </c>
      <c r="Q65" s="756"/>
      <c r="R65" s="765">
        <v>139</v>
      </c>
      <c r="S65" s="617"/>
      <c r="T65" s="756"/>
      <c r="U65" s="765">
        <v>143</v>
      </c>
      <c r="V65" s="617">
        <v>92</v>
      </c>
      <c r="W65" s="756"/>
      <c r="X65" s="765">
        <v>143</v>
      </c>
      <c r="Y65" s="617">
        <v>229</v>
      </c>
      <c r="Z65" s="756"/>
      <c r="AA65" s="765">
        <v>143</v>
      </c>
      <c r="AB65" s="617">
        <v>229</v>
      </c>
      <c r="AC65" s="756"/>
      <c r="AD65" s="765">
        <v>143</v>
      </c>
      <c r="AE65" s="617">
        <v>229</v>
      </c>
      <c r="AF65" s="756"/>
      <c r="AG65" s="765">
        <v>143</v>
      </c>
      <c r="AH65" s="617">
        <v>229</v>
      </c>
      <c r="AI65" s="756"/>
      <c r="AJ65" s="765">
        <v>143</v>
      </c>
      <c r="AK65" s="617">
        <v>229</v>
      </c>
      <c r="AL65" s="756"/>
      <c r="AM65" s="768">
        <v>687</v>
      </c>
      <c r="AN65" s="973">
        <v>0</v>
      </c>
      <c r="AO65" s="975">
        <v>0</v>
      </c>
      <c r="AP65" s="975">
        <v>0</v>
      </c>
      <c r="AQ65" s="975">
        <v>0</v>
      </c>
      <c r="AR65" s="975">
        <v>247.74</v>
      </c>
      <c r="AS65" s="975">
        <v>247.74</v>
      </c>
      <c r="AT65" s="975">
        <v>250</v>
      </c>
      <c r="AU65" s="975">
        <v>250</v>
      </c>
      <c r="AV65" s="975">
        <v>309.67</v>
      </c>
      <c r="AW65" s="975">
        <v>309.67</v>
      </c>
      <c r="AX65" s="975">
        <v>0</v>
      </c>
      <c r="AY65" s="975">
        <v>619.34</v>
      </c>
      <c r="AZ65" s="975">
        <f>'MXD P&amp;L'!N59</f>
        <v>0</v>
      </c>
      <c r="BA65" s="975">
        <f>'MXD P&amp;L'!O59</f>
        <v>309.67</v>
      </c>
      <c r="BB65" s="975">
        <f>'MXD P&amp;L'!P59</f>
        <v>309.67</v>
      </c>
      <c r="BC65" s="975">
        <f>'MXD P&amp;L'!Q59</f>
        <v>309.67</v>
      </c>
      <c r="BD65" s="975">
        <f>'MXD P&amp;L'!R59</f>
        <v>0</v>
      </c>
      <c r="BE65" s="975">
        <f>'MXD P&amp;L'!S59</f>
        <v>663.46</v>
      </c>
      <c r="BF65" s="975">
        <f>'MXD P&amp;L'!T59</f>
        <v>508.47</v>
      </c>
      <c r="BG65" s="975">
        <f>'MXD P&amp;L'!U59</f>
        <v>615.96</v>
      </c>
      <c r="BH65" s="975">
        <f>'MXD P&amp;L'!V59</f>
        <v>0</v>
      </c>
      <c r="BI65" s="975">
        <f>'MXD P&amp;L'!W59</f>
        <v>358.92</v>
      </c>
      <c r="BJ65" s="975">
        <f>'MXD P&amp;L'!X59</f>
        <v>0</v>
      </c>
      <c r="BK65" s="975">
        <f>'MXD P&amp;L'!Y60</f>
        <v>0</v>
      </c>
      <c r="BL65" s="1026">
        <f t="shared" si="14"/>
        <v>3075.82</v>
      </c>
      <c r="BM65" s="314">
        <f t="shared" si="15"/>
        <v>0</v>
      </c>
    </row>
    <row r="66" spans="2:66" x14ac:dyDescent="0.3">
      <c r="B66" t="s">
        <v>596</v>
      </c>
      <c r="C66" s="765">
        <v>3861</v>
      </c>
      <c r="D66" s="617">
        <v>967</v>
      </c>
      <c r="E66" s="755">
        <v>709.7</v>
      </c>
      <c r="F66" s="765">
        <v>678</v>
      </c>
      <c r="G66" s="617">
        <v>2532</v>
      </c>
      <c r="H66" s="755">
        <v>6960.92</v>
      </c>
      <c r="I66" s="765">
        <v>2210</v>
      </c>
      <c r="J66" s="617">
        <v>6884</v>
      </c>
      <c r="K66" s="755">
        <v>713.01999999999953</v>
      </c>
      <c r="L66" s="765">
        <v>916</v>
      </c>
      <c r="M66" s="617">
        <v>13767</v>
      </c>
      <c r="N66" s="755">
        <v>10729.99</v>
      </c>
      <c r="O66" s="765">
        <v>1889</v>
      </c>
      <c r="P66" s="617">
        <v>5761</v>
      </c>
      <c r="Q66" s="755">
        <v>7466.9900000000016</v>
      </c>
      <c r="R66" s="765">
        <v>3030</v>
      </c>
      <c r="S66" s="617">
        <v>7214</v>
      </c>
      <c r="T66" s="755">
        <v>5701.92</v>
      </c>
      <c r="U66" s="765">
        <v>1819</v>
      </c>
      <c r="V66" s="617">
        <v>2192</v>
      </c>
      <c r="W66" s="755">
        <v>3017.7300000000032</v>
      </c>
      <c r="X66" s="765">
        <v>2429</v>
      </c>
      <c r="Y66" s="617">
        <v>1355</v>
      </c>
      <c r="Z66" s="755">
        <v>1596.41</v>
      </c>
      <c r="AA66" s="765">
        <v>1954</v>
      </c>
      <c r="AB66" s="617">
        <v>4852</v>
      </c>
      <c r="AC66" s="755">
        <v>2332.510000000002</v>
      </c>
      <c r="AD66" s="765">
        <v>1139</v>
      </c>
      <c r="AE66" s="617">
        <v>8361</v>
      </c>
      <c r="AF66" s="755">
        <v>1238.739999999998</v>
      </c>
      <c r="AG66" s="765">
        <v>4274</v>
      </c>
      <c r="AH66" s="617"/>
      <c r="AI66" s="755">
        <v>4829.47</v>
      </c>
      <c r="AJ66" s="765">
        <v>2704</v>
      </c>
      <c r="AK66" s="617"/>
      <c r="AL66" s="755">
        <v>2540.4299999999998</v>
      </c>
      <c r="AM66" s="768">
        <v>47837.830000000009</v>
      </c>
      <c r="AN66" s="973">
        <v>5417.5</v>
      </c>
      <c r="AO66" s="975">
        <v>20954.47</v>
      </c>
      <c r="AP66" s="975">
        <v>5921.69</v>
      </c>
      <c r="AQ66" s="975">
        <v>5606.48</v>
      </c>
      <c r="AR66" s="975">
        <v>-4768.08</v>
      </c>
      <c r="AS66" s="975">
        <v>16251.83</v>
      </c>
      <c r="AT66" s="975">
        <v>2696.95</v>
      </c>
      <c r="AU66" s="975">
        <v>5799.23</v>
      </c>
      <c r="AV66" s="975">
        <v>29806.129999999997</v>
      </c>
      <c r="AW66" s="975">
        <v>10156.36</v>
      </c>
      <c r="AX66" s="975">
        <v>4114.07</v>
      </c>
      <c r="AY66" s="975">
        <v>48385.65</v>
      </c>
      <c r="AZ66" s="975">
        <f>'MXD P&amp;L'!N60</f>
        <v>8868.25</v>
      </c>
      <c r="BA66" s="975">
        <f>'MXD P&amp;L'!O60</f>
        <v>6548.9100000000008</v>
      </c>
      <c r="BB66" s="975">
        <f>'MXD P&amp;L'!P60</f>
        <v>11336.58</v>
      </c>
      <c r="BC66" s="975">
        <f>'MXD P&amp;L'!Q60</f>
        <v>11726.21</v>
      </c>
      <c r="BD66" s="975">
        <f>'MXD P&amp;L'!R60</f>
        <v>12643.84</v>
      </c>
      <c r="BE66" s="975">
        <f>'MXD P&amp;L'!S60</f>
        <v>32511.18</v>
      </c>
      <c r="BF66" s="975">
        <f>'MXD P&amp;L'!T60</f>
        <v>3689.86</v>
      </c>
      <c r="BG66" s="975">
        <f>'MXD P&amp;L'!U60</f>
        <v>5747.51</v>
      </c>
      <c r="BH66" s="975">
        <f>'MXD P&amp;L'!V60</f>
        <v>19224.07</v>
      </c>
      <c r="BI66" s="975">
        <f>'MXD P&amp;L'!W60</f>
        <v>6351.09</v>
      </c>
      <c r="BJ66" s="975">
        <f>'MXD P&amp;L'!X60</f>
        <v>0</v>
      </c>
      <c r="BK66" s="975">
        <f>'MXD P&amp;L'!Y61</f>
        <v>0</v>
      </c>
      <c r="BL66" s="1026">
        <f t="shared" si="14"/>
        <v>118647.5</v>
      </c>
      <c r="BM66" s="314">
        <f t="shared" si="15"/>
        <v>37900.14</v>
      </c>
    </row>
    <row r="67" spans="2:66" x14ac:dyDescent="0.3">
      <c r="B67" t="s">
        <v>597</v>
      </c>
      <c r="C67" s="765"/>
      <c r="D67" s="617"/>
      <c r="E67" s="755"/>
      <c r="F67" s="765">
        <v>18</v>
      </c>
      <c r="G67" s="617">
        <v>124</v>
      </c>
      <c r="H67" s="755"/>
      <c r="I67" s="765">
        <v>149</v>
      </c>
      <c r="J67" s="617"/>
      <c r="K67" s="755"/>
      <c r="L67" s="765"/>
      <c r="M67" s="617"/>
      <c r="N67" s="755"/>
      <c r="O67" s="765"/>
      <c r="P67" s="617"/>
      <c r="Q67" s="755">
        <v>26257.03</v>
      </c>
      <c r="R67" s="765"/>
      <c r="S67" s="617"/>
      <c r="T67" s="755">
        <v>4376.1700000000019</v>
      </c>
      <c r="U67" s="765">
        <v>-3567</v>
      </c>
      <c r="V67" s="617"/>
      <c r="W67" s="755">
        <v>4376.1700000000019</v>
      </c>
      <c r="X67" s="765"/>
      <c r="Y67" s="617"/>
      <c r="Z67" s="755">
        <v>4376.1699999999983</v>
      </c>
      <c r="AA67" s="765"/>
      <c r="AB67" s="617"/>
      <c r="AC67" s="755">
        <v>4376.1699999999983</v>
      </c>
      <c r="AD67" s="765"/>
      <c r="AE67" s="617"/>
      <c r="AF67" s="755">
        <v>4376.1699999999983</v>
      </c>
      <c r="AG67" s="765">
        <v>3973</v>
      </c>
      <c r="AH67" s="617">
        <v>13352.74</v>
      </c>
      <c r="AI67" s="755">
        <v>4376.1700000000064</v>
      </c>
      <c r="AJ67" s="765"/>
      <c r="AK67" s="617"/>
      <c r="AL67" s="755">
        <v>4376.1699999999983</v>
      </c>
      <c r="AM67" s="768">
        <v>56890.22</v>
      </c>
      <c r="AN67" s="973">
        <v>4376.17</v>
      </c>
      <c r="AO67" s="975">
        <v>4376.17</v>
      </c>
      <c r="AP67" s="975">
        <v>4376.17</v>
      </c>
      <c r="AQ67" s="975">
        <v>16533.54</v>
      </c>
      <c r="AR67" s="975">
        <v>4824.87</v>
      </c>
      <c r="AS67" s="975">
        <v>4824.87</v>
      </c>
      <c r="AT67" s="975">
        <v>4824.87</v>
      </c>
      <c r="AU67" s="975">
        <v>4824.87</v>
      </c>
      <c r="AV67" s="975">
        <v>4824.87</v>
      </c>
      <c r="AW67" s="975">
        <v>4824.87</v>
      </c>
      <c r="AX67" s="975">
        <v>4824.87</v>
      </c>
      <c r="AY67" s="975">
        <v>4824.87</v>
      </c>
      <c r="AZ67" s="975">
        <f>'MXD P&amp;L'!N61</f>
        <v>10671.72</v>
      </c>
      <c r="BA67" s="975">
        <f>'MXD P&amp;L'!O61</f>
        <v>4824.87</v>
      </c>
      <c r="BB67" s="975">
        <f>'MXD P&amp;L'!P61</f>
        <v>4824.87</v>
      </c>
      <c r="BC67" s="975">
        <f>'MXD P&amp;L'!Q61</f>
        <v>9781.9699999999993</v>
      </c>
      <c r="BD67" s="975">
        <f>'MXD P&amp;L'!R61</f>
        <v>4824.87</v>
      </c>
      <c r="BE67" s="975">
        <f>'MXD P&amp;L'!S61</f>
        <v>4824.87</v>
      </c>
      <c r="BF67" s="975">
        <f>'MXD P&amp;L'!T61</f>
        <v>19324.87</v>
      </c>
      <c r="BG67" s="975">
        <f>'MXD P&amp;L'!U61</f>
        <v>4824.87</v>
      </c>
      <c r="BH67" s="975">
        <f>'MXD P&amp;L'!V61</f>
        <v>4824.87</v>
      </c>
      <c r="BI67" s="975">
        <f>'MXD P&amp;L'!W61</f>
        <v>4824.87</v>
      </c>
      <c r="BJ67" s="975">
        <f>'MXD P&amp;L'!X61</f>
        <v>0</v>
      </c>
      <c r="BK67" s="975">
        <f>'MXD P&amp;L'!Y62</f>
        <v>0</v>
      </c>
      <c r="BL67" s="1026">
        <f t="shared" si="14"/>
        <v>73552.650000000009</v>
      </c>
      <c r="BM67" s="314">
        <f t="shared" si="15"/>
        <v>29662.050000000003</v>
      </c>
    </row>
    <row r="68" spans="2:66" x14ac:dyDescent="0.3">
      <c r="B68" t="s">
        <v>598</v>
      </c>
      <c r="C68" s="765">
        <v>4350</v>
      </c>
      <c r="D68" s="617">
        <v>3591</v>
      </c>
      <c r="E68" s="755">
        <v>366.83</v>
      </c>
      <c r="F68" s="765">
        <v>4459</v>
      </c>
      <c r="G68" s="617">
        <v>5448</v>
      </c>
      <c r="H68" s="755">
        <v>1376.37</v>
      </c>
      <c r="I68" s="765">
        <v>7403</v>
      </c>
      <c r="J68" s="617">
        <v>5156</v>
      </c>
      <c r="K68" s="755">
        <v>2505.92</v>
      </c>
      <c r="L68" s="765">
        <v>2519</v>
      </c>
      <c r="M68" s="617">
        <v>3402</v>
      </c>
      <c r="N68" s="755">
        <v>4187.4499999999989</v>
      </c>
      <c r="O68" s="765">
        <v>5661</v>
      </c>
      <c r="P68" s="617">
        <v>3645</v>
      </c>
      <c r="Q68" s="755">
        <v>2263.4600000000009</v>
      </c>
      <c r="R68" s="765">
        <v>7591</v>
      </c>
      <c r="S68" s="617">
        <v>10311</v>
      </c>
      <c r="T68" s="755">
        <v>1771.349999999999</v>
      </c>
      <c r="U68" s="765">
        <v>4191</v>
      </c>
      <c r="V68" s="617">
        <v>6045</v>
      </c>
      <c r="W68" s="755">
        <v>893.64000000000124</v>
      </c>
      <c r="X68" s="765">
        <v>3585</v>
      </c>
      <c r="Y68" s="617">
        <v>2990</v>
      </c>
      <c r="Z68" s="755">
        <v>741.22999999999956</v>
      </c>
      <c r="AA68" s="765">
        <v>6587</v>
      </c>
      <c r="AB68" s="617">
        <v>6314</v>
      </c>
      <c r="AC68" s="755">
        <v>1022.15</v>
      </c>
      <c r="AD68" s="765">
        <v>5269</v>
      </c>
      <c r="AE68" s="617">
        <v>1247</v>
      </c>
      <c r="AF68" s="755">
        <v>4965.72</v>
      </c>
      <c r="AG68" s="765">
        <v>4790</v>
      </c>
      <c r="AH68" s="617"/>
      <c r="AI68" s="755">
        <v>1762.26</v>
      </c>
      <c r="AJ68" s="765">
        <v>4352</v>
      </c>
      <c r="AK68" s="617"/>
      <c r="AL68" s="755">
        <v>2573.159999999998</v>
      </c>
      <c r="AM68" s="768">
        <v>24429.539999999994</v>
      </c>
      <c r="AN68" s="973">
        <v>2230.5500000000002</v>
      </c>
      <c r="AO68" s="975">
        <v>5837.01</v>
      </c>
      <c r="AP68" s="975">
        <v>990.3</v>
      </c>
      <c r="AQ68" s="975">
        <v>364.29</v>
      </c>
      <c r="AR68" s="975">
        <v>275.72000000000003</v>
      </c>
      <c r="AS68" s="975">
        <v>933.23</v>
      </c>
      <c r="AT68" s="975">
        <v>3171.45</v>
      </c>
      <c r="AU68" s="975">
        <v>1461.24</v>
      </c>
      <c r="AV68" s="975">
        <v>1829.31</v>
      </c>
      <c r="AW68" s="975">
        <v>1393.47</v>
      </c>
      <c r="AX68" s="975">
        <v>2060.54</v>
      </c>
      <c r="AY68" s="975">
        <v>3412.51</v>
      </c>
      <c r="AZ68" s="975">
        <f>'MXD P&amp;L'!N62</f>
        <v>2974.39</v>
      </c>
      <c r="BA68" s="975">
        <f>'MXD P&amp;L'!O62</f>
        <v>557.06000000000006</v>
      </c>
      <c r="BB68" s="975">
        <f>'MXD P&amp;L'!P62</f>
        <v>3221.04</v>
      </c>
      <c r="BC68" s="975">
        <f>'MXD P&amp;L'!Q62</f>
        <v>1377.01</v>
      </c>
      <c r="BD68" s="975">
        <f>'MXD P&amp;L'!R62</f>
        <v>1389.16</v>
      </c>
      <c r="BE68" s="975">
        <f>'MXD P&amp;L'!S62</f>
        <v>1225.83</v>
      </c>
      <c r="BF68" s="975">
        <f>'MXD P&amp;L'!T62</f>
        <v>663.98</v>
      </c>
      <c r="BG68" s="975">
        <f>'MXD P&amp;L'!U62</f>
        <v>585.96</v>
      </c>
      <c r="BH68" s="975">
        <f>'MXD P&amp;L'!V62</f>
        <v>1249.47</v>
      </c>
      <c r="BI68" s="975">
        <f>'MXD P&amp;L'!W62</f>
        <v>1023.86</v>
      </c>
      <c r="BJ68" s="975">
        <f>'MXD P&amp;L'!X62</f>
        <v>0</v>
      </c>
      <c r="BK68" s="975">
        <f>'MXD P&amp;L'!Y63</f>
        <v>0</v>
      </c>
      <c r="BL68" s="1026">
        <f t="shared" si="14"/>
        <v>14267.76</v>
      </c>
      <c r="BM68" s="314">
        <f t="shared" si="15"/>
        <v>9422.1500000000015</v>
      </c>
    </row>
    <row r="69" spans="2:66" x14ac:dyDescent="0.3">
      <c r="B69" t="s">
        <v>599</v>
      </c>
      <c r="C69" s="765">
        <v>4601</v>
      </c>
      <c r="D69" s="617">
        <v>1456</v>
      </c>
      <c r="E69" s="755">
        <v>659.07</v>
      </c>
      <c r="F69" s="765">
        <v>2166</v>
      </c>
      <c r="G69" s="617">
        <v>1179</v>
      </c>
      <c r="H69" s="755">
        <v>3373.41</v>
      </c>
      <c r="I69" s="765">
        <v>8165</v>
      </c>
      <c r="J69" s="617">
        <v>1085</v>
      </c>
      <c r="K69" s="755">
        <v>6755.3000000000011</v>
      </c>
      <c r="L69" s="765">
        <v>1758</v>
      </c>
      <c r="M69" s="617">
        <v>1683</v>
      </c>
      <c r="N69" s="755">
        <v>1815.08</v>
      </c>
      <c r="O69" s="765">
        <v>1701</v>
      </c>
      <c r="P69" s="617">
        <v>931</v>
      </c>
      <c r="Q69" s="755">
        <v>2105.4299999999998</v>
      </c>
      <c r="R69" s="765">
        <v>1699</v>
      </c>
      <c r="S69" s="617">
        <v>2042</v>
      </c>
      <c r="T69" s="755">
        <v>4684.2599999999984</v>
      </c>
      <c r="U69" s="765">
        <v>2226</v>
      </c>
      <c r="V69" s="617">
        <v>2575</v>
      </c>
      <c r="W69" s="755">
        <v>3301.82</v>
      </c>
      <c r="X69" s="765">
        <v>4456</v>
      </c>
      <c r="Y69" s="617">
        <v>1554</v>
      </c>
      <c r="Z69" s="755">
        <v>3021.9200000000019</v>
      </c>
      <c r="AA69" s="765">
        <v>3405</v>
      </c>
      <c r="AB69" s="617">
        <v>1141</v>
      </c>
      <c r="AC69" s="755">
        <v>1313.669999999998</v>
      </c>
      <c r="AD69" s="765">
        <v>715</v>
      </c>
      <c r="AE69" s="617">
        <v>4966</v>
      </c>
      <c r="AF69" s="755">
        <v>4621.1100000000006</v>
      </c>
      <c r="AG69" s="765">
        <v>4205</v>
      </c>
      <c r="AH69" s="617"/>
      <c r="AI69" s="755">
        <v>2887.9400000000019</v>
      </c>
      <c r="AJ69" s="765">
        <v>3888</v>
      </c>
      <c r="AK69" s="617"/>
      <c r="AL69" s="755">
        <v>10276.41</v>
      </c>
      <c r="AM69" s="768">
        <v>44815.42</v>
      </c>
      <c r="AN69" s="973">
        <v>1112.6600000000001</v>
      </c>
      <c r="AO69" s="975">
        <v>12145.48</v>
      </c>
      <c r="AP69" s="975">
        <v>15012.82</v>
      </c>
      <c r="AQ69" s="975">
        <v>5746.15</v>
      </c>
      <c r="AR69" s="975">
        <v>1657.25</v>
      </c>
      <c r="AS69" s="975">
        <v>-4515.63</v>
      </c>
      <c r="AT69" s="975">
        <v>5165.3</v>
      </c>
      <c r="AU69" s="975">
        <v>9545.7999999999993</v>
      </c>
      <c r="AV69" s="975">
        <v>4968.46</v>
      </c>
      <c r="AW69" s="975">
        <v>6233.92</v>
      </c>
      <c r="AX69" s="975">
        <v>2212.73</v>
      </c>
      <c r="AY69" s="975">
        <v>3464.99</v>
      </c>
      <c r="AZ69" s="975">
        <f>'MXD P&amp;L'!N63</f>
        <v>8652.58</v>
      </c>
      <c r="BA69" s="975">
        <f>'MXD P&amp;L'!O63</f>
        <v>969.95</v>
      </c>
      <c r="BB69" s="975">
        <f>'MXD P&amp;L'!P63</f>
        <v>5706.6</v>
      </c>
      <c r="BC69" s="975">
        <f>'MXD P&amp;L'!Q63</f>
        <v>-4414.04</v>
      </c>
      <c r="BD69" s="975">
        <f>'MXD P&amp;L'!R63</f>
        <v>3119.58</v>
      </c>
      <c r="BE69" s="975">
        <f>'MXD P&amp;L'!S63</f>
        <v>5745.67</v>
      </c>
      <c r="BF69" s="975">
        <f>'MXD P&amp;L'!T63</f>
        <v>5908.71</v>
      </c>
      <c r="BG69" s="975">
        <f>'MXD P&amp;L'!U63</f>
        <v>8447.2800000000007</v>
      </c>
      <c r="BH69" s="975">
        <f>'MXD P&amp;L'!V63</f>
        <v>13478.99</v>
      </c>
      <c r="BI69" s="975">
        <f>'MXD P&amp;L'!W63</f>
        <v>3876.12</v>
      </c>
      <c r="BJ69" s="975">
        <f>'MXD P&amp;L'!X63</f>
        <v>0</v>
      </c>
      <c r="BK69" s="975">
        <f>'MXD P&amp;L'!Y64</f>
        <v>0</v>
      </c>
      <c r="BL69" s="1026">
        <f t="shared" si="14"/>
        <v>51491.44</v>
      </c>
      <c r="BM69" s="314">
        <f t="shared" si="15"/>
        <v>34017.11</v>
      </c>
    </row>
    <row r="70" spans="2:66" x14ac:dyDescent="0.3">
      <c r="B70" t="s">
        <v>600</v>
      </c>
      <c r="C70" s="765">
        <v>5395</v>
      </c>
      <c r="D70" s="617">
        <v>7366</v>
      </c>
      <c r="E70" s="755">
        <v>575.58000000000004</v>
      </c>
      <c r="F70" s="765">
        <v>7078</v>
      </c>
      <c r="G70" s="617">
        <v>5187</v>
      </c>
      <c r="H70" s="755">
        <v>6276.6900000000014</v>
      </c>
      <c r="I70" s="765">
        <v>2471</v>
      </c>
      <c r="J70" s="617">
        <v>4018</v>
      </c>
      <c r="K70" s="755">
        <v>2534.139999999999</v>
      </c>
      <c r="L70" s="765">
        <v>2100</v>
      </c>
      <c r="M70" s="617">
        <v>1262</v>
      </c>
      <c r="N70" s="755">
        <v>5433.9</v>
      </c>
      <c r="O70" s="765">
        <v>2577</v>
      </c>
      <c r="P70" s="617">
        <v>2734</v>
      </c>
      <c r="Q70" s="755">
        <v>6355.2899999999991</v>
      </c>
      <c r="R70" s="765">
        <v>4583</v>
      </c>
      <c r="S70" s="617">
        <v>2720</v>
      </c>
      <c r="T70" s="755">
        <v>3055.5500000000029</v>
      </c>
      <c r="U70" s="765">
        <v>3792</v>
      </c>
      <c r="V70" s="617">
        <v>3254</v>
      </c>
      <c r="W70" s="755">
        <v>5710.68</v>
      </c>
      <c r="X70" s="765">
        <v>3048</v>
      </c>
      <c r="Y70" s="617">
        <v>3131</v>
      </c>
      <c r="Z70" s="755">
        <v>4397.9799999999959</v>
      </c>
      <c r="AA70" s="765">
        <v>4711</v>
      </c>
      <c r="AB70" s="617">
        <v>4471</v>
      </c>
      <c r="AC70" s="755">
        <v>4499.7700000000041</v>
      </c>
      <c r="AD70" s="765">
        <v>5792</v>
      </c>
      <c r="AE70" s="617">
        <v>7966</v>
      </c>
      <c r="AF70" s="755">
        <v>1612.589999999997</v>
      </c>
      <c r="AG70" s="765">
        <v>3051</v>
      </c>
      <c r="AH70" s="617"/>
      <c r="AI70" s="755">
        <v>7168.0200000000041</v>
      </c>
      <c r="AJ70" s="765">
        <v>6605</v>
      </c>
      <c r="AK70" s="617"/>
      <c r="AL70" s="755">
        <v>2982.849999999999</v>
      </c>
      <c r="AM70" s="768">
        <v>50603.040000000001</v>
      </c>
      <c r="AN70" s="973">
        <v>5439.48</v>
      </c>
      <c r="AO70" s="975">
        <v>3895.4</v>
      </c>
      <c r="AP70" s="975">
        <v>3836.06</v>
      </c>
      <c r="AQ70" s="975">
        <v>17795.14</v>
      </c>
      <c r="AR70" s="975">
        <v>3966.36</v>
      </c>
      <c r="AS70" s="975">
        <v>1205.6500000000001</v>
      </c>
      <c r="AT70" s="975">
        <v>8587.66</v>
      </c>
      <c r="AU70" s="975">
        <v>12063.93</v>
      </c>
      <c r="AV70" s="975">
        <v>-1286.56</v>
      </c>
      <c r="AW70" s="975">
        <v>13378.99</v>
      </c>
      <c r="AX70" s="975">
        <v>20359.57</v>
      </c>
      <c r="AY70" s="975">
        <v>4472.5200000000004</v>
      </c>
      <c r="AZ70" s="975">
        <f>'MXD P&amp;L'!N64</f>
        <v>4483.8599999999997</v>
      </c>
      <c r="BA70" s="975">
        <f>'MXD P&amp;L'!O64</f>
        <v>1625.08</v>
      </c>
      <c r="BB70" s="975">
        <f>'MXD P&amp;L'!P64</f>
        <v>3330.74</v>
      </c>
      <c r="BC70" s="975">
        <f>'MXD P&amp;L'!Q64</f>
        <v>2091.69</v>
      </c>
      <c r="BD70" s="975">
        <f>'MXD P&amp;L'!R64</f>
        <v>1731.66</v>
      </c>
      <c r="BE70" s="975">
        <f>'MXD P&amp;L'!S64</f>
        <v>632.99</v>
      </c>
      <c r="BF70" s="975">
        <f>'MXD P&amp;L'!T64</f>
        <v>1473.45</v>
      </c>
      <c r="BG70" s="975">
        <f>'MXD P&amp;L'!U64</f>
        <v>5051.9399999999996</v>
      </c>
      <c r="BH70" s="975">
        <f>'MXD P&amp;L'!V64</f>
        <v>1849.35</v>
      </c>
      <c r="BI70" s="975">
        <f>'MXD P&amp;L'!W64</f>
        <v>2346.86</v>
      </c>
      <c r="BJ70" s="975">
        <f>'MXD P&amp;L'!X64</f>
        <v>0</v>
      </c>
      <c r="BK70" s="975">
        <f>'MXD P&amp;L'!Y65</f>
        <v>0</v>
      </c>
      <c r="BL70" s="1026">
        <f t="shared" si="14"/>
        <v>24617.62</v>
      </c>
      <c r="BM70" s="314">
        <f t="shared" si="15"/>
        <v>30966.079999999998</v>
      </c>
    </row>
    <row r="71" spans="2:66" x14ac:dyDescent="0.3">
      <c r="B71" t="s">
        <v>601</v>
      </c>
      <c r="C71" s="765">
        <v>142</v>
      </c>
      <c r="D71" s="617">
        <v>316</v>
      </c>
      <c r="E71" s="755">
        <v>30.73</v>
      </c>
      <c r="F71" s="765">
        <v>226</v>
      </c>
      <c r="G71" s="617">
        <v>235</v>
      </c>
      <c r="H71" s="755"/>
      <c r="I71" s="765">
        <v>151</v>
      </c>
      <c r="J71" s="617">
        <v>387</v>
      </c>
      <c r="K71" s="755">
        <v>172.47</v>
      </c>
      <c r="L71" s="765">
        <v>71</v>
      </c>
      <c r="M71" s="617">
        <v>619</v>
      </c>
      <c r="N71" s="755">
        <v>103.91</v>
      </c>
      <c r="O71" s="765">
        <v>69</v>
      </c>
      <c r="P71" s="617">
        <v>339</v>
      </c>
      <c r="Q71" s="755">
        <v>344.12</v>
      </c>
      <c r="R71" s="765">
        <v>169</v>
      </c>
      <c r="S71" s="617">
        <v>309</v>
      </c>
      <c r="T71" s="755">
        <v>156.55999999999989</v>
      </c>
      <c r="U71" s="765">
        <v>201</v>
      </c>
      <c r="V71" s="617">
        <v>126</v>
      </c>
      <c r="W71" s="755">
        <v>77.110000000000014</v>
      </c>
      <c r="X71" s="765">
        <v>76</v>
      </c>
      <c r="Y71" s="617">
        <v>452</v>
      </c>
      <c r="Z71" s="755">
        <v>188.59</v>
      </c>
      <c r="AA71" s="765">
        <v>728</v>
      </c>
      <c r="AB71" s="617">
        <v>292</v>
      </c>
      <c r="AC71" s="755"/>
      <c r="AD71" s="765">
        <v>144</v>
      </c>
      <c r="AE71" s="617">
        <v>74</v>
      </c>
      <c r="AF71" s="755">
        <v>209.22</v>
      </c>
      <c r="AG71" s="765">
        <v>243</v>
      </c>
      <c r="AH71" s="617"/>
      <c r="AI71" s="755">
        <v>157.11999999999989</v>
      </c>
      <c r="AJ71" s="765">
        <v>245</v>
      </c>
      <c r="AK71" s="617"/>
      <c r="AL71" s="755"/>
      <c r="AM71" s="768">
        <v>1439.83</v>
      </c>
      <c r="AN71" s="973">
        <v>1035.08</v>
      </c>
      <c r="AO71" s="975">
        <v>1017.51</v>
      </c>
      <c r="AP71" s="975">
        <v>820.21</v>
      </c>
      <c r="AQ71" s="975">
        <v>196.57</v>
      </c>
      <c r="AR71" s="975">
        <v>100.7</v>
      </c>
      <c r="AS71" s="975">
        <v>0</v>
      </c>
      <c r="AT71" s="975">
        <v>0</v>
      </c>
      <c r="AU71" s="975">
        <v>2327.48</v>
      </c>
      <c r="AV71" s="975">
        <v>349.64</v>
      </c>
      <c r="AW71" s="975">
        <v>84.81</v>
      </c>
      <c r="AX71" s="975">
        <v>250.05</v>
      </c>
      <c r="AY71" s="975">
        <v>75</v>
      </c>
      <c r="AZ71" s="975">
        <f>'MXD P&amp;L'!N65</f>
        <v>1256.44</v>
      </c>
      <c r="BA71" s="975">
        <f>'MXD P&amp;L'!O65</f>
        <v>89.48</v>
      </c>
      <c r="BB71" s="975">
        <f>'MXD P&amp;L'!P65</f>
        <v>187.16</v>
      </c>
      <c r="BC71" s="975">
        <f>'MXD P&amp;L'!Q65</f>
        <v>283.7</v>
      </c>
      <c r="BD71" s="975">
        <f>'MXD P&amp;L'!R65</f>
        <v>369.19</v>
      </c>
      <c r="BE71" s="975">
        <f>'MXD P&amp;L'!S65</f>
        <v>819.03</v>
      </c>
      <c r="BF71" s="975">
        <f>'MXD P&amp;L'!T65</f>
        <v>361.11</v>
      </c>
      <c r="BG71" s="975">
        <f>'MXD P&amp;L'!U65</f>
        <v>422.28</v>
      </c>
      <c r="BH71" s="975">
        <f>'MXD P&amp;L'!V65</f>
        <v>509.61</v>
      </c>
      <c r="BI71" s="975">
        <f>'MXD P&amp;L'!W65</f>
        <v>90.67</v>
      </c>
      <c r="BJ71" s="975">
        <f>'MXD P&amp;L'!X65</f>
        <v>0</v>
      </c>
      <c r="BK71" s="975">
        <f>'MXD P&amp;L'!Y66</f>
        <v>0</v>
      </c>
      <c r="BL71" s="1026">
        <f t="shared" si="14"/>
        <v>4388.67</v>
      </c>
      <c r="BM71" s="314">
        <f t="shared" si="15"/>
        <v>3069.3700000000003</v>
      </c>
    </row>
    <row r="72" spans="2:66" x14ac:dyDescent="0.3">
      <c r="B72" s="1414" t="s">
        <v>1245</v>
      </c>
      <c r="C72" s="765"/>
      <c r="D72" s="617"/>
      <c r="E72" s="755"/>
      <c r="F72" s="765"/>
      <c r="G72" s="617"/>
      <c r="H72" s="755"/>
      <c r="I72" s="765"/>
      <c r="J72" s="617"/>
      <c r="K72" s="755"/>
      <c r="L72" s="765"/>
      <c r="M72" s="617"/>
      <c r="N72" s="755"/>
      <c r="O72" s="765"/>
      <c r="P72" s="617"/>
      <c r="Q72" s="755"/>
      <c r="R72" s="765"/>
      <c r="S72" s="617"/>
      <c r="T72" s="755"/>
      <c r="U72" s="765"/>
      <c r="V72" s="617"/>
      <c r="W72" s="755"/>
      <c r="X72" s="765"/>
      <c r="Y72" s="617"/>
      <c r="Z72" s="755"/>
      <c r="AA72" s="765"/>
      <c r="AB72" s="617"/>
      <c r="AC72" s="755"/>
      <c r="AD72" s="765"/>
      <c r="AE72" s="617"/>
      <c r="AF72" s="755"/>
      <c r="AG72" s="765"/>
      <c r="AH72" s="617"/>
      <c r="AI72" s="755"/>
      <c r="AJ72" s="765"/>
      <c r="AK72" s="617"/>
      <c r="AL72" s="755"/>
      <c r="AM72" s="768"/>
      <c r="AN72" s="973"/>
      <c r="AO72" s="975"/>
      <c r="AP72" s="975"/>
      <c r="AQ72" s="975"/>
      <c r="AR72" s="975"/>
      <c r="AS72" s="975"/>
      <c r="AT72" s="975"/>
      <c r="AU72" s="975"/>
      <c r="AV72" s="975"/>
      <c r="AW72" s="975"/>
      <c r="AX72" s="975"/>
      <c r="AY72" s="975"/>
      <c r="AZ72" s="975">
        <f>'MXD P&amp;L'!N66</f>
        <v>0</v>
      </c>
      <c r="BA72" s="975">
        <f>'MXD P&amp;L'!O66</f>
        <v>0</v>
      </c>
      <c r="BB72" s="975">
        <f>'MXD P&amp;L'!P66</f>
        <v>0</v>
      </c>
      <c r="BC72" s="975">
        <f>'MXD P&amp;L'!Q66</f>
        <v>0</v>
      </c>
      <c r="BD72" s="975">
        <f>'MXD P&amp;L'!R66</f>
        <v>0</v>
      </c>
      <c r="BE72" s="975">
        <f>'MXD P&amp;L'!S66</f>
        <v>0</v>
      </c>
      <c r="BF72" s="975">
        <f>'MXD P&amp;L'!T66</f>
        <v>0</v>
      </c>
      <c r="BG72" s="975">
        <f>'MXD P&amp;L'!U66</f>
        <v>0</v>
      </c>
      <c r="BH72" s="975">
        <f>'MXD P&amp;L'!V66</f>
        <v>0</v>
      </c>
      <c r="BI72" s="975">
        <f>'MXD P&amp;L'!W66</f>
        <v>23.4</v>
      </c>
      <c r="BJ72" s="975">
        <f>'MXD P&amp;L'!X66</f>
        <v>0</v>
      </c>
      <c r="BK72" s="975">
        <f>'MXD P&amp;L'!Y67</f>
        <v>0</v>
      </c>
      <c r="BL72" s="1026">
        <f t="shared" si="14"/>
        <v>23.4</v>
      </c>
      <c r="BM72" s="314"/>
    </row>
    <row r="73" spans="2:66" x14ac:dyDescent="0.3">
      <c r="B73" t="s">
        <v>602</v>
      </c>
      <c r="C73" s="765">
        <v>3683</v>
      </c>
      <c r="D73" s="617">
        <v>6438</v>
      </c>
      <c r="E73" s="755"/>
      <c r="F73" s="765">
        <v>3414</v>
      </c>
      <c r="G73" s="617">
        <v>6177</v>
      </c>
      <c r="H73" s="755">
        <v>3611.27</v>
      </c>
      <c r="I73" s="765">
        <v>3062</v>
      </c>
      <c r="J73" s="617">
        <v>5744</v>
      </c>
      <c r="K73" s="755">
        <v>1698.76</v>
      </c>
      <c r="L73" s="765">
        <v>2839</v>
      </c>
      <c r="M73" s="617">
        <v>3682</v>
      </c>
      <c r="N73" s="755">
        <v>79.020000000000437</v>
      </c>
      <c r="O73" s="765">
        <v>3385</v>
      </c>
      <c r="P73" s="617">
        <v>-2460</v>
      </c>
      <c r="Q73" s="755">
        <v>1790.33</v>
      </c>
      <c r="R73" s="765">
        <v>4185</v>
      </c>
      <c r="S73" s="617">
        <v>9842</v>
      </c>
      <c r="T73" s="755">
        <v>2039.0099999999991</v>
      </c>
      <c r="U73" s="765">
        <v>4487</v>
      </c>
      <c r="V73" s="617">
        <v>2345</v>
      </c>
      <c r="W73" s="755">
        <v>4090.77</v>
      </c>
      <c r="X73" s="765">
        <v>4695</v>
      </c>
      <c r="Y73" s="617">
        <v>2473</v>
      </c>
      <c r="Z73" s="755">
        <v>2370.1200000000003</v>
      </c>
      <c r="AA73" s="765">
        <v>4593</v>
      </c>
      <c r="AB73" s="617">
        <v>2567</v>
      </c>
      <c r="AC73" s="755">
        <v>3145.32</v>
      </c>
      <c r="AD73" s="765">
        <v>4684</v>
      </c>
      <c r="AE73" s="617">
        <v>1946</v>
      </c>
      <c r="AF73" s="755">
        <v>2869.139999999999</v>
      </c>
      <c r="AG73" s="765">
        <v>3639</v>
      </c>
      <c r="AH73" s="617"/>
      <c r="AI73" s="755">
        <v>4079.4800000000014</v>
      </c>
      <c r="AJ73" s="765">
        <v>6363</v>
      </c>
      <c r="AK73" s="617"/>
      <c r="AL73" s="755">
        <v>691.20999999999913</v>
      </c>
      <c r="AM73" s="768">
        <v>26464.43</v>
      </c>
      <c r="AN73" s="973">
        <v>6012.92</v>
      </c>
      <c r="AO73" s="975">
        <v>6066.78</v>
      </c>
      <c r="AP73" s="975">
        <v>6839.57</v>
      </c>
      <c r="AQ73" s="975">
        <v>10694.71</v>
      </c>
      <c r="AR73" s="975">
        <v>3166.37</v>
      </c>
      <c r="AS73" s="975">
        <v>1425.12</v>
      </c>
      <c r="AT73" s="975">
        <v>7677.46</v>
      </c>
      <c r="AU73" s="975">
        <v>1409.24</v>
      </c>
      <c r="AV73" s="975">
        <v>7327.75</v>
      </c>
      <c r="AW73" s="975">
        <v>4277</v>
      </c>
      <c r="AX73" s="975">
        <v>4619.32</v>
      </c>
      <c r="AY73" s="975">
        <v>7004.04</v>
      </c>
      <c r="AZ73" s="975">
        <f>'MXD P&amp;L'!N67</f>
        <v>8307.5400000000009</v>
      </c>
      <c r="BA73" s="975">
        <f>'MXD P&amp;L'!O67</f>
        <v>7495.08</v>
      </c>
      <c r="BB73" s="975">
        <f>'MXD P&amp;L'!P67</f>
        <v>5812.36</v>
      </c>
      <c r="BC73" s="975">
        <f>'MXD P&amp;L'!Q67</f>
        <v>4645.9799999999996</v>
      </c>
      <c r="BD73" s="975">
        <f>'MXD P&amp;L'!R67</f>
        <v>3544.1</v>
      </c>
      <c r="BE73" s="975">
        <f>'MXD P&amp;L'!S67</f>
        <v>3375.03</v>
      </c>
      <c r="BF73" s="975">
        <f>'MXD P&amp;L'!T67</f>
        <v>3333.41</v>
      </c>
      <c r="BG73" s="975">
        <f>'MXD P&amp;L'!U67</f>
        <v>3527.01</v>
      </c>
      <c r="BH73" s="975">
        <f>'MXD P&amp;L'!V67</f>
        <v>5061.45</v>
      </c>
      <c r="BI73" s="975">
        <f>'MXD P&amp;L'!W67</f>
        <v>3882.12</v>
      </c>
      <c r="BJ73" s="975">
        <f>'MXD P&amp;L'!X67</f>
        <v>0</v>
      </c>
      <c r="BK73" s="975">
        <f>'MXD P&amp;L'!Y68</f>
        <v>0</v>
      </c>
      <c r="BL73" s="1026">
        <f t="shared" si="14"/>
        <v>48984.08</v>
      </c>
      <c r="BM73" s="314">
        <f t="shared" si="15"/>
        <v>29613.98</v>
      </c>
    </row>
    <row r="74" spans="2:66" x14ac:dyDescent="0.3">
      <c r="B74" s="1414" t="s">
        <v>1246</v>
      </c>
      <c r="C74" s="765"/>
      <c r="D74" s="617"/>
      <c r="E74" s="755"/>
      <c r="F74" s="765"/>
      <c r="G74" s="617"/>
      <c r="H74" s="755"/>
      <c r="I74" s="765"/>
      <c r="J74" s="617"/>
      <c r="K74" s="755"/>
      <c r="L74" s="765"/>
      <c r="M74" s="617"/>
      <c r="N74" s="755"/>
      <c r="O74" s="765"/>
      <c r="P74" s="617"/>
      <c r="Q74" s="755"/>
      <c r="R74" s="765"/>
      <c r="S74" s="617"/>
      <c r="T74" s="755"/>
      <c r="U74" s="765"/>
      <c r="V74" s="617"/>
      <c r="W74" s="755"/>
      <c r="X74" s="765"/>
      <c r="Y74" s="617"/>
      <c r="Z74" s="755"/>
      <c r="AA74" s="765"/>
      <c r="AB74" s="617"/>
      <c r="AC74" s="755"/>
      <c r="AD74" s="765"/>
      <c r="AE74" s="617"/>
      <c r="AF74" s="755"/>
      <c r="AG74" s="765"/>
      <c r="AH74" s="617"/>
      <c r="AI74" s="755"/>
      <c r="AJ74" s="765"/>
      <c r="AK74" s="617"/>
      <c r="AL74" s="755"/>
      <c r="AM74" s="768"/>
      <c r="AN74" s="973"/>
      <c r="AO74" s="975"/>
      <c r="AP74" s="975"/>
      <c r="AQ74" s="975"/>
      <c r="AR74" s="975"/>
      <c r="AS74" s="975"/>
      <c r="AT74" s="975"/>
      <c r="AU74" s="975"/>
      <c r="AV74" s="975"/>
      <c r="AW74" s="975"/>
      <c r="AX74" s="975"/>
      <c r="AY74" s="975"/>
      <c r="AZ74" s="975">
        <f>'MXD P&amp;L'!N68</f>
        <v>0</v>
      </c>
      <c r="BA74" s="975">
        <f>'MXD P&amp;L'!O68</f>
        <v>0</v>
      </c>
      <c r="BB74" s="975">
        <f>'MXD P&amp;L'!P68</f>
        <v>0</v>
      </c>
      <c r="BC74" s="975">
        <f>'MXD P&amp;L'!Q68</f>
        <v>0</v>
      </c>
      <c r="BD74" s="975">
        <f>'MXD P&amp;L'!R68</f>
        <v>157.96</v>
      </c>
      <c r="BE74" s="975">
        <f>'MXD P&amp;L'!S68</f>
        <v>0</v>
      </c>
      <c r="BF74" s="975">
        <f>'MXD P&amp;L'!T68</f>
        <v>0</v>
      </c>
      <c r="BG74" s="975">
        <f>'MXD P&amp;L'!U68</f>
        <v>0</v>
      </c>
      <c r="BH74" s="975">
        <f>'MXD P&amp;L'!V68</f>
        <v>0</v>
      </c>
      <c r="BI74" s="975">
        <f>'MXD P&amp;L'!W68</f>
        <v>238.68</v>
      </c>
      <c r="BJ74" s="975">
        <f>'MXD P&amp;L'!X68</f>
        <v>0</v>
      </c>
      <c r="BK74" s="975">
        <f>'MXD P&amp;L'!Y69</f>
        <v>0</v>
      </c>
      <c r="BL74" s="1026">
        <f t="shared" si="14"/>
        <v>396.64</v>
      </c>
      <c r="BM74" s="314"/>
    </row>
    <row r="75" spans="2:66" x14ac:dyDescent="0.3">
      <c r="B75" t="s">
        <v>603</v>
      </c>
      <c r="C75" s="765">
        <v>4216</v>
      </c>
      <c r="D75" s="617">
        <v>13215</v>
      </c>
      <c r="E75" s="755"/>
      <c r="F75" s="765">
        <v>1812</v>
      </c>
      <c r="G75" s="617">
        <v>9420</v>
      </c>
      <c r="H75" s="755">
        <v>23775.82</v>
      </c>
      <c r="I75" s="765">
        <v>5933</v>
      </c>
      <c r="J75" s="617">
        <v>8320</v>
      </c>
      <c r="K75" s="755">
        <v>17153.310000000001</v>
      </c>
      <c r="L75" s="765">
        <v>2530</v>
      </c>
      <c r="M75" s="617">
        <v>2014</v>
      </c>
      <c r="N75" s="755">
        <v>13347.19</v>
      </c>
      <c r="O75" s="765">
        <v>3984</v>
      </c>
      <c r="P75" s="617">
        <v>1762</v>
      </c>
      <c r="Q75" s="755">
        <v>17424.39000000001</v>
      </c>
      <c r="R75" s="765">
        <v>4472</v>
      </c>
      <c r="S75" s="617">
        <v>4085</v>
      </c>
      <c r="T75" s="755">
        <v>13830.05</v>
      </c>
      <c r="U75" s="765">
        <v>3472</v>
      </c>
      <c r="V75" s="617">
        <v>3437</v>
      </c>
      <c r="W75" s="755">
        <v>13744</v>
      </c>
      <c r="X75" s="765">
        <v>2764</v>
      </c>
      <c r="Y75" s="617">
        <v>2031</v>
      </c>
      <c r="Z75" s="755">
        <v>27315.449999999979</v>
      </c>
      <c r="AA75" s="765">
        <v>3303</v>
      </c>
      <c r="AB75" s="617">
        <v>1736</v>
      </c>
      <c r="AC75" s="755">
        <v>21812.320000000011</v>
      </c>
      <c r="AD75" s="765">
        <v>3242</v>
      </c>
      <c r="AE75" s="617">
        <v>719</v>
      </c>
      <c r="AF75" s="755">
        <v>29012.210000000021</v>
      </c>
      <c r="AG75" s="765">
        <v>3729</v>
      </c>
      <c r="AH75" s="617">
        <v>0</v>
      </c>
      <c r="AI75" s="755">
        <v>20894.549999999988</v>
      </c>
      <c r="AJ75" s="765">
        <v>9810</v>
      </c>
      <c r="AK75" s="617"/>
      <c r="AL75" s="755">
        <v>19155.76999999999</v>
      </c>
      <c r="AM75" s="768">
        <v>217465.06000000003</v>
      </c>
      <c r="AN75" s="973">
        <v>17971.580000000002</v>
      </c>
      <c r="AO75" s="975">
        <v>24645.35</v>
      </c>
      <c r="AP75" s="975">
        <v>22853.91</v>
      </c>
      <c r="AQ75" s="975">
        <v>27750.79</v>
      </c>
      <c r="AR75" s="975">
        <v>13656.71</v>
      </c>
      <c r="AS75" s="975">
        <v>9680.43</v>
      </c>
      <c r="AT75" s="975">
        <v>16431.990000000002</v>
      </c>
      <c r="AU75" s="975">
        <v>9944.4</v>
      </c>
      <c r="AV75" s="975">
        <v>10097.85</v>
      </c>
      <c r="AW75" s="975">
        <v>7843.69</v>
      </c>
      <c r="AX75" s="975">
        <v>13748.31</v>
      </c>
      <c r="AY75" s="975">
        <v>16832.189999999999</v>
      </c>
      <c r="AZ75" s="975">
        <f>'MXD P&amp;L'!N69</f>
        <v>11972.22</v>
      </c>
      <c r="BA75" s="975">
        <f>'MXD P&amp;L'!O69</f>
        <v>12806.93</v>
      </c>
      <c r="BB75" s="975">
        <f>'MXD P&amp;L'!P69</f>
        <v>26002.85</v>
      </c>
      <c r="BC75" s="975">
        <f>'MXD P&amp;L'!Q69</f>
        <v>13281.51</v>
      </c>
      <c r="BD75" s="975">
        <f>'MXD P&amp;L'!R69</f>
        <v>17735.87</v>
      </c>
      <c r="BE75" s="975">
        <f>'MXD P&amp;L'!S69</f>
        <v>16874.650000000001</v>
      </c>
      <c r="BF75" s="975">
        <f>'MXD P&amp;L'!T69</f>
        <v>14202.05</v>
      </c>
      <c r="BG75" s="975">
        <f>'MXD P&amp;L'!U69</f>
        <v>13316.02</v>
      </c>
      <c r="BH75" s="975">
        <f>'MXD P&amp;L'!V69</f>
        <v>10458.74</v>
      </c>
      <c r="BI75" s="975">
        <f>'MXD P&amp;L'!W69</f>
        <v>27019.119999999999</v>
      </c>
      <c r="BJ75" s="975">
        <f>'MXD P&amp;L'!X69</f>
        <v>0</v>
      </c>
      <c r="BK75" s="975">
        <f>'MXD P&amp;L'!Y70</f>
        <v>0</v>
      </c>
      <c r="BL75" s="1026">
        <f t="shared" si="14"/>
        <v>163669.96</v>
      </c>
      <c r="BM75" s="314">
        <f t="shared" si="15"/>
        <v>93221.63</v>
      </c>
      <c r="BN75" s="314"/>
    </row>
    <row r="76" spans="2:66" ht="15.6" x14ac:dyDescent="0.3">
      <c r="B76" s="1402" t="s">
        <v>1248</v>
      </c>
      <c r="C76" s="765"/>
      <c r="D76" s="617"/>
      <c r="E76" s="14"/>
      <c r="F76" s="765"/>
      <c r="G76" s="617"/>
      <c r="H76" s="14"/>
      <c r="I76" s="765"/>
      <c r="J76" s="617"/>
      <c r="K76" s="14"/>
      <c r="L76" s="765"/>
      <c r="M76" s="617"/>
      <c r="N76" s="14"/>
      <c r="O76" s="765"/>
      <c r="P76" s="617"/>
      <c r="Q76" s="14"/>
      <c r="R76" s="765"/>
      <c r="S76" s="617"/>
      <c r="T76" s="14"/>
      <c r="U76" s="617"/>
      <c r="V76" s="617"/>
      <c r="W76" s="14"/>
      <c r="X76" s="617"/>
      <c r="Y76" s="617"/>
      <c r="Z76" s="14"/>
      <c r="AA76" s="617"/>
      <c r="AB76" s="617"/>
      <c r="AC76" s="14"/>
      <c r="AD76" s="617"/>
      <c r="AE76" s="617"/>
      <c r="AF76" s="14"/>
      <c r="AG76" s="617"/>
      <c r="AH76" s="617"/>
      <c r="AI76" s="14"/>
      <c r="AJ76" s="617"/>
      <c r="AK76" s="617"/>
      <c r="AL76" s="14"/>
      <c r="AM76" s="768"/>
      <c r="AN76" s="973"/>
      <c r="AO76" s="975"/>
      <c r="AP76" s="975"/>
      <c r="AQ76" s="975"/>
      <c r="AR76" s="975"/>
      <c r="AS76" s="975"/>
      <c r="AT76" s="975"/>
      <c r="AU76" s="975"/>
      <c r="AV76" s="975"/>
      <c r="AW76" s="975"/>
      <c r="AX76" s="975"/>
      <c r="AY76" s="975"/>
      <c r="AZ76" s="975">
        <f>'MXD P&amp;L'!N91</f>
        <v>0</v>
      </c>
      <c r="BA76" s="975">
        <f>'MXD P&amp;L'!O91</f>
        <v>0</v>
      </c>
      <c r="BB76" s="975">
        <f>'MXD P&amp;L'!P91</f>
        <v>0</v>
      </c>
      <c r="BC76" s="975">
        <f>'MXD P&amp;L'!Q91</f>
        <v>0</v>
      </c>
      <c r="BD76" s="975">
        <f>'MXD P&amp;L'!R91</f>
        <v>881.2</v>
      </c>
      <c r="BE76" s="975">
        <f>'MXD P&amp;L'!S91</f>
        <v>4156.75</v>
      </c>
      <c r="BF76" s="975">
        <f>'MXD P&amp;L'!T91</f>
        <v>0</v>
      </c>
      <c r="BG76" s="975">
        <f>'MXD P&amp;L'!U91</f>
        <v>248.08</v>
      </c>
      <c r="BH76" s="975">
        <f>'MXD P&amp;L'!V91</f>
        <v>1248.17</v>
      </c>
      <c r="BI76" s="975">
        <f>'MXD P&amp;L'!W91</f>
        <v>0</v>
      </c>
      <c r="BJ76" s="975">
        <f>'MXD P&amp;L'!X91</f>
        <v>0</v>
      </c>
      <c r="BK76" s="975">
        <f>'MXD P&amp;L'!Y92</f>
        <v>0</v>
      </c>
      <c r="BL76" s="1026">
        <f t="shared" ref="BL76" si="16">SUM(AZ76:BK76)</f>
        <v>6534.2</v>
      </c>
      <c r="BM76" s="314">
        <f t="shared" ref="BM76" si="17">SUM(AN76:AQ76)</f>
        <v>0</v>
      </c>
      <c r="BN76" s="314"/>
    </row>
    <row r="77" spans="2:66" x14ac:dyDescent="0.3">
      <c r="B77" t="s">
        <v>585</v>
      </c>
      <c r="C77" s="759"/>
      <c r="F77" s="759"/>
      <c r="I77" s="759"/>
      <c r="L77" s="759"/>
      <c r="O77" s="759"/>
      <c r="R77" s="759"/>
      <c r="AM77" s="1258"/>
      <c r="AN77" s="1024">
        <v>0</v>
      </c>
      <c r="AO77" s="1026">
        <v>301.75</v>
      </c>
      <c r="AP77" s="1026">
        <v>0</v>
      </c>
      <c r="AQ77" s="1026">
        <v>0</v>
      </c>
      <c r="AR77" s="1026">
        <v>0</v>
      </c>
      <c r="AS77" s="1026">
        <v>0</v>
      </c>
      <c r="AT77" s="1026">
        <v>0</v>
      </c>
      <c r="AU77" s="1026">
        <v>0</v>
      </c>
      <c r="AV77" s="1026">
        <v>0</v>
      </c>
      <c r="AW77" s="1026">
        <v>0</v>
      </c>
      <c r="AX77" s="1026">
        <v>-14116.5</v>
      </c>
      <c r="AY77" s="1026">
        <v>0</v>
      </c>
      <c r="AZ77" s="1026">
        <f>'MXD P&amp;L'!N92</f>
        <v>0</v>
      </c>
      <c r="BA77" s="1026">
        <f>'MXD P&amp;L'!O92</f>
        <v>0</v>
      </c>
      <c r="BB77" s="1026">
        <f>'MXD P&amp;L'!P92</f>
        <v>0</v>
      </c>
      <c r="BC77" s="1026">
        <f>'MXD P&amp;L'!Q92</f>
        <v>0</v>
      </c>
      <c r="BD77" s="1026">
        <f>'MXD P&amp;L'!R92</f>
        <v>0</v>
      </c>
      <c r="BE77" s="1026">
        <f>'MXD P&amp;L'!S92</f>
        <v>-1882.77</v>
      </c>
      <c r="BF77" s="1026">
        <f>'MXD P&amp;L'!T92</f>
        <v>0</v>
      </c>
      <c r="BG77" s="1026">
        <f>'MXD P&amp;L'!U92</f>
        <v>0</v>
      </c>
      <c r="BH77" s="1026">
        <f>'MXD P&amp;L'!V92</f>
        <v>0</v>
      </c>
      <c r="BI77" s="1026">
        <f>'MXD P&amp;L'!W92</f>
        <v>0</v>
      </c>
      <c r="BJ77" s="1026">
        <f>'MXD P&amp;L'!X92</f>
        <v>0</v>
      </c>
      <c r="BK77" s="1026">
        <f>'MXD P&amp;L'!Y93</f>
        <v>0</v>
      </c>
      <c r="BL77" s="1026">
        <f t="shared" si="14"/>
        <v>-1882.77</v>
      </c>
      <c r="BM77" s="314">
        <f t="shared" si="15"/>
        <v>301.75</v>
      </c>
    </row>
    <row r="78" spans="2:66" x14ac:dyDescent="0.3">
      <c r="B78" t="s">
        <v>586</v>
      </c>
      <c r="C78" s="759"/>
      <c r="E78" s="1260"/>
      <c r="F78" s="759"/>
      <c r="H78" s="1260"/>
      <c r="I78" s="759"/>
      <c r="K78" s="1260"/>
      <c r="L78" s="759"/>
      <c r="N78" s="1260"/>
      <c r="O78" s="759"/>
      <c r="Q78" s="1260"/>
      <c r="R78" s="759"/>
      <c r="T78" s="763"/>
      <c r="U78" s="759"/>
      <c r="W78" s="763"/>
      <c r="X78" s="759"/>
      <c r="Z78" s="763"/>
      <c r="AA78" s="754"/>
      <c r="AB78" s="8"/>
      <c r="AC78" s="763"/>
      <c r="AD78" s="754"/>
      <c r="AE78" s="8"/>
      <c r="AF78" s="763"/>
      <c r="AG78" s="754"/>
      <c r="AH78" s="8"/>
      <c r="AI78" s="763"/>
      <c r="AJ78" s="754"/>
      <c r="AK78" s="8"/>
      <c r="AL78" s="1260">
        <v>100</v>
      </c>
      <c r="AM78" s="1259"/>
      <c r="AN78" s="1024">
        <v>1995</v>
      </c>
      <c r="AO78" s="1026">
        <v>1500</v>
      </c>
      <c r="AP78" s="1026">
        <v>34.78</v>
      </c>
      <c r="AQ78" s="1026">
        <v>0</v>
      </c>
      <c r="AR78" s="1026">
        <v>3368.86</v>
      </c>
      <c r="AS78" s="1026">
        <v>6543.83</v>
      </c>
      <c r="AT78" s="1026">
        <v>93.37</v>
      </c>
      <c r="AU78" s="1026">
        <v>0</v>
      </c>
      <c r="AV78" s="1026">
        <v>24.06</v>
      </c>
      <c r="AW78" s="1026">
        <v>61.51</v>
      </c>
      <c r="AX78" s="1026">
        <v>218.1</v>
      </c>
      <c r="AY78" s="1026">
        <v>4821.2999999999993</v>
      </c>
      <c r="AZ78" s="1026">
        <f>'MXD P&amp;L'!N93</f>
        <v>3285.97</v>
      </c>
      <c r="BA78" s="1026">
        <f>'MXD P&amp;L'!O93</f>
        <v>0</v>
      </c>
      <c r="BB78" s="1026">
        <f>'MXD P&amp;L'!P93</f>
        <v>7926.41</v>
      </c>
      <c r="BC78" s="1026">
        <f>'MXD P&amp;L'!Q93</f>
        <v>0</v>
      </c>
      <c r="BD78" s="1026">
        <f>'MXD P&amp;L'!R93</f>
        <v>0</v>
      </c>
      <c r="BE78" s="1026">
        <f>'MXD P&amp;L'!S93</f>
        <v>0</v>
      </c>
      <c r="BF78" s="1026">
        <f>'MXD P&amp;L'!T93</f>
        <v>0</v>
      </c>
      <c r="BG78" s="1026">
        <f>'MXD P&amp;L'!U93</f>
        <v>0</v>
      </c>
      <c r="BH78" s="1026">
        <f>'MXD P&amp;L'!V93</f>
        <v>0</v>
      </c>
      <c r="BI78" s="1026">
        <f>'MXD P&amp;L'!W93</f>
        <v>0</v>
      </c>
      <c r="BJ78" s="1026">
        <f>'MXD P&amp;L'!X93</f>
        <v>0</v>
      </c>
      <c r="BK78" s="1026">
        <f>'MXD P&amp;L'!Y94</f>
        <v>0</v>
      </c>
      <c r="BL78" s="1026">
        <f t="shared" si="14"/>
        <v>11212.38</v>
      </c>
      <c r="BM78" s="314">
        <f t="shared" si="15"/>
        <v>3529.78</v>
      </c>
    </row>
    <row r="79" spans="2:66" x14ac:dyDescent="0.3">
      <c r="B79" t="s">
        <v>587</v>
      </c>
      <c r="C79" s="759"/>
      <c r="F79" s="759"/>
      <c r="I79" s="759"/>
      <c r="L79" s="759"/>
      <c r="O79" s="759"/>
      <c r="R79" s="759"/>
      <c r="AM79" s="1258"/>
      <c r="AN79" s="1024">
        <v>0</v>
      </c>
      <c r="AO79" s="1026">
        <v>0</v>
      </c>
      <c r="AP79" s="1026">
        <v>96.16</v>
      </c>
      <c r="AQ79" s="1026">
        <v>0</v>
      </c>
      <c r="AR79" s="1026">
        <v>0</v>
      </c>
      <c r="AS79" s="1026">
        <v>0</v>
      </c>
      <c r="AT79" s="1026">
        <v>0</v>
      </c>
      <c r="AU79" s="1026">
        <v>0</v>
      </c>
      <c r="AV79" s="1026">
        <v>0</v>
      </c>
      <c r="AW79" s="1026">
        <v>132.38999999999999</v>
      </c>
      <c r="AX79" s="1026">
        <v>0</v>
      </c>
      <c r="AY79" s="1026">
        <v>0</v>
      </c>
      <c r="AZ79" s="1026">
        <f>'MXD P&amp;L'!N95</f>
        <v>0</v>
      </c>
      <c r="BA79" s="1026">
        <f>'MXD P&amp;L'!O95</f>
        <v>0</v>
      </c>
      <c r="BB79" s="1026">
        <f>'MXD P&amp;L'!P95</f>
        <v>0</v>
      </c>
      <c r="BC79" s="1026">
        <f>'MXD P&amp;L'!Q95</f>
        <v>0</v>
      </c>
      <c r="BD79" s="1026">
        <f>'MXD P&amp;L'!R95</f>
        <v>0</v>
      </c>
      <c r="BE79" s="1026">
        <f>'MXD P&amp;L'!S95</f>
        <v>0</v>
      </c>
      <c r="BF79" s="1026">
        <f>'MXD P&amp;L'!T95</f>
        <v>0</v>
      </c>
      <c r="BG79" s="1026">
        <f>'MXD P&amp;L'!U94</f>
        <v>387.97</v>
      </c>
      <c r="BH79" s="1026">
        <f>'MXD P&amp;L'!V94</f>
        <v>0</v>
      </c>
      <c r="BI79" s="1026">
        <f>'MXD P&amp;L'!W94</f>
        <v>0</v>
      </c>
      <c r="BJ79" s="1026">
        <f>'MXD P&amp;L'!X94</f>
        <v>0</v>
      </c>
      <c r="BK79" s="1026">
        <f>'MXD P&amp;L'!Y95</f>
        <v>0</v>
      </c>
      <c r="BL79" s="1026">
        <f t="shared" si="14"/>
        <v>387.97</v>
      </c>
      <c r="BM79" s="314">
        <f t="shared" si="15"/>
        <v>96.16</v>
      </c>
    </row>
    <row r="80" spans="2:66" x14ac:dyDescent="0.3">
      <c r="B80" t="s">
        <v>588</v>
      </c>
      <c r="C80" s="754">
        <v>2600</v>
      </c>
      <c r="D80" s="8">
        <v>6295</v>
      </c>
      <c r="E80" s="755"/>
      <c r="F80" s="754">
        <v>4033</v>
      </c>
      <c r="G80" s="8">
        <v>859</v>
      </c>
      <c r="H80" s="755"/>
      <c r="I80" s="754">
        <v>7487</v>
      </c>
      <c r="J80" s="8">
        <v>2127</v>
      </c>
      <c r="K80" s="755"/>
      <c r="L80" s="754">
        <v>2074</v>
      </c>
      <c r="M80" s="8"/>
      <c r="N80" s="755"/>
      <c r="O80" s="754">
        <v>11031</v>
      </c>
      <c r="P80" s="8">
        <v>32</v>
      </c>
      <c r="Q80" s="755"/>
      <c r="R80" s="754">
        <v>8826</v>
      </c>
      <c r="S80" s="8">
        <v>1023</v>
      </c>
      <c r="T80" s="755">
        <v>100</v>
      </c>
      <c r="U80" s="754">
        <v>295</v>
      </c>
      <c r="V80" s="8">
        <v>2929</v>
      </c>
      <c r="W80" s="755"/>
      <c r="X80" s="754">
        <v>8530</v>
      </c>
      <c r="Y80" s="8">
        <v>924</v>
      </c>
      <c r="Z80" s="755"/>
      <c r="AA80" s="754">
        <v>2120</v>
      </c>
      <c r="AB80" s="8">
        <v>1580</v>
      </c>
      <c r="AC80" s="755"/>
      <c r="AD80" s="754">
        <v>3788</v>
      </c>
      <c r="AE80" s="8">
        <v>546</v>
      </c>
      <c r="AF80" s="755"/>
      <c r="AG80" s="754">
        <v>3677</v>
      </c>
      <c r="AH80" s="8"/>
      <c r="AI80" s="755"/>
      <c r="AJ80" s="754">
        <v>14276</v>
      </c>
      <c r="AK80" s="8"/>
      <c r="AL80" s="755"/>
      <c r="AM80" s="768">
        <v>100</v>
      </c>
      <c r="AN80" s="1024">
        <v>100</v>
      </c>
      <c r="AO80" s="1026">
        <v>245.7</v>
      </c>
      <c r="AP80" s="1026">
        <v>0</v>
      </c>
      <c r="AQ80" s="1026">
        <v>0</v>
      </c>
      <c r="AR80" s="1026">
        <v>0</v>
      </c>
      <c r="AS80" s="1026">
        <v>0</v>
      </c>
      <c r="AT80" s="1026">
        <v>0</v>
      </c>
      <c r="AU80" s="1026">
        <v>68.75</v>
      </c>
      <c r="AV80" s="1026">
        <v>0</v>
      </c>
      <c r="AW80" s="1026">
        <v>153.75</v>
      </c>
      <c r="AX80" s="1026">
        <v>0</v>
      </c>
      <c r="AY80" s="1026">
        <v>0</v>
      </c>
      <c r="AZ80" s="1026">
        <f>'MXD P&amp;L'!N96</f>
        <v>80.05</v>
      </c>
      <c r="BA80" s="1026">
        <f>'MXD P&amp;L'!O96</f>
        <v>0</v>
      </c>
      <c r="BB80" s="1026">
        <f>'MXD P&amp;L'!P96</f>
        <v>0</v>
      </c>
      <c r="BC80" s="1026">
        <f>'MXD P&amp;L'!Q96</f>
        <v>294.75</v>
      </c>
      <c r="BD80" s="1026">
        <f>'MXD P&amp;L'!R96</f>
        <v>49.12</v>
      </c>
      <c r="BE80" s="1026">
        <f>'MXD P&amp;L'!S96</f>
        <v>1153.5</v>
      </c>
      <c r="BF80" s="1026">
        <f>'MXD P&amp;L'!T96</f>
        <v>410.03</v>
      </c>
      <c r="BG80" s="1026">
        <f>'MXD P&amp;L'!U95</f>
        <v>0</v>
      </c>
      <c r="BH80" s="1026">
        <f>'MXD P&amp;L'!V95</f>
        <v>162.25</v>
      </c>
      <c r="BI80" s="1026">
        <f>'MXD P&amp;L'!W95</f>
        <v>0</v>
      </c>
      <c r="BJ80" s="1026">
        <f>'MXD P&amp;L'!X95</f>
        <v>0</v>
      </c>
      <c r="BK80" s="1026">
        <f>'MXD P&amp;L'!Y96</f>
        <v>0</v>
      </c>
      <c r="BL80" s="1026">
        <f t="shared" si="14"/>
        <v>2149.6999999999998</v>
      </c>
      <c r="BM80" s="314">
        <f t="shared" si="15"/>
        <v>345.7</v>
      </c>
    </row>
    <row r="81" spans="2:65" x14ac:dyDescent="0.3">
      <c r="B81" t="s">
        <v>589</v>
      </c>
      <c r="C81" s="754"/>
      <c r="D81" s="8"/>
      <c r="E81" s="755"/>
      <c r="F81" s="754"/>
      <c r="G81" s="8"/>
      <c r="H81" s="755"/>
      <c r="I81" s="754"/>
      <c r="J81" s="8"/>
      <c r="K81" s="755"/>
      <c r="L81" s="754"/>
      <c r="M81" s="8"/>
      <c r="N81" s="755"/>
      <c r="O81" s="754"/>
      <c r="P81" s="8"/>
      <c r="Q81" s="755"/>
      <c r="R81" s="754"/>
      <c r="S81" s="8"/>
      <c r="T81" s="755"/>
      <c r="U81" s="754"/>
      <c r="V81" s="8"/>
      <c r="W81" s="755"/>
      <c r="X81" s="754"/>
      <c r="Y81" s="8"/>
      <c r="Z81" s="755"/>
      <c r="AA81" s="754"/>
      <c r="AB81" s="8"/>
      <c r="AC81" s="755"/>
      <c r="AD81" s="754"/>
      <c r="AE81" s="8"/>
      <c r="AF81" s="755"/>
      <c r="AG81" s="754"/>
      <c r="AH81" s="8"/>
      <c r="AI81" s="755"/>
      <c r="AJ81" s="754"/>
      <c r="AK81" s="8"/>
      <c r="AL81" s="755"/>
      <c r="AM81" s="18"/>
      <c r="AN81" s="973">
        <v>0</v>
      </c>
      <c r="AO81" s="975">
        <v>0</v>
      </c>
      <c r="AP81" s="975">
        <v>5634.16</v>
      </c>
      <c r="AQ81" s="975">
        <v>0</v>
      </c>
      <c r="AR81" s="975">
        <v>0</v>
      </c>
      <c r="AS81" s="975">
        <v>0</v>
      </c>
      <c r="AT81" s="975">
        <v>0</v>
      </c>
      <c r="AU81" s="975">
        <v>0</v>
      </c>
      <c r="AV81" s="975">
        <v>900</v>
      </c>
      <c r="AW81" s="975">
        <v>0</v>
      </c>
      <c r="AX81" s="975">
        <v>0</v>
      </c>
      <c r="AY81" s="975">
        <v>0</v>
      </c>
      <c r="AZ81" s="1026">
        <f>'MXD P&amp;L'!N97</f>
        <v>0</v>
      </c>
      <c r="BA81" s="1026">
        <f>'MXD P&amp;L'!O97</f>
        <v>0</v>
      </c>
      <c r="BB81" s="1026">
        <f>'MXD P&amp;L'!P97</f>
        <v>0</v>
      </c>
      <c r="BC81" s="1026">
        <f>'MXD P&amp;L'!Q97</f>
        <v>0</v>
      </c>
      <c r="BD81" s="1026">
        <f>'MXD P&amp;L'!R97</f>
        <v>0</v>
      </c>
      <c r="BE81" s="1026">
        <f>'MXD P&amp;L'!S97</f>
        <v>0</v>
      </c>
      <c r="BF81" s="1026">
        <f>'MXD P&amp;L'!T97</f>
        <v>0</v>
      </c>
      <c r="BG81" s="1026">
        <f>'MXD P&amp;L'!U96</f>
        <v>298.68</v>
      </c>
      <c r="BH81" s="1026">
        <f>'MXD P&amp;L'!V96</f>
        <v>0</v>
      </c>
      <c r="BI81" s="1026">
        <f>'MXD P&amp;L'!W96</f>
        <v>252.18</v>
      </c>
      <c r="BJ81" s="1026">
        <f>'MXD P&amp;L'!X96</f>
        <v>0</v>
      </c>
      <c r="BK81" s="1026">
        <f>'MXD P&amp;L'!Y97</f>
        <v>0</v>
      </c>
      <c r="BL81" s="1026">
        <f t="shared" si="14"/>
        <v>550.86</v>
      </c>
      <c r="BM81" s="314">
        <f t="shared" si="15"/>
        <v>5634.16</v>
      </c>
    </row>
    <row r="82" spans="2:65" x14ac:dyDescent="0.3">
      <c r="B82" t="s">
        <v>590</v>
      </c>
      <c r="C82" s="754"/>
      <c r="D82" s="8"/>
      <c r="E82" s="755"/>
      <c r="F82" s="754"/>
      <c r="G82" s="8"/>
      <c r="H82" s="755"/>
      <c r="I82" s="754"/>
      <c r="J82" s="8"/>
      <c r="K82" s="755"/>
      <c r="L82" s="754"/>
      <c r="M82" s="8"/>
      <c r="N82" s="755"/>
      <c r="O82" s="754"/>
      <c r="P82" s="8"/>
      <c r="Q82" s="755"/>
      <c r="R82" s="754"/>
      <c r="S82" s="8"/>
      <c r="T82" s="755"/>
      <c r="U82" s="754"/>
      <c r="V82" s="8"/>
      <c r="W82" s="755"/>
      <c r="X82" s="754"/>
      <c r="Y82" s="8"/>
      <c r="Z82" s="755"/>
      <c r="AA82" s="754"/>
      <c r="AB82" s="8"/>
      <c r="AC82" s="755"/>
      <c r="AD82" s="754"/>
      <c r="AE82" s="8"/>
      <c r="AF82" s="755"/>
      <c r="AG82" s="754"/>
      <c r="AH82" s="8"/>
      <c r="AI82" s="755"/>
      <c r="AJ82" s="754"/>
      <c r="AK82" s="8"/>
      <c r="AL82" s="755"/>
      <c r="AM82" s="18"/>
      <c r="AN82" s="973">
        <v>58.82</v>
      </c>
      <c r="AO82" s="975">
        <v>81</v>
      </c>
      <c r="AP82" s="975">
        <v>2771.73</v>
      </c>
      <c r="AQ82" s="975">
        <v>1130.1099999999999</v>
      </c>
      <c r="AR82" s="975">
        <v>2054.4499999999998</v>
      </c>
      <c r="AS82" s="975">
        <v>7194.96</v>
      </c>
      <c r="AT82" s="975">
        <v>8463.5400000000009</v>
      </c>
      <c r="AU82" s="975">
        <v>4322.1899999999996</v>
      </c>
      <c r="AV82" s="975">
        <v>3803.35</v>
      </c>
      <c r="AW82" s="975">
        <v>2016.63</v>
      </c>
      <c r="AX82" s="975">
        <v>1319.74</v>
      </c>
      <c r="AY82" s="975">
        <v>3260</v>
      </c>
      <c r="AZ82" s="1026">
        <f>'MXD P&amp;L'!N98</f>
        <v>1215.22</v>
      </c>
      <c r="BA82" s="1026">
        <f>'MXD P&amp;L'!O98</f>
        <v>3400.72</v>
      </c>
      <c r="BB82" s="1026">
        <f>'MXD P&amp;L'!P98</f>
        <v>4010.98</v>
      </c>
      <c r="BC82" s="1026">
        <f>'MXD P&amp;L'!Q98</f>
        <v>3667.87</v>
      </c>
      <c r="BD82" s="1026">
        <f>'MXD P&amp;L'!R98</f>
        <v>3448.31</v>
      </c>
      <c r="BE82" s="1026">
        <f>'MXD P&amp;L'!S98</f>
        <v>2915.79</v>
      </c>
      <c r="BF82" s="1026">
        <f>'MXD P&amp;L'!T98</f>
        <v>4025.58</v>
      </c>
      <c r="BG82" s="1026">
        <f>'MXD P&amp;L'!U97</f>
        <v>0</v>
      </c>
      <c r="BH82" s="1026">
        <f>'MXD P&amp;L'!V97</f>
        <v>0</v>
      </c>
      <c r="BI82" s="1026">
        <f>'MXD P&amp;L'!W97</f>
        <v>0</v>
      </c>
      <c r="BJ82" s="1026">
        <f>'MXD P&amp;L'!X97</f>
        <v>0</v>
      </c>
      <c r="BK82" s="1026">
        <f>'MXD P&amp;L'!Y98</f>
        <v>0</v>
      </c>
      <c r="BL82" s="1026">
        <f t="shared" si="14"/>
        <v>22684.47</v>
      </c>
      <c r="BM82" s="314">
        <f t="shared" si="15"/>
        <v>4041.66</v>
      </c>
    </row>
    <row r="83" spans="2:65" x14ac:dyDescent="0.3">
      <c r="B83" t="s">
        <v>591</v>
      </c>
      <c r="C83" s="765">
        <v>7273</v>
      </c>
      <c r="D83" s="617">
        <v>5078</v>
      </c>
      <c r="E83" s="755"/>
      <c r="F83" s="765">
        <v>8096</v>
      </c>
      <c r="G83" s="617">
        <v>354</v>
      </c>
      <c r="H83" s="755">
        <v>293.56</v>
      </c>
      <c r="I83" s="765">
        <v>6838</v>
      </c>
      <c r="J83" s="617">
        <v>5877</v>
      </c>
      <c r="K83" s="755">
        <v>131.43</v>
      </c>
      <c r="L83" s="765">
        <v>11980</v>
      </c>
      <c r="M83" s="617">
        <v>12753</v>
      </c>
      <c r="N83" s="755"/>
      <c r="O83" s="765">
        <v>9730</v>
      </c>
      <c r="P83" s="617">
        <v>3464</v>
      </c>
      <c r="Q83" s="755">
        <v>905</v>
      </c>
      <c r="R83" s="765">
        <v>5777</v>
      </c>
      <c r="S83" s="617">
        <v>10729</v>
      </c>
      <c r="T83" s="755">
        <v>163.11999999999989</v>
      </c>
      <c r="U83" s="765">
        <v>9584</v>
      </c>
      <c r="V83" s="617">
        <v>7537</v>
      </c>
      <c r="W83" s="755">
        <v>1002.08</v>
      </c>
      <c r="X83" s="765">
        <v>10737</v>
      </c>
      <c r="Y83" s="617">
        <v>11817</v>
      </c>
      <c r="Z83" s="755">
        <v>13.900000000000089</v>
      </c>
      <c r="AA83" s="765">
        <v>9798</v>
      </c>
      <c r="AB83" s="617">
        <v>5546</v>
      </c>
      <c r="AC83" s="755">
        <v>499.55999999999989</v>
      </c>
      <c r="AD83" s="765">
        <v>11202</v>
      </c>
      <c r="AE83" s="617">
        <v>5064</v>
      </c>
      <c r="AF83" s="755"/>
      <c r="AG83" s="765">
        <v>9757</v>
      </c>
      <c r="AH83" s="617"/>
      <c r="AI83" s="755"/>
      <c r="AJ83" s="765">
        <v>3275</v>
      </c>
      <c r="AK83" s="617"/>
      <c r="AL83" s="755">
        <v>30.92999999999984</v>
      </c>
      <c r="AM83" s="768">
        <v>3039.58</v>
      </c>
      <c r="AN83" s="973">
        <v>285.92</v>
      </c>
      <c r="AO83" s="975">
        <v>0</v>
      </c>
      <c r="AP83" s="975">
        <v>0</v>
      </c>
      <c r="AQ83" s="975">
        <v>0</v>
      </c>
      <c r="AR83" s="975">
        <v>0</v>
      </c>
      <c r="AS83" s="975">
        <v>0</v>
      </c>
      <c r="AT83" s="975">
        <v>0</v>
      </c>
      <c r="AU83" s="975">
        <v>0</v>
      </c>
      <c r="AV83" s="975">
        <v>0</v>
      </c>
      <c r="AW83" s="975">
        <v>0</v>
      </c>
      <c r="AX83" s="975">
        <v>0</v>
      </c>
      <c r="AY83" s="975">
        <v>0</v>
      </c>
      <c r="AZ83" s="1026">
        <f>'MXD P&amp;L'!N99</f>
        <v>0</v>
      </c>
      <c r="BA83" s="1026">
        <f>'MXD P&amp;L'!O99</f>
        <v>0</v>
      </c>
      <c r="BB83" s="1026">
        <f>'MXD P&amp;L'!P99</f>
        <v>0</v>
      </c>
      <c r="BC83" s="1026">
        <f>'MXD P&amp;L'!Q99</f>
        <v>0</v>
      </c>
      <c r="BD83" s="1026">
        <f>'MXD P&amp;L'!R99</f>
        <v>0</v>
      </c>
      <c r="BE83" s="1026">
        <f>'MXD P&amp;L'!S99</f>
        <v>0</v>
      </c>
      <c r="BF83" s="1026">
        <f>'MXD P&amp;L'!T99</f>
        <v>0</v>
      </c>
      <c r="BG83" s="1026">
        <f>'MXD P&amp;L'!U98</f>
        <v>3208.68</v>
      </c>
      <c r="BH83" s="1026">
        <f>'MXD P&amp;L'!V98</f>
        <v>2732.4</v>
      </c>
      <c r="BI83" s="1026">
        <f>'MXD P&amp;L'!W98</f>
        <v>4894.99</v>
      </c>
      <c r="BJ83" s="1026">
        <f>'MXD P&amp;L'!X98</f>
        <v>0</v>
      </c>
      <c r="BK83" s="1026">
        <f>'MXD P&amp;L'!Y99</f>
        <v>0</v>
      </c>
      <c r="BL83" s="1026">
        <f t="shared" si="14"/>
        <v>10836.07</v>
      </c>
      <c r="BM83" s="314">
        <f t="shared" si="15"/>
        <v>285.92</v>
      </c>
    </row>
    <row r="84" spans="2:65" x14ac:dyDescent="0.3">
      <c r="B84" s="7" t="s">
        <v>44</v>
      </c>
      <c r="C84" s="906">
        <v>47866</v>
      </c>
      <c r="D84" s="901">
        <v>58721</v>
      </c>
      <c r="E84" s="907">
        <v>23072.060000000005</v>
      </c>
      <c r="F84" s="906">
        <v>41217</v>
      </c>
      <c r="G84" s="901">
        <v>55531</v>
      </c>
      <c r="H84" s="907">
        <v>66333.63</v>
      </c>
      <c r="I84" s="906">
        <v>50910</v>
      </c>
      <c r="J84" s="901">
        <v>59262</v>
      </c>
      <c r="K84" s="907">
        <v>52492.070000000007</v>
      </c>
      <c r="L84" s="906">
        <v>34099</v>
      </c>
      <c r="M84" s="901">
        <v>60807</v>
      </c>
      <c r="N84" s="907">
        <v>62501.590000000011</v>
      </c>
      <c r="O84" s="906">
        <v>40917</v>
      </c>
      <c r="P84" s="901">
        <v>37679</v>
      </c>
      <c r="Q84" s="907">
        <v>86198.66</v>
      </c>
      <c r="R84" s="906">
        <v>47366</v>
      </c>
      <c r="S84" s="901">
        <v>112927</v>
      </c>
      <c r="T84" s="907">
        <v>57806.490000000005</v>
      </c>
      <c r="U84" s="906">
        <v>38262</v>
      </c>
      <c r="V84" s="901">
        <v>44630</v>
      </c>
      <c r="W84" s="907">
        <v>57403.540000000008</v>
      </c>
      <c r="X84" s="906">
        <v>42694</v>
      </c>
      <c r="Y84" s="901">
        <v>38779</v>
      </c>
      <c r="Z84" s="907">
        <v>66199.489999999962</v>
      </c>
      <c r="AA84" s="906">
        <v>46922</v>
      </c>
      <c r="AB84" s="901">
        <v>46166</v>
      </c>
      <c r="AC84" s="907">
        <v>60693.530000000028</v>
      </c>
      <c r="AD84" s="906">
        <v>49637</v>
      </c>
      <c r="AE84" s="901">
        <v>50072</v>
      </c>
      <c r="AF84" s="907">
        <v>71096.520000000019</v>
      </c>
      <c r="AG84" s="906">
        <v>56556</v>
      </c>
      <c r="AH84" s="901">
        <v>38145.74</v>
      </c>
      <c r="AI84" s="907">
        <v>68346.63</v>
      </c>
      <c r="AJ84" s="906">
        <v>61980</v>
      </c>
      <c r="AK84" s="901">
        <v>24793</v>
      </c>
      <c r="AL84" s="907">
        <v>64787.619999999966</v>
      </c>
      <c r="AM84" s="901">
        <v>740071.40999999992</v>
      </c>
      <c r="AN84" s="906">
        <f>SUM(AN62:AN83)</f>
        <v>68227.300000000017</v>
      </c>
      <c r="AO84" s="901">
        <f t="shared" ref="AO84:BM84" si="18">SUM(AO62:AO83)</f>
        <v>103258.23999999998</v>
      </c>
      <c r="AP84" s="901">
        <f t="shared" si="18"/>
        <v>91379.180000000008</v>
      </c>
      <c r="AQ84" s="901">
        <f t="shared" si="18"/>
        <v>108009.40000000001</v>
      </c>
      <c r="AR84" s="901">
        <f t="shared" si="18"/>
        <v>50742.570000000007</v>
      </c>
      <c r="AS84" s="901">
        <f t="shared" si="18"/>
        <v>65983.650000000023</v>
      </c>
      <c r="AT84" s="901">
        <f t="shared" si="18"/>
        <v>79554.209999999992</v>
      </c>
      <c r="AU84" s="901">
        <f t="shared" si="18"/>
        <v>74208.75</v>
      </c>
      <c r="AV84" s="901">
        <f t="shared" si="18"/>
        <v>85146.150000000009</v>
      </c>
      <c r="AW84" s="901">
        <f t="shared" si="18"/>
        <v>76412.59</v>
      </c>
      <c r="AX84" s="901">
        <f t="shared" si="18"/>
        <v>65156.33</v>
      </c>
      <c r="AY84" s="901">
        <f t="shared" si="18"/>
        <v>135604.12</v>
      </c>
      <c r="AZ84" s="901">
        <f t="shared" si="18"/>
        <v>87313.77</v>
      </c>
      <c r="BA84" s="901">
        <f t="shared" si="18"/>
        <v>66934.97</v>
      </c>
      <c r="BB84" s="901">
        <f>SUM(BB62:BB83)</f>
        <v>100976.48</v>
      </c>
      <c r="BC84" s="901">
        <f>SUM(BC62:BC83)</f>
        <v>71353.539999999994</v>
      </c>
      <c r="BD84" s="901">
        <f t="shared" ref="BD84:BK84" si="19">SUM(BD62:BD83)</f>
        <v>78202.080000000002</v>
      </c>
      <c r="BE84" s="901">
        <f t="shared" si="19"/>
        <v>101323.19999999998</v>
      </c>
      <c r="BF84" s="901">
        <f t="shared" si="19"/>
        <v>82208.740000000005</v>
      </c>
      <c r="BG84" s="901">
        <f t="shared" si="19"/>
        <v>74989.459999999992</v>
      </c>
      <c r="BH84" s="901">
        <f t="shared" si="19"/>
        <v>89106.590000000011</v>
      </c>
      <c r="BI84" s="901">
        <f t="shared" si="19"/>
        <v>85319.560000000012</v>
      </c>
      <c r="BJ84" s="901">
        <f t="shared" si="19"/>
        <v>0</v>
      </c>
      <c r="BK84" s="901">
        <f t="shared" si="19"/>
        <v>0</v>
      </c>
      <c r="BL84" s="901">
        <f t="shared" si="18"/>
        <v>837728.38999999978</v>
      </c>
      <c r="BM84" s="901">
        <f t="shared" si="18"/>
        <v>370874.11999999994</v>
      </c>
    </row>
    <row r="85" spans="2:65" x14ac:dyDescent="0.3">
      <c r="C85" s="759"/>
      <c r="E85" s="764"/>
      <c r="F85" s="759"/>
      <c r="H85" s="764"/>
      <c r="I85" s="759"/>
      <c r="K85" s="764"/>
      <c r="L85" s="759"/>
      <c r="N85" s="764"/>
      <c r="O85" s="759"/>
      <c r="Q85" s="764"/>
      <c r="R85" s="759"/>
      <c r="T85" s="764"/>
      <c r="U85" s="759"/>
      <c r="W85" s="764"/>
      <c r="X85" s="759"/>
      <c r="Z85" s="764"/>
      <c r="AA85" s="759"/>
      <c r="AC85" s="764"/>
      <c r="AD85" s="759"/>
      <c r="AF85" s="764"/>
      <c r="AG85" s="759"/>
      <c r="AI85" s="764"/>
      <c r="AJ85" s="759"/>
      <c r="AL85" s="764"/>
      <c r="AN85" s="962"/>
      <c r="AO85" s="314"/>
      <c r="AP85" s="314"/>
      <c r="AQ85" s="314"/>
      <c r="AR85" s="314"/>
      <c r="AS85" s="314"/>
      <c r="AT85" s="314"/>
      <c r="AU85" s="314"/>
      <c r="AV85" s="314"/>
      <c r="AW85" s="314"/>
      <c r="AX85" s="314"/>
      <c r="AY85" s="314"/>
      <c r="AZ85" s="314"/>
      <c r="BA85" s="314"/>
      <c r="BB85" s="314"/>
      <c r="BC85" s="314"/>
      <c r="BD85" s="314"/>
      <c r="BE85" s="314"/>
      <c r="BF85" s="314"/>
      <c r="BG85" s="314"/>
      <c r="BH85" s="314"/>
      <c r="BI85" s="314"/>
      <c r="BJ85" s="314"/>
      <c r="BK85" s="314"/>
      <c r="BL85" s="314"/>
    </row>
    <row r="86" spans="2:65" x14ac:dyDescent="0.3">
      <c r="B86" s="7" t="s">
        <v>143</v>
      </c>
      <c r="C86" s="906">
        <v>284346</v>
      </c>
      <c r="D86" s="901">
        <v>312531</v>
      </c>
      <c r="E86" s="907">
        <v>205392.56</v>
      </c>
      <c r="F86" s="906">
        <v>261882</v>
      </c>
      <c r="G86" s="901">
        <v>287749</v>
      </c>
      <c r="H86" s="907">
        <v>267582.41629999998</v>
      </c>
      <c r="I86" s="906">
        <v>282883</v>
      </c>
      <c r="J86" s="901">
        <v>287386</v>
      </c>
      <c r="K86" s="907">
        <v>277500.99</v>
      </c>
      <c r="L86" s="906">
        <v>256220</v>
      </c>
      <c r="M86" s="901">
        <v>285338</v>
      </c>
      <c r="N86" s="907">
        <v>274084.53999999998</v>
      </c>
      <c r="O86" s="906">
        <v>272259</v>
      </c>
      <c r="P86" s="901">
        <v>247133</v>
      </c>
      <c r="Q86" s="907">
        <v>309147.43</v>
      </c>
      <c r="R86" s="906">
        <v>250139</v>
      </c>
      <c r="S86" s="901">
        <v>316898</v>
      </c>
      <c r="T86" s="907">
        <v>280763.05</v>
      </c>
      <c r="U86" s="906">
        <v>259080</v>
      </c>
      <c r="V86" s="901">
        <v>266863</v>
      </c>
      <c r="W86" s="907">
        <v>320897.99</v>
      </c>
      <c r="X86" s="906">
        <v>252936</v>
      </c>
      <c r="Y86" s="901">
        <v>256200</v>
      </c>
      <c r="Z86" s="907">
        <v>307897.01000000013</v>
      </c>
      <c r="AA86" s="906">
        <v>272081</v>
      </c>
      <c r="AB86" s="901">
        <v>258540</v>
      </c>
      <c r="AC86" s="907">
        <v>299431.92999999993</v>
      </c>
      <c r="AD86" s="906">
        <v>367853</v>
      </c>
      <c r="AE86" s="901">
        <v>265727</v>
      </c>
      <c r="AF86" s="907">
        <v>335646.20999999996</v>
      </c>
      <c r="AG86" s="906">
        <v>277113</v>
      </c>
      <c r="AH86" s="901">
        <v>41700.74</v>
      </c>
      <c r="AI86" s="907">
        <v>318672.48</v>
      </c>
      <c r="AJ86" s="906">
        <v>402332</v>
      </c>
      <c r="AK86" s="901">
        <v>28348</v>
      </c>
      <c r="AL86" s="907">
        <v>370630.66999999993</v>
      </c>
      <c r="AM86" s="901">
        <v>3570786.8563000001</v>
      </c>
      <c r="AN86" s="906">
        <f t="shared" ref="AN86:BM86" si="20">AN18+AN33+AN47+AN59+AN84</f>
        <v>273333.15000000002</v>
      </c>
      <c r="AO86" s="901">
        <f t="shared" si="20"/>
        <v>358407.6</v>
      </c>
      <c r="AP86" s="901">
        <f t="shared" si="20"/>
        <v>365887.43999999994</v>
      </c>
      <c r="AQ86" s="901">
        <f t="shared" si="20"/>
        <v>327392.65999999997</v>
      </c>
      <c r="AR86" s="901">
        <f t="shared" si="20"/>
        <v>322564.49000000005</v>
      </c>
      <c r="AS86" s="901">
        <f t="shared" si="20"/>
        <v>317272.29000000004</v>
      </c>
      <c r="AT86" s="901">
        <f t="shared" si="20"/>
        <v>336120.56999999995</v>
      </c>
      <c r="AU86" s="901">
        <f t="shared" si="20"/>
        <v>301223.03000000003</v>
      </c>
      <c r="AV86" s="901">
        <f t="shared" si="20"/>
        <v>314623.51</v>
      </c>
      <c r="AW86" s="901">
        <f t="shared" si="20"/>
        <v>295440.81999999995</v>
      </c>
      <c r="AX86" s="901">
        <f t="shared" si="20"/>
        <v>266900.84999999998</v>
      </c>
      <c r="AY86" s="901">
        <f t="shared" si="20"/>
        <v>400648.85</v>
      </c>
      <c r="AZ86" s="901">
        <f t="shared" si="20"/>
        <v>319664.38</v>
      </c>
      <c r="BA86" s="901">
        <f t="shared" si="20"/>
        <v>282302.19999999995</v>
      </c>
      <c r="BB86" s="901">
        <f t="shared" si="20"/>
        <v>372048.3</v>
      </c>
      <c r="BC86" s="901">
        <f t="shared" si="20"/>
        <v>293494.78999999998</v>
      </c>
      <c r="BD86" s="901">
        <f t="shared" si="20"/>
        <v>336115.62</v>
      </c>
      <c r="BE86" s="901">
        <f t="shared" si="20"/>
        <v>340551.97</v>
      </c>
      <c r="BF86" s="901">
        <f t="shared" si="20"/>
        <v>289401.14</v>
      </c>
      <c r="BG86" s="901">
        <f t="shared" si="20"/>
        <v>294694.75</v>
      </c>
      <c r="BH86" s="901">
        <f t="shared" si="20"/>
        <v>307436.79000000004</v>
      </c>
      <c r="BI86" s="901">
        <f t="shared" si="20"/>
        <v>311026.2</v>
      </c>
      <c r="BJ86" s="901">
        <f t="shared" si="20"/>
        <v>0</v>
      </c>
      <c r="BK86" s="901">
        <f t="shared" si="20"/>
        <v>0</v>
      </c>
      <c r="BL86" s="901">
        <f t="shared" si="20"/>
        <v>2771197.36</v>
      </c>
      <c r="BM86" s="901">
        <f t="shared" si="20"/>
        <v>1325020.8499999999</v>
      </c>
    </row>
    <row r="87" spans="2:65" x14ac:dyDescent="0.3">
      <c r="C87" s="759"/>
      <c r="E87" s="764"/>
      <c r="F87" s="759"/>
      <c r="H87" s="764"/>
      <c r="I87" s="759"/>
      <c r="K87" s="764"/>
      <c r="L87" s="759"/>
      <c r="N87" s="764"/>
      <c r="O87" s="759"/>
      <c r="Q87" s="764"/>
      <c r="R87" s="759"/>
      <c r="T87" s="764"/>
      <c r="U87" s="759"/>
      <c r="W87" s="764"/>
      <c r="X87" s="759"/>
      <c r="Z87" s="764"/>
      <c r="AA87" s="759"/>
      <c r="AC87" s="764"/>
      <c r="AD87" s="759"/>
      <c r="AF87" s="764"/>
      <c r="AG87" s="759"/>
      <c r="AI87" s="764"/>
      <c r="AJ87" s="759"/>
      <c r="AL87" s="764"/>
      <c r="AN87" s="759"/>
    </row>
    <row r="88" spans="2:65" x14ac:dyDescent="0.3">
      <c r="AN88" s="314"/>
    </row>
    <row r="89" spans="2:65" x14ac:dyDescent="0.3">
      <c r="AN89" s="314"/>
      <c r="BB89" s="314"/>
      <c r="BC89" s="314"/>
      <c r="BD89" s="314"/>
      <c r="BE89" s="314"/>
      <c r="BF89" s="314"/>
      <c r="BG89" s="314"/>
      <c r="BH89" s="314"/>
      <c r="BI89" s="314"/>
      <c r="BJ89" s="314"/>
      <c r="BK89" s="314"/>
    </row>
  </sheetData>
  <mergeCells count="1">
    <mergeCell ref="B2:B3"/>
  </mergeCell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FF298-5F03-4A3F-8C42-5894E7C64AD1}">
  <sheetPr codeName="Sheet2">
    <tabColor theme="5" tint="0.59999389629810485"/>
  </sheetPr>
  <dimension ref="A1:CG83"/>
  <sheetViews>
    <sheetView zoomScale="90" zoomScaleNormal="90" workbookViewId="0">
      <pane xSplit="2" ySplit="3" topLeftCell="BI51" activePane="bottomRight" state="frozen"/>
      <selection activeCell="AI79" sqref="AI79"/>
      <selection pane="topRight" activeCell="AI79" sqref="AI79"/>
      <selection pane="bottomLeft" activeCell="AI79" sqref="AI79"/>
      <selection pane="bottomRight" activeCell="BR57" sqref="BR57"/>
    </sheetView>
  </sheetViews>
  <sheetFormatPr defaultColWidth="8.88671875" defaultRowHeight="14.4" x14ac:dyDescent="0.3"/>
  <cols>
    <col min="1" max="1" width="34.6640625" hidden="1" customWidth="1"/>
    <col min="2" max="2" width="30" customWidth="1"/>
    <col min="3" max="48" width="13.109375" hidden="1" customWidth="1"/>
    <col min="49" max="49" width="13.109375" hidden="1" customWidth="1" collapsed="1"/>
    <col min="50" max="74" width="13.109375" customWidth="1"/>
    <col min="75" max="75" width="13.109375" hidden="1" customWidth="1"/>
    <col min="76" max="77" width="13.109375" customWidth="1"/>
    <col min="78" max="81" width="13.109375" hidden="1" customWidth="1"/>
    <col min="82" max="84" width="0" hidden="1" customWidth="1"/>
    <col min="85" max="85" width="13.109375" hidden="1" customWidth="1"/>
    <col min="86" max="86" width="0" hidden="1" customWidth="1"/>
    <col min="87" max="87" width="11" bestFit="1" customWidth="1"/>
  </cols>
  <sheetData>
    <row r="1" spans="2:78" ht="15" thickBot="1" x14ac:dyDescent="0.35">
      <c r="C1" s="12"/>
      <c r="D1" s="12"/>
      <c r="E1" s="12"/>
      <c r="F1" s="12"/>
      <c r="G1" s="12"/>
      <c r="H1" s="12"/>
      <c r="I1" s="12"/>
      <c r="J1" s="12"/>
      <c r="K1" s="12"/>
      <c r="L1" s="12"/>
      <c r="M1" s="12"/>
      <c r="N1" s="12"/>
      <c r="O1" s="12"/>
      <c r="AX1" s="29"/>
      <c r="AY1" s="29"/>
    </row>
    <row r="2" spans="2:78" s="3" customFormat="1" ht="15" thickBot="1" x14ac:dyDescent="0.35">
      <c r="B2" s="1793" t="s">
        <v>908</v>
      </c>
      <c r="C2" s="767" t="s">
        <v>14</v>
      </c>
      <c r="D2" s="749" t="s">
        <v>14</v>
      </c>
      <c r="E2" s="5"/>
      <c r="F2" s="5"/>
      <c r="G2" s="767" t="s">
        <v>15</v>
      </c>
      <c r="H2" s="749" t="s">
        <v>15</v>
      </c>
      <c r="I2" s="5"/>
      <c r="J2" s="5"/>
      <c r="K2" s="767" t="s">
        <v>16</v>
      </c>
      <c r="L2" s="749" t="s">
        <v>16</v>
      </c>
      <c r="M2" s="5"/>
      <c r="N2" s="5"/>
      <c r="O2" s="767" t="s">
        <v>17</v>
      </c>
      <c r="P2" s="749" t="s">
        <v>17</v>
      </c>
      <c r="Q2" s="5"/>
      <c r="R2" s="5"/>
      <c r="S2" s="767" t="s">
        <v>913</v>
      </c>
      <c r="T2" s="749" t="s">
        <v>913</v>
      </c>
      <c r="U2" s="5"/>
      <c r="V2" s="5"/>
      <c r="W2" s="767" t="s">
        <v>19</v>
      </c>
      <c r="X2" s="749" t="s">
        <v>19</v>
      </c>
      <c r="Y2" s="5"/>
      <c r="Z2" s="5"/>
      <c r="AA2" s="767" t="s">
        <v>20</v>
      </c>
      <c r="AB2" s="749" t="s">
        <v>20</v>
      </c>
      <c r="AC2" s="5"/>
      <c r="AD2" s="5"/>
      <c r="AE2" s="767" t="s">
        <v>21</v>
      </c>
      <c r="AF2" s="749" t="s">
        <v>21</v>
      </c>
      <c r="AG2" s="5"/>
      <c r="AH2" s="5"/>
      <c r="AI2" s="767" t="s">
        <v>22</v>
      </c>
      <c r="AJ2" s="749" t="s">
        <v>22</v>
      </c>
      <c r="AK2" s="5"/>
      <c r="AL2" s="5"/>
      <c r="AM2" s="767" t="s">
        <v>23</v>
      </c>
      <c r="AN2" s="749" t="s">
        <v>23</v>
      </c>
      <c r="AO2" s="5"/>
      <c r="AP2" s="5"/>
      <c r="AQ2" s="767" t="s">
        <v>24</v>
      </c>
      <c r="AR2" s="749" t="s">
        <v>24</v>
      </c>
      <c r="AS2" s="5"/>
      <c r="AT2" s="5"/>
      <c r="AU2" s="767" t="s">
        <v>25</v>
      </c>
      <c r="AV2" s="749" t="s">
        <v>25</v>
      </c>
      <c r="AW2" s="5"/>
      <c r="AX2" s="5"/>
      <c r="AY2" s="5"/>
      <c r="AZ2" s="5"/>
      <c r="BA2" s="5"/>
      <c r="BB2" s="5"/>
      <c r="BC2" s="5"/>
      <c r="BD2" s="5"/>
      <c r="BE2" s="5"/>
      <c r="BF2" s="5"/>
      <c r="BG2" s="750"/>
      <c r="BH2" s="5"/>
      <c r="BI2" s="751"/>
      <c r="BJ2" s="5"/>
      <c r="BK2" s="5"/>
      <c r="BL2" s="5"/>
      <c r="BM2" s="5"/>
      <c r="BN2" s="5"/>
      <c r="BO2" s="5"/>
      <c r="BP2" s="5"/>
      <c r="BQ2" s="5"/>
      <c r="BR2" s="5"/>
      <c r="BS2" s="5"/>
      <c r="BT2" s="5"/>
      <c r="BU2" s="5"/>
      <c r="BV2" s="5"/>
      <c r="BW2" s="5"/>
      <c r="BX2" s="5"/>
      <c r="BY2"/>
    </row>
    <row r="3" spans="2:78" x14ac:dyDescent="0.3">
      <c r="B3" s="1793"/>
      <c r="C3" s="750" t="s">
        <v>407</v>
      </c>
      <c r="D3" s="751" t="s">
        <v>408</v>
      </c>
      <c r="E3" s="5"/>
      <c r="F3" s="5"/>
      <c r="G3" s="750" t="s">
        <v>407</v>
      </c>
      <c r="H3" s="751" t="s">
        <v>408</v>
      </c>
      <c r="I3" s="5"/>
      <c r="J3" s="5"/>
      <c r="K3" s="750" t="s">
        <v>407</v>
      </c>
      <c r="L3" s="751" t="s">
        <v>408</v>
      </c>
      <c r="M3" s="5"/>
      <c r="N3" s="5"/>
      <c r="O3" s="750" t="s">
        <v>407</v>
      </c>
      <c r="P3" s="751" t="s">
        <v>408</v>
      </c>
      <c r="Q3" s="5"/>
      <c r="R3" s="5"/>
      <c r="S3" s="750" t="s">
        <v>407</v>
      </c>
      <c r="T3" s="751" t="s">
        <v>408</v>
      </c>
      <c r="U3" s="5"/>
      <c r="V3" s="5"/>
      <c r="W3" s="750" t="s">
        <v>407</v>
      </c>
      <c r="X3" s="751" t="s">
        <v>408</v>
      </c>
      <c r="Y3" s="5"/>
      <c r="Z3" s="5"/>
      <c r="AA3" s="750" t="s">
        <v>407</v>
      </c>
      <c r="AB3" s="751" t="s">
        <v>408</v>
      </c>
      <c r="AC3" s="5"/>
      <c r="AD3" s="5"/>
      <c r="AE3" s="750" t="s">
        <v>407</v>
      </c>
      <c r="AF3" s="751" t="s">
        <v>408</v>
      </c>
      <c r="AG3" s="5"/>
      <c r="AH3" s="5"/>
      <c r="AI3" s="750" t="s">
        <v>407</v>
      </c>
      <c r="AJ3" s="751" t="s">
        <v>408</v>
      </c>
      <c r="AK3" s="5"/>
      <c r="AL3" s="5"/>
      <c r="AM3" s="750" t="s">
        <v>407</v>
      </c>
      <c r="AN3" s="751" t="s">
        <v>408</v>
      </c>
      <c r="AO3" s="5"/>
      <c r="AP3" s="5"/>
      <c r="AQ3" s="750" t="s">
        <v>407</v>
      </c>
      <c r="AR3" s="751" t="s">
        <v>408</v>
      </c>
      <c r="AS3" s="5"/>
      <c r="AT3" s="5"/>
      <c r="AU3" s="750" t="s">
        <v>407</v>
      </c>
      <c r="AV3" s="751" t="s">
        <v>408</v>
      </c>
      <c r="AW3" s="5"/>
      <c r="AX3" s="773">
        <v>44562</v>
      </c>
      <c r="AY3" s="773">
        <v>44593</v>
      </c>
      <c r="AZ3" s="775">
        <v>44621</v>
      </c>
      <c r="BA3" s="773">
        <v>44652</v>
      </c>
      <c r="BB3" s="774">
        <v>44682</v>
      </c>
      <c r="BC3" s="775">
        <v>44713</v>
      </c>
      <c r="BD3" s="775">
        <v>44743</v>
      </c>
      <c r="BE3" s="774">
        <v>44774</v>
      </c>
      <c r="BF3" s="775">
        <v>44805</v>
      </c>
      <c r="BG3" s="772">
        <v>44856</v>
      </c>
      <c r="BH3" s="799">
        <v>44887</v>
      </c>
      <c r="BI3" s="772">
        <v>44917</v>
      </c>
      <c r="BJ3" s="772">
        <v>44948</v>
      </c>
      <c r="BK3" s="772">
        <v>44979</v>
      </c>
      <c r="BL3" s="772">
        <v>45007</v>
      </c>
      <c r="BM3" s="799">
        <v>45017</v>
      </c>
      <c r="BN3" s="772">
        <f>DATE(YEAR(BM3),MONTH(BM3)+1,1)</f>
        <v>45047</v>
      </c>
      <c r="BO3" s="772">
        <f t="shared" ref="BO3:BU3" si="0">DATE(YEAR(BN3),MONTH(BN3)+1,1)</f>
        <v>45078</v>
      </c>
      <c r="BP3" s="772">
        <f t="shared" si="0"/>
        <v>45108</v>
      </c>
      <c r="BQ3" s="772">
        <f t="shared" si="0"/>
        <v>45139</v>
      </c>
      <c r="BR3" s="772">
        <f t="shared" si="0"/>
        <v>45170</v>
      </c>
      <c r="BS3" s="772">
        <f t="shared" si="0"/>
        <v>45200</v>
      </c>
      <c r="BT3" s="772">
        <f t="shared" si="0"/>
        <v>45231</v>
      </c>
      <c r="BU3" s="772">
        <f t="shared" si="0"/>
        <v>45261</v>
      </c>
      <c r="BV3" s="5" t="s">
        <v>892</v>
      </c>
      <c r="BW3" s="772" t="s">
        <v>408</v>
      </c>
      <c r="BX3" s="5" t="s">
        <v>525</v>
      </c>
      <c r="BZ3" s="3"/>
    </row>
    <row r="4" spans="2:78" ht="18" customHeight="1" x14ac:dyDescent="0.3">
      <c r="B4" s="7" t="s">
        <v>48</v>
      </c>
      <c r="C4" s="752"/>
      <c r="D4" s="753"/>
      <c r="E4" s="1"/>
      <c r="F4" s="1"/>
      <c r="G4" s="752"/>
      <c r="H4" s="753"/>
      <c r="I4" s="1"/>
      <c r="J4" s="1"/>
      <c r="K4" s="752"/>
      <c r="L4" s="753"/>
      <c r="M4" s="1"/>
      <c r="N4" s="1"/>
      <c r="O4" s="752"/>
      <c r="P4" s="753"/>
      <c r="Q4" s="1"/>
      <c r="R4" s="1"/>
      <c r="S4" s="752"/>
      <c r="T4" s="753"/>
      <c r="U4" s="1"/>
      <c r="V4" s="1"/>
      <c r="W4" s="752"/>
      <c r="X4" s="753"/>
      <c r="Y4" s="1"/>
      <c r="Z4" s="1"/>
      <c r="AA4" s="752"/>
      <c r="AB4" s="753"/>
      <c r="AC4" s="1"/>
      <c r="AD4" s="1"/>
      <c r="AE4" s="752"/>
      <c r="AF4" s="753"/>
      <c r="AG4" s="1"/>
      <c r="AH4" s="1"/>
      <c r="AI4" s="752"/>
      <c r="AJ4" s="753"/>
      <c r="AK4" s="1"/>
      <c r="AL4" s="1"/>
      <c r="AM4" s="752"/>
      <c r="AN4" s="753"/>
      <c r="AO4" s="1"/>
      <c r="AP4" s="1"/>
      <c r="AQ4" s="752"/>
      <c r="AR4" s="753"/>
      <c r="AS4" s="1"/>
      <c r="AT4" s="1"/>
      <c r="AU4" s="752"/>
      <c r="AV4" s="753"/>
      <c r="AW4" s="1"/>
      <c r="AX4" s="752"/>
      <c r="AY4" s="1"/>
      <c r="AZ4" s="1"/>
      <c r="BA4" s="1"/>
      <c r="BB4" s="1"/>
      <c r="BC4" s="1"/>
      <c r="BD4" s="1"/>
      <c r="BE4" s="1"/>
      <c r="BF4" s="1"/>
      <c r="BG4" s="1"/>
      <c r="BH4" s="1"/>
      <c r="BI4" s="1"/>
      <c r="BJ4" s="1"/>
      <c r="BK4" s="1"/>
      <c r="BL4" s="1"/>
      <c r="BM4" s="1"/>
      <c r="BN4" s="1"/>
      <c r="BO4" s="1"/>
      <c r="BP4" s="1"/>
      <c r="BQ4" s="1"/>
      <c r="BR4" s="1"/>
      <c r="BS4" s="1"/>
      <c r="BT4" s="1"/>
      <c r="BU4" s="1"/>
      <c r="BV4" s="1"/>
      <c r="BW4" s="1"/>
      <c r="BX4" s="1"/>
    </row>
    <row r="5" spans="2:78" x14ac:dyDescent="0.3">
      <c r="B5" t="s">
        <v>753</v>
      </c>
      <c r="C5" s="780"/>
      <c r="D5" s="794"/>
      <c r="E5" s="606"/>
      <c r="F5" s="606"/>
      <c r="G5" s="780"/>
      <c r="H5" s="794">
        <v>249.08</v>
      </c>
      <c r="I5" s="338"/>
      <c r="J5" s="338"/>
      <c r="K5" s="780"/>
      <c r="L5" s="794">
        <v>1019.9</v>
      </c>
      <c r="M5" s="336"/>
      <c r="N5" s="336"/>
      <c r="O5" s="780"/>
      <c r="P5" s="794">
        <v>329.1</v>
      </c>
      <c r="Q5" s="338"/>
      <c r="R5" s="338"/>
      <c r="S5" s="780"/>
      <c r="T5" s="794"/>
      <c r="U5" s="338"/>
      <c r="V5" s="338"/>
      <c r="W5" s="780"/>
      <c r="X5" s="794">
        <v>658.25999999999885</v>
      </c>
      <c r="Y5" s="336"/>
      <c r="Z5" s="336"/>
      <c r="AA5" s="780"/>
      <c r="AB5" s="794"/>
      <c r="AC5" s="338"/>
      <c r="AD5" s="338"/>
      <c r="AE5" s="780"/>
      <c r="AF5" s="794">
        <v>479.66</v>
      </c>
      <c r="AG5" s="338"/>
      <c r="AH5" s="338"/>
      <c r="AI5" s="780"/>
      <c r="AJ5" s="794">
        <v>1233.620000000001</v>
      </c>
      <c r="AK5" s="336"/>
      <c r="AL5" s="336"/>
      <c r="AM5" s="780"/>
      <c r="AN5" s="794">
        <v>444.22999999999956</v>
      </c>
      <c r="AO5" s="338"/>
      <c r="AP5" s="338"/>
      <c r="AQ5" s="780"/>
      <c r="AR5" s="881">
        <v>444.23000000000047</v>
      </c>
      <c r="AS5" s="338"/>
      <c r="AT5" s="338"/>
      <c r="AU5" s="780"/>
      <c r="AV5" s="881">
        <v>444.22999999999865</v>
      </c>
      <c r="AW5" s="886"/>
      <c r="AX5" s="1000">
        <v>444.04</v>
      </c>
      <c r="AY5" s="1001">
        <v>702.08</v>
      </c>
      <c r="AZ5" s="1001">
        <v>523.26</v>
      </c>
      <c r="BA5" s="1001">
        <v>709.46</v>
      </c>
      <c r="BB5" s="1001">
        <v>709</v>
      </c>
      <c r="BC5" s="1001">
        <v>362.09</v>
      </c>
      <c r="BD5" s="1001">
        <v>444.2</v>
      </c>
      <c r="BE5" s="1001">
        <v>735.25</v>
      </c>
      <c r="BF5" s="1001">
        <v>592.33000000000004</v>
      </c>
      <c r="BG5" s="1001">
        <v>535</v>
      </c>
      <c r="BH5" s="1001">
        <v>638.83000000000004</v>
      </c>
      <c r="BI5" s="1001">
        <v>587.20000000000005</v>
      </c>
      <c r="BJ5" s="1001">
        <f>'MXD P&amp;L'!N113</f>
        <v>30.03</v>
      </c>
      <c r="BK5" s="1001">
        <f>'MXD P&amp;L'!O113</f>
        <v>443.46</v>
      </c>
      <c r="BL5" s="1001">
        <f>'MXD P&amp;L'!P113</f>
        <v>0</v>
      </c>
      <c r="BM5" s="1001">
        <f>'MXD P&amp;L'!Q113</f>
        <v>0</v>
      </c>
      <c r="BN5" s="1001">
        <f>'MXD P&amp;L'!R113</f>
        <v>1989.65</v>
      </c>
      <c r="BO5" s="1001">
        <f>'MXD P&amp;L'!S113</f>
        <v>0</v>
      </c>
      <c r="BP5" s="1001">
        <f>'MXD P&amp;L'!T113</f>
        <v>0</v>
      </c>
      <c r="BQ5" s="1001">
        <f>'MXD P&amp;L'!U111</f>
        <v>309562.62</v>
      </c>
      <c r="BR5" s="1001">
        <f>'MXD P&amp;L'!V111</f>
        <v>274685.42</v>
      </c>
      <c r="BS5" s="1001">
        <f>'MXD P&amp;L'!W111</f>
        <v>486198.6</v>
      </c>
      <c r="BT5" s="1001">
        <f>'MXD P&amp;L'!X111</f>
        <v>0</v>
      </c>
      <c r="BU5" s="1001">
        <f>'MXD P&amp;L'!Y112</f>
        <v>0</v>
      </c>
      <c r="BV5" s="1003">
        <f>SUM(BJ5:BU5)</f>
        <v>1072909.7799999998</v>
      </c>
      <c r="BW5" s="1002">
        <v>5302.3099999999977</v>
      </c>
      <c r="BX5" s="1004">
        <f t="shared" ref="BX5:BX37" si="1">SUM(AX5:BA5)</f>
        <v>2378.84</v>
      </c>
    </row>
    <row r="6" spans="2:78" x14ac:dyDescent="0.3">
      <c r="B6" t="s">
        <v>754</v>
      </c>
      <c r="C6" s="778">
        <v>555.5625</v>
      </c>
      <c r="D6" s="792">
        <v>556</v>
      </c>
      <c r="E6" s="604"/>
      <c r="F6" s="604"/>
      <c r="G6" s="778">
        <v>555.5625</v>
      </c>
      <c r="H6" s="792">
        <v>556</v>
      </c>
      <c r="I6" s="337"/>
      <c r="J6" s="337"/>
      <c r="K6" s="778">
        <v>555.5625</v>
      </c>
      <c r="L6" s="792">
        <v>556</v>
      </c>
      <c r="M6" s="337"/>
      <c r="N6" s="337"/>
      <c r="O6" s="778">
        <v>555.5625</v>
      </c>
      <c r="P6" s="792">
        <v>556</v>
      </c>
      <c r="Q6" s="337"/>
      <c r="R6" s="337"/>
      <c r="S6" s="778">
        <v>555.5625</v>
      </c>
      <c r="T6" s="792">
        <v>556</v>
      </c>
      <c r="U6" s="337"/>
      <c r="V6" s="337"/>
      <c r="W6" s="778">
        <v>555.5625</v>
      </c>
      <c r="X6" s="792">
        <v>556</v>
      </c>
      <c r="Y6" s="337"/>
      <c r="Z6" s="337"/>
      <c r="AA6" s="778">
        <v>555.5625</v>
      </c>
      <c r="AB6" s="792">
        <v>556</v>
      </c>
      <c r="AC6" s="337"/>
      <c r="AD6" s="337"/>
      <c r="AE6" s="778">
        <v>555.5625</v>
      </c>
      <c r="AF6" s="792">
        <v>556</v>
      </c>
      <c r="AG6" s="337"/>
      <c r="AH6" s="337"/>
      <c r="AI6" s="778">
        <v>555.5625</v>
      </c>
      <c r="AJ6" s="792">
        <v>556</v>
      </c>
      <c r="AK6" s="337"/>
      <c r="AL6" s="337"/>
      <c r="AM6" s="778">
        <v>555.5625</v>
      </c>
      <c r="AN6" s="792">
        <v>556</v>
      </c>
      <c r="AO6" s="337"/>
      <c r="AP6" s="337"/>
      <c r="AQ6" s="778">
        <v>555.5625</v>
      </c>
      <c r="AR6" s="880">
        <v>556</v>
      </c>
      <c r="AS6" s="337"/>
      <c r="AT6" s="337"/>
      <c r="AU6" s="778">
        <v>555.5625</v>
      </c>
      <c r="AV6" s="880">
        <v>556</v>
      </c>
      <c r="AW6" s="337"/>
      <c r="AX6" s="1000">
        <v>556</v>
      </c>
      <c r="AY6" s="1001">
        <v>556</v>
      </c>
      <c r="AZ6" s="1001">
        <v>556</v>
      </c>
      <c r="BA6" s="1001">
        <v>556</v>
      </c>
      <c r="BB6" s="1001">
        <v>556</v>
      </c>
      <c r="BC6" s="1001">
        <v>556</v>
      </c>
      <c r="BD6" s="1001">
        <v>556</v>
      </c>
      <c r="BE6" s="1001">
        <v>556</v>
      </c>
      <c r="BF6" s="1001">
        <v>556</v>
      </c>
      <c r="BG6" s="1001">
        <v>556</v>
      </c>
      <c r="BH6" s="1001">
        <v>556</v>
      </c>
      <c r="BI6" s="1001">
        <v>556</v>
      </c>
      <c r="BJ6" s="1001">
        <f>'MXD P&amp;L'!N114</f>
        <v>556</v>
      </c>
      <c r="BK6" s="1001">
        <f>'MXD P&amp;L'!O114</f>
        <v>556</v>
      </c>
      <c r="BL6" s="1001">
        <f>'MXD P&amp;L'!P114</f>
        <v>556</v>
      </c>
      <c r="BM6" s="1001">
        <f>'MXD P&amp;L'!Q114</f>
        <v>556</v>
      </c>
      <c r="BN6" s="1001">
        <f>'MXD P&amp;L'!R114</f>
        <v>556</v>
      </c>
      <c r="BO6" s="1001">
        <f>'MXD P&amp;L'!S114</f>
        <v>556</v>
      </c>
      <c r="BP6" s="1001">
        <f>'MXD P&amp;L'!T114</f>
        <v>556</v>
      </c>
      <c r="BQ6" s="1001">
        <f>'MXD P&amp;L'!U112</f>
        <v>308771.90999999997</v>
      </c>
      <c r="BR6" s="1001">
        <f>'MXD P&amp;L'!V112</f>
        <v>274685.42</v>
      </c>
      <c r="BS6" s="1001">
        <f>'MXD P&amp;L'!W112</f>
        <v>481198.6</v>
      </c>
      <c r="BT6" s="1001">
        <f>'MXD P&amp;L'!X112</f>
        <v>0</v>
      </c>
      <c r="BU6" s="1001">
        <f>'MXD P&amp;L'!Y113</f>
        <v>0</v>
      </c>
      <c r="BV6" s="1003">
        <f t="shared" ref="BV6:BV37" si="2">SUM(BJ6:BU6)</f>
        <v>1068547.93</v>
      </c>
      <c r="BW6" s="1002">
        <v>5303.31</v>
      </c>
      <c r="BX6" s="1004">
        <f t="shared" si="1"/>
        <v>2224</v>
      </c>
    </row>
    <row r="7" spans="2:78" x14ac:dyDescent="0.3">
      <c r="B7" t="s">
        <v>755</v>
      </c>
      <c r="C7" s="778"/>
      <c r="D7" s="792"/>
      <c r="E7" s="604"/>
      <c r="F7" s="604"/>
      <c r="G7" s="778"/>
      <c r="H7" s="792"/>
      <c r="I7" s="337"/>
      <c r="J7" s="337"/>
      <c r="K7" s="778"/>
      <c r="L7" s="792"/>
      <c r="M7" s="337"/>
      <c r="N7" s="337"/>
      <c r="O7" s="778"/>
      <c r="P7" s="792"/>
      <c r="Q7" s="337"/>
      <c r="R7" s="337"/>
      <c r="S7" s="778"/>
      <c r="T7" s="792">
        <v>1385.5</v>
      </c>
      <c r="U7" s="337"/>
      <c r="V7" s="337"/>
      <c r="W7" s="778"/>
      <c r="X7" s="792">
        <v>230.9200000000001</v>
      </c>
      <c r="Y7" s="337"/>
      <c r="Z7" s="337"/>
      <c r="AA7" s="778"/>
      <c r="AB7" s="792">
        <v>230.91999999999979</v>
      </c>
      <c r="AC7" s="337"/>
      <c r="AD7" s="337"/>
      <c r="AE7" s="778"/>
      <c r="AF7" s="792">
        <v>230.9200000000003</v>
      </c>
      <c r="AG7" s="337"/>
      <c r="AH7" s="337"/>
      <c r="AI7" s="778"/>
      <c r="AJ7" s="792">
        <v>230.91999999999959</v>
      </c>
      <c r="AK7" s="337"/>
      <c r="AL7" s="337"/>
      <c r="AM7" s="778"/>
      <c r="AN7" s="792">
        <v>230.9200000000001</v>
      </c>
      <c r="AO7" s="337"/>
      <c r="AP7" s="337"/>
      <c r="AQ7" s="778"/>
      <c r="AR7" s="880">
        <v>230.9200000000001</v>
      </c>
      <c r="AS7" s="337"/>
      <c r="AT7" s="337"/>
      <c r="AU7" s="778">
        <v>230.9200000000001</v>
      </c>
      <c r="AV7" s="880">
        <v>230.9200000000001</v>
      </c>
      <c r="AW7" s="337"/>
      <c r="AX7" s="1000">
        <v>230.92</v>
      </c>
      <c r="AY7" s="1001">
        <v>230.92</v>
      </c>
      <c r="AZ7" s="1001">
        <v>230.92</v>
      </c>
      <c r="BA7" s="1001">
        <v>230.92</v>
      </c>
      <c r="BB7" s="1001">
        <v>228.89</v>
      </c>
      <c r="BC7" s="1001">
        <v>228.89</v>
      </c>
      <c r="BD7" s="1001">
        <v>228.89</v>
      </c>
      <c r="BE7" s="1001">
        <v>228.89</v>
      </c>
      <c r="BF7" s="1001">
        <v>228.89</v>
      </c>
      <c r="BG7" s="1001">
        <v>228.89</v>
      </c>
      <c r="BH7" s="1001">
        <v>228.89</v>
      </c>
      <c r="BI7" s="1001">
        <v>228.89</v>
      </c>
      <c r="BJ7" s="1001">
        <f>'MXD P&amp;L'!N115</f>
        <v>228.89</v>
      </c>
      <c r="BK7" s="1001">
        <f>'MXD P&amp;L'!O115</f>
        <v>228.89</v>
      </c>
      <c r="BL7" s="1001">
        <f>'MXD P&amp;L'!P115</f>
        <v>228.89</v>
      </c>
      <c r="BM7" s="1001">
        <f>'MXD P&amp;L'!Q115</f>
        <v>228.89</v>
      </c>
      <c r="BN7" s="1001">
        <f>'MXD P&amp;L'!R115</f>
        <v>228.89</v>
      </c>
      <c r="BO7" s="1001">
        <f>'MXD P&amp;L'!S115</f>
        <v>228.89</v>
      </c>
      <c r="BP7" s="1001">
        <f>'MXD P&amp;L'!T115</f>
        <v>978.89</v>
      </c>
      <c r="BQ7" s="1001">
        <f>'MXD P&amp;L'!U113</f>
        <v>0</v>
      </c>
      <c r="BR7" s="1001">
        <f>'MXD P&amp;L'!V113</f>
        <v>0</v>
      </c>
      <c r="BS7" s="1001">
        <f>'MXD P&amp;L'!W113</f>
        <v>0</v>
      </c>
      <c r="BT7" s="1001">
        <f>'MXD P&amp;L'!X113</f>
        <v>0</v>
      </c>
      <c r="BU7" s="1001">
        <f>'MXD P&amp;L'!Y114</f>
        <v>0</v>
      </c>
      <c r="BV7" s="1003">
        <f t="shared" si="2"/>
        <v>2352.2299999999996</v>
      </c>
      <c r="BW7" s="1002">
        <v>5304.31</v>
      </c>
      <c r="BX7" s="1004">
        <f t="shared" si="1"/>
        <v>923.68</v>
      </c>
    </row>
    <row r="8" spans="2:78" x14ac:dyDescent="0.3">
      <c r="B8" t="s">
        <v>756</v>
      </c>
      <c r="C8" s="778">
        <v>10916</v>
      </c>
      <c r="D8" s="792">
        <v>13809.84</v>
      </c>
      <c r="E8" s="604"/>
      <c r="F8" s="604"/>
      <c r="G8" s="778">
        <v>14416</v>
      </c>
      <c r="H8" s="792">
        <v>13269.52</v>
      </c>
      <c r="I8" s="337"/>
      <c r="J8" s="337"/>
      <c r="K8" s="778">
        <v>14416</v>
      </c>
      <c r="L8" s="792">
        <v>15259.939999999999</v>
      </c>
      <c r="M8" s="337"/>
      <c r="N8" s="337"/>
      <c r="O8" s="778">
        <v>14416</v>
      </c>
      <c r="P8" s="792">
        <v>18058.020000000011</v>
      </c>
      <c r="Q8" s="337"/>
      <c r="R8" s="337"/>
      <c r="S8" s="778">
        <v>14416</v>
      </c>
      <c r="T8" s="792">
        <v>14740.699999999988</v>
      </c>
      <c r="U8" s="337"/>
      <c r="V8" s="337"/>
      <c r="W8" s="778"/>
      <c r="X8" s="792">
        <v>15442.629999999997</v>
      </c>
      <c r="Y8" s="337"/>
      <c r="Z8" s="337"/>
      <c r="AA8" s="778"/>
      <c r="AB8" s="792">
        <v>15692.650000000005</v>
      </c>
      <c r="AC8" s="337"/>
      <c r="AD8" s="337"/>
      <c r="AE8" s="778"/>
      <c r="AF8" s="792">
        <v>15442.630000000008</v>
      </c>
      <c r="AG8" s="337"/>
      <c r="AH8" s="337"/>
      <c r="AI8" s="778"/>
      <c r="AJ8" s="792">
        <v>15442.630000000001</v>
      </c>
      <c r="AK8" s="337"/>
      <c r="AL8" s="337"/>
      <c r="AM8" s="778"/>
      <c r="AN8" s="792">
        <v>14740.699999999979</v>
      </c>
      <c r="AO8" s="337"/>
      <c r="AP8" s="337"/>
      <c r="AQ8" s="778"/>
      <c r="AR8" s="880">
        <v>10842.629999999997</v>
      </c>
      <c r="AS8" s="337"/>
      <c r="AT8" s="337"/>
      <c r="AU8" s="778"/>
      <c r="AV8" s="880">
        <v>11544.590000000022</v>
      </c>
      <c r="AW8" s="337"/>
      <c r="AX8" s="1000">
        <v>10540.69</v>
      </c>
      <c r="AY8" s="1001">
        <v>11788.73</v>
      </c>
      <c r="AZ8" s="1001">
        <v>14301.69</v>
      </c>
      <c r="BA8" s="1001">
        <v>12269.58</v>
      </c>
      <c r="BB8" s="1001">
        <v>12591.94</v>
      </c>
      <c r="BC8" s="1001">
        <v>12591.94</v>
      </c>
      <c r="BD8" s="1001">
        <v>12019.59</v>
      </c>
      <c r="BE8" s="1001">
        <v>13164.3</v>
      </c>
      <c r="BF8" s="1001">
        <v>12591.94</v>
      </c>
      <c r="BG8" s="1001">
        <v>12019.58</v>
      </c>
      <c r="BH8" s="1001">
        <v>12591.94</v>
      </c>
      <c r="BI8" s="1001">
        <v>12591.95</v>
      </c>
      <c r="BJ8" s="1001">
        <f>'MXD P&amp;L'!N116</f>
        <v>10066.18</v>
      </c>
      <c r="BK8" s="1001">
        <f>'MXD P&amp;L'!O116</f>
        <v>4230.76</v>
      </c>
      <c r="BL8" s="1001">
        <f>'MXD P&amp;L'!P116</f>
        <v>5119.2299999999996</v>
      </c>
      <c r="BM8" s="1001">
        <f>'MXD P&amp;L'!Q116</f>
        <v>4400</v>
      </c>
      <c r="BN8" s="1001">
        <f>'MXD P&amp;L'!R116</f>
        <v>5060</v>
      </c>
      <c r="BO8" s="1001">
        <f>'MXD P&amp;L'!S116</f>
        <v>4840</v>
      </c>
      <c r="BP8" s="1001">
        <f>'MXD P&amp;L'!T116</f>
        <v>4400</v>
      </c>
      <c r="BQ8" s="1001">
        <f>'MXD P&amp;L'!U114</f>
        <v>556</v>
      </c>
      <c r="BR8" s="1001">
        <f>'MXD P&amp;L'!V114</f>
        <v>556</v>
      </c>
      <c r="BS8" s="1001">
        <f>'MXD P&amp;L'!W114</f>
        <v>556</v>
      </c>
      <c r="BT8" s="1001">
        <f>'MXD P&amp;L'!X114</f>
        <v>0</v>
      </c>
      <c r="BU8" s="1001">
        <f>'MXD P&amp;L'!Y115</f>
        <v>0</v>
      </c>
      <c r="BV8" s="1003">
        <f t="shared" si="2"/>
        <v>39784.17</v>
      </c>
      <c r="BW8" s="1002">
        <v>5305.31</v>
      </c>
      <c r="BX8" s="1004">
        <f t="shared" si="1"/>
        <v>48900.69</v>
      </c>
    </row>
    <row r="9" spans="2:78" x14ac:dyDescent="0.3">
      <c r="B9" t="s">
        <v>757</v>
      </c>
      <c r="C9" s="778">
        <v>835.07399999999996</v>
      </c>
      <c r="D9" s="792">
        <v>1100.52</v>
      </c>
      <c r="E9" s="604"/>
      <c r="F9" s="604"/>
      <c r="G9" s="778">
        <v>1102.8240000000001</v>
      </c>
      <c r="H9" s="792">
        <v>991.8</v>
      </c>
      <c r="I9" s="337"/>
      <c r="J9" s="337"/>
      <c r="K9" s="778">
        <v>1102.8240000000001</v>
      </c>
      <c r="L9" s="792">
        <v>1108.75</v>
      </c>
      <c r="M9" s="337"/>
      <c r="N9" s="337"/>
      <c r="O9" s="778">
        <v>1102.8240000000001</v>
      </c>
      <c r="P9" s="792">
        <v>1366.2000000000003</v>
      </c>
      <c r="Q9" s="337"/>
      <c r="R9" s="337"/>
      <c r="S9" s="778">
        <v>1102.8240000000001</v>
      </c>
      <c r="T9" s="792">
        <v>1056.21</v>
      </c>
      <c r="U9" s="337"/>
      <c r="V9" s="337"/>
      <c r="W9" s="778">
        <v>0</v>
      </c>
      <c r="X9" s="792">
        <v>1111.9200000000008</v>
      </c>
      <c r="Y9" s="337"/>
      <c r="Z9" s="337"/>
      <c r="AA9" s="778">
        <v>0</v>
      </c>
      <c r="AB9" s="792">
        <v>1092.4599999999991</v>
      </c>
      <c r="AC9" s="337"/>
      <c r="AD9" s="337"/>
      <c r="AE9" s="778">
        <v>0</v>
      </c>
      <c r="AF9" s="792">
        <v>1111.9100000000001</v>
      </c>
      <c r="AG9" s="337"/>
      <c r="AH9" s="337"/>
      <c r="AI9" s="778">
        <v>0</v>
      </c>
      <c r="AJ9" s="792">
        <v>1111.9199999999998</v>
      </c>
      <c r="AK9" s="337"/>
      <c r="AL9" s="337"/>
      <c r="AM9" s="778">
        <v>0</v>
      </c>
      <c r="AN9" s="792">
        <v>1153.4900000000005</v>
      </c>
      <c r="AO9" s="337"/>
      <c r="AP9" s="337"/>
      <c r="AQ9" s="778">
        <v>0</v>
      </c>
      <c r="AR9" s="880">
        <v>763.49999999999977</v>
      </c>
      <c r="AS9" s="337"/>
      <c r="AT9" s="337"/>
      <c r="AU9" s="778">
        <v>0</v>
      </c>
      <c r="AV9" s="880">
        <v>936.86000000000104</v>
      </c>
      <c r="AW9" s="337"/>
      <c r="AX9" s="1000">
        <v>793.34</v>
      </c>
      <c r="AY9" s="1001">
        <v>2073.3000000000002</v>
      </c>
      <c r="AZ9" s="1001">
        <v>1064.71</v>
      </c>
      <c r="BA9" s="1001">
        <v>877.24</v>
      </c>
      <c r="BB9" s="1001">
        <v>1141.07</v>
      </c>
      <c r="BC9" s="1001">
        <v>897.57</v>
      </c>
      <c r="BD9" s="1001">
        <v>913.11</v>
      </c>
      <c r="BE9" s="1001">
        <v>941.63</v>
      </c>
      <c r="BF9" s="1001">
        <v>897.57</v>
      </c>
      <c r="BG9" s="1001">
        <v>1024.07</v>
      </c>
      <c r="BH9" s="1001">
        <v>1027.6199999999999</v>
      </c>
      <c r="BI9" s="1001">
        <v>1180.8699999999999</v>
      </c>
      <c r="BJ9" s="1001">
        <f>'MXD P&amp;L'!N117</f>
        <v>999.18</v>
      </c>
      <c r="BK9" s="1001">
        <f>'MXD P&amp;L'!O117</f>
        <v>445.79</v>
      </c>
      <c r="BL9" s="1001">
        <f>'MXD P&amp;L'!P117</f>
        <v>416.16</v>
      </c>
      <c r="BM9" s="1001">
        <f>'MXD P&amp;L'!Q117</f>
        <v>331.46</v>
      </c>
      <c r="BN9" s="1001">
        <f>'MXD P&amp;L'!R117</f>
        <v>382.28</v>
      </c>
      <c r="BO9" s="1001">
        <f>'MXD P&amp;L'!S117</f>
        <v>361.67</v>
      </c>
      <c r="BP9" s="1001">
        <f>'MXD P&amp;L'!T117</f>
        <v>465.22</v>
      </c>
      <c r="BQ9" s="1001">
        <f>'MXD P&amp;L'!U115</f>
        <v>228.89</v>
      </c>
      <c r="BR9" s="1001">
        <f>'MXD P&amp;L'!V115</f>
        <v>228.89</v>
      </c>
      <c r="BS9" s="1001">
        <f>'MXD P&amp;L'!W115</f>
        <v>228.89</v>
      </c>
      <c r="BT9" s="1001">
        <f>'MXD P&amp;L'!X115</f>
        <v>0</v>
      </c>
      <c r="BU9" s="1001">
        <f>'MXD P&amp;L'!Y116</f>
        <v>0</v>
      </c>
      <c r="BV9" s="1003">
        <f t="shared" si="2"/>
        <v>4088.43</v>
      </c>
      <c r="BW9" s="1002">
        <v>5306.31</v>
      </c>
      <c r="BX9" s="1004">
        <f t="shared" si="1"/>
        <v>4808.59</v>
      </c>
    </row>
    <row r="10" spans="2:78" x14ac:dyDescent="0.3">
      <c r="B10" t="s">
        <v>758</v>
      </c>
      <c r="C10" s="778">
        <v>528.26</v>
      </c>
      <c r="D10" s="792">
        <v>534.69000000000005</v>
      </c>
      <c r="E10" s="604"/>
      <c r="F10" s="604"/>
      <c r="G10" s="778">
        <v>792.39</v>
      </c>
      <c r="H10" s="792">
        <v>534.67999999999984</v>
      </c>
      <c r="I10" s="337"/>
      <c r="J10" s="337"/>
      <c r="K10" s="778">
        <v>792.39</v>
      </c>
      <c r="L10" s="792">
        <v>534.68000000000006</v>
      </c>
      <c r="M10" s="337"/>
      <c r="N10" s="337"/>
      <c r="O10" s="778">
        <v>792.39</v>
      </c>
      <c r="P10" s="792">
        <v>534.68000000000006</v>
      </c>
      <c r="Q10" s="337"/>
      <c r="R10" s="337"/>
      <c r="S10" s="778">
        <v>792.39</v>
      </c>
      <c r="T10" s="792">
        <v>1069.3399999999999</v>
      </c>
      <c r="U10" s="337"/>
      <c r="V10" s="337"/>
      <c r="W10" s="778">
        <v>792.39</v>
      </c>
      <c r="X10" s="792">
        <v>802.00999999999976</v>
      </c>
      <c r="Y10" s="337"/>
      <c r="Z10" s="337"/>
      <c r="AA10" s="778">
        <v>792.39</v>
      </c>
      <c r="AB10" s="792">
        <v>802.01000000000022</v>
      </c>
      <c r="AC10" s="337"/>
      <c r="AD10" s="337"/>
      <c r="AE10" s="778">
        <v>792.39</v>
      </c>
      <c r="AF10" s="792">
        <v>802.01000000000022</v>
      </c>
      <c r="AG10" s="337"/>
      <c r="AH10" s="337"/>
      <c r="AI10" s="778">
        <v>792.39</v>
      </c>
      <c r="AJ10" s="792">
        <v>802.00999999999931</v>
      </c>
      <c r="AK10" s="337"/>
      <c r="AL10" s="337"/>
      <c r="AM10" s="778">
        <v>792.39</v>
      </c>
      <c r="AN10" s="792">
        <v>802.01000000000022</v>
      </c>
      <c r="AO10" s="337"/>
      <c r="AP10" s="337"/>
      <c r="AQ10" s="778">
        <v>792.39</v>
      </c>
      <c r="AR10" s="880">
        <v>802.01000000000022</v>
      </c>
      <c r="AS10" s="337"/>
      <c r="AT10" s="337"/>
      <c r="AU10" s="778">
        <v>792.39</v>
      </c>
      <c r="AV10" s="880">
        <v>802.00999999999931</v>
      </c>
      <c r="AW10" s="337"/>
      <c r="AX10" s="1005">
        <v>29.52</v>
      </c>
      <c r="AY10" s="1006">
        <v>564.20000000000005</v>
      </c>
      <c r="AZ10" s="1006">
        <v>564.20000000000005</v>
      </c>
      <c r="BA10" s="1006">
        <v>557.79999999999995</v>
      </c>
      <c r="BB10" s="1006">
        <v>557.79999999999995</v>
      </c>
      <c r="BC10" s="1006">
        <v>557.79999999999995</v>
      </c>
      <c r="BD10" s="1006">
        <v>557.79999999999995</v>
      </c>
      <c r="BE10" s="1006">
        <v>564.20000000000005</v>
      </c>
      <c r="BF10" s="1006">
        <v>564.20000000000005</v>
      </c>
      <c r="BG10" s="1006">
        <v>564.20000000000005</v>
      </c>
      <c r="BH10" s="1006">
        <v>564.20000000000005</v>
      </c>
      <c r="BI10" s="1006">
        <v>564.20000000000005</v>
      </c>
      <c r="BJ10" s="1001">
        <f>'MXD P&amp;L'!N118</f>
        <v>564.6</v>
      </c>
      <c r="BK10" s="1001">
        <f>'MXD P&amp;L'!O118</f>
        <v>1640.75</v>
      </c>
      <c r="BL10" s="1001">
        <f>'MXD P&amp;L'!P118</f>
        <v>1640.75</v>
      </c>
      <c r="BM10" s="1001">
        <f>'MXD P&amp;L'!Q118</f>
        <v>-2344.3000000000002</v>
      </c>
      <c r="BN10" s="1001">
        <f>'MXD P&amp;L'!R118</f>
        <v>312.39999999999998</v>
      </c>
      <c r="BO10" s="1001">
        <f>'MXD P&amp;L'!S118</f>
        <v>312.39999999999998</v>
      </c>
      <c r="BP10" s="1001">
        <f>'MXD P&amp;L'!T118</f>
        <v>312.39999999999998</v>
      </c>
      <c r="BQ10" s="1001">
        <f>'MXD P&amp;L'!U116</f>
        <v>5082</v>
      </c>
      <c r="BR10" s="1001">
        <f>'MXD P&amp;L'!V116</f>
        <v>4620</v>
      </c>
      <c r="BS10" s="1001">
        <f>'MXD P&amp;L'!W116</f>
        <v>4840</v>
      </c>
      <c r="BT10" s="1001">
        <f>'MXD P&amp;L'!X116</f>
        <v>0</v>
      </c>
      <c r="BU10" s="1001">
        <f>'MXD P&amp;L'!Y117</f>
        <v>0</v>
      </c>
      <c r="BV10" s="1003">
        <f t="shared" si="2"/>
        <v>16981</v>
      </c>
      <c r="BW10" s="1002">
        <v>5307.31</v>
      </c>
      <c r="BX10" s="1004">
        <f t="shared" si="1"/>
        <v>1715.72</v>
      </c>
    </row>
    <row r="11" spans="2:78" x14ac:dyDescent="0.3">
      <c r="B11" t="s">
        <v>759</v>
      </c>
      <c r="C11" s="778">
        <v>62.5</v>
      </c>
      <c r="D11" s="792">
        <v>62.5</v>
      </c>
      <c r="E11" s="604"/>
      <c r="F11" s="604"/>
      <c r="G11" s="778">
        <v>62.5</v>
      </c>
      <c r="H11" s="792"/>
      <c r="I11" s="337"/>
      <c r="J11" s="337"/>
      <c r="K11" s="778">
        <v>62.5</v>
      </c>
      <c r="L11" s="792"/>
      <c r="M11" s="337"/>
      <c r="N11" s="337"/>
      <c r="O11" s="778">
        <v>62.5</v>
      </c>
      <c r="P11" s="792"/>
      <c r="Q11" s="337"/>
      <c r="R11" s="337"/>
      <c r="S11" s="778">
        <v>62.5</v>
      </c>
      <c r="T11" s="792">
        <v>80.050000000000011</v>
      </c>
      <c r="U11" s="337"/>
      <c r="V11" s="337"/>
      <c r="W11" s="778">
        <v>62.5</v>
      </c>
      <c r="X11" s="792">
        <v>72.490000000000009</v>
      </c>
      <c r="Y11" s="337"/>
      <c r="Z11" s="337"/>
      <c r="AA11" s="778">
        <v>62.5</v>
      </c>
      <c r="AB11" s="792">
        <v>72.490000000000009</v>
      </c>
      <c r="AC11" s="337"/>
      <c r="AD11" s="337"/>
      <c r="AE11" s="778">
        <v>62.5</v>
      </c>
      <c r="AF11" s="792">
        <v>254</v>
      </c>
      <c r="AG11" s="337"/>
      <c r="AH11" s="337"/>
      <c r="AI11" s="778">
        <v>62.5</v>
      </c>
      <c r="AJ11" s="792">
        <v>72.490000000000009</v>
      </c>
      <c r="AK11" s="337"/>
      <c r="AL11" s="337"/>
      <c r="AM11" s="778">
        <v>62.5</v>
      </c>
      <c r="AN11" s="792">
        <v>72.490000000000009</v>
      </c>
      <c r="AO11" s="337"/>
      <c r="AP11" s="337"/>
      <c r="AQ11" s="778">
        <v>62.5</v>
      </c>
      <c r="AR11" s="880">
        <v>72.490000000000009</v>
      </c>
      <c r="AS11" s="337"/>
      <c r="AT11" s="337"/>
      <c r="AU11" s="778">
        <v>62.5</v>
      </c>
      <c r="AV11" s="880">
        <v>-148.8600000000001</v>
      </c>
      <c r="AW11" s="337"/>
      <c r="AX11" s="1007">
        <v>72.489999999999995</v>
      </c>
      <c r="AY11" s="1008">
        <v>72.489999999999995</v>
      </c>
      <c r="AZ11" s="1006">
        <v>72.489999999999995</v>
      </c>
      <c r="BA11" s="1006">
        <v>72.489999999999995</v>
      </c>
      <c r="BB11" s="1006">
        <v>286.8</v>
      </c>
      <c r="BC11" s="1006">
        <v>286.8</v>
      </c>
      <c r="BD11" s="1006">
        <v>290</v>
      </c>
      <c r="BE11" s="1006">
        <v>283.60000000000002</v>
      </c>
      <c r="BF11" s="1006">
        <v>0</v>
      </c>
      <c r="BG11" s="1006">
        <v>286.8</v>
      </c>
      <c r="BH11" s="1006">
        <v>286.8</v>
      </c>
      <c r="BI11" s="1006">
        <v>286.8</v>
      </c>
      <c r="BJ11" s="1001">
        <f>'MXD P&amp;L'!N119</f>
        <v>286.8</v>
      </c>
      <c r="BK11" s="1001">
        <f>'MXD P&amp;L'!O119</f>
        <v>286.8</v>
      </c>
      <c r="BL11" s="1001">
        <f>'MXD P&amp;L'!P119</f>
        <v>0</v>
      </c>
      <c r="BM11" s="1001">
        <f>'MXD P&amp;L'!Q119</f>
        <v>0</v>
      </c>
      <c r="BN11" s="1001">
        <f>'MXD P&amp;L'!R119</f>
        <v>341.52</v>
      </c>
      <c r="BO11" s="1001">
        <f>'MXD P&amp;L'!S119</f>
        <v>341.52</v>
      </c>
      <c r="BP11" s="1001">
        <f>'MXD P&amp;L'!T119</f>
        <v>683.04</v>
      </c>
      <c r="BQ11" s="1001">
        <f>'MXD P&amp;L'!U117</f>
        <v>383.98</v>
      </c>
      <c r="BR11" s="1001">
        <f>'MXD P&amp;L'!V117</f>
        <v>348.4</v>
      </c>
      <c r="BS11" s="1001">
        <f>'MXD P&amp;L'!W117</f>
        <v>365.34</v>
      </c>
      <c r="BT11" s="1001">
        <f>'MXD P&amp;L'!X117</f>
        <v>0</v>
      </c>
      <c r="BU11" s="1001">
        <f>'MXD P&amp;L'!Y118</f>
        <v>0</v>
      </c>
      <c r="BV11" s="1003">
        <f t="shared" si="2"/>
        <v>3037.4</v>
      </c>
      <c r="BW11" s="1002">
        <v>5308.31</v>
      </c>
      <c r="BX11" s="1004">
        <f t="shared" si="1"/>
        <v>289.95999999999998</v>
      </c>
    </row>
    <row r="12" spans="2:78" x14ac:dyDescent="0.3">
      <c r="B12" t="s">
        <v>760</v>
      </c>
      <c r="C12" s="780"/>
      <c r="D12" s="794"/>
      <c r="E12" s="606"/>
      <c r="F12" s="606"/>
      <c r="G12" s="780"/>
      <c r="H12" s="794"/>
      <c r="I12" s="338"/>
      <c r="J12" s="338"/>
      <c r="K12" s="780">
        <v>937.5</v>
      </c>
      <c r="L12" s="794"/>
      <c r="M12" s="336"/>
      <c r="N12" s="336"/>
      <c r="O12" s="780"/>
      <c r="P12" s="794"/>
      <c r="Q12" s="338"/>
      <c r="R12" s="338"/>
      <c r="S12" s="780"/>
      <c r="T12" s="794"/>
      <c r="U12" s="338"/>
      <c r="V12" s="338"/>
      <c r="W12" s="780">
        <v>937.5</v>
      </c>
      <c r="X12" s="794"/>
      <c r="Y12" s="336"/>
      <c r="Z12" s="336"/>
      <c r="AA12" s="780"/>
      <c r="AB12" s="794"/>
      <c r="AC12" s="338"/>
      <c r="AD12" s="338"/>
      <c r="AE12" s="780"/>
      <c r="AF12" s="794"/>
      <c r="AG12" s="338"/>
      <c r="AH12" s="338"/>
      <c r="AI12" s="780">
        <v>937.5</v>
      </c>
      <c r="AJ12" s="794">
        <v>1250</v>
      </c>
      <c r="AK12" s="336"/>
      <c r="AL12" s="336"/>
      <c r="AM12" s="780"/>
      <c r="AN12" s="794"/>
      <c r="AO12" s="338"/>
      <c r="AP12" s="338"/>
      <c r="AQ12" s="780"/>
      <c r="AR12" s="881"/>
      <c r="AS12" s="338"/>
      <c r="AT12" s="338"/>
      <c r="AU12" s="780">
        <v>937.5</v>
      </c>
      <c r="AV12" s="881">
        <v>1916.82</v>
      </c>
      <c r="AW12" s="886"/>
      <c r="AX12" s="1000">
        <v>0</v>
      </c>
      <c r="AY12" s="1001">
        <v>0</v>
      </c>
      <c r="AZ12" s="1001">
        <v>0</v>
      </c>
      <c r="BA12" s="1001">
        <v>0</v>
      </c>
      <c r="BB12" s="1001">
        <v>3183.06</v>
      </c>
      <c r="BC12" s="1001">
        <v>0</v>
      </c>
      <c r="BD12" s="1001">
        <v>1250</v>
      </c>
      <c r="BE12" s="1001">
        <v>0</v>
      </c>
      <c r="BF12" s="1001">
        <v>0</v>
      </c>
      <c r="BG12" s="1001">
        <v>2229.7199999999998</v>
      </c>
      <c r="BH12" s="1001">
        <v>1700.18</v>
      </c>
      <c r="BI12" s="1001">
        <v>0</v>
      </c>
      <c r="BJ12" s="1001">
        <f>'MXD P&amp;L'!N120</f>
        <v>0</v>
      </c>
      <c r="BK12" s="1001">
        <f>'MXD P&amp;L'!O120</f>
        <v>0</v>
      </c>
      <c r="BL12" s="1001">
        <f>'MXD P&amp;L'!P120</f>
        <v>0</v>
      </c>
      <c r="BM12" s="1001">
        <f>'MXD P&amp;L'!Q120</f>
        <v>0</v>
      </c>
      <c r="BN12" s="1001">
        <f>'MXD P&amp;L'!R120</f>
        <v>0</v>
      </c>
      <c r="BO12" s="1001">
        <f>'MXD P&amp;L'!S120</f>
        <v>0</v>
      </c>
      <c r="BP12" s="1001">
        <f>'MXD P&amp;L'!T120</f>
        <v>0</v>
      </c>
      <c r="BQ12" s="1001">
        <f>'MXD P&amp;L'!U118</f>
        <v>312.39999999999998</v>
      </c>
      <c r="BR12" s="1001">
        <f>'MXD P&amp;L'!V118</f>
        <v>312.39999999999998</v>
      </c>
      <c r="BS12" s="1001">
        <f>'MXD P&amp;L'!W118</f>
        <v>312.39999999999998</v>
      </c>
      <c r="BT12" s="1001">
        <f>'MXD P&amp;L'!X118</f>
        <v>0</v>
      </c>
      <c r="BU12" s="1001">
        <f>'MXD P&amp;L'!Y119</f>
        <v>0</v>
      </c>
      <c r="BV12" s="1003">
        <f t="shared" si="2"/>
        <v>937.19999999999993</v>
      </c>
      <c r="BW12" s="1002">
        <v>5309.31</v>
      </c>
      <c r="BX12" s="1004">
        <f t="shared" si="1"/>
        <v>0</v>
      </c>
    </row>
    <row r="13" spans="2:78" x14ac:dyDescent="0.3">
      <c r="B13" t="s">
        <v>761</v>
      </c>
      <c r="C13" s="776">
        <v>6250</v>
      </c>
      <c r="D13" s="791">
        <v>6041.98</v>
      </c>
      <c r="E13" s="603"/>
      <c r="F13" s="603"/>
      <c r="G13" s="776">
        <v>6250</v>
      </c>
      <c r="H13" s="791">
        <v>6928.66</v>
      </c>
      <c r="I13" s="334"/>
      <c r="J13" s="334"/>
      <c r="K13" s="776">
        <v>6250</v>
      </c>
      <c r="L13" s="791">
        <v>6457.32</v>
      </c>
      <c r="M13" s="334"/>
      <c r="N13" s="334"/>
      <c r="O13" s="776">
        <v>6250</v>
      </c>
      <c r="P13" s="791">
        <v>6957.32</v>
      </c>
      <c r="Q13" s="334"/>
      <c r="R13" s="334"/>
      <c r="S13" s="776">
        <v>6250</v>
      </c>
      <c r="T13" s="791">
        <v>7507.0299999999988</v>
      </c>
      <c r="U13" s="334"/>
      <c r="V13" s="334"/>
      <c r="W13" s="776">
        <v>6250</v>
      </c>
      <c r="X13" s="791">
        <v>6971.3700000000026</v>
      </c>
      <c r="Y13" s="334"/>
      <c r="Z13" s="334"/>
      <c r="AA13" s="776">
        <v>6250</v>
      </c>
      <c r="AB13" s="791">
        <v>6549.2300000000032</v>
      </c>
      <c r="AC13" s="334"/>
      <c r="AD13" s="334"/>
      <c r="AE13" s="776">
        <v>6250</v>
      </c>
      <c r="AF13" s="791">
        <v>7921.4399999999951</v>
      </c>
      <c r="AG13" s="334"/>
      <c r="AH13" s="334"/>
      <c r="AI13" s="776">
        <v>6250</v>
      </c>
      <c r="AJ13" s="791">
        <v>6585.7000000000044</v>
      </c>
      <c r="AK13" s="334"/>
      <c r="AL13" s="334"/>
      <c r="AM13" s="776">
        <v>6250</v>
      </c>
      <c r="AN13" s="791">
        <v>8479.1199999999953</v>
      </c>
      <c r="AO13" s="334"/>
      <c r="AP13" s="334"/>
      <c r="AQ13" s="776">
        <v>6250</v>
      </c>
      <c r="AR13" s="756">
        <v>5000</v>
      </c>
      <c r="AS13" s="334"/>
      <c r="AT13" s="334"/>
      <c r="AU13" s="776">
        <v>6250</v>
      </c>
      <c r="AV13" s="756">
        <v>4500</v>
      </c>
      <c r="AW13" s="16"/>
      <c r="AX13" s="1007">
        <v>11000</v>
      </c>
      <c r="AY13" s="1008">
        <v>18000</v>
      </c>
      <c r="AZ13" s="1008">
        <v>5500</v>
      </c>
      <c r="BA13" s="1008">
        <v>20000</v>
      </c>
      <c r="BB13" s="1008">
        <v>12850</v>
      </c>
      <c r="BC13" s="1008">
        <v>18121.57</v>
      </c>
      <c r="BD13" s="1008">
        <v>23410.560000000001</v>
      </c>
      <c r="BE13" s="1008">
        <v>18345.099999999999</v>
      </c>
      <c r="BF13" s="1008">
        <v>19295.21</v>
      </c>
      <c r="BG13" s="1008">
        <v>19751.88</v>
      </c>
      <c r="BH13" s="1008">
        <v>19709.52</v>
      </c>
      <c r="BI13" s="1008">
        <v>19320.62</v>
      </c>
      <c r="BJ13" s="1001">
        <f>'MXD P&amp;L'!N121</f>
        <v>21643.75</v>
      </c>
      <c r="BK13" s="1001">
        <f>'MXD P&amp;L'!O121</f>
        <v>20182.21</v>
      </c>
      <c r="BL13" s="1001">
        <f>'MXD P&amp;L'!P121</f>
        <v>25723.49</v>
      </c>
      <c r="BM13" s="1001">
        <f>'MXD P&amp;L'!Q121</f>
        <v>17129.71</v>
      </c>
      <c r="BN13" s="1001">
        <f>'MXD P&amp;L'!R121</f>
        <v>21384.98</v>
      </c>
      <c r="BO13" s="1001">
        <f>'MXD P&amp;L'!S121</f>
        <v>25167.4</v>
      </c>
      <c r="BP13" s="1001">
        <f>'MXD P&amp;L'!T121</f>
        <v>25762.7</v>
      </c>
      <c r="BQ13" s="1001">
        <f>'MXD P&amp;L'!U119</f>
        <v>341.52</v>
      </c>
      <c r="BR13" s="1001">
        <f>'MXD P&amp;L'!V119</f>
        <v>341.52</v>
      </c>
      <c r="BS13" s="1001">
        <f>'MXD P&amp;L'!W119</f>
        <v>346.94</v>
      </c>
      <c r="BT13" s="1001">
        <f>'MXD P&amp;L'!X119</f>
        <v>0</v>
      </c>
      <c r="BU13" s="1001">
        <f>'MXD P&amp;L'!Y120</f>
        <v>0</v>
      </c>
      <c r="BV13" s="1003">
        <f t="shared" si="2"/>
        <v>158024.22</v>
      </c>
      <c r="BW13" s="1002">
        <v>5310.31</v>
      </c>
      <c r="BX13" s="1004">
        <f t="shared" si="1"/>
        <v>54500</v>
      </c>
    </row>
    <row r="14" spans="2:78" x14ac:dyDescent="0.3">
      <c r="B14" t="s">
        <v>762</v>
      </c>
      <c r="C14" s="770">
        <v>2400</v>
      </c>
      <c r="D14" s="795">
        <v>2791.88</v>
      </c>
      <c r="E14" s="607"/>
      <c r="F14" s="607"/>
      <c r="G14" s="770">
        <v>2400</v>
      </c>
      <c r="H14" s="795">
        <v>2733.88</v>
      </c>
      <c r="I14" s="18"/>
      <c r="J14" s="18"/>
      <c r="K14" s="770">
        <v>2400</v>
      </c>
      <c r="L14" s="795">
        <v>2791.8799999999992</v>
      </c>
      <c r="M14" s="18"/>
      <c r="N14" s="18"/>
      <c r="O14" s="770">
        <v>2400</v>
      </c>
      <c r="P14" s="795">
        <v>2762.880000000001</v>
      </c>
      <c r="Q14" s="18"/>
      <c r="R14" s="18"/>
      <c r="S14" s="770">
        <v>2400</v>
      </c>
      <c r="T14" s="795">
        <v>2762.8799999999992</v>
      </c>
      <c r="U14" s="18"/>
      <c r="V14" s="18"/>
      <c r="W14" s="770">
        <v>2400</v>
      </c>
      <c r="X14" s="795">
        <v>3011.8799999999992</v>
      </c>
      <c r="Y14" s="18"/>
      <c r="Z14" s="18"/>
      <c r="AA14" s="770">
        <v>2400</v>
      </c>
      <c r="AB14" s="795">
        <v>2818.780000000002</v>
      </c>
      <c r="AC14" s="18"/>
      <c r="AD14" s="18"/>
      <c r="AE14" s="770">
        <v>2400</v>
      </c>
      <c r="AF14" s="795">
        <v>2818.8799999999969</v>
      </c>
      <c r="AG14" s="18"/>
      <c r="AH14" s="18"/>
      <c r="AI14" s="770">
        <v>2400</v>
      </c>
      <c r="AJ14" s="795">
        <v>2498.98</v>
      </c>
      <c r="AK14" s="18"/>
      <c r="AL14" s="18"/>
      <c r="AM14" s="770">
        <v>2400</v>
      </c>
      <c r="AN14" s="795">
        <v>2249.9800000000032</v>
      </c>
      <c r="AO14" s="18"/>
      <c r="AP14" s="18"/>
      <c r="AQ14" s="770">
        <v>2400</v>
      </c>
      <c r="AR14" s="881">
        <v>2274.599999999999</v>
      </c>
      <c r="AS14" s="18"/>
      <c r="AT14" s="18"/>
      <c r="AU14" s="770">
        <v>2400</v>
      </c>
      <c r="AV14" s="881">
        <v>2254.98</v>
      </c>
      <c r="AW14" s="886"/>
      <c r="AX14" s="1005">
        <v>2213.98</v>
      </c>
      <c r="AY14" s="1006">
        <v>2321.98</v>
      </c>
      <c r="AZ14" s="1006">
        <v>2233.98</v>
      </c>
      <c r="BA14" s="1006">
        <v>2269.98</v>
      </c>
      <c r="BB14" s="1006">
        <v>2276.98</v>
      </c>
      <c r="BC14" s="1006">
        <v>2553.98</v>
      </c>
      <c r="BD14" s="1006">
        <v>2233.98</v>
      </c>
      <c r="BE14" s="1006">
        <v>2229.98</v>
      </c>
      <c r="BF14" s="1006">
        <v>2229.98</v>
      </c>
      <c r="BG14" s="1006">
        <v>2229.98</v>
      </c>
      <c r="BH14" s="1006">
        <v>2243.98</v>
      </c>
      <c r="BI14" s="1006">
        <v>2224.9899999999998</v>
      </c>
      <c r="BJ14" s="1001">
        <f>'MXD P&amp;L'!N122</f>
        <v>2224.9899999999998</v>
      </c>
      <c r="BK14" s="1001">
        <f>'MXD P&amp;L'!O122</f>
        <v>2224.9899999999998</v>
      </c>
      <c r="BL14" s="1001">
        <f>'MXD P&amp;L'!P122</f>
        <v>0</v>
      </c>
      <c r="BM14" s="1001">
        <f>'MXD P&amp;L'!Q122</f>
        <v>0</v>
      </c>
      <c r="BN14" s="1001">
        <f>'MXD P&amp;L'!R122</f>
        <v>2224.9899999999998</v>
      </c>
      <c r="BO14" s="1001">
        <f>'MXD P&amp;L'!S122</f>
        <v>2224.9899999999998</v>
      </c>
      <c r="BP14" s="1001">
        <f>'MXD P&amp;L'!T122</f>
        <v>2224.9899999999998</v>
      </c>
      <c r="BQ14" s="1001">
        <f>'MXD P&amp;L'!U120</f>
        <v>0</v>
      </c>
      <c r="BR14" s="1001">
        <f>'MXD P&amp;L'!V120</f>
        <v>0</v>
      </c>
      <c r="BS14" s="1001">
        <f>'MXD P&amp;L'!W120</f>
        <v>0</v>
      </c>
      <c r="BT14" s="1001">
        <f>'MXD P&amp;L'!X120</f>
        <v>0</v>
      </c>
      <c r="BU14" s="1001">
        <f>'MXD P&amp;L'!Y121</f>
        <v>0</v>
      </c>
      <c r="BV14" s="1003">
        <f t="shared" si="2"/>
        <v>11124.949999999999</v>
      </c>
      <c r="BW14" s="1002">
        <v>5311.31</v>
      </c>
      <c r="BX14" s="1004">
        <f t="shared" si="1"/>
        <v>9039.92</v>
      </c>
    </row>
    <row r="15" spans="2:78" x14ac:dyDescent="0.3">
      <c r="B15" t="s">
        <v>763</v>
      </c>
      <c r="C15" s="777">
        <v>1157</v>
      </c>
      <c r="D15" s="792">
        <v>578.29999999999995</v>
      </c>
      <c r="E15" s="604"/>
      <c r="F15" s="604"/>
      <c r="G15" s="777">
        <v>1157</v>
      </c>
      <c r="H15" s="792">
        <v>578.29999999999995</v>
      </c>
      <c r="I15" s="335"/>
      <c r="J15" s="335"/>
      <c r="K15" s="777">
        <v>1157</v>
      </c>
      <c r="L15" s="792">
        <v>578.30000000000018</v>
      </c>
      <c r="M15" s="335"/>
      <c r="N15" s="335"/>
      <c r="O15" s="777">
        <v>1157</v>
      </c>
      <c r="P15" s="792">
        <v>578.29999999999973</v>
      </c>
      <c r="Q15" s="335"/>
      <c r="R15" s="335"/>
      <c r="S15" s="777">
        <v>1157</v>
      </c>
      <c r="T15" s="792">
        <v>578.30000000000018</v>
      </c>
      <c r="U15" s="335"/>
      <c r="V15" s="335"/>
      <c r="W15" s="777">
        <v>1157</v>
      </c>
      <c r="X15" s="792">
        <v>578.30000000000018</v>
      </c>
      <c r="Y15" s="335"/>
      <c r="Z15" s="335"/>
      <c r="AA15" s="777">
        <v>1157</v>
      </c>
      <c r="AB15" s="792">
        <v>578.29999999999973</v>
      </c>
      <c r="AC15" s="335"/>
      <c r="AD15" s="335"/>
      <c r="AE15" s="777">
        <v>1157</v>
      </c>
      <c r="AF15" s="792">
        <v>578.29999999999973</v>
      </c>
      <c r="AG15" s="335"/>
      <c r="AH15" s="335"/>
      <c r="AI15" s="777">
        <v>1157</v>
      </c>
      <c r="AJ15" s="792">
        <v>578.30000000000018</v>
      </c>
      <c r="AK15" s="335"/>
      <c r="AL15" s="335"/>
      <c r="AM15" s="777">
        <v>1157</v>
      </c>
      <c r="AN15" s="792">
        <v>578.30000000000018</v>
      </c>
      <c r="AO15" s="335"/>
      <c r="AP15" s="335"/>
      <c r="AQ15" s="777">
        <v>1157</v>
      </c>
      <c r="AR15" s="756">
        <v>578.30000000000018</v>
      </c>
      <c r="AS15" s="335"/>
      <c r="AT15" s="335"/>
      <c r="AU15" s="777">
        <v>1157</v>
      </c>
      <c r="AV15" s="756">
        <v>578.30000000000018</v>
      </c>
      <c r="AW15" s="16"/>
      <c r="AX15" s="1007">
        <v>0</v>
      </c>
      <c r="AY15" s="1008">
        <v>0</v>
      </c>
      <c r="AZ15" s="1008">
        <v>0</v>
      </c>
      <c r="BA15" s="1008">
        <v>0</v>
      </c>
      <c r="BB15" s="1008">
        <v>0</v>
      </c>
      <c r="BC15" s="1008">
        <v>0</v>
      </c>
      <c r="BD15" s="1008">
        <v>0</v>
      </c>
      <c r="BE15" s="1008">
        <v>0</v>
      </c>
      <c r="BF15" s="1008">
        <v>0</v>
      </c>
      <c r="BG15" s="1008">
        <v>0</v>
      </c>
      <c r="BH15" s="1008">
        <v>0</v>
      </c>
      <c r="BI15" s="1008">
        <v>0</v>
      </c>
      <c r="BJ15" s="1001">
        <f>'MXD P&amp;L'!N123</f>
        <v>0</v>
      </c>
      <c r="BK15" s="1001">
        <f>'MXD P&amp;L'!O123</f>
        <v>0</v>
      </c>
      <c r="BL15" s="1001">
        <f>'MXD P&amp;L'!P123</f>
        <v>0</v>
      </c>
      <c r="BM15" s="1001">
        <f>'MXD P&amp;L'!Q123</f>
        <v>0</v>
      </c>
      <c r="BN15" s="1001">
        <f>'MXD P&amp;L'!R123</f>
        <v>0</v>
      </c>
      <c r="BO15" s="1001">
        <f>'MXD P&amp;L'!S123</f>
        <v>0</v>
      </c>
      <c r="BP15" s="1001">
        <f>'MXD P&amp;L'!T123</f>
        <v>0</v>
      </c>
      <c r="BQ15" s="1001">
        <f>'MXD P&amp;L'!U121</f>
        <v>22993.45</v>
      </c>
      <c r="BR15" s="1001">
        <f>'MXD P&amp;L'!V121</f>
        <v>29640.14</v>
      </c>
      <c r="BS15" s="1001">
        <f>'MXD P&amp;L'!W121</f>
        <v>28269.34</v>
      </c>
      <c r="BT15" s="1001">
        <f>'MXD P&amp;L'!X121</f>
        <v>0</v>
      </c>
      <c r="BU15" s="1001">
        <f>'MXD P&amp;L'!Y122</f>
        <v>0</v>
      </c>
      <c r="BV15" s="1003">
        <f t="shared" si="2"/>
        <v>80902.929999999993</v>
      </c>
      <c r="BW15" s="1002">
        <v>5312.31</v>
      </c>
      <c r="BX15" s="1004">
        <f t="shared" si="1"/>
        <v>0</v>
      </c>
    </row>
    <row r="16" spans="2:78" x14ac:dyDescent="0.3">
      <c r="B16" t="s">
        <v>764</v>
      </c>
      <c r="C16" s="779">
        <v>584</v>
      </c>
      <c r="D16" s="793">
        <v>3333</v>
      </c>
      <c r="E16" s="605"/>
      <c r="F16" s="605"/>
      <c r="G16" s="779">
        <v>584</v>
      </c>
      <c r="H16" s="793">
        <v>3546</v>
      </c>
      <c r="I16" s="336"/>
      <c r="J16" s="336"/>
      <c r="K16" s="779">
        <v>584</v>
      </c>
      <c r="L16" s="793">
        <v>1830</v>
      </c>
      <c r="M16" s="336"/>
      <c r="N16" s="336"/>
      <c r="O16" s="779">
        <v>584</v>
      </c>
      <c r="P16" s="793">
        <v>779.79000000000087</v>
      </c>
      <c r="Q16" s="336"/>
      <c r="R16" s="336"/>
      <c r="S16" s="779">
        <v>584</v>
      </c>
      <c r="T16" s="793">
        <v>1104.98</v>
      </c>
      <c r="U16" s="336"/>
      <c r="V16" s="336"/>
      <c r="W16" s="779">
        <v>584</v>
      </c>
      <c r="X16" s="793">
        <v>773</v>
      </c>
      <c r="Y16" s="336"/>
      <c r="Z16" s="336"/>
      <c r="AA16" s="779">
        <v>584</v>
      </c>
      <c r="AB16" s="793">
        <v>225.98999999999981</v>
      </c>
      <c r="AC16" s="336"/>
      <c r="AD16" s="336"/>
      <c r="AE16" s="779">
        <v>584</v>
      </c>
      <c r="AF16" s="793">
        <v>1374.6</v>
      </c>
      <c r="AG16" s="336"/>
      <c r="AH16" s="336"/>
      <c r="AI16" s="779">
        <v>584</v>
      </c>
      <c r="AJ16" s="793">
        <v>3793</v>
      </c>
      <c r="AK16" s="336"/>
      <c r="AL16" s="336"/>
      <c r="AM16" s="779">
        <v>584</v>
      </c>
      <c r="AN16" s="793">
        <v>308</v>
      </c>
      <c r="AO16" s="336"/>
      <c r="AP16" s="336"/>
      <c r="AQ16" s="779">
        <v>584</v>
      </c>
      <c r="AR16" s="756">
        <v>5803.8499999999995</v>
      </c>
      <c r="AS16" s="336"/>
      <c r="AT16" s="336"/>
      <c r="AU16" s="779">
        <v>584</v>
      </c>
      <c r="AV16" s="756">
        <v>118</v>
      </c>
      <c r="AW16" s="16"/>
      <c r="AX16" s="1007">
        <v>118</v>
      </c>
      <c r="AY16" s="1008">
        <v>1231.25</v>
      </c>
      <c r="AZ16" s="1008">
        <v>148.5</v>
      </c>
      <c r="BA16" s="1008">
        <v>156.47999999999999</v>
      </c>
      <c r="BB16" s="1008">
        <v>10398.43</v>
      </c>
      <c r="BC16" s="1008">
        <v>188.56</v>
      </c>
      <c r="BD16" s="1008">
        <v>292.69</v>
      </c>
      <c r="BE16" s="1008">
        <v>118.75</v>
      </c>
      <c r="BF16" s="1008">
        <v>175.73</v>
      </c>
      <c r="BG16" s="1008">
        <v>192.98</v>
      </c>
      <c r="BH16" s="1008">
        <v>663.08</v>
      </c>
      <c r="BI16" s="1008">
        <v>119.25</v>
      </c>
      <c r="BJ16" s="1001">
        <f>'MXD P&amp;L'!N124</f>
        <v>30</v>
      </c>
      <c r="BK16" s="1001">
        <f>'MXD P&amp;L'!O124</f>
        <v>0</v>
      </c>
      <c r="BL16" s="1001">
        <f>'MXD P&amp;L'!P124</f>
        <v>0</v>
      </c>
      <c r="BM16" s="1001">
        <f>'MXD P&amp;L'!Q124</f>
        <v>0</v>
      </c>
      <c r="BN16" s="1001">
        <f>'MXD P&amp;L'!R124</f>
        <v>0</v>
      </c>
      <c r="BO16" s="1001">
        <f>'MXD P&amp;L'!S124</f>
        <v>0</v>
      </c>
      <c r="BP16" s="1001">
        <f>'MXD P&amp;L'!T124</f>
        <v>0</v>
      </c>
      <c r="BQ16" s="1001">
        <f>'MXD P&amp;L'!U122</f>
        <v>2224.9899999999998</v>
      </c>
      <c r="BR16" s="1001">
        <f>'MXD P&amp;L'!V122</f>
        <v>0</v>
      </c>
      <c r="BS16" s="1001">
        <f>'MXD P&amp;L'!W122</f>
        <v>0</v>
      </c>
      <c r="BT16" s="1001">
        <f>'MXD P&amp;L'!X122</f>
        <v>0</v>
      </c>
      <c r="BU16" s="1001">
        <f>'MXD P&amp;L'!Y123</f>
        <v>0</v>
      </c>
      <c r="BV16" s="1003">
        <f t="shared" si="2"/>
        <v>2254.9899999999998</v>
      </c>
      <c r="BW16" s="1002">
        <v>5313.31</v>
      </c>
      <c r="BX16" s="1004">
        <f t="shared" si="1"/>
        <v>1654.23</v>
      </c>
    </row>
    <row r="17" spans="2:76" ht="14.25" customHeight="1" x14ac:dyDescent="0.3">
      <c r="B17" t="s">
        <v>765</v>
      </c>
      <c r="C17" s="780">
        <v>180</v>
      </c>
      <c r="D17" s="794">
        <v>186.33</v>
      </c>
      <c r="E17" s="606"/>
      <c r="F17" s="606"/>
      <c r="G17" s="780">
        <v>180</v>
      </c>
      <c r="H17" s="794">
        <v>197.99</v>
      </c>
      <c r="I17" s="338"/>
      <c r="J17" s="338"/>
      <c r="K17" s="780">
        <v>180</v>
      </c>
      <c r="L17" s="794">
        <v>205.23</v>
      </c>
      <c r="M17" s="338"/>
      <c r="N17" s="338"/>
      <c r="O17" s="780">
        <v>180</v>
      </c>
      <c r="P17" s="794">
        <v>204.7700000000001</v>
      </c>
      <c r="Q17" s="338"/>
      <c r="R17" s="338"/>
      <c r="S17" s="780">
        <v>180</v>
      </c>
      <c r="T17" s="794">
        <v>210.39</v>
      </c>
      <c r="U17" s="338"/>
      <c r="V17" s="338"/>
      <c r="W17" s="780">
        <v>180</v>
      </c>
      <c r="X17" s="794">
        <v>201.28</v>
      </c>
      <c r="Y17" s="338"/>
      <c r="Z17" s="338"/>
      <c r="AA17" s="780">
        <v>180</v>
      </c>
      <c r="AB17" s="794">
        <v>196.29</v>
      </c>
      <c r="AC17" s="338"/>
      <c r="AD17" s="338"/>
      <c r="AE17" s="780">
        <v>180</v>
      </c>
      <c r="AF17" s="794">
        <v>193.23</v>
      </c>
      <c r="AG17" s="338"/>
      <c r="AH17" s="338"/>
      <c r="AI17" s="780">
        <v>180</v>
      </c>
      <c r="AJ17" s="794">
        <v>192.52</v>
      </c>
      <c r="AK17" s="338"/>
      <c r="AL17" s="338"/>
      <c r="AM17" s="780">
        <v>180</v>
      </c>
      <c r="AN17" s="794">
        <v>193.21</v>
      </c>
      <c r="AO17" s="338"/>
      <c r="AP17" s="338"/>
      <c r="AQ17" s="780">
        <v>180</v>
      </c>
      <c r="AR17" s="881">
        <v>184.91000000000011</v>
      </c>
      <c r="AS17" s="338"/>
      <c r="AT17" s="338"/>
      <c r="AU17" s="780">
        <v>180</v>
      </c>
      <c r="AV17" s="881">
        <v>186.2999999999997</v>
      </c>
      <c r="AW17" s="886"/>
      <c r="AX17" s="1000">
        <v>187.53</v>
      </c>
      <c r="AY17" s="1001">
        <v>198.82</v>
      </c>
      <c r="AZ17" s="1001">
        <v>90.18</v>
      </c>
      <c r="BA17" s="1001">
        <v>204.84</v>
      </c>
      <c r="BB17" s="1001">
        <v>322.56</v>
      </c>
      <c r="BC17" s="1001">
        <v>123.41</v>
      </c>
      <c r="BD17" s="1001">
        <v>218.6</v>
      </c>
      <c r="BE17" s="1001">
        <v>208.92</v>
      </c>
      <c r="BF17" s="1001">
        <v>202.89</v>
      </c>
      <c r="BG17" s="1001">
        <v>206.32</v>
      </c>
      <c r="BH17" s="1001">
        <v>207.38</v>
      </c>
      <c r="BI17" s="1001">
        <v>191.1</v>
      </c>
      <c r="BJ17" s="1001">
        <f>'MXD P&amp;L'!N125</f>
        <v>189.01</v>
      </c>
      <c r="BK17" s="1001">
        <f>'MXD P&amp;L'!O125</f>
        <v>0</v>
      </c>
      <c r="BL17" s="1001">
        <f>'MXD P&amp;L'!P125</f>
        <v>0</v>
      </c>
      <c r="BM17" s="1001">
        <f>'MXD P&amp;L'!Q125</f>
        <v>0</v>
      </c>
      <c r="BN17" s="1001">
        <f>'MXD P&amp;L'!R125</f>
        <v>0</v>
      </c>
      <c r="BO17" s="1001">
        <f>'MXD P&amp;L'!S125</f>
        <v>0</v>
      </c>
      <c r="BP17" s="1001">
        <f>'MXD P&amp;L'!T125</f>
        <v>0</v>
      </c>
      <c r="BQ17" s="1001">
        <f>'MXD P&amp;L'!U123</f>
        <v>0</v>
      </c>
      <c r="BR17" s="1001">
        <f>'MXD P&amp;L'!V123</f>
        <v>0</v>
      </c>
      <c r="BS17" s="1001">
        <f>'MXD P&amp;L'!W123</f>
        <v>0</v>
      </c>
      <c r="BT17" s="1001">
        <f>'MXD P&amp;L'!X123</f>
        <v>0</v>
      </c>
      <c r="BU17" s="1001">
        <f>'MXD P&amp;L'!Y124</f>
        <v>0</v>
      </c>
      <c r="BV17" s="1003">
        <f t="shared" si="2"/>
        <v>189.01</v>
      </c>
      <c r="BW17" s="1002">
        <v>5314.31</v>
      </c>
      <c r="BX17" s="1004">
        <f t="shared" si="1"/>
        <v>681.37</v>
      </c>
    </row>
    <row r="18" spans="2:76" x14ac:dyDescent="0.3">
      <c r="B18" t="s">
        <v>766</v>
      </c>
      <c r="C18" s="779">
        <v>4000</v>
      </c>
      <c r="D18" s="793">
        <v>4090</v>
      </c>
      <c r="E18" s="605"/>
      <c r="F18" s="605"/>
      <c r="G18" s="779">
        <v>4000</v>
      </c>
      <c r="H18" s="793">
        <v>4000</v>
      </c>
      <c r="I18" s="336"/>
      <c r="J18" s="336"/>
      <c r="K18" s="779">
        <v>4000</v>
      </c>
      <c r="L18" s="793">
        <v>4000</v>
      </c>
      <c r="M18" s="336"/>
      <c r="N18" s="336"/>
      <c r="O18" s="779">
        <v>4000</v>
      </c>
      <c r="P18" s="793">
        <v>4000</v>
      </c>
      <c r="Q18" s="336"/>
      <c r="R18" s="336"/>
      <c r="S18" s="779">
        <v>4000</v>
      </c>
      <c r="T18" s="793">
        <v>8699</v>
      </c>
      <c r="U18" s="336"/>
      <c r="V18" s="336"/>
      <c r="W18" s="779">
        <v>4000</v>
      </c>
      <c r="X18" s="793"/>
      <c r="Y18" s="336"/>
      <c r="Z18" s="336"/>
      <c r="AA18" s="779">
        <v>4000</v>
      </c>
      <c r="AB18" s="793">
        <v>8000</v>
      </c>
      <c r="AC18" s="336"/>
      <c r="AD18" s="336"/>
      <c r="AE18" s="779">
        <v>4000</v>
      </c>
      <c r="AF18" s="793">
        <v>-3988.21</v>
      </c>
      <c r="AG18" s="336"/>
      <c r="AH18" s="336"/>
      <c r="AI18" s="779">
        <v>4000</v>
      </c>
      <c r="AJ18" s="793"/>
      <c r="AK18" s="336"/>
      <c r="AL18" s="336"/>
      <c r="AM18" s="779">
        <v>4000</v>
      </c>
      <c r="AN18" s="793"/>
      <c r="AO18" s="336"/>
      <c r="AP18" s="336"/>
      <c r="AQ18" s="779">
        <v>4000</v>
      </c>
      <c r="AR18" s="881"/>
      <c r="AS18" s="336"/>
      <c r="AT18" s="336"/>
      <c r="AU18" s="779">
        <v>4000</v>
      </c>
      <c r="AV18" s="881"/>
      <c r="AW18" s="886"/>
      <c r="AX18" s="1000">
        <v>2900</v>
      </c>
      <c r="AY18" s="1001">
        <v>0</v>
      </c>
      <c r="AZ18" s="1001">
        <v>0</v>
      </c>
      <c r="BA18" s="1001">
        <v>0</v>
      </c>
      <c r="BB18" s="1001">
        <v>2900</v>
      </c>
      <c r="BC18" s="1001">
        <v>2900</v>
      </c>
      <c r="BD18" s="1001">
        <v>2900</v>
      </c>
      <c r="BE18" s="1001">
        <v>2900</v>
      </c>
      <c r="BF18" s="1001">
        <v>2900</v>
      </c>
      <c r="BG18" s="1001">
        <v>2900</v>
      </c>
      <c r="BH18" s="1001">
        <v>2900</v>
      </c>
      <c r="BI18" s="1001">
        <v>2900</v>
      </c>
      <c r="BJ18" s="1001">
        <f>'MXD P&amp;L'!N126</f>
        <v>2900</v>
      </c>
      <c r="BK18" s="1001">
        <f>'MXD P&amp;L'!O126</f>
        <v>0</v>
      </c>
      <c r="BL18" s="1001">
        <f>'MXD P&amp;L'!P126</f>
        <v>2900</v>
      </c>
      <c r="BM18" s="1001">
        <f>'MXD P&amp;L'!Q126</f>
        <v>2900</v>
      </c>
      <c r="BN18" s="1001">
        <f>'MXD P&amp;L'!R126</f>
        <v>5800</v>
      </c>
      <c r="BO18" s="1001">
        <f>'MXD P&amp;L'!S126</f>
        <v>0</v>
      </c>
      <c r="BP18" s="1001">
        <f>'MXD P&amp;L'!T126</f>
        <v>5800</v>
      </c>
      <c r="BQ18" s="1001">
        <f>'MXD P&amp;L'!U124</f>
        <v>0</v>
      </c>
      <c r="BR18" s="1001">
        <f>'MXD P&amp;L'!V124</f>
        <v>0</v>
      </c>
      <c r="BS18" s="1001">
        <f>'MXD P&amp;L'!W124</f>
        <v>0</v>
      </c>
      <c r="BT18" s="1001">
        <f>'MXD P&amp;L'!X124</f>
        <v>0</v>
      </c>
      <c r="BU18" s="1001">
        <f>'MXD P&amp;L'!Y125</f>
        <v>0</v>
      </c>
      <c r="BV18" s="1003">
        <f t="shared" si="2"/>
        <v>20300</v>
      </c>
      <c r="BW18" s="1002">
        <v>5315.31</v>
      </c>
      <c r="BX18" s="1004">
        <f t="shared" si="1"/>
        <v>2900</v>
      </c>
    </row>
    <row r="19" spans="2:76" x14ac:dyDescent="0.3">
      <c r="B19" t="s">
        <v>767</v>
      </c>
      <c r="C19" s="777">
        <v>834</v>
      </c>
      <c r="D19" s="792">
        <v>855</v>
      </c>
      <c r="E19" s="604"/>
      <c r="F19" s="604"/>
      <c r="G19" s="777">
        <v>834</v>
      </c>
      <c r="H19" s="792">
        <v>855</v>
      </c>
      <c r="I19" s="335"/>
      <c r="J19" s="335"/>
      <c r="K19" s="777">
        <v>834</v>
      </c>
      <c r="L19" s="792">
        <v>855</v>
      </c>
      <c r="M19" s="335"/>
      <c r="N19" s="335"/>
      <c r="O19" s="777">
        <v>834</v>
      </c>
      <c r="P19" s="792">
        <v>855</v>
      </c>
      <c r="Q19" s="335"/>
      <c r="R19" s="335"/>
      <c r="S19" s="777">
        <v>834</v>
      </c>
      <c r="T19" s="792">
        <v>855</v>
      </c>
      <c r="U19" s="335"/>
      <c r="V19" s="335"/>
      <c r="W19" s="777">
        <v>834</v>
      </c>
      <c r="X19" s="792">
        <v>855</v>
      </c>
      <c r="Y19" s="335"/>
      <c r="Z19" s="335"/>
      <c r="AA19" s="777">
        <v>834</v>
      </c>
      <c r="AB19" s="792">
        <v>855</v>
      </c>
      <c r="AC19" s="335"/>
      <c r="AD19" s="335"/>
      <c r="AE19" s="777">
        <v>834</v>
      </c>
      <c r="AF19" s="792">
        <v>855</v>
      </c>
      <c r="AG19" s="335"/>
      <c r="AH19" s="335"/>
      <c r="AI19" s="777">
        <v>834</v>
      </c>
      <c r="AJ19" s="792">
        <v>1481.309999999999</v>
      </c>
      <c r="AK19" s="335"/>
      <c r="AL19" s="335"/>
      <c r="AM19" s="777">
        <v>834</v>
      </c>
      <c r="AN19" s="792">
        <v>4055.5499999999988</v>
      </c>
      <c r="AO19" s="335"/>
      <c r="AP19" s="335"/>
      <c r="AQ19" s="777">
        <v>834</v>
      </c>
      <c r="AR19" s="881">
        <v>4659.6600000000017</v>
      </c>
      <c r="AS19" s="335"/>
      <c r="AT19" s="335"/>
      <c r="AU19" s="777">
        <v>834</v>
      </c>
      <c r="AV19" s="881">
        <v>3804.6499999999978</v>
      </c>
      <c r="AW19" s="886"/>
      <c r="AX19" s="1000">
        <v>2579.4899999999998</v>
      </c>
      <c r="AY19" s="1001">
        <v>2579.4899999999998</v>
      </c>
      <c r="AZ19" s="1001">
        <v>2579.4899999999998</v>
      </c>
      <c r="BA19" s="1001">
        <v>2579.4899999999998</v>
      </c>
      <c r="BB19" s="1001">
        <v>2479.52</v>
      </c>
      <c r="BC19" s="1001">
        <v>2579.4899999999998</v>
      </c>
      <c r="BD19" s="1001">
        <v>2579.4899999999998</v>
      </c>
      <c r="BE19" s="1001">
        <v>2579.4899999999998</v>
      </c>
      <c r="BF19" s="1001">
        <v>2579.4899999999998</v>
      </c>
      <c r="BG19" s="1001">
        <v>2579.4899999999998</v>
      </c>
      <c r="BH19" s="1001">
        <v>2579.4899999999998</v>
      </c>
      <c r="BI19" s="1001">
        <v>99.94</v>
      </c>
      <c r="BJ19" s="1001">
        <f>'MXD P&amp;L'!N127</f>
        <v>0</v>
      </c>
      <c r="BK19" s="1001">
        <f>'MXD P&amp;L'!O127</f>
        <v>0</v>
      </c>
      <c r="BL19" s="1001">
        <f>'MXD P&amp;L'!P127</f>
        <v>0</v>
      </c>
      <c r="BM19" s="1001">
        <f>'MXD P&amp;L'!Q127</f>
        <v>0</v>
      </c>
      <c r="BN19" s="1001">
        <f>'MXD P&amp;L'!R127</f>
        <v>0</v>
      </c>
      <c r="BO19" s="1001">
        <f>'MXD P&amp;L'!S127</f>
        <v>0</v>
      </c>
      <c r="BP19" s="1001">
        <f>'MXD P&amp;L'!T127</f>
        <v>0</v>
      </c>
      <c r="BQ19" s="1001">
        <f>'MXD P&amp;L'!U125</f>
        <v>0</v>
      </c>
      <c r="BR19" s="1001">
        <f>'MXD P&amp;L'!V125</f>
        <v>0</v>
      </c>
      <c r="BS19" s="1001">
        <f>'MXD P&amp;L'!W125</f>
        <v>0</v>
      </c>
      <c r="BT19" s="1001">
        <f>'MXD P&amp;L'!X125</f>
        <v>0</v>
      </c>
      <c r="BU19" s="1001">
        <f>'MXD P&amp;L'!Y126</f>
        <v>0</v>
      </c>
      <c r="BV19" s="1003">
        <f t="shared" si="2"/>
        <v>0</v>
      </c>
      <c r="BW19" s="1002">
        <v>5316.31</v>
      </c>
      <c r="BX19" s="1004">
        <f t="shared" si="1"/>
        <v>10317.959999999999</v>
      </c>
    </row>
    <row r="20" spans="2:76" x14ac:dyDescent="0.3">
      <c r="B20" t="s">
        <v>768</v>
      </c>
      <c r="C20" s="780">
        <v>300</v>
      </c>
      <c r="D20" s="794">
        <v>434.64</v>
      </c>
      <c r="E20" s="606"/>
      <c r="F20" s="606"/>
      <c r="G20" s="780">
        <v>300</v>
      </c>
      <c r="H20" s="794">
        <v>484.63</v>
      </c>
      <c r="I20" s="338"/>
      <c r="J20" s="338"/>
      <c r="K20" s="780">
        <v>300</v>
      </c>
      <c r="L20" s="794">
        <v>434.6400000000001</v>
      </c>
      <c r="M20" s="338"/>
      <c r="N20" s="338"/>
      <c r="O20" s="780">
        <v>300</v>
      </c>
      <c r="P20" s="794">
        <v>434.63999999999987</v>
      </c>
      <c r="Q20" s="338"/>
      <c r="R20" s="338"/>
      <c r="S20" s="780">
        <v>300</v>
      </c>
      <c r="T20" s="794">
        <v>484.62999999999988</v>
      </c>
      <c r="U20" s="338"/>
      <c r="V20" s="338"/>
      <c r="W20" s="780">
        <v>300</v>
      </c>
      <c r="X20" s="794">
        <v>434.64000000000033</v>
      </c>
      <c r="Y20" s="338"/>
      <c r="Z20" s="338"/>
      <c r="AA20" s="780">
        <v>300</v>
      </c>
      <c r="AB20" s="794">
        <v>434.63999999999987</v>
      </c>
      <c r="AC20" s="338"/>
      <c r="AD20" s="338"/>
      <c r="AE20" s="780">
        <v>300</v>
      </c>
      <c r="AF20" s="794">
        <v>434.63999999999987</v>
      </c>
      <c r="AG20" s="338"/>
      <c r="AH20" s="338"/>
      <c r="AI20" s="780">
        <v>300</v>
      </c>
      <c r="AJ20" s="794">
        <v>434.63999999999987</v>
      </c>
      <c r="AK20" s="338"/>
      <c r="AL20" s="338"/>
      <c r="AM20" s="780">
        <v>300</v>
      </c>
      <c r="AN20" s="794">
        <v>434.64000000000033</v>
      </c>
      <c r="AO20" s="338"/>
      <c r="AP20" s="338"/>
      <c r="AQ20" s="780">
        <v>300</v>
      </c>
      <c r="AR20" s="881">
        <v>434.64000000000033</v>
      </c>
      <c r="AS20" s="338"/>
      <c r="AT20" s="338"/>
      <c r="AU20" s="780">
        <v>300</v>
      </c>
      <c r="AV20" s="881">
        <v>513.63999999999942</v>
      </c>
      <c r="AW20" s="886"/>
      <c r="AX20" s="1000">
        <v>513.64</v>
      </c>
      <c r="AY20" s="1001">
        <v>720.35</v>
      </c>
      <c r="AZ20" s="1001">
        <v>275.31</v>
      </c>
      <c r="BA20" s="1001">
        <v>275.31</v>
      </c>
      <c r="BB20" s="1001">
        <v>275.31</v>
      </c>
      <c r="BC20" s="1001">
        <v>282.62</v>
      </c>
      <c r="BD20" s="1001">
        <v>249.63</v>
      </c>
      <c r="BE20" s="1001">
        <v>264.62</v>
      </c>
      <c r="BF20" s="1001">
        <v>247.06</v>
      </c>
      <c r="BG20" s="1001">
        <v>280.45999999999998</v>
      </c>
      <c r="BH20" s="1001">
        <v>310.47000000000003</v>
      </c>
      <c r="BI20" s="1001">
        <v>342.26</v>
      </c>
      <c r="BJ20" s="1001">
        <f>'MXD P&amp;L'!N128</f>
        <v>342.26</v>
      </c>
      <c r="BK20" s="1001">
        <f>'MXD P&amp;L'!O128</f>
        <v>0</v>
      </c>
      <c r="BL20" s="1001">
        <f>'MXD P&amp;L'!P128</f>
        <v>0</v>
      </c>
      <c r="BM20" s="1001">
        <f>'MXD P&amp;L'!Q128</f>
        <v>0</v>
      </c>
      <c r="BN20" s="1001">
        <f>'MXD P&amp;L'!R128</f>
        <v>0</v>
      </c>
      <c r="BO20" s="1001">
        <f>'MXD P&amp;L'!S128</f>
        <v>0</v>
      </c>
      <c r="BP20" s="1001">
        <f>'MXD P&amp;L'!T128</f>
        <v>0</v>
      </c>
      <c r="BQ20" s="1001">
        <f>'MXD P&amp;L'!U126</f>
        <v>0</v>
      </c>
      <c r="BR20" s="1001">
        <f>'MXD P&amp;L'!V126</f>
        <v>0</v>
      </c>
      <c r="BS20" s="1001">
        <f>'MXD P&amp;L'!W126</f>
        <v>9500</v>
      </c>
      <c r="BT20" s="1001">
        <f>'MXD P&amp;L'!X126</f>
        <v>0</v>
      </c>
      <c r="BU20" s="1001">
        <f>'MXD P&amp;L'!Y127</f>
        <v>0</v>
      </c>
      <c r="BV20" s="1003">
        <f t="shared" si="2"/>
        <v>9842.26</v>
      </c>
      <c r="BW20" s="1002">
        <v>5317.31</v>
      </c>
      <c r="BX20" s="1004">
        <f t="shared" si="1"/>
        <v>1784.61</v>
      </c>
    </row>
    <row r="21" spans="2:76" x14ac:dyDescent="0.3">
      <c r="B21" t="s">
        <v>769</v>
      </c>
      <c r="C21" s="770"/>
      <c r="D21" s="795"/>
      <c r="E21" s="607"/>
      <c r="F21" s="607"/>
      <c r="G21" s="770"/>
      <c r="H21" s="795"/>
      <c r="I21" s="18"/>
      <c r="J21" s="18"/>
      <c r="K21" s="770"/>
      <c r="L21" s="795"/>
      <c r="M21" s="18"/>
      <c r="N21" s="18"/>
      <c r="O21" s="770">
        <v>30000</v>
      </c>
      <c r="P21" s="795">
        <v>15.6</v>
      </c>
      <c r="Q21" s="18"/>
      <c r="R21" s="18"/>
      <c r="S21" s="770">
        <v>10000</v>
      </c>
      <c r="T21" s="795">
        <v>11.2</v>
      </c>
      <c r="U21" s="18"/>
      <c r="V21" s="18"/>
      <c r="W21" s="770">
        <v>10000</v>
      </c>
      <c r="X21" s="795">
        <v>384.92</v>
      </c>
      <c r="Y21" s="18"/>
      <c r="Z21" s="18"/>
      <c r="AA21" s="770"/>
      <c r="AB21" s="795">
        <v>169.55999999999989</v>
      </c>
      <c r="AC21" s="18"/>
      <c r="AD21" s="18"/>
      <c r="AE21" s="770">
        <v>10000</v>
      </c>
      <c r="AF21" s="795">
        <v>301.18000000000012</v>
      </c>
      <c r="AG21" s="18"/>
      <c r="AH21" s="18"/>
      <c r="AI21" s="770">
        <v>20000</v>
      </c>
      <c r="AJ21" s="795">
        <v>17793.64</v>
      </c>
      <c r="AK21" s="18"/>
      <c r="AL21" s="18"/>
      <c r="AM21" s="770">
        <v>20000</v>
      </c>
      <c r="AN21" s="795">
        <v>18532.62</v>
      </c>
      <c r="AO21" s="18"/>
      <c r="AP21" s="18"/>
      <c r="AQ21" s="770">
        <v>10000</v>
      </c>
      <c r="AR21" s="881">
        <v>34294.350000000013</v>
      </c>
      <c r="AS21" s="18"/>
      <c r="AT21" s="18"/>
      <c r="AU21" s="770">
        <v>10000</v>
      </c>
      <c r="AV21" s="881">
        <v>1996.259999999995</v>
      </c>
      <c r="AW21" s="886"/>
      <c r="AX21" s="1005">
        <v>4878.07</v>
      </c>
      <c r="AY21" s="1006">
        <v>2681.21</v>
      </c>
      <c r="AZ21" s="1006">
        <v>1242.1199999999999</v>
      </c>
      <c r="BA21" s="1006">
        <v>7370.7</v>
      </c>
      <c r="BB21" s="1006">
        <v>29291.63</v>
      </c>
      <c r="BC21" s="1006">
        <v>5132.12</v>
      </c>
      <c r="BD21" s="1006">
        <v>202.48</v>
      </c>
      <c r="BE21" s="1006">
        <v>14105.15</v>
      </c>
      <c r="BF21" s="1006">
        <v>7175.83</v>
      </c>
      <c r="BG21" s="1006">
        <v>14571.89</v>
      </c>
      <c r="BH21" s="1006">
        <v>1473.22</v>
      </c>
      <c r="BI21" s="1006">
        <v>426.43</v>
      </c>
      <c r="BJ21" s="1001">
        <f>'MXD P&amp;L'!N129</f>
        <v>0</v>
      </c>
      <c r="BK21" s="1001">
        <f>'MXD P&amp;L'!O129</f>
        <v>1000</v>
      </c>
      <c r="BL21" s="1001">
        <f>'MXD P&amp;L'!P129</f>
        <v>14461.61</v>
      </c>
      <c r="BM21" s="1001">
        <f>'MXD P&amp;L'!Q129</f>
        <v>13342.13</v>
      </c>
      <c r="BN21" s="1001">
        <f>'MXD P&amp;L'!R129</f>
        <v>8645.4599999999991</v>
      </c>
      <c r="BO21" s="1001">
        <f>'MXD P&amp;L'!S129</f>
        <v>17327.77</v>
      </c>
      <c r="BP21" s="1001">
        <f>'MXD P&amp;L'!T129</f>
        <v>6621.69</v>
      </c>
      <c r="BQ21" s="1001">
        <f>'MXD P&amp;L'!U127</f>
        <v>0</v>
      </c>
      <c r="BR21" s="1001">
        <f>'MXD P&amp;L'!V127</f>
        <v>0</v>
      </c>
      <c r="BS21" s="1001">
        <f>'MXD P&amp;L'!W127</f>
        <v>0</v>
      </c>
      <c r="BT21" s="1001">
        <f>'MXD P&amp;L'!X127</f>
        <v>0</v>
      </c>
      <c r="BU21" s="1001">
        <f>'MXD P&amp;L'!Y128</f>
        <v>0</v>
      </c>
      <c r="BV21" s="1003">
        <f t="shared" si="2"/>
        <v>61398.66</v>
      </c>
      <c r="BW21" s="1002">
        <v>5318.31</v>
      </c>
      <c r="BX21" s="1004">
        <f t="shared" si="1"/>
        <v>16172.099999999999</v>
      </c>
    </row>
    <row r="22" spans="2:76" x14ac:dyDescent="0.3">
      <c r="B22" t="s">
        <v>770</v>
      </c>
      <c r="C22" s="769"/>
      <c r="D22" s="790"/>
      <c r="E22" s="602"/>
      <c r="F22" s="602"/>
      <c r="G22" s="769"/>
      <c r="H22" s="790"/>
      <c r="I22" s="16"/>
      <c r="J22" s="16"/>
      <c r="K22" s="769"/>
      <c r="L22" s="790"/>
      <c r="M22" s="16"/>
      <c r="N22" s="16"/>
      <c r="O22" s="769"/>
      <c r="P22" s="790"/>
      <c r="Q22" s="16"/>
      <c r="R22" s="16"/>
      <c r="S22" s="769"/>
      <c r="T22" s="790"/>
      <c r="U22" s="16"/>
      <c r="V22" s="16"/>
      <c r="W22" s="769">
        <v>1250</v>
      </c>
      <c r="X22" s="790"/>
      <c r="Y22" s="16"/>
      <c r="Z22" s="16"/>
      <c r="AA22" s="769"/>
      <c r="AB22" s="790">
        <v>0</v>
      </c>
      <c r="AC22" s="16"/>
      <c r="AD22" s="16"/>
      <c r="AE22" s="769"/>
      <c r="AF22" s="790"/>
      <c r="AG22" s="16"/>
      <c r="AH22" s="16"/>
      <c r="AI22" s="769">
        <v>1250</v>
      </c>
      <c r="AJ22" s="790"/>
      <c r="AK22" s="16"/>
      <c r="AL22" s="16"/>
      <c r="AM22" s="769"/>
      <c r="AN22" s="790"/>
      <c r="AO22" s="16"/>
      <c r="AP22" s="16"/>
      <c r="AQ22" s="769">
        <v>2500</v>
      </c>
      <c r="AR22" s="766"/>
      <c r="AS22" s="16"/>
      <c r="AT22" s="16"/>
      <c r="AU22" s="769"/>
      <c r="AV22" s="766"/>
      <c r="AW22" s="16"/>
      <c r="AX22" s="1007">
        <v>0</v>
      </c>
      <c r="AY22" s="1008">
        <v>0</v>
      </c>
      <c r="AZ22" s="1008">
        <v>0</v>
      </c>
      <c r="BA22" s="1008">
        <v>0</v>
      </c>
      <c r="BB22" s="1008">
        <v>0</v>
      </c>
      <c r="BC22" s="1008">
        <v>3011.46</v>
      </c>
      <c r="BD22" s="1008">
        <v>1752.34</v>
      </c>
      <c r="BE22" s="1008">
        <v>6563.75</v>
      </c>
      <c r="BF22" s="1008">
        <v>3632.45</v>
      </c>
      <c r="BG22" s="1008">
        <v>192.8</v>
      </c>
      <c r="BH22" s="1008">
        <v>0</v>
      </c>
      <c r="BI22" s="1008">
        <v>0</v>
      </c>
      <c r="BJ22" s="1001">
        <f>'MXD P&amp;L'!N130</f>
        <v>0</v>
      </c>
      <c r="BK22" s="1001">
        <f>'MXD P&amp;L'!O130</f>
        <v>0</v>
      </c>
      <c r="BL22" s="1001">
        <f>'MXD P&amp;L'!P130</f>
        <v>436.4</v>
      </c>
      <c r="BM22" s="1001">
        <f>'MXD P&amp;L'!Q130</f>
        <v>116.49</v>
      </c>
      <c r="BN22" s="1001">
        <f>'MXD P&amp;L'!R130</f>
        <v>3778.03</v>
      </c>
      <c r="BO22" s="1001">
        <f>'MXD P&amp;L'!S130</f>
        <v>1728.94</v>
      </c>
      <c r="BP22" s="1001">
        <f>'MXD P&amp;L'!T130</f>
        <v>1931.99</v>
      </c>
      <c r="BQ22" s="1001">
        <f>'MXD P&amp;L'!U128</f>
        <v>0</v>
      </c>
      <c r="BR22" s="1001">
        <f>'MXD P&amp;L'!V128</f>
        <v>0</v>
      </c>
      <c r="BS22" s="1001">
        <f>'MXD P&amp;L'!W128</f>
        <v>0</v>
      </c>
      <c r="BT22" s="1001">
        <f>'MXD P&amp;L'!X128</f>
        <v>0</v>
      </c>
      <c r="BU22" s="1001">
        <f>'MXD P&amp;L'!Y129</f>
        <v>0</v>
      </c>
      <c r="BV22" s="1003">
        <f t="shared" si="2"/>
        <v>7991.85</v>
      </c>
      <c r="BW22" s="1002">
        <v>5319.31</v>
      </c>
      <c r="BX22" s="1004">
        <f t="shared" si="1"/>
        <v>0</v>
      </c>
    </row>
    <row r="23" spans="2:76" ht="15.6" x14ac:dyDescent="0.3">
      <c r="B23" s="1398" t="s">
        <v>1250</v>
      </c>
      <c r="C23" s="769"/>
      <c r="D23" s="790"/>
      <c r="E23" s="602"/>
      <c r="F23" s="602"/>
      <c r="G23" s="769"/>
      <c r="H23" s="790"/>
      <c r="I23" s="16"/>
      <c r="J23" s="16"/>
      <c r="K23" s="769"/>
      <c r="L23" s="790"/>
      <c r="M23" s="16"/>
      <c r="N23" s="16"/>
      <c r="O23" s="769"/>
      <c r="P23" s="790"/>
      <c r="Q23" s="16"/>
      <c r="R23" s="16"/>
      <c r="S23" s="769"/>
      <c r="T23" s="790"/>
      <c r="U23" s="16"/>
      <c r="V23" s="16"/>
      <c r="W23" s="769"/>
      <c r="X23" s="790"/>
      <c r="Y23" s="16"/>
      <c r="Z23" s="16"/>
      <c r="AA23" s="769"/>
      <c r="AB23" s="790"/>
      <c r="AC23" s="16"/>
      <c r="AD23" s="16"/>
      <c r="AE23" s="769"/>
      <c r="AF23" s="790"/>
      <c r="AG23" s="16"/>
      <c r="AH23" s="16"/>
      <c r="AI23" s="769"/>
      <c r="AJ23" s="790"/>
      <c r="AK23" s="16"/>
      <c r="AL23" s="16"/>
      <c r="AM23" s="769"/>
      <c r="AN23" s="790"/>
      <c r="AO23" s="16"/>
      <c r="AP23" s="16"/>
      <c r="AQ23" s="769"/>
      <c r="AR23" s="766"/>
      <c r="AS23" s="16"/>
      <c r="AT23" s="16"/>
      <c r="AU23" s="769"/>
      <c r="AV23" s="766"/>
      <c r="AW23" s="16"/>
      <c r="AX23" s="1007"/>
      <c r="AY23" s="1008"/>
      <c r="AZ23" s="1008"/>
      <c r="BA23" s="1008"/>
      <c r="BB23" s="1008"/>
      <c r="BC23" s="1008"/>
      <c r="BD23" s="1008"/>
      <c r="BE23" s="1008"/>
      <c r="BF23" s="1008"/>
      <c r="BG23" s="1008"/>
      <c r="BH23" s="1008"/>
      <c r="BI23" s="1008"/>
      <c r="BJ23" s="1001">
        <f>'MXD P&amp;L'!N131</f>
        <v>0</v>
      </c>
      <c r="BK23" s="1001">
        <f>'MXD P&amp;L'!O131</f>
        <v>0</v>
      </c>
      <c r="BL23" s="1001">
        <f>'MXD P&amp;L'!P131</f>
        <v>0</v>
      </c>
      <c r="BM23" s="1001">
        <f>'MXD P&amp;L'!Q131</f>
        <v>0</v>
      </c>
      <c r="BN23" s="1001">
        <f>'MXD P&amp;L'!R131</f>
        <v>0</v>
      </c>
      <c r="BO23" s="1001">
        <f>'MXD P&amp;L'!S131</f>
        <v>401.36</v>
      </c>
      <c r="BP23" s="1001">
        <f>'MXD P&amp;L'!T131</f>
        <v>0</v>
      </c>
      <c r="BQ23" s="1001">
        <f>'MXD P&amp;L'!U129</f>
        <v>16251.84</v>
      </c>
      <c r="BR23" s="1001">
        <f>'MXD P&amp;L'!V129</f>
        <v>14066.96</v>
      </c>
      <c r="BS23" s="1001">
        <f>'MXD P&amp;L'!W129</f>
        <v>11927.96</v>
      </c>
      <c r="BT23" s="1001">
        <f>'MXD P&amp;L'!X129</f>
        <v>0</v>
      </c>
      <c r="BU23" s="1001">
        <f>'MXD P&amp;L'!Y130</f>
        <v>0</v>
      </c>
      <c r="BV23" s="1003">
        <f t="shared" si="2"/>
        <v>42648.119999999995</v>
      </c>
      <c r="BW23" s="1002">
        <v>5319.31</v>
      </c>
      <c r="BX23" s="1004">
        <f t="shared" ref="BX23:BX25" si="3">SUM(AX23:BA23)</f>
        <v>0</v>
      </c>
    </row>
    <row r="24" spans="2:76" x14ac:dyDescent="0.3">
      <c r="B24" t="s">
        <v>771</v>
      </c>
      <c r="C24" s="770">
        <v>125</v>
      </c>
      <c r="D24" s="795">
        <v>281.93</v>
      </c>
      <c r="E24" s="607"/>
      <c r="F24" s="607"/>
      <c r="G24" s="770">
        <v>125</v>
      </c>
      <c r="H24" s="795">
        <v>220.06</v>
      </c>
      <c r="I24" s="18"/>
      <c r="J24" s="18"/>
      <c r="K24" s="770">
        <v>125</v>
      </c>
      <c r="L24" s="795">
        <v>421.24</v>
      </c>
      <c r="M24" s="18"/>
      <c r="N24" s="18"/>
      <c r="O24" s="770">
        <v>125</v>
      </c>
      <c r="P24" s="795">
        <v>946.47</v>
      </c>
      <c r="Q24" s="18"/>
      <c r="R24" s="18"/>
      <c r="S24" s="770">
        <v>125</v>
      </c>
      <c r="T24" s="795">
        <v>318.16999999999979</v>
      </c>
      <c r="U24" s="18"/>
      <c r="V24" s="18"/>
      <c r="W24" s="770">
        <v>125</v>
      </c>
      <c r="X24" s="795">
        <v>210.4500000000003</v>
      </c>
      <c r="Y24" s="18"/>
      <c r="Z24" s="18"/>
      <c r="AA24" s="770">
        <v>125</v>
      </c>
      <c r="AB24" s="795">
        <v>730.13999999999987</v>
      </c>
      <c r="AC24" s="18"/>
      <c r="AD24" s="18"/>
      <c r="AE24" s="770">
        <v>125</v>
      </c>
      <c r="AF24" s="795">
        <v>218.00999999999979</v>
      </c>
      <c r="AG24" s="18"/>
      <c r="AH24" s="18"/>
      <c r="AI24" s="770">
        <v>125</v>
      </c>
      <c r="AJ24" s="795">
        <v>547.49000000000024</v>
      </c>
      <c r="AK24" s="18"/>
      <c r="AL24" s="18"/>
      <c r="AM24" s="770">
        <v>125</v>
      </c>
      <c r="AN24" s="795">
        <v>612.15999999999985</v>
      </c>
      <c r="AO24" s="18"/>
      <c r="AP24" s="18"/>
      <c r="AQ24" s="770">
        <v>125</v>
      </c>
      <c r="AR24" s="881">
        <v>379.15000000000049</v>
      </c>
      <c r="AS24" s="18"/>
      <c r="AT24" s="18"/>
      <c r="AU24" s="770">
        <v>125</v>
      </c>
      <c r="AV24" s="881">
        <v>400.09999999999951</v>
      </c>
      <c r="AW24" s="886"/>
      <c r="AX24" s="1005">
        <v>71.75</v>
      </c>
      <c r="AY24" s="1006">
        <v>162.99</v>
      </c>
      <c r="AZ24" s="1006">
        <v>194.55</v>
      </c>
      <c r="BA24" s="1006">
        <v>202.3</v>
      </c>
      <c r="BB24" s="1006">
        <v>169.39</v>
      </c>
      <c r="BC24" s="1006">
        <v>162.03</v>
      </c>
      <c r="BD24" s="1006">
        <v>196.57</v>
      </c>
      <c r="BE24" s="1006">
        <v>149.52000000000001</v>
      </c>
      <c r="BF24" s="1006">
        <v>0</v>
      </c>
      <c r="BG24" s="1006">
        <v>198.53</v>
      </c>
      <c r="BH24" s="1006">
        <v>232.71</v>
      </c>
      <c r="BI24" s="1006">
        <v>151.16999999999999</v>
      </c>
      <c r="BJ24" s="1001">
        <f>'MXD P&amp;L'!N132</f>
        <v>0</v>
      </c>
      <c r="BK24" s="1001">
        <f>'MXD P&amp;L'!O132</f>
        <v>0</v>
      </c>
      <c r="BL24" s="1001">
        <f>'MXD P&amp;L'!P132</f>
        <v>72.760000000000005</v>
      </c>
      <c r="BM24" s="1001">
        <f>'MXD P&amp;L'!Q132</f>
        <v>0</v>
      </c>
      <c r="BN24" s="1001">
        <f>'MXD P&amp;L'!R132</f>
        <v>0</v>
      </c>
      <c r="BO24" s="1001">
        <f>'MXD P&amp;L'!S132</f>
        <v>162.63999999999999</v>
      </c>
      <c r="BP24" s="1001">
        <f>'MXD P&amp;L'!T132</f>
        <v>0</v>
      </c>
      <c r="BQ24" s="1001">
        <f>'MXD P&amp;L'!U130</f>
        <v>409.2</v>
      </c>
      <c r="BR24" s="1001">
        <f>'MXD P&amp;L'!V130</f>
        <v>5962.94</v>
      </c>
      <c r="BS24" s="1001">
        <f>'MXD P&amp;L'!W130</f>
        <v>0</v>
      </c>
      <c r="BT24" s="1001">
        <f>'MXD P&amp;L'!X130</f>
        <v>0</v>
      </c>
      <c r="BU24" s="1001">
        <f>'MXD P&amp;L'!Y131</f>
        <v>0</v>
      </c>
      <c r="BV24" s="1003">
        <f t="shared" si="2"/>
        <v>6607.5399999999991</v>
      </c>
      <c r="BW24" s="1002">
        <v>5319.31</v>
      </c>
      <c r="BX24" s="1004">
        <f t="shared" si="3"/>
        <v>631.59</v>
      </c>
    </row>
    <row r="25" spans="2:76" ht="15.6" x14ac:dyDescent="0.3">
      <c r="B25" s="1398" t="s">
        <v>1251</v>
      </c>
      <c r="C25" s="770"/>
      <c r="D25" s="795"/>
      <c r="E25" s="607"/>
      <c r="F25" s="607"/>
      <c r="G25" s="770"/>
      <c r="H25" s="795"/>
      <c r="I25" s="18"/>
      <c r="J25" s="18"/>
      <c r="K25" s="770"/>
      <c r="L25" s="795"/>
      <c r="M25" s="18"/>
      <c r="N25" s="18"/>
      <c r="O25" s="770"/>
      <c r="P25" s="795"/>
      <c r="Q25" s="18"/>
      <c r="R25" s="18"/>
      <c r="S25" s="770"/>
      <c r="T25" s="795"/>
      <c r="U25" s="18"/>
      <c r="V25" s="18"/>
      <c r="W25" s="770"/>
      <c r="X25" s="795"/>
      <c r="Y25" s="18"/>
      <c r="Z25" s="18"/>
      <c r="AA25" s="770"/>
      <c r="AB25" s="795"/>
      <c r="AC25" s="18"/>
      <c r="AD25" s="18"/>
      <c r="AE25" s="770"/>
      <c r="AF25" s="795"/>
      <c r="AG25" s="18"/>
      <c r="AH25" s="18"/>
      <c r="AI25" s="770"/>
      <c r="AJ25" s="795"/>
      <c r="AK25" s="18"/>
      <c r="AL25" s="18"/>
      <c r="AM25" s="770"/>
      <c r="AN25" s="795"/>
      <c r="AO25" s="18"/>
      <c r="AP25" s="18"/>
      <c r="AQ25" s="770"/>
      <c r="AR25" s="881"/>
      <c r="AS25" s="18"/>
      <c r="AT25" s="18"/>
      <c r="AU25" s="770"/>
      <c r="AV25" s="881"/>
      <c r="AW25" s="886"/>
      <c r="AX25" s="1005"/>
      <c r="AY25" s="1006"/>
      <c r="AZ25" s="1006"/>
      <c r="BA25" s="1006"/>
      <c r="BB25" s="1006"/>
      <c r="BC25" s="1006"/>
      <c r="BD25" s="1006"/>
      <c r="BE25" s="1006"/>
      <c r="BF25" s="1006"/>
      <c r="BG25" s="1006"/>
      <c r="BH25" s="1006"/>
      <c r="BI25" s="1006"/>
      <c r="BJ25" s="1001">
        <f>'MXD P&amp;L'!N133</f>
        <v>0</v>
      </c>
      <c r="BK25" s="1001">
        <f>'MXD P&amp;L'!O133</f>
        <v>0</v>
      </c>
      <c r="BL25" s="1001">
        <f>'MXD P&amp;L'!P133</f>
        <v>0</v>
      </c>
      <c r="BM25" s="1001">
        <f>'MXD P&amp;L'!Q133</f>
        <v>0</v>
      </c>
      <c r="BN25" s="1001">
        <f>'MXD P&amp;L'!R133</f>
        <v>77.34</v>
      </c>
      <c r="BO25" s="1001">
        <f>'MXD P&amp;L'!S133</f>
        <v>0</v>
      </c>
      <c r="BP25" s="1001">
        <f>'MXD P&amp;L'!T133</f>
        <v>0</v>
      </c>
      <c r="BQ25" s="1001">
        <f>'MXD P&amp;L'!U131</f>
        <v>266.27</v>
      </c>
      <c r="BR25" s="1001">
        <f>'MXD P&amp;L'!V131</f>
        <v>372.09</v>
      </c>
      <c r="BS25" s="1001">
        <f>'MXD P&amp;L'!W131</f>
        <v>0</v>
      </c>
      <c r="BT25" s="1001">
        <f>'MXD P&amp;L'!X131</f>
        <v>0</v>
      </c>
      <c r="BU25" s="1001">
        <f>'MXD P&amp;L'!Y132</f>
        <v>0</v>
      </c>
      <c r="BV25" s="1003">
        <f t="shared" si="2"/>
        <v>715.7</v>
      </c>
      <c r="BW25" s="1002">
        <v>5319.31</v>
      </c>
      <c r="BX25" s="1004">
        <f t="shared" si="3"/>
        <v>0</v>
      </c>
    </row>
    <row r="26" spans="2:76" x14ac:dyDescent="0.3">
      <c r="B26" t="s">
        <v>772</v>
      </c>
      <c r="C26" s="770"/>
      <c r="D26" s="795">
        <v>2732.86</v>
      </c>
      <c r="E26" s="607"/>
      <c r="F26" s="607"/>
      <c r="G26" s="770"/>
      <c r="H26" s="795">
        <v>295.82999999999993</v>
      </c>
      <c r="I26" s="18"/>
      <c r="J26" s="18"/>
      <c r="K26" s="770"/>
      <c r="L26" s="795">
        <v>295.83</v>
      </c>
      <c r="M26" s="18"/>
      <c r="N26" s="18"/>
      <c r="O26" s="770"/>
      <c r="P26" s="795">
        <v>610.82999999999993</v>
      </c>
      <c r="Q26" s="18"/>
      <c r="R26" s="18"/>
      <c r="S26" s="770"/>
      <c r="T26" s="795">
        <v>781.09999999999991</v>
      </c>
      <c r="U26" s="18"/>
      <c r="V26" s="18"/>
      <c r="W26" s="770"/>
      <c r="X26" s="795">
        <v>295.82999999999993</v>
      </c>
      <c r="Y26" s="18"/>
      <c r="Z26" s="18"/>
      <c r="AA26" s="770"/>
      <c r="AB26" s="795">
        <v>384.82999999999993</v>
      </c>
      <c r="AC26" s="18"/>
      <c r="AD26" s="18"/>
      <c r="AE26" s="770"/>
      <c r="AF26" s="795">
        <v>545.82999999999993</v>
      </c>
      <c r="AG26" s="18"/>
      <c r="AH26" s="18"/>
      <c r="AI26" s="770"/>
      <c r="AJ26" s="795">
        <v>4586.04</v>
      </c>
      <c r="AK26" s="18"/>
      <c r="AL26" s="18"/>
      <c r="AM26" s="770"/>
      <c r="AN26" s="795">
        <v>295.8700000000008</v>
      </c>
      <c r="AO26" s="18"/>
      <c r="AP26" s="18"/>
      <c r="AQ26" s="770"/>
      <c r="AR26" s="881">
        <v>250</v>
      </c>
      <c r="AS26" s="18"/>
      <c r="AT26" s="18"/>
      <c r="AU26" s="770"/>
      <c r="AV26" s="881">
        <v>624.26000000000022</v>
      </c>
      <c r="AW26" s="886"/>
      <c r="AX26" s="1005">
        <v>0</v>
      </c>
      <c r="AY26" s="1006">
        <v>8683.61</v>
      </c>
      <c r="AZ26" s="1006">
        <v>18465.150000000001</v>
      </c>
      <c r="BA26" s="1006">
        <v>10946.5</v>
      </c>
      <c r="BB26" s="1006">
        <v>597.51</v>
      </c>
      <c r="BC26" s="1006">
        <v>10500.4</v>
      </c>
      <c r="BD26" s="1006">
        <v>22737.4</v>
      </c>
      <c r="BE26" s="1006">
        <v>10952.3</v>
      </c>
      <c r="BF26" s="1006">
        <v>5249.83</v>
      </c>
      <c r="BG26" s="1006">
        <v>2136.13</v>
      </c>
      <c r="BH26" s="1006">
        <v>-60610.42</v>
      </c>
      <c r="BI26" s="1006">
        <v>757.3</v>
      </c>
      <c r="BJ26" s="1001">
        <f>'MXD P&amp;L'!N134</f>
        <v>815.44999999999993</v>
      </c>
      <c r="BK26" s="1001">
        <f>'MXD P&amp;L'!O134</f>
        <v>3986.83</v>
      </c>
      <c r="BL26" s="1001">
        <f>'MXD P&amp;L'!P134</f>
        <v>2103.79</v>
      </c>
      <c r="BM26" s="1001">
        <f>'MXD P&amp;L'!Q134</f>
        <v>2749.59</v>
      </c>
      <c r="BN26" s="1001">
        <f>'MXD P&amp;L'!R134</f>
        <v>85.6</v>
      </c>
      <c r="BO26" s="1001">
        <f>'MXD P&amp;L'!S134</f>
        <v>695.27</v>
      </c>
      <c r="BP26" s="1001">
        <f>'MXD P&amp;L'!T134</f>
        <v>68.3</v>
      </c>
      <c r="BQ26" s="1001">
        <f>'MXD P&amp;L'!U132</f>
        <v>0</v>
      </c>
      <c r="BR26" s="1001">
        <f>'MXD P&amp;L'!V132</f>
        <v>0</v>
      </c>
      <c r="BS26" s="1001">
        <f>'MXD P&amp;L'!W132</f>
        <v>0</v>
      </c>
      <c r="BT26" s="1001">
        <f>'MXD P&amp;L'!X132</f>
        <v>0</v>
      </c>
      <c r="BU26" s="1001">
        <f>'MXD P&amp;L'!Y133</f>
        <v>0</v>
      </c>
      <c r="BV26" s="1003">
        <f t="shared" si="2"/>
        <v>10504.83</v>
      </c>
      <c r="BW26" s="1002">
        <v>5321.31</v>
      </c>
      <c r="BX26" s="1004">
        <f t="shared" si="1"/>
        <v>38095.26</v>
      </c>
    </row>
    <row r="27" spans="2:76" x14ac:dyDescent="0.3">
      <c r="B27" t="s">
        <v>541</v>
      </c>
      <c r="C27" s="769"/>
      <c r="D27" s="790"/>
      <c r="E27" s="602"/>
      <c r="F27" s="602"/>
      <c r="G27" s="769"/>
      <c r="H27" s="790"/>
      <c r="I27" s="16"/>
      <c r="J27" s="16"/>
      <c r="K27" s="769"/>
      <c r="L27" s="790"/>
      <c r="M27" s="16"/>
      <c r="N27" s="16"/>
      <c r="O27" s="769"/>
      <c r="P27" s="790"/>
      <c r="Q27" s="16"/>
      <c r="R27" s="16"/>
      <c r="S27" s="769"/>
      <c r="T27" s="790"/>
      <c r="U27" s="16"/>
      <c r="V27" s="16"/>
      <c r="W27" s="769"/>
      <c r="X27" s="790"/>
      <c r="Y27" s="16"/>
      <c r="Z27" s="16"/>
      <c r="AA27" s="769"/>
      <c r="AB27" s="790"/>
      <c r="AC27" s="16"/>
      <c r="AD27" s="16"/>
      <c r="AE27" s="769"/>
      <c r="AF27" s="790"/>
      <c r="AG27" s="16"/>
      <c r="AH27" s="16"/>
      <c r="AI27" s="769"/>
      <c r="AJ27" s="790"/>
      <c r="AK27" s="16"/>
      <c r="AL27" s="16"/>
      <c r="AM27" s="769"/>
      <c r="AN27" s="790"/>
      <c r="AO27" s="16"/>
      <c r="AP27" s="16"/>
      <c r="AQ27" s="769"/>
      <c r="AR27" s="756"/>
      <c r="AS27" s="16"/>
      <c r="AT27" s="16"/>
      <c r="AU27" s="769"/>
      <c r="AV27" s="756"/>
      <c r="AW27" s="16"/>
      <c r="AX27" s="1007"/>
      <c r="AY27" s="1008">
        <v>0</v>
      </c>
      <c r="AZ27" s="1008">
        <v>0</v>
      </c>
      <c r="BA27" s="1008">
        <v>0</v>
      </c>
      <c r="BB27" s="1008">
        <v>0</v>
      </c>
      <c r="BC27" s="1008">
        <v>0</v>
      </c>
      <c r="BD27" s="1008">
        <v>0</v>
      </c>
      <c r="BE27" s="1008">
        <v>0</v>
      </c>
      <c r="BF27" s="1008">
        <v>0</v>
      </c>
      <c r="BG27" s="1008">
        <v>0</v>
      </c>
      <c r="BH27" s="1008">
        <v>0</v>
      </c>
      <c r="BI27" s="1008">
        <v>0</v>
      </c>
      <c r="BJ27" s="1008">
        <v>0</v>
      </c>
      <c r="BK27" s="1008">
        <v>0</v>
      </c>
      <c r="BL27" s="1008">
        <v>0</v>
      </c>
      <c r="BM27" s="1008">
        <v>0</v>
      </c>
      <c r="BN27" s="1008">
        <v>0</v>
      </c>
      <c r="BO27" s="1008">
        <v>0</v>
      </c>
      <c r="BP27" s="1008">
        <v>0</v>
      </c>
      <c r="BQ27" s="1008">
        <v>0</v>
      </c>
      <c r="BR27" s="1008">
        <v>0</v>
      </c>
      <c r="BS27" s="1008">
        <v>0</v>
      </c>
      <c r="BT27" s="1008">
        <v>0</v>
      </c>
      <c r="BU27" s="1008">
        <v>0</v>
      </c>
      <c r="BV27" s="1003">
        <f t="shared" si="2"/>
        <v>0</v>
      </c>
      <c r="BW27" s="1002">
        <v>5322.31</v>
      </c>
      <c r="BX27" s="1004">
        <f t="shared" si="1"/>
        <v>0</v>
      </c>
    </row>
    <row r="28" spans="2:76" x14ac:dyDescent="0.3">
      <c r="B28" t="s">
        <v>542</v>
      </c>
      <c r="C28" s="769"/>
      <c r="D28" s="790"/>
      <c r="E28" s="602"/>
      <c r="F28" s="602"/>
      <c r="G28" s="769"/>
      <c r="H28" s="790"/>
      <c r="I28" s="16"/>
      <c r="J28" s="16"/>
      <c r="K28" s="769"/>
      <c r="L28" s="790"/>
      <c r="M28" s="16"/>
      <c r="N28" s="16"/>
      <c r="O28" s="769"/>
      <c r="P28" s="790"/>
      <c r="Q28" s="16"/>
      <c r="R28" s="16"/>
      <c r="S28" s="769"/>
      <c r="T28" s="790"/>
      <c r="U28" s="16"/>
      <c r="V28" s="16"/>
      <c r="W28" s="769"/>
      <c r="X28" s="790"/>
      <c r="Y28" s="16"/>
      <c r="Z28" s="16"/>
      <c r="AA28" s="769"/>
      <c r="AB28" s="790"/>
      <c r="AC28" s="16"/>
      <c r="AD28" s="16"/>
      <c r="AE28" s="769"/>
      <c r="AF28" s="790"/>
      <c r="AG28" s="16"/>
      <c r="AH28" s="16"/>
      <c r="AI28" s="769"/>
      <c r="AJ28" s="790"/>
      <c r="AK28" s="16"/>
      <c r="AL28" s="16"/>
      <c r="AM28" s="769"/>
      <c r="AN28" s="790"/>
      <c r="AO28" s="16"/>
      <c r="AP28" s="16"/>
      <c r="AQ28" s="769"/>
      <c r="AR28" s="756"/>
      <c r="AS28" s="16"/>
      <c r="AT28" s="16"/>
      <c r="AU28" s="769"/>
      <c r="AV28" s="756"/>
      <c r="AW28" s="16"/>
      <c r="AX28" s="1007"/>
      <c r="AY28" s="1008">
        <v>0</v>
      </c>
      <c r="AZ28" s="1008">
        <v>0</v>
      </c>
      <c r="BA28" s="1008">
        <v>0</v>
      </c>
      <c r="BB28" s="1008">
        <v>0</v>
      </c>
      <c r="BC28" s="1008">
        <v>0</v>
      </c>
      <c r="BD28" s="1008">
        <v>0</v>
      </c>
      <c r="BE28" s="1008">
        <v>0</v>
      </c>
      <c r="BF28" s="1008">
        <v>0</v>
      </c>
      <c r="BG28" s="1008">
        <v>0</v>
      </c>
      <c r="BH28" s="1008">
        <v>0</v>
      </c>
      <c r="BI28" s="1008">
        <v>0</v>
      </c>
      <c r="BJ28" s="1008">
        <v>0</v>
      </c>
      <c r="BK28" s="1008">
        <v>0</v>
      </c>
      <c r="BL28" s="1008">
        <v>0</v>
      </c>
      <c r="BM28" s="1008">
        <v>0</v>
      </c>
      <c r="BN28" s="1008">
        <v>0</v>
      </c>
      <c r="BO28" s="1008">
        <v>0</v>
      </c>
      <c r="BP28" s="1008">
        <v>0</v>
      </c>
      <c r="BQ28" s="1008">
        <v>0</v>
      </c>
      <c r="BR28" s="1008">
        <v>0</v>
      </c>
      <c r="BS28" s="1008">
        <v>0</v>
      </c>
      <c r="BT28" s="1008">
        <v>0</v>
      </c>
      <c r="BU28" s="1008">
        <v>0</v>
      </c>
      <c r="BV28" s="1003">
        <f t="shared" si="2"/>
        <v>0</v>
      </c>
      <c r="BW28" s="1002">
        <v>5323.31</v>
      </c>
      <c r="BX28" s="1004">
        <f t="shared" si="1"/>
        <v>0</v>
      </c>
    </row>
    <row r="29" spans="2:76" x14ac:dyDescent="0.3">
      <c r="B29" t="s">
        <v>137</v>
      </c>
      <c r="C29" s="769">
        <v>42</v>
      </c>
      <c r="D29" s="790"/>
      <c r="E29" s="602"/>
      <c r="F29" s="602"/>
      <c r="G29" s="769">
        <v>42</v>
      </c>
      <c r="H29" s="790">
        <v>39.99</v>
      </c>
      <c r="I29" s="16"/>
      <c r="J29" s="16"/>
      <c r="K29" s="769">
        <v>42</v>
      </c>
      <c r="L29" s="790">
        <v>337.44</v>
      </c>
      <c r="M29" s="16"/>
      <c r="N29" s="16"/>
      <c r="O29" s="769">
        <v>42</v>
      </c>
      <c r="P29" s="790">
        <v>817.16000000000008</v>
      </c>
      <c r="Q29" s="16"/>
      <c r="R29" s="16"/>
      <c r="S29" s="769">
        <v>42</v>
      </c>
      <c r="T29" s="790"/>
      <c r="U29" s="16"/>
      <c r="V29" s="16"/>
      <c r="W29" s="769">
        <v>42</v>
      </c>
      <c r="X29" s="790">
        <v>255.22999999999979</v>
      </c>
      <c r="Y29" s="16"/>
      <c r="Z29" s="16"/>
      <c r="AA29" s="769">
        <v>42</v>
      </c>
      <c r="AB29" s="790">
        <v>39.990000000000009</v>
      </c>
      <c r="AC29" s="16"/>
      <c r="AD29" s="16"/>
      <c r="AE29" s="769">
        <v>42</v>
      </c>
      <c r="AF29" s="790">
        <v>39.990000000000009</v>
      </c>
      <c r="AG29" s="16"/>
      <c r="AH29" s="16"/>
      <c r="AI29" s="769">
        <v>42</v>
      </c>
      <c r="AJ29" s="790"/>
      <c r="AK29" s="16"/>
      <c r="AL29" s="16"/>
      <c r="AM29" s="769">
        <v>42</v>
      </c>
      <c r="AN29" s="790"/>
      <c r="AO29" s="16"/>
      <c r="AP29" s="16"/>
      <c r="AQ29" s="769">
        <v>42</v>
      </c>
      <c r="AR29" s="756"/>
      <c r="AS29" s="16"/>
      <c r="AT29" s="16"/>
      <c r="AU29" s="769">
        <v>42</v>
      </c>
      <c r="AV29" s="756"/>
      <c r="AW29" s="16"/>
      <c r="AX29" s="1007"/>
      <c r="AY29" s="1008"/>
      <c r="AZ29" s="1008"/>
      <c r="BA29" s="1008"/>
      <c r="BB29" s="1008"/>
      <c r="BC29" s="1008"/>
      <c r="BD29" s="1008"/>
      <c r="BE29" s="1008"/>
      <c r="BF29" s="1008"/>
      <c r="BG29" s="1008"/>
      <c r="BH29" s="1008"/>
      <c r="BI29" s="1008">
        <v>0</v>
      </c>
      <c r="BJ29" s="1008">
        <v>0</v>
      </c>
      <c r="BK29" s="1008">
        <v>0</v>
      </c>
      <c r="BL29" s="1008">
        <v>0</v>
      </c>
      <c r="BM29" s="1008">
        <v>0</v>
      </c>
      <c r="BN29" s="1008">
        <v>0</v>
      </c>
      <c r="BO29" s="1008">
        <v>0</v>
      </c>
      <c r="BP29" s="1008">
        <v>0</v>
      </c>
      <c r="BQ29" s="1008">
        <v>0</v>
      </c>
      <c r="BR29" s="1008">
        <v>0</v>
      </c>
      <c r="BS29" s="1008">
        <v>0</v>
      </c>
      <c r="BT29" s="1008">
        <v>0</v>
      </c>
      <c r="BU29" s="1008">
        <v>0</v>
      </c>
      <c r="BV29" s="1003">
        <f t="shared" si="2"/>
        <v>0</v>
      </c>
      <c r="BW29" s="1002">
        <v>5324.31</v>
      </c>
      <c r="BX29" s="1004">
        <f t="shared" si="1"/>
        <v>0</v>
      </c>
    </row>
    <row r="30" spans="2:76" x14ac:dyDescent="0.3">
      <c r="B30" t="s">
        <v>915</v>
      </c>
      <c r="C30" s="780"/>
      <c r="D30" s="794"/>
      <c r="E30" s="606"/>
      <c r="F30" s="606"/>
      <c r="G30" s="780"/>
      <c r="H30" s="794"/>
      <c r="I30" s="338"/>
      <c r="J30" s="338"/>
      <c r="K30" s="780"/>
      <c r="L30" s="794"/>
      <c r="M30" s="336"/>
      <c r="N30" s="336"/>
      <c r="O30" s="780"/>
      <c r="P30" s="794"/>
      <c r="Q30" s="338"/>
      <c r="R30" s="338"/>
      <c r="S30" s="780"/>
      <c r="T30" s="794"/>
      <c r="U30" s="338"/>
      <c r="V30" s="338"/>
      <c r="W30" s="780"/>
      <c r="X30" s="794"/>
      <c r="Y30" s="336"/>
      <c r="Z30" s="336"/>
      <c r="AA30" s="780"/>
      <c r="AB30" s="794"/>
      <c r="AC30" s="338"/>
      <c r="AD30" s="338"/>
      <c r="AE30" s="780"/>
      <c r="AF30" s="794"/>
      <c r="AG30" s="338"/>
      <c r="AH30" s="338"/>
      <c r="AI30" s="780"/>
      <c r="AJ30" s="794"/>
      <c r="AK30" s="336"/>
      <c r="AL30" s="336"/>
      <c r="AM30" s="780"/>
      <c r="AN30" s="794"/>
      <c r="AO30" s="338"/>
      <c r="AP30" s="338"/>
      <c r="AQ30" s="780"/>
      <c r="AR30" s="881"/>
      <c r="AS30" s="338"/>
      <c r="AT30" s="338"/>
      <c r="AU30" s="780"/>
      <c r="AV30" s="881"/>
      <c r="AW30" s="886"/>
      <c r="AX30" s="1000"/>
      <c r="AY30" s="1001">
        <v>0</v>
      </c>
      <c r="AZ30" s="1001">
        <v>0</v>
      </c>
      <c r="BA30" s="1001">
        <v>0</v>
      </c>
      <c r="BB30" s="1001">
        <v>0</v>
      </c>
      <c r="BC30" s="1001">
        <v>0</v>
      </c>
      <c r="BD30" s="1001">
        <v>0</v>
      </c>
      <c r="BE30" s="1001">
        <v>0</v>
      </c>
      <c r="BF30" s="1001">
        <v>0</v>
      </c>
      <c r="BG30" s="1001">
        <v>0</v>
      </c>
      <c r="BH30" s="1001">
        <v>0</v>
      </c>
      <c r="BI30" s="1001">
        <v>0</v>
      </c>
      <c r="BJ30" s="1001">
        <v>0</v>
      </c>
      <c r="BK30" s="1001">
        <v>0</v>
      </c>
      <c r="BL30" s="1001">
        <v>0</v>
      </c>
      <c r="BM30" s="1001">
        <v>0</v>
      </c>
      <c r="BN30" s="1001">
        <v>0</v>
      </c>
      <c r="BO30" s="1001">
        <v>0</v>
      </c>
      <c r="BP30" s="1001">
        <v>0</v>
      </c>
      <c r="BQ30" s="1001">
        <v>0</v>
      </c>
      <c r="BR30" s="1001">
        <v>0</v>
      </c>
      <c r="BS30" s="1001">
        <v>0</v>
      </c>
      <c r="BT30" s="1001">
        <v>0</v>
      </c>
      <c r="BU30" s="1001">
        <v>0</v>
      </c>
      <c r="BV30" s="1003">
        <f t="shared" si="2"/>
        <v>0</v>
      </c>
      <c r="BW30" s="1002">
        <v>5325.31</v>
      </c>
      <c r="BX30" s="1004">
        <f t="shared" si="1"/>
        <v>0</v>
      </c>
    </row>
    <row r="31" spans="2:76" ht="15.75" customHeight="1" x14ac:dyDescent="0.3">
      <c r="B31" t="s">
        <v>136</v>
      </c>
      <c r="C31" s="769">
        <v>209</v>
      </c>
      <c r="D31" s="790"/>
      <c r="E31" s="602"/>
      <c r="F31" s="602"/>
      <c r="G31" s="769">
        <v>209</v>
      </c>
      <c r="H31" s="790">
        <v>690.48999999999978</v>
      </c>
      <c r="I31" s="16"/>
      <c r="J31" s="16"/>
      <c r="K31" s="769">
        <v>209</v>
      </c>
      <c r="L31" s="790">
        <v>49.989999999999782</v>
      </c>
      <c r="M31" s="16"/>
      <c r="N31" s="16"/>
      <c r="O31" s="769">
        <v>209</v>
      </c>
      <c r="P31" s="790">
        <v>1579.5400000000011</v>
      </c>
      <c r="Q31" s="16"/>
      <c r="R31" s="16"/>
      <c r="S31" s="769">
        <v>209</v>
      </c>
      <c r="T31" s="790"/>
      <c r="U31" s="16"/>
      <c r="V31" s="16"/>
      <c r="W31" s="769">
        <v>209</v>
      </c>
      <c r="X31" s="790"/>
      <c r="Y31" s="16"/>
      <c r="Z31" s="16"/>
      <c r="AA31" s="769">
        <v>209</v>
      </c>
      <c r="AB31" s="790"/>
      <c r="AC31" s="16"/>
      <c r="AD31" s="16"/>
      <c r="AE31" s="769">
        <v>209</v>
      </c>
      <c r="AF31" s="790"/>
      <c r="AG31" s="16"/>
      <c r="AH31" s="16"/>
      <c r="AI31" s="769">
        <v>209</v>
      </c>
      <c r="AJ31" s="790"/>
      <c r="AK31" s="16"/>
      <c r="AL31" s="16"/>
      <c r="AM31" s="769">
        <v>209</v>
      </c>
      <c r="AN31" s="790"/>
      <c r="AO31" s="16"/>
      <c r="AP31" s="16"/>
      <c r="AQ31" s="769">
        <v>209</v>
      </c>
      <c r="AR31" s="756"/>
      <c r="AS31" s="16"/>
      <c r="AT31" s="16"/>
      <c r="AU31" s="769">
        <v>209</v>
      </c>
      <c r="AV31" s="756"/>
      <c r="AW31" s="16"/>
      <c r="AX31" s="1007"/>
      <c r="AY31" s="1008">
        <v>0</v>
      </c>
      <c r="AZ31" s="1008">
        <v>0</v>
      </c>
      <c r="BA31" s="1008">
        <v>0</v>
      </c>
      <c r="BB31" s="1008">
        <v>0</v>
      </c>
      <c r="BC31" s="1008">
        <v>0</v>
      </c>
      <c r="BD31" s="1008">
        <v>0</v>
      </c>
      <c r="BE31" s="1008">
        <v>0</v>
      </c>
      <c r="BF31" s="1008">
        <v>0</v>
      </c>
      <c r="BG31" s="1008">
        <v>0</v>
      </c>
      <c r="BH31" s="1008">
        <v>0</v>
      </c>
      <c r="BI31" s="1008">
        <v>0</v>
      </c>
      <c r="BJ31" s="1008">
        <v>0</v>
      </c>
      <c r="BK31" s="1008">
        <v>0</v>
      </c>
      <c r="BL31" s="1008">
        <v>0</v>
      </c>
      <c r="BM31" s="1008">
        <v>0</v>
      </c>
      <c r="BN31" s="1008">
        <v>0</v>
      </c>
      <c r="BO31" s="1008">
        <v>0</v>
      </c>
      <c r="BP31" s="1008">
        <v>0</v>
      </c>
      <c r="BQ31" s="1008">
        <v>0</v>
      </c>
      <c r="BR31" s="1008">
        <v>0</v>
      </c>
      <c r="BS31" s="1008">
        <v>0</v>
      </c>
      <c r="BT31" s="1008">
        <v>0</v>
      </c>
      <c r="BU31" s="1008">
        <v>0</v>
      </c>
      <c r="BV31" s="1003">
        <f t="shared" si="2"/>
        <v>0</v>
      </c>
      <c r="BW31" s="1002">
        <v>5326.31</v>
      </c>
      <c r="BX31" s="1004">
        <f t="shared" si="1"/>
        <v>0</v>
      </c>
    </row>
    <row r="32" spans="2:76" x14ac:dyDescent="0.3">
      <c r="B32" t="s">
        <v>543</v>
      </c>
      <c r="C32" s="780"/>
      <c r="D32" s="794"/>
      <c r="E32" s="606"/>
      <c r="F32" s="606"/>
      <c r="G32" s="780"/>
      <c r="H32" s="794"/>
      <c r="I32" s="338"/>
      <c r="J32" s="338"/>
      <c r="K32" s="780"/>
      <c r="L32" s="794"/>
      <c r="M32" s="336"/>
      <c r="N32" s="336"/>
      <c r="O32" s="780"/>
      <c r="P32" s="794"/>
      <c r="Q32" s="338"/>
      <c r="R32" s="338"/>
      <c r="S32" s="780"/>
      <c r="T32" s="794"/>
      <c r="U32" s="338"/>
      <c r="V32" s="338"/>
      <c r="W32" s="780"/>
      <c r="X32" s="794"/>
      <c r="Y32" s="336"/>
      <c r="Z32" s="336"/>
      <c r="AA32" s="780"/>
      <c r="AB32" s="794"/>
      <c r="AC32" s="338"/>
      <c r="AD32" s="338"/>
      <c r="AE32" s="780"/>
      <c r="AF32" s="794"/>
      <c r="AG32" s="338"/>
      <c r="AH32" s="338"/>
      <c r="AI32" s="780"/>
      <c r="AJ32" s="794"/>
      <c r="AK32" s="336"/>
      <c r="AL32" s="336"/>
      <c r="AM32" s="780"/>
      <c r="AN32" s="794"/>
      <c r="AO32" s="338"/>
      <c r="AP32" s="338"/>
      <c r="AQ32" s="780"/>
      <c r="AR32" s="881"/>
      <c r="AS32" s="338"/>
      <c r="AT32" s="338"/>
      <c r="AU32" s="780"/>
      <c r="AV32" s="881"/>
      <c r="AW32" s="886"/>
      <c r="AX32" s="1000"/>
      <c r="AY32" s="1001">
        <v>0</v>
      </c>
      <c r="AZ32" s="1001">
        <v>0</v>
      </c>
      <c r="BA32" s="1001">
        <v>0</v>
      </c>
      <c r="BB32" s="1001">
        <v>0</v>
      </c>
      <c r="BC32" s="1001">
        <v>0</v>
      </c>
      <c r="BD32" s="1001">
        <v>0</v>
      </c>
      <c r="BE32" s="1001">
        <v>0</v>
      </c>
      <c r="BF32" s="1001">
        <v>0</v>
      </c>
      <c r="BG32" s="1001">
        <v>0</v>
      </c>
      <c r="BH32" s="1001">
        <v>0</v>
      </c>
      <c r="BI32" s="1001">
        <v>0</v>
      </c>
      <c r="BJ32" s="1001">
        <v>0</v>
      </c>
      <c r="BK32" s="1001">
        <v>0</v>
      </c>
      <c r="BL32" s="1001">
        <v>0</v>
      </c>
      <c r="BM32" s="1001">
        <v>0</v>
      </c>
      <c r="BN32" s="1001">
        <v>0</v>
      </c>
      <c r="BO32" s="1001">
        <v>0</v>
      </c>
      <c r="BP32" s="1001">
        <v>0</v>
      </c>
      <c r="BQ32" s="1001">
        <v>0</v>
      </c>
      <c r="BR32" s="1001">
        <v>0</v>
      </c>
      <c r="BS32" s="1001">
        <v>0</v>
      </c>
      <c r="BT32" s="1001">
        <v>0</v>
      </c>
      <c r="BU32" s="1001">
        <v>0</v>
      </c>
      <c r="BV32" s="1003">
        <f t="shared" si="2"/>
        <v>0</v>
      </c>
      <c r="BW32" s="1002">
        <v>5327.31</v>
      </c>
      <c r="BX32" s="1004">
        <f t="shared" si="1"/>
        <v>0</v>
      </c>
    </row>
    <row r="33" spans="1:84" x14ac:dyDescent="0.3">
      <c r="B33" t="s">
        <v>138</v>
      </c>
      <c r="C33" s="770">
        <v>250</v>
      </c>
      <c r="D33" s="795">
        <v>250</v>
      </c>
      <c r="E33" s="607"/>
      <c r="F33" s="607"/>
      <c r="G33" s="770">
        <v>250</v>
      </c>
      <c r="H33" s="795">
        <v>250</v>
      </c>
      <c r="I33" s="18"/>
      <c r="J33" s="18"/>
      <c r="K33" s="770">
        <v>250</v>
      </c>
      <c r="L33" s="795">
        <v>250</v>
      </c>
      <c r="M33" s="18"/>
      <c r="N33" s="18"/>
      <c r="O33" s="770">
        <v>250</v>
      </c>
      <c r="P33" s="795">
        <v>250</v>
      </c>
      <c r="Q33" s="18"/>
      <c r="R33" s="18"/>
      <c r="S33" s="770">
        <v>250</v>
      </c>
      <c r="T33" s="795">
        <v>250</v>
      </c>
      <c r="U33" s="18"/>
      <c r="V33" s="18"/>
      <c r="W33" s="770">
        <v>250</v>
      </c>
      <c r="X33" s="795">
        <v>250</v>
      </c>
      <c r="Y33" s="18"/>
      <c r="Z33" s="18"/>
      <c r="AA33" s="770">
        <v>250</v>
      </c>
      <c r="AB33" s="795">
        <v>250</v>
      </c>
      <c r="AC33" s="18"/>
      <c r="AD33" s="18"/>
      <c r="AE33" s="770">
        <v>250</v>
      </c>
      <c r="AF33" s="795">
        <v>250</v>
      </c>
      <c r="AG33" s="18"/>
      <c r="AH33" s="18"/>
      <c r="AI33" s="770">
        <v>250</v>
      </c>
      <c r="AJ33" s="795">
        <v>250</v>
      </c>
      <c r="AK33" s="18"/>
      <c r="AL33" s="18"/>
      <c r="AM33" s="770">
        <v>250</v>
      </c>
      <c r="AN33" s="795"/>
      <c r="AO33" s="18"/>
      <c r="AP33" s="18"/>
      <c r="AQ33" s="770">
        <v>250</v>
      </c>
      <c r="AR33" s="881"/>
      <c r="AS33" s="18"/>
      <c r="AT33" s="18"/>
      <c r="AU33" s="770">
        <v>250</v>
      </c>
      <c r="AV33" s="881"/>
      <c r="AW33" s="886"/>
      <c r="AX33" s="1005"/>
      <c r="AY33" s="1006"/>
      <c r="AZ33" s="1006"/>
      <c r="BA33" s="1006">
        <v>0</v>
      </c>
      <c r="BB33" s="1006"/>
      <c r="BC33" s="1006"/>
      <c r="BD33" s="1006"/>
      <c r="BE33" s="1006"/>
      <c r="BF33" s="1006"/>
      <c r="BG33" s="1006"/>
      <c r="BH33" s="1006"/>
      <c r="BI33" s="1006">
        <v>0</v>
      </c>
      <c r="BJ33" s="1006">
        <v>0</v>
      </c>
      <c r="BK33" s="1006">
        <v>0</v>
      </c>
      <c r="BL33" s="1006">
        <v>0</v>
      </c>
      <c r="BM33" s="1006">
        <v>0</v>
      </c>
      <c r="BN33" s="1006">
        <v>0</v>
      </c>
      <c r="BO33" s="1006">
        <v>0</v>
      </c>
      <c r="BP33" s="1006">
        <v>0</v>
      </c>
      <c r="BQ33" s="1006">
        <v>0</v>
      </c>
      <c r="BR33" s="1006">
        <v>0</v>
      </c>
      <c r="BS33" s="1006">
        <v>0</v>
      </c>
      <c r="BT33" s="1006">
        <v>0</v>
      </c>
      <c r="BU33" s="1006">
        <v>0</v>
      </c>
      <c r="BV33" s="1003">
        <f t="shared" si="2"/>
        <v>0</v>
      </c>
      <c r="BW33" s="1002">
        <v>5328.31</v>
      </c>
      <c r="BX33" s="1004">
        <f t="shared" si="1"/>
        <v>0</v>
      </c>
    </row>
    <row r="34" spans="1:84" s="331" customFormat="1" ht="15.6" x14ac:dyDescent="0.3">
      <c r="B34" t="s">
        <v>134</v>
      </c>
      <c r="C34" s="770"/>
      <c r="D34" s="795">
        <v>348.17</v>
      </c>
      <c r="E34" s="607"/>
      <c r="F34" s="607"/>
      <c r="G34" s="770"/>
      <c r="H34" s="795">
        <v>39.099999999999973</v>
      </c>
      <c r="I34" s="18"/>
      <c r="J34" s="18"/>
      <c r="K34" s="770"/>
      <c r="L34" s="795">
        <v>23.54</v>
      </c>
      <c r="M34" s="18"/>
      <c r="N34" s="18"/>
      <c r="O34" s="770"/>
      <c r="P34" s="795">
        <v>62.050000000000011</v>
      </c>
      <c r="Q34" s="18"/>
      <c r="R34" s="18"/>
      <c r="S34" s="770"/>
      <c r="T34" s="795"/>
      <c r="U34" s="18"/>
      <c r="V34" s="18"/>
      <c r="W34" s="770"/>
      <c r="X34" s="795"/>
      <c r="Y34" s="18"/>
      <c r="Z34" s="18"/>
      <c r="AA34" s="770"/>
      <c r="AB34" s="795"/>
      <c r="AC34" s="18"/>
      <c r="AD34" s="18"/>
      <c r="AE34" s="770"/>
      <c r="AF34" s="795">
        <v>120.42999999999989</v>
      </c>
      <c r="AG34" s="18"/>
      <c r="AH34" s="18"/>
      <c r="AI34" s="770"/>
      <c r="AJ34" s="795"/>
      <c r="AK34" s="18"/>
      <c r="AL34" s="18"/>
      <c r="AM34" s="770"/>
      <c r="AN34" s="795"/>
      <c r="AO34" s="18"/>
      <c r="AP34" s="18"/>
      <c r="AQ34" s="770"/>
      <c r="AR34" s="881"/>
      <c r="AS34" s="18"/>
      <c r="AT34" s="18"/>
      <c r="AU34" s="770"/>
      <c r="AV34" s="881"/>
      <c r="AW34" s="886"/>
      <c r="AX34" s="1005"/>
      <c r="AY34" s="1006">
        <v>0</v>
      </c>
      <c r="AZ34" s="1006">
        <v>0</v>
      </c>
      <c r="BA34" s="1006">
        <v>0</v>
      </c>
      <c r="BB34" s="1006">
        <v>0</v>
      </c>
      <c r="BC34" s="1006">
        <v>0</v>
      </c>
      <c r="BD34" s="1006">
        <v>0</v>
      </c>
      <c r="BE34" s="1006">
        <v>0</v>
      </c>
      <c r="BF34" s="1006">
        <v>0</v>
      </c>
      <c r="BG34" s="1006">
        <v>0</v>
      </c>
      <c r="BH34" s="1006">
        <v>0</v>
      </c>
      <c r="BI34" s="1006">
        <v>0</v>
      </c>
      <c r="BJ34" s="1006">
        <v>0</v>
      </c>
      <c r="BK34" s="1006">
        <v>0</v>
      </c>
      <c r="BL34" s="1006">
        <v>0</v>
      </c>
      <c r="BM34" s="1006">
        <v>0</v>
      </c>
      <c r="BN34" s="1006">
        <v>0</v>
      </c>
      <c r="BO34" s="1006">
        <v>0</v>
      </c>
      <c r="BP34" s="1006">
        <v>0</v>
      </c>
      <c r="BQ34" s="1006">
        <v>0</v>
      </c>
      <c r="BR34" s="1006">
        <v>0</v>
      </c>
      <c r="BS34" s="1006">
        <v>0</v>
      </c>
      <c r="BT34" s="1006">
        <v>0</v>
      </c>
      <c r="BU34" s="1006">
        <v>0</v>
      </c>
      <c r="BV34" s="1003">
        <f t="shared" si="2"/>
        <v>0</v>
      </c>
      <c r="BW34" s="1002">
        <v>5329.31</v>
      </c>
      <c r="BX34" s="1004">
        <f t="shared" si="1"/>
        <v>0</v>
      </c>
      <c r="BY34"/>
      <c r="BZ34"/>
      <c r="CA34"/>
    </row>
    <row r="35" spans="1:84" ht="15.6" x14ac:dyDescent="0.3">
      <c r="B35" t="s">
        <v>139</v>
      </c>
      <c r="C35" s="770">
        <v>125</v>
      </c>
      <c r="D35" s="795"/>
      <c r="E35" s="607"/>
      <c r="F35" s="607"/>
      <c r="G35" s="770">
        <v>125</v>
      </c>
      <c r="H35" s="795"/>
      <c r="I35" s="18"/>
      <c r="J35" s="18"/>
      <c r="K35" s="770">
        <v>125</v>
      </c>
      <c r="L35" s="795"/>
      <c r="M35" s="18"/>
      <c r="N35" s="18"/>
      <c r="O35" s="770">
        <v>125</v>
      </c>
      <c r="P35" s="795">
        <v>3120.639999999999</v>
      </c>
      <c r="Q35" s="18"/>
      <c r="R35" s="18"/>
      <c r="S35" s="770">
        <v>125</v>
      </c>
      <c r="T35" s="795">
        <v>389.55000000000018</v>
      </c>
      <c r="U35" s="18"/>
      <c r="V35" s="18"/>
      <c r="W35" s="770">
        <v>125</v>
      </c>
      <c r="X35" s="795"/>
      <c r="Y35" s="18"/>
      <c r="Z35" s="18"/>
      <c r="AA35" s="770">
        <v>125</v>
      </c>
      <c r="AB35" s="795">
        <v>4</v>
      </c>
      <c r="AC35" s="18"/>
      <c r="AD35" s="18"/>
      <c r="AE35" s="770">
        <v>125</v>
      </c>
      <c r="AF35" s="795">
        <v>6230.22</v>
      </c>
      <c r="AG35" s="18"/>
      <c r="AH35" s="18"/>
      <c r="AI35" s="770">
        <v>125</v>
      </c>
      <c r="AJ35" s="795">
        <v>76.449999999998909</v>
      </c>
      <c r="AK35" s="18"/>
      <c r="AL35" s="18"/>
      <c r="AM35" s="770">
        <v>125</v>
      </c>
      <c r="AN35" s="795">
        <v>220.19000000000051</v>
      </c>
      <c r="AO35" s="18"/>
      <c r="AP35" s="18"/>
      <c r="AQ35" s="770">
        <v>125</v>
      </c>
      <c r="AR35" s="881"/>
      <c r="AS35" s="18"/>
      <c r="AT35" s="18"/>
      <c r="AU35" s="770">
        <v>125</v>
      </c>
      <c r="AV35" s="881"/>
      <c r="AW35" s="886"/>
      <c r="AX35" s="1005"/>
      <c r="AY35" s="1006">
        <v>0</v>
      </c>
      <c r="AZ35" s="1006">
        <v>0</v>
      </c>
      <c r="BA35" s="1006">
        <v>0</v>
      </c>
      <c r="BB35" s="1006">
        <v>0</v>
      </c>
      <c r="BC35" s="1006">
        <v>0</v>
      </c>
      <c r="BD35" s="1006">
        <v>0</v>
      </c>
      <c r="BE35" s="1006">
        <v>0</v>
      </c>
      <c r="BF35" s="1006">
        <v>0</v>
      </c>
      <c r="BG35" s="1006">
        <v>0</v>
      </c>
      <c r="BH35" s="1006">
        <v>0</v>
      </c>
      <c r="BI35" s="1006">
        <v>0</v>
      </c>
      <c r="BJ35" s="1006">
        <v>0</v>
      </c>
      <c r="BK35" s="1006">
        <v>0</v>
      </c>
      <c r="BL35" s="1006">
        <v>0</v>
      </c>
      <c r="BM35" s="1006">
        <v>0</v>
      </c>
      <c r="BN35" s="1006">
        <v>0</v>
      </c>
      <c r="BO35" s="1006">
        <v>0</v>
      </c>
      <c r="BP35" s="1006">
        <v>0</v>
      </c>
      <c r="BQ35" s="1006">
        <v>0</v>
      </c>
      <c r="BR35" s="1006">
        <v>0</v>
      </c>
      <c r="BS35" s="1006">
        <v>0</v>
      </c>
      <c r="BT35" s="1006">
        <v>0</v>
      </c>
      <c r="BU35" s="1006">
        <v>0</v>
      </c>
      <c r="BV35" s="1003">
        <f t="shared" si="2"/>
        <v>0</v>
      </c>
      <c r="BW35" s="1002">
        <v>5330.31</v>
      </c>
      <c r="BX35" s="1004">
        <f t="shared" si="1"/>
        <v>0</v>
      </c>
      <c r="BZ35" s="331"/>
      <c r="CA35" s="331"/>
    </row>
    <row r="36" spans="1:84" ht="15.6" x14ac:dyDescent="0.3">
      <c r="B36" t="s">
        <v>483</v>
      </c>
      <c r="C36" s="770"/>
      <c r="D36" s="795"/>
      <c r="E36" s="607"/>
      <c r="F36" s="607"/>
      <c r="G36" s="770"/>
      <c r="H36" s="795"/>
      <c r="I36" s="18"/>
      <c r="J36" s="18"/>
      <c r="K36" s="770"/>
      <c r="L36" s="795"/>
      <c r="M36" s="18"/>
      <c r="N36" s="18"/>
      <c r="O36" s="770"/>
      <c r="P36" s="795"/>
      <c r="Q36" s="18"/>
      <c r="R36" s="18"/>
      <c r="S36" s="770"/>
      <c r="T36" s="795"/>
      <c r="U36" s="18"/>
      <c r="V36" s="18"/>
      <c r="W36" s="770"/>
      <c r="X36" s="795"/>
      <c r="Y36" s="18"/>
      <c r="Z36" s="18"/>
      <c r="AA36" s="770"/>
      <c r="AB36" s="795"/>
      <c r="AC36" s="18"/>
      <c r="AD36" s="18"/>
      <c r="AE36" s="770"/>
      <c r="AF36" s="795"/>
      <c r="AG36" s="18"/>
      <c r="AH36" s="18"/>
      <c r="AI36" s="770"/>
      <c r="AJ36" s="795"/>
      <c r="AK36" s="18"/>
      <c r="AL36" s="18"/>
      <c r="AM36" s="770"/>
      <c r="AN36" s="795"/>
      <c r="AO36" s="18"/>
      <c r="AP36" s="18"/>
      <c r="AQ36" s="770"/>
      <c r="AR36" s="881"/>
      <c r="AS36" s="18"/>
      <c r="AT36" s="18"/>
      <c r="AU36" s="770"/>
      <c r="AV36" s="881"/>
      <c r="AW36" s="886"/>
      <c r="AX36" s="1005"/>
      <c r="AY36" s="1006">
        <v>0</v>
      </c>
      <c r="AZ36" s="1006">
        <v>0</v>
      </c>
      <c r="BA36" s="1006">
        <v>0</v>
      </c>
      <c r="BB36" s="1006">
        <v>0</v>
      </c>
      <c r="BC36" s="1006">
        <v>0</v>
      </c>
      <c r="BD36" s="1006">
        <v>0</v>
      </c>
      <c r="BE36" s="1006">
        <v>0</v>
      </c>
      <c r="BF36" s="1006">
        <v>0</v>
      </c>
      <c r="BG36" s="1006">
        <v>0</v>
      </c>
      <c r="BH36" s="1006">
        <v>0</v>
      </c>
      <c r="BI36" s="1006">
        <v>0</v>
      </c>
      <c r="BJ36" s="1006">
        <v>0</v>
      </c>
      <c r="BK36" s="1006">
        <v>0</v>
      </c>
      <c r="BL36" s="1006">
        <v>0</v>
      </c>
      <c r="BM36" s="1006">
        <v>0</v>
      </c>
      <c r="BN36" s="1006">
        <v>0</v>
      </c>
      <c r="BO36" s="1006">
        <v>0</v>
      </c>
      <c r="BP36" s="1006">
        <v>0</v>
      </c>
      <c r="BQ36" s="1006">
        <v>0</v>
      </c>
      <c r="BR36" s="1006">
        <v>0</v>
      </c>
      <c r="BS36" s="1006">
        <v>0</v>
      </c>
      <c r="BT36" s="1006">
        <v>0</v>
      </c>
      <c r="BU36" s="1006">
        <v>0</v>
      </c>
      <c r="BV36" s="1003">
        <f t="shared" si="2"/>
        <v>0</v>
      </c>
      <c r="BW36" s="1002">
        <v>5331.31</v>
      </c>
      <c r="BX36" s="1004">
        <f t="shared" si="1"/>
        <v>0</v>
      </c>
      <c r="BY36" s="331"/>
    </row>
    <row r="37" spans="1:84" x14ac:dyDescent="0.3">
      <c r="B37" t="s">
        <v>405</v>
      </c>
      <c r="C37" s="770"/>
      <c r="D37" s="795"/>
      <c r="E37" s="607"/>
      <c r="F37" s="607"/>
      <c r="G37" s="770"/>
      <c r="H37" s="795"/>
      <c r="I37" s="18"/>
      <c r="J37" s="18"/>
      <c r="K37" s="770"/>
      <c r="L37" s="795"/>
      <c r="M37" s="18"/>
      <c r="N37" s="18"/>
      <c r="O37" s="770"/>
      <c r="P37" s="795"/>
      <c r="Q37" s="18"/>
      <c r="R37" s="18"/>
      <c r="S37" s="770"/>
      <c r="T37" s="795"/>
      <c r="U37" s="18"/>
      <c r="V37" s="18"/>
      <c r="W37" s="770"/>
      <c r="X37" s="795"/>
      <c r="Y37" s="18"/>
      <c r="Z37" s="18"/>
      <c r="AA37" s="770"/>
      <c r="AB37" s="795"/>
      <c r="AC37" s="18"/>
      <c r="AD37" s="18"/>
      <c r="AE37" s="770"/>
      <c r="AF37" s="795"/>
      <c r="AG37" s="18"/>
      <c r="AH37" s="18"/>
      <c r="AI37" s="770"/>
      <c r="AJ37" s="795"/>
      <c r="AK37" s="18"/>
      <c r="AL37" s="18"/>
      <c r="AM37" s="770"/>
      <c r="AN37" s="795"/>
      <c r="AO37" s="18"/>
      <c r="AP37" s="18"/>
      <c r="AQ37" s="770"/>
      <c r="AR37" s="881"/>
      <c r="AS37" s="18"/>
      <c r="AT37" s="18"/>
      <c r="AU37" s="770"/>
      <c r="AV37" s="881"/>
      <c r="AW37" s="886"/>
      <c r="AX37" s="1005"/>
      <c r="AY37" s="1006">
        <v>0</v>
      </c>
      <c r="AZ37" s="1006">
        <v>0</v>
      </c>
      <c r="BA37" s="1006">
        <v>0</v>
      </c>
      <c r="BB37" s="1006">
        <v>0</v>
      </c>
      <c r="BC37" s="1006">
        <v>0</v>
      </c>
      <c r="BD37" s="1006">
        <v>0</v>
      </c>
      <c r="BE37" s="1006">
        <v>0</v>
      </c>
      <c r="BF37" s="1006">
        <v>0</v>
      </c>
      <c r="BG37" s="1006">
        <v>0</v>
      </c>
      <c r="BH37" s="1006">
        <v>0</v>
      </c>
      <c r="BI37" s="1006">
        <v>0</v>
      </c>
      <c r="BJ37" s="1006">
        <v>0</v>
      </c>
      <c r="BK37" s="1006">
        <v>0</v>
      </c>
      <c r="BL37" s="1006">
        <v>0</v>
      </c>
      <c r="BM37" s="1006">
        <v>0</v>
      </c>
      <c r="BN37" s="1006">
        <v>0</v>
      </c>
      <c r="BO37" s="1006">
        <v>0</v>
      </c>
      <c r="BP37" s="1006">
        <v>0</v>
      </c>
      <c r="BQ37" s="1006">
        <v>0</v>
      </c>
      <c r="BR37" s="1006">
        <v>0</v>
      </c>
      <c r="BS37" s="1006">
        <v>0</v>
      </c>
      <c r="BT37" s="1006">
        <v>0</v>
      </c>
      <c r="BU37" s="1006">
        <v>0</v>
      </c>
      <c r="BV37" s="1003">
        <f t="shared" si="2"/>
        <v>0</v>
      </c>
      <c r="BW37" s="1002">
        <v>5332.31</v>
      </c>
      <c r="BX37" s="1004">
        <f t="shared" si="1"/>
        <v>0</v>
      </c>
    </row>
    <row r="38" spans="1:84" x14ac:dyDescent="0.3">
      <c r="B38" s="7" t="s">
        <v>49</v>
      </c>
      <c r="C38" s="796">
        <v>29353.396500000003</v>
      </c>
      <c r="D38" s="761">
        <v>37987.64</v>
      </c>
      <c r="E38" s="608">
        <v>0</v>
      </c>
      <c r="F38" s="608">
        <v>0</v>
      </c>
      <c r="G38" s="796">
        <v>33385.2765</v>
      </c>
      <c r="H38" s="761">
        <v>36211.929999999993</v>
      </c>
      <c r="I38" s="9">
        <v>0</v>
      </c>
      <c r="J38" s="9">
        <v>0</v>
      </c>
      <c r="K38" s="796">
        <v>34322.7765</v>
      </c>
      <c r="L38" s="761">
        <v>35989.78</v>
      </c>
      <c r="M38" s="9">
        <v>0</v>
      </c>
      <c r="N38" s="9">
        <v>0</v>
      </c>
      <c r="O38" s="796">
        <v>63385.2765</v>
      </c>
      <c r="P38" s="761">
        <v>44489.890000000021</v>
      </c>
      <c r="Q38" s="9">
        <v>0</v>
      </c>
      <c r="R38" s="9">
        <v>0</v>
      </c>
      <c r="S38" s="796">
        <v>43385.2765</v>
      </c>
      <c r="T38" s="761">
        <v>42840.029999999977</v>
      </c>
      <c r="U38" s="9">
        <v>0</v>
      </c>
      <c r="V38" s="9">
        <v>0</v>
      </c>
      <c r="W38" s="796">
        <v>30053.952499999999</v>
      </c>
      <c r="X38" s="761">
        <v>32437.87</v>
      </c>
      <c r="Y38" s="9">
        <v>0</v>
      </c>
      <c r="Z38" s="9">
        <v>0</v>
      </c>
      <c r="AA38" s="796">
        <v>17866.452499999999</v>
      </c>
      <c r="AB38" s="761">
        <v>39683.280000000006</v>
      </c>
      <c r="AC38" s="9">
        <v>0</v>
      </c>
      <c r="AD38" s="9">
        <v>0</v>
      </c>
      <c r="AE38" s="796">
        <v>27866.452499999999</v>
      </c>
      <c r="AF38" s="761">
        <v>36291.009999999995</v>
      </c>
      <c r="AG38" s="9">
        <v>0</v>
      </c>
      <c r="AH38" s="9">
        <v>0</v>
      </c>
      <c r="AI38" s="760">
        <v>40053.952499999999</v>
      </c>
      <c r="AJ38" s="761">
        <v>58284.039999999994</v>
      </c>
      <c r="AK38" s="9">
        <v>0</v>
      </c>
      <c r="AL38" s="9">
        <v>0</v>
      </c>
      <c r="AM38" s="760">
        <v>37866.452499999999</v>
      </c>
      <c r="AN38" s="761">
        <v>53515.249999999978</v>
      </c>
      <c r="AO38" s="9">
        <v>0</v>
      </c>
      <c r="AP38" s="9">
        <v>0</v>
      </c>
      <c r="AQ38" s="760">
        <v>30366.452499999999</v>
      </c>
      <c r="AR38" s="761">
        <v>67127.010000000009</v>
      </c>
      <c r="AS38" s="9">
        <v>0</v>
      </c>
      <c r="AT38" s="9">
        <v>0</v>
      </c>
      <c r="AU38" s="760">
        <v>29034.872499999998</v>
      </c>
      <c r="AV38" s="761">
        <v>30814.830000000009</v>
      </c>
      <c r="AW38" s="608"/>
      <c r="AX38" s="998">
        <f>SUM(AX5:AX37)</f>
        <v>37129.46</v>
      </c>
      <c r="AY38" s="999">
        <f t="shared" ref="AY38:BX38" si="4">SUM(AY5:AY37)</f>
        <v>52567.42</v>
      </c>
      <c r="AZ38" s="999">
        <f t="shared" si="4"/>
        <v>48042.55</v>
      </c>
      <c r="BA38" s="999">
        <f t="shared" si="4"/>
        <v>59279.09</v>
      </c>
      <c r="BB38" s="999">
        <f t="shared" si="4"/>
        <v>80815.889999999985</v>
      </c>
      <c r="BC38" s="999">
        <f t="shared" si="4"/>
        <v>61036.73</v>
      </c>
      <c r="BD38" s="999">
        <f t="shared" si="4"/>
        <v>73033.33</v>
      </c>
      <c r="BE38" s="999">
        <f t="shared" si="4"/>
        <v>74891.45</v>
      </c>
      <c r="BF38" s="999">
        <f t="shared" si="4"/>
        <v>59119.4</v>
      </c>
      <c r="BG38" s="999">
        <f t="shared" si="4"/>
        <v>62684.72</v>
      </c>
      <c r="BH38" s="999">
        <f t="shared" si="4"/>
        <v>-12696.11</v>
      </c>
      <c r="BI38" s="999">
        <f t="shared" si="4"/>
        <v>42528.97</v>
      </c>
      <c r="BJ38" s="999">
        <f t="shared" si="4"/>
        <v>40877.14</v>
      </c>
      <c r="BK38" s="999">
        <f t="shared" si="4"/>
        <v>35226.480000000003</v>
      </c>
      <c r="BL38" s="999">
        <f>SUM(BL5:BL37)</f>
        <v>53659.080000000009</v>
      </c>
      <c r="BM38" s="999">
        <f>SUM(BM5:BM37)</f>
        <v>39409.97</v>
      </c>
      <c r="BN38" s="999">
        <f t="shared" ref="BN38:BU38" si="5">SUM(BN5:BN37)</f>
        <v>50867.139999999992</v>
      </c>
      <c r="BO38" s="999">
        <f t="shared" si="5"/>
        <v>54348.85</v>
      </c>
      <c r="BP38" s="999">
        <f t="shared" si="5"/>
        <v>49805.22</v>
      </c>
      <c r="BQ38" s="999">
        <f t="shared" si="5"/>
        <v>667385.06999999995</v>
      </c>
      <c r="BR38" s="999">
        <f t="shared" si="5"/>
        <v>605820.17999999993</v>
      </c>
      <c r="BS38" s="999">
        <f t="shared" si="5"/>
        <v>1023744.0699999998</v>
      </c>
      <c r="BT38" s="999">
        <f t="shared" si="5"/>
        <v>0</v>
      </c>
      <c r="BU38" s="999">
        <f t="shared" si="5"/>
        <v>0</v>
      </c>
      <c r="BV38" s="999">
        <f t="shared" si="4"/>
        <v>2621143.2000000011</v>
      </c>
      <c r="BW38" s="999">
        <f t="shared" si="4"/>
        <v>175474.22999999995</v>
      </c>
      <c r="BX38" s="999">
        <f t="shared" si="4"/>
        <v>197018.52</v>
      </c>
    </row>
    <row r="39" spans="1:84" s="331" customFormat="1" ht="15.6" x14ac:dyDescent="0.3">
      <c r="A39"/>
      <c r="B39"/>
      <c r="C39" s="759" t="s">
        <v>145</v>
      </c>
      <c r="D39" s="764" t="s">
        <v>145</v>
      </c>
      <c r="E39"/>
      <c r="F39"/>
      <c r="G39" s="759"/>
      <c r="H39" s="764"/>
      <c r="I39"/>
      <c r="J39"/>
      <c r="K39" s="759" t="s">
        <v>147</v>
      </c>
      <c r="L39" s="764" t="s">
        <v>147</v>
      </c>
      <c r="M39"/>
      <c r="N39"/>
      <c r="O39" s="759" t="s">
        <v>148</v>
      </c>
      <c r="P39" s="764" t="s">
        <v>148</v>
      </c>
      <c r="Q39"/>
      <c r="R39"/>
      <c r="S39" s="759" t="s">
        <v>913</v>
      </c>
      <c r="T39" s="764" t="s">
        <v>913</v>
      </c>
      <c r="U39"/>
      <c r="V39"/>
      <c r="W39" s="759" t="s">
        <v>149</v>
      </c>
      <c r="X39" s="764" t="s">
        <v>149</v>
      </c>
      <c r="Y39"/>
      <c r="Z39"/>
      <c r="AA39" s="759" t="s">
        <v>150</v>
      </c>
      <c r="AB39" s="764"/>
      <c r="AC39"/>
      <c r="AD39"/>
      <c r="AE39" s="759" t="s">
        <v>151</v>
      </c>
      <c r="AF39" s="764"/>
      <c r="AG39"/>
      <c r="AH39"/>
      <c r="AI39" s="759" t="s">
        <v>152</v>
      </c>
      <c r="AJ39" s="764"/>
      <c r="AK39"/>
      <c r="AL39"/>
      <c r="AM39" s="759" t="s">
        <v>153</v>
      </c>
      <c r="AN39" s="764"/>
      <c r="AO39"/>
      <c r="AP39"/>
      <c r="AQ39" s="759" t="s">
        <v>154</v>
      </c>
      <c r="AR39" s="764"/>
      <c r="AS39"/>
      <c r="AT39"/>
      <c r="AU39" s="759" t="s">
        <v>144</v>
      </c>
      <c r="AV39" s="764"/>
      <c r="AW39"/>
      <c r="AX39" s="1009"/>
      <c r="AY39" s="1004"/>
      <c r="AZ39" s="1004"/>
      <c r="BA39" s="1004"/>
      <c r="BB39" s="1004"/>
      <c r="BC39" s="1004"/>
      <c r="BD39" s="1004"/>
      <c r="BE39" s="1004"/>
      <c r="BF39" s="1004"/>
      <c r="BG39" s="1004"/>
      <c r="BH39" s="1004"/>
      <c r="BI39" s="1004"/>
      <c r="BJ39" s="1004"/>
      <c r="BK39" s="1004"/>
      <c r="BL39" s="1004"/>
      <c r="BM39" s="1004"/>
      <c r="BN39" s="1004"/>
      <c r="BO39" s="1004"/>
      <c r="BP39" s="1004"/>
      <c r="BQ39" s="1004"/>
      <c r="BR39" s="1004"/>
      <c r="BS39" s="1004"/>
      <c r="BT39" s="1004"/>
      <c r="BU39" s="1004"/>
      <c r="BV39" s="1004"/>
      <c r="BW39" s="1004"/>
      <c r="BX39" s="1018"/>
      <c r="BY39"/>
      <c r="CA39"/>
    </row>
    <row r="40" spans="1:84" ht="15.6" x14ac:dyDescent="0.3">
      <c r="B40" s="20" t="s">
        <v>904</v>
      </c>
      <c r="C40" s="781"/>
      <c r="D40" s="782"/>
      <c r="E40" s="609"/>
      <c r="F40" s="609"/>
      <c r="G40" s="781"/>
      <c r="H40" s="782"/>
      <c r="I40" s="19"/>
      <c r="J40" s="19"/>
      <c r="K40" s="781"/>
      <c r="L40" s="782"/>
      <c r="M40" s="19"/>
      <c r="N40" s="19"/>
      <c r="O40" s="781"/>
      <c r="P40" s="782"/>
      <c r="Q40" s="19"/>
      <c r="R40" s="19"/>
      <c r="S40" s="781"/>
      <c r="T40" s="782"/>
      <c r="U40" s="19"/>
      <c r="V40" s="19"/>
      <c r="W40" s="781"/>
      <c r="X40" s="782"/>
      <c r="Y40" s="19"/>
      <c r="Z40" s="19"/>
      <c r="AA40" s="781"/>
      <c r="AB40" s="782"/>
      <c r="AC40" s="19"/>
      <c r="AD40" s="19"/>
      <c r="AE40" s="781"/>
      <c r="AF40" s="782"/>
      <c r="AG40" s="19"/>
      <c r="AH40" s="19"/>
      <c r="AI40" s="781"/>
      <c r="AJ40" s="782"/>
      <c r="AK40" s="19"/>
      <c r="AL40" s="19"/>
      <c r="AM40" s="781"/>
      <c r="AN40" s="782"/>
      <c r="AO40" s="19"/>
      <c r="AP40" s="19"/>
      <c r="AQ40" s="781"/>
      <c r="AR40" s="782"/>
      <c r="AS40" s="19"/>
      <c r="AT40" s="19"/>
      <c r="AU40" s="781"/>
      <c r="AV40" s="782"/>
      <c r="AW40" s="609"/>
      <c r="AX40" s="1010"/>
      <c r="AY40" s="1011"/>
      <c r="AZ40" s="1011"/>
      <c r="BA40" s="1011"/>
      <c r="BB40" s="1011"/>
      <c r="BC40" s="1011"/>
      <c r="BD40" s="1011"/>
      <c r="BE40" s="1011"/>
      <c r="BF40" s="1011"/>
      <c r="BG40" s="1011"/>
      <c r="BH40" s="1011"/>
      <c r="BI40" s="1011"/>
      <c r="BJ40" s="1011"/>
      <c r="BK40" s="1011"/>
      <c r="BL40" s="1011"/>
      <c r="BM40" s="1011"/>
      <c r="BN40" s="1011"/>
      <c r="BO40" s="1011"/>
      <c r="BP40" s="1011"/>
      <c r="BQ40" s="1011"/>
      <c r="BR40" s="1011"/>
      <c r="BS40" s="1011"/>
      <c r="BT40" s="1011"/>
      <c r="BU40" s="1011"/>
      <c r="BV40" s="1011"/>
      <c r="BW40" s="1011"/>
      <c r="BX40" s="1011"/>
    </row>
    <row r="41" spans="1:84" ht="15.6" x14ac:dyDescent="0.3">
      <c r="A41" t="s">
        <v>782</v>
      </c>
      <c r="B41" t="s">
        <v>782</v>
      </c>
      <c r="C41" s="783">
        <v>4750</v>
      </c>
      <c r="D41" s="797">
        <v>3738.47</v>
      </c>
      <c r="E41" s="610"/>
      <c r="F41" s="610"/>
      <c r="G41" s="783">
        <v>4750</v>
      </c>
      <c r="H41" s="797">
        <v>4615.3999999999996</v>
      </c>
      <c r="I41" s="22"/>
      <c r="J41" s="22"/>
      <c r="K41" s="783">
        <v>4750</v>
      </c>
      <c r="L41" s="797">
        <v>6461.55</v>
      </c>
      <c r="M41" s="22"/>
      <c r="N41" s="22"/>
      <c r="O41" s="783">
        <v>4750</v>
      </c>
      <c r="P41" s="797">
        <v>6923.0999999999985</v>
      </c>
      <c r="Q41" s="22"/>
      <c r="R41" s="22"/>
      <c r="S41" s="783">
        <v>4750</v>
      </c>
      <c r="T41" s="797">
        <v>5769.2500000000018</v>
      </c>
      <c r="U41" s="22"/>
      <c r="V41" s="22"/>
      <c r="W41" s="783">
        <v>0</v>
      </c>
      <c r="X41" s="797">
        <v>6923.0999999999985</v>
      </c>
      <c r="Y41" s="22"/>
      <c r="Z41" s="22"/>
      <c r="AA41" s="783">
        <v>4750</v>
      </c>
      <c r="AB41" s="797">
        <v>5076.9500000000044</v>
      </c>
      <c r="AC41" s="22"/>
      <c r="AD41" s="22"/>
      <c r="AE41" s="783">
        <v>4750</v>
      </c>
      <c r="AF41" s="797">
        <v>6923.0899999999947</v>
      </c>
      <c r="AG41" s="22"/>
      <c r="AH41" s="22"/>
      <c r="AI41" s="783">
        <v>4750</v>
      </c>
      <c r="AJ41" s="797">
        <v>8985.6400000000012</v>
      </c>
      <c r="AK41" s="22"/>
      <c r="AL41" s="22"/>
      <c r="AM41" s="783">
        <v>4750</v>
      </c>
      <c r="AN41" s="797">
        <v>7989.91</v>
      </c>
      <c r="AO41" s="22"/>
      <c r="AP41" s="22"/>
      <c r="AQ41" s="783">
        <v>4750</v>
      </c>
      <c r="AR41" s="881">
        <v>8275.5700000000106</v>
      </c>
      <c r="AS41" s="22"/>
      <c r="AT41" s="22"/>
      <c r="AU41" s="783">
        <v>4750</v>
      </c>
      <c r="AV41" s="881">
        <v>9608.6199999999881</v>
      </c>
      <c r="AW41" s="886"/>
      <c r="AX41" s="1000">
        <v>7877.21</v>
      </c>
      <c r="AY41" s="1001">
        <v>7390.77</v>
      </c>
      <c r="AZ41" s="1001">
        <v>7384.26</v>
      </c>
      <c r="BA41" s="1001">
        <v>6809.93</v>
      </c>
      <c r="BB41" s="1001">
        <v>6923.1</v>
      </c>
      <c r="BC41" s="1001">
        <v>6923.1</v>
      </c>
      <c r="BD41" s="1001">
        <v>7615.42</v>
      </c>
      <c r="BE41" s="1001">
        <v>7153.86</v>
      </c>
      <c r="BF41" s="1001">
        <v>6923.1</v>
      </c>
      <c r="BG41" s="1001">
        <v>6692.33</v>
      </c>
      <c r="BH41" s="1001">
        <v>6923.1</v>
      </c>
      <c r="BI41" s="1001">
        <v>7615.42</v>
      </c>
      <c r="BJ41" s="1001">
        <v>0</v>
      </c>
      <c r="BK41" s="1001">
        <v>0</v>
      </c>
      <c r="BL41" s="1001">
        <v>0</v>
      </c>
      <c r="BM41" s="1001">
        <v>0</v>
      </c>
      <c r="BN41" s="1001">
        <v>0</v>
      </c>
      <c r="BO41" s="1001">
        <v>0</v>
      </c>
      <c r="BP41" s="1001">
        <v>0</v>
      </c>
      <c r="BQ41" s="1001">
        <v>0</v>
      </c>
      <c r="BR41" s="1001">
        <v>0</v>
      </c>
      <c r="BS41" s="1001">
        <v>0</v>
      </c>
      <c r="BT41" s="1001">
        <v>0</v>
      </c>
      <c r="BU41" s="1001">
        <v>0</v>
      </c>
      <c r="BV41" s="1003">
        <f t="shared" ref="BV41:BV51" si="6">SUM(BJ41:BM41)</f>
        <v>0</v>
      </c>
      <c r="BW41" s="1002">
        <v>5331.31</v>
      </c>
      <c r="BX41" s="1004">
        <f t="shared" ref="BX41:BX51" si="7">SUM(AX41:BA41)</f>
        <v>29462.17</v>
      </c>
      <c r="CA41" s="331"/>
    </row>
    <row r="42" spans="1:84" ht="15.6" x14ac:dyDescent="0.3">
      <c r="A42" t="s">
        <v>916</v>
      </c>
      <c r="B42" t="s">
        <v>916</v>
      </c>
      <c r="C42" s="784">
        <v>363.375</v>
      </c>
      <c r="D42" s="798">
        <v>723.84</v>
      </c>
      <c r="E42" s="611"/>
      <c r="F42" s="611"/>
      <c r="G42" s="784">
        <v>363.375</v>
      </c>
      <c r="H42" s="798">
        <v>527.83000000000004</v>
      </c>
      <c r="I42" s="23"/>
      <c r="J42" s="23"/>
      <c r="K42" s="784">
        <v>363.375</v>
      </c>
      <c r="L42" s="798">
        <v>841.8</v>
      </c>
      <c r="M42" s="23"/>
      <c r="N42" s="23"/>
      <c r="O42" s="784">
        <v>363.375</v>
      </c>
      <c r="P42" s="798">
        <v>1253.8399999999999</v>
      </c>
      <c r="Q42" s="23"/>
      <c r="R42" s="23"/>
      <c r="S42" s="784">
        <v>363.375</v>
      </c>
      <c r="T42" s="798">
        <v>572.50999999999976</v>
      </c>
      <c r="U42" s="23"/>
      <c r="V42" s="23"/>
      <c r="W42" s="784">
        <v>0</v>
      </c>
      <c r="X42" s="798">
        <v>908.06</v>
      </c>
      <c r="Y42" s="23"/>
      <c r="Z42" s="23"/>
      <c r="AA42" s="784">
        <v>363.375</v>
      </c>
      <c r="AB42" s="798">
        <v>399.26999999999953</v>
      </c>
      <c r="AC42" s="23"/>
      <c r="AD42" s="23"/>
      <c r="AE42" s="784">
        <v>363.375</v>
      </c>
      <c r="AF42" s="798">
        <v>670.44000000000096</v>
      </c>
      <c r="AG42" s="23"/>
      <c r="AH42" s="23"/>
      <c r="AI42" s="784">
        <v>363.375</v>
      </c>
      <c r="AJ42" s="798">
        <v>663.34999999999957</v>
      </c>
      <c r="AK42" s="23"/>
      <c r="AL42" s="23"/>
      <c r="AM42" s="784">
        <v>363.375</v>
      </c>
      <c r="AN42" s="798">
        <v>1478.14</v>
      </c>
      <c r="AO42" s="23"/>
      <c r="AP42" s="23"/>
      <c r="AQ42" s="784">
        <v>363.375</v>
      </c>
      <c r="AR42" s="881">
        <v>3207.97</v>
      </c>
      <c r="AS42" s="23"/>
      <c r="AT42" s="23"/>
      <c r="AU42" s="784">
        <v>363.375</v>
      </c>
      <c r="AV42" s="881">
        <v>2800.46</v>
      </c>
      <c r="AW42" s="886"/>
      <c r="AX42" s="1000">
        <v>2657.89</v>
      </c>
      <c r="AY42" s="1001">
        <v>745.29</v>
      </c>
      <c r="AZ42" s="1001">
        <v>811.78</v>
      </c>
      <c r="BA42" s="1001">
        <v>1631.45</v>
      </c>
      <c r="BB42" s="1001">
        <v>1213.43</v>
      </c>
      <c r="BC42" s="1001">
        <v>2259.58</v>
      </c>
      <c r="BD42" s="1001">
        <v>1017</v>
      </c>
      <c r="BE42" s="1001">
        <v>547.58000000000004</v>
      </c>
      <c r="BF42" s="1001">
        <v>743.4</v>
      </c>
      <c r="BG42" s="1001">
        <v>1234.54</v>
      </c>
      <c r="BH42" s="1001">
        <v>549.47</v>
      </c>
      <c r="BI42" s="1001">
        <v>1023.06</v>
      </c>
      <c r="BJ42" s="1001">
        <v>0</v>
      </c>
      <c r="BK42" s="1001">
        <v>0</v>
      </c>
      <c r="BL42" s="1001">
        <v>0</v>
      </c>
      <c r="BM42" s="1001">
        <v>0</v>
      </c>
      <c r="BN42" s="1001">
        <v>0</v>
      </c>
      <c r="BO42" s="1001">
        <v>0</v>
      </c>
      <c r="BP42" s="1001">
        <v>0</v>
      </c>
      <c r="BQ42" s="1001">
        <v>0</v>
      </c>
      <c r="BR42" s="1001">
        <v>0</v>
      </c>
      <c r="BS42" s="1001">
        <v>0</v>
      </c>
      <c r="BT42" s="1001">
        <v>0</v>
      </c>
      <c r="BU42" s="1001">
        <v>0</v>
      </c>
      <c r="BV42" s="1003">
        <f t="shared" si="6"/>
        <v>0</v>
      </c>
      <c r="BW42" s="1002">
        <v>5331.31</v>
      </c>
      <c r="BX42" s="1004">
        <f t="shared" si="7"/>
        <v>5846.41</v>
      </c>
      <c r="CA42" s="331"/>
    </row>
    <row r="43" spans="1:84" s="332" customFormat="1" ht="15.6" x14ac:dyDescent="0.3">
      <c r="A43" t="s">
        <v>784</v>
      </c>
      <c r="B43" t="s">
        <v>784</v>
      </c>
      <c r="C43" s="784">
        <v>278.13</v>
      </c>
      <c r="D43" s="798"/>
      <c r="E43" s="611"/>
      <c r="F43" s="611"/>
      <c r="G43" s="784">
        <v>278.13</v>
      </c>
      <c r="H43" s="798">
        <v>267.35000000000002</v>
      </c>
      <c r="I43" s="23"/>
      <c r="J43" s="23"/>
      <c r="K43" s="784">
        <v>278.13</v>
      </c>
      <c r="L43" s="798">
        <v>267.35000000000002</v>
      </c>
      <c r="M43" s="23"/>
      <c r="N43" s="23"/>
      <c r="O43" s="784">
        <v>278.13</v>
      </c>
      <c r="P43" s="798">
        <v>267.34999999999991</v>
      </c>
      <c r="Q43" s="23"/>
      <c r="R43" s="23"/>
      <c r="S43" s="784">
        <v>278.13</v>
      </c>
      <c r="T43" s="798">
        <v>267.35000000000008</v>
      </c>
      <c r="U43" s="23"/>
      <c r="V43" s="23"/>
      <c r="W43" s="784">
        <v>278.13</v>
      </c>
      <c r="X43" s="798">
        <v>267.34999999999991</v>
      </c>
      <c r="Y43" s="23"/>
      <c r="Z43" s="23"/>
      <c r="AA43" s="784">
        <v>278.13</v>
      </c>
      <c r="AB43" s="798">
        <v>267.34999999999991</v>
      </c>
      <c r="AC43" s="23"/>
      <c r="AD43" s="23"/>
      <c r="AE43" s="784">
        <v>278.13</v>
      </c>
      <c r="AF43" s="798">
        <v>267.35000000000008</v>
      </c>
      <c r="AG43" s="23"/>
      <c r="AH43" s="23"/>
      <c r="AI43" s="784">
        <v>278.13</v>
      </c>
      <c r="AJ43" s="798">
        <v>267.35000000000008</v>
      </c>
      <c r="AK43" s="23"/>
      <c r="AL43" s="23"/>
      <c r="AM43" s="784">
        <v>278.13</v>
      </c>
      <c r="AN43" s="798">
        <v>267.34999999999991</v>
      </c>
      <c r="AO43" s="23"/>
      <c r="AP43" s="23"/>
      <c r="AQ43" s="784">
        <v>278.13</v>
      </c>
      <c r="AR43" s="881">
        <v>267.34999999999991</v>
      </c>
      <c r="AS43" s="23"/>
      <c r="AT43" s="23"/>
      <c r="AU43" s="784">
        <v>278.13</v>
      </c>
      <c r="AV43" s="881">
        <v>267.34999999999991</v>
      </c>
      <c r="AW43" s="886"/>
      <c r="AX43" s="1005">
        <v>282.10000000000002</v>
      </c>
      <c r="AY43" s="1006">
        <v>282.10000000000002</v>
      </c>
      <c r="AZ43" s="1006">
        <v>282.10000000000002</v>
      </c>
      <c r="BA43" s="1006">
        <v>282.10000000000002</v>
      </c>
      <c r="BB43" s="1006">
        <v>282.10000000000002</v>
      </c>
      <c r="BC43" s="1006">
        <v>282.10000000000002</v>
      </c>
      <c r="BD43" s="1006">
        <v>282.10000000000002</v>
      </c>
      <c r="BE43" s="1006">
        <v>282.10000000000002</v>
      </c>
      <c r="BF43" s="1006">
        <v>282.10000000000002</v>
      </c>
      <c r="BG43" s="1006">
        <v>282.10000000000002</v>
      </c>
      <c r="BH43" s="1006">
        <v>282.10000000000002</v>
      </c>
      <c r="BI43" s="1006">
        <v>282.10000000000002</v>
      </c>
      <c r="BJ43" s="1001">
        <v>0</v>
      </c>
      <c r="BK43" s="1001">
        <v>0</v>
      </c>
      <c r="BL43" s="1001">
        <v>0</v>
      </c>
      <c r="BM43" s="1001">
        <v>0</v>
      </c>
      <c r="BN43" s="1001">
        <v>0</v>
      </c>
      <c r="BO43" s="1001">
        <v>0</v>
      </c>
      <c r="BP43" s="1001">
        <v>0</v>
      </c>
      <c r="BQ43" s="1001">
        <v>0</v>
      </c>
      <c r="BR43" s="1001">
        <v>0</v>
      </c>
      <c r="BS43" s="1001">
        <v>0</v>
      </c>
      <c r="BT43" s="1001">
        <v>0</v>
      </c>
      <c r="BU43" s="1001">
        <v>0</v>
      </c>
      <c r="BV43" s="1003">
        <f t="shared" si="6"/>
        <v>0</v>
      </c>
      <c r="BW43" s="1002">
        <v>5331.31</v>
      </c>
      <c r="BX43" s="1004">
        <f t="shared" si="7"/>
        <v>1128.4000000000001</v>
      </c>
      <c r="BY43"/>
      <c r="BZ43"/>
      <c r="CA43"/>
      <c r="CB43"/>
      <c r="CC43"/>
      <c r="CD43"/>
      <c r="CE43"/>
      <c r="CF43"/>
    </row>
    <row r="44" spans="1:84" s="332" customFormat="1" ht="15.6" x14ac:dyDescent="0.3">
      <c r="A44" t="s">
        <v>785</v>
      </c>
      <c r="B44" t="s">
        <v>785</v>
      </c>
      <c r="C44" s="784"/>
      <c r="D44" s="798"/>
      <c r="E44" s="611"/>
      <c r="F44" s="611"/>
      <c r="G44" s="784"/>
      <c r="H44" s="798"/>
      <c r="I44" s="23"/>
      <c r="J44" s="23"/>
      <c r="K44" s="784"/>
      <c r="L44" s="798"/>
      <c r="M44" s="23"/>
      <c r="N44" s="23"/>
      <c r="O44" s="784"/>
      <c r="P44" s="798"/>
      <c r="Q44" s="23"/>
      <c r="R44" s="23"/>
      <c r="S44" s="784"/>
      <c r="T44" s="798"/>
      <c r="U44" s="23"/>
      <c r="V44" s="23"/>
      <c r="W44" s="784"/>
      <c r="X44" s="798"/>
      <c r="Y44" s="23"/>
      <c r="Z44" s="23"/>
      <c r="AA44" s="784"/>
      <c r="AB44" s="798"/>
      <c r="AC44" s="23"/>
      <c r="AD44" s="23"/>
      <c r="AE44" s="784"/>
      <c r="AF44" s="798"/>
      <c r="AG44" s="23"/>
      <c r="AH44" s="23"/>
      <c r="AI44" s="784"/>
      <c r="AJ44" s="798"/>
      <c r="AK44" s="23"/>
      <c r="AL44" s="23"/>
      <c r="AM44" s="784"/>
      <c r="AN44" s="798"/>
      <c r="AO44" s="23"/>
      <c r="AP44" s="23"/>
      <c r="AQ44" s="784"/>
      <c r="AR44" s="881"/>
      <c r="AS44" s="23"/>
      <c r="AT44" s="23"/>
      <c r="AU44" s="784"/>
      <c r="AV44" s="881"/>
      <c r="AW44" s="886"/>
      <c r="AX44" s="1005">
        <v>10.95</v>
      </c>
      <c r="AY44" s="1006">
        <v>0</v>
      </c>
      <c r="AZ44" s="1006">
        <v>0</v>
      </c>
      <c r="BA44" s="1006">
        <v>0</v>
      </c>
      <c r="BB44" s="1006">
        <v>0</v>
      </c>
      <c r="BC44" s="1006">
        <v>6.57</v>
      </c>
      <c r="BD44" s="1006">
        <v>0</v>
      </c>
      <c r="BE44" s="1006">
        <v>21.9</v>
      </c>
      <c r="BF44" s="1006">
        <v>55.22</v>
      </c>
      <c r="BG44" s="1006">
        <v>12.95</v>
      </c>
      <c r="BH44" s="1006">
        <v>12.95</v>
      </c>
      <c r="BI44" s="1006">
        <v>12.95</v>
      </c>
      <c r="BJ44" s="1001">
        <v>0</v>
      </c>
      <c r="BK44" s="1001">
        <v>0</v>
      </c>
      <c r="BL44" s="1001">
        <v>0</v>
      </c>
      <c r="BM44" s="1001">
        <v>0</v>
      </c>
      <c r="BN44" s="1001">
        <v>0</v>
      </c>
      <c r="BO44" s="1001">
        <v>0</v>
      </c>
      <c r="BP44" s="1001">
        <v>0</v>
      </c>
      <c r="BQ44" s="1001">
        <v>0</v>
      </c>
      <c r="BR44" s="1001">
        <v>0</v>
      </c>
      <c r="BS44" s="1001">
        <v>0</v>
      </c>
      <c r="BT44" s="1001">
        <v>0</v>
      </c>
      <c r="BU44" s="1001">
        <v>0</v>
      </c>
      <c r="BV44" s="1003">
        <f t="shared" si="6"/>
        <v>0</v>
      </c>
      <c r="BW44" s="1002">
        <v>5331.31</v>
      </c>
      <c r="BX44" s="1004">
        <f t="shared" si="7"/>
        <v>10.95</v>
      </c>
      <c r="BY44"/>
      <c r="BZ44"/>
      <c r="CA44"/>
      <c r="CB44"/>
      <c r="CC44"/>
      <c r="CD44"/>
      <c r="CE44"/>
      <c r="CF44"/>
    </row>
    <row r="45" spans="1:84" ht="15.6" x14ac:dyDescent="0.3">
      <c r="A45" s="333" t="s">
        <v>786</v>
      </c>
      <c r="B45" s="333" t="s">
        <v>786</v>
      </c>
      <c r="C45" s="784"/>
      <c r="D45" s="798"/>
      <c r="E45" s="611"/>
      <c r="F45" s="611"/>
      <c r="G45" s="784"/>
      <c r="H45" s="798"/>
      <c r="I45" s="23"/>
      <c r="J45" s="23"/>
      <c r="K45" s="784"/>
      <c r="L45" s="798"/>
      <c r="M45" s="23"/>
      <c r="N45" s="23"/>
      <c r="O45" s="784"/>
      <c r="P45" s="798"/>
      <c r="Q45" s="23"/>
      <c r="R45" s="23"/>
      <c r="S45" s="784"/>
      <c r="T45" s="798"/>
      <c r="U45" s="23"/>
      <c r="V45" s="23"/>
      <c r="W45" s="784"/>
      <c r="X45" s="798"/>
      <c r="Y45" s="23"/>
      <c r="Z45" s="23"/>
      <c r="AA45" s="784"/>
      <c r="AB45" s="798"/>
      <c r="AC45" s="23"/>
      <c r="AD45" s="23"/>
      <c r="AE45" s="784"/>
      <c r="AF45" s="798"/>
      <c r="AG45" s="23"/>
      <c r="AH45" s="23"/>
      <c r="AI45" s="784"/>
      <c r="AJ45" s="798"/>
      <c r="AK45" s="23"/>
      <c r="AL45" s="23"/>
      <c r="AM45" s="784"/>
      <c r="AN45" s="798"/>
      <c r="AO45" s="23"/>
      <c r="AP45" s="23"/>
      <c r="AQ45" s="784"/>
      <c r="AR45" s="881"/>
      <c r="AS45" s="23"/>
      <c r="AT45" s="23"/>
      <c r="AU45" s="784"/>
      <c r="AV45" s="881"/>
      <c r="AW45" s="886"/>
      <c r="AX45" s="1005">
        <v>0</v>
      </c>
      <c r="AY45" s="1006">
        <v>0</v>
      </c>
      <c r="AZ45" s="1006">
        <v>0</v>
      </c>
      <c r="BA45" s="1006">
        <v>0</v>
      </c>
      <c r="BB45" s="1006">
        <v>61.93</v>
      </c>
      <c r="BC45" s="1006">
        <v>61.93</v>
      </c>
      <c r="BD45" s="1006">
        <v>474.35</v>
      </c>
      <c r="BE45" s="1006">
        <v>0</v>
      </c>
      <c r="BF45" s="1006">
        <v>0</v>
      </c>
      <c r="BG45" s="1006">
        <v>0</v>
      </c>
      <c r="BH45" s="1006">
        <v>0</v>
      </c>
      <c r="BI45" s="1006">
        <v>0</v>
      </c>
      <c r="BJ45" s="1001">
        <v>0</v>
      </c>
      <c r="BK45" s="1001">
        <v>0</v>
      </c>
      <c r="BL45" s="1001">
        <v>0</v>
      </c>
      <c r="BM45" s="1001">
        <v>0</v>
      </c>
      <c r="BN45" s="1001">
        <v>0</v>
      </c>
      <c r="BO45" s="1001">
        <v>0</v>
      </c>
      <c r="BP45" s="1001">
        <v>0</v>
      </c>
      <c r="BQ45" s="1001">
        <v>0</v>
      </c>
      <c r="BR45" s="1001">
        <v>0</v>
      </c>
      <c r="BS45" s="1001">
        <v>0</v>
      </c>
      <c r="BT45" s="1001">
        <v>0</v>
      </c>
      <c r="BU45" s="1001">
        <v>0</v>
      </c>
      <c r="BV45" s="1003">
        <f t="shared" si="6"/>
        <v>0</v>
      </c>
      <c r="BW45" s="1002">
        <v>5331.31</v>
      </c>
      <c r="BX45" s="1004">
        <f t="shared" si="7"/>
        <v>0</v>
      </c>
    </row>
    <row r="46" spans="1:84" ht="15.6" x14ac:dyDescent="0.3">
      <c r="A46" t="s">
        <v>787</v>
      </c>
      <c r="B46" t="s">
        <v>787</v>
      </c>
      <c r="C46" s="783">
        <v>5101.7937494430553</v>
      </c>
      <c r="D46" s="797">
        <v>1798</v>
      </c>
      <c r="E46" s="610"/>
      <c r="F46" s="610"/>
      <c r="G46" s="783">
        <v>5101.7937494430544</v>
      </c>
      <c r="H46" s="797">
        <v>8238</v>
      </c>
      <c r="I46" s="22"/>
      <c r="J46" s="22"/>
      <c r="K46" s="783">
        <v>5101.7937494430562</v>
      </c>
      <c r="L46" s="797">
        <v>9969</v>
      </c>
      <c r="M46" s="22"/>
      <c r="N46" s="22"/>
      <c r="O46" s="783">
        <v>5896.8188130084382</v>
      </c>
      <c r="P46" s="797">
        <v>1268</v>
      </c>
      <c r="Q46" s="22"/>
      <c r="R46" s="22"/>
      <c r="S46" s="783">
        <v>5896.8188130084391</v>
      </c>
      <c r="T46" s="797">
        <v>5412</v>
      </c>
      <c r="U46" s="22"/>
      <c r="V46" s="22"/>
      <c r="W46" s="783">
        <v>5896.8188130084391</v>
      </c>
      <c r="X46" s="797">
        <v>919</v>
      </c>
      <c r="Y46" s="22"/>
      <c r="Z46" s="22"/>
      <c r="AA46" s="783">
        <v>6004.9941514928396</v>
      </c>
      <c r="AB46" s="797">
        <v>2306</v>
      </c>
      <c r="AC46" s="22"/>
      <c r="AD46" s="22"/>
      <c r="AE46" s="783">
        <v>6004.9941514928396</v>
      </c>
      <c r="AF46" s="797">
        <v>143</v>
      </c>
      <c r="AG46" s="22"/>
      <c r="AH46" s="22"/>
      <c r="AI46" s="783">
        <v>6004.9941514928396</v>
      </c>
      <c r="AJ46" s="797">
        <v>9899</v>
      </c>
      <c r="AK46" s="22"/>
      <c r="AL46" s="22"/>
      <c r="AM46" s="783">
        <v>6329.726619389</v>
      </c>
      <c r="AN46" s="797">
        <v>34021</v>
      </c>
      <c r="AO46" s="22"/>
      <c r="AP46" s="22"/>
      <c r="AQ46" s="783">
        <v>6329.726619389</v>
      </c>
      <c r="AR46" s="881">
        <v>2664</v>
      </c>
      <c r="AS46" s="22"/>
      <c r="AT46" s="22"/>
      <c r="AU46" s="783">
        <v>6329.726619389</v>
      </c>
      <c r="AV46" s="881">
        <v>26289</v>
      </c>
      <c r="AW46" s="886"/>
      <c r="AX46" s="1005">
        <v>2507</v>
      </c>
      <c r="AY46" s="1006">
        <v>3294</v>
      </c>
      <c r="AZ46" s="1006">
        <v>15</v>
      </c>
      <c r="BA46" s="1006">
        <v>9489</v>
      </c>
      <c r="BB46" s="1006">
        <v>21366</v>
      </c>
      <c r="BC46" s="1006">
        <v>21502.12</v>
      </c>
      <c r="BD46" s="1006">
        <v>624</v>
      </c>
      <c r="BE46" s="1006">
        <v>3416</v>
      </c>
      <c r="BF46" s="1006">
        <v>2398.33</v>
      </c>
      <c r="BG46" s="1006">
        <v>7540.21</v>
      </c>
      <c r="BH46" s="1006">
        <v>422</v>
      </c>
      <c r="BI46" s="1006">
        <v>6241</v>
      </c>
      <c r="BJ46" s="1001">
        <v>0</v>
      </c>
      <c r="BK46" s="1001">
        <v>0</v>
      </c>
      <c r="BL46" s="1001">
        <v>0</v>
      </c>
      <c r="BM46" s="1001">
        <v>0</v>
      </c>
      <c r="BN46" s="1001">
        <v>0</v>
      </c>
      <c r="BO46" s="1001">
        <v>0</v>
      </c>
      <c r="BP46" s="1001">
        <v>0</v>
      </c>
      <c r="BQ46" s="1001">
        <v>0</v>
      </c>
      <c r="BR46" s="1001">
        <v>0</v>
      </c>
      <c r="BS46" s="1001">
        <v>0</v>
      </c>
      <c r="BT46" s="1001">
        <v>0</v>
      </c>
      <c r="BU46" s="1001">
        <v>0</v>
      </c>
      <c r="BV46" s="1003">
        <f t="shared" si="6"/>
        <v>0</v>
      </c>
      <c r="BW46" s="1002">
        <v>5331.31</v>
      </c>
      <c r="BX46" s="1004">
        <f t="shared" si="7"/>
        <v>15305</v>
      </c>
    </row>
    <row r="47" spans="1:84" ht="18" customHeight="1" x14ac:dyDescent="0.3">
      <c r="A47" t="s">
        <v>788</v>
      </c>
      <c r="B47" t="s">
        <v>788</v>
      </c>
      <c r="C47" s="784">
        <v>500</v>
      </c>
      <c r="D47" s="798">
        <v>193.27</v>
      </c>
      <c r="E47" s="611"/>
      <c r="F47" s="611"/>
      <c r="G47" s="784">
        <v>500</v>
      </c>
      <c r="H47" s="798">
        <v>215.54</v>
      </c>
      <c r="I47" s="23"/>
      <c r="J47" s="23"/>
      <c r="K47" s="784">
        <v>500</v>
      </c>
      <c r="L47" s="798">
        <v>260.55</v>
      </c>
      <c r="M47" s="23"/>
      <c r="N47" s="23"/>
      <c r="O47" s="784">
        <v>500</v>
      </c>
      <c r="P47" s="798">
        <v>235.6999999999999</v>
      </c>
      <c r="Q47" s="23"/>
      <c r="R47" s="23"/>
      <c r="S47" s="784">
        <v>500</v>
      </c>
      <c r="T47" s="798">
        <v>314.3</v>
      </c>
      <c r="U47" s="23"/>
      <c r="V47" s="23"/>
      <c r="W47" s="784">
        <v>500</v>
      </c>
      <c r="X47" s="798">
        <v>434.63000000000011</v>
      </c>
      <c r="Y47" s="23"/>
      <c r="Z47" s="23"/>
      <c r="AA47" s="784">
        <v>500</v>
      </c>
      <c r="AB47" s="798">
        <v>342.96</v>
      </c>
      <c r="AC47" s="23"/>
      <c r="AD47" s="23"/>
      <c r="AE47" s="784">
        <v>500</v>
      </c>
      <c r="AF47" s="798">
        <v>495.89999999999992</v>
      </c>
      <c r="AG47" s="23"/>
      <c r="AH47" s="23"/>
      <c r="AI47" s="784">
        <v>500</v>
      </c>
      <c r="AJ47" s="798">
        <v>161.32000000000019</v>
      </c>
      <c r="AK47" s="23"/>
      <c r="AL47" s="23"/>
      <c r="AM47" s="784">
        <v>500</v>
      </c>
      <c r="AN47" s="798">
        <v>389.15000000000009</v>
      </c>
      <c r="AO47" s="23"/>
      <c r="AP47" s="23"/>
      <c r="AQ47" s="784">
        <v>500</v>
      </c>
      <c r="AR47" s="881">
        <v>3494.66</v>
      </c>
      <c r="AS47" s="23"/>
      <c r="AT47" s="23"/>
      <c r="AU47" s="784">
        <v>500</v>
      </c>
      <c r="AV47" s="881">
        <v>2150.44</v>
      </c>
      <c r="AW47" s="886"/>
      <c r="AX47" s="1005">
        <v>2460.1799999999998</v>
      </c>
      <c r="AY47" s="1006">
        <v>7346.7</v>
      </c>
      <c r="AZ47" s="1006">
        <v>3570.24</v>
      </c>
      <c r="BA47" s="1006">
        <v>2402.9899999999998</v>
      </c>
      <c r="BB47" s="1006">
        <v>445.32</v>
      </c>
      <c r="BC47" s="1006">
        <v>1519.35</v>
      </c>
      <c r="BD47" s="1006">
        <v>-887.4</v>
      </c>
      <c r="BE47" s="1006">
        <v>1285.6600000000001</v>
      </c>
      <c r="BF47" s="1006">
        <v>613.9</v>
      </c>
      <c r="BG47" s="1006">
        <v>255.36</v>
      </c>
      <c r="BH47" s="1006">
        <v>3508.87</v>
      </c>
      <c r="BI47" s="1006">
        <v>279.18</v>
      </c>
      <c r="BJ47" s="1001">
        <v>0</v>
      </c>
      <c r="BK47" s="1001">
        <v>0</v>
      </c>
      <c r="BL47" s="1001">
        <v>0</v>
      </c>
      <c r="BM47" s="1001">
        <v>0</v>
      </c>
      <c r="BN47" s="1001">
        <v>0</v>
      </c>
      <c r="BO47" s="1001">
        <v>0</v>
      </c>
      <c r="BP47" s="1001">
        <v>0</v>
      </c>
      <c r="BQ47" s="1001">
        <v>0</v>
      </c>
      <c r="BR47" s="1001">
        <v>0</v>
      </c>
      <c r="BS47" s="1001">
        <v>0</v>
      </c>
      <c r="BT47" s="1001">
        <v>0</v>
      </c>
      <c r="BU47" s="1001">
        <v>0</v>
      </c>
      <c r="BV47" s="1003">
        <f t="shared" si="6"/>
        <v>0</v>
      </c>
      <c r="BW47" s="1002">
        <v>5331.31</v>
      </c>
      <c r="BX47" s="1004">
        <f t="shared" si="7"/>
        <v>15780.109999999999</v>
      </c>
    </row>
    <row r="48" spans="1:84" ht="15.6" x14ac:dyDescent="0.3">
      <c r="A48" t="s">
        <v>789</v>
      </c>
      <c r="B48" t="s">
        <v>789</v>
      </c>
      <c r="C48" s="784">
        <v>209</v>
      </c>
      <c r="D48" s="798"/>
      <c r="E48" s="611"/>
      <c r="F48" s="611"/>
      <c r="G48" s="784">
        <v>209</v>
      </c>
      <c r="H48" s="798">
        <v>39.950000000000003</v>
      </c>
      <c r="I48" s="23"/>
      <c r="J48" s="23"/>
      <c r="K48" s="784">
        <v>209</v>
      </c>
      <c r="L48" s="798">
        <v>40</v>
      </c>
      <c r="M48" s="23"/>
      <c r="N48" s="23"/>
      <c r="O48" s="784">
        <v>209</v>
      </c>
      <c r="P48" s="798"/>
      <c r="Q48" s="23"/>
      <c r="R48" s="23"/>
      <c r="S48" s="784">
        <v>209</v>
      </c>
      <c r="T48" s="798"/>
      <c r="U48" s="23"/>
      <c r="V48" s="23"/>
      <c r="W48" s="784">
        <v>209</v>
      </c>
      <c r="X48" s="798">
        <v>290</v>
      </c>
      <c r="Y48" s="23"/>
      <c r="Z48" s="23"/>
      <c r="AA48" s="784">
        <v>209</v>
      </c>
      <c r="AB48" s="798">
        <v>9.5200000000000387</v>
      </c>
      <c r="AC48" s="23"/>
      <c r="AD48" s="23"/>
      <c r="AE48" s="784">
        <v>209</v>
      </c>
      <c r="AF48" s="798">
        <v>103.42999999999989</v>
      </c>
      <c r="AG48" s="23"/>
      <c r="AH48" s="23"/>
      <c r="AI48" s="784">
        <v>209</v>
      </c>
      <c r="AJ48" s="798">
        <v>525.58000000000004</v>
      </c>
      <c r="AK48" s="23"/>
      <c r="AL48" s="23"/>
      <c r="AM48" s="784">
        <v>209</v>
      </c>
      <c r="AN48" s="798">
        <v>390.31999999999988</v>
      </c>
      <c r="AO48" s="23"/>
      <c r="AP48" s="23"/>
      <c r="AQ48" s="784">
        <v>209</v>
      </c>
      <c r="AR48" s="881">
        <v>534.11000000000013</v>
      </c>
      <c r="AS48" s="23"/>
      <c r="AT48" s="23"/>
      <c r="AU48" s="784">
        <v>209</v>
      </c>
      <c r="AV48" s="881">
        <v>719.66000000000008</v>
      </c>
      <c r="AW48" s="886"/>
      <c r="AX48" s="1005">
        <v>14.9</v>
      </c>
      <c r="AY48" s="1006">
        <v>436.24</v>
      </c>
      <c r="AZ48" s="1006">
        <v>122.22</v>
      </c>
      <c r="BA48" s="1006">
        <v>599.9</v>
      </c>
      <c r="BB48" s="1006">
        <v>108.78</v>
      </c>
      <c r="BC48" s="1006">
        <v>133.87</v>
      </c>
      <c r="BD48" s="1006">
        <v>516</v>
      </c>
      <c r="BE48" s="1006">
        <v>201.35</v>
      </c>
      <c r="BF48" s="1006">
        <v>589.27</v>
      </c>
      <c r="BG48" s="1006">
        <v>341.23</v>
      </c>
      <c r="BH48" s="1006">
        <v>306.22000000000003</v>
      </c>
      <c r="BI48" s="1006">
        <v>376.47</v>
      </c>
      <c r="BJ48" s="1001">
        <v>0</v>
      </c>
      <c r="BK48" s="1001">
        <v>0</v>
      </c>
      <c r="BL48" s="1001">
        <v>0</v>
      </c>
      <c r="BM48" s="1001">
        <v>0</v>
      </c>
      <c r="BN48" s="1001">
        <v>0</v>
      </c>
      <c r="BO48" s="1001">
        <v>0</v>
      </c>
      <c r="BP48" s="1001">
        <v>0</v>
      </c>
      <c r="BQ48" s="1001">
        <v>0</v>
      </c>
      <c r="BR48" s="1001">
        <v>0</v>
      </c>
      <c r="BS48" s="1001">
        <v>0</v>
      </c>
      <c r="BT48" s="1001">
        <v>0</v>
      </c>
      <c r="BU48" s="1001">
        <v>0</v>
      </c>
      <c r="BV48" s="1003">
        <f t="shared" si="6"/>
        <v>0</v>
      </c>
      <c r="BW48" s="1002">
        <v>5331.31</v>
      </c>
      <c r="BX48" s="1004">
        <f t="shared" si="7"/>
        <v>1173.26</v>
      </c>
    </row>
    <row r="49" spans="1:77" ht="15.6" x14ac:dyDescent="0.3">
      <c r="A49" t="s">
        <v>790</v>
      </c>
      <c r="B49" t="s">
        <v>790</v>
      </c>
      <c r="C49" s="784"/>
      <c r="D49" s="798">
        <v>99</v>
      </c>
      <c r="E49" s="611"/>
      <c r="F49" s="611"/>
      <c r="G49" s="784"/>
      <c r="H49" s="798">
        <v>99</v>
      </c>
      <c r="I49" s="23"/>
      <c r="J49" s="23"/>
      <c r="K49" s="784"/>
      <c r="L49" s="798">
        <v>99</v>
      </c>
      <c r="M49" s="23"/>
      <c r="N49" s="23"/>
      <c r="O49" s="784"/>
      <c r="P49" s="798">
        <v>99</v>
      </c>
      <c r="Q49" s="23"/>
      <c r="R49" s="23"/>
      <c r="S49" s="784"/>
      <c r="T49" s="798">
        <v>99</v>
      </c>
      <c r="U49" s="23"/>
      <c r="V49" s="23"/>
      <c r="W49" s="784"/>
      <c r="X49" s="798">
        <v>99</v>
      </c>
      <c r="Y49" s="23"/>
      <c r="Z49" s="23"/>
      <c r="AA49" s="784"/>
      <c r="AB49" s="798">
        <v>99</v>
      </c>
      <c r="AC49" s="23"/>
      <c r="AD49" s="23"/>
      <c r="AE49" s="784"/>
      <c r="AF49" s="798">
        <v>99</v>
      </c>
      <c r="AG49" s="23"/>
      <c r="AH49" s="23"/>
      <c r="AI49" s="784"/>
      <c r="AJ49" s="798">
        <v>99</v>
      </c>
      <c r="AK49" s="23"/>
      <c r="AL49" s="23"/>
      <c r="AM49" s="784"/>
      <c r="AN49" s="798">
        <v>99</v>
      </c>
      <c r="AO49" s="23"/>
      <c r="AP49" s="23"/>
      <c r="AQ49" s="784"/>
      <c r="AR49" s="881"/>
      <c r="AS49" s="23"/>
      <c r="AT49" s="23"/>
      <c r="AU49" s="784"/>
      <c r="AV49" s="881">
        <v>15081.59</v>
      </c>
      <c r="AW49" s="886"/>
      <c r="AX49" s="1005">
        <v>99</v>
      </c>
      <c r="AY49" s="1006">
        <v>1270.6600000000001</v>
      </c>
      <c r="AZ49" s="1006">
        <v>108.94</v>
      </c>
      <c r="BA49" s="1006">
        <v>99</v>
      </c>
      <c r="BB49" s="1006">
        <v>99</v>
      </c>
      <c r="BC49" s="1006">
        <v>99</v>
      </c>
      <c r="BD49" s="1006">
        <v>0</v>
      </c>
      <c r="BE49" s="1006">
        <v>20099</v>
      </c>
      <c r="BF49" s="1006">
        <v>-19901</v>
      </c>
      <c r="BG49" s="1006">
        <v>99</v>
      </c>
      <c r="BH49" s="1006">
        <v>99</v>
      </c>
      <c r="BI49" s="1006">
        <v>16156.48</v>
      </c>
      <c r="BJ49" s="1001">
        <v>0</v>
      </c>
      <c r="BK49" s="1001">
        <v>0</v>
      </c>
      <c r="BL49" s="1001">
        <v>0</v>
      </c>
      <c r="BM49" s="1001">
        <v>0</v>
      </c>
      <c r="BN49" s="1001">
        <v>0</v>
      </c>
      <c r="BO49" s="1001">
        <v>0</v>
      </c>
      <c r="BP49" s="1001">
        <v>0</v>
      </c>
      <c r="BQ49" s="1001">
        <v>0</v>
      </c>
      <c r="BR49" s="1001">
        <v>0</v>
      </c>
      <c r="BS49" s="1001">
        <v>0</v>
      </c>
      <c r="BT49" s="1001">
        <v>0</v>
      </c>
      <c r="BU49" s="1001">
        <v>0</v>
      </c>
      <c r="BV49" s="1003">
        <f t="shared" si="6"/>
        <v>0</v>
      </c>
      <c r="BW49" s="1002">
        <v>5331.31</v>
      </c>
      <c r="BX49" s="1004">
        <f t="shared" si="7"/>
        <v>1577.6000000000001</v>
      </c>
    </row>
    <row r="50" spans="1:77" ht="15.6" x14ac:dyDescent="0.3">
      <c r="A50" t="s">
        <v>791</v>
      </c>
      <c r="B50" t="s">
        <v>791</v>
      </c>
      <c r="C50" s="783"/>
      <c r="D50" s="797"/>
      <c r="E50" s="610"/>
      <c r="F50" s="610"/>
      <c r="G50" s="783"/>
      <c r="H50" s="797"/>
      <c r="I50" s="22"/>
      <c r="J50" s="22"/>
      <c r="K50" s="783"/>
      <c r="L50" s="797"/>
      <c r="M50" s="22"/>
      <c r="N50" s="22"/>
      <c r="O50" s="783"/>
      <c r="P50" s="797"/>
      <c r="Q50" s="22"/>
      <c r="R50" s="22"/>
      <c r="S50" s="783"/>
      <c r="T50" s="797"/>
      <c r="U50" s="22"/>
      <c r="V50" s="22"/>
      <c r="W50" s="783"/>
      <c r="X50" s="797"/>
      <c r="Y50" s="22"/>
      <c r="Z50" s="22"/>
      <c r="AA50" s="783"/>
      <c r="AB50" s="797"/>
      <c r="AC50" s="22"/>
      <c r="AD50" s="22"/>
      <c r="AE50" s="783"/>
      <c r="AF50" s="797"/>
      <c r="AG50" s="22"/>
      <c r="AH50" s="22"/>
      <c r="AI50" s="783"/>
      <c r="AJ50" s="797"/>
      <c r="AK50" s="22"/>
      <c r="AL50" s="22"/>
      <c r="AM50" s="783"/>
      <c r="AN50" s="797"/>
      <c r="AO50" s="22"/>
      <c r="AP50" s="22"/>
      <c r="AQ50" s="783"/>
      <c r="AR50" s="881"/>
      <c r="AS50" s="22"/>
      <c r="AT50" s="22"/>
      <c r="AU50" s="783"/>
      <c r="AV50" s="881">
        <v>2916.2</v>
      </c>
      <c r="AW50" s="886"/>
      <c r="AX50" s="1005">
        <v>0</v>
      </c>
      <c r="AY50" s="1006">
        <v>5000</v>
      </c>
      <c r="AZ50" s="1006">
        <v>1500</v>
      </c>
      <c r="BA50" s="1006">
        <v>0</v>
      </c>
      <c r="BB50" s="1006">
        <v>0</v>
      </c>
      <c r="BC50" s="1006">
        <v>0</v>
      </c>
      <c r="BD50" s="1006">
        <v>0</v>
      </c>
      <c r="BE50" s="1006">
        <v>0</v>
      </c>
      <c r="BF50" s="1006">
        <v>0</v>
      </c>
      <c r="BG50" s="1006">
        <v>0</v>
      </c>
      <c r="BH50" s="1006">
        <v>0</v>
      </c>
      <c r="BI50" s="1006">
        <v>8283.14</v>
      </c>
      <c r="BJ50" s="1001">
        <v>0</v>
      </c>
      <c r="BK50" s="1001">
        <v>0</v>
      </c>
      <c r="BL50" s="1001">
        <v>0</v>
      </c>
      <c r="BM50" s="1001">
        <v>0</v>
      </c>
      <c r="BN50" s="1001">
        <v>0</v>
      </c>
      <c r="BO50" s="1001">
        <v>0</v>
      </c>
      <c r="BP50" s="1001">
        <v>0</v>
      </c>
      <c r="BQ50" s="1001">
        <v>0</v>
      </c>
      <c r="BR50" s="1001">
        <v>0</v>
      </c>
      <c r="BS50" s="1001">
        <v>0</v>
      </c>
      <c r="BT50" s="1001">
        <v>0</v>
      </c>
      <c r="BU50" s="1001">
        <v>0</v>
      </c>
      <c r="BV50" s="1003">
        <f t="shared" si="6"/>
        <v>0</v>
      </c>
      <c r="BW50" s="1002">
        <v>5331.31</v>
      </c>
      <c r="BX50" s="1004">
        <f t="shared" si="7"/>
        <v>6500</v>
      </c>
    </row>
    <row r="51" spans="1:77" ht="15.6" x14ac:dyDescent="0.3">
      <c r="B51" t="s">
        <v>917</v>
      </c>
      <c r="C51" s="784"/>
      <c r="D51" s="798"/>
      <c r="E51" s="611"/>
      <c r="F51" s="611"/>
      <c r="G51" s="784"/>
      <c r="H51" s="798"/>
      <c r="I51" s="23"/>
      <c r="J51" s="23"/>
      <c r="K51" s="784"/>
      <c r="L51" s="798"/>
      <c r="M51" s="23"/>
      <c r="N51" s="23"/>
      <c r="O51" s="784"/>
      <c r="P51" s="798"/>
      <c r="Q51" s="23"/>
      <c r="R51" s="23"/>
      <c r="S51" s="784"/>
      <c r="T51" s="798"/>
      <c r="U51" s="23"/>
      <c r="V51" s="23"/>
      <c r="W51" s="784"/>
      <c r="X51" s="798"/>
      <c r="Y51" s="23"/>
      <c r="Z51" s="23"/>
      <c r="AA51" s="784"/>
      <c r="AB51" s="798">
        <v>8877.9599999999991</v>
      </c>
      <c r="AC51" s="23"/>
      <c r="AD51" s="23"/>
      <c r="AE51" s="784"/>
      <c r="AF51" s="798">
        <v>18411.45</v>
      </c>
      <c r="AG51" s="23"/>
      <c r="AH51" s="23"/>
      <c r="AI51" s="784"/>
      <c r="AJ51" s="798"/>
      <c r="AK51" s="23"/>
      <c r="AL51" s="23"/>
      <c r="AM51" s="784"/>
      <c r="AN51" s="798"/>
      <c r="AO51" s="23"/>
      <c r="AP51" s="23"/>
      <c r="AQ51" s="784"/>
      <c r="AR51" s="881"/>
      <c r="AS51" s="23"/>
      <c r="AT51" s="23"/>
      <c r="AU51" s="784"/>
      <c r="AV51" s="881"/>
      <c r="AW51" s="886"/>
      <c r="AX51" s="1005"/>
      <c r="AY51" s="1006"/>
      <c r="AZ51" s="1006"/>
      <c r="BA51" s="1006"/>
      <c r="BB51" s="1006"/>
      <c r="BC51" s="1006"/>
      <c r="BD51" s="1006">
        <v>0</v>
      </c>
      <c r="BE51" s="1006">
        <v>0</v>
      </c>
      <c r="BF51" s="1006">
        <v>0</v>
      </c>
      <c r="BG51" s="1006">
        <v>0</v>
      </c>
      <c r="BH51" s="1006">
        <v>0</v>
      </c>
      <c r="BI51" s="1006">
        <v>0</v>
      </c>
      <c r="BJ51" s="1006">
        <v>0</v>
      </c>
      <c r="BK51" s="1006">
        <v>0</v>
      </c>
      <c r="BL51" s="1006">
        <v>0</v>
      </c>
      <c r="BM51" s="1006">
        <v>0</v>
      </c>
      <c r="BN51" s="1006">
        <v>0</v>
      </c>
      <c r="BO51" s="1006">
        <v>0</v>
      </c>
      <c r="BP51" s="1006">
        <v>0</v>
      </c>
      <c r="BQ51" s="1006">
        <v>0</v>
      </c>
      <c r="BR51" s="1006">
        <v>0</v>
      </c>
      <c r="BS51" s="1006">
        <v>0</v>
      </c>
      <c r="BT51" s="1006">
        <v>0</v>
      </c>
      <c r="BU51" s="1006">
        <v>0</v>
      </c>
      <c r="BV51" s="1003">
        <f t="shared" si="6"/>
        <v>0</v>
      </c>
      <c r="BW51" s="1002">
        <v>5331.31</v>
      </c>
      <c r="BX51" s="1004">
        <f t="shared" si="7"/>
        <v>0</v>
      </c>
    </row>
    <row r="52" spans="1:77" ht="15.6" x14ac:dyDescent="0.3">
      <c r="B52" s="20" t="s">
        <v>37</v>
      </c>
      <c r="C52" s="785">
        <v>11202.298749443056</v>
      </c>
      <c r="D52" s="786">
        <v>6552.58</v>
      </c>
      <c r="E52" s="612">
        <v>0</v>
      </c>
      <c r="F52" s="612">
        <v>0</v>
      </c>
      <c r="G52" s="785">
        <v>11202.298749443054</v>
      </c>
      <c r="H52" s="786">
        <v>14003.070000000002</v>
      </c>
      <c r="I52" s="21">
        <v>0</v>
      </c>
      <c r="J52" s="21">
        <v>0</v>
      </c>
      <c r="K52" s="785">
        <v>11202.298749443056</v>
      </c>
      <c r="L52" s="786">
        <v>17939.25</v>
      </c>
      <c r="M52" s="21">
        <v>0</v>
      </c>
      <c r="N52" s="21">
        <v>0</v>
      </c>
      <c r="O52" s="785">
        <v>11997.323813008439</v>
      </c>
      <c r="P52" s="786">
        <v>10046.99</v>
      </c>
      <c r="Q52" s="21">
        <v>0</v>
      </c>
      <c r="R52" s="21">
        <v>0</v>
      </c>
      <c r="S52" s="785">
        <v>11997.323813008439</v>
      </c>
      <c r="T52" s="786">
        <v>12434.410000000002</v>
      </c>
      <c r="U52" s="21">
        <v>0</v>
      </c>
      <c r="V52" s="21">
        <v>0</v>
      </c>
      <c r="W52" s="785">
        <v>6883.9488130084392</v>
      </c>
      <c r="X52" s="786">
        <v>9841.14</v>
      </c>
      <c r="Y52" s="21">
        <v>0</v>
      </c>
      <c r="Z52" s="21">
        <v>0</v>
      </c>
      <c r="AA52" s="785">
        <v>12105.499151492841</v>
      </c>
      <c r="AB52" s="786">
        <v>17379.010000000002</v>
      </c>
      <c r="AC52" s="21">
        <v>0</v>
      </c>
      <c r="AD52" s="21">
        <v>0</v>
      </c>
      <c r="AE52" s="785">
        <v>12105.499151492841</v>
      </c>
      <c r="AF52" s="786">
        <v>27113.659999999996</v>
      </c>
      <c r="AG52" s="21">
        <v>0</v>
      </c>
      <c r="AH52" s="21">
        <v>0</v>
      </c>
      <c r="AI52" s="785">
        <v>12105.499151492841</v>
      </c>
      <c r="AJ52" s="786">
        <v>20601.240000000005</v>
      </c>
      <c r="AK52" s="21">
        <v>0</v>
      </c>
      <c r="AL52" s="21">
        <v>0</v>
      </c>
      <c r="AM52" s="785">
        <v>12430.231619389</v>
      </c>
      <c r="AN52" s="786">
        <v>44634.87</v>
      </c>
      <c r="AO52" s="21">
        <v>0</v>
      </c>
      <c r="AP52" s="21">
        <v>0</v>
      </c>
      <c r="AQ52" s="785">
        <v>12430.231619389</v>
      </c>
      <c r="AR52" s="786">
        <v>18443.660000000011</v>
      </c>
      <c r="AS52" s="21">
        <v>0</v>
      </c>
      <c r="AT52" s="21">
        <v>0</v>
      </c>
      <c r="AU52" s="785">
        <v>12430.231619389</v>
      </c>
      <c r="AV52" s="786">
        <v>59833.319999999992</v>
      </c>
      <c r="AW52" s="612"/>
      <c r="AX52" s="1012">
        <f>SUM(AX41:AX51)</f>
        <v>15909.230000000001</v>
      </c>
      <c r="AY52" s="1013">
        <f t="shared" ref="AY52:BX52" si="8">SUM(AY41:AY51)</f>
        <v>25765.760000000002</v>
      </c>
      <c r="AZ52" s="1013">
        <f t="shared" si="8"/>
        <v>13794.54</v>
      </c>
      <c r="BA52" s="1013">
        <f t="shared" si="8"/>
        <v>21314.370000000003</v>
      </c>
      <c r="BB52" s="1013">
        <f t="shared" si="8"/>
        <v>30499.66</v>
      </c>
      <c r="BC52" s="1013">
        <f t="shared" si="8"/>
        <v>32787.619999999995</v>
      </c>
      <c r="BD52" s="1013">
        <f t="shared" si="8"/>
        <v>9641.4700000000012</v>
      </c>
      <c r="BE52" s="1013">
        <f t="shared" si="8"/>
        <v>33007.449999999997</v>
      </c>
      <c r="BF52" s="1013">
        <f t="shared" si="8"/>
        <v>-8295.6799999999985</v>
      </c>
      <c r="BG52" s="1013">
        <f t="shared" si="8"/>
        <v>16457.72</v>
      </c>
      <c r="BH52" s="1013">
        <f t="shared" si="8"/>
        <v>12103.710000000001</v>
      </c>
      <c r="BI52" s="1013">
        <f t="shared" si="8"/>
        <v>40269.800000000003</v>
      </c>
      <c r="BJ52" s="1013">
        <f t="shared" si="8"/>
        <v>0</v>
      </c>
      <c r="BK52" s="1013">
        <f t="shared" si="8"/>
        <v>0</v>
      </c>
      <c r="BL52" s="1013">
        <f>SUM(BL41:BL51)</f>
        <v>0</v>
      </c>
      <c r="BM52" s="1013">
        <f>SUM(BM41:BM51)</f>
        <v>0</v>
      </c>
      <c r="BN52" s="1013">
        <f t="shared" ref="BN52:BU52" si="9">SUM(BN41:BN51)</f>
        <v>0</v>
      </c>
      <c r="BO52" s="1013">
        <f t="shared" si="9"/>
        <v>0</v>
      </c>
      <c r="BP52" s="1013">
        <f t="shared" si="9"/>
        <v>0</v>
      </c>
      <c r="BQ52" s="1013">
        <f t="shared" si="9"/>
        <v>0</v>
      </c>
      <c r="BR52" s="1013">
        <f t="shared" si="9"/>
        <v>0</v>
      </c>
      <c r="BS52" s="1013">
        <f t="shared" si="9"/>
        <v>0</v>
      </c>
      <c r="BT52" s="1013">
        <f t="shared" si="9"/>
        <v>0</v>
      </c>
      <c r="BU52" s="1013">
        <f t="shared" si="9"/>
        <v>0</v>
      </c>
      <c r="BV52" s="1013">
        <f t="shared" si="8"/>
        <v>0</v>
      </c>
      <c r="BW52" s="1013">
        <f t="shared" si="8"/>
        <v>58644.409999999996</v>
      </c>
      <c r="BX52" s="1013">
        <f t="shared" si="8"/>
        <v>76783.899999999994</v>
      </c>
    </row>
    <row r="53" spans="1:77" ht="15" thickBot="1" x14ac:dyDescent="0.35">
      <c r="C53" s="759"/>
      <c r="D53" s="764"/>
      <c r="G53" s="759"/>
      <c r="H53" s="764"/>
      <c r="K53" s="759"/>
      <c r="L53" s="764"/>
      <c r="O53" s="759"/>
      <c r="P53" s="764"/>
      <c r="S53" s="759"/>
      <c r="T53" s="764"/>
      <c r="W53" s="759"/>
      <c r="X53" s="764"/>
      <c r="AA53" s="759"/>
      <c r="AB53" s="764"/>
      <c r="AE53" s="759"/>
      <c r="AF53" s="764"/>
      <c r="AI53" s="759"/>
      <c r="AJ53" s="764"/>
      <c r="AM53" s="759"/>
      <c r="AN53" s="764"/>
      <c r="AQ53" s="759"/>
      <c r="AR53" s="764"/>
      <c r="AU53" s="759"/>
      <c r="AV53" s="764"/>
      <c r="AX53" s="1009"/>
      <c r="AY53" s="1004"/>
      <c r="AZ53" s="1004"/>
      <c r="BA53" s="1004"/>
      <c r="BB53" s="1004"/>
      <c r="BC53" s="1004"/>
      <c r="BD53" s="1004"/>
      <c r="BE53" s="1004"/>
      <c r="BF53" s="1004"/>
      <c r="BG53" s="1004"/>
      <c r="BH53" s="1004"/>
      <c r="BI53" s="1004"/>
      <c r="BJ53" s="1004"/>
      <c r="BK53" s="1004"/>
      <c r="BL53" s="1004"/>
      <c r="BM53" s="1004"/>
      <c r="BN53" s="1004"/>
      <c r="BO53" s="1004"/>
      <c r="BP53" s="1004"/>
      <c r="BQ53" s="1004"/>
      <c r="BR53" s="1004"/>
      <c r="BS53" s="1004"/>
      <c r="BT53" s="1004"/>
      <c r="BU53" s="1004"/>
      <c r="BV53" s="1004"/>
      <c r="BW53" s="1004"/>
      <c r="BX53" s="1004"/>
    </row>
    <row r="54" spans="1:77" x14ac:dyDescent="0.3">
      <c r="B54" s="7" t="s">
        <v>32</v>
      </c>
      <c r="C54" s="1"/>
      <c r="D54" s="753"/>
      <c r="E54" s="752"/>
      <c r="F54" s="1"/>
      <c r="G54" s="753"/>
      <c r="H54" s="752"/>
      <c r="I54" s="1"/>
      <c r="J54" s="753"/>
      <c r="K54" s="752"/>
      <c r="L54" s="1"/>
      <c r="M54" s="753"/>
      <c r="N54" s="752"/>
      <c r="O54" s="1"/>
      <c r="P54" s="753"/>
      <c r="Q54" s="752"/>
      <c r="R54" s="1"/>
      <c r="S54" s="753"/>
      <c r="T54" s="752"/>
      <c r="U54" s="1"/>
      <c r="V54" s="753"/>
      <c r="W54" s="752"/>
      <c r="X54" s="1"/>
      <c r="Y54" s="753"/>
      <c r="Z54" s="752"/>
      <c r="AA54" s="1"/>
      <c r="AB54" s="753"/>
      <c r="AC54" s="752"/>
      <c r="AD54" s="1"/>
      <c r="AE54" s="753"/>
      <c r="AF54" s="752"/>
      <c r="AG54" s="1"/>
      <c r="AH54" s="753"/>
      <c r="AI54" s="752"/>
      <c r="AJ54" s="1"/>
      <c r="AK54" s="753"/>
      <c r="AL54" s="1"/>
      <c r="AM54" s="752"/>
      <c r="AN54" s="753"/>
      <c r="AO54" s="753"/>
      <c r="AP54" s="752"/>
      <c r="AQ54" s="1"/>
      <c r="AR54" s="1"/>
      <c r="AS54" s="903"/>
      <c r="AT54" s="904"/>
      <c r="AU54" s="905"/>
      <c r="AV54" s="904"/>
      <c r="AW54" s="904"/>
      <c r="AX54" s="1010"/>
      <c r="AY54" s="1011"/>
      <c r="AZ54" s="1011"/>
      <c r="BA54" s="1011"/>
      <c r="BB54" s="1011"/>
      <c r="BC54" s="1011"/>
      <c r="BD54" s="1011"/>
      <c r="BE54" s="1011"/>
      <c r="BF54" s="1011"/>
      <c r="BG54" s="1011"/>
      <c r="BH54" s="1011"/>
      <c r="BI54" s="1011"/>
      <c r="BJ54" s="1011"/>
      <c r="BK54" s="1011"/>
      <c r="BL54" s="1011"/>
      <c r="BM54" s="1011"/>
      <c r="BN54" s="1011"/>
      <c r="BO54" s="1011"/>
      <c r="BP54" s="1011"/>
      <c r="BQ54" s="1011"/>
      <c r="BR54" s="1011"/>
      <c r="BS54" s="1011"/>
      <c r="BT54" s="1011"/>
      <c r="BU54" s="1011"/>
      <c r="BV54" s="1011"/>
      <c r="BW54" s="1011"/>
      <c r="BX54" s="1011"/>
    </row>
    <row r="55" spans="1:77" ht="15.6" x14ac:dyDescent="0.3">
      <c r="A55" s="972"/>
      <c r="B55" t="s">
        <v>792</v>
      </c>
      <c r="C55" s="759"/>
      <c r="D55" s="764"/>
      <c r="G55" s="759"/>
      <c r="H55" s="764"/>
      <c r="K55" s="759"/>
      <c r="L55" s="764"/>
      <c r="O55" s="759"/>
      <c r="P55" s="764"/>
      <c r="S55" s="759"/>
      <c r="T55" s="764"/>
      <c r="W55" s="759"/>
      <c r="X55" s="764"/>
      <c r="AA55" s="759"/>
      <c r="AB55" s="764"/>
      <c r="AE55" s="759"/>
      <c r="AF55" s="764"/>
      <c r="AI55" s="759"/>
      <c r="AJ55" s="764"/>
      <c r="AM55" s="759"/>
      <c r="AN55" s="764"/>
      <c r="AQ55" s="759"/>
      <c r="AR55" s="764"/>
      <c r="AU55" s="759"/>
      <c r="AV55" s="764"/>
      <c r="AX55" s="1024">
        <v>0</v>
      </c>
      <c r="AY55" s="1026">
        <v>65.78</v>
      </c>
      <c r="AZ55" s="1026">
        <v>136.52000000000001</v>
      </c>
      <c r="BA55" s="1026">
        <v>265.57</v>
      </c>
      <c r="BB55" s="1026">
        <v>323.86</v>
      </c>
      <c r="BC55" s="1008">
        <v>406.05</v>
      </c>
      <c r="BD55" s="1008">
        <v>0</v>
      </c>
      <c r="BE55" s="1008">
        <v>168.47</v>
      </c>
      <c r="BF55" s="1008">
        <v>111.7</v>
      </c>
      <c r="BG55" s="1008">
        <v>249.23</v>
      </c>
      <c r="BH55" s="1008">
        <v>143.16</v>
      </c>
      <c r="BI55" s="1008">
        <v>405.98</v>
      </c>
      <c r="BJ55" s="1008">
        <f>'MXD P&amp;L'!N154</f>
        <v>0</v>
      </c>
      <c r="BK55" s="1008">
        <f>'MXD P&amp;L'!O154</f>
        <v>22.23</v>
      </c>
      <c r="BL55" s="1008">
        <f>'MXD P&amp;L'!P154</f>
        <v>467.3</v>
      </c>
      <c r="BM55" s="1008">
        <f>'MXD P&amp;L'!Q154</f>
        <v>1207.1500000000001</v>
      </c>
      <c r="BN55" s="1008">
        <f>'MXD P&amp;L'!R154</f>
        <v>781.22</v>
      </c>
      <c r="BO55" s="1008">
        <f>'MXD P&amp;L'!S154</f>
        <v>354.49</v>
      </c>
      <c r="BP55" s="1008">
        <f>'MXD P&amp;L'!T154</f>
        <v>245.02</v>
      </c>
      <c r="BQ55" s="1008">
        <f>'MXD P&amp;L'!U152</f>
        <v>0</v>
      </c>
      <c r="BR55" s="1008">
        <f>'MXD P&amp;L'!V152</f>
        <v>0</v>
      </c>
      <c r="BS55" s="1008">
        <f>'MXD P&amp;L'!W152</f>
        <v>0</v>
      </c>
      <c r="BT55" s="1008">
        <f>'MXD P&amp;L'!X152</f>
        <v>0</v>
      </c>
      <c r="BU55" s="1008">
        <f>'MXD P&amp;L'!Y153</f>
        <v>0</v>
      </c>
      <c r="BV55" s="1003">
        <f t="shared" ref="BV55:BV77" si="10">SUM(BJ55:BM55)</f>
        <v>1696.68</v>
      </c>
      <c r="BW55" s="1002">
        <v>5331.31</v>
      </c>
      <c r="BX55" s="1004">
        <f t="shared" ref="BX55:BX67" si="11">SUM(AX55:BA55)</f>
        <v>467.87</v>
      </c>
    </row>
    <row r="56" spans="1:77" ht="15.6" x14ac:dyDescent="0.3">
      <c r="A56" s="972"/>
      <c r="B56" t="s">
        <v>793</v>
      </c>
      <c r="C56" s="759"/>
      <c r="D56" s="764"/>
      <c r="G56" s="759"/>
      <c r="H56" s="764"/>
      <c r="K56" s="759"/>
      <c r="L56" s="764"/>
      <c r="O56" s="759"/>
      <c r="P56" s="764"/>
      <c r="S56" s="759"/>
      <c r="T56" s="764"/>
      <c r="W56" s="759"/>
      <c r="X56" s="764"/>
      <c r="AA56" s="759"/>
      <c r="AB56" s="764"/>
      <c r="AE56" s="759"/>
      <c r="AF56" s="764"/>
      <c r="AI56" s="759"/>
      <c r="AJ56" s="764"/>
      <c r="AM56" s="759"/>
      <c r="AN56" s="764"/>
      <c r="AQ56" s="759"/>
      <c r="AR56" s="764"/>
      <c r="AU56" s="759"/>
      <c r="AV56" s="764"/>
      <c r="AX56" s="1024">
        <v>35</v>
      </c>
      <c r="AY56" s="1026">
        <v>17.5</v>
      </c>
      <c r="AZ56" s="1026">
        <v>0</v>
      </c>
      <c r="BA56" s="1026">
        <v>0</v>
      </c>
      <c r="BB56" s="1026">
        <v>0</v>
      </c>
      <c r="BC56" s="1008">
        <v>0</v>
      </c>
      <c r="BD56" s="1008">
        <v>23.08</v>
      </c>
      <c r="BE56" s="1008">
        <v>0</v>
      </c>
      <c r="BF56" s="1008">
        <v>0</v>
      </c>
      <c r="BG56" s="1008">
        <v>308.69</v>
      </c>
      <c r="BH56" s="1008">
        <v>0</v>
      </c>
      <c r="BI56" s="1008">
        <v>46.16</v>
      </c>
      <c r="BJ56" s="1008">
        <f>'MXD P&amp;L'!N155</f>
        <v>0</v>
      </c>
      <c r="BK56" s="1008">
        <f>'MXD P&amp;L'!O155</f>
        <v>0</v>
      </c>
      <c r="BL56" s="1008">
        <f>'MXD P&amp;L'!P155</f>
        <v>0</v>
      </c>
      <c r="BM56" s="1008">
        <f>'MXD P&amp;L'!Q155</f>
        <v>0</v>
      </c>
      <c r="BN56" s="1008">
        <f>'MXD P&amp;L'!R155</f>
        <v>0</v>
      </c>
      <c r="BO56" s="1008">
        <f>'MXD P&amp;L'!S155</f>
        <v>0</v>
      </c>
      <c r="BP56" s="1008">
        <f>'MXD P&amp;L'!T155</f>
        <v>0</v>
      </c>
      <c r="BQ56" s="1008">
        <f>'MXD P&amp;L'!U153</f>
        <v>0</v>
      </c>
      <c r="BR56" s="1008">
        <f>'MXD P&amp;L'!V153</f>
        <v>0</v>
      </c>
      <c r="BS56" s="1008">
        <f>'MXD P&amp;L'!W153</f>
        <v>0</v>
      </c>
      <c r="BT56" s="1008">
        <f>'MXD P&amp;L'!X153</f>
        <v>0</v>
      </c>
      <c r="BU56" s="1008">
        <f>'MXD P&amp;L'!Y154</f>
        <v>0</v>
      </c>
      <c r="BV56" s="1003">
        <f t="shared" si="10"/>
        <v>0</v>
      </c>
      <c r="BW56" s="1002">
        <v>5331.31</v>
      </c>
      <c r="BX56" s="1004">
        <f t="shared" si="11"/>
        <v>52.5</v>
      </c>
    </row>
    <row r="57" spans="1:77" ht="15.6" x14ac:dyDescent="0.3">
      <c r="A57" s="972"/>
      <c r="B57" s="1398" t="s">
        <v>1252</v>
      </c>
      <c r="C57" s="759"/>
      <c r="D57" s="764"/>
      <c r="G57" s="759"/>
      <c r="H57" s="764"/>
      <c r="K57" s="759"/>
      <c r="L57" s="764"/>
      <c r="O57" s="759"/>
      <c r="P57" s="764"/>
      <c r="S57" s="759"/>
      <c r="T57" s="764"/>
      <c r="W57" s="759"/>
      <c r="X57" s="764"/>
      <c r="AA57" s="759"/>
      <c r="AB57" s="764"/>
      <c r="AE57" s="759"/>
      <c r="AF57" s="764"/>
      <c r="AI57" s="759"/>
      <c r="AJ57" s="764"/>
      <c r="AM57" s="759"/>
      <c r="AN57" s="764"/>
      <c r="AQ57" s="759"/>
      <c r="AR57" s="764"/>
      <c r="AU57" s="759"/>
      <c r="AV57" s="764"/>
      <c r="AX57" s="1024"/>
      <c r="AY57" s="1026"/>
      <c r="AZ57" s="1026"/>
      <c r="BA57" s="1026"/>
      <c r="BB57" s="1026"/>
      <c r="BC57" s="1008"/>
      <c r="BD57" s="1008"/>
      <c r="BE57" s="1008"/>
      <c r="BF57" s="1008"/>
      <c r="BG57" s="1008"/>
      <c r="BH57" s="1008"/>
      <c r="BI57" s="1008"/>
      <c r="BJ57" s="1008">
        <f>'MXD P&amp;L'!N156</f>
        <v>0</v>
      </c>
      <c r="BK57" s="1008">
        <f>'MXD P&amp;L'!O156</f>
        <v>0</v>
      </c>
      <c r="BL57" s="1008">
        <f>'MXD P&amp;L'!P156</f>
        <v>0</v>
      </c>
      <c r="BM57" s="1008">
        <f>'MXD P&amp;L'!Q156</f>
        <v>0</v>
      </c>
      <c r="BN57" s="1008">
        <f>'MXD P&amp;L'!R156</f>
        <v>31.5</v>
      </c>
      <c r="BO57" s="1008">
        <f>'MXD P&amp;L'!S156</f>
        <v>0</v>
      </c>
      <c r="BP57" s="1008">
        <f>'MXD P&amp;L'!T156</f>
        <v>1047.3599999999999</v>
      </c>
      <c r="BQ57" s="1008">
        <f>'MXD P&amp;L'!U154</f>
        <v>124.41</v>
      </c>
      <c r="BR57" s="1008">
        <f>'MXD P&amp;L'!V154</f>
        <v>1603.42</v>
      </c>
      <c r="BS57" s="1008">
        <f>'MXD P&amp;L'!W154</f>
        <v>380.76</v>
      </c>
      <c r="BT57" s="1008">
        <f>'MXD P&amp;L'!X154</f>
        <v>0</v>
      </c>
      <c r="BU57" s="1008">
        <f>'MXD P&amp;L'!Y155</f>
        <v>0</v>
      </c>
      <c r="BV57" s="1003"/>
      <c r="BW57" s="1002"/>
      <c r="BX57" s="1004"/>
    </row>
    <row r="58" spans="1:77" ht="15.6" x14ac:dyDescent="0.3">
      <c r="A58" s="972"/>
      <c r="B58" s="1398" t="s">
        <v>1253</v>
      </c>
      <c r="C58" s="759"/>
      <c r="D58" s="764"/>
      <c r="G58" s="759"/>
      <c r="H58" s="764"/>
      <c r="K58" s="759"/>
      <c r="L58" s="764"/>
      <c r="O58" s="759"/>
      <c r="P58" s="764"/>
      <c r="S58" s="759"/>
      <c r="T58" s="764"/>
      <c r="W58" s="759"/>
      <c r="X58" s="764"/>
      <c r="AA58" s="759"/>
      <c r="AB58" s="764"/>
      <c r="AE58" s="759"/>
      <c r="AF58" s="764"/>
      <c r="AI58" s="759"/>
      <c r="AJ58" s="764"/>
      <c r="AM58" s="759"/>
      <c r="AN58" s="764"/>
      <c r="AQ58" s="759"/>
      <c r="AR58" s="764"/>
      <c r="AU58" s="759"/>
      <c r="AV58" s="764"/>
      <c r="AX58" s="1024"/>
      <c r="AY58" s="1026"/>
      <c r="AZ58" s="1026"/>
      <c r="BA58" s="1026"/>
      <c r="BB58" s="1026"/>
      <c r="BC58" s="1008"/>
      <c r="BD58" s="1008"/>
      <c r="BE58" s="1008"/>
      <c r="BF58" s="1008"/>
      <c r="BG58" s="1008"/>
      <c r="BH58" s="1008"/>
      <c r="BI58" s="1008"/>
      <c r="BJ58" s="1008">
        <f>'MXD P&amp;L'!N157</f>
        <v>0</v>
      </c>
      <c r="BK58" s="1008">
        <f>'MXD P&amp;L'!O157</f>
        <v>0</v>
      </c>
      <c r="BL58" s="1008">
        <f>'MXD P&amp;L'!P157</f>
        <v>0</v>
      </c>
      <c r="BM58" s="1008">
        <f>'MXD P&amp;L'!Q157</f>
        <v>0</v>
      </c>
      <c r="BN58" s="1008">
        <f>'MXD P&amp;L'!R157</f>
        <v>35057.49</v>
      </c>
      <c r="BO58" s="1008">
        <f>'MXD P&amp;L'!S157</f>
        <v>50941.39</v>
      </c>
      <c r="BP58" s="1008">
        <f>'MXD P&amp;L'!T157</f>
        <v>11120.19</v>
      </c>
      <c r="BQ58" s="1008">
        <f>'MXD P&amp;L'!U155</f>
        <v>0</v>
      </c>
      <c r="BR58" s="1008">
        <f>'MXD P&amp;L'!V155</f>
        <v>0</v>
      </c>
      <c r="BS58" s="1008">
        <f>'MXD P&amp;L'!W155</f>
        <v>0</v>
      </c>
      <c r="BT58" s="1008">
        <f>'MXD P&amp;L'!X155</f>
        <v>0</v>
      </c>
      <c r="BU58" s="1008">
        <f>'MXD P&amp;L'!Y156</f>
        <v>0</v>
      </c>
      <c r="BV58" s="1003"/>
      <c r="BW58" s="1002"/>
      <c r="BX58" s="1004"/>
    </row>
    <row r="59" spans="1:77" ht="15.6" x14ac:dyDescent="0.3">
      <c r="A59" s="972"/>
      <c r="B59" t="s">
        <v>794</v>
      </c>
      <c r="C59" s="759"/>
      <c r="D59" s="764"/>
      <c r="G59" s="759"/>
      <c r="H59" s="764"/>
      <c r="K59" s="759"/>
      <c r="L59" s="764"/>
      <c r="O59" s="759"/>
      <c r="P59" s="764"/>
      <c r="S59" s="759"/>
      <c r="T59" s="764"/>
      <c r="W59" s="759"/>
      <c r="X59" s="764"/>
      <c r="AA59" s="759"/>
      <c r="AB59" s="764"/>
      <c r="AE59" s="759"/>
      <c r="AF59" s="764"/>
      <c r="AI59" s="759"/>
      <c r="AJ59" s="764"/>
      <c r="AM59" s="759"/>
      <c r="AN59" s="764"/>
      <c r="AQ59" s="759"/>
      <c r="AR59" s="764"/>
      <c r="AU59" s="759"/>
      <c r="AV59" s="764"/>
      <c r="AX59" s="973">
        <v>27088.47</v>
      </c>
      <c r="AY59" s="975">
        <v>25730.48</v>
      </c>
      <c r="AZ59" s="975">
        <v>35471.82</v>
      </c>
      <c r="BA59" s="975">
        <v>29966.42</v>
      </c>
      <c r="BB59" s="975">
        <v>29126.6</v>
      </c>
      <c r="BC59" s="1008">
        <v>26489.89</v>
      </c>
      <c r="BD59" s="1008">
        <v>19205.04</v>
      </c>
      <c r="BE59" s="1008">
        <v>20406.150000000001</v>
      </c>
      <c r="BF59" s="1008">
        <v>25164.98</v>
      </c>
      <c r="BG59" s="1008">
        <v>24805.99</v>
      </c>
      <c r="BH59" s="1008">
        <v>22792.15</v>
      </c>
      <c r="BI59" s="1008">
        <v>31520.21</v>
      </c>
      <c r="BJ59" s="1008">
        <f>'MXD P&amp;L'!N158</f>
        <v>31736.03</v>
      </c>
      <c r="BK59" s="1008">
        <f>'MXD P&amp;L'!O158</f>
        <v>32543.67</v>
      </c>
      <c r="BL59" s="1008">
        <f>'MXD P&amp;L'!P158</f>
        <v>32866.26</v>
      </c>
      <c r="BM59" s="1008">
        <f>'MXD P&amp;L'!Q158</f>
        <v>31703.94</v>
      </c>
      <c r="BN59" s="1008">
        <f>'MXD P&amp;L'!R158</f>
        <v>34762.199999999997</v>
      </c>
      <c r="BO59" s="1008">
        <f>'MXD P&amp;L'!S158</f>
        <v>39103.89</v>
      </c>
      <c r="BP59" s="1008">
        <f>'MXD P&amp;L'!T158</f>
        <v>23393.54</v>
      </c>
      <c r="BQ59" s="1008">
        <f>'MXD P&amp;L'!U156</f>
        <v>-363.74</v>
      </c>
      <c r="BR59" s="1008">
        <f>'MXD P&amp;L'!V156</f>
        <v>294.54000000000002</v>
      </c>
      <c r="BS59" s="1008">
        <f>'MXD P&amp;L'!W156</f>
        <v>0</v>
      </c>
      <c r="BT59" s="1008">
        <f>'MXD P&amp;L'!X156</f>
        <v>0</v>
      </c>
      <c r="BU59" s="1008">
        <f>'MXD P&amp;L'!Y157</f>
        <v>0</v>
      </c>
      <c r="BV59" s="1003">
        <f t="shared" si="10"/>
        <v>128849.9</v>
      </c>
      <c r="BW59" s="1002">
        <v>5331.31</v>
      </c>
      <c r="BX59" s="1004">
        <f t="shared" si="11"/>
        <v>118257.18999999999</v>
      </c>
    </row>
    <row r="60" spans="1:77" ht="15.6" x14ac:dyDescent="0.3">
      <c r="A60" s="972"/>
      <c r="B60" t="s">
        <v>795</v>
      </c>
      <c r="C60" s="759"/>
      <c r="D60" s="764"/>
      <c r="G60" s="759"/>
      <c r="H60" s="764"/>
      <c r="K60" s="759"/>
      <c r="L60" s="764"/>
      <c r="O60" s="759"/>
      <c r="P60" s="764"/>
      <c r="S60" s="759"/>
      <c r="T60" s="764"/>
      <c r="W60" s="759"/>
      <c r="X60" s="764"/>
      <c r="AA60" s="759"/>
      <c r="AB60" s="764"/>
      <c r="AE60" s="759"/>
      <c r="AF60" s="764"/>
      <c r="AI60" s="759"/>
      <c r="AJ60" s="764"/>
      <c r="AM60" s="759"/>
      <c r="AN60" s="764"/>
      <c r="AQ60" s="759"/>
      <c r="AR60" s="764"/>
      <c r="AU60" s="759"/>
      <c r="AV60" s="764"/>
      <c r="AX60" s="973">
        <v>2955.78</v>
      </c>
      <c r="AY60" s="975">
        <v>2760.16</v>
      </c>
      <c r="AZ60" s="975">
        <v>3207.62</v>
      </c>
      <c r="BA60" s="975">
        <v>3014.44</v>
      </c>
      <c r="BB60" s="975">
        <v>3031.96</v>
      </c>
      <c r="BC60" s="1008">
        <v>2326.38</v>
      </c>
      <c r="BD60" s="1008">
        <v>2545.42</v>
      </c>
      <c r="BE60" s="1008">
        <v>1921.53</v>
      </c>
      <c r="BF60" s="1008">
        <v>2903.57</v>
      </c>
      <c r="BG60" s="1008">
        <v>2661.49</v>
      </c>
      <c r="BH60" s="1008">
        <v>2960</v>
      </c>
      <c r="BI60" s="1008">
        <v>3673.6</v>
      </c>
      <c r="BJ60" s="1008">
        <f>'MXD P&amp;L'!N159</f>
        <v>5632.55</v>
      </c>
      <c r="BK60" s="1008">
        <f>'MXD P&amp;L'!O159</f>
        <v>3960.4</v>
      </c>
      <c r="BL60" s="1008">
        <f>'MXD P&amp;L'!P159</f>
        <v>3248.3</v>
      </c>
      <c r="BM60" s="1008">
        <f>'MXD P&amp;L'!Q159</f>
        <v>3284.12</v>
      </c>
      <c r="BN60" s="1008">
        <f>'MXD P&amp;L'!R159</f>
        <v>5189.87</v>
      </c>
      <c r="BO60" s="1008">
        <f>'MXD P&amp;L'!S159</f>
        <v>6585.27</v>
      </c>
      <c r="BP60" s="1008">
        <f>'MXD P&amp;L'!T159</f>
        <v>4336.47</v>
      </c>
      <c r="BQ60" s="1008">
        <f>'MXD P&amp;L'!U157</f>
        <v>727.4</v>
      </c>
      <c r="BR60" s="1008">
        <f>'MXD P&amp;L'!V157</f>
        <v>0</v>
      </c>
      <c r="BS60" s="1008">
        <f>'MXD P&amp;L'!W157</f>
        <v>132000</v>
      </c>
      <c r="BT60" s="1008">
        <f>'MXD P&amp;L'!X157</f>
        <v>0</v>
      </c>
      <c r="BU60" s="1008">
        <f>'MXD P&amp;L'!Y158</f>
        <v>0</v>
      </c>
      <c r="BV60" s="1003">
        <f t="shared" si="10"/>
        <v>16125.369999999999</v>
      </c>
      <c r="BW60" s="1002">
        <v>5331.31</v>
      </c>
      <c r="BX60" s="1004">
        <f t="shared" si="11"/>
        <v>11938.000000000002</v>
      </c>
    </row>
    <row r="61" spans="1:77" ht="15.6" x14ac:dyDescent="0.3">
      <c r="A61" s="972"/>
      <c r="B61" t="s">
        <v>796</v>
      </c>
      <c r="C61" s="759"/>
      <c r="D61" s="764"/>
      <c r="G61" s="759"/>
      <c r="H61" s="764"/>
      <c r="K61" s="759"/>
      <c r="L61" s="764"/>
      <c r="O61" s="759"/>
      <c r="P61" s="764"/>
      <c r="S61" s="759"/>
      <c r="T61" s="764"/>
      <c r="W61" s="759"/>
      <c r="X61" s="764"/>
      <c r="AA61" s="759"/>
      <c r="AB61" s="764"/>
      <c r="AE61" s="759"/>
      <c r="AF61" s="764"/>
      <c r="AI61" s="759"/>
      <c r="AJ61" s="764"/>
      <c r="AM61" s="759"/>
      <c r="AN61" s="764"/>
      <c r="AQ61" s="759"/>
      <c r="AR61" s="764"/>
      <c r="AU61" s="759"/>
      <c r="AV61" s="764"/>
      <c r="AX61" s="1024">
        <v>129.91</v>
      </c>
      <c r="AY61" s="1026">
        <v>129.91</v>
      </c>
      <c r="AZ61" s="1026">
        <v>129.91</v>
      </c>
      <c r="BA61" s="1026">
        <v>129.91</v>
      </c>
      <c r="BB61" s="1026">
        <v>430.2</v>
      </c>
      <c r="BC61" s="1008">
        <v>430.2</v>
      </c>
      <c r="BD61" s="1008">
        <v>430</v>
      </c>
      <c r="BE61" s="1008">
        <v>430.4</v>
      </c>
      <c r="BF61" s="1008">
        <v>0</v>
      </c>
      <c r="BG61" s="1008">
        <v>430.2</v>
      </c>
      <c r="BH61" s="1008">
        <v>430.2</v>
      </c>
      <c r="BI61" s="1008">
        <v>430.2</v>
      </c>
      <c r="BJ61" s="1008">
        <f>'MXD P&amp;L'!N160</f>
        <v>430.2</v>
      </c>
      <c r="BK61" s="1008">
        <f>'MXD P&amp;L'!O160</f>
        <v>430.2</v>
      </c>
      <c r="BL61" s="1008">
        <f>'MXD P&amp;L'!P160</f>
        <v>0</v>
      </c>
      <c r="BM61" s="1008">
        <f>'MXD P&amp;L'!Q160</f>
        <v>0</v>
      </c>
      <c r="BN61" s="1008">
        <f>'MXD P&amp;L'!R160</f>
        <v>512.01</v>
      </c>
      <c r="BO61" s="1008">
        <f>'MXD P&amp;L'!S160</f>
        <v>512.01</v>
      </c>
      <c r="BP61" s="1008">
        <f>'MXD P&amp;L'!T160</f>
        <v>1024.02</v>
      </c>
      <c r="BQ61" s="1008">
        <f>'MXD P&amp;L'!U158</f>
        <v>23396.94</v>
      </c>
      <c r="BR61" s="1008">
        <f>'MXD P&amp;L'!V158</f>
        <v>31577.39</v>
      </c>
      <c r="BS61" s="1008">
        <f>'MXD P&amp;L'!W158</f>
        <v>33412.720000000001</v>
      </c>
      <c r="BT61" s="1008">
        <f>'MXD P&amp;L'!X158</f>
        <v>0</v>
      </c>
      <c r="BU61" s="1008">
        <f>'MXD P&amp;L'!Y159</f>
        <v>0</v>
      </c>
      <c r="BV61" s="1003">
        <f t="shared" si="10"/>
        <v>860.4</v>
      </c>
      <c r="BW61" s="1002">
        <v>5331.31</v>
      </c>
      <c r="BX61" s="1004">
        <f t="shared" si="11"/>
        <v>519.64</v>
      </c>
    </row>
    <row r="62" spans="1:77" ht="15.6" x14ac:dyDescent="0.3">
      <c r="A62" s="972"/>
      <c r="B62" t="s">
        <v>797</v>
      </c>
      <c r="C62" s="759"/>
      <c r="D62" s="764"/>
      <c r="G62" s="759"/>
      <c r="H62" s="764"/>
      <c r="K62" s="759"/>
      <c r="L62" s="764"/>
      <c r="O62" s="759"/>
      <c r="P62" s="764"/>
      <c r="S62" s="759"/>
      <c r="T62" s="764"/>
      <c r="W62" s="759"/>
      <c r="X62" s="764"/>
      <c r="AA62" s="759"/>
      <c r="AB62" s="764"/>
      <c r="AE62" s="759"/>
      <c r="AF62" s="764"/>
      <c r="AI62" s="759"/>
      <c r="AJ62" s="764"/>
      <c r="AM62" s="759"/>
      <c r="AN62" s="764"/>
      <c r="AQ62" s="759"/>
      <c r="AR62" s="764"/>
      <c r="AU62" s="759"/>
      <c r="AV62" s="764"/>
      <c r="AX62" s="973">
        <v>2255.6799999999998</v>
      </c>
      <c r="AY62" s="975">
        <v>2255.6799999999998</v>
      </c>
      <c r="AZ62" s="975">
        <v>2253.39</v>
      </c>
      <c r="BA62" s="975">
        <v>2255.6799999999998</v>
      </c>
      <c r="BB62" s="975">
        <v>1976.78</v>
      </c>
      <c r="BC62" s="1008">
        <v>2255.6799999999998</v>
      </c>
      <c r="BD62" s="1008">
        <v>1976.78</v>
      </c>
      <c r="BE62" s="1008">
        <v>1976.78</v>
      </c>
      <c r="BF62" s="1008">
        <v>1039.6099999999999</v>
      </c>
      <c r="BG62" s="1008">
        <v>1415.78</v>
      </c>
      <c r="BH62" s="1008">
        <v>1415.78</v>
      </c>
      <c r="BI62" s="1008">
        <v>1086.95</v>
      </c>
      <c r="BJ62" s="1008">
        <f>'MXD P&amp;L'!N161</f>
        <v>1413.03</v>
      </c>
      <c r="BK62" s="1008">
        <f>'MXD P&amp;L'!O161</f>
        <v>1563.53</v>
      </c>
      <c r="BL62" s="1008">
        <f>'MXD P&amp;L'!P161</f>
        <v>1563.53</v>
      </c>
      <c r="BM62" s="1008">
        <f>'MXD P&amp;L'!Q161</f>
        <v>1560.13</v>
      </c>
      <c r="BN62" s="1008">
        <f>'MXD P&amp;L'!R161</f>
        <v>945.87</v>
      </c>
      <c r="BO62" s="1008">
        <f>'MXD P&amp;L'!S161</f>
        <v>1253</v>
      </c>
      <c r="BP62" s="1008">
        <f>'MXD P&amp;L'!T161</f>
        <v>1246.2</v>
      </c>
      <c r="BQ62" s="1008">
        <f>'MXD P&amp;L'!U159</f>
        <v>3479.77</v>
      </c>
      <c r="BR62" s="1008">
        <f>'MXD P&amp;L'!V159</f>
        <v>4044.8</v>
      </c>
      <c r="BS62" s="1008">
        <f>'MXD P&amp;L'!W159</f>
        <v>3722.72</v>
      </c>
      <c r="BT62" s="1008">
        <f>'MXD P&amp;L'!X159</f>
        <v>0</v>
      </c>
      <c r="BU62" s="1008">
        <f>'MXD P&amp;L'!Y160</f>
        <v>0</v>
      </c>
      <c r="BV62" s="1003">
        <f t="shared" si="10"/>
        <v>6100.22</v>
      </c>
      <c r="BW62" s="1002">
        <v>5331.31</v>
      </c>
      <c r="BX62" s="1004">
        <f t="shared" si="11"/>
        <v>9020.43</v>
      </c>
    </row>
    <row r="63" spans="1:77" ht="15.6" x14ac:dyDescent="0.3">
      <c r="A63" s="972"/>
      <c r="B63" t="s">
        <v>798</v>
      </c>
      <c r="C63" s="759"/>
      <c r="D63" s="764"/>
      <c r="G63" s="759"/>
      <c r="H63" s="764"/>
      <c r="K63" s="759"/>
      <c r="L63" s="764"/>
      <c r="O63" s="759"/>
      <c r="P63" s="764"/>
      <c r="S63" s="759"/>
      <c r="T63" s="764"/>
      <c r="W63" s="759"/>
      <c r="X63" s="764"/>
      <c r="AA63" s="759"/>
      <c r="AB63" s="764"/>
      <c r="AE63" s="759"/>
      <c r="AF63" s="764"/>
      <c r="AI63" s="759"/>
      <c r="AJ63" s="764"/>
      <c r="AM63" s="759"/>
      <c r="AN63" s="764"/>
      <c r="AQ63" s="759"/>
      <c r="AR63" s="764"/>
      <c r="AU63" s="759"/>
      <c r="AV63" s="764"/>
      <c r="AX63" s="1024">
        <v>7749</v>
      </c>
      <c r="AY63" s="1026">
        <v>4495</v>
      </c>
      <c r="AZ63" s="1026">
        <v>9989</v>
      </c>
      <c r="BA63" s="1026">
        <v>11002</v>
      </c>
      <c r="BB63" s="1026">
        <v>4216</v>
      </c>
      <c r="BC63" s="1008">
        <v>8741</v>
      </c>
      <c r="BD63" s="1008">
        <v>4137</v>
      </c>
      <c r="BE63" s="1008">
        <v>8785.6</v>
      </c>
      <c r="BF63" s="1008">
        <v>8680.09</v>
      </c>
      <c r="BG63" s="1008">
        <v>6908.94</v>
      </c>
      <c r="BH63" s="1008">
        <v>13345</v>
      </c>
      <c r="BI63" s="1008">
        <v>13738.1</v>
      </c>
      <c r="BJ63" s="1008">
        <f>'MXD P&amp;L'!N162</f>
        <v>23610</v>
      </c>
      <c r="BK63" s="1008">
        <f>'MXD P&amp;L'!O162</f>
        <v>8560</v>
      </c>
      <c r="BL63" s="1008">
        <f>'MXD P&amp;L'!P162</f>
        <v>10607</v>
      </c>
      <c r="BM63" s="1008">
        <f>'MXD P&amp;L'!Q162</f>
        <v>24377</v>
      </c>
      <c r="BN63" s="1008">
        <f>'MXD P&amp;L'!R162</f>
        <v>34343</v>
      </c>
      <c r="BO63" s="1008">
        <f>'MXD P&amp;L'!S162</f>
        <v>34644</v>
      </c>
      <c r="BP63" s="1008">
        <f>'MXD P&amp;L'!T162</f>
        <v>47999</v>
      </c>
      <c r="BQ63" s="1008">
        <f>'MXD P&amp;L'!U160</f>
        <v>512.01</v>
      </c>
      <c r="BR63" s="1008">
        <f>'MXD P&amp;L'!V160</f>
        <v>512.01</v>
      </c>
      <c r="BS63" s="1008">
        <f>'MXD P&amp;L'!W160</f>
        <v>520.27</v>
      </c>
      <c r="BT63" s="1008">
        <f>'MXD P&amp;L'!X160</f>
        <v>0</v>
      </c>
      <c r="BU63" s="1008">
        <f>'MXD P&amp;L'!Y161</f>
        <v>0</v>
      </c>
      <c r="BV63" s="1003">
        <f t="shared" si="10"/>
        <v>67154</v>
      </c>
      <c r="BW63" s="1002">
        <v>5331.31</v>
      </c>
      <c r="BX63" s="1004">
        <f t="shared" si="11"/>
        <v>33235</v>
      </c>
      <c r="BY63" s="332"/>
    </row>
    <row r="64" spans="1:77" ht="15.6" x14ac:dyDescent="0.3">
      <c r="A64" s="972"/>
      <c r="B64" s="1398" t="s">
        <v>1254</v>
      </c>
      <c r="C64" s="759"/>
      <c r="D64" s="764"/>
      <c r="G64" s="759"/>
      <c r="H64" s="764"/>
      <c r="K64" s="759"/>
      <c r="L64" s="764"/>
      <c r="O64" s="759"/>
      <c r="P64" s="764"/>
      <c r="S64" s="759"/>
      <c r="T64" s="764"/>
      <c r="W64" s="759"/>
      <c r="X64" s="764"/>
      <c r="AA64" s="759"/>
      <c r="AB64" s="764"/>
      <c r="AE64" s="759"/>
      <c r="AF64" s="764"/>
      <c r="AI64" s="759"/>
      <c r="AJ64" s="764"/>
      <c r="AM64" s="759"/>
      <c r="AN64" s="764"/>
      <c r="AQ64" s="759"/>
      <c r="AR64" s="764"/>
      <c r="AU64" s="759"/>
      <c r="AV64" s="764"/>
      <c r="AX64" s="1024"/>
      <c r="AY64" s="1026"/>
      <c r="AZ64" s="1026"/>
      <c r="BA64" s="1026"/>
      <c r="BB64" s="1026"/>
      <c r="BC64" s="1008"/>
      <c r="BD64" s="1008"/>
      <c r="BE64" s="1008"/>
      <c r="BF64" s="1008"/>
      <c r="BG64" s="1008"/>
      <c r="BH64" s="1008"/>
      <c r="BI64" s="1008"/>
      <c r="BJ64" s="1008">
        <f>'MXD P&amp;L'!N163</f>
        <v>0</v>
      </c>
      <c r="BK64" s="1008">
        <f>'MXD P&amp;L'!O163</f>
        <v>0</v>
      </c>
      <c r="BL64" s="1008">
        <f>'MXD P&amp;L'!P163</f>
        <v>0</v>
      </c>
      <c r="BM64" s="1008">
        <f>'MXD P&amp;L'!Q163</f>
        <v>0</v>
      </c>
      <c r="BN64" s="1008">
        <f>'MXD P&amp;L'!R163</f>
        <v>0</v>
      </c>
      <c r="BO64" s="1008">
        <f>'MXD P&amp;L'!S163</f>
        <v>0</v>
      </c>
      <c r="BP64" s="1008">
        <f>'MXD P&amp;L'!T163</f>
        <v>0</v>
      </c>
      <c r="BQ64" s="1008">
        <f>'MXD P&amp;L'!U161</f>
        <v>1246.2</v>
      </c>
      <c r="BR64" s="1008">
        <f>'MXD P&amp;L'!V161</f>
        <v>937.2</v>
      </c>
      <c r="BS64" s="1008">
        <f>'MXD P&amp;L'!W161</f>
        <v>940.6</v>
      </c>
      <c r="BT64" s="1008">
        <f>'MXD P&amp;L'!X161</f>
        <v>0</v>
      </c>
      <c r="BU64" s="1008">
        <f>'MXD P&amp;L'!Y162</f>
        <v>0</v>
      </c>
      <c r="BV64" s="1003"/>
      <c r="BW64" s="1002"/>
      <c r="BX64" s="1004"/>
      <c r="BY64" s="332"/>
    </row>
    <row r="65" spans="1:84" ht="15.6" x14ac:dyDescent="0.3">
      <c r="A65" s="972"/>
      <c r="B65" t="s">
        <v>799</v>
      </c>
      <c r="C65" s="759"/>
      <c r="D65" s="764"/>
      <c r="G65" s="759"/>
      <c r="H65" s="764"/>
      <c r="K65" s="759"/>
      <c r="L65" s="764"/>
      <c r="O65" s="759"/>
      <c r="P65" s="764"/>
      <c r="S65" s="759"/>
      <c r="T65" s="764"/>
      <c r="W65" s="759"/>
      <c r="X65" s="764"/>
      <c r="AA65" s="759"/>
      <c r="AB65" s="764"/>
      <c r="AE65" s="759"/>
      <c r="AF65" s="764"/>
      <c r="AI65" s="759"/>
      <c r="AJ65" s="764"/>
      <c r="AM65" s="759"/>
      <c r="AN65" s="764"/>
      <c r="AQ65" s="759"/>
      <c r="AR65" s="764"/>
      <c r="AU65" s="759"/>
      <c r="AV65" s="764"/>
      <c r="AX65" s="1024">
        <v>556</v>
      </c>
      <c r="AY65" s="1026">
        <v>556</v>
      </c>
      <c r="AZ65" s="1026">
        <v>556</v>
      </c>
      <c r="BA65" s="1026">
        <v>556</v>
      </c>
      <c r="BB65" s="1026">
        <v>556</v>
      </c>
      <c r="BC65" s="1008">
        <v>556</v>
      </c>
      <c r="BD65" s="1008">
        <v>556</v>
      </c>
      <c r="BE65" s="1008">
        <v>556</v>
      </c>
      <c r="BF65" s="1008">
        <v>556</v>
      </c>
      <c r="BG65" s="1008">
        <v>556</v>
      </c>
      <c r="BH65" s="1008">
        <v>556</v>
      </c>
      <c r="BI65" s="1008">
        <v>556</v>
      </c>
      <c r="BJ65" s="1008">
        <f>'MXD P&amp;L'!N164</f>
        <v>556</v>
      </c>
      <c r="BK65" s="1008">
        <f>'MXD P&amp;L'!O164</f>
        <v>556</v>
      </c>
      <c r="BL65" s="1008">
        <f>'MXD P&amp;L'!P164</f>
        <v>556</v>
      </c>
      <c r="BM65" s="1008">
        <f>'MXD P&amp;L'!Q164</f>
        <v>556</v>
      </c>
      <c r="BN65" s="1008">
        <f>'MXD P&amp;L'!R164</f>
        <v>556</v>
      </c>
      <c r="BO65" s="1008">
        <f>'MXD P&amp;L'!S164</f>
        <v>556</v>
      </c>
      <c r="BP65" s="1008">
        <f>'MXD P&amp;L'!T164</f>
        <v>556</v>
      </c>
      <c r="BQ65" s="1008">
        <f>'MXD P&amp;L'!U162</f>
        <v>38472.120000000003</v>
      </c>
      <c r="BR65" s="1008">
        <f>'MXD P&amp;L'!V162</f>
        <v>16271</v>
      </c>
      <c r="BS65" s="1008">
        <f>'MXD P&amp;L'!W162</f>
        <v>22860</v>
      </c>
      <c r="BT65" s="1008">
        <f>'MXD P&amp;L'!X162</f>
        <v>0</v>
      </c>
      <c r="BU65" s="1008">
        <f>'MXD P&amp;L'!Y163</f>
        <v>0</v>
      </c>
      <c r="BV65" s="1003">
        <f t="shared" si="10"/>
        <v>2224</v>
      </c>
      <c r="BW65" s="1002">
        <v>5331.31</v>
      </c>
      <c r="BX65" s="1004">
        <f t="shared" si="11"/>
        <v>2224</v>
      </c>
    </row>
    <row r="66" spans="1:84" ht="15.6" x14ac:dyDescent="0.3">
      <c r="A66" s="972"/>
      <c r="B66" t="s">
        <v>800</v>
      </c>
      <c r="C66" s="759"/>
      <c r="D66" s="764"/>
      <c r="G66" s="759"/>
      <c r="H66" s="764"/>
      <c r="K66" s="759"/>
      <c r="L66" s="764"/>
      <c r="O66" s="759"/>
      <c r="P66" s="764"/>
      <c r="S66" s="759"/>
      <c r="T66" s="764"/>
      <c r="W66" s="759"/>
      <c r="X66" s="764"/>
      <c r="AA66" s="759"/>
      <c r="AB66" s="764"/>
      <c r="AE66" s="759"/>
      <c r="AF66" s="764"/>
      <c r="AI66" s="759"/>
      <c r="AJ66" s="764"/>
      <c r="AM66" s="759"/>
      <c r="AN66" s="764"/>
      <c r="AQ66" s="759"/>
      <c r="AR66" s="764"/>
      <c r="AU66" s="759"/>
      <c r="AV66" s="764"/>
      <c r="AX66" s="1024">
        <v>230.92</v>
      </c>
      <c r="AY66" s="1026">
        <v>230.92</v>
      </c>
      <c r="AZ66" s="1026">
        <v>230.92</v>
      </c>
      <c r="BA66" s="1026">
        <v>230.92</v>
      </c>
      <c r="BB66" s="1026">
        <v>228.89</v>
      </c>
      <c r="BC66" s="1008">
        <v>228.89</v>
      </c>
      <c r="BD66" s="1008">
        <v>228.89</v>
      </c>
      <c r="BE66" s="1008">
        <v>228.89</v>
      </c>
      <c r="BF66" s="1008">
        <v>228.89</v>
      </c>
      <c r="BG66" s="1008">
        <v>228.89</v>
      </c>
      <c r="BH66" s="1008">
        <v>228.89</v>
      </c>
      <c r="BI66" s="1008">
        <v>228.89</v>
      </c>
      <c r="BJ66" s="1008">
        <f>'MXD P&amp;L'!N165</f>
        <v>228.89</v>
      </c>
      <c r="BK66" s="1008">
        <f>'MXD P&amp;L'!O165</f>
        <v>228.89</v>
      </c>
      <c r="BL66" s="1008">
        <f>'MXD P&amp;L'!P165</f>
        <v>228.89</v>
      </c>
      <c r="BM66" s="1008">
        <f>'MXD P&amp;L'!Q165</f>
        <v>228.89</v>
      </c>
      <c r="BN66" s="1008">
        <f>'MXD P&amp;L'!R165</f>
        <v>228.89</v>
      </c>
      <c r="BO66" s="1008">
        <f>'MXD P&amp;L'!S165</f>
        <v>228.89</v>
      </c>
      <c r="BP66" s="1008">
        <f>'MXD P&amp;L'!T165</f>
        <v>903.89</v>
      </c>
      <c r="BQ66" s="1008">
        <f>'MXD P&amp;L'!U163</f>
        <v>0</v>
      </c>
      <c r="BR66" s="1008">
        <f>'MXD P&amp;L'!V163</f>
        <v>0</v>
      </c>
      <c r="BS66" s="1008">
        <f>'MXD P&amp;L'!W163</f>
        <v>0</v>
      </c>
      <c r="BT66" s="1008">
        <f>'MXD P&amp;L'!X163</f>
        <v>0</v>
      </c>
      <c r="BU66" s="1008">
        <f>'MXD P&amp;L'!Y164</f>
        <v>0</v>
      </c>
      <c r="BV66" s="1003">
        <f t="shared" si="10"/>
        <v>915.56</v>
      </c>
      <c r="BW66" s="1002">
        <v>5331.31</v>
      </c>
      <c r="BX66" s="1004">
        <f t="shared" si="11"/>
        <v>923.68</v>
      </c>
    </row>
    <row r="67" spans="1:84" ht="15.6" x14ac:dyDescent="0.3">
      <c r="A67" s="972"/>
      <c r="B67" t="s">
        <v>801</v>
      </c>
      <c r="C67" s="759"/>
      <c r="D67" s="764"/>
      <c r="G67" s="759"/>
      <c r="H67" s="764"/>
      <c r="K67" s="759"/>
      <c r="L67" s="764"/>
      <c r="O67" s="759"/>
      <c r="P67" s="764"/>
      <c r="S67" s="759"/>
      <c r="T67" s="764"/>
      <c r="W67" s="759"/>
      <c r="X67" s="764"/>
      <c r="AA67" s="759"/>
      <c r="AB67" s="764"/>
      <c r="AE67" s="759"/>
      <c r="AF67" s="764"/>
      <c r="AI67" s="759"/>
      <c r="AJ67" s="764"/>
      <c r="AM67" s="759"/>
      <c r="AN67" s="764"/>
      <c r="AQ67" s="759"/>
      <c r="AR67" s="764"/>
      <c r="AU67" s="759"/>
      <c r="AV67" s="764"/>
      <c r="AX67" s="1024">
        <v>6000</v>
      </c>
      <c r="AY67" s="1026">
        <v>22749</v>
      </c>
      <c r="AZ67" s="1026">
        <v>0</v>
      </c>
      <c r="BA67" s="1026">
        <v>0</v>
      </c>
      <c r="BB67" s="1026">
        <v>0</v>
      </c>
      <c r="BC67" s="1008">
        <v>-7749</v>
      </c>
      <c r="BD67" s="1008">
        <v>6000</v>
      </c>
      <c r="BE67" s="1008">
        <v>0</v>
      </c>
      <c r="BF67" s="1008">
        <v>0</v>
      </c>
      <c r="BG67" s="1008">
        <v>0</v>
      </c>
      <c r="BH67" s="1008">
        <v>7200</v>
      </c>
      <c r="BI67" s="1008">
        <v>-4288.12</v>
      </c>
      <c r="BJ67" s="1008">
        <f>'MXD P&amp;L'!N166</f>
        <v>0</v>
      </c>
      <c r="BK67" s="1008">
        <f>'MXD P&amp;L'!O166</f>
        <v>0</v>
      </c>
      <c r="BL67" s="1008">
        <f>'MXD P&amp;L'!P166</f>
        <v>0</v>
      </c>
      <c r="BM67" s="1008">
        <f>'MXD P&amp;L'!Q166</f>
        <v>0</v>
      </c>
      <c r="BN67" s="1008">
        <f>'MXD P&amp;L'!R166</f>
        <v>0</v>
      </c>
      <c r="BO67" s="1008">
        <f>'MXD P&amp;L'!S166</f>
        <v>0</v>
      </c>
      <c r="BP67" s="1008">
        <f>'MXD P&amp;L'!T166</f>
        <v>0</v>
      </c>
      <c r="BQ67" s="1008">
        <f>'MXD P&amp;L'!U164</f>
        <v>556</v>
      </c>
      <c r="BR67" s="1008">
        <f>'MXD P&amp;L'!V164</f>
        <v>556</v>
      </c>
      <c r="BS67" s="1008">
        <f>'MXD P&amp;L'!W164</f>
        <v>556</v>
      </c>
      <c r="BT67" s="1008">
        <f>'MXD P&amp;L'!X164</f>
        <v>0</v>
      </c>
      <c r="BU67" s="1008">
        <f>'MXD P&amp;L'!Y165</f>
        <v>0</v>
      </c>
      <c r="BV67" s="1003">
        <f t="shared" si="10"/>
        <v>0</v>
      </c>
      <c r="BW67" s="1002">
        <v>5331.31</v>
      </c>
      <c r="BX67" s="1004">
        <f t="shared" si="11"/>
        <v>28749</v>
      </c>
    </row>
    <row r="68" spans="1:84" ht="15.6" x14ac:dyDescent="0.3">
      <c r="A68" s="972"/>
      <c r="B68" s="972" t="s">
        <v>782</v>
      </c>
      <c r="C68" s="759"/>
      <c r="D68" s="764"/>
      <c r="G68" s="759"/>
      <c r="H68" s="764"/>
      <c r="K68" s="759"/>
      <c r="L68" s="764"/>
      <c r="O68" s="759"/>
      <c r="P68" s="764"/>
      <c r="S68" s="759"/>
      <c r="T68" s="764"/>
      <c r="W68" s="759"/>
      <c r="X68" s="764"/>
      <c r="AA68" s="759"/>
      <c r="AB68" s="764"/>
      <c r="AE68" s="759"/>
      <c r="AF68" s="764"/>
      <c r="AI68" s="759"/>
      <c r="AJ68" s="764"/>
      <c r="AM68" s="759"/>
      <c r="AN68" s="764"/>
      <c r="AQ68" s="759"/>
      <c r="AR68" s="764"/>
      <c r="AU68" s="759"/>
      <c r="AV68" s="764"/>
      <c r="AX68" s="1024"/>
      <c r="AY68" s="1026"/>
      <c r="AZ68" s="1026"/>
      <c r="BA68" s="1026"/>
      <c r="BB68" s="1026"/>
      <c r="BC68" s="1008"/>
      <c r="BD68" s="1008"/>
      <c r="BE68" s="1008"/>
      <c r="BF68" s="1008"/>
      <c r="BG68" s="1008"/>
      <c r="BH68" s="1008"/>
      <c r="BI68" s="1008"/>
      <c r="BJ68" s="1008">
        <f>'MXD P&amp;L'!N144</f>
        <v>2284.61</v>
      </c>
      <c r="BK68" s="1008">
        <f>'MXD P&amp;L'!O144</f>
        <v>1846.16</v>
      </c>
      <c r="BL68" s="1008">
        <f>'MXD P&amp;L'!P144</f>
        <v>3688.74</v>
      </c>
      <c r="BM68" s="1008">
        <f>'MXD P&amp;L'!Q144</f>
        <v>0</v>
      </c>
      <c r="BN68" s="1008">
        <f>'MXD P&amp;L'!R144</f>
        <v>692.31</v>
      </c>
      <c r="BO68" s="1008">
        <f>'MXD P&amp;L'!S144</f>
        <v>-1846.15</v>
      </c>
      <c r="BP68" s="1008">
        <f>'MXD P&amp;L'!T144</f>
        <v>0</v>
      </c>
      <c r="BQ68" s="1008">
        <f>'MXD P&amp;L'!U142</f>
        <v>0</v>
      </c>
      <c r="BR68" s="1008">
        <f>'MXD P&amp;L'!V142</f>
        <v>0</v>
      </c>
      <c r="BS68" s="1008">
        <f>'MXD P&amp;L'!W142</f>
        <v>0</v>
      </c>
      <c r="BT68" s="1008">
        <f>'MXD P&amp;L'!X142</f>
        <v>0</v>
      </c>
      <c r="BU68" s="1008">
        <f>'MXD P&amp;L'!Y143</f>
        <v>0</v>
      </c>
      <c r="BV68" s="1003">
        <f t="shared" si="10"/>
        <v>7819.51</v>
      </c>
      <c r="BW68" s="1002"/>
      <c r="BX68" s="1004"/>
    </row>
    <row r="69" spans="1:84" ht="15.6" x14ac:dyDescent="0.3">
      <c r="A69" s="972"/>
      <c r="B69" s="972" t="s">
        <v>783</v>
      </c>
      <c r="C69" s="759"/>
      <c r="D69" s="764"/>
      <c r="G69" s="759"/>
      <c r="H69" s="764"/>
      <c r="K69" s="759"/>
      <c r="L69" s="764"/>
      <c r="O69" s="759"/>
      <c r="P69" s="764"/>
      <c r="S69" s="759"/>
      <c r="T69" s="764"/>
      <c r="W69" s="759"/>
      <c r="X69" s="764"/>
      <c r="AA69" s="759"/>
      <c r="AB69" s="764"/>
      <c r="AE69" s="759"/>
      <c r="AF69" s="764"/>
      <c r="AI69" s="759"/>
      <c r="AJ69" s="764"/>
      <c r="AM69" s="759"/>
      <c r="AN69" s="764"/>
      <c r="AQ69" s="759"/>
      <c r="AR69" s="764"/>
      <c r="AU69" s="759"/>
      <c r="AV69" s="764"/>
      <c r="AX69" s="1024"/>
      <c r="AY69" s="1026"/>
      <c r="AZ69" s="1026"/>
      <c r="BA69" s="1026"/>
      <c r="BB69" s="1026"/>
      <c r="BC69" s="1008"/>
      <c r="BD69" s="1008"/>
      <c r="BE69" s="1008"/>
      <c r="BF69" s="1008"/>
      <c r="BG69" s="1008"/>
      <c r="BH69" s="1008"/>
      <c r="BI69" s="1008"/>
      <c r="BJ69" s="1008">
        <f>'MXD P&amp;L'!N145</f>
        <v>193.85</v>
      </c>
      <c r="BK69" s="1008">
        <f>'MXD P&amp;L'!O145</f>
        <v>158.32</v>
      </c>
      <c r="BL69" s="1008">
        <f>'MXD P&amp;L'!P145</f>
        <v>969.62</v>
      </c>
      <c r="BM69" s="1008">
        <f>'MXD P&amp;L'!Q145</f>
        <v>0</v>
      </c>
      <c r="BN69" s="1008">
        <f>'MXD P&amp;L'!R145</f>
        <v>53.31</v>
      </c>
      <c r="BO69" s="1008">
        <f>'MXD P&amp;L'!S145</f>
        <v>-142.15</v>
      </c>
      <c r="BP69" s="1008">
        <f>'MXD P&amp;L'!T145</f>
        <v>0</v>
      </c>
      <c r="BQ69" s="1008">
        <f>'MXD P&amp;L'!U143</f>
        <v>0</v>
      </c>
      <c r="BR69" s="1008">
        <f>'MXD P&amp;L'!V143</f>
        <v>0</v>
      </c>
      <c r="BS69" s="1008">
        <f>'MXD P&amp;L'!W143</f>
        <v>0</v>
      </c>
      <c r="BT69" s="1008">
        <f>'MXD P&amp;L'!X143</f>
        <v>0</v>
      </c>
      <c r="BU69" s="1008">
        <f>'MXD P&amp;L'!Y144</f>
        <v>0</v>
      </c>
      <c r="BV69" s="1003">
        <f t="shared" si="10"/>
        <v>1321.79</v>
      </c>
      <c r="BW69" s="1002"/>
      <c r="BX69" s="1004"/>
    </row>
    <row r="70" spans="1:84" ht="15.6" x14ac:dyDescent="0.3">
      <c r="A70" s="972"/>
      <c r="B70" s="972" t="s">
        <v>784</v>
      </c>
      <c r="C70" s="759"/>
      <c r="D70" s="764"/>
      <c r="G70" s="759"/>
      <c r="H70" s="764"/>
      <c r="K70" s="759"/>
      <c r="L70" s="764"/>
      <c r="O70" s="759"/>
      <c r="P70" s="764"/>
      <c r="S70" s="759"/>
      <c r="T70" s="764"/>
      <c r="W70" s="759"/>
      <c r="X70" s="764"/>
      <c r="AA70" s="759"/>
      <c r="AB70" s="764"/>
      <c r="AE70" s="759"/>
      <c r="AF70" s="764"/>
      <c r="AI70" s="759"/>
      <c r="AJ70" s="764"/>
      <c r="AM70" s="759"/>
      <c r="AN70" s="764"/>
      <c r="AQ70" s="759"/>
      <c r="AR70" s="764"/>
      <c r="AU70" s="759"/>
      <c r="AV70" s="764"/>
      <c r="AX70" s="1024"/>
      <c r="AY70" s="1026"/>
      <c r="AZ70" s="1026"/>
      <c r="BA70" s="1026"/>
      <c r="BB70" s="1026"/>
      <c r="BC70" s="1008"/>
      <c r="BD70" s="1008"/>
      <c r="BE70" s="1008"/>
      <c r="BF70" s="1008"/>
      <c r="BG70" s="1008"/>
      <c r="BH70" s="1008"/>
      <c r="BI70" s="1008"/>
      <c r="BJ70" s="1008">
        <f>'MXD P&amp;L'!N146</f>
        <v>282.3</v>
      </c>
      <c r="BK70" s="1008">
        <f>'MXD P&amp;L'!O146</f>
        <v>312.39999999999998</v>
      </c>
      <c r="BL70" s="1008">
        <f>'MXD P&amp;L'!P146</f>
        <v>312.39999999999998</v>
      </c>
      <c r="BM70" s="1008">
        <f>'MXD P&amp;L'!Q146</f>
        <v>312.39999999999998</v>
      </c>
      <c r="BN70" s="1008">
        <f>'MXD P&amp;L'!R146</f>
        <v>312.39999999999998</v>
      </c>
      <c r="BO70" s="1008">
        <f>'MXD P&amp;L'!S146</f>
        <v>312.39999999999998</v>
      </c>
      <c r="BP70" s="1008">
        <f>'MXD P&amp;L'!T146</f>
        <v>312.39999999999998</v>
      </c>
      <c r="BQ70" s="1008">
        <f>'MXD P&amp;L'!U144</f>
        <v>715.38</v>
      </c>
      <c r="BR70" s="1008">
        <f>'MXD P&amp;L'!V144</f>
        <v>230.77</v>
      </c>
      <c r="BS70" s="1008">
        <f>'MXD P&amp;L'!W144</f>
        <v>461.54</v>
      </c>
      <c r="BT70" s="1008">
        <f>'MXD P&amp;L'!X144</f>
        <v>0</v>
      </c>
      <c r="BU70" s="1008">
        <f>'MXD P&amp;L'!Y145</f>
        <v>0</v>
      </c>
      <c r="BV70" s="1003">
        <f t="shared" si="10"/>
        <v>1219.5</v>
      </c>
      <c r="BW70" s="1002"/>
      <c r="BX70" s="1004"/>
    </row>
    <row r="71" spans="1:84" ht="15.6" x14ac:dyDescent="0.3">
      <c r="A71" s="972"/>
      <c r="B71" s="972" t="s">
        <v>785</v>
      </c>
      <c r="C71" s="759"/>
      <c r="D71" s="764"/>
      <c r="G71" s="759"/>
      <c r="H71" s="764"/>
      <c r="K71" s="759"/>
      <c r="L71" s="764"/>
      <c r="O71" s="759"/>
      <c r="P71" s="764"/>
      <c r="S71" s="759"/>
      <c r="T71" s="764"/>
      <c r="W71" s="759"/>
      <c r="X71" s="764"/>
      <c r="AA71" s="759"/>
      <c r="AB71" s="764"/>
      <c r="AE71" s="759"/>
      <c r="AF71" s="764"/>
      <c r="AI71" s="759"/>
      <c r="AJ71" s="764"/>
      <c r="AM71" s="759"/>
      <c r="AN71" s="764"/>
      <c r="AQ71" s="759"/>
      <c r="AR71" s="764"/>
      <c r="AU71" s="759"/>
      <c r="AV71" s="764"/>
      <c r="AX71" s="1024"/>
      <c r="AY71" s="1026"/>
      <c r="AZ71" s="1026"/>
      <c r="BA71" s="1026"/>
      <c r="BB71" s="1026"/>
      <c r="BC71" s="1008"/>
      <c r="BD71" s="1008"/>
      <c r="BE71" s="1008"/>
      <c r="BF71" s="1008"/>
      <c r="BG71" s="1008"/>
      <c r="BH71" s="1008"/>
      <c r="BI71" s="1008"/>
      <c r="BJ71" s="1008">
        <f>'MXD P&amp;L'!N147</f>
        <v>157.27000000000001</v>
      </c>
      <c r="BK71" s="1008">
        <f>'MXD P&amp;L'!O147</f>
        <v>0</v>
      </c>
      <c r="BL71" s="1008">
        <f>'MXD P&amp;L'!P147</f>
        <v>0</v>
      </c>
      <c r="BM71" s="1008">
        <f>'MXD P&amp;L'!Q147</f>
        <v>2759.56</v>
      </c>
      <c r="BN71" s="1008">
        <f>'MXD P&amp;L'!R147</f>
        <v>25.9</v>
      </c>
      <c r="BO71" s="1008">
        <f>'MXD P&amp;L'!S147</f>
        <v>0</v>
      </c>
      <c r="BP71" s="1008">
        <f>'MXD P&amp;L'!T147</f>
        <v>60.87</v>
      </c>
      <c r="BQ71" s="1008">
        <f>'MXD P&amp;L'!U145</f>
        <v>55.08</v>
      </c>
      <c r="BR71" s="1008">
        <f>'MXD P&amp;L'!V145</f>
        <v>17.77</v>
      </c>
      <c r="BS71" s="1008">
        <f>'MXD P&amp;L'!W145</f>
        <v>35.54</v>
      </c>
      <c r="BT71" s="1008">
        <f>'MXD P&amp;L'!X145</f>
        <v>0</v>
      </c>
      <c r="BU71" s="1008">
        <f>'MXD P&amp;L'!Y146</f>
        <v>0</v>
      </c>
      <c r="BV71" s="1003">
        <f t="shared" si="10"/>
        <v>2916.83</v>
      </c>
      <c r="BW71" s="1002"/>
      <c r="BX71" s="1004"/>
    </row>
    <row r="72" spans="1:84" ht="15.6" x14ac:dyDescent="0.3">
      <c r="A72" s="972"/>
      <c r="B72" s="972" t="s">
        <v>786</v>
      </c>
      <c r="C72" s="759"/>
      <c r="D72" s="764"/>
      <c r="G72" s="759"/>
      <c r="H72" s="764"/>
      <c r="K72" s="759"/>
      <c r="L72" s="764"/>
      <c r="O72" s="759"/>
      <c r="P72" s="764"/>
      <c r="S72" s="759"/>
      <c r="T72" s="764"/>
      <c r="W72" s="759"/>
      <c r="X72" s="764"/>
      <c r="AA72" s="759"/>
      <c r="AB72" s="764"/>
      <c r="AE72" s="759"/>
      <c r="AF72" s="764"/>
      <c r="AI72" s="759"/>
      <c r="AJ72" s="764"/>
      <c r="AM72" s="759"/>
      <c r="AN72" s="764"/>
      <c r="AQ72" s="759"/>
      <c r="AR72" s="764"/>
      <c r="AU72" s="759"/>
      <c r="AV72" s="764"/>
      <c r="AX72" s="1024"/>
      <c r="AY72" s="1026"/>
      <c r="AZ72" s="1026"/>
      <c r="BA72" s="1026"/>
      <c r="BB72" s="1026"/>
      <c r="BC72" s="1008"/>
      <c r="BD72" s="1008"/>
      <c r="BE72" s="1008"/>
      <c r="BF72" s="1008"/>
      <c r="BG72" s="1008"/>
      <c r="BH72" s="1008"/>
      <c r="BI72" s="1008"/>
      <c r="BJ72" s="1008">
        <f>'MXD P&amp;L'!N148</f>
        <v>0</v>
      </c>
      <c r="BK72" s="1008">
        <f>'MXD P&amp;L'!O148</f>
        <v>0</v>
      </c>
      <c r="BL72" s="1008">
        <f>'MXD P&amp;L'!P148</f>
        <v>0</v>
      </c>
      <c r="BM72" s="1008">
        <f>'MXD P&amp;L'!Q148</f>
        <v>0</v>
      </c>
      <c r="BN72" s="1008">
        <f>'MXD P&amp;L'!R148</f>
        <v>0</v>
      </c>
      <c r="BO72" s="1008">
        <f>'MXD P&amp;L'!S148</f>
        <v>0</v>
      </c>
      <c r="BP72" s="1008">
        <f>'MXD P&amp;L'!T148</f>
        <v>0</v>
      </c>
      <c r="BQ72" s="1008">
        <f>'MXD P&amp;L'!U146</f>
        <v>312.39999999999998</v>
      </c>
      <c r="BR72" s="1008">
        <f>'MXD P&amp;L'!V146</f>
        <v>312.39999999999998</v>
      </c>
      <c r="BS72" s="1008">
        <f>'MXD P&amp;L'!W146</f>
        <v>312.39999999999998</v>
      </c>
      <c r="BT72" s="1008">
        <f>'MXD P&amp;L'!X146</f>
        <v>0</v>
      </c>
      <c r="BU72" s="1008">
        <f>'MXD P&amp;L'!Y147</f>
        <v>0</v>
      </c>
      <c r="BV72" s="1003">
        <f t="shared" si="10"/>
        <v>0</v>
      </c>
      <c r="BW72" s="1002"/>
      <c r="BX72" s="1004"/>
    </row>
    <row r="73" spans="1:84" ht="15.6" x14ac:dyDescent="0.3">
      <c r="A73" s="972"/>
      <c r="B73" s="972" t="s">
        <v>787</v>
      </c>
      <c r="C73" s="759"/>
      <c r="D73" s="764"/>
      <c r="G73" s="759"/>
      <c r="H73" s="764"/>
      <c r="K73" s="759"/>
      <c r="L73" s="764"/>
      <c r="O73" s="759"/>
      <c r="P73" s="764"/>
      <c r="S73" s="759"/>
      <c r="T73" s="764"/>
      <c r="W73" s="759"/>
      <c r="X73" s="764"/>
      <c r="AA73" s="759"/>
      <c r="AB73" s="764"/>
      <c r="AE73" s="759"/>
      <c r="AF73" s="764"/>
      <c r="AI73" s="759"/>
      <c r="AJ73" s="764"/>
      <c r="AM73" s="759"/>
      <c r="AN73" s="764"/>
      <c r="AQ73" s="759"/>
      <c r="AR73" s="764"/>
      <c r="AU73" s="759"/>
      <c r="AV73" s="764"/>
      <c r="AX73" s="1024"/>
      <c r="AY73" s="1026"/>
      <c r="AZ73" s="1026"/>
      <c r="BA73" s="1026"/>
      <c r="BB73" s="1026"/>
      <c r="BC73" s="1008"/>
      <c r="BD73" s="1008"/>
      <c r="BE73" s="1008"/>
      <c r="BF73" s="1008"/>
      <c r="BG73" s="1008"/>
      <c r="BH73" s="1008"/>
      <c r="BI73" s="1008"/>
      <c r="BJ73" s="1008">
        <f>'MXD P&amp;L'!N149</f>
        <v>756</v>
      </c>
      <c r="BK73" s="1008">
        <f>'MXD P&amp;L'!O149</f>
        <v>197</v>
      </c>
      <c r="BL73" s="1008">
        <f>'MXD P&amp;L'!P149</f>
        <v>2295</v>
      </c>
      <c r="BM73" s="1008">
        <f>'MXD P&amp;L'!Q149</f>
        <v>0</v>
      </c>
      <c r="BN73" s="1008">
        <f>'MXD P&amp;L'!R149</f>
        <v>13490</v>
      </c>
      <c r="BO73" s="1008">
        <f>'MXD P&amp;L'!S149</f>
        <v>0</v>
      </c>
      <c r="BP73" s="1008">
        <f>'MXD P&amp;L'!T149</f>
        <v>0</v>
      </c>
      <c r="BQ73" s="1008">
        <f>'MXD P&amp;L'!U147</f>
        <v>0</v>
      </c>
      <c r="BR73" s="1008">
        <f>'MXD P&amp;L'!V147</f>
        <v>12.18</v>
      </c>
      <c r="BS73" s="1008">
        <f>'MXD P&amp;L'!W147</f>
        <v>0</v>
      </c>
      <c r="BT73" s="1008">
        <f>'MXD P&amp;L'!X147</f>
        <v>0</v>
      </c>
      <c r="BU73" s="1008">
        <f>'MXD P&amp;L'!Y148</f>
        <v>0</v>
      </c>
      <c r="BV73" s="1003">
        <f t="shared" si="10"/>
        <v>3248</v>
      </c>
      <c r="BW73" s="1002"/>
      <c r="BX73" s="1004"/>
    </row>
    <row r="74" spans="1:84" ht="15.6" x14ac:dyDescent="0.3">
      <c r="A74" s="972"/>
      <c r="B74" s="972" t="s">
        <v>788</v>
      </c>
      <c r="C74" s="759"/>
      <c r="D74" s="764"/>
      <c r="G74" s="759"/>
      <c r="H74" s="764"/>
      <c r="K74" s="759"/>
      <c r="L74" s="764"/>
      <c r="O74" s="759"/>
      <c r="P74" s="764"/>
      <c r="S74" s="759"/>
      <c r="T74" s="764"/>
      <c r="W74" s="759"/>
      <c r="X74" s="764"/>
      <c r="AA74" s="759"/>
      <c r="AB74" s="764"/>
      <c r="AE74" s="759"/>
      <c r="AF74" s="764"/>
      <c r="AI74" s="759"/>
      <c r="AJ74" s="764"/>
      <c r="AM74" s="759"/>
      <c r="AN74" s="764"/>
      <c r="AQ74" s="759"/>
      <c r="AR74" s="764"/>
      <c r="AU74" s="759"/>
      <c r="AV74" s="764"/>
      <c r="AX74" s="1024"/>
      <c r="AY74" s="1026"/>
      <c r="AZ74" s="1026"/>
      <c r="BA74" s="1026"/>
      <c r="BB74" s="1026"/>
      <c r="BC74" s="1008"/>
      <c r="BD74" s="1008"/>
      <c r="BE74" s="1008"/>
      <c r="BF74" s="1008"/>
      <c r="BG74" s="1008"/>
      <c r="BH74" s="1008"/>
      <c r="BI74" s="1008"/>
      <c r="BJ74" s="1008">
        <f>'MXD P&amp;L'!N150</f>
        <v>247.82</v>
      </c>
      <c r="BK74" s="1008">
        <f>'MXD P&amp;L'!O150</f>
        <v>497.35</v>
      </c>
      <c r="BL74" s="1008">
        <f>'MXD P&amp;L'!P150</f>
        <v>3596.22</v>
      </c>
      <c r="BM74" s="1008">
        <f>'MXD P&amp;L'!Q150</f>
        <v>211.31</v>
      </c>
      <c r="BN74" s="1008">
        <f>'MXD P&amp;L'!R150</f>
        <v>57.02</v>
      </c>
      <c r="BO74" s="1008">
        <f>'MXD P&amp;L'!S150</f>
        <v>0</v>
      </c>
      <c r="BP74" s="1008">
        <f>'MXD P&amp;L'!T150</f>
        <v>0</v>
      </c>
      <c r="BQ74" s="1008">
        <f>'MXD P&amp;L'!U148</f>
        <v>0</v>
      </c>
      <c r="BR74" s="1008">
        <f>'MXD P&amp;L'!V148</f>
        <v>0</v>
      </c>
      <c r="BS74" s="1008">
        <f>'MXD P&amp;L'!W148</f>
        <v>0</v>
      </c>
      <c r="BT74" s="1008">
        <f>'MXD P&amp;L'!X148</f>
        <v>0</v>
      </c>
      <c r="BU74" s="1008">
        <f>'MXD P&amp;L'!Y149</f>
        <v>0</v>
      </c>
      <c r="BV74" s="1003">
        <f t="shared" si="10"/>
        <v>4552.7</v>
      </c>
      <c r="BW74" s="1002"/>
      <c r="BX74" s="1004"/>
    </row>
    <row r="75" spans="1:84" ht="15.6" x14ac:dyDescent="0.3">
      <c r="A75" s="972"/>
      <c r="B75" s="972" t="s">
        <v>789</v>
      </c>
      <c r="C75" s="759"/>
      <c r="D75" s="764"/>
      <c r="G75" s="759"/>
      <c r="H75" s="764"/>
      <c r="K75" s="759"/>
      <c r="L75" s="764"/>
      <c r="O75" s="759"/>
      <c r="P75" s="764"/>
      <c r="S75" s="759"/>
      <c r="T75" s="764"/>
      <c r="W75" s="759"/>
      <c r="X75" s="764"/>
      <c r="AA75" s="759"/>
      <c r="AB75" s="764"/>
      <c r="AE75" s="759"/>
      <c r="AF75" s="764"/>
      <c r="AI75" s="759"/>
      <c r="AJ75" s="764"/>
      <c r="AM75" s="759"/>
      <c r="AN75" s="764"/>
      <c r="AQ75" s="759"/>
      <c r="AR75" s="764"/>
      <c r="AU75" s="759"/>
      <c r="AV75" s="764"/>
      <c r="AX75" s="1024"/>
      <c r="AY75" s="1026"/>
      <c r="AZ75" s="1026"/>
      <c r="BA75" s="1026"/>
      <c r="BB75" s="1026"/>
      <c r="BC75" s="1008"/>
      <c r="BD75" s="1008"/>
      <c r="BE75" s="1008"/>
      <c r="BF75" s="1008"/>
      <c r="BG75" s="1008"/>
      <c r="BH75" s="1008"/>
      <c r="BI75" s="1008"/>
      <c r="BJ75" s="1008">
        <f>'MXD P&amp;L'!N151</f>
        <v>0</v>
      </c>
      <c r="BK75" s="1008">
        <f>'MXD P&amp;L'!O151</f>
        <v>58</v>
      </c>
      <c r="BL75" s="1008">
        <f>'MXD P&amp;L'!P151</f>
        <v>165.25</v>
      </c>
      <c r="BM75" s="1008">
        <f>'MXD P&amp;L'!Q151</f>
        <v>680.47</v>
      </c>
      <c r="BN75" s="1008">
        <f>'MXD P&amp;L'!R151</f>
        <v>0</v>
      </c>
      <c r="BO75" s="1008">
        <f>'MXD P&amp;L'!S151</f>
        <v>0</v>
      </c>
      <c r="BP75" s="1008">
        <f>'MXD P&amp;L'!T151</f>
        <v>0</v>
      </c>
      <c r="BQ75" s="1008">
        <f>'MXD P&amp;L'!U149</f>
        <v>0</v>
      </c>
      <c r="BR75" s="1008">
        <f>'MXD P&amp;L'!V149</f>
        <v>0</v>
      </c>
      <c r="BS75" s="1008">
        <f>'MXD P&amp;L'!W149</f>
        <v>0</v>
      </c>
      <c r="BT75" s="1008">
        <f>'MXD P&amp;L'!X149</f>
        <v>0</v>
      </c>
      <c r="BU75" s="1008">
        <f>'MXD P&amp;L'!Y150</f>
        <v>0</v>
      </c>
      <c r="BV75" s="1003">
        <f t="shared" si="10"/>
        <v>903.72</v>
      </c>
      <c r="BW75" s="1002"/>
      <c r="BX75" s="1004"/>
    </row>
    <row r="76" spans="1:84" ht="15.6" x14ac:dyDescent="0.3">
      <c r="A76" s="972"/>
      <c r="B76" s="972" t="s">
        <v>790</v>
      </c>
      <c r="C76" s="759"/>
      <c r="D76" s="764"/>
      <c r="G76" s="759"/>
      <c r="H76" s="764"/>
      <c r="K76" s="759"/>
      <c r="L76" s="764"/>
      <c r="O76" s="759"/>
      <c r="P76" s="764"/>
      <c r="S76" s="759"/>
      <c r="T76" s="764"/>
      <c r="W76" s="759"/>
      <c r="X76" s="764"/>
      <c r="AA76" s="759"/>
      <c r="AB76" s="764"/>
      <c r="AE76" s="759"/>
      <c r="AF76" s="764"/>
      <c r="AI76" s="759"/>
      <c r="AJ76" s="764"/>
      <c r="AM76" s="759"/>
      <c r="AN76" s="764"/>
      <c r="AQ76" s="759"/>
      <c r="AR76" s="764"/>
      <c r="AU76" s="759"/>
      <c r="AV76" s="764"/>
      <c r="AX76" s="1024"/>
      <c r="AY76" s="1026"/>
      <c r="AZ76" s="1026"/>
      <c r="BA76" s="1026"/>
      <c r="BB76" s="1026"/>
      <c r="BC76" s="1008"/>
      <c r="BD76" s="1008"/>
      <c r="BE76" s="1008"/>
      <c r="BF76" s="1008"/>
      <c r="BG76" s="1008"/>
      <c r="BH76" s="1008"/>
      <c r="BI76" s="1008"/>
      <c r="BJ76" s="1008">
        <f>'MXD P&amp;L'!N152</f>
        <v>99</v>
      </c>
      <c r="BK76" s="1008">
        <f>'MXD P&amp;L'!O152</f>
        <v>99</v>
      </c>
      <c r="BL76" s="1008">
        <f>'MXD P&amp;L'!P152</f>
        <v>0</v>
      </c>
      <c r="BM76" s="1008">
        <f>'MXD P&amp;L'!Q152</f>
        <v>0</v>
      </c>
      <c r="BN76" s="1008">
        <f>'MXD P&amp;L'!R152</f>
        <v>0</v>
      </c>
      <c r="BO76" s="1008">
        <f>'MXD P&amp;L'!S152</f>
        <v>-7542.64</v>
      </c>
      <c r="BP76" s="1008">
        <f>'MXD P&amp;L'!T152</f>
        <v>0</v>
      </c>
      <c r="BQ76" s="1008">
        <f>'MXD P&amp;L'!U150</f>
        <v>1097.8</v>
      </c>
      <c r="BR76" s="1008">
        <f>'MXD P&amp;L'!V150</f>
        <v>175.76</v>
      </c>
      <c r="BS76" s="1008">
        <f>'MXD P&amp;L'!W150</f>
        <v>1904.97</v>
      </c>
      <c r="BT76" s="1008">
        <f>'MXD P&amp;L'!X150</f>
        <v>0</v>
      </c>
      <c r="BU76" s="1008">
        <f>'MXD P&amp;L'!Y151</f>
        <v>0</v>
      </c>
      <c r="BV76" s="1003">
        <f t="shared" si="10"/>
        <v>198</v>
      </c>
      <c r="BW76" s="1002"/>
      <c r="BX76" s="1004"/>
    </row>
    <row r="77" spans="1:84" ht="15.6" x14ac:dyDescent="0.3">
      <c r="A77" s="972"/>
      <c r="B77" s="972" t="s">
        <v>791</v>
      </c>
      <c r="C77" s="759"/>
      <c r="D77" s="764"/>
      <c r="G77" s="759"/>
      <c r="H77" s="764"/>
      <c r="K77" s="759"/>
      <c r="L77" s="764"/>
      <c r="O77" s="759"/>
      <c r="P77" s="764"/>
      <c r="S77" s="759"/>
      <c r="T77" s="764"/>
      <c r="W77" s="759"/>
      <c r="X77" s="764"/>
      <c r="AA77" s="759"/>
      <c r="AB77" s="764"/>
      <c r="AE77" s="759"/>
      <c r="AF77" s="764"/>
      <c r="AI77" s="759"/>
      <c r="AJ77" s="764"/>
      <c r="AM77" s="759"/>
      <c r="AN77" s="764"/>
      <c r="AQ77" s="759"/>
      <c r="AR77" s="764"/>
      <c r="AU77" s="759"/>
      <c r="AV77" s="764"/>
      <c r="AX77" s="1024"/>
      <c r="AY77" s="1026"/>
      <c r="AZ77" s="1026"/>
      <c r="BA77" s="1026"/>
      <c r="BB77" s="1026"/>
      <c r="BC77" s="1008"/>
      <c r="BD77" s="1008"/>
      <c r="BE77" s="1008"/>
      <c r="BF77" s="1008"/>
      <c r="BG77" s="1008"/>
      <c r="BH77" s="1008"/>
      <c r="BI77" s="1008"/>
      <c r="BJ77" s="1008">
        <f>'MXD P&amp;L'!N153</f>
        <v>0</v>
      </c>
      <c r="BK77" s="1008">
        <f>'MXD P&amp;L'!O153</f>
        <v>0</v>
      </c>
      <c r="BL77" s="1008">
        <f>'MXD P&amp;L'!P153</f>
        <v>0</v>
      </c>
      <c r="BM77" s="1008">
        <f>'MXD P&amp;L'!Q153</f>
        <v>0</v>
      </c>
      <c r="BN77" s="1008">
        <f>'MXD P&amp;L'!R153</f>
        <v>0</v>
      </c>
      <c r="BO77" s="1008">
        <f>'MXD P&amp;L'!S153</f>
        <v>0</v>
      </c>
      <c r="BP77" s="1008">
        <f>'MXD P&amp;L'!T153</f>
        <v>0</v>
      </c>
      <c r="BQ77" s="1008">
        <f>'MXD P&amp;L'!U151</f>
        <v>343.33</v>
      </c>
      <c r="BR77" s="1008">
        <f>'MXD P&amp;L'!V151</f>
        <v>14.47</v>
      </c>
      <c r="BS77" s="1008">
        <f>'MXD P&amp;L'!W151</f>
        <v>145.71</v>
      </c>
      <c r="BT77" s="1008">
        <f>'MXD P&amp;L'!X151</f>
        <v>0</v>
      </c>
      <c r="BU77" s="1008">
        <f>'MXD P&amp;L'!Y152</f>
        <v>0</v>
      </c>
      <c r="BV77" s="1003">
        <f t="shared" si="10"/>
        <v>0</v>
      </c>
      <c r="BW77" s="1002"/>
      <c r="BX77" s="1004"/>
    </row>
    <row r="78" spans="1:84" ht="15.6" x14ac:dyDescent="0.3">
      <c r="B78" s="7" t="s">
        <v>37</v>
      </c>
      <c r="C78" s="906">
        <v>0</v>
      </c>
      <c r="D78" s="901">
        <v>0</v>
      </c>
      <c r="E78" s="907">
        <v>0</v>
      </c>
      <c r="F78" s="906">
        <v>0</v>
      </c>
      <c r="G78" s="901">
        <v>0</v>
      </c>
      <c r="H78" s="907">
        <v>0</v>
      </c>
      <c r="I78" s="906">
        <v>0</v>
      </c>
      <c r="J78" s="901">
        <v>0</v>
      </c>
      <c r="K78" s="907">
        <v>0</v>
      </c>
      <c r="L78" s="906">
        <v>0</v>
      </c>
      <c r="M78" s="901">
        <v>0</v>
      </c>
      <c r="N78" s="907">
        <v>0</v>
      </c>
      <c r="O78" s="906">
        <v>0</v>
      </c>
      <c r="P78" s="901">
        <v>0</v>
      </c>
      <c r="Q78" s="907">
        <v>0</v>
      </c>
      <c r="R78" s="906">
        <v>0</v>
      </c>
      <c r="S78" s="901">
        <v>0</v>
      </c>
      <c r="T78" s="907">
        <v>0</v>
      </c>
      <c r="U78" s="906">
        <v>0</v>
      </c>
      <c r="V78" s="901">
        <v>0</v>
      </c>
      <c r="W78" s="907">
        <v>0</v>
      </c>
      <c r="X78" s="906">
        <v>0</v>
      </c>
      <c r="Y78" s="901">
        <v>0</v>
      </c>
      <c r="Z78" s="907">
        <v>0</v>
      </c>
      <c r="AA78" s="906">
        <v>0</v>
      </c>
      <c r="AB78" s="901">
        <v>0</v>
      </c>
      <c r="AC78" s="907">
        <v>0</v>
      </c>
      <c r="AD78" s="906">
        <v>0</v>
      </c>
      <c r="AE78" s="901">
        <v>0</v>
      </c>
      <c r="AF78" s="907">
        <v>0</v>
      </c>
      <c r="AG78" s="906">
        <v>0</v>
      </c>
      <c r="AH78" s="901">
        <v>0</v>
      </c>
      <c r="AI78" s="907">
        <v>38661.590000000047</v>
      </c>
      <c r="AJ78" s="906">
        <v>0</v>
      </c>
      <c r="AK78" s="901">
        <v>0</v>
      </c>
      <c r="AL78" s="907">
        <v>0</v>
      </c>
      <c r="AM78" s="901">
        <v>0</v>
      </c>
      <c r="AN78" s="906">
        <v>0</v>
      </c>
      <c r="AO78" s="907">
        <v>0</v>
      </c>
      <c r="AP78" s="907">
        <v>0</v>
      </c>
      <c r="AQ78" s="906">
        <v>0</v>
      </c>
      <c r="AR78" s="901">
        <v>0</v>
      </c>
      <c r="AS78" s="901">
        <v>0</v>
      </c>
      <c r="AT78" s="906">
        <v>0</v>
      </c>
      <c r="AU78" s="901">
        <v>0</v>
      </c>
      <c r="AV78" s="907">
        <v>0</v>
      </c>
      <c r="AW78" s="906">
        <v>0</v>
      </c>
      <c r="AX78" s="906">
        <f t="shared" ref="AX78:BX78" si="12">SUM(AX55:AX77)</f>
        <v>47000.759999999995</v>
      </c>
      <c r="AY78" s="901">
        <f t="shared" si="12"/>
        <v>58990.429999999993</v>
      </c>
      <c r="AZ78" s="901">
        <f t="shared" si="12"/>
        <v>51975.18</v>
      </c>
      <c r="BA78" s="901">
        <f t="shared" si="12"/>
        <v>47420.94</v>
      </c>
      <c r="BB78" s="901">
        <f t="shared" si="12"/>
        <v>39890.289999999994</v>
      </c>
      <c r="BC78" s="1273">
        <f t="shared" si="12"/>
        <v>33685.089999999997</v>
      </c>
      <c r="BD78" s="1273">
        <f t="shared" si="12"/>
        <v>35102.21</v>
      </c>
      <c r="BE78" s="1273">
        <f t="shared" si="12"/>
        <v>34473.82</v>
      </c>
      <c r="BF78" s="1273">
        <f t="shared" si="12"/>
        <v>38684.839999999997</v>
      </c>
      <c r="BG78" s="1273">
        <f t="shared" si="12"/>
        <v>37565.21</v>
      </c>
      <c r="BH78" s="1273">
        <f t="shared" si="12"/>
        <v>49071.18</v>
      </c>
      <c r="BI78" s="1273">
        <f t="shared" si="12"/>
        <v>47397.969999999987</v>
      </c>
      <c r="BJ78" s="1273">
        <f t="shared" si="12"/>
        <v>67627.550000000017</v>
      </c>
      <c r="BK78" s="1273">
        <f t="shared" si="12"/>
        <v>51033.149999999994</v>
      </c>
      <c r="BL78" s="1273">
        <f t="shared" si="12"/>
        <v>60564.510000000009</v>
      </c>
      <c r="BM78" s="1273">
        <f t="shared" si="12"/>
        <v>66880.97</v>
      </c>
      <c r="BN78" s="1273">
        <f t="shared" si="12"/>
        <v>127038.98999999998</v>
      </c>
      <c r="BO78" s="1273">
        <f t="shared" si="12"/>
        <v>124960.40000000001</v>
      </c>
      <c r="BP78" s="1273">
        <f t="shared" si="12"/>
        <v>92244.959999999977</v>
      </c>
      <c r="BQ78" s="1273">
        <f t="shared" si="12"/>
        <v>70675.100000000006</v>
      </c>
      <c r="BR78" s="1273">
        <f t="shared" si="12"/>
        <v>56559.71</v>
      </c>
      <c r="BS78" s="1273">
        <f t="shared" si="12"/>
        <v>197253.23</v>
      </c>
      <c r="BT78" s="1273">
        <f t="shared" si="12"/>
        <v>0</v>
      </c>
      <c r="BU78" s="1273">
        <f t="shared" si="12"/>
        <v>0</v>
      </c>
      <c r="BV78" s="1273">
        <f t="shared" si="12"/>
        <v>246106.18</v>
      </c>
      <c r="BW78" s="1273">
        <f t="shared" si="12"/>
        <v>53313.1</v>
      </c>
      <c r="BX78" s="1273">
        <f t="shared" si="12"/>
        <v>205387.30999999997</v>
      </c>
      <c r="BZ78" s="332" t="s">
        <v>545</v>
      </c>
    </row>
    <row r="79" spans="1:84" x14ac:dyDescent="0.3">
      <c r="C79" s="759"/>
      <c r="D79" s="764"/>
      <c r="G79" s="759"/>
      <c r="H79" s="764"/>
      <c r="K79" s="759"/>
      <c r="L79" s="764"/>
      <c r="O79" s="759"/>
      <c r="P79" s="764"/>
      <c r="S79" s="759"/>
      <c r="T79" s="764"/>
      <c r="W79" s="759"/>
      <c r="X79" s="764"/>
      <c r="AA79" s="759"/>
      <c r="AB79" s="764"/>
      <c r="AE79" s="759"/>
      <c r="AF79" s="764"/>
      <c r="AI79" s="759"/>
      <c r="AJ79" s="764"/>
      <c r="AM79" s="759"/>
      <c r="AN79" s="764"/>
      <c r="AQ79" s="759"/>
      <c r="AR79" s="764"/>
      <c r="AU79" s="759"/>
      <c r="AV79" s="764"/>
      <c r="AX79" s="1009"/>
      <c r="AY79" s="1004"/>
      <c r="AZ79" s="1004"/>
      <c r="BA79" s="1004"/>
      <c r="BB79" s="1004"/>
      <c r="BC79" s="1004"/>
      <c r="BD79" s="1004"/>
      <c r="BE79" s="1004"/>
      <c r="BF79" s="1004"/>
      <c r="BG79" s="1004"/>
      <c r="BH79" s="1004"/>
      <c r="BI79" s="1004"/>
      <c r="BJ79" s="1004"/>
      <c r="BK79" s="1004"/>
      <c r="BL79" s="1004"/>
      <c r="BM79" s="1004"/>
      <c r="BN79" s="1004"/>
      <c r="BO79" s="1004"/>
      <c r="BP79" s="1004"/>
      <c r="BQ79" s="1004"/>
      <c r="BR79" s="1004"/>
      <c r="BS79" s="1004"/>
      <c r="BT79" s="1004"/>
      <c r="BU79" s="1004"/>
      <c r="BV79" s="1004"/>
      <c r="BW79" s="1004"/>
      <c r="BX79" s="1019"/>
      <c r="BZ79" t="s">
        <v>472</v>
      </c>
      <c r="CA79">
        <v>228.89</v>
      </c>
      <c r="CB79">
        <v>228.89</v>
      </c>
      <c r="CC79">
        <v>228.89</v>
      </c>
      <c r="CD79">
        <v>228.89</v>
      </c>
      <c r="CE79">
        <v>228.89</v>
      </c>
      <c r="CF79">
        <v>228.89</v>
      </c>
    </row>
    <row r="80" spans="1:84" ht="15.6" x14ac:dyDescent="0.3">
      <c r="B80" s="24" t="s">
        <v>140</v>
      </c>
      <c r="C80" s="788">
        <v>61623.998749443061</v>
      </c>
      <c r="D80" s="789">
        <v>65895.850000000006</v>
      </c>
      <c r="E80" s="613"/>
      <c r="F80" s="613"/>
      <c r="G80" s="788">
        <v>65655.878749443058</v>
      </c>
      <c r="H80" s="789">
        <v>62912.03</v>
      </c>
      <c r="I80" s="25"/>
      <c r="J80" s="25"/>
      <c r="K80" s="788">
        <v>68968.378749443058</v>
      </c>
      <c r="L80" s="789">
        <v>68536.76999999999</v>
      </c>
      <c r="M80" s="25"/>
      <c r="N80" s="25"/>
      <c r="O80" s="788">
        <v>96450.903813008423</v>
      </c>
      <c r="P80" s="789">
        <v>68909.900000000023</v>
      </c>
      <c r="Q80" s="25"/>
      <c r="R80" s="25"/>
      <c r="S80" s="788">
        <v>76450.903813008437</v>
      </c>
      <c r="T80" s="789">
        <v>69746.309999999983</v>
      </c>
      <c r="U80" s="25"/>
      <c r="V80" s="25"/>
      <c r="W80" s="788">
        <v>45488.53131300844</v>
      </c>
      <c r="X80" s="789">
        <v>58968.43</v>
      </c>
      <c r="Y80" s="25"/>
      <c r="Z80" s="25"/>
      <c r="AA80" s="788">
        <v>51040.255151492842</v>
      </c>
      <c r="AB80" s="789">
        <v>73071.680000000022</v>
      </c>
      <c r="AC80" s="25"/>
      <c r="AD80" s="25"/>
      <c r="AE80" s="788">
        <v>61040.255151492842</v>
      </c>
      <c r="AF80" s="789">
        <v>77330.859999999986</v>
      </c>
      <c r="AG80" s="25"/>
      <c r="AH80" s="25"/>
      <c r="AI80" s="788">
        <v>75102.755151492835</v>
      </c>
      <c r="AJ80" s="789">
        <v>95310.280000000013</v>
      </c>
      <c r="AK80" s="25"/>
      <c r="AL80" s="25"/>
      <c r="AM80" s="788">
        <v>64696.987619389001</v>
      </c>
      <c r="AN80" s="789">
        <v>111645.02999999997</v>
      </c>
      <c r="AO80" s="25"/>
      <c r="AP80" s="25"/>
      <c r="AQ80" s="788">
        <v>57196.987619389001</v>
      </c>
      <c r="AR80" s="789">
        <v>100849.52000000002</v>
      </c>
      <c r="AS80" s="25"/>
      <c r="AT80" s="25"/>
      <c r="AU80" s="788">
        <v>57740.407619389</v>
      </c>
      <c r="AV80" s="789">
        <v>108423.59000000001</v>
      </c>
      <c r="AW80" s="613"/>
      <c r="AX80" s="1020">
        <f t="shared" ref="AX80:BX80" si="13">AX78+AX52+AX38</f>
        <v>100039.45</v>
      </c>
      <c r="AY80" s="1021">
        <f t="shared" si="13"/>
        <v>137323.60999999999</v>
      </c>
      <c r="AZ80" s="1021">
        <f t="shared" si="13"/>
        <v>113812.27</v>
      </c>
      <c r="BA80" s="1021">
        <f t="shared" si="13"/>
        <v>128014.39999999999</v>
      </c>
      <c r="BB80" s="1021">
        <f t="shared" si="13"/>
        <v>151205.83999999997</v>
      </c>
      <c r="BC80" s="1021">
        <f t="shared" si="13"/>
        <v>127509.44</v>
      </c>
      <c r="BD80" s="1021">
        <f t="shared" si="13"/>
        <v>117777.01000000001</v>
      </c>
      <c r="BE80" s="1021">
        <f t="shared" si="13"/>
        <v>142372.71999999997</v>
      </c>
      <c r="BF80" s="1021">
        <f t="shared" si="13"/>
        <v>89508.56</v>
      </c>
      <c r="BG80" s="1021">
        <f t="shared" si="13"/>
        <v>116707.65</v>
      </c>
      <c r="BH80" s="1021">
        <f t="shared" si="13"/>
        <v>48478.78</v>
      </c>
      <c r="BI80" s="1021">
        <f t="shared" si="13"/>
        <v>130196.73999999999</v>
      </c>
      <c r="BJ80" s="1021">
        <f t="shared" si="13"/>
        <v>108504.69000000002</v>
      </c>
      <c r="BK80" s="1021">
        <f t="shared" si="13"/>
        <v>86259.63</v>
      </c>
      <c r="BL80" s="1021">
        <f t="shared" si="13"/>
        <v>114223.59000000003</v>
      </c>
      <c r="BM80" s="1021">
        <f t="shared" si="13"/>
        <v>106290.94</v>
      </c>
      <c r="BN80" s="1021">
        <f t="shared" si="13"/>
        <v>177906.12999999998</v>
      </c>
      <c r="BO80" s="1021">
        <f t="shared" si="13"/>
        <v>179309.25</v>
      </c>
      <c r="BP80" s="1021">
        <f t="shared" si="13"/>
        <v>142050.18</v>
      </c>
      <c r="BQ80" s="1021">
        <f t="shared" si="13"/>
        <v>738060.16999999993</v>
      </c>
      <c r="BR80" s="1021">
        <f t="shared" si="13"/>
        <v>662379.8899999999</v>
      </c>
      <c r="BS80" s="1021">
        <f t="shared" si="13"/>
        <v>1220997.2999999998</v>
      </c>
      <c r="BT80" s="1021">
        <f t="shared" si="13"/>
        <v>0</v>
      </c>
      <c r="BU80" s="1021">
        <f t="shared" si="13"/>
        <v>0</v>
      </c>
      <c r="BV80" s="1021">
        <f t="shared" si="13"/>
        <v>2867249.3800000013</v>
      </c>
      <c r="BW80" s="1021">
        <f t="shared" si="13"/>
        <v>287431.73999999993</v>
      </c>
      <c r="BX80" s="1021">
        <f t="shared" si="13"/>
        <v>479189.73</v>
      </c>
      <c r="BZ80" t="s">
        <v>544</v>
      </c>
    </row>
    <row r="81" spans="2:76" ht="15.6" x14ac:dyDescent="0.3">
      <c r="B81" s="332"/>
      <c r="C81" s="894"/>
      <c r="D81" s="895"/>
      <c r="E81" s="896"/>
      <c r="F81" s="896"/>
      <c r="G81" s="894"/>
      <c r="H81" s="895"/>
      <c r="I81" s="716"/>
      <c r="J81" s="716"/>
      <c r="K81" s="894"/>
      <c r="L81" s="895"/>
      <c r="M81" s="716"/>
      <c r="N81" s="716"/>
      <c r="O81" s="894"/>
      <c r="P81" s="895"/>
      <c r="Q81" s="716"/>
      <c r="R81" s="716"/>
      <c r="S81" s="894"/>
      <c r="T81" s="895"/>
      <c r="U81" s="716"/>
      <c r="V81" s="716"/>
      <c r="W81" s="894"/>
      <c r="X81" s="895"/>
      <c r="Y81" s="716"/>
      <c r="Z81" s="716"/>
      <c r="AA81" s="894"/>
      <c r="AB81" s="895"/>
      <c r="AC81" s="716"/>
      <c r="AD81" s="716"/>
      <c r="AE81" s="894"/>
      <c r="AF81" s="895"/>
      <c r="AG81" s="716"/>
      <c r="AH81" s="716"/>
      <c r="AI81" s="894"/>
      <c r="AJ81" s="895"/>
      <c r="AK81" s="716"/>
      <c r="AL81" s="716"/>
      <c r="AM81" s="894"/>
      <c r="AN81" s="895"/>
      <c r="AO81" s="716"/>
      <c r="AP81" s="716"/>
      <c r="AQ81" s="894"/>
      <c r="AR81" s="895"/>
      <c r="AS81" s="716"/>
      <c r="AT81" s="716"/>
      <c r="AU81" s="894"/>
      <c r="AV81" s="895"/>
      <c r="AW81" s="896"/>
      <c r="AX81" s="1022"/>
      <c r="AY81" s="1023"/>
      <c r="AZ81" s="1023"/>
      <c r="BA81" s="1023"/>
      <c r="BB81" s="1023"/>
      <c r="BC81" s="1023"/>
      <c r="BD81" s="1023"/>
      <c r="BE81" s="1023"/>
      <c r="BF81" s="1023"/>
      <c r="BG81" s="1023"/>
      <c r="BH81" s="1023"/>
      <c r="BI81" s="1023"/>
      <c r="BJ81" s="1023"/>
      <c r="BK81" s="1023"/>
      <c r="BL81" s="1023"/>
      <c r="BM81" s="1023"/>
      <c r="BN81" s="1023"/>
      <c r="BO81" s="1023"/>
      <c r="BP81" s="1023"/>
      <c r="BQ81" s="1023"/>
      <c r="BR81" s="1023"/>
      <c r="BS81" s="1023"/>
      <c r="BT81" s="1023"/>
      <c r="BU81" s="1023"/>
      <c r="BV81" s="1019"/>
      <c r="BW81" s="1023"/>
      <c r="BX81" s="1004"/>
    </row>
    <row r="83" spans="2:76" x14ac:dyDescent="0.3">
      <c r="BK83" s="314"/>
      <c r="BL83" s="314"/>
      <c r="BM83" s="314"/>
      <c r="BN83" s="314"/>
      <c r="BO83" s="314"/>
      <c r="BP83" s="314"/>
      <c r="BQ83" s="314"/>
      <c r="BR83" s="314"/>
      <c r="BS83" s="314"/>
      <c r="BT83" s="314"/>
      <c r="BU83" s="314"/>
    </row>
  </sheetData>
  <mergeCells count="1">
    <mergeCell ref="B2:B3"/>
  </mergeCells>
  <phoneticPr fontId="68" type="noConversion"/>
  <pageMargins left="0.7" right="0.7" top="0.75" bottom="0.75" header="0.3" footer="0.3"/>
  <pageSetup orientation="portrait" horizontalDpi="1200" verticalDpi="120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0D7F-6EDE-4DBA-BFDF-7E10878994A1}">
  <sheetPr codeName="Sheet14">
    <tabColor theme="5" tint="0.59999389629810485"/>
  </sheetPr>
  <dimension ref="A1:CA32"/>
  <sheetViews>
    <sheetView topLeftCell="B1" zoomScale="90" zoomScaleNormal="90" workbookViewId="0">
      <pane xSplit="48" ySplit="3" topLeftCell="BG8" activePane="bottomRight" state="frozen"/>
      <selection activeCell="AI79" sqref="AI79"/>
      <selection pane="topRight" activeCell="AI79" sqref="AI79"/>
      <selection pane="bottomLeft" activeCell="AI79" sqref="AI79"/>
      <selection pane="bottomRight" activeCell="BR13" sqref="BR13"/>
    </sheetView>
  </sheetViews>
  <sheetFormatPr defaultRowHeight="14.4" x14ac:dyDescent="0.3"/>
  <cols>
    <col min="1" max="1" width="0.88671875" customWidth="1"/>
    <col min="2" max="2" width="39.6640625" bestFit="1" customWidth="1"/>
    <col min="3" max="3" width="13.44140625" hidden="1" customWidth="1"/>
    <col min="4" max="4" width="15.88671875" hidden="1" customWidth="1"/>
    <col min="5" max="6" width="3" hidden="1" customWidth="1"/>
    <col min="7" max="7" width="23.6640625" hidden="1" customWidth="1"/>
    <col min="8" max="8" width="15.88671875" hidden="1" customWidth="1"/>
    <col min="9" max="10" width="3" hidden="1" customWidth="1"/>
    <col min="11" max="11" width="13.44140625" hidden="1" customWidth="1"/>
    <col min="12" max="12" width="15.88671875" hidden="1" customWidth="1"/>
    <col min="13" max="14" width="3" hidden="1" customWidth="1"/>
    <col min="15" max="15" width="13.44140625" hidden="1" customWidth="1"/>
    <col min="16" max="16" width="15.88671875" hidden="1" customWidth="1"/>
    <col min="17" max="18" width="3" hidden="1" customWidth="1"/>
    <col min="19" max="19" width="13.44140625" hidden="1" customWidth="1"/>
    <col min="20" max="20" width="15.88671875" hidden="1" customWidth="1"/>
    <col min="21" max="22" width="3" hidden="1" customWidth="1"/>
    <col min="23" max="23" width="13.44140625" hidden="1" customWidth="1"/>
    <col min="24" max="24" width="15.88671875" hidden="1" customWidth="1"/>
    <col min="25" max="26" width="3" hidden="1" customWidth="1"/>
    <col min="27" max="27" width="13.44140625" hidden="1" customWidth="1"/>
    <col min="28" max="28" width="15.88671875" hidden="1" customWidth="1"/>
    <col min="29" max="30" width="3" hidden="1" customWidth="1"/>
    <col min="31" max="31" width="13.44140625" hidden="1" customWidth="1"/>
    <col min="32" max="32" width="15.88671875" hidden="1" customWidth="1"/>
    <col min="33" max="34" width="3" hidden="1" customWidth="1"/>
    <col min="35" max="35" width="14.88671875" hidden="1" customWidth="1"/>
    <col min="36" max="36" width="15.88671875" hidden="1" customWidth="1"/>
    <col min="37" max="38" width="3" hidden="1" customWidth="1"/>
    <col min="39" max="39" width="13.44140625" hidden="1" customWidth="1"/>
    <col min="40" max="40" width="15.88671875" hidden="1" customWidth="1"/>
    <col min="41" max="42" width="3" hidden="1" customWidth="1"/>
    <col min="43" max="43" width="14.44140625" hidden="1" customWidth="1"/>
    <col min="44" max="44" width="15.88671875" hidden="1" customWidth="1"/>
    <col min="45" max="46" width="3" hidden="1" customWidth="1"/>
    <col min="47" max="47" width="14.109375" hidden="1" customWidth="1"/>
    <col min="48" max="48" width="15.88671875" hidden="1" customWidth="1"/>
    <col min="49" max="49" width="0" hidden="1" customWidth="1"/>
    <col min="50" max="50" width="10.109375" bestFit="1" customWidth="1"/>
    <col min="51" max="51" width="10.44140625" bestFit="1" customWidth="1"/>
    <col min="52" max="52" width="10.5546875" bestFit="1" customWidth="1"/>
    <col min="53" max="53" width="10.109375" bestFit="1" customWidth="1"/>
    <col min="54" max="54" width="10.88671875" bestFit="1" customWidth="1"/>
    <col min="55" max="55" width="10.109375" bestFit="1" customWidth="1"/>
    <col min="56" max="56" width="9.44140625" bestFit="1" customWidth="1"/>
    <col min="57" max="57" width="10.5546875" bestFit="1" customWidth="1"/>
    <col min="58" max="58" width="10.44140625" bestFit="1" customWidth="1"/>
    <col min="59" max="59" width="10.109375" bestFit="1" customWidth="1"/>
    <col min="60" max="60" width="10.88671875" bestFit="1" customWidth="1"/>
    <col min="61" max="61" width="10.5546875" bestFit="1" customWidth="1"/>
    <col min="62" max="62" width="10.109375" bestFit="1" customWidth="1"/>
    <col min="63" max="64" width="12" customWidth="1"/>
    <col min="65" max="73" width="9.109375" customWidth="1"/>
    <col min="74" max="74" width="11.44140625" bestFit="1" customWidth="1"/>
    <col min="75" max="75" width="15.88671875" customWidth="1"/>
    <col min="76" max="76" width="11.44140625" bestFit="1" customWidth="1"/>
  </cols>
  <sheetData>
    <row r="1" spans="1:79" ht="15" thickBot="1" x14ac:dyDescent="0.35">
      <c r="C1" s="12"/>
      <c r="D1" s="12"/>
      <c r="E1" s="12"/>
      <c r="F1" s="12"/>
      <c r="G1" s="12"/>
      <c r="H1" s="12"/>
      <c r="I1" s="12"/>
      <c r="J1" s="12"/>
      <c r="K1" s="12"/>
      <c r="L1" s="12"/>
      <c r="M1" s="12"/>
      <c r="N1" s="12"/>
      <c r="O1" s="12"/>
      <c r="AX1" s="29"/>
      <c r="AY1" s="29"/>
    </row>
    <row r="2" spans="1:79" s="3" customFormat="1" ht="15" thickBot="1" x14ac:dyDescent="0.35">
      <c r="B2" s="1793" t="s">
        <v>909</v>
      </c>
      <c r="C2" s="767" t="s">
        <v>14</v>
      </c>
      <c r="D2" s="749" t="s">
        <v>14</v>
      </c>
      <c r="E2" s="5"/>
      <c r="F2" s="5"/>
      <c r="G2" s="767" t="s">
        <v>15</v>
      </c>
      <c r="H2" s="749" t="s">
        <v>15</v>
      </c>
      <c r="I2" s="5"/>
      <c r="J2" s="5"/>
      <c r="K2" s="767" t="s">
        <v>16</v>
      </c>
      <c r="L2" s="749" t="s">
        <v>16</v>
      </c>
      <c r="M2" s="5"/>
      <c r="N2" s="5"/>
      <c r="O2" s="767" t="s">
        <v>17</v>
      </c>
      <c r="P2" s="749" t="s">
        <v>17</v>
      </c>
      <c r="Q2" s="5"/>
      <c r="R2" s="5"/>
      <c r="S2" s="767" t="s">
        <v>913</v>
      </c>
      <c r="T2" s="749" t="s">
        <v>913</v>
      </c>
      <c r="U2" s="5"/>
      <c r="V2" s="5"/>
      <c r="W2" s="767" t="s">
        <v>19</v>
      </c>
      <c r="X2" s="749" t="s">
        <v>19</v>
      </c>
      <c r="Y2" s="5"/>
      <c r="Z2" s="5"/>
      <c r="AA2" s="767" t="s">
        <v>20</v>
      </c>
      <c r="AB2" s="749" t="s">
        <v>20</v>
      </c>
      <c r="AC2" s="5"/>
      <c r="AD2" s="5"/>
      <c r="AE2" s="767" t="s">
        <v>21</v>
      </c>
      <c r="AF2" s="749" t="s">
        <v>21</v>
      </c>
      <c r="AG2" s="5"/>
      <c r="AH2" s="5"/>
      <c r="AI2" s="767" t="s">
        <v>22</v>
      </c>
      <c r="AJ2" s="749" t="s">
        <v>22</v>
      </c>
      <c r="AK2" s="5"/>
      <c r="AL2" s="5"/>
      <c r="AM2" s="767" t="s">
        <v>23</v>
      </c>
      <c r="AN2" s="749" t="s">
        <v>23</v>
      </c>
      <c r="AO2" s="5"/>
      <c r="AP2" s="5"/>
      <c r="AQ2" s="767" t="s">
        <v>24</v>
      </c>
      <c r="AR2" s="749" t="s">
        <v>24</v>
      </c>
      <c r="AS2" s="5"/>
      <c r="AT2" s="5"/>
      <c r="AU2" s="767" t="s">
        <v>25</v>
      </c>
      <c r="AV2" s="749" t="s">
        <v>25</v>
      </c>
      <c r="AW2" s="5"/>
      <c r="AX2" s="5"/>
      <c r="AY2" s="5"/>
      <c r="AZ2" s="5"/>
      <c r="BA2" s="5"/>
      <c r="BB2" s="5"/>
      <c r="BC2" s="5"/>
      <c r="BD2" s="5"/>
      <c r="BE2" s="5"/>
      <c r="BF2" s="5"/>
      <c r="BG2" s="750"/>
      <c r="BH2" s="5"/>
      <c r="BI2" s="751"/>
      <c r="BJ2" s="5"/>
      <c r="BK2" s="5"/>
      <c r="BL2" s="5"/>
      <c r="BM2" s="5"/>
      <c r="BN2" s="5"/>
      <c r="BO2" s="5"/>
      <c r="BP2" s="5"/>
      <c r="BQ2" s="5"/>
      <c r="BR2" s="5"/>
      <c r="BS2" s="5"/>
      <c r="BT2" s="5"/>
      <c r="BU2" s="5"/>
      <c r="BV2" s="5"/>
      <c r="BW2" s="5"/>
      <c r="BX2" s="5"/>
      <c r="BY2"/>
    </row>
    <row r="3" spans="1:79" x14ac:dyDescent="0.3">
      <c r="B3" s="1793"/>
      <c r="C3" s="750" t="s">
        <v>407</v>
      </c>
      <c r="D3" s="751" t="s">
        <v>408</v>
      </c>
      <c r="E3" s="5"/>
      <c r="F3" s="5"/>
      <c r="G3" s="750" t="s">
        <v>407</v>
      </c>
      <c r="H3" s="751" t="s">
        <v>408</v>
      </c>
      <c r="I3" s="5"/>
      <c r="J3" s="5"/>
      <c r="K3" s="750" t="s">
        <v>407</v>
      </c>
      <c r="L3" s="751" t="s">
        <v>408</v>
      </c>
      <c r="M3" s="5"/>
      <c r="N3" s="5"/>
      <c r="O3" s="750" t="s">
        <v>407</v>
      </c>
      <c r="P3" s="751" t="s">
        <v>408</v>
      </c>
      <c r="Q3" s="5"/>
      <c r="R3" s="5"/>
      <c r="S3" s="750" t="s">
        <v>407</v>
      </c>
      <c r="T3" s="751" t="s">
        <v>408</v>
      </c>
      <c r="U3" s="5"/>
      <c r="V3" s="5"/>
      <c r="W3" s="750" t="s">
        <v>407</v>
      </c>
      <c r="X3" s="751" t="s">
        <v>408</v>
      </c>
      <c r="Y3" s="5"/>
      <c r="Z3" s="5"/>
      <c r="AA3" s="750" t="s">
        <v>407</v>
      </c>
      <c r="AB3" s="751" t="s">
        <v>408</v>
      </c>
      <c r="AC3" s="5"/>
      <c r="AD3" s="5"/>
      <c r="AE3" s="750" t="s">
        <v>407</v>
      </c>
      <c r="AF3" s="751" t="s">
        <v>408</v>
      </c>
      <c r="AG3" s="5"/>
      <c r="AH3" s="5"/>
      <c r="AI3" s="750" t="s">
        <v>407</v>
      </c>
      <c r="AJ3" s="751" t="s">
        <v>408</v>
      </c>
      <c r="AK3" s="5"/>
      <c r="AL3" s="5"/>
      <c r="AM3" s="750" t="s">
        <v>407</v>
      </c>
      <c r="AN3" s="751" t="s">
        <v>408</v>
      </c>
      <c r="AO3" s="5"/>
      <c r="AP3" s="5"/>
      <c r="AQ3" s="750" t="s">
        <v>407</v>
      </c>
      <c r="AR3" s="751" t="s">
        <v>408</v>
      </c>
      <c r="AS3" s="5"/>
      <c r="AT3" s="5"/>
      <c r="AU3" s="750" t="s">
        <v>407</v>
      </c>
      <c r="AV3" s="751" t="s">
        <v>408</v>
      </c>
      <c r="AW3" s="5"/>
      <c r="AX3" s="773">
        <v>44562</v>
      </c>
      <c r="AY3" s="773">
        <v>44593</v>
      </c>
      <c r="AZ3" s="775">
        <v>44621</v>
      </c>
      <c r="BA3" s="773">
        <v>44652</v>
      </c>
      <c r="BB3" s="774">
        <v>44682</v>
      </c>
      <c r="BC3" s="775">
        <v>44713</v>
      </c>
      <c r="BD3" s="775">
        <v>44743</v>
      </c>
      <c r="BE3" s="774">
        <v>44774</v>
      </c>
      <c r="BF3" s="775">
        <v>44805</v>
      </c>
      <c r="BG3" s="772">
        <v>44856</v>
      </c>
      <c r="BH3" s="799">
        <v>44887</v>
      </c>
      <c r="BI3" s="772">
        <v>44917</v>
      </c>
      <c r="BJ3" s="772">
        <v>44948</v>
      </c>
      <c r="BK3" s="772">
        <v>44979</v>
      </c>
      <c r="BL3" s="772">
        <v>45007</v>
      </c>
      <c r="BM3" s="799">
        <v>45017</v>
      </c>
      <c r="BN3" s="772">
        <f>DATE(YEAR(BM3),MONTH(BM3)+1,1)</f>
        <v>45047</v>
      </c>
      <c r="BO3" s="772">
        <f t="shared" ref="BO3:BU3" si="0">DATE(YEAR(BN3),MONTH(BN3)+1,1)</f>
        <v>45078</v>
      </c>
      <c r="BP3" s="772">
        <f t="shared" si="0"/>
        <v>45108</v>
      </c>
      <c r="BQ3" s="772">
        <f t="shared" si="0"/>
        <v>45139</v>
      </c>
      <c r="BR3" s="772">
        <f t="shared" si="0"/>
        <v>45170</v>
      </c>
      <c r="BS3" s="772">
        <f t="shared" si="0"/>
        <v>45200</v>
      </c>
      <c r="BT3" s="772">
        <f t="shared" si="0"/>
        <v>45231</v>
      </c>
      <c r="BU3" s="772">
        <f t="shared" si="0"/>
        <v>45261</v>
      </c>
      <c r="BV3" s="5" t="s">
        <v>892</v>
      </c>
      <c r="BW3" s="772" t="s">
        <v>408</v>
      </c>
      <c r="BX3" s="5" t="s">
        <v>525</v>
      </c>
      <c r="BZ3" s="3"/>
    </row>
    <row r="5" spans="1:79" ht="15.6" x14ac:dyDescent="0.3">
      <c r="B5" s="20" t="s">
        <v>902</v>
      </c>
      <c r="C5" s="781"/>
      <c r="D5" s="782"/>
      <c r="E5" s="609"/>
      <c r="F5" s="609"/>
      <c r="G5" s="781"/>
      <c r="H5" s="782"/>
      <c r="I5" s="19"/>
      <c r="J5" s="19"/>
      <c r="K5" s="781"/>
      <c r="L5" s="782"/>
      <c r="M5" s="19"/>
      <c r="N5" s="19"/>
      <c r="O5" s="781"/>
      <c r="P5" s="782"/>
      <c r="Q5" s="19"/>
      <c r="R5" s="19"/>
      <c r="S5" s="781"/>
      <c r="T5" s="782"/>
      <c r="U5" s="19"/>
      <c r="V5" s="19"/>
      <c r="W5" s="781"/>
      <c r="X5" s="782"/>
      <c r="Y5" s="19"/>
      <c r="Z5" s="19"/>
      <c r="AA5" s="781"/>
      <c r="AB5" s="782"/>
      <c r="AC5" s="19"/>
      <c r="AD5" s="19"/>
      <c r="AE5" s="781"/>
      <c r="AF5" s="782"/>
      <c r="AG5" s="19"/>
      <c r="AH5" s="19"/>
      <c r="AI5" s="781"/>
      <c r="AJ5" s="782"/>
      <c r="AK5" s="19"/>
      <c r="AL5" s="19"/>
      <c r="AM5" s="781"/>
      <c r="AN5" s="782"/>
      <c r="AO5" s="19"/>
      <c r="AP5" s="19"/>
      <c r="AQ5" s="781"/>
      <c r="AR5" s="782"/>
      <c r="AS5" s="19"/>
      <c r="AT5" s="19"/>
      <c r="AU5" s="781"/>
      <c r="AV5" s="782"/>
      <c r="AW5" s="609"/>
      <c r="AX5" s="1010"/>
      <c r="AY5" s="1011"/>
      <c r="AZ5" s="1011"/>
      <c r="BA5" s="1011"/>
      <c r="BB5" s="1011"/>
      <c r="BC5" s="1011"/>
      <c r="BD5" s="1011"/>
      <c r="BE5" s="1011"/>
      <c r="BF5" s="1011"/>
      <c r="BG5" s="1011"/>
      <c r="BH5" s="1011"/>
      <c r="BI5" s="1011"/>
      <c r="BJ5" s="1011"/>
      <c r="BK5" s="1011"/>
      <c r="BL5" s="1011"/>
      <c r="BM5" s="1011"/>
      <c r="BN5" s="1011"/>
      <c r="BO5" s="1011"/>
      <c r="BP5" s="1011"/>
      <c r="BQ5" s="1011"/>
      <c r="BR5" s="1011"/>
      <c r="BS5" s="1011"/>
      <c r="BT5" s="1011"/>
      <c r="BU5" s="1011"/>
      <c r="BV5" s="1011"/>
      <c r="BW5" s="1011"/>
      <c r="BX5" s="1011"/>
    </row>
    <row r="6" spans="1:79" ht="15.6" x14ac:dyDescent="0.3">
      <c r="B6" t="s">
        <v>129</v>
      </c>
      <c r="C6" s="783"/>
      <c r="D6" s="797"/>
      <c r="E6" s="610"/>
      <c r="F6" s="610"/>
      <c r="G6" s="783"/>
      <c r="H6" s="797"/>
      <c r="I6" s="22"/>
      <c r="J6" s="22"/>
      <c r="K6" s="783">
        <v>0</v>
      </c>
      <c r="L6" s="797"/>
      <c r="M6" s="22"/>
      <c r="N6" s="22"/>
      <c r="O6" s="783"/>
      <c r="P6" s="797"/>
      <c r="Q6" s="22"/>
      <c r="R6" s="22"/>
      <c r="S6" s="783"/>
      <c r="T6" s="797"/>
      <c r="U6" s="22"/>
      <c r="V6" s="22"/>
      <c r="W6" s="783"/>
      <c r="X6" s="797"/>
      <c r="Y6" s="22"/>
      <c r="Z6" s="22"/>
      <c r="AA6" s="783"/>
      <c r="AB6" s="797"/>
      <c r="AC6" s="22"/>
      <c r="AD6" s="22"/>
      <c r="AE6" s="783"/>
      <c r="AF6" s="797"/>
      <c r="AG6" s="22"/>
      <c r="AH6" s="22"/>
      <c r="AI6" s="783"/>
      <c r="AJ6" s="797"/>
      <c r="AK6" s="22"/>
      <c r="AL6" s="22"/>
      <c r="AM6" s="783"/>
      <c r="AN6" s="797"/>
      <c r="AO6" s="22"/>
      <c r="AP6" s="22"/>
      <c r="AQ6" s="783"/>
      <c r="AR6" s="881"/>
      <c r="AS6" s="22"/>
      <c r="AT6" s="22"/>
      <c r="AU6" s="783"/>
      <c r="AV6" s="881"/>
      <c r="AW6" s="886"/>
      <c r="AX6" s="1000"/>
      <c r="AY6" s="1001"/>
      <c r="AZ6" s="1001"/>
      <c r="BA6" s="1001"/>
      <c r="BB6" s="1001"/>
      <c r="BC6" s="1001"/>
      <c r="BD6" s="1001"/>
      <c r="BE6" s="1001"/>
      <c r="BF6" s="1001"/>
      <c r="BG6" s="1001"/>
      <c r="BH6" s="1001"/>
      <c r="BI6" s="1001">
        <v>0</v>
      </c>
      <c r="BJ6" s="1001">
        <v>0</v>
      </c>
      <c r="BK6" s="1001">
        <v>703.22</v>
      </c>
      <c r="BL6" s="1001">
        <f>'MXD P&amp;L'!P87</f>
        <v>407.65</v>
      </c>
      <c r="BM6" s="1001">
        <f>'MXD P&amp;L'!Q87</f>
        <v>0</v>
      </c>
      <c r="BN6" s="1001">
        <f>'MXD P&amp;L'!R87</f>
        <v>0</v>
      </c>
      <c r="BO6" s="1001">
        <f>'MXD P&amp;L'!S87</f>
        <v>0</v>
      </c>
      <c r="BP6" s="1001">
        <f>'MXD P&amp;L'!T87</f>
        <v>0</v>
      </c>
      <c r="BQ6" s="1001">
        <f>'MXD P&amp;L'!U87</f>
        <v>0</v>
      </c>
      <c r="BR6" s="1001">
        <f>'MXD P&amp;L'!V87</f>
        <v>0</v>
      </c>
      <c r="BS6" s="1001">
        <f>'MXD P&amp;L'!W87</f>
        <v>0</v>
      </c>
      <c r="BT6" s="1001">
        <f>'MXD P&amp;L'!X87</f>
        <v>0</v>
      </c>
      <c r="BU6" s="1001">
        <f>'MXD P&amp;L'!Y88</f>
        <v>0</v>
      </c>
      <c r="BV6" s="1003">
        <f>SUM(BJ6:BU6)</f>
        <v>1110.8699999999999</v>
      </c>
      <c r="BW6" s="1002">
        <v>5331.31</v>
      </c>
      <c r="BX6" s="1004">
        <f t="shared" ref="BX6:BX12" si="1">SUM(AX6:BA6)</f>
        <v>0</v>
      </c>
      <c r="BY6" s="331"/>
      <c r="BZ6" s="331"/>
      <c r="CA6" s="331"/>
    </row>
    <row r="7" spans="1:79" ht="15.6" x14ac:dyDescent="0.3">
      <c r="B7" t="s">
        <v>130</v>
      </c>
      <c r="C7" s="784"/>
      <c r="D7" s="798"/>
      <c r="E7" s="611"/>
      <c r="F7" s="611"/>
      <c r="G7" s="784"/>
      <c r="H7" s="798"/>
      <c r="I7" s="23"/>
      <c r="J7" s="23"/>
      <c r="K7" s="784">
        <v>500</v>
      </c>
      <c r="L7" s="798"/>
      <c r="M7" s="23"/>
      <c r="N7" s="23"/>
      <c r="O7" s="784"/>
      <c r="P7" s="798">
        <v>27.12</v>
      </c>
      <c r="Q7" s="23"/>
      <c r="R7" s="23"/>
      <c r="S7" s="784"/>
      <c r="T7" s="798">
        <v>199</v>
      </c>
      <c r="U7" s="23"/>
      <c r="V7" s="23"/>
      <c r="W7" s="784"/>
      <c r="X7" s="798"/>
      <c r="Y7" s="23"/>
      <c r="Z7" s="23"/>
      <c r="AA7" s="784"/>
      <c r="AB7" s="798"/>
      <c r="AC7" s="23"/>
      <c r="AD7" s="23"/>
      <c r="AE7" s="784"/>
      <c r="AF7" s="798"/>
      <c r="AG7" s="23"/>
      <c r="AH7" s="23"/>
      <c r="AI7" s="784"/>
      <c r="AJ7" s="798"/>
      <c r="AK7" s="23"/>
      <c r="AL7" s="23"/>
      <c r="AM7" s="784"/>
      <c r="AN7" s="798"/>
      <c r="AO7" s="23"/>
      <c r="AP7" s="23"/>
      <c r="AQ7" s="784"/>
      <c r="AR7" s="881">
        <v>1300</v>
      </c>
      <c r="AS7" s="23"/>
      <c r="AT7" s="23"/>
      <c r="AU7" s="784"/>
      <c r="AV7" s="881"/>
      <c r="AW7" s="886"/>
      <c r="AX7" s="1000"/>
      <c r="AY7" s="1001">
        <v>0</v>
      </c>
      <c r="AZ7" s="1001">
        <v>0</v>
      </c>
      <c r="BA7" s="1001">
        <v>0</v>
      </c>
      <c r="BB7" s="1001">
        <v>0</v>
      </c>
      <c r="BC7" s="1001">
        <v>0</v>
      </c>
      <c r="BD7" s="1001"/>
      <c r="BE7" s="1001"/>
      <c r="BF7" s="1001"/>
      <c r="BG7" s="1001"/>
      <c r="BH7" s="1001"/>
      <c r="BI7" s="1001">
        <v>0</v>
      </c>
      <c r="BJ7" s="1001">
        <v>0</v>
      </c>
      <c r="BK7" s="1001"/>
      <c r="BL7" s="1001"/>
      <c r="BM7" s="1001"/>
      <c r="BN7" s="1001"/>
      <c r="BO7" s="1001"/>
      <c r="BP7" s="1001"/>
      <c r="BQ7" s="1001"/>
      <c r="BR7" s="1001"/>
      <c r="BS7" s="1001"/>
      <c r="BT7" s="1001"/>
      <c r="BU7" s="1001"/>
      <c r="BV7" s="1003">
        <f t="shared" ref="BV7:BV16" si="2">SUM(BJ7:BU7)</f>
        <v>0</v>
      </c>
      <c r="BW7" s="1002">
        <v>5331.31</v>
      </c>
      <c r="BX7" s="1004">
        <f t="shared" si="1"/>
        <v>0</v>
      </c>
    </row>
    <row r="8" spans="1:79" ht="15.6" x14ac:dyDescent="0.3">
      <c r="A8" t="s">
        <v>773</v>
      </c>
      <c r="B8" t="s">
        <v>773</v>
      </c>
      <c r="C8" s="783">
        <v>5833</v>
      </c>
      <c r="D8" s="797">
        <v>5736.01</v>
      </c>
      <c r="E8" s="610"/>
      <c r="F8" s="610"/>
      <c r="G8" s="783">
        <v>5833</v>
      </c>
      <c r="H8" s="797">
        <v>5384.6200000000008</v>
      </c>
      <c r="I8" s="22"/>
      <c r="J8" s="22"/>
      <c r="K8" s="783">
        <v>5833</v>
      </c>
      <c r="L8" s="797">
        <v>6192.32</v>
      </c>
      <c r="M8" s="22"/>
      <c r="N8" s="22"/>
      <c r="O8" s="783">
        <v>5833</v>
      </c>
      <c r="P8" s="797">
        <v>5923.08</v>
      </c>
      <c r="Q8" s="22"/>
      <c r="R8" s="22"/>
      <c r="S8" s="783">
        <v>5833</v>
      </c>
      <c r="T8" s="797">
        <v>5653.85</v>
      </c>
      <c r="U8" s="22"/>
      <c r="V8" s="22"/>
      <c r="W8" s="783">
        <v>0</v>
      </c>
      <c r="X8" s="797">
        <v>5923.0800000000017</v>
      </c>
      <c r="Y8" s="22"/>
      <c r="Z8" s="22"/>
      <c r="AA8" s="783">
        <v>5833</v>
      </c>
      <c r="AB8" s="797">
        <v>5923.0800000000017</v>
      </c>
      <c r="AC8" s="22"/>
      <c r="AD8" s="22"/>
      <c r="AE8" s="783">
        <v>5833</v>
      </c>
      <c r="AF8" s="797">
        <v>5923.0899999999983</v>
      </c>
      <c r="AG8" s="22"/>
      <c r="AH8" s="22"/>
      <c r="AI8" s="783">
        <v>5833</v>
      </c>
      <c r="AJ8" s="797">
        <v>5923.0800000000054</v>
      </c>
      <c r="AK8" s="22"/>
      <c r="AL8" s="22"/>
      <c r="AM8" s="783">
        <v>5833</v>
      </c>
      <c r="AN8" s="797">
        <v>5653.8499999999913</v>
      </c>
      <c r="AO8" s="22"/>
      <c r="AP8" s="22"/>
      <c r="AQ8" s="783">
        <v>5833</v>
      </c>
      <c r="AR8" s="881">
        <v>5923.0800000000017</v>
      </c>
      <c r="AS8" s="22"/>
      <c r="AT8" s="22"/>
      <c r="AU8" s="783">
        <v>5833</v>
      </c>
      <c r="AV8" s="881">
        <v>6192.3100000000013</v>
      </c>
      <c r="AW8" s="886"/>
      <c r="AX8" s="1000">
        <v>5653.85</v>
      </c>
      <c r="AY8" s="1001">
        <v>6325.84</v>
      </c>
      <c r="AZ8" s="1001">
        <v>6962.19</v>
      </c>
      <c r="BA8" s="1001">
        <v>6228.58</v>
      </c>
      <c r="BB8" s="1001">
        <v>6514.71</v>
      </c>
      <c r="BC8" s="1001">
        <v>6514.7</v>
      </c>
      <c r="BD8" s="1001">
        <v>6218.59</v>
      </c>
      <c r="BE8" s="1001">
        <v>6810.82</v>
      </c>
      <c r="BF8" s="1001">
        <v>6514.71</v>
      </c>
      <c r="BG8" s="1001">
        <v>6195.5</v>
      </c>
      <c r="BH8" s="1001">
        <v>6514.71</v>
      </c>
      <c r="BI8" s="1001">
        <v>6514.71</v>
      </c>
      <c r="BJ8" s="1001">
        <f>'MXD P&amp;L'!N135</f>
        <v>6514.7</v>
      </c>
      <c r="BK8" s="1001">
        <f>'MXD P&amp;L'!O135</f>
        <v>2961.23</v>
      </c>
      <c r="BL8" s="1001">
        <f>'MXD P&amp;L'!P135</f>
        <v>18331.12</v>
      </c>
      <c r="BM8" s="1001">
        <f>'MXD P&amp;L'!Q135</f>
        <v>7106.08</v>
      </c>
      <c r="BN8" s="1001">
        <f>'MXD P&amp;L'!R135</f>
        <v>27464.57</v>
      </c>
      <c r="BO8" s="1001">
        <f>'MXD P&amp;L'!S135</f>
        <v>25829.01</v>
      </c>
      <c r="BP8" s="1001">
        <f>'MXD P&amp;L'!T135</f>
        <v>-9225.69</v>
      </c>
      <c r="BQ8" s="1001">
        <f>'MXD P&amp;L'!U133</f>
        <v>0</v>
      </c>
      <c r="BR8" s="1001">
        <f>'MXD P&amp;L'!V133</f>
        <v>0</v>
      </c>
      <c r="BS8" s="1001">
        <f>'MXD P&amp;L'!W133</f>
        <v>0</v>
      </c>
      <c r="BT8" s="1001">
        <f>'MXD P&amp;L'!X133</f>
        <v>0</v>
      </c>
      <c r="BU8" s="1001">
        <f>'MXD P&amp;L'!Y134</f>
        <v>0</v>
      </c>
      <c r="BV8" s="1003">
        <f t="shared" si="2"/>
        <v>78981.01999999999</v>
      </c>
      <c r="BW8" s="1002">
        <v>5331.31</v>
      </c>
      <c r="BX8" s="1004">
        <f t="shared" si="1"/>
        <v>25170.46</v>
      </c>
    </row>
    <row r="9" spans="1:79" ht="15.6" x14ac:dyDescent="0.3">
      <c r="A9" t="s">
        <v>774</v>
      </c>
      <c r="B9" t="s">
        <v>774</v>
      </c>
      <c r="C9" s="783"/>
      <c r="D9" s="797"/>
      <c r="E9" s="610"/>
      <c r="F9" s="610"/>
      <c r="G9" s="783"/>
      <c r="H9" s="797"/>
      <c r="I9" s="22"/>
      <c r="J9" s="22"/>
      <c r="K9" s="783">
        <v>937.5</v>
      </c>
      <c r="L9" s="797"/>
      <c r="M9" s="22"/>
      <c r="N9" s="22"/>
      <c r="O9" s="783"/>
      <c r="P9" s="797"/>
      <c r="Q9" s="22"/>
      <c r="R9" s="22"/>
      <c r="S9" s="783"/>
      <c r="T9" s="797"/>
      <c r="U9" s="22"/>
      <c r="V9" s="22"/>
      <c r="W9" s="783"/>
      <c r="X9" s="797"/>
      <c r="Y9" s="22"/>
      <c r="Z9" s="22"/>
      <c r="AA9" s="783"/>
      <c r="AB9" s="797"/>
      <c r="AC9" s="22"/>
      <c r="AD9" s="22"/>
      <c r="AE9" s="783"/>
      <c r="AF9" s="797"/>
      <c r="AG9" s="22"/>
      <c r="AH9" s="22"/>
      <c r="AI9" s="783">
        <v>937.5</v>
      </c>
      <c r="AJ9" s="797">
        <v>1250</v>
      </c>
      <c r="AK9" s="22"/>
      <c r="AL9" s="22"/>
      <c r="AM9" s="783"/>
      <c r="AN9" s="797"/>
      <c r="AO9" s="22"/>
      <c r="AP9" s="22"/>
      <c r="AQ9" s="783"/>
      <c r="AR9" s="881"/>
      <c r="AS9" s="22"/>
      <c r="AT9" s="22"/>
      <c r="AU9" s="783">
        <v>937.5</v>
      </c>
      <c r="AV9" s="881">
        <v>1784.06</v>
      </c>
      <c r="AW9" s="886"/>
      <c r="AX9" s="1000">
        <v>1250</v>
      </c>
      <c r="AY9" s="1001">
        <v>0</v>
      </c>
      <c r="AZ9" s="1001">
        <v>0</v>
      </c>
      <c r="BA9" s="1001">
        <v>0</v>
      </c>
      <c r="BB9" s="1001">
        <v>3750</v>
      </c>
      <c r="BC9" s="1001">
        <v>0</v>
      </c>
      <c r="BD9" s="1001">
        <v>1250</v>
      </c>
      <c r="BE9" s="1001">
        <v>0</v>
      </c>
      <c r="BF9" s="1001">
        <v>0</v>
      </c>
      <c r="BG9" s="1001">
        <v>4750</v>
      </c>
      <c r="BH9" s="1001">
        <v>0</v>
      </c>
      <c r="BI9" s="1001">
        <v>2458.1</v>
      </c>
      <c r="BJ9" s="1001">
        <f>'MXD P&amp;L'!N136</f>
        <v>0</v>
      </c>
      <c r="BK9" s="1001">
        <f>'MXD P&amp;L'!O136</f>
        <v>0</v>
      </c>
      <c r="BL9" s="1001">
        <f>'MXD P&amp;L'!P136</f>
        <v>0</v>
      </c>
      <c r="BM9" s="1001">
        <f>'MXD P&amp;L'!Q136</f>
        <v>0</v>
      </c>
      <c r="BN9" s="1001">
        <f>'MXD P&amp;L'!R136</f>
        <v>0</v>
      </c>
      <c r="BO9" s="1001">
        <f>'MXD P&amp;L'!S136</f>
        <v>0</v>
      </c>
      <c r="BP9" s="1001">
        <f>'MXD P&amp;L'!T136</f>
        <v>0</v>
      </c>
      <c r="BQ9" s="1001">
        <f>'MXD P&amp;L'!U134</f>
        <v>81.819999999999993</v>
      </c>
      <c r="BR9" s="1001">
        <f>'MXD P&amp;L'!V134</f>
        <v>0</v>
      </c>
      <c r="BS9" s="1001">
        <f>'MXD P&amp;L'!W134</f>
        <v>0</v>
      </c>
      <c r="BT9" s="1001">
        <f>'MXD P&amp;L'!X134</f>
        <v>0</v>
      </c>
      <c r="BU9" s="1001">
        <f>'MXD P&amp;L'!Y135</f>
        <v>0</v>
      </c>
      <c r="BV9" s="1003">
        <f t="shared" si="2"/>
        <v>81.819999999999993</v>
      </c>
      <c r="BW9" s="1002">
        <v>5331.31</v>
      </c>
      <c r="BX9" s="1004">
        <f t="shared" si="1"/>
        <v>1250</v>
      </c>
    </row>
    <row r="10" spans="1:79" ht="15.6" x14ac:dyDescent="0.3">
      <c r="A10" t="s">
        <v>918</v>
      </c>
      <c r="B10" t="s">
        <v>775</v>
      </c>
      <c r="C10" s="784">
        <v>446.22449999999998</v>
      </c>
      <c r="D10" s="798">
        <v>463.45999999999992</v>
      </c>
      <c r="E10" s="611"/>
      <c r="F10" s="611"/>
      <c r="G10" s="784">
        <v>446.22449999999998</v>
      </c>
      <c r="H10" s="798">
        <v>414.91999999999996</v>
      </c>
      <c r="I10" s="23"/>
      <c r="J10" s="23"/>
      <c r="K10" s="784">
        <v>446.22449999999998</v>
      </c>
      <c r="L10" s="798">
        <v>466.86</v>
      </c>
      <c r="M10" s="23"/>
      <c r="N10" s="23"/>
      <c r="O10" s="784">
        <v>446.22449999999998</v>
      </c>
      <c r="P10" s="798">
        <v>446.11999999999978</v>
      </c>
      <c r="Q10" s="23"/>
      <c r="R10" s="23"/>
      <c r="S10" s="784">
        <v>446.22449999999998</v>
      </c>
      <c r="T10" s="798">
        <v>425.76000000000028</v>
      </c>
      <c r="U10" s="23"/>
      <c r="V10" s="23"/>
      <c r="W10" s="784">
        <v>0</v>
      </c>
      <c r="X10" s="798">
        <v>446.86</v>
      </c>
      <c r="Y10" s="23"/>
      <c r="Z10" s="23"/>
      <c r="AA10" s="784">
        <v>446.22449999999998</v>
      </c>
      <c r="AB10" s="798">
        <v>442.24999999999966</v>
      </c>
      <c r="AC10" s="23"/>
      <c r="AD10" s="23"/>
      <c r="AE10" s="784">
        <v>446.22449999999998</v>
      </c>
      <c r="AF10" s="798">
        <v>446.87000000000035</v>
      </c>
      <c r="AG10" s="23"/>
      <c r="AH10" s="23"/>
      <c r="AI10" s="784">
        <v>446.22449999999998</v>
      </c>
      <c r="AJ10" s="798">
        <v>446.85999999999967</v>
      </c>
      <c r="AK10" s="23"/>
      <c r="AL10" s="23"/>
      <c r="AM10" s="784">
        <v>446.22449999999998</v>
      </c>
      <c r="AN10" s="798">
        <v>521.76</v>
      </c>
      <c r="AO10" s="23"/>
      <c r="AP10" s="23"/>
      <c r="AQ10" s="784">
        <v>446.22449999999998</v>
      </c>
      <c r="AR10" s="881">
        <v>446.86000000000018</v>
      </c>
      <c r="AS10" s="23"/>
      <c r="AT10" s="23"/>
      <c r="AU10" s="784">
        <v>446.22449999999998</v>
      </c>
      <c r="AV10" s="881">
        <v>599.46000000000049</v>
      </c>
      <c r="AW10" s="886"/>
      <c r="AX10" s="1000">
        <v>555.66999999999996</v>
      </c>
      <c r="AY10" s="1001">
        <v>666.78</v>
      </c>
      <c r="AZ10" s="1001">
        <v>522.41</v>
      </c>
      <c r="BA10" s="1001">
        <v>464.38</v>
      </c>
      <c r="BB10" s="1001">
        <v>582.82000000000005</v>
      </c>
      <c r="BC10" s="1001">
        <v>487.18</v>
      </c>
      <c r="BD10" s="1001">
        <v>552.78</v>
      </c>
      <c r="BE10" s="1001">
        <v>514.04</v>
      </c>
      <c r="BF10" s="1001">
        <v>489.2</v>
      </c>
      <c r="BG10" s="1001">
        <v>562.04</v>
      </c>
      <c r="BH10" s="1001">
        <v>489.2</v>
      </c>
      <c r="BI10" s="1001">
        <v>654.98</v>
      </c>
      <c r="BJ10" s="1001">
        <f>'MXD P&amp;L'!N137</f>
        <v>667.88</v>
      </c>
      <c r="BK10" s="1001">
        <f>'MXD P&amp;L'!O137</f>
        <v>301.04000000000002</v>
      </c>
      <c r="BL10" s="1001">
        <f>'MXD P&amp;L'!P137</f>
        <v>1381.8</v>
      </c>
      <c r="BM10" s="1001">
        <f>'MXD P&amp;L'!Q137</f>
        <v>1499.22</v>
      </c>
      <c r="BN10" s="1001">
        <f>'MXD P&amp;L'!R137</f>
        <v>2042.89</v>
      </c>
      <c r="BO10" s="1001">
        <f>'MXD P&amp;L'!S137</f>
        <v>2059.31</v>
      </c>
      <c r="BP10" s="1001">
        <f>'MXD P&amp;L'!T137</f>
        <v>2579.7600000000002</v>
      </c>
      <c r="BQ10" s="1001">
        <f>'MXD P&amp;L'!U135</f>
        <v>30674.31</v>
      </c>
      <c r="BR10" s="1001">
        <f>'MXD P&amp;L'!V135</f>
        <v>-15014.27</v>
      </c>
      <c r="BS10" s="1001">
        <f>'MXD P&amp;L'!W135</f>
        <v>29927.62</v>
      </c>
      <c r="BT10" s="1001">
        <f>'MXD P&amp;L'!X135</f>
        <v>0</v>
      </c>
      <c r="BU10" s="1001">
        <f>'MXD P&amp;L'!Y136</f>
        <v>0</v>
      </c>
      <c r="BV10" s="1003">
        <f t="shared" si="2"/>
        <v>56119.560000000005</v>
      </c>
      <c r="BW10" s="1002">
        <v>5331.31</v>
      </c>
      <c r="BX10" s="1004">
        <f t="shared" si="1"/>
        <v>2209.2399999999998</v>
      </c>
    </row>
    <row r="11" spans="1:79" ht="15.6" x14ac:dyDescent="0.3">
      <c r="A11" t="s">
        <v>776</v>
      </c>
      <c r="B11" t="s">
        <v>776</v>
      </c>
      <c r="C11" s="784">
        <v>278.13</v>
      </c>
      <c r="D11" s="798"/>
      <c r="E11" s="611"/>
      <c r="F11" s="611"/>
      <c r="G11" s="784">
        <v>278.13</v>
      </c>
      <c r="H11" s="798">
        <v>267.33999999999997</v>
      </c>
      <c r="I11" s="23"/>
      <c r="J11" s="23"/>
      <c r="K11" s="784">
        <v>278.13</v>
      </c>
      <c r="L11" s="798">
        <v>267.33999999999997</v>
      </c>
      <c r="M11" s="23"/>
      <c r="N11" s="23"/>
      <c r="O11" s="784">
        <v>278.13</v>
      </c>
      <c r="P11" s="798">
        <v>267.33999999999997</v>
      </c>
      <c r="Q11" s="23"/>
      <c r="R11" s="23"/>
      <c r="S11" s="784">
        <v>278.13</v>
      </c>
      <c r="T11" s="798">
        <v>267.33999999999992</v>
      </c>
      <c r="U11" s="23"/>
      <c r="V11" s="23"/>
      <c r="W11" s="784">
        <v>278.13</v>
      </c>
      <c r="X11" s="798">
        <v>267.34000000000009</v>
      </c>
      <c r="Y11" s="23"/>
      <c r="Z11" s="23"/>
      <c r="AA11" s="784">
        <v>278.13</v>
      </c>
      <c r="AB11" s="798">
        <v>267.33999999999992</v>
      </c>
      <c r="AC11" s="23"/>
      <c r="AD11" s="23"/>
      <c r="AE11" s="784">
        <v>278.13</v>
      </c>
      <c r="AF11" s="798">
        <v>267.34000000000009</v>
      </c>
      <c r="AG11" s="23"/>
      <c r="AH11" s="23"/>
      <c r="AI11" s="784">
        <v>278.13</v>
      </c>
      <c r="AJ11" s="798">
        <v>267.33999999999969</v>
      </c>
      <c r="AK11" s="23"/>
      <c r="AL11" s="23"/>
      <c r="AM11" s="784">
        <v>278.13</v>
      </c>
      <c r="AN11" s="798">
        <v>267.34000000000009</v>
      </c>
      <c r="AO11" s="23"/>
      <c r="AP11" s="23"/>
      <c r="AQ11" s="784">
        <v>278.13</v>
      </c>
      <c r="AR11" s="881">
        <v>267.34000000000009</v>
      </c>
      <c r="AS11" s="23"/>
      <c r="AT11" s="23"/>
      <c r="AU11" s="784">
        <v>278.13</v>
      </c>
      <c r="AV11" s="881">
        <v>267.33999999999969</v>
      </c>
      <c r="AW11" s="886"/>
      <c r="AX11" s="1005">
        <v>282.10000000000002</v>
      </c>
      <c r="AY11" s="1006">
        <v>282.10000000000002</v>
      </c>
      <c r="AZ11" s="1006">
        <v>282.10000000000002</v>
      </c>
      <c r="BA11" s="1006">
        <v>282.10000000000002</v>
      </c>
      <c r="BB11" s="1006">
        <v>282.10000000000002</v>
      </c>
      <c r="BC11" s="1006">
        <v>282.10000000000002</v>
      </c>
      <c r="BD11" s="1006">
        <v>282.10000000000002</v>
      </c>
      <c r="BE11" s="1006">
        <v>282.10000000000002</v>
      </c>
      <c r="BF11" s="1006">
        <v>282.10000000000002</v>
      </c>
      <c r="BG11" s="1006">
        <v>282.10000000000002</v>
      </c>
      <c r="BH11" s="1006">
        <v>282.10000000000002</v>
      </c>
      <c r="BI11" s="1006">
        <v>282.10000000000002</v>
      </c>
      <c r="BJ11" s="1001">
        <f>'MXD P&amp;L'!N138</f>
        <v>282.3</v>
      </c>
      <c r="BK11" s="1001">
        <f>'MXD P&amp;L'!O138</f>
        <v>312.39999999999998</v>
      </c>
      <c r="BL11" s="1001">
        <f>'MXD P&amp;L'!P138</f>
        <v>621.4</v>
      </c>
      <c r="BM11" s="1001">
        <f>'MXD P&amp;L'!Q138</f>
        <v>624.79999999999995</v>
      </c>
      <c r="BN11" s="1001">
        <f>'MXD P&amp;L'!R138</f>
        <v>1249.5999999999999</v>
      </c>
      <c r="BO11" s="1001">
        <f>'MXD P&amp;L'!S138</f>
        <v>937.2</v>
      </c>
      <c r="BP11" s="1001">
        <f>'MXD P&amp;L'!T138</f>
        <v>937.2</v>
      </c>
      <c r="BQ11" s="1001">
        <f>'MXD P&amp;L'!U136</f>
        <v>0</v>
      </c>
      <c r="BR11" s="1001">
        <f>'MXD P&amp;L'!V136</f>
        <v>0</v>
      </c>
      <c r="BS11" s="1001">
        <f>'MXD P&amp;L'!W136</f>
        <v>0</v>
      </c>
      <c r="BT11" s="1001">
        <f>'MXD P&amp;L'!X136</f>
        <v>0</v>
      </c>
      <c r="BU11" s="1001">
        <f>'MXD P&amp;L'!Y137</f>
        <v>0</v>
      </c>
      <c r="BV11" s="1003">
        <f t="shared" si="2"/>
        <v>4964.8999999999996</v>
      </c>
      <c r="BW11" s="1002">
        <v>5331.31</v>
      </c>
      <c r="BX11" s="1004">
        <f t="shared" si="1"/>
        <v>1128.4000000000001</v>
      </c>
    </row>
    <row r="12" spans="1:79" ht="15.6" x14ac:dyDescent="0.3">
      <c r="A12" t="s">
        <v>777</v>
      </c>
      <c r="B12" t="s">
        <v>777</v>
      </c>
      <c r="C12" s="783"/>
      <c r="D12" s="797">
        <v>1868.35</v>
      </c>
      <c r="E12" s="610"/>
      <c r="F12" s="610"/>
      <c r="G12" s="783"/>
      <c r="H12" s="797">
        <v>1296.8800000000001</v>
      </c>
      <c r="I12" s="22"/>
      <c r="J12" s="22"/>
      <c r="K12" s="783"/>
      <c r="L12" s="797">
        <v>528.23</v>
      </c>
      <c r="M12" s="22"/>
      <c r="N12" s="22"/>
      <c r="O12" s="783"/>
      <c r="P12" s="797">
        <v>903.89000000000033</v>
      </c>
      <c r="Q12" s="22"/>
      <c r="R12" s="22"/>
      <c r="S12" s="783"/>
      <c r="T12" s="797">
        <v>791.36999999999989</v>
      </c>
      <c r="U12" s="22"/>
      <c r="V12" s="22"/>
      <c r="W12" s="783"/>
      <c r="X12" s="797">
        <v>1040.27</v>
      </c>
      <c r="Y12" s="22"/>
      <c r="Z12" s="22"/>
      <c r="AA12" s="783"/>
      <c r="AB12" s="797">
        <v>1025.56</v>
      </c>
      <c r="AC12" s="22"/>
      <c r="AD12" s="22"/>
      <c r="AE12" s="783"/>
      <c r="AF12" s="797">
        <v>514.01000000000022</v>
      </c>
      <c r="AG12" s="22"/>
      <c r="AH12" s="22"/>
      <c r="AI12" s="783"/>
      <c r="AJ12" s="797">
        <v>3511.15</v>
      </c>
      <c r="AK12" s="22"/>
      <c r="AL12" s="22"/>
      <c r="AM12" s="783"/>
      <c r="AN12" s="797">
        <v>1862.2900000000011</v>
      </c>
      <c r="AO12" s="22"/>
      <c r="AP12" s="22"/>
      <c r="AQ12" s="783"/>
      <c r="AR12" s="881">
        <v>346.18999999999869</v>
      </c>
      <c r="AS12" s="22"/>
      <c r="AT12" s="22"/>
      <c r="AU12" s="783"/>
      <c r="AV12" s="881">
        <v>2136.0500000000011</v>
      </c>
      <c r="AW12" s="886"/>
      <c r="AX12" s="1000">
        <v>899.59</v>
      </c>
      <c r="AY12" s="1001">
        <v>261.74</v>
      </c>
      <c r="AZ12" s="1001">
        <v>755.89</v>
      </c>
      <c r="BA12" s="1001">
        <v>126</v>
      </c>
      <c r="BB12" s="1001">
        <v>1348.09</v>
      </c>
      <c r="BC12" s="1001">
        <v>10234.51</v>
      </c>
      <c r="BD12" s="1001">
        <v>-8127.49</v>
      </c>
      <c r="BE12" s="1001">
        <v>303.87</v>
      </c>
      <c r="BF12" s="1001">
        <v>1166.6400000000001</v>
      </c>
      <c r="BG12" s="1001">
        <v>1176.72</v>
      </c>
      <c r="BH12" s="1001">
        <v>4683.54</v>
      </c>
      <c r="BI12" s="1001">
        <v>1643.5</v>
      </c>
      <c r="BJ12" s="1001">
        <f>'MXD P&amp;L'!N139</f>
        <v>354.8</v>
      </c>
      <c r="BK12" s="1001">
        <f>'MXD P&amp;L'!O139</f>
        <v>209.88</v>
      </c>
      <c r="BL12" s="1001">
        <f>'MXD P&amp;L'!P139</f>
        <v>523.37</v>
      </c>
      <c r="BM12" s="1001">
        <f>'MXD P&amp;L'!Q139</f>
        <v>566.88</v>
      </c>
      <c r="BN12" s="1001">
        <f>'MXD P&amp;L'!R139</f>
        <v>1742.86</v>
      </c>
      <c r="BO12" s="1001">
        <f>'MXD P&amp;L'!S139</f>
        <v>461.71</v>
      </c>
      <c r="BP12" s="1001">
        <f>'MXD P&amp;L'!T139</f>
        <v>623.29999999999995</v>
      </c>
      <c r="BQ12" s="1001">
        <f>'MXD P&amp;L'!U137</f>
        <v>2280.1799999999998</v>
      </c>
      <c r="BR12" s="1001">
        <f>'MXD P&amp;L'!V137</f>
        <v>2059.73</v>
      </c>
      <c r="BS12" s="1001">
        <f>'MXD P&amp;L'!W137</f>
        <v>2161.9699999999998</v>
      </c>
      <c r="BT12" s="1001">
        <f>'MXD P&amp;L'!X137</f>
        <v>0</v>
      </c>
      <c r="BU12" s="1001">
        <f>'MXD P&amp;L'!Y138</f>
        <v>0</v>
      </c>
      <c r="BV12" s="1003">
        <f t="shared" si="2"/>
        <v>10984.679999999998</v>
      </c>
      <c r="BW12" s="1002">
        <v>5331.31</v>
      </c>
      <c r="BX12" s="1004">
        <f t="shared" si="1"/>
        <v>2043.2199999999998</v>
      </c>
    </row>
    <row r="13" spans="1:79" ht="15.6" x14ac:dyDescent="0.3">
      <c r="B13" s="982" t="s">
        <v>778</v>
      </c>
      <c r="C13" s="783"/>
      <c r="D13" s="797"/>
      <c r="E13" s="610"/>
      <c r="F13" s="610"/>
      <c r="G13" s="783"/>
      <c r="H13" s="797"/>
      <c r="I13" s="22"/>
      <c r="J13" s="22"/>
      <c r="K13" s="783"/>
      <c r="L13" s="797"/>
      <c r="M13" s="22"/>
      <c r="N13" s="22"/>
      <c r="O13" s="783"/>
      <c r="P13" s="797"/>
      <c r="Q13" s="22"/>
      <c r="R13" s="22"/>
      <c r="S13" s="783"/>
      <c r="T13" s="797"/>
      <c r="U13" s="22"/>
      <c r="V13" s="22"/>
      <c r="W13" s="783"/>
      <c r="X13" s="797"/>
      <c r="Y13" s="22"/>
      <c r="Z13" s="22"/>
      <c r="AA13" s="783"/>
      <c r="AB13" s="797"/>
      <c r="AC13" s="22"/>
      <c r="AD13" s="22"/>
      <c r="AE13" s="783"/>
      <c r="AF13" s="797"/>
      <c r="AG13" s="22"/>
      <c r="AH13" s="22"/>
      <c r="AI13" s="783"/>
      <c r="AJ13" s="797"/>
      <c r="AK13" s="22"/>
      <c r="AL13" s="22"/>
      <c r="AM13" s="783"/>
      <c r="AN13" s="797"/>
      <c r="AO13" s="22"/>
      <c r="AP13" s="22"/>
      <c r="AQ13" s="783"/>
      <c r="AR13" s="881"/>
      <c r="AS13" s="22"/>
      <c r="AT13" s="22"/>
      <c r="AU13" s="783"/>
      <c r="AV13" s="881"/>
      <c r="AW13" s="886"/>
      <c r="AX13" s="1000"/>
      <c r="AY13" s="1001"/>
      <c r="AZ13" s="1001"/>
      <c r="BA13" s="1001"/>
      <c r="BB13" s="1001"/>
      <c r="BC13" s="1001"/>
      <c r="BD13" s="1001"/>
      <c r="BE13" s="1001"/>
      <c r="BF13" s="1001"/>
      <c r="BG13" s="1001"/>
      <c r="BH13" s="1001"/>
      <c r="BI13" s="1001"/>
      <c r="BJ13" s="1001">
        <f>+'MXD P&amp;L'!N140</f>
        <v>3987.68</v>
      </c>
      <c r="BK13" s="1001">
        <f>+'MXD P&amp;L'!O140</f>
        <v>465.23</v>
      </c>
      <c r="BL13" s="1001">
        <f>+'MXD P&amp;L'!P140</f>
        <v>-2791.38</v>
      </c>
      <c r="BM13" s="1001">
        <f>+'MXD P&amp;L'!Q140</f>
        <v>0</v>
      </c>
      <c r="BN13" s="1001">
        <f>+'MXD P&amp;L'!R140</f>
        <v>0</v>
      </c>
      <c r="BO13" s="1001">
        <f>+'MXD P&amp;L'!S140</f>
        <v>0</v>
      </c>
      <c r="BP13" s="1001">
        <f>+'MXD P&amp;L'!T140</f>
        <v>0</v>
      </c>
      <c r="BQ13" s="1001">
        <f>+'MXD P&amp;L'!U138</f>
        <v>937.2</v>
      </c>
      <c r="BR13" s="1001">
        <f>+'MXD P&amp;L'!V138</f>
        <v>1246.0999999999999</v>
      </c>
      <c r="BS13" s="1001">
        <f>+'MXD P&amp;L'!W138</f>
        <v>1246.2</v>
      </c>
      <c r="BT13" s="1001">
        <f>+'MXD P&amp;L'!X138</f>
        <v>0</v>
      </c>
      <c r="BU13" s="1001">
        <f>+'MXD P&amp;L'!Y139</f>
        <v>0</v>
      </c>
      <c r="BV13" s="1003">
        <f t="shared" si="2"/>
        <v>5091.03</v>
      </c>
      <c r="BW13" s="1002"/>
      <c r="BX13" s="1004"/>
    </row>
    <row r="14" spans="1:79" ht="15.6" x14ac:dyDescent="0.3">
      <c r="B14" s="982" t="s">
        <v>779</v>
      </c>
      <c r="C14" s="783"/>
      <c r="D14" s="797"/>
      <c r="E14" s="610"/>
      <c r="F14" s="610"/>
      <c r="G14" s="783"/>
      <c r="H14" s="797"/>
      <c r="I14" s="22"/>
      <c r="J14" s="22"/>
      <c r="K14" s="783"/>
      <c r="L14" s="797"/>
      <c r="M14" s="22"/>
      <c r="N14" s="22"/>
      <c r="O14" s="783"/>
      <c r="P14" s="797"/>
      <c r="Q14" s="22"/>
      <c r="R14" s="22"/>
      <c r="S14" s="783"/>
      <c r="T14" s="797"/>
      <c r="U14" s="22"/>
      <c r="V14" s="22"/>
      <c r="W14" s="783"/>
      <c r="X14" s="797"/>
      <c r="Y14" s="22"/>
      <c r="Z14" s="22"/>
      <c r="AA14" s="783"/>
      <c r="AB14" s="797"/>
      <c r="AC14" s="22"/>
      <c r="AD14" s="22"/>
      <c r="AE14" s="783"/>
      <c r="AF14" s="797"/>
      <c r="AG14" s="22"/>
      <c r="AH14" s="22"/>
      <c r="AI14" s="783"/>
      <c r="AJ14" s="797"/>
      <c r="AK14" s="22"/>
      <c r="AL14" s="22"/>
      <c r="AM14" s="783"/>
      <c r="AN14" s="797"/>
      <c r="AO14" s="22"/>
      <c r="AP14" s="22"/>
      <c r="AQ14" s="783"/>
      <c r="AR14" s="881"/>
      <c r="AS14" s="22"/>
      <c r="AT14" s="22"/>
      <c r="AU14" s="783"/>
      <c r="AV14" s="881"/>
      <c r="AW14" s="886"/>
      <c r="AX14" s="1000"/>
      <c r="AY14" s="1001"/>
      <c r="AZ14" s="1001"/>
      <c r="BA14" s="1001"/>
      <c r="BB14" s="1001"/>
      <c r="BC14" s="1001"/>
      <c r="BD14" s="1001"/>
      <c r="BE14" s="1001"/>
      <c r="BF14" s="1001"/>
      <c r="BG14" s="1001"/>
      <c r="BH14" s="1001"/>
      <c r="BI14" s="1001"/>
      <c r="BJ14" s="1001">
        <f>'MXD P&amp;L'!N141</f>
        <v>379.23</v>
      </c>
      <c r="BK14" s="1001">
        <f>'MXD P&amp;L'!O141</f>
        <v>35.83</v>
      </c>
      <c r="BL14" s="1001">
        <f>'MXD P&amp;L'!P141</f>
        <v>-214.94</v>
      </c>
      <c r="BM14" s="1001">
        <f>'MXD P&amp;L'!Q141</f>
        <v>0</v>
      </c>
      <c r="BN14" s="1001">
        <f>'MXD P&amp;L'!R141</f>
        <v>0</v>
      </c>
      <c r="BO14" s="1001">
        <f>'MXD P&amp;L'!S141</f>
        <v>0</v>
      </c>
      <c r="BP14" s="1001">
        <f>'MXD P&amp;L'!T141</f>
        <v>0</v>
      </c>
      <c r="BQ14" s="1001">
        <f>'MXD P&amp;L'!U139</f>
        <v>897.92</v>
      </c>
      <c r="BR14" s="1001">
        <f>'MXD P&amp;L'!V139</f>
        <v>56.88</v>
      </c>
      <c r="BS14" s="1001">
        <f>'MXD P&amp;L'!W139</f>
        <v>0</v>
      </c>
      <c r="BT14" s="1001">
        <f>'MXD P&amp;L'!X139</f>
        <v>0</v>
      </c>
      <c r="BU14" s="1001">
        <f>'MXD P&amp;L'!Y140</f>
        <v>0</v>
      </c>
      <c r="BV14" s="1003">
        <f t="shared" si="2"/>
        <v>1154.92</v>
      </c>
      <c r="BW14" s="1002"/>
      <c r="BX14" s="1004"/>
    </row>
    <row r="15" spans="1:79" ht="15.6" x14ac:dyDescent="0.3">
      <c r="B15" s="982" t="s">
        <v>780</v>
      </c>
      <c r="C15" s="783"/>
      <c r="D15" s="797"/>
      <c r="E15" s="610"/>
      <c r="F15" s="610"/>
      <c r="G15" s="783"/>
      <c r="H15" s="797"/>
      <c r="I15" s="22"/>
      <c r="J15" s="22"/>
      <c r="K15" s="783"/>
      <c r="L15" s="797"/>
      <c r="M15" s="22"/>
      <c r="N15" s="22"/>
      <c r="O15" s="783"/>
      <c r="P15" s="797"/>
      <c r="Q15" s="22"/>
      <c r="R15" s="22"/>
      <c r="S15" s="783"/>
      <c r="T15" s="797"/>
      <c r="U15" s="22"/>
      <c r="V15" s="22"/>
      <c r="W15" s="783"/>
      <c r="X15" s="797"/>
      <c r="Y15" s="22"/>
      <c r="Z15" s="22"/>
      <c r="AA15" s="783"/>
      <c r="AB15" s="797"/>
      <c r="AC15" s="22"/>
      <c r="AD15" s="22"/>
      <c r="AE15" s="783"/>
      <c r="AF15" s="797"/>
      <c r="AG15" s="22"/>
      <c r="AH15" s="22"/>
      <c r="AI15" s="783"/>
      <c r="AJ15" s="797"/>
      <c r="AK15" s="22"/>
      <c r="AL15" s="22"/>
      <c r="AM15" s="783"/>
      <c r="AN15" s="797"/>
      <c r="AO15" s="22"/>
      <c r="AP15" s="22"/>
      <c r="AQ15" s="783"/>
      <c r="AR15" s="881"/>
      <c r="AS15" s="22"/>
      <c r="AT15" s="22"/>
      <c r="AU15" s="783"/>
      <c r="AV15" s="881"/>
      <c r="AW15" s="886"/>
      <c r="AX15" s="1000"/>
      <c r="AY15" s="1001"/>
      <c r="AZ15" s="1001"/>
      <c r="BA15" s="1001"/>
      <c r="BB15" s="1001"/>
      <c r="BC15" s="1001"/>
      <c r="BD15" s="1001"/>
      <c r="BE15" s="1001"/>
      <c r="BF15" s="1001"/>
      <c r="BG15" s="1001"/>
      <c r="BH15" s="1001"/>
      <c r="BI15" s="1001"/>
      <c r="BJ15" s="1001">
        <f>'MXD P&amp;L'!N142</f>
        <v>282.3</v>
      </c>
      <c r="BK15" s="1001">
        <f>'MXD P&amp;L'!O142</f>
        <v>312.39999999999998</v>
      </c>
      <c r="BL15" s="1001">
        <f>'MXD P&amp;L'!P142</f>
        <v>0</v>
      </c>
      <c r="BM15" s="1001">
        <f>'MXD P&amp;L'!Q142</f>
        <v>0</v>
      </c>
      <c r="BN15" s="1001">
        <f>'MXD P&amp;L'!R142</f>
        <v>0</v>
      </c>
      <c r="BO15" s="1001">
        <f>'MXD P&amp;L'!S142</f>
        <v>0</v>
      </c>
      <c r="BP15" s="1001">
        <f>'MXD P&amp;L'!T142</f>
        <v>0</v>
      </c>
      <c r="BQ15" s="1001">
        <f>'MXD P&amp;L'!U140</f>
        <v>0</v>
      </c>
      <c r="BR15" s="1001">
        <f>'MXD P&amp;L'!V140</f>
        <v>0</v>
      </c>
      <c r="BS15" s="1001">
        <f>'MXD P&amp;L'!W140</f>
        <v>0</v>
      </c>
      <c r="BT15" s="1001">
        <f>'MXD P&amp;L'!X140</f>
        <v>0</v>
      </c>
      <c r="BU15" s="1001">
        <f>'MXD P&amp;L'!Y141</f>
        <v>0</v>
      </c>
      <c r="BV15" s="1003">
        <f t="shared" si="2"/>
        <v>594.70000000000005</v>
      </c>
      <c r="BW15" s="1002"/>
      <c r="BX15" s="1004"/>
    </row>
    <row r="16" spans="1:79" ht="15.6" x14ac:dyDescent="0.3">
      <c r="B16" s="982" t="s">
        <v>781</v>
      </c>
      <c r="C16" s="783"/>
      <c r="D16" s="797"/>
      <c r="E16" s="610"/>
      <c r="F16" s="610"/>
      <c r="G16" s="783"/>
      <c r="H16" s="797"/>
      <c r="I16" s="22"/>
      <c r="J16" s="22"/>
      <c r="K16" s="783"/>
      <c r="L16" s="797"/>
      <c r="M16" s="22"/>
      <c r="N16" s="22"/>
      <c r="O16" s="783"/>
      <c r="P16" s="797"/>
      <c r="Q16" s="22"/>
      <c r="R16" s="22"/>
      <c r="S16" s="783"/>
      <c r="T16" s="797"/>
      <c r="U16" s="22"/>
      <c r="V16" s="22"/>
      <c r="W16" s="783"/>
      <c r="X16" s="797"/>
      <c r="Y16" s="22"/>
      <c r="Z16" s="22"/>
      <c r="AA16" s="783"/>
      <c r="AB16" s="797"/>
      <c r="AC16" s="22"/>
      <c r="AD16" s="22"/>
      <c r="AE16" s="783"/>
      <c r="AF16" s="797"/>
      <c r="AG16" s="22"/>
      <c r="AH16" s="22"/>
      <c r="AI16" s="783"/>
      <c r="AJ16" s="797"/>
      <c r="AK16" s="22"/>
      <c r="AL16" s="22"/>
      <c r="AM16" s="783"/>
      <c r="AN16" s="797"/>
      <c r="AO16" s="22"/>
      <c r="AP16" s="22"/>
      <c r="AQ16" s="783"/>
      <c r="AR16" s="881"/>
      <c r="AS16" s="22"/>
      <c r="AT16" s="22"/>
      <c r="AU16" s="783"/>
      <c r="AV16" s="881"/>
      <c r="AW16" s="886"/>
      <c r="AX16" s="1001">
        <f>'MXD P&amp;L'!B143</f>
        <v>1250</v>
      </c>
      <c r="AY16" s="1001">
        <f>'MXD P&amp;L'!C143</f>
        <v>0</v>
      </c>
      <c r="AZ16" s="1001">
        <f>'MXD P&amp;L'!D143</f>
        <v>0</v>
      </c>
      <c r="BA16" s="1001">
        <f>'MXD P&amp;L'!E143</f>
        <v>0</v>
      </c>
      <c r="BB16" s="1001">
        <f>'MXD P&amp;L'!F143</f>
        <v>1250</v>
      </c>
      <c r="BC16" s="1001">
        <f>'MXD P&amp;L'!G143</f>
        <v>0</v>
      </c>
      <c r="BD16" s="1001">
        <f>'MXD P&amp;L'!H143</f>
        <v>1250</v>
      </c>
      <c r="BE16" s="1001">
        <f>'MXD P&amp;L'!I143</f>
        <v>0</v>
      </c>
      <c r="BF16" s="1001">
        <f>'MXD P&amp;L'!J143</f>
        <v>0</v>
      </c>
      <c r="BG16" s="1001">
        <f>'MXD P&amp;L'!K143</f>
        <v>1250</v>
      </c>
      <c r="BH16" s="1001">
        <f>'MXD P&amp;L'!L143</f>
        <v>0</v>
      </c>
      <c r="BI16" s="1001">
        <f>'MXD P&amp;L'!M143</f>
        <v>1748.41</v>
      </c>
      <c r="BJ16" s="1001">
        <f>'MXD P&amp;L'!N143</f>
        <v>0</v>
      </c>
      <c r="BK16" s="1001">
        <f>'MXD P&amp;L'!O143</f>
        <v>0</v>
      </c>
      <c r="BL16" s="1001">
        <f>'MXD P&amp;L'!P143</f>
        <v>0</v>
      </c>
      <c r="BM16" s="1001">
        <f>'MXD P&amp;L'!Q143</f>
        <v>0</v>
      </c>
      <c r="BN16" s="1001">
        <f>'MXD P&amp;L'!R143</f>
        <v>0</v>
      </c>
      <c r="BO16" s="1001">
        <f>'MXD P&amp;L'!S143</f>
        <v>0</v>
      </c>
      <c r="BP16" s="1001">
        <f>'MXD P&amp;L'!T143</f>
        <v>0</v>
      </c>
      <c r="BQ16" s="1001">
        <f>'MXD P&amp;L'!U141</f>
        <v>0</v>
      </c>
      <c r="BR16" s="1001">
        <f>'MXD P&amp;L'!V141</f>
        <v>0</v>
      </c>
      <c r="BS16" s="1001">
        <f>'MXD P&amp;L'!W141</f>
        <v>0</v>
      </c>
      <c r="BT16" s="1001">
        <f>'MXD P&amp;L'!X141</f>
        <v>0</v>
      </c>
      <c r="BU16" s="1001">
        <f>'MXD P&amp;L'!Y142</f>
        <v>0</v>
      </c>
      <c r="BV16" s="1003">
        <f t="shared" si="2"/>
        <v>0</v>
      </c>
      <c r="BW16" s="1002"/>
      <c r="BX16" s="1004"/>
    </row>
    <row r="17" spans="1:79" ht="15.6" x14ac:dyDescent="0.3">
      <c r="B17" s="20" t="s">
        <v>905</v>
      </c>
      <c r="C17" s="785">
        <v>6557.3545000000004</v>
      </c>
      <c r="D17" s="786">
        <v>6199.47</v>
      </c>
      <c r="E17" s="612">
        <v>0</v>
      </c>
      <c r="F17" s="612">
        <v>0</v>
      </c>
      <c r="G17" s="785">
        <v>6557.3545000000004</v>
      </c>
      <c r="H17" s="786">
        <v>6066.880000000001</v>
      </c>
      <c r="I17" s="21">
        <v>0</v>
      </c>
      <c r="J17" s="21">
        <v>0</v>
      </c>
      <c r="K17" s="785">
        <v>7994.8545000000004</v>
      </c>
      <c r="L17" s="786">
        <v>6926.5199999999995</v>
      </c>
      <c r="M17" s="21">
        <v>0</v>
      </c>
      <c r="N17" s="21">
        <v>0</v>
      </c>
      <c r="O17" s="785">
        <v>6557.3545000000004</v>
      </c>
      <c r="P17" s="786">
        <v>6663.66</v>
      </c>
      <c r="Q17" s="21">
        <v>0</v>
      </c>
      <c r="R17" s="21">
        <v>0</v>
      </c>
      <c r="S17" s="785">
        <v>6557.3545000000004</v>
      </c>
      <c r="T17" s="786">
        <v>6545.9500000000007</v>
      </c>
      <c r="U17" s="21">
        <v>0</v>
      </c>
      <c r="V17" s="21">
        <v>0</v>
      </c>
      <c r="W17" s="785">
        <v>278.13</v>
      </c>
      <c r="X17" s="786">
        <v>6637.2800000000016</v>
      </c>
      <c r="Y17" s="21">
        <v>0</v>
      </c>
      <c r="Z17" s="21">
        <v>0</v>
      </c>
      <c r="AA17" s="785">
        <v>6557.3545000000004</v>
      </c>
      <c r="AB17" s="786">
        <v>6632.6700000000019</v>
      </c>
      <c r="AC17" s="21">
        <v>0</v>
      </c>
      <c r="AD17" s="21">
        <v>0</v>
      </c>
      <c r="AE17" s="785">
        <v>6557.3545000000004</v>
      </c>
      <c r="AF17" s="786">
        <v>6637.2999999999993</v>
      </c>
      <c r="AG17" s="21">
        <v>0</v>
      </c>
      <c r="AH17" s="21">
        <v>0</v>
      </c>
      <c r="AI17" s="785">
        <v>7494.8545000000004</v>
      </c>
      <c r="AJ17" s="786">
        <v>7887.2800000000043</v>
      </c>
      <c r="AK17" s="21">
        <v>0</v>
      </c>
      <c r="AL17" s="21">
        <v>0</v>
      </c>
      <c r="AM17" s="785">
        <v>6557.3545000000004</v>
      </c>
      <c r="AN17" s="786">
        <v>6442.9499999999916</v>
      </c>
      <c r="AO17" s="21">
        <v>0</v>
      </c>
      <c r="AP17" s="21">
        <v>0</v>
      </c>
      <c r="AQ17" s="785">
        <v>6557.3545000000004</v>
      </c>
      <c r="AR17" s="786">
        <v>7937.2800000000025</v>
      </c>
      <c r="AS17" s="21">
        <v>0</v>
      </c>
      <c r="AT17" s="21">
        <v>0</v>
      </c>
      <c r="AU17" s="785">
        <v>7494.8545000000004</v>
      </c>
      <c r="AV17" s="786">
        <v>8843.1700000000019</v>
      </c>
      <c r="AW17" s="612"/>
      <c r="AX17" s="1012">
        <f t="shared" ref="AX17:BI17" si="3">SUM(AX6:AX16)</f>
        <v>9891.2100000000009</v>
      </c>
      <c r="AY17" s="1013">
        <f t="shared" si="3"/>
        <v>7536.46</v>
      </c>
      <c r="AZ17" s="1013">
        <f t="shared" si="3"/>
        <v>8522.59</v>
      </c>
      <c r="BA17" s="1013">
        <f t="shared" si="3"/>
        <v>7101.06</v>
      </c>
      <c r="BB17" s="1013">
        <f t="shared" si="3"/>
        <v>13727.72</v>
      </c>
      <c r="BC17" s="1013">
        <f t="shared" si="3"/>
        <v>17518.490000000002</v>
      </c>
      <c r="BD17" s="1013">
        <f t="shared" si="3"/>
        <v>1425.9799999999996</v>
      </c>
      <c r="BE17" s="1013">
        <f t="shared" si="3"/>
        <v>7910.83</v>
      </c>
      <c r="BF17" s="1013">
        <f t="shared" si="3"/>
        <v>8452.65</v>
      </c>
      <c r="BG17" s="1013">
        <f t="shared" si="3"/>
        <v>14216.36</v>
      </c>
      <c r="BH17" s="1013">
        <f t="shared" si="3"/>
        <v>11969.55</v>
      </c>
      <c r="BI17" s="1013">
        <f t="shared" si="3"/>
        <v>13301.8</v>
      </c>
      <c r="BJ17" s="1013">
        <f>SUM(BJ6:BJ16)</f>
        <v>12468.89</v>
      </c>
      <c r="BK17" s="1013">
        <f t="shared" ref="BK17:BX17" si="4">SUM(BK6:BK16)</f>
        <v>5301.23</v>
      </c>
      <c r="BL17" s="1013">
        <f t="shared" si="4"/>
        <v>18259.02</v>
      </c>
      <c r="BM17" s="1013">
        <f t="shared" si="4"/>
        <v>9796.9799999999977</v>
      </c>
      <c r="BN17" s="1013">
        <f t="shared" si="4"/>
        <v>32499.919999999998</v>
      </c>
      <c r="BO17" s="1013">
        <f t="shared" si="4"/>
        <v>29287.23</v>
      </c>
      <c r="BP17" s="1013">
        <f t="shared" si="4"/>
        <v>-5085.43</v>
      </c>
      <c r="BQ17" s="1013">
        <f t="shared" si="4"/>
        <v>34871.429999999993</v>
      </c>
      <c r="BR17" s="1013">
        <f t="shared" si="4"/>
        <v>-11651.560000000001</v>
      </c>
      <c r="BS17" s="1013">
        <f t="shared" si="4"/>
        <v>33335.79</v>
      </c>
      <c r="BT17" s="1013">
        <f t="shared" si="4"/>
        <v>0</v>
      </c>
      <c r="BU17" s="1013">
        <f t="shared" si="4"/>
        <v>0</v>
      </c>
      <c r="BV17" s="1013">
        <f t="shared" si="4"/>
        <v>159083.5</v>
      </c>
      <c r="BW17" s="1013">
        <f t="shared" si="4"/>
        <v>37319.170000000006</v>
      </c>
      <c r="BX17" s="1013">
        <f t="shared" si="4"/>
        <v>31801.32</v>
      </c>
    </row>
    <row r="18" spans="1:79" s="331" customFormat="1" ht="15.6" x14ac:dyDescent="0.3">
      <c r="A18"/>
      <c r="B18"/>
      <c r="C18" s="759"/>
      <c r="D18" s="764"/>
      <c r="E18"/>
      <c r="F18"/>
      <c r="G18" s="759"/>
      <c r="H18" s="764"/>
      <c r="I18"/>
      <c r="J18"/>
      <c r="K18" s="759"/>
      <c r="L18" s="764"/>
      <c r="M18"/>
      <c r="N18"/>
      <c r="O18" s="759"/>
      <c r="P18" s="764"/>
      <c r="Q18"/>
      <c r="R18"/>
      <c r="S18" s="759"/>
      <c r="T18" s="764"/>
      <c r="U18"/>
      <c r="V18"/>
      <c r="W18" s="759"/>
      <c r="X18" s="764"/>
      <c r="Y18"/>
      <c r="Z18"/>
      <c r="AA18" s="759"/>
      <c r="AB18" s="764"/>
      <c r="AC18"/>
      <c r="AD18"/>
      <c r="AE18" s="759"/>
      <c r="AF18" s="764"/>
      <c r="AG18"/>
      <c r="AH18"/>
      <c r="AI18" s="759"/>
      <c r="AJ18" s="764"/>
      <c r="AK18"/>
      <c r="AL18"/>
      <c r="AM18" s="759"/>
      <c r="AN18" s="764"/>
      <c r="AO18"/>
      <c r="AP18"/>
      <c r="AQ18" s="759"/>
      <c r="AR18" s="764"/>
      <c r="AS18"/>
      <c r="AT18"/>
      <c r="AU18" s="759"/>
      <c r="AV18" s="764"/>
      <c r="AW18"/>
      <c r="AX18" s="1009"/>
      <c r="AY18" s="1004"/>
      <c r="AZ18" s="1004"/>
      <c r="BA18" s="1004"/>
      <c r="BB18" s="1004"/>
      <c r="BC18" s="1004"/>
      <c r="BD18" s="1004"/>
      <c r="BE18" s="1004"/>
      <c r="BF18" s="1004"/>
      <c r="BG18" s="1004"/>
      <c r="BH18" s="1004"/>
      <c r="BI18" s="1004"/>
      <c r="BJ18" s="1004"/>
      <c r="BK18" s="1004"/>
      <c r="BL18" s="1004"/>
      <c r="BM18" s="1004"/>
      <c r="BN18" s="1004"/>
      <c r="BO18" s="1004"/>
      <c r="BP18" s="1004"/>
      <c r="BQ18" s="1004"/>
      <c r="BR18" s="1004"/>
      <c r="BS18" s="1004"/>
      <c r="BT18" s="1004"/>
      <c r="BU18" s="1004"/>
      <c r="BV18" s="1004"/>
      <c r="BW18" s="1004"/>
      <c r="BX18" s="1004"/>
      <c r="BY18"/>
      <c r="BZ18"/>
      <c r="CA18"/>
    </row>
    <row r="19" spans="1:79" ht="15.6" x14ac:dyDescent="0.3">
      <c r="B19" s="20" t="s">
        <v>903</v>
      </c>
      <c r="C19" s="781"/>
      <c r="D19" s="782"/>
      <c r="E19" s="609"/>
      <c r="F19" s="609"/>
      <c r="G19" s="781"/>
      <c r="H19" s="782"/>
      <c r="I19" s="19"/>
      <c r="J19" s="19"/>
      <c r="K19" s="781"/>
      <c r="L19" s="782"/>
      <c r="M19" s="19"/>
      <c r="N19" s="19"/>
      <c r="O19" s="781"/>
      <c r="P19" s="782"/>
      <c r="Q19" s="19"/>
      <c r="R19" s="19"/>
      <c r="S19" s="781"/>
      <c r="T19" s="782"/>
      <c r="U19" s="19"/>
      <c r="V19" s="19"/>
      <c r="W19" s="781"/>
      <c r="X19" s="782"/>
      <c r="Y19" s="19"/>
      <c r="Z19" s="19"/>
      <c r="AA19" s="781"/>
      <c r="AB19" s="782"/>
      <c r="AC19" s="19"/>
      <c r="AD19" s="19"/>
      <c r="AE19" s="781"/>
      <c r="AF19" s="782"/>
      <c r="AG19" s="19"/>
      <c r="AH19" s="19"/>
      <c r="AI19" s="781"/>
      <c r="AJ19" s="782"/>
      <c r="AK19" s="19"/>
      <c r="AL19" s="19"/>
      <c r="AM19" s="781"/>
      <c r="AN19" s="782"/>
      <c r="AO19" s="19"/>
      <c r="AP19" s="19"/>
      <c r="AQ19" s="781"/>
      <c r="AR19" s="782"/>
      <c r="AS19" s="19"/>
      <c r="AT19" s="19"/>
      <c r="AU19" s="781"/>
      <c r="AV19" s="782"/>
      <c r="AW19" s="609"/>
      <c r="AX19" s="1010"/>
      <c r="AY19" s="1011"/>
      <c r="AZ19" s="1011"/>
      <c r="BA19" s="1011"/>
      <c r="BB19" s="1011"/>
      <c r="BC19" s="1011"/>
      <c r="BD19" s="1011"/>
      <c r="BE19" s="1011"/>
      <c r="BF19" s="1011"/>
      <c r="BG19" s="1011"/>
      <c r="BH19" s="1011"/>
      <c r="BI19" s="1011"/>
      <c r="BJ19" s="1011"/>
      <c r="BK19" s="1011"/>
      <c r="BL19" s="1011"/>
      <c r="BM19" s="1011"/>
      <c r="BN19" s="1011"/>
      <c r="BO19" s="1011"/>
      <c r="BP19" s="1011"/>
      <c r="BQ19" s="1011"/>
      <c r="BR19" s="1011"/>
      <c r="BS19" s="1011"/>
      <c r="BT19" s="1011"/>
      <c r="BU19" s="1011"/>
      <c r="BV19" s="1011"/>
      <c r="BW19" s="1011"/>
      <c r="BX19" s="1011"/>
    </row>
    <row r="20" spans="1:79" s="331" customFormat="1" ht="15.6" x14ac:dyDescent="0.3">
      <c r="B20" t="s">
        <v>131</v>
      </c>
      <c r="C20" s="783">
        <v>3334</v>
      </c>
      <c r="D20" s="797">
        <v>3912.49</v>
      </c>
      <c r="E20" s="610"/>
      <c r="F20" s="610"/>
      <c r="G20" s="783">
        <v>3334</v>
      </c>
      <c r="H20" s="797"/>
      <c r="I20" s="22"/>
      <c r="J20" s="22"/>
      <c r="K20" s="783">
        <v>3334</v>
      </c>
      <c r="L20" s="797"/>
      <c r="M20" s="22"/>
      <c r="N20" s="22"/>
      <c r="O20" s="783">
        <v>3334</v>
      </c>
      <c r="P20" s="797"/>
      <c r="Q20" s="22"/>
      <c r="R20" s="22"/>
      <c r="S20" s="783">
        <v>3334</v>
      </c>
      <c r="T20" s="797"/>
      <c r="U20" s="26"/>
      <c r="V20" s="26"/>
      <c r="W20" s="783">
        <v>3334</v>
      </c>
      <c r="X20" s="797"/>
      <c r="Y20" s="26"/>
      <c r="Z20" s="26"/>
      <c r="AA20" s="783">
        <v>3334</v>
      </c>
      <c r="AB20" s="797"/>
      <c r="AC20" s="26"/>
      <c r="AD20" s="26"/>
      <c r="AE20" s="783">
        <v>3334</v>
      </c>
      <c r="AF20" s="797"/>
      <c r="AG20" s="26"/>
      <c r="AH20" s="26"/>
      <c r="AI20" s="787">
        <v>3334</v>
      </c>
      <c r="AJ20" s="797"/>
      <c r="AK20" s="26"/>
      <c r="AL20" s="26"/>
      <c r="AM20" s="787"/>
      <c r="AN20" s="797"/>
      <c r="AO20" s="26"/>
      <c r="AP20" s="26"/>
      <c r="AQ20" s="787"/>
      <c r="AR20" s="797"/>
      <c r="AS20" s="26"/>
      <c r="AT20" s="26"/>
      <c r="AU20" s="787"/>
      <c r="AV20" s="797"/>
      <c r="AW20" s="886"/>
      <c r="AX20" s="1014">
        <v>0</v>
      </c>
      <c r="AY20" s="1015">
        <v>0</v>
      </c>
      <c r="AZ20" s="1015">
        <v>0</v>
      </c>
      <c r="BA20" s="1015">
        <v>0</v>
      </c>
      <c r="BB20" s="1015">
        <v>0</v>
      </c>
      <c r="BC20" s="1015">
        <v>0</v>
      </c>
      <c r="BD20" s="1015">
        <v>0</v>
      </c>
      <c r="BE20" s="1015">
        <v>0</v>
      </c>
      <c r="BF20" s="1015">
        <v>0</v>
      </c>
      <c r="BG20" s="1015">
        <v>0</v>
      </c>
      <c r="BH20" s="1015">
        <v>0</v>
      </c>
      <c r="BI20" s="1015">
        <v>0</v>
      </c>
      <c r="BJ20" s="1015">
        <v>0</v>
      </c>
      <c r="BK20" s="1015">
        <v>0</v>
      </c>
      <c r="BL20" s="1015">
        <v>0</v>
      </c>
      <c r="BM20" s="1015">
        <v>0</v>
      </c>
      <c r="BN20" s="1015">
        <v>0</v>
      </c>
      <c r="BO20" s="1015">
        <v>0</v>
      </c>
      <c r="BP20" s="1015">
        <v>0</v>
      </c>
      <c r="BQ20" s="1015">
        <v>0</v>
      </c>
      <c r="BR20" s="1015">
        <v>0</v>
      </c>
      <c r="BS20" s="1015">
        <v>0</v>
      </c>
      <c r="BT20" s="1015">
        <v>0</v>
      </c>
      <c r="BU20" s="1015">
        <v>0</v>
      </c>
      <c r="BV20" s="1003">
        <f t="shared" ref="BV20:BV30" si="5">SUM(BJ20:BU20)</f>
        <v>0</v>
      </c>
      <c r="BW20" s="1002">
        <v>5331.31</v>
      </c>
      <c r="BX20" s="1004">
        <f t="shared" ref="BX20:BX29" si="6">SUM(AX20:BA20)</f>
        <v>0</v>
      </c>
      <c r="BY20"/>
    </row>
    <row r="21" spans="1:79" ht="15.6" x14ac:dyDescent="0.3">
      <c r="B21" t="s">
        <v>132</v>
      </c>
      <c r="C21" s="783">
        <v>3334</v>
      </c>
      <c r="D21" s="797">
        <v>3862.5</v>
      </c>
      <c r="E21" s="610"/>
      <c r="F21" s="610"/>
      <c r="G21" s="783">
        <v>3334</v>
      </c>
      <c r="H21" s="797"/>
      <c r="I21" s="22"/>
      <c r="J21" s="22"/>
      <c r="K21" s="783">
        <v>3334</v>
      </c>
      <c r="L21" s="797"/>
      <c r="M21" s="22"/>
      <c r="N21" s="22"/>
      <c r="O21" s="783">
        <v>3334</v>
      </c>
      <c r="P21" s="797"/>
      <c r="Q21" s="22"/>
      <c r="R21" s="22"/>
      <c r="S21" s="783">
        <v>3334</v>
      </c>
      <c r="T21" s="797"/>
      <c r="U21" s="22"/>
      <c r="V21" s="22"/>
      <c r="W21" s="783">
        <v>3334</v>
      </c>
      <c r="X21" s="797"/>
      <c r="Y21" s="22"/>
      <c r="Z21" s="22"/>
      <c r="AA21" s="783">
        <v>3334</v>
      </c>
      <c r="AB21" s="797"/>
      <c r="AC21" s="22"/>
      <c r="AD21" s="22"/>
      <c r="AE21" s="783">
        <v>3334</v>
      </c>
      <c r="AF21" s="797"/>
      <c r="AG21" s="22"/>
      <c r="AH21" s="22"/>
      <c r="AI21" s="783">
        <v>3334</v>
      </c>
      <c r="AJ21" s="797"/>
      <c r="AK21" s="22"/>
      <c r="AL21" s="22"/>
      <c r="AM21" s="783"/>
      <c r="AN21" s="797"/>
      <c r="AO21" s="22"/>
      <c r="AP21" s="22"/>
      <c r="AQ21" s="783"/>
      <c r="AR21" s="797"/>
      <c r="AS21" s="22"/>
      <c r="AT21" s="22"/>
      <c r="AU21" s="783"/>
      <c r="AV21" s="797"/>
      <c r="AW21" s="886"/>
      <c r="AX21" s="1016">
        <v>0</v>
      </c>
      <c r="AY21" s="1017">
        <v>0</v>
      </c>
      <c r="AZ21" s="1017">
        <v>0</v>
      </c>
      <c r="BA21" s="1017">
        <v>0</v>
      </c>
      <c r="BB21" s="1017">
        <v>0</v>
      </c>
      <c r="BC21" s="1017">
        <v>0</v>
      </c>
      <c r="BD21" s="1017">
        <v>0</v>
      </c>
      <c r="BE21" s="1017">
        <v>0</v>
      </c>
      <c r="BF21" s="1017">
        <v>0</v>
      </c>
      <c r="BG21" s="1017">
        <v>0</v>
      </c>
      <c r="BH21" s="1017">
        <v>0</v>
      </c>
      <c r="BI21" s="1017">
        <v>0</v>
      </c>
      <c r="BJ21" s="1017">
        <v>0</v>
      </c>
      <c r="BK21" s="1017">
        <v>0</v>
      </c>
      <c r="BL21" s="1017">
        <v>0</v>
      </c>
      <c r="BM21" s="1017">
        <v>0</v>
      </c>
      <c r="BN21" s="1017">
        <v>0</v>
      </c>
      <c r="BO21" s="1017">
        <v>0</v>
      </c>
      <c r="BP21" s="1017">
        <v>0</v>
      </c>
      <c r="BQ21" s="1017">
        <v>0</v>
      </c>
      <c r="BR21" s="1017">
        <v>0</v>
      </c>
      <c r="BS21" s="1017">
        <v>0</v>
      </c>
      <c r="BT21" s="1017">
        <v>0</v>
      </c>
      <c r="BU21" s="1017">
        <v>0</v>
      </c>
      <c r="BV21" s="1003">
        <f t="shared" si="5"/>
        <v>0</v>
      </c>
      <c r="BW21" s="1002">
        <v>5331.31</v>
      </c>
      <c r="BX21" s="1004">
        <f t="shared" si="6"/>
        <v>0</v>
      </c>
    </row>
    <row r="22" spans="1:79" ht="15.6" x14ac:dyDescent="0.3">
      <c r="B22" t="s">
        <v>133</v>
      </c>
      <c r="C22" s="783">
        <v>0</v>
      </c>
      <c r="D22" s="797">
        <v>0</v>
      </c>
      <c r="E22" s="610"/>
      <c r="F22" s="610"/>
      <c r="G22" s="783">
        <v>0</v>
      </c>
      <c r="H22" s="797"/>
      <c r="I22" s="22"/>
      <c r="J22" s="22"/>
      <c r="K22" s="783">
        <v>0</v>
      </c>
      <c r="L22" s="797"/>
      <c r="M22" s="22"/>
      <c r="N22" s="22"/>
      <c r="O22" s="783">
        <v>0</v>
      </c>
      <c r="P22" s="797"/>
      <c r="Q22" s="22"/>
      <c r="R22" s="22"/>
      <c r="S22" s="783"/>
      <c r="T22" s="797"/>
      <c r="U22" s="22"/>
      <c r="V22" s="22"/>
      <c r="W22" s="783"/>
      <c r="X22" s="797"/>
      <c r="Y22" s="22"/>
      <c r="Z22" s="22"/>
      <c r="AA22" s="783"/>
      <c r="AB22" s="797"/>
      <c r="AC22" s="22"/>
      <c r="AD22" s="22"/>
      <c r="AE22" s="783"/>
      <c r="AF22" s="797"/>
      <c r="AG22" s="22"/>
      <c r="AH22" s="22"/>
      <c r="AI22" s="783"/>
      <c r="AJ22" s="797"/>
      <c r="AK22" s="22"/>
      <c r="AL22" s="22"/>
      <c r="AM22" s="783"/>
      <c r="AN22" s="797"/>
      <c r="AO22" s="22"/>
      <c r="AP22" s="22"/>
      <c r="AQ22" s="783"/>
      <c r="AR22" s="797"/>
      <c r="AS22" s="22"/>
      <c r="AT22" s="22"/>
      <c r="AU22" s="783"/>
      <c r="AV22" s="797"/>
      <c r="AW22" s="886"/>
      <c r="AX22" s="1016">
        <v>0</v>
      </c>
      <c r="AY22" s="1017">
        <v>0</v>
      </c>
      <c r="AZ22" s="1017">
        <v>0</v>
      </c>
      <c r="BA22" s="1017">
        <v>0</v>
      </c>
      <c r="BB22" s="1017">
        <v>0</v>
      </c>
      <c r="BC22" s="1017">
        <v>0</v>
      </c>
      <c r="BD22" s="1017">
        <v>0</v>
      </c>
      <c r="BE22" s="1017">
        <v>0</v>
      </c>
      <c r="BF22" s="1017">
        <v>0</v>
      </c>
      <c r="BG22" s="1017">
        <v>0</v>
      </c>
      <c r="BH22" s="1017">
        <v>0</v>
      </c>
      <c r="BI22" s="1017">
        <v>0</v>
      </c>
      <c r="BJ22" s="1017">
        <v>0</v>
      </c>
      <c r="BK22" s="1017">
        <v>0</v>
      </c>
      <c r="BL22" s="1017">
        <v>0</v>
      </c>
      <c r="BM22" s="1017">
        <v>0</v>
      </c>
      <c r="BN22" s="1017">
        <v>0</v>
      </c>
      <c r="BO22" s="1017">
        <v>0</v>
      </c>
      <c r="BP22" s="1017">
        <v>0</v>
      </c>
      <c r="BQ22" s="1017">
        <v>0</v>
      </c>
      <c r="BR22" s="1017">
        <v>0</v>
      </c>
      <c r="BS22" s="1017">
        <v>0</v>
      </c>
      <c r="BT22" s="1017">
        <v>0</v>
      </c>
      <c r="BU22" s="1017">
        <v>0</v>
      </c>
      <c r="BV22" s="1003">
        <f t="shared" si="5"/>
        <v>0</v>
      </c>
      <c r="BW22" s="1002">
        <v>5331.31</v>
      </c>
      <c r="BX22" s="1004">
        <f t="shared" si="6"/>
        <v>0</v>
      </c>
      <c r="BY22" s="331"/>
      <c r="BZ22" s="331"/>
      <c r="CA22" s="331"/>
    </row>
    <row r="23" spans="1:79" ht="15.6" x14ac:dyDescent="0.3">
      <c r="A23" t="s">
        <v>778</v>
      </c>
      <c r="B23" s="972" t="s">
        <v>837</v>
      </c>
      <c r="C23" s="783">
        <v>6666</v>
      </c>
      <c r="D23" s="797">
        <v>6538.48</v>
      </c>
      <c r="E23" s="610"/>
      <c r="F23" s="610"/>
      <c r="G23" s="783">
        <v>6666</v>
      </c>
      <c r="H23" s="797">
        <v>6153.86</v>
      </c>
      <c r="I23" s="22"/>
      <c r="J23" s="22"/>
      <c r="K23" s="783">
        <v>6666</v>
      </c>
      <c r="L23" s="797">
        <v>7076.94</v>
      </c>
      <c r="M23" s="22"/>
      <c r="N23" s="22"/>
      <c r="O23" s="783">
        <v>6666</v>
      </c>
      <c r="P23" s="797">
        <v>6769.2500000000009</v>
      </c>
      <c r="Q23" s="22"/>
      <c r="R23" s="22"/>
      <c r="S23" s="783">
        <v>6666</v>
      </c>
      <c r="T23" s="797">
        <v>7359.3000000000011</v>
      </c>
      <c r="U23" s="22"/>
      <c r="V23" s="22"/>
      <c r="W23" s="783"/>
      <c r="X23" s="797">
        <v>8784.1899999999987</v>
      </c>
      <c r="Y23" s="22"/>
      <c r="Z23" s="22"/>
      <c r="AA23" s="783">
        <v>6666</v>
      </c>
      <c r="AB23" s="797">
        <v>8700.0499999999993</v>
      </c>
      <c r="AC23" s="22"/>
      <c r="AD23" s="22"/>
      <c r="AE23" s="783">
        <v>6666</v>
      </c>
      <c r="AF23" s="797">
        <v>6769.2499999999927</v>
      </c>
      <c r="AG23" s="22"/>
      <c r="AH23" s="22"/>
      <c r="AI23" s="783">
        <v>6666</v>
      </c>
      <c r="AJ23" s="797">
        <v>6769.2400000000125</v>
      </c>
      <c r="AK23" s="22"/>
      <c r="AL23" s="22"/>
      <c r="AM23" s="783">
        <v>6666</v>
      </c>
      <c r="AN23" s="797">
        <v>6461.5499999999993</v>
      </c>
      <c r="AO23" s="22"/>
      <c r="AP23" s="22"/>
      <c r="AQ23" s="783">
        <v>6666</v>
      </c>
      <c r="AR23" s="797">
        <v>6819.2499999999964</v>
      </c>
      <c r="AS23" s="22"/>
      <c r="AT23" s="22"/>
      <c r="AU23" s="783">
        <v>6666</v>
      </c>
      <c r="AV23" s="797">
        <v>7076.9400000000023</v>
      </c>
      <c r="AW23" s="886"/>
      <c r="AX23" s="1016">
        <v>6461.55</v>
      </c>
      <c r="AY23" s="1017">
        <v>7015.35</v>
      </c>
      <c r="AZ23" s="1017">
        <v>7788.68</v>
      </c>
      <c r="BA23" s="1017">
        <v>6980.53</v>
      </c>
      <c r="BB23" s="1017">
        <v>7310.74</v>
      </c>
      <c r="BC23" s="1001">
        <v>7310.76</v>
      </c>
      <c r="BD23" s="1001">
        <v>6978.45</v>
      </c>
      <c r="BE23" s="1001">
        <v>7476.91</v>
      </c>
      <c r="BF23" s="1001">
        <v>7310.86</v>
      </c>
      <c r="BG23" s="1001">
        <v>6978.45</v>
      </c>
      <c r="BH23" s="1001">
        <v>7310.75</v>
      </c>
      <c r="BI23" s="1001">
        <v>7310.76</v>
      </c>
      <c r="BJ23" s="1001">
        <v>3987.68</v>
      </c>
      <c r="BK23" s="1001">
        <v>6467.75</v>
      </c>
      <c r="BL23" s="1281">
        <f>'MXD P&amp;L'!P204</f>
        <v>3379.15</v>
      </c>
      <c r="BM23" s="1281">
        <f>'MXD P&amp;L'!Q204</f>
        <v>3213.97</v>
      </c>
      <c r="BN23" s="1281">
        <f>'MXD P&amp;L'!R204</f>
        <v>8568.9699999999993</v>
      </c>
      <c r="BO23" s="1281">
        <f>'MXD P&amp;L'!S204</f>
        <v>3565.87</v>
      </c>
      <c r="BP23" s="1281">
        <f>'MXD P&amp;L'!T204</f>
        <v>2976.47</v>
      </c>
      <c r="BQ23" s="1281">
        <f>'MXD P&amp;L'!U202</f>
        <v>9018.93</v>
      </c>
      <c r="BR23" s="1281">
        <f>'MXD P&amp;L'!V202</f>
        <v>4449.1899999999996</v>
      </c>
      <c r="BS23" s="1281">
        <f>'MXD P&amp;L'!W202</f>
        <v>5325.06</v>
      </c>
      <c r="BT23" s="1281">
        <f>'MXD P&amp;L'!X202</f>
        <v>0</v>
      </c>
      <c r="BU23" s="1281">
        <f>'MXD P&amp;L'!Y203</f>
        <v>0</v>
      </c>
      <c r="BV23" s="1003">
        <f>SUM(BJ23:BU23)</f>
        <v>50953.039999999994</v>
      </c>
      <c r="BW23" s="1002">
        <v>5331.31</v>
      </c>
      <c r="BX23" s="1004">
        <f>SUM(AX23:BA23)</f>
        <v>28246.11</v>
      </c>
    </row>
    <row r="24" spans="1:79" ht="15.6" x14ac:dyDescent="0.3">
      <c r="B24" s="972" t="s">
        <v>838</v>
      </c>
      <c r="C24" s="784">
        <v>417</v>
      </c>
      <c r="D24" s="798">
        <v>306.92</v>
      </c>
      <c r="E24" s="611"/>
      <c r="F24" s="611"/>
      <c r="G24" s="784">
        <v>417</v>
      </c>
      <c r="H24" s="798"/>
      <c r="I24" s="23"/>
      <c r="J24" s="23"/>
      <c r="K24" s="784">
        <v>417</v>
      </c>
      <c r="L24" s="798">
        <v>62.1</v>
      </c>
      <c r="M24" s="23"/>
      <c r="N24" s="23"/>
      <c r="O24" s="784">
        <v>417</v>
      </c>
      <c r="P24" s="798">
        <v>421.63</v>
      </c>
      <c r="Q24" s="22"/>
      <c r="R24" s="22"/>
      <c r="S24" s="784">
        <v>417</v>
      </c>
      <c r="T24" s="798"/>
      <c r="U24" s="22"/>
      <c r="V24" s="22"/>
      <c r="W24" s="784">
        <v>417</v>
      </c>
      <c r="X24" s="798"/>
      <c r="Y24" s="22"/>
      <c r="Z24" s="22"/>
      <c r="AA24" s="784">
        <v>417</v>
      </c>
      <c r="AB24" s="798"/>
      <c r="AC24" s="22"/>
      <c r="AD24" s="22"/>
      <c r="AE24" s="784">
        <v>417</v>
      </c>
      <c r="AF24" s="798"/>
      <c r="AG24" s="22"/>
      <c r="AH24" s="22"/>
      <c r="AI24" s="783">
        <v>417</v>
      </c>
      <c r="AJ24" s="798"/>
      <c r="AK24" s="22"/>
      <c r="AL24" s="22"/>
      <c r="AM24" s="783">
        <v>417</v>
      </c>
      <c r="AN24" s="798"/>
      <c r="AO24" s="22"/>
      <c r="AP24" s="22"/>
      <c r="AQ24" s="783">
        <v>417</v>
      </c>
      <c r="AR24" s="798"/>
      <c r="AS24" s="22"/>
      <c r="AT24" s="22"/>
      <c r="AU24" s="783">
        <v>417</v>
      </c>
      <c r="AV24" s="798"/>
      <c r="AW24" s="886"/>
      <c r="AX24" s="1005">
        <v>0</v>
      </c>
      <c r="AY24" s="1006">
        <v>0</v>
      </c>
      <c r="AZ24" s="1006">
        <v>0</v>
      </c>
      <c r="BA24" s="1006">
        <v>0</v>
      </c>
      <c r="BB24" s="1006">
        <v>0</v>
      </c>
      <c r="BC24" s="1006">
        <v>0</v>
      </c>
      <c r="BD24" s="1006">
        <v>0</v>
      </c>
      <c r="BE24" s="1006">
        <v>0</v>
      </c>
      <c r="BF24" s="1006">
        <v>0</v>
      </c>
      <c r="BG24" s="1006">
        <v>0</v>
      </c>
      <c r="BH24" s="1006">
        <v>0</v>
      </c>
      <c r="BI24" s="1006">
        <v>0</v>
      </c>
      <c r="BJ24" s="1006">
        <v>0</v>
      </c>
      <c r="BK24" s="1006">
        <v>213.93</v>
      </c>
      <c r="BL24" s="1282">
        <f>'MXD P&amp;L'!P205</f>
        <v>3586.68</v>
      </c>
      <c r="BM24" s="1282">
        <f>'MXD P&amp;L'!Q205</f>
        <v>2218.19</v>
      </c>
      <c r="BN24" s="1282">
        <f>'MXD P&amp;L'!R205</f>
        <v>3351.21</v>
      </c>
      <c r="BO24" s="1282">
        <f>'MXD P&amp;L'!S205</f>
        <v>6862.45</v>
      </c>
      <c r="BP24" s="1282">
        <f>'MXD P&amp;L'!T205</f>
        <v>1779.88</v>
      </c>
      <c r="BQ24" s="1282">
        <f>'MXD P&amp;L'!U203</f>
        <v>1780.33</v>
      </c>
      <c r="BR24" s="1282">
        <f>'MXD P&amp;L'!V203</f>
        <v>14110.96</v>
      </c>
      <c r="BS24" s="1282">
        <f>'MXD P&amp;L'!W203</f>
        <v>15957.05</v>
      </c>
      <c r="BT24" s="1282">
        <f>'MXD P&amp;L'!X203</f>
        <v>0</v>
      </c>
      <c r="BU24" s="1282">
        <f>'MXD P&amp;L'!Y204</f>
        <v>0</v>
      </c>
      <c r="BV24" s="1003">
        <f t="shared" si="5"/>
        <v>49860.679999999993</v>
      </c>
      <c r="BW24" s="1002">
        <v>5331.31</v>
      </c>
      <c r="BX24" s="1004">
        <f t="shared" si="6"/>
        <v>0</v>
      </c>
    </row>
    <row r="25" spans="1:79" ht="15.6" x14ac:dyDescent="0.3">
      <c r="B25" t="s">
        <v>135</v>
      </c>
      <c r="C25" s="783">
        <v>250</v>
      </c>
      <c r="D25" s="797"/>
      <c r="E25" s="610"/>
      <c r="F25" s="610"/>
      <c r="G25" s="783">
        <v>250</v>
      </c>
      <c r="H25" s="797"/>
      <c r="I25" s="22"/>
      <c r="J25" s="22"/>
      <c r="K25" s="783">
        <v>250</v>
      </c>
      <c r="L25" s="797"/>
      <c r="M25" s="22"/>
      <c r="N25" s="22"/>
      <c r="O25" s="783">
        <v>250</v>
      </c>
      <c r="P25" s="797"/>
      <c r="Q25" s="22"/>
      <c r="R25" s="22"/>
      <c r="S25" s="783">
        <v>250</v>
      </c>
      <c r="T25" s="797"/>
      <c r="U25" s="22"/>
      <c r="V25" s="22"/>
      <c r="W25" s="783">
        <v>250</v>
      </c>
      <c r="X25" s="797">
        <v>584</v>
      </c>
      <c r="Y25" s="22"/>
      <c r="Z25" s="22"/>
      <c r="AA25" s="783">
        <v>250</v>
      </c>
      <c r="AB25" s="797"/>
      <c r="AC25" s="22"/>
      <c r="AD25" s="22"/>
      <c r="AE25" s="783">
        <v>250</v>
      </c>
      <c r="AF25" s="797"/>
      <c r="AG25" s="22"/>
      <c r="AH25" s="22"/>
      <c r="AI25" s="783">
        <v>250</v>
      </c>
      <c r="AJ25" s="797"/>
      <c r="AK25" s="22"/>
      <c r="AL25" s="22"/>
      <c r="AM25" s="783">
        <v>250</v>
      </c>
      <c r="AN25" s="797"/>
      <c r="AO25" s="22"/>
      <c r="AP25" s="22"/>
      <c r="AQ25" s="783">
        <v>250</v>
      </c>
      <c r="AR25" s="797"/>
      <c r="AS25" s="22"/>
      <c r="AT25" s="22"/>
      <c r="AU25" s="783">
        <v>250</v>
      </c>
      <c r="AV25" s="797"/>
      <c r="AW25" s="886"/>
      <c r="AX25" s="1005">
        <v>0</v>
      </c>
      <c r="AY25" s="1006">
        <v>0</v>
      </c>
      <c r="AZ25" s="1006">
        <v>0</v>
      </c>
      <c r="BA25" s="1006">
        <v>0</v>
      </c>
      <c r="BB25" s="1006">
        <v>0</v>
      </c>
      <c r="BC25" s="1006">
        <v>0</v>
      </c>
      <c r="BD25" s="1006">
        <v>0</v>
      </c>
      <c r="BE25" s="1006">
        <v>0</v>
      </c>
      <c r="BF25" s="1006">
        <v>0</v>
      </c>
      <c r="BG25" s="1006">
        <v>0</v>
      </c>
      <c r="BH25" s="1006">
        <v>0</v>
      </c>
      <c r="BI25" s="1006">
        <v>0</v>
      </c>
      <c r="BJ25" s="1006">
        <v>0</v>
      </c>
      <c r="BK25" s="1006">
        <v>0</v>
      </c>
      <c r="BL25" s="1282">
        <v>0</v>
      </c>
      <c r="BM25" s="1282">
        <v>0</v>
      </c>
      <c r="BN25" s="1282">
        <v>0</v>
      </c>
      <c r="BO25" s="1282">
        <v>0</v>
      </c>
      <c r="BP25" s="1282">
        <v>0</v>
      </c>
      <c r="BQ25" s="1282">
        <v>0</v>
      </c>
      <c r="BR25" s="1282">
        <v>0</v>
      </c>
      <c r="BS25" s="1282">
        <v>0</v>
      </c>
      <c r="BT25" s="1282">
        <v>0</v>
      </c>
      <c r="BU25" s="1282">
        <v>0</v>
      </c>
      <c r="BV25" s="1003">
        <f t="shared" si="5"/>
        <v>0</v>
      </c>
      <c r="BW25" s="1002">
        <v>5331.31</v>
      </c>
      <c r="BX25" s="1004">
        <f t="shared" si="6"/>
        <v>0</v>
      </c>
    </row>
    <row r="27" spans="1:79" ht="15.6" x14ac:dyDescent="0.3">
      <c r="A27" t="s">
        <v>919</v>
      </c>
      <c r="B27" t="s">
        <v>926</v>
      </c>
      <c r="C27" s="784">
        <v>509.94900000000001</v>
      </c>
      <c r="D27" s="798">
        <v>535.77</v>
      </c>
      <c r="E27" s="611"/>
      <c r="F27" s="611"/>
      <c r="G27" s="784">
        <v>509.94900000000001</v>
      </c>
      <c r="H27" s="798">
        <v>473.09000000000009</v>
      </c>
      <c r="I27" s="23"/>
      <c r="J27" s="23"/>
      <c r="K27" s="784">
        <v>509.94900000000001</v>
      </c>
      <c r="L27" s="798">
        <v>538.98</v>
      </c>
      <c r="M27" s="23"/>
      <c r="N27" s="23"/>
      <c r="O27" s="784">
        <v>509.94900000000001</v>
      </c>
      <c r="P27" s="798">
        <v>515.2800000000002</v>
      </c>
      <c r="Q27" s="23"/>
      <c r="R27" s="23"/>
      <c r="S27" s="784">
        <v>509.94900000000001</v>
      </c>
      <c r="T27" s="798">
        <v>563.42000000000007</v>
      </c>
      <c r="U27" s="23"/>
      <c r="V27" s="23"/>
      <c r="W27" s="784">
        <v>0</v>
      </c>
      <c r="X27" s="798">
        <v>680.75</v>
      </c>
      <c r="Y27" s="23"/>
      <c r="Z27" s="23"/>
      <c r="AA27" s="784">
        <v>509.94900000000001</v>
      </c>
      <c r="AB27" s="798">
        <v>673.47</v>
      </c>
      <c r="AC27" s="23"/>
      <c r="AD27" s="23"/>
      <c r="AE27" s="784">
        <v>509.94900000000001</v>
      </c>
      <c r="AF27" s="798">
        <v>516.4399999999996</v>
      </c>
      <c r="AG27" s="23"/>
      <c r="AH27" s="23"/>
      <c r="AI27" s="784">
        <v>509.94900000000001</v>
      </c>
      <c r="AJ27" s="798">
        <v>515.2800000000002</v>
      </c>
      <c r="AK27" s="23"/>
      <c r="AL27" s="23"/>
      <c r="AM27" s="784">
        <v>509.94900000000001</v>
      </c>
      <c r="AN27" s="798">
        <v>587.21000000000049</v>
      </c>
      <c r="AO27" s="23"/>
      <c r="AP27" s="23"/>
      <c r="AQ27" s="784">
        <v>509.94900000000001</v>
      </c>
      <c r="AR27" s="798">
        <v>519.11999999999921</v>
      </c>
      <c r="AS27" s="23"/>
      <c r="AT27" s="23"/>
      <c r="AU27" s="784">
        <v>509.94900000000001</v>
      </c>
      <c r="AV27" s="798">
        <v>629.5300000000002</v>
      </c>
      <c r="AW27" s="886"/>
      <c r="AX27" s="1000">
        <v>629.99</v>
      </c>
      <c r="AY27" s="1001">
        <v>725.83</v>
      </c>
      <c r="AZ27" s="1001">
        <v>709.07</v>
      </c>
      <c r="BA27" s="1001">
        <v>532.09</v>
      </c>
      <c r="BB27" s="1001">
        <v>653.14</v>
      </c>
      <c r="BC27" s="1001">
        <v>557.52</v>
      </c>
      <c r="BD27" s="1001">
        <v>624.84</v>
      </c>
      <c r="BE27" s="1001">
        <v>570.39</v>
      </c>
      <c r="BF27" s="1001">
        <v>539.75</v>
      </c>
      <c r="BG27" s="1001">
        <v>592.01</v>
      </c>
      <c r="BH27" s="1001">
        <v>521.98</v>
      </c>
      <c r="BI27" s="1001">
        <v>623.83000000000004</v>
      </c>
      <c r="BJ27" s="1001">
        <v>379.23</v>
      </c>
      <c r="BK27" s="1001">
        <v>58</v>
      </c>
      <c r="BL27" s="1281">
        <f>'MXD P&amp;L'!P151</f>
        <v>165.25</v>
      </c>
      <c r="BM27" s="1281">
        <f>'MXD P&amp;L'!Q151</f>
        <v>680.47</v>
      </c>
      <c r="BN27" s="1281">
        <f>'MXD P&amp;L'!R151</f>
        <v>0</v>
      </c>
      <c r="BO27" s="1281">
        <f>'MXD P&amp;L'!S151</f>
        <v>0</v>
      </c>
      <c r="BP27" s="1281">
        <f>'MXD P&amp;L'!T151</f>
        <v>0</v>
      </c>
      <c r="BQ27" s="1281">
        <f>'MXD P&amp;L'!U149</f>
        <v>0</v>
      </c>
      <c r="BR27" s="1281">
        <f>'MXD P&amp;L'!V149</f>
        <v>0</v>
      </c>
      <c r="BS27" s="1281">
        <f>'MXD P&amp;L'!W149</f>
        <v>0</v>
      </c>
      <c r="BT27" s="1281">
        <f>'MXD P&amp;L'!X149</f>
        <v>0</v>
      </c>
      <c r="BU27" s="1281">
        <f>'MXD P&amp;L'!Y150</f>
        <v>0</v>
      </c>
      <c r="BV27" s="1003">
        <f t="shared" si="5"/>
        <v>1282.95</v>
      </c>
      <c r="BW27" s="1002">
        <v>5331.31</v>
      </c>
      <c r="BX27" s="1004">
        <f t="shared" si="6"/>
        <v>2596.9800000000005</v>
      </c>
    </row>
    <row r="28" spans="1:79" ht="15.6" x14ac:dyDescent="0.3">
      <c r="A28" t="s">
        <v>780</v>
      </c>
      <c r="B28" t="s">
        <v>927</v>
      </c>
      <c r="C28" s="783">
        <v>0</v>
      </c>
      <c r="D28" s="797"/>
      <c r="E28" s="610"/>
      <c r="F28" s="610"/>
      <c r="G28" s="783">
        <v>0</v>
      </c>
      <c r="H28" s="797">
        <v>3.2</v>
      </c>
      <c r="I28" s="22"/>
      <c r="J28" s="22"/>
      <c r="K28" s="783">
        <v>0</v>
      </c>
      <c r="L28" s="797">
        <v>3.2</v>
      </c>
      <c r="M28" s="22"/>
      <c r="N28" s="22"/>
      <c r="O28" s="783">
        <v>0</v>
      </c>
      <c r="P28" s="797">
        <v>3.1999999999999988</v>
      </c>
      <c r="Q28" s="22"/>
      <c r="R28" s="22"/>
      <c r="S28" s="783">
        <v>0</v>
      </c>
      <c r="T28" s="797">
        <v>3.2000000000000011</v>
      </c>
      <c r="U28" s="22"/>
      <c r="V28" s="22"/>
      <c r="W28" s="783">
        <v>0</v>
      </c>
      <c r="X28" s="797">
        <v>3.1999999999999988</v>
      </c>
      <c r="Y28" s="22"/>
      <c r="Z28" s="22"/>
      <c r="AA28" s="783">
        <v>0</v>
      </c>
      <c r="AB28" s="797">
        <v>3.1999999999999988</v>
      </c>
      <c r="AC28" s="22"/>
      <c r="AD28" s="22"/>
      <c r="AE28" s="783">
        <v>0</v>
      </c>
      <c r="AF28" s="797">
        <v>3.1999999999999988</v>
      </c>
      <c r="AG28" s="22"/>
      <c r="AH28" s="22"/>
      <c r="AI28" s="783">
        <v>0</v>
      </c>
      <c r="AJ28" s="797">
        <v>3.2000000000000028</v>
      </c>
      <c r="AK28" s="22"/>
      <c r="AL28" s="22"/>
      <c r="AM28" s="783">
        <v>0</v>
      </c>
      <c r="AN28" s="797">
        <v>3.1999999999999988</v>
      </c>
      <c r="AO28" s="22"/>
      <c r="AP28" s="22"/>
      <c r="AQ28" s="783">
        <v>0</v>
      </c>
      <c r="AR28" s="797">
        <v>3.1999999999999988</v>
      </c>
      <c r="AS28" s="22"/>
      <c r="AT28" s="22"/>
      <c r="AU28" s="783">
        <v>0</v>
      </c>
      <c r="AV28" s="797">
        <v>3.2000000000000028</v>
      </c>
      <c r="AW28" s="886"/>
      <c r="AX28" s="1005">
        <v>3.2</v>
      </c>
      <c r="AY28" s="1006">
        <v>3.2</v>
      </c>
      <c r="AZ28" s="1006">
        <v>3.2</v>
      </c>
      <c r="BA28" s="1006">
        <v>3.2</v>
      </c>
      <c r="BB28" s="1006">
        <v>3.2</v>
      </c>
      <c r="BC28" s="1006">
        <v>3.2</v>
      </c>
      <c r="BD28" s="1006">
        <v>3.2</v>
      </c>
      <c r="BE28" s="1006">
        <v>3.2</v>
      </c>
      <c r="BF28" s="1006">
        <v>3.2</v>
      </c>
      <c r="BG28" s="1006">
        <v>282.10000000000002</v>
      </c>
      <c r="BH28" s="1006">
        <v>282.10000000000002</v>
      </c>
      <c r="BI28" s="1006">
        <v>282.10000000000002</v>
      </c>
      <c r="BJ28" s="1001">
        <v>282.3</v>
      </c>
      <c r="BK28" s="1001">
        <v>1322.88</v>
      </c>
      <c r="BL28" s="1281">
        <f>'MXD P&amp;L'!P180</f>
        <v>1322.88</v>
      </c>
      <c r="BM28" s="1281">
        <f>'MXD P&amp;L'!Q180</f>
        <v>1322.88</v>
      </c>
      <c r="BN28" s="1281">
        <f>'MXD P&amp;L'!R180</f>
        <v>1322.88</v>
      </c>
      <c r="BO28" s="1281">
        <f>'MXD P&amp;L'!S180</f>
        <v>1322.88</v>
      </c>
      <c r="BP28" s="1281">
        <f>'MXD P&amp;L'!T180</f>
        <v>1322.88</v>
      </c>
      <c r="BQ28" s="1281">
        <f>'MXD P&amp;L'!U178</f>
        <v>1163.97</v>
      </c>
      <c r="BR28" s="1281">
        <f>'MXD P&amp;L'!V178</f>
        <v>1163.97</v>
      </c>
      <c r="BS28" s="1281">
        <f>'MXD P&amp;L'!W178</f>
        <v>1163.97</v>
      </c>
      <c r="BT28" s="1281">
        <f>'MXD P&amp;L'!X178</f>
        <v>0</v>
      </c>
      <c r="BU28" s="1281">
        <f>'MXD P&amp;L'!Y179</f>
        <v>0</v>
      </c>
      <c r="BV28" s="1003">
        <f t="shared" si="5"/>
        <v>11711.49</v>
      </c>
      <c r="BW28" s="1002">
        <v>5331.31</v>
      </c>
      <c r="BX28" s="1004">
        <f t="shared" si="6"/>
        <v>12.8</v>
      </c>
    </row>
    <row r="29" spans="1:79" ht="15.6" x14ac:dyDescent="0.3">
      <c r="A29" t="s">
        <v>781</v>
      </c>
      <c r="B29" t="s">
        <v>781</v>
      </c>
      <c r="C29" s="784"/>
      <c r="D29" s="798"/>
      <c r="E29" s="611"/>
      <c r="F29" s="611"/>
      <c r="G29" s="784"/>
      <c r="H29" s="798"/>
      <c r="I29" s="23"/>
      <c r="J29" s="23"/>
      <c r="K29" s="784">
        <v>937.5</v>
      </c>
      <c r="L29" s="798"/>
      <c r="M29" s="22"/>
      <c r="N29" s="22"/>
      <c r="O29" s="784"/>
      <c r="P29" s="798"/>
      <c r="Q29" s="23"/>
      <c r="R29" s="23"/>
      <c r="S29" s="784"/>
      <c r="T29" s="798"/>
      <c r="U29" s="23"/>
      <c r="V29" s="23"/>
      <c r="W29" s="784">
        <v>937.5</v>
      </c>
      <c r="X29" s="798"/>
      <c r="Y29" s="22"/>
      <c r="Z29" s="22"/>
      <c r="AA29" s="784"/>
      <c r="AB29" s="798"/>
      <c r="AC29" s="23"/>
      <c r="AD29" s="23"/>
      <c r="AE29" s="784"/>
      <c r="AF29" s="798"/>
      <c r="AG29" s="23"/>
      <c r="AH29" s="23"/>
      <c r="AI29" s="784">
        <v>937.5</v>
      </c>
      <c r="AJ29" s="798">
        <v>1250</v>
      </c>
      <c r="AK29" s="22"/>
      <c r="AL29" s="22"/>
      <c r="AM29" s="784"/>
      <c r="AN29" s="798"/>
      <c r="AO29" s="23"/>
      <c r="AP29" s="23"/>
      <c r="AQ29" s="784"/>
      <c r="AR29" s="798"/>
      <c r="AS29" s="23"/>
      <c r="AT29" s="23"/>
      <c r="AU29" s="784">
        <v>937.5</v>
      </c>
      <c r="AV29" s="798">
        <v>1222.5999999999999</v>
      </c>
      <c r="AW29" s="886"/>
      <c r="AX29" s="1005">
        <v>1250</v>
      </c>
      <c r="AY29" s="1006">
        <v>0</v>
      </c>
      <c r="AZ29" s="1006">
        <v>0</v>
      </c>
      <c r="BA29" s="1006">
        <v>0</v>
      </c>
      <c r="BB29" s="1006">
        <v>1250</v>
      </c>
      <c r="BC29" s="1006">
        <v>0</v>
      </c>
      <c r="BD29" s="1006">
        <v>1250</v>
      </c>
      <c r="BE29" s="1006">
        <v>0</v>
      </c>
      <c r="BF29" s="1006">
        <v>0</v>
      </c>
      <c r="BG29" s="1006">
        <v>1250</v>
      </c>
      <c r="BH29" s="1006">
        <v>0</v>
      </c>
      <c r="BI29" s="1006">
        <v>1748.41</v>
      </c>
      <c r="BJ29" s="1001">
        <v>0</v>
      </c>
      <c r="BK29" s="1001">
        <v>0</v>
      </c>
      <c r="BL29" s="1281">
        <f>'MXD P&amp;L'!P143</f>
        <v>0</v>
      </c>
      <c r="BM29" s="1281">
        <f>'MXD P&amp;L'!Q143</f>
        <v>0</v>
      </c>
      <c r="BN29" s="1281">
        <f>'MXD P&amp;L'!R143</f>
        <v>0</v>
      </c>
      <c r="BO29" s="1281">
        <f>'MXD P&amp;L'!S143</f>
        <v>0</v>
      </c>
      <c r="BP29" s="1281">
        <f>'MXD P&amp;L'!T143</f>
        <v>0</v>
      </c>
      <c r="BQ29" s="1281">
        <f>'MXD P&amp;L'!U141</f>
        <v>0</v>
      </c>
      <c r="BR29" s="1281">
        <f>'MXD P&amp;L'!V141</f>
        <v>0</v>
      </c>
      <c r="BS29" s="1281">
        <f>'MXD P&amp;L'!W141</f>
        <v>0</v>
      </c>
      <c r="BT29" s="1281">
        <f>'MXD P&amp;L'!X141</f>
        <v>0</v>
      </c>
      <c r="BU29" s="1281">
        <f>'MXD P&amp;L'!Y142</f>
        <v>0</v>
      </c>
      <c r="BV29" s="1003">
        <f t="shared" si="5"/>
        <v>0</v>
      </c>
      <c r="BW29" s="1002">
        <v>5331.31</v>
      </c>
      <c r="BX29" s="1004">
        <f t="shared" si="6"/>
        <v>1250</v>
      </c>
    </row>
    <row r="30" spans="1:79" ht="15.6" x14ac:dyDescent="0.3">
      <c r="B30" s="20" t="s">
        <v>906</v>
      </c>
      <c r="C30" s="785">
        <v>14510.949000000001</v>
      </c>
      <c r="D30" s="786">
        <v>15156.16</v>
      </c>
      <c r="E30" s="612">
        <v>0</v>
      </c>
      <c r="F30" s="612">
        <v>0</v>
      </c>
      <c r="G30" s="785">
        <v>14510.949000000001</v>
      </c>
      <c r="H30" s="786">
        <v>6630.15</v>
      </c>
      <c r="I30" s="21">
        <v>0</v>
      </c>
      <c r="J30" s="21">
        <v>0</v>
      </c>
      <c r="K30" s="785">
        <v>15448.449000000001</v>
      </c>
      <c r="L30" s="786">
        <v>7681.22</v>
      </c>
      <c r="M30" s="21">
        <v>0</v>
      </c>
      <c r="N30" s="21">
        <v>0</v>
      </c>
      <c r="O30" s="785">
        <v>14510.949000000001</v>
      </c>
      <c r="P30" s="786">
        <v>7709.3600000000015</v>
      </c>
      <c r="Q30" s="21">
        <v>0</v>
      </c>
      <c r="R30" s="21">
        <v>0</v>
      </c>
      <c r="S30" s="785">
        <v>14510.949000000001</v>
      </c>
      <c r="T30" s="786">
        <v>7925.920000000001</v>
      </c>
      <c r="U30" s="21">
        <v>0</v>
      </c>
      <c r="V30" s="21">
        <v>0</v>
      </c>
      <c r="W30" s="785">
        <v>8272.5</v>
      </c>
      <c r="X30" s="786">
        <v>10052.14</v>
      </c>
      <c r="Y30" s="21">
        <v>0</v>
      </c>
      <c r="Z30" s="21">
        <v>0</v>
      </c>
      <c r="AA30" s="785">
        <v>14510.949000000001</v>
      </c>
      <c r="AB30" s="786">
        <v>9376.7199999999993</v>
      </c>
      <c r="AC30" s="21">
        <v>0</v>
      </c>
      <c r="AD30" s="21">
        <v>0</v>
      </c>
      <c r="AE30" s="785">
        <v>14510.949000000001</v>
      </c>
      <c r="AF30" s="786">
        <v>7288.8899999999921</v>
      </c>
      <c r="AG30" s="21">
        <v>0</v>
      </c>
      <c r="AH30" s="21">
        <v>0</v>
      </c>
      <c r="AI30" s="785">
        <v>15448.449000000001</v>
      </c>
      <c r="AJ30" s="786">
        <v>8537.7200000000121</v>
      </c>
      <c r="AK30" s="21">
        <v>0</v>
      </c>
      <c r="AL30" s="21">
        <v>0</v>
      </c>
      <c r="AM30" s="785">
        <v>7842.9489999999996</v>
      </c>
      <c r="AN30" s="786">
        <v>7051.96</v>
      </c>
      <c r="AO30" s="21">
        <v>0</v>
      </c>
      <c r="AP30" s="21">
        <v>0</v>
      </c>
      <c r="AQ30" s="785">
        <v>7842.9489999999996</v>
      </c>
      <c r="AR30" s="786">
        <v>7341.5699999999952</v>
      </c>
      <c r="AS30" s="21">
        <v>0</v>
      </c>
      <c r="AT30" s="21">
        <v>0</v>
      </c>
      <c r="AU30" s="785">
        <v>8780.4490000000005</v>
      </c>
      <c r="AV30" s="786">
        <v>8932.2700000000023</v>
      </c>
      <c r="AW30" s="612"/>
      <c r="AX30" s="1012">
        <v>8344.74</v>
      </c>
      <c r="AY30" s="1013">
        <v>7744.38</v>
      </c>
      <c r="AZ30" s="1013">
        <v>8500.9500000000007</v>
      </c>
      <c r="BA30" s="1013">
        <v>7515.82</v>
      </c>
      <c r="BB30" s="1013">
        <v>9217.08</v>
      </c>
      <c r="BC30" s="1013">
        <v>7871.4800000000005</v>
      </c>
      <c r="BD30" s="1013">
        <v>8856.49</v>
      </c>
      <c r="BE30" s="1013">
        <v>8050.5</v>
      </c>
      <c r="BF30" s="1013">
        <v>7853.8099999999995</v>
      </c>
      <c r="BG30" s="1013">
        <v>9102.5600000000013</v>
      </c>
      <c r="BH30" s="1013">
        <v>8115.83</v>
      </c>
      <c r="BI30" s="1013">
        <f>SUM(BI20:BI29)</f>
        <v>9965.1</v>
      </c>
      <c r="BJ30" s="1013">
        <f>SUM(BJ20:BJ29)</f>
        <v>4649.21</v>
      </c>
      <c r="BK30" s="1013">
        <f>SUM(BK20:BK29)</f>
        <v>8062.56</v>
      </c>
      <c r="BL30" s="1013">
        <f>SUM(BL20:BL29)</f>
        <v>8453.9599999999991</v>
      </c>
      <c r="BM30" s="1013">
        <f>SUM(BM20:BM29)</f>
        <v>7435.51</v>
      </c>
      <c r="BN30" s="1013">
        <f t="shared" ref="BN30:BU30" si="7">SUM(BN20:BN29)</f>
        <v>13243.060000000001</v>
      </c>
      <c r="BO30" s="1013">
        <f t="shared" si="7"/>
        <v>11751.2</v>
      </c>
      <c r="BP30" s="1013">
        <f t="shared" si="7"/>
        <v>6079.2300000000005</v>
      </c>
      <c r="BQ30" s="1013">
        <f t="shared" si="7"/>
        <v>11963.23</v>
      </c>
      <c r="BR30" s="1013">
        <f t="shared" si="7"/>
        <v>19724.12</v>
      </c>
      <c r="BS30" s="1013">
        <f t="shared" si="7"/>
        <v>22446.080000000002</v>
      </c>
      <c r="BT30" s="1013">
        <f t="shared" si="7"/>
        <v>0</v>
      </c>
      <c r="BU30" s="1013">
        <f t="shared" si="7"/>
        <v>0</v>
      </c>
      <c r="BV30" s="1013">
        <f t="shared" si="5"/>
        <v>113808.16</v>
      </c>
      <c r="BW30" s="1013">
        <f>SUM(BW20:BW29)</f>
        <v>47981.79</v>
      </c>
      <c r="BX30" s="1013">
        <f>SUM(BX20:BX29)</f>
        <v>32105.89</v>
      </c>
    </row>
    <row r="32" spans="1:79" ht="15.6" x14ac:dyDescent="0.3">
      <c r="B32" s="20" t="s">
        <v>907</v>
      </c>
      <c r="C32" s="785">
        <v>14510.949000000001</v>
      </c>
      <c r="D32" s="786">
        <v>15156.16</v>
      </c>
      <c r="E32" s="612">
        <v>0</v>
      </c>
      <c r="F32" s="612">
        <v>0</v>
      </c>
      <c r="G32" s="785">
        <v>14510.949000000001</v>
      </c>
      <c r="H32" s="786">
        <v>6630.15</v>
      </c>
      <c r="I32" s="21">
        <v>0</v>
      </c>
      <c r="J32" s="21">
        <v>0</v>
      </c>
      <c r="K32" s="785">
        <v>15448.449000000001</v>
      </c>
      <c r="L32" s="786">
        <v>7681.22</v>
      </c>
      <c r="M32" s="21">
        <v>0</v>
      </c>
      <c r="N32" s="21">
        <v>0</v>
      </c>
      <c r="O32" s="785">
        <v>14510.949000000001</v>
      </c>
      <c r="P32" s="786">
        <v>7709.3600000000015</v>
      </c>
      <c r="Q32" s="21">
        <v>0</v>
      </c>
      <c r="R32" s="21">
        <v>0</v>
      </c>
      <c r="S32" s="785">
        <v>14510.949000000001</v>
      </c>
      <c r="T32" s="786">
        <v>7925.920000000001</v>
      </c>
      <c r="U32" s="21">
        <v>0</v>
      </c>
      <c r="V32" s="21">
        <v>0</v>
      </c>
      <c r="W32" s="785">
        <v>8272.5</v>
      </c>
      <c r="X32" s="786">
        <v>10052.14</v>
      </c>
      <c r="Y32" s="21">
        <v>0</v>
      </c>
      <c r="Z32" s="21">
        <v>0</v>
      </c>
      <c r="AA32" s="785">
        <v>14510.949000000001</v>
      </c>
      <c r="AB32" s="786">
        <v>9376.7199999999993</v>
      </c>
      <c r="AC32" s="21">
        <v>0</v>
      </c>
      <c r="AD32" s="21">
        <v>0</v>
      </c>
      <c r="AE32" s="785">
        <v>14510.949000000001</v>
      </c>
      <c r="AF32" s="786">
        <v>7288.8899999999921</v>
      </c>
      <c r="AG32" s="21">
        <v>0</v>
      </c>
      <c r="AH32" s="21">
        <v>0</v>
      </c>
      <c r="AI32" s="785">
        <v>15448.449000000001</v>
      </c>
      <c r="AJ32" s="786">
        <v>8537.7200000000121</v>
      </c>
      <c r="AK32" s="21">
        <v>0</v>
      </c>
      <c r="AL32" s="21">
        <v>0</v>
      </c>
      <c r="AM32" s="785">
        <v>7842.9489999999996</v>
      </c>
      <c r="AN32" s="786">
        <v>7051.96</v>
      </c>
      <c r="AO32" s="21">
        <v>0</v>
      </c>
      <c r="AP32" s="21">
        <v>0</v>
      </c>
      <c r="AQ32" s="785">
        <v>7842.9489999999996</v>
      </c>
      <c r="AR32" s="786">
        <v>7341.5699999999952</v>
      </c>
      <c r="AS32" s="21">
        <v>0</v>
      </c>
      <c r="AT32" s="21">
        <v>0</v>
      </c>
      <c r="AU32" s="785">
        <v>8780.4490000000005</v>
      </c>
      <c r="AV32" s="786">
        <v>8932.2700000000023</v>
      </c>
      <c r="AW32" s="612"/>
      <c r="AX32" s="1013">
        <f>AX30+AX17</f>
        <v>18235.95</v>
      </c>
      <c r="AY32" s="1013">
        <f>AO30+AO17</f>
        <v>0</v>
      </c>
      <c r="AZ32" s="1013">
        <f t="shared" ref="AZ32:BX32" si="8">AZ30+AZ17</f>
        <v>17023.54</v>
      </c>
      <c r="BA32" s="1013">
        <f t="shared" si="8"/>
        <v>14616.880000000001</v>
      </c>
      <c r="BB32" s="1013">
        <f t="shared" si="8"/>
        <v>22944.799999999999</v>
      </c>
      <c r="BC32" s="1013">
        <f t="shared" si="8"/>
        <v>25389.97</v>
      </c>
      <c r="BD32" s="1013">
        <f t="shared" si="8"/>
        <v>10282.469999999999</v>
      </c>
      <c r="BE32" s="1013">
        <f t="shared" si="8"/>
        <v>15961.33</v>
      </c>
      <c r="BF32" s="1013">
        <f t="shared" si="8"/>
        <v>16306.46</v>
      </c>
      <c r="BG32" s="1013">
        <f t="shared" si="8"/>
        <v>23318.920000000002</v>
      </c>
      <c r="BH32" s="1013">
        <f t="shared" si="8"/>
        <v>20085.379999999997</v>
      </c>
      <c r="BI32" s="1013">
        <f t="shared" si="8"/>
        <v>23266.9</v>
      </c>
      <c r="BJ32" s="1013">
        <f t="shared" si="8"/>
        <v>17118.099999999999</v>
      </c>
      <c r="BK32" s="1013">
        <f t="shared" si="8"/>
        <v>13363.79</v>
      </c>
      <c r="BL32" s="1013">
        <f>BL30+BL17</f>
        <v>26712.98</v>
      </c>
      <c r="BM32" s="1013">
        <f>BM30+BM17</f>
        <v>17232.489999999998</v>
      </c>
      <c r="BN32" s="1013">
        <f t="shared" ref="BN32:BU32" si="9">BN30+BN17</f>
        <v>45742.979999999996</v>
      </c>
      <c r="BO32" s="1013">
        <f t="shared" si="9"/>
        <v>41038.43</v>
      </c>
      <c r="BP32" s="1013">
        <f t="shared" si="9"/>
        <v>993.80000000000018</v>
      </c>
      <c r="BQ32" s="1013">
        <f t="shared" si="9"/>
        <v>46834.659999999989</v>
      </c>
      <c r="BR32" s="1013">
        <f t="shared" si="9"/>
        <v>8072.5599999999977</v>
      </c>
      <c r="BS32" s="1013">
        <f t="shared" si="9"/>
        <v>55781.87</v>
      </c>
      <c r="BT32" s="1013">
        <f t="shared" si="9"/>
        <v>0</v>
      </c>
      <c r="BU32" s="1013">
        <f t="shared" si="9"/>
        <v>0</v>
      </c>
      <c r="BV32" s="1013">
        <f>SUM(BJ32:BU32)</f>
        <v>272891.65999999997</v>
      </c>
      <c r="BW32" s="1013">
        <f t="shared" si="8"/>
        <v>85300.96</v>
      </c>
      <c r="BX32" s="1013">
        <f t="shared" si="8"/>
        <v>63907.21</v>
      </c>
    </row>
  </sheetData>
  <mergeCells count="1">
    <mergeCell ref="B2:B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CF5F2-228A-4728-B142-809D2C6B054B}">
  <sheetPr codeName="Sheet4">
    <tabColor theme="5" tint="0.59999389629810485"/>
  </sheetPr>
  <dimension ref="A1:CF64"/>
  <sheetViews>
    <sheetView topLeftCell="B1" zoomScale="90" zoomScaleNormal="90" workbookViewId="0">
      <pane xSplit="49" ySplit="4" topLeftCell="AY27" activePane="bottomRight" state="frozen"/>
      <selection activeCell="AI79" sqref="AI79"/>
      <selection pane="topRight" activeCell="AI79" sqref="AI79"/>
      <selection pane="bottomLeft" activeCell="AI79" sqref="AI79"/>
      <selection pane="bottomRight" activeCell="BS28" sqref="BS28"/>
    </sheetView>
  </sheetViews>
  <sheetFormatPr defaultColWidth="8.88671875" defaultRowHeight="14.4" x14ac:dyDescent="0.3"/>
  <cols>
    <col min="1" max="1" width="28.44140625" hidden="1" customWidth="1"/>
    <col min="2" max="2" width="32" bestFit="1" customWidth="1"/>
    <col min="3" max="3" width="11.6640625" hidden="1" customWidth="1"/>
    <col min="4" max="45" width="13.109375" hidden="1" customWidth="1"/>
    <col min="46" max="47" width="16.109375" hidden="1" customWidth="1"/>
    <col min="48" max="49" width="13.109375" hidden="1" customWidth="1"/>
    <col min="50" max="50" width="16" hidden="1" customWidth="1"/>
    <col min="51" max="75" width="13.109375" customWidth="1"/>
    <col min="76" max="76" width="14.88671875" hidden="1" customWidth="1"/>
    <col min="77" max="77" width="14.5546875" hidden="1" customWidth="1"/>
    <col min="78" max="78" width="14.109375" hidden="1" customWidth="1"/>
    <col min="79" max="79" width="14" hidden="1" customWidth="1"/>
    <col min="80" max="80" width="14" customWidth="1"/>
    <col min="81" max="81" width="16.88671875" hidden="1" customWidth="1"/>
    <col min="82" max="82" width="13.109375" hidden="1" customWidth="1"/>
  </cols>
  <sheetData>
    <row r="1" spans="1:82" x14ac:dyDescent="0.3">
      <c r="C1" s="12"/>
      <c r="D1" s="12"/>
      <c r="E1" s="12"/>
      <c r="F1" s="12"/>
      <c r="AY1" s="29"/>
      <c r="AZ1" s="29"/>
      <c r="BX1">
        <v>64</v>
      </c>
    </row>
    <row r="2" spans="1:82" ht="15" thickBot="1" x14ac:dyDescent="0.35">
      <c r="B2" s="1793" t="s">
        <v>50</v>
      </c>
      <c r="C2" s="6"/>
      <c r="D2" s="5" t="s">
        <v>14</v>
      </c>
      <c r="E2" s="5"/>
      <c r="F2" s="5"/>
      <c r="G2" s="5"/>
      <c r="H2" s="5" t="s">
        <v>15</v>
      </c>
      <c r="I2" s="5"/>
      <c r="J2" s="5"/>
      <c r="K2" s="5"/>
      <c r="L2" s="5" t="s">
        <v>16</v>
      </c>
      <c r="M2" s="5"/>
      <c r="N2" s="5"/>
      <c r="O2" s="5"/>
      <c r="P2" s="5" t="s">
        <v>17</v>
      </c>
      <c r="Q2" s="5"/>
      <c r="R2" s="5"/>
      <c r="S2" s="5"/>
      <c r="T2" s="5" t="s">
        <v>913</v>
      </c>
      <c r="U2" s="5"/>
      <c r="V2" s="5"/>
      <c r="W2" s="5"/>
      <c r="X2" s="5" t="s">
        <v>19</v>
      </c>
      <c r="Y2" s="5"/>
      <c r="Z2" s="5"/>
      <c r="AA2" s="5"/>
      <c r="AB2" s="5" t="s">
        <v>20</v>
      </c>
      <c r="AC2" s="5"/>
      <c r="AD2" s="5"/>
      <c r="AE2" s="5"/>
      <c r="AF2" s="5" t="s">
        <v>21</v>
      </c>
      <c r="AG2" s="5"/>
      <c r="AH2" s="5"/>
      <c r="AI2" s="5"/>
      <c r="AJ2" s="5" t="s">
        <v>22</v>
      </c>
      <c r="AK2" s="5"/>
      <c r="AL2" s="5"/>
      <c r="AM2" s="5"/>
      <c r="AN2" s="5" t="s">
        <v>23</v>
      </c>
      <c r="AO2" s="5"/>
      <c r="AP2" s="5"/>
      <c r="AQ2" s="5"/>
      <c r="AR2" s="5" t="s">
        <v>24</v>
      </c>
      <c r="AS2" s="5"/>
      <c r="AT2" s="5"/>
      <c r="AU2" s="5"/>
      <c r="AV2" s="5" t="s">
        <v>25</v>
      </c>
      <c r="AW2" s="5"/>
      <c r="AX2" s="5"/>
      <c r="AY2" s="5">
        <v>2022</v>
      </c>
      <c r="AZ2" s="5"/>
      <c r="BA2" s="5"/>
      <c r="BB2" s="5"/>
      <c r="BC2" s="5"/>
      <c r="BD2" s="5"/>
      <c r="BE2" s="5"/>
      <c r="BF2" s="5"/>
      <c r="BG2" s="5"/>
      <c r="BH2" s="5"/>
      <c r="BI2" s="5"/>
      <c r="BJ2" s="5"/>
      <c r="BK2" s="5">
        <v>2023</v>
      </c>
      <c r="BL2" s="5"/>
      <c r="BM2" s="5"/>
      <c r="BN2" s="5"/>
      <c r="BO2" s="5"/>
      <c r="BP2" s="5"/>
      <c r="BQ2" s="5"/>
      <c r="BR2" s="5"/>
      <c r="BS2" s="5"/>
      <c r="BT2" s="5"/>
      <c r="BU2" s="5"/>
      <c r="BV2" s="5"/>
      <c r="BW2" s="5"/>
      <c r="BX2" s="5"/>
      <c r="BY2" s="4"/>
      <c r="BZ2" s="4"/>
      <c r="CA2" s="4"/>
      <c r="CB2" s="4"/>
      <c r="CC2" s="4"/>
      <c r="CD2" s="4"/>
    </row>
    <row r="3" spans="1:82" ht="15" hidden="1" thickBot="1" x14ac:dyDescent="0.35">
      <c r="B3" s="1793"/>
      <c r="C3" s="6"/>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v>12</v>
      </c>
      <c r="AX3" s="5">
        <v>12</v>
      </c>
      <c r="AY3" s="767">
        <v>13</v>
      </c>
      <c r="AZ3" s="767">
        <v>14</v>
      </c>
      <c r="BA3" s="749">
        <v>15</v>
      </c>
      <c r="BB3" s="767">
        <v>16</v>
      </c>
      <c r="BC3" s="748">
        <v>17</v>
      </c>
      <c r="BD3" s="748">
        <v>18</v>
      </c>
      <c r="BE3" s="748">
        <v>19</v>
      </c>
      <c r="BF3" s="5">
        <v>20</v>
      </c>
      <c r="BG3" s="751">
        <v>21</v>
      </c>
      <c r="BH3" s="750">
        <v>22</v>
      </c>
      <c r="BI3" s="5">
        <v>23</v>
      </c>
      <c r="BJ3" s="751">
        <v>24</v>
      </c>
      <c r="BK3" s="5"/>
      <c r="BL3" s="5"/>
      <c r="BM3" s="5"/>
      <c r="BN3" s="5"/>
      <c r="BO3" s="5"/>
      <c r="BP3" s="5"/>
      <c r="BQ3" s="5"/>
      <c r="BR3" s="5"/>
      <c r="BS3" s="5"/>
      <c r="BT3" s="5"/>
      <c r="BU3" s="5"/>
      <c r="BV3" s="5"/>
      <c r="BW3" s="5"/>
      <c r="BX3" s="5"/>
      <c r="BY3" s="4"/>
      <c r="BZ3" s="4"/>
      <c r="CA3" s="4"/>
      <c r="CB3" s="4"/>
      <c r="CC3" s="4"/>
      <c r="CD3" s="4"/>
    </row>
    <row r="4" spans="1:82" ht="43.2" x14ac:dyDescent="0.3">
      <c r="B4" s="1793"/>
      <c r="C4" s="5" t="s">
        <v>12</v>
      </c>
      <c r="D4" s="5" t="s">
        <v>13</v>
      </c>
      <c r="E4" s="5" t="s">
        <v>407</v>
      </c>
      <c r="F4" s="5" t="s">
        <v>408</v>
      </c>
      <c r="G4" s="5" t="s">
        <v>12</v>
      </c>
      <c r="H4" s="5" t="s">
        <v>13</v>
      </c>
      <c r="I4" s="5" t="s">
        <v>407</v>
      </c>
      <c r="J4" s="5" t="s">
        <v>408</v>
      </c>
      <c r="K4" s="5" t="s">
        <v>12</v>
      </c>
      <c r="L4" s="5" t="s">
        <v>13</v>
      </c>
      <c r="M4" s="5" t="s">
        <v>407</v>
      </c>
      <c r="N4" s="5" t="s">
        <v>408</v>
      </c>
      <c r="O4" s="5" t="s">
        <v>12</v>
      </c>
      <c r="P4" s="5" t="s">
        <v>13</v>
      </c>
      <c r="Q4" s="5" t="s">
        <v>407</v>
      </c>
      <c r="R4" s="5" t="s">
        <v>408</v>
      </c>
      <c r="S4" s="5" t="s">
        <v>12</v>
      </c>
      <c r="T4" s="5" t="s">
        <v>13</v>
      </c>
      <c r="U4" s="5" t="s">
        <v>407</v>
      </c>
      <c r="V4" s="5" t="s">
        <v>408</v>
      </c>
      <c r="W4" s="5" t="s">
        <v>12</v>
      </c>
      <c r="X4" s="5" t="s">
        <v>13</v>
      </c>
      <c r="Y4" s="5" t="s">
        <v>407</v>
      </c>
      <c r="Z4" s="5" t="s">
        <v>408</v>
      </c>
      <c r="AA4" s="5" t="s">
        <v>12</v>
      </c>
      <c r="AB4" s="5" t="s">
        <v>13</v>
      </c>
      <c r="AC4" s="5" t="s">
        <v>407</v>
      </c>
      <c r="AD4" s="5" t="s">
        <v>408</v>
      </c>
      <c r="AE4" s="5" t="s">
        <v>12</v>
      </c>
      <c r="AF4" s="5" t="s">
        <v>13</v>
      </c>
      <c r="AG4" s="5" t="s">
        <v>407</v>
      </c>
      <c r="AH4" s="5" t="s">
        <v>408</v>
      </c>
      <c r="AI4" s="5" t="s">
        <v>12</v>
      </c>
      <c r="AJ4" s="5" t="s">
        <v>13</v>
      </c>
      <c r="AK4" s="5" t="s">
        <v>407</v>
      </c>
      <c r="AL4" s="5" t="s">
        <v>408</v>
      </c>
      <c r="AM4" s="5" t="s">
        <v>12</v>
      </c>
      <c r="AN4" s="5" t="s">
        <v>13</v>
      </c>
      <c r="AO4" s="5" t="s">
        <v>407</v>
      </c>
      <c r="AP4" s="5" t="s">
        <v>408</v>
      </c>
      <c r="AQ4" s="5" t="s">
        <v>12</v>
      </c>
      <c r="AR4" s="5" t="s">
        <v>13</v>
      </c>
      <c r="AS4" s="5" t="s">
        <v>407</v>
      </c>
      <c r="AT4" s="5" t="s">
        <v>408</v>
      </c>
      <c r="AU4" s="5" t="s">
        <v>12</v>
      </c>
      <c r="AV4" s="5" t="s">
        <v>13</v>
      </c>
      <c r="AW4" s="5" t="s">
        <v>407</v>
      </c>
      <c r="AX4" s="5" t="s">
        <v>408</v>
      </c>
      <c r="AY4" s="773">
        <v>44562</v>
      </c>
      <c r="AZ4" s="773">
        <v>44593</v>
      </c>
      <c r="BA4" s="775">
        <v>44621</v>
      </c>
      <c r="BB4" s="773">
        <v>44652</v>
      </c>
      <c r="BC4" s="774">
        <v>44682</v>
      </c>
      <c r="BD4" s="775">
        <v>44713</v>
      </c>
      <c r="BE4" s="774">
        <v>44743</v>
      </c>
      <c r="BF4" s="774">
        <v>44774</v>
      </c>
      <c r="BG4" s="775">
        <v>44805</v>
      </c>
      <c r="BH4" s="772">
        <v>44856</v>
      </c>
      <c r="BI4" s="799">
        <v>44887</v>
      </c>
      <c r="BJ4" s="772">
        <v>44917</v>
      </c>
      <c r="BK4" s="772">
        <v>44948</v>
      </c>
      <c r="BL4" s="772">
        <v>44979</v>
      </c>
      <c r="BM4" s="772">
        <v>45007</v>
      </c>
      <c r="BN4" s="772">
        <v>45017</v>
      </c>
      <c r="BO4" s="772">
        <f>DATE(YEAR(BN4),MONTH(BN4)+1,1)</f>
        <v>45047</v>
      </c>
      <c r="BP4" s="772">
        <f t="shared" ref="BP4:BV4" si="0">DATE(YEAR(BO4),MONTH(BO4)+1,1)</f>
        <v>45078</v>
      </c>
      <c r="BQ4" s="772">
        <f t="shared" si="0"/>
        <v>45108</v>
      </c>
      <c r="BR4" s="772">
        <f t="shared" si="0"/>
        <v>45139</v>
      </c>
      <c r="BS4" s="772">
        <f t="shared" si="0"/>
        <v>45170</v>
      </c>
      <c r="BT4" s="772">
        <f t="shared" si="0"/>
        <v>45200</v>
      </c>
      <c r="BU4" s="772">
        <f t="shared" si="0"/>
        <v>45231</v>
      </c>
      <c r="BV4" s="772">
        <f t="shared" si="0"/>
        <v>45261</v>
      </c>
      <c r="BW4" s="772" t="s">
        <v>892</v>
      </c>
      <c r="BX4" s="712" t="s">
        <v>536</v>
      </c>
      <c r="BY4" s="712" t="s">
        <v>13</v>
      </c>
      <c r="BZ4" s="712" t="s">
        <v>537</v>
      </c>
      <c r="CA4" s="712" t="s">
        <v>538</v>
      </c>
      <c r="CB4" s="712" t="s">
        <v>525</v>
      </c>
      <c r="CC4" s="712" t="s">
        <v>539</v>
      </c>
      <c r="CD4" s="712" t="s">
        <v>474</v>
      </c>
    </row>
    <row r="5" spans="1:82" ht="18" customHeight="1" x14ac:dyDescent="0.3">
      <c r="B5" s="7" t="s">
        <v>50</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row>
    <row r="6" spans="1:82" ht="18" customHeight="1" x14ac:dyDescent="0.3">
      <c r="A6" t="s">
        <v>802</v>
      </c>
      <c r="B6" t="s">
        <v>802</v>
      </c>
      <c r="C6" s="12">
        <v>50209</v>
      </c>
      <c r="D6" s="12">
        <v>45066</v>
      </c>
      <c r="E6" s="17">
        <v>31774.666666666664</v>
      </c>
      <c r="F6" s="14">
        <v>35768.1</v>
      </c>
      <c r="G6" s="12">
        <v>40715</v>
      </c>
      <c r="H6" s="12">
        <v>41942</v>
      </c>
      <c r="I6" s="17">
        <v>31219.818333333333</v>
      </c>
      <c r="J6" s="14">
        <v>30241.29</v>
      </c>
      <c r="K6" s="12">
        <v>44982</v>
      </c>
      <c r="L6" s="12">
        <v>56278</v>
      </c>
      <c r="M6" s="17">
        <v>37886.484999999993</v>
      </c>
      <c r="N6" s="14">
        <v>37669.54</v>
      </c>
      <c r="O6" s="12">
        <v>45905</v>
      </c>
      <c r="P6" s="12">
        <v>48305</v>
      </c>
      <c r="Q6" s="17">
        <v>37886.484999999993</v>
      </c>
      <c r="R6" s="14">
        <v>48860.850000000006</v>
      </c>
      <c r="S6" s="12">
        <v>47909</v>
      </c>
      <c r="T6" s="12">
        <v>41773</v>
      </c>
      <c r="U6" s="17">
        <v>37886.484999999993</v>
      </c>
      <c r="V6" s="14">
        <v>41419.700000000026</v>
      </c>
      <c r="W6" s="12">
        <v>41908</v>
      </c>
      <c r="X6" s="12">
        <v>43080</v>
      </c>
      <c r="Y6" s="17">
        <v>0</v>
      </c>
      <c r="Z6" s="14">
        <v>43801.38999999997</v>
      </c>
      <c r="AA6" s="12">
        <v>53558</v>
      </c>
      <c r="AB6" s="12">
        <v>45605</v>
      </c>
      <c r="AC6" s="17">
        <v>0</v>
      </c>
      <c r="AD6" s="14">
        <v>43381.670000000027</v>
      </c>
      <c r="AE6" s="12">
        <v>48215</v>
      </c>
      <c r="AF6" s="12">
        <v>34496</v>
      </c>
      <c r="AG6" s="17">
        <v>0</v>
      </c>
      <c r="AH6" s="14">
        <v>39454.709999999977</v>
      </c>
      <c r="AI6" s="12">
        <v>46328</v>
      </c>
      <c r="AJ6" s="12">
        <v>42138</v>
      </c>
      <c r="AK6" s="17">
        <v>0</v>
      </c>
      <c r="AL6" s="14">
        <v>41386.54</v>
      </c>
      <c r="AM6" s="12">
        <v>44031</v>
      </c>
      <c r="AN6" s="12">
        <v>42040</v>
      </c>
      <c r="AO6" s="17">
        <v>0</v>
      </c>
      <c r="AP6" s="14">
        <v>39344.630000000048</v>
      </c>
      <c r="AQ6" s="12">
        <v>33995</v>
      </c>
      <c r="AR6" s="12"/>
      <c r="AS6" s="17">
        <v>0</v>
      </c>
      <c r="AT6" s="14">
        <v>41218.189999999944</v>
      </c>
      <c r="AU6" s="12">
        <v>73477</v>
      </c>
      <c r="AV6" s="12"/>
      <c r="AW6" s="17">
        <v>0</v>
      </c>
      <c r="AX6" s="14">
        <v>43091.760000000009</v>
      </c>
      <c r="AY6" s="1048">
        <v>39344.629999999997</v>
      </c>
      <c r="AZ6" s="975">
        <v>37984.410000000003</v>
      </c>
      <c r="BA6" s="975">
        <v>45194.239999999998</v>
      </c>
      <c r="BB6" s="975">
        <v>47018.01</v>
      </c>
      <c r="BC6" s="975">
        <v>36611.82</v>
      </c>
      <c r="BD6" s="975">
        <v>39373.31</v>
      </c>
      <c r="BE6" s="975">
        <v>42282.87</v>
      </c>
      <c r="BF6" s="975">
        <v>44218.17</v>
      </c>
      <c r="BG6" s="975">
        <v>48631.42</v>
      </c>
      <c r="BH6" s="975">
        <v>49335.48</v>
      </c>
      <c r="BI6" s="975">
        <v>50861.85</v>
      </c>
      <c r="BJ6" s="975">
        <v>51585.67</v>
      </c>
      <c r="BK6" s="975">
        <f>'MXD P&amp;L'!N167</f>
        <v>51236.959999999999</v>
      </c>
      <c r="BL6" s="975">
        <f>'MXD P&amp;L'!O167</f>
        <v>46735.79</v>
      </c>
      <c r="BM6" s="975">
        <f>'MXD P&amp;L'!P167</f>
        <v>56602.99</v>
      </c>
      <c r="BN6" s="975">
        <f>'MXD P&amp;L'!Q167</f>
        <v>48467.87</v>
      </c>
      <c r="BO6" s="975">
        <f>'MXD P&amp;L'!R167</f>
        <v>55888.07</v>
      </c>
      <c r="BP6" s="975">
        <f>'MXD P&amp;L'!S167</f>
        <v>54957.120000000003</v>
      </c>
      <c r="BQ6" s="975">
        <f>'MXD P&amp;L'!T167</f>
        <v>50277.21</v>
      </c>
      <c r="BR6" s="975">
        <f>'MXD P&amp;L'!U165</f>
        <v>228.89</v>
      </c>
      <c r="BS6" s="975">
        <f>'MXD P&amp;L'!V165</f>
        <v>228.89</v>
      </c>
      <c r="BT6" s="975">
        <f>'MXD P&amp;L'!W165</f>
        <v>228.89</v>
      </c>
      <c r="BU6" s="975">
        <f>'MXD P&amp;L'!X165</f>
        <v>0</v>
      </c>
      <c r="BV6" s="975">
        <f>'MXD P&amp;L'!Y166</f>
        <v>0</v>
      </c>
      <c r="BW6" s="975">
        <f>SUM(BK6:BV6)</f>
        <v>364852.68000000005</v>
      </c>
      <c r="BX6" s="902">
        <v>571232</v>
      </c>
      <c r="BY6" s="902">
        <v>440723</v>
      </c>
      <c r="BZ6" s="902"/>
      <c r="CA6" s="902">
        <v>485638.37</v>
      </c>
      <c r="CB6" s="902">
        <f t="shared" ref="CB6:CB57" si="1">SUM(AY6:BB6)</f>
        <v>169541.29</v>
      </c>
      <c r="CC6" s="869">
        <v>46803.510000000009</v>
      </c>
      <c r="CD6" s="713">
        <v>8.7903509768991139E-2</v>
      </c>
    </row>
    <row r="7" spans="1:82" ht="18" customHeight="1" x14ac:dyDescent="0.3">
      <c r="A7" t="s">
        <v>920</v>
      </c>
      <c r="B7" t="s">
        <v>803</v>
      </c>
      <c r="C7" s="12">
        <v>4694</v>
      </c>
      <c r="D7" s="12">
        <v>4854</v>
      </c>
      <c r="E7" s="17">
        <v>2430.7620000000002</v>
      </c>
      <c r="F7" s="14">
        <v>2703.5</v>
      </c>
      <c r="G7" s="12">
        <v>4052</v>
      </c>
      <c r="H7" s="12">
        <v>3394</v>
      </c>
      <c r="I7" s="17">
        <v>2388.3161024999999</v>
      </c>
      <c r="J7" s="14">
        <v>2738.0300000000007</v>
      </c>
      <c r="K7" s="12">
        <v>4671</v>
      </c>
      <c r="L7" s="12">
        <v>4449</v>
      </c>
      <c r="M7" s="17">
        <v>2898.3161024999999</v>
      </c>
      <c r="N7" s="14">
        <v>2829.12</v>
      </c>
      <c r="O7" s="12">
        <v>3588</v>
      </c>
      <c r="P7" s="12">
        <v>3795</v>
      </c>
      <c r="Q7" s="17">
        <v>2898.3161024999999</v>
      </c>
      <c r="R7" s="14">
        <v>3739.1399999999994</v>
      </c>
      <c r="S7" s="12">
        <v>3890</v>
      </c>
      <c r="T7" s="12">
        <v>3111</v>
      </c>
      <c r="U7" s="17">
        <v>2898.3161024999999</v>
      </c>
      <c r="V7" s="14">
        <v>3089.5000000000023</v>
      </c>
      <c r="W7" s="12">
        <v>2558</v>
      </c>
      <c r="X7" s="12">
        <v>3299</v>
      </c>
      <c r="Y7" s="17">
        <v>0</v>
      </c>
      <c r="Z7" s="14">
        <v>3210.8199999999979</v>
      </c>
      <c r="AA7" s="12">
        <v>3690</v>
      </c>
      <c r="AB7" s="12">
        <v>3731</v>
      </c>
      <c r="AC7" s="17">
        <v>0</v>
      </c>
      <c r="AD7" s="14">
        <v>1697.94</v>
      </c>
      <c r="AE7" s="12">
        <v>2596</v>
      </c>
      <c r="AF7" s="12">
        <v>1776</v>
      </c>
      <c r="AG7" s="17">
        <v>0</v>
      </c>
      <c r="AH7" s="14">
        <v>1588.6900000000023</v>
      </c>
      <c r="AI7" s="12">
        <v>2147</v>
      </c>
      <c r="AJ7" s="12">
        <v>3091</v>
      </c>
      <c r="AK7" s="17">
        <v>0</v>
      </c>
      <c r="AL7" s="14">
        <v>1797.010000000002</v>
      </c>
      <c r="AM7" s="12">
        <v>2061</v>
      </c>
      <c r="AN7" s="12">
        <v>1864</v>
      </c>
      <c r="AO7" s="17">
        <v>0</v>
      </c>
      <c r="AP7" s="14">
        <v>1804.2399999999918</v>
      </c>
      <c r="AQ7" s="12">
        <v>878</v>
      </c>
      <c r="AR7" s="12"/>
      <c r="AS7" s="17">
        <v>0</v>
      </c>
      <c r="AT7" s="14">
        <v>1794.620000000001</v>
      </c>
      <c r="AU7" s="12">
        <v>4068</v>
      </c>
      <c r="AV7" s="12"/>
      <c r="AW7" s="17">
        <v>0</v>
      </c>
      <c r="AX7" s="14">
        <v>1279.6700000000021</v>
      </c>
      <c r="AY7" s="1048">
        <v>3331.65</v>
      </c>
      <c r="AZ7" s="975">
        <v>4340.45</v>
      </c>
      <c r="BA7" s="975">
        <v>3319.43</v>
      </c>
      <c r="BB7" s="975">
        <v>3665.35</v>
      </c>
      <c r="BC7" s="975">
        <v>34995.480000000003</v>
      </c>
      <c r="BD7" s="975">
        <v>20119.5</v>
      </c>
      <c r="BE7" s="975">
        <v>1145.1500000000001</v>
      </c>
      <c r="BF7" s="975">
        <v>3296.83</v>
      </c>
      <c r="BG7" s="975">
        <v>2326.98</v>
      </c>
      <c r="BH7" s="975">
        <v>3044.96</v>
      </c>
      <c r="BI7" s="975">
        <v>2488.44</v>
      </c>
      <c r="BJ7" s="975">
        <v>2188.39</v>
      </c>
      <c r="BK7" s="975">
        <f>'MXD P&amp;L'!N168</f>
        <v>5668.59</v>
      </c>
      <c r="BL7" s="975">
        <f>'MXD P&amp;L'!O168</f>
        <v>3813.6</v>
      </c>
      <c r="BM7" s="975">
        <f>'MXD P&amp;L'!P168</f>
        <v>4288.62</v>
      </c>
      <c r="BN7" s="975">
        <f>'MXD P&amp;L'!Q168</f>
        <v>3929.81</v>
      </c>
      <c r="BO7" s="975">
        <f>'MXD P&amp;L'!R168</f>
        <v>4586.67</v>
      </c>
      <c r="BP7" s="975">
        <f>'MXD P&amp;L'!S168</f>
        <v>4303.84</v>
      </c>
      <c r="BQ7" s="975">
        <f>'MXD P&amp;L'!T168</f>
        <v>2986.27</v>
      </c>
      <c r="BR7" s="975">
        <f>'MXD P&amp;L'!U166</f>
        <v>0</v>
      </c>
      <c r="BS7" s="975">
        <f>'MXD P&amp;L'!V166</f>
        <v>0</v>
      </c>
      <c r="BT7" s="975">
        <f>'MXD P&amp;L'!W166</f>
        <v>0</v>
      </c>
      <c r="BU7" s="975">
        <f>'MXD P&amp;L'!X166</f>
        <v>0</v>
      </c>
      <c r="BV7" s="975">
        <f>'MXD P&amp;L'!Y167</f>
        <v>0</v>
      </c>
      <c r="BW7" s="975">
        <f t="shared" ref="BW7:BW57" si="2">SUM(BK7:BV7)</f>
        <v>29577.4</v>
      </c>
      <c r="BX7" s="902">
        <v>571232</v>
      </c>
      <c r="BY7" s="902">
        <v>440723</v>
      </c>
      <c r="BZ7" s="902"/>
      <c r="CA7" s="902">
        <v>485638.37</v>
      </c>
      <c r="CB7" s="902">
        <f t="shared" si="1"/>
        <v>14656.880000000001</v>
      </c>
      <c r="CC7" s="869">
        <v>55990.33</v>
      </c>
      <c r="CD7" s="713">
        <v>0.66447419561297716</v>
      </c>
    </row>
    <row r="8" spans="1:82" ht="18" customHeight="1" x14ac:dyDescent="0.3">
      <c r="A8" t="s">
        <v>804</v>
      </c>
      <c r="B8" t="s">
        <v>804</v>
      </c>
      <c r="C8" s="12">
        <v>4694</v>
      </c>
      <c r="D8" s="12">
        <v>4854</v>
      </c>
      <c r="E8" s="17">
        <v>1138.54</v>
      </c>
      <c r="F8" s="14">
        <v>1497.51</v>
      </c>
      <c r="G8" s="12">
        <v>4052</v>
      </c>
      <c r="H8" s="12">
        <v>3394</v>
      </c>
      <c r="I8" s="17">
        <v>1138.54</v>
      </c>
      <c r="J8" s="14">
        <v>1497.5199999999986</v>
      </c>
      <c r="K8" s="12">
        <v>4671</v>
      </c>
      <c r="L8" s="12">
        <v>4449</v>
      </c>
      <c r="M8" s="17">
        <v>1402.67</v>
      </c>
      <c r="N8" s="14">
        <v>962.84</v>
      </c>
      <c r="O8" s="12">
        <v>3588</v>
      </c>
      <c r="P8" s="12">
        <v>3795</v>
      </c>
      <c r="Q8" s="17">
        <v>1402.67</v>
      </c>
      <c r="R8" s="14">
        <v>1226.98</v>
      </c>
      <c r="S8" s="12">
        <v>3890</v>
      </c>
      <c r="T8" s="12">
        <v>3111</v>
      </c>
      <c r="U8" s="17">
        <v>1402.67</v>
      </c>
      <c r="V8" s="14">
        <v>1226.98</v>
      </c>
      <c r="W8" s="12">
        <v>2558</v>
      </c>
      <c r="X8" s="12">
        <v>3299</v>
      </c>
      <c r="Y8" s="17">
        <v>0</v>
      </c>
      <c r="Z8" s="14">
        <v>2107.8099999999981</v>
      </c>
      <c r="AA8" s="12">
        <v>3690</v>
      </c>
      <c r="AB8" s="12">
        <v>3731</v>
      </c>
      <c r="AC8" s="17">
        <v>0</v>
      </c>
      <c r="AD8" s="14">
        <v>3067.4700000000012</v>
      </c>
      <c r="AE8" s="12">
        <v>2596</v>
      </c>
      <c r="AF8" s="12">
        <v>1776</v>
      </c>
      <c r="AG8" s="17">
        <v>0</v>
      </c>
      <c r="AH8" s="14">
        <v>1761.669999999998</v>
      </c>
      <c r="AI8" s="12">
        <v>2147</v>
      </c>
      <c r="AJ8" s="12">
        <v>3091</v>
      </c>
      <c r="AK8" s="17">
        <v>0</v>
      </c>
      <c r="AL8" s="14">
        <v>969.25</v>
      </c>
      <c r="AM8" s="12">
        <v>2061</v>
      </c>
      <c r="AN8" s="12">
        <v>1864</v>
      </c>
      <c r="AO8" s="17">
        <v>0</v>
      </c>
      <c r="AP8" s="14">
        <v>1497.5300000000061</v>
      </c>
      <c r="AQ8" s="12">
        <v>878</v>
      </c>
      <c r="AR8" s="12"/>
      <c r="AS8" s="17">
        <v>0</v>
      </c>
      <c r="AT8" s="14">
        <v>1497.5299999999991</v>
      </c>
      <c r="AU8" s="12">
        <v>4068</v>
      </c>
      <c r="AV8" s="12"/>
      <c r="AW8" s="17">
        <v>0</v>
      </c>
      <c r="AX8" s="14">
        <v>1843.68</v>
      </c>
      <c r="AY8" s="1048">
        <v>1908.62</v>
      </c>
      <c r="AZ8" s="975">
        <v>1908.62</v>
      </c>
      <c r="BA8" s="975">
        <v>1908.62</v>
      </c>
      <c r="BB8" s="975">
        <v>3381.78</v>
      </c>
      <c r="BC8" s="975">
        <v>1908.62</v>
      </c>
      <c r="BD8" s="975">
        <v>3962.33</v>
      </c>
      <c r="BE8" s="975">
        <v>2179.1999999999998</v>
      </c>
      <c r="BF8" s="975">
        <v>1626.58</v>
      </c>
      <c r="BG8" s="975">
        <v>1815.12</v>
      </c>
      <c r="BH8" s="975">
        <v>1914.51</v>
      </c>
      <c r="BI8" s="975">
        <v>1908.62</v>
      </c>
      <c r="BJ8" s="975">
        <v>2723.54</v>
      </c>
      <c r="BK8" s="975">
        <f>'MXD P&amp;L'!N169</f>
        <v>2191.7199999999998</v>
      </c>
      <c r="BL8" s="975">
        <f>'MXD P&amp;L'!O169</f>
        <v>2364.69</v>
      </c>
      <c r="BM8" s="975">
        <f>'MXD P&amp;L'!P169</f>
        <v>2417.2600000000002</v>
      </c>
      <c r="BN8" s="975">
        <f>'MXD P&amp;L'!Q169</f>
        <v>1835.13</v>
      </c>
      <c r="BO8" s="975">
        <f>'MXD P&amp;L'!R169</f>
        <v>2417.2600000000002</v>
      </c>
      <c r="BP8" s="975">
        <f>'MXD P&amp;L'!S169</f>
        <v>5846.54</v>
      </c>
      <c r="BQ8" s="975">
        <f>'MXD P&amp;L'!T169</f>
        <v>5120.26</v>
      </c>
      <c r="BR8" s="975">
        <f>'MXD P&amp;L'!U167</f>
        <v>58061.440000000002</v>
      </c>
      <c r="BS8" s="975">
        <f>'MXD P&amp;L'!V167</f>
        <v>52469.41</v>
      </c>
      <c r="BT8" s="975">
        <f>'MXD P&amp;L'!W167</f>
        <v>55296.42</v>
      </c>
      <c r="BU8" s="975">
        <f>'MXD P&amp;L'!X167</f>
        <v>0</v>
      </c>
      <c r="BV8" s="975">
        <f>'MXD P&amp;L'!Y168</f>
        <v>0</v>
      </c>
      <c r="BW8" s="975">
        <f t="shared" si="2"/>
        <v>188020.13</v>
      </c>
      <c r="BX8" s="902">
        <v>571232</v>
      </c>
      <c r="BY8" s="902">
        <v>440723</v>
      </c>
      <c r="BZ8" s="902"/>
      <c r="CA8" s="902">
        <v>485638.37</v>
      </c>
      <c r="CB8" s="902">
        <f t="shared" si="1"/>
        <v>9107.64</v>
      </c>
      <c r="CC8" s="869">
        <v>7989.3899999999921</v>
      </c>
      <c r="CD8" s="713">
        <v>0.29431013447205773</v>
      </c>
    </row>
    <row r="9" spans="1:82" ht="18" customHeight="1" x14ac:dyDescent="0.3">
      <c r="A9" t="s">
        <v>805</v>
      </c>
      <c r="B9" t="s">
        <v>805</v>
      </c>
      <c r="C9" s="8"/>
      <c r="D9" s="8">
        <v>157</v>
      </c>
      <c r="E9" s="18">
        <v>74</v>
      </c>
      <c r="F9" s="14">
        <v>85.14</v>
      </c>
      <c r="G9" s="8"/>
      <c r="H9" s="8">
        <v>157</v>
      </c>
      <c r="I9" s="18">
        <v>74</v>
      </c>
      <c r="J9" s="14"/>
      <c r="K9" s="8"/>
      <c r="L9" s="8">
        <v>157</v>
      </c>
      <c r="M9" s="18">
        <v>74</v>
      </c>
      <c r="N9" s="14"/>
      <c r="O9" s="8"/>
      <c r="P9" s="8">
        <v>157</v>
      </c>
      <c r="Q9" s="18">
        <v>74</v>
      </c>
      <c r="R9" s="14"/>
      <c r="S9" s="8">
        <v>280</v>
      </c>
      <c r="T9" s="8">
        <v>238</v>
      </c>
      <c r="U9" s="18">
        <v>85</v>
      </c>
      <c r="V9" s="14">
        <v>94.779999999999987</v>
      </c>
      <c r="W9" s="8">
        <v>157</v>
      </c>
      <c r="X9" s="8">
        <v>74</v>
      </c>
      <c r="Y9" s="18">
        <v>85</v>
      </c>
      <c r="Z9" s="14">
        <v>85.830000000000013</v>
      </c>
      <c r="AA9" s="8">
        <v>157</v>
      </c>
      <c r="AB9" s="8">
        <v>74</v>
      </c>
      <c r="AC9" s="18">
        <v>85</v>
      </c>
      <c r="AD9" s="14">
        <v>85.87</v>
      </c>
      <c r="AE9" s="8">
        <v>157</v>
      </c>
      <c r="AF9" s="8">
        <v>74</v>
      </c>
      <c r="AG9" s="18">
        <v>85</v>
      </c>
      <c r="AH9" s="14">
        <v>300.89</v>
      </c>
      <c r="AI9" s="8">
        <v>-910</v>
      </c>
      <c r="AJ9" s="8">
        <v>74</v>
      </c>
      <c r="AK9" s="18">
        <v>85</v>
      </c>
      <c r="AL9" s="14">
        <v>85.87</v>
      </c>
      <c r="AM9" s="8">
        <v>157</v>
      </c>
      <c r="AN9" s="8">
        <v>575</v>
      </c>
      <c r="AO9" s="18">
        <v>85</v>
      </c>
      <c r="AP9" s="14">
        <v>85.87</v>
      </c>
      <c r="AQ9" s="8">
        <v>157</v>
      </c>
      <c r="AR9" s="8"/>
      <c r="AS9" s="18">
        <v>85</v>
      </c>
      <c r="AT9" s="14">
        <v>85.87</v>
      </c>
      <c r="AU9" s="8">
        <v>157</v>
      </c>
      <c r="AV9" s="8"/>
      <c r="AW9" s="18">
        <v>85.87</v>
      </c>
      <c r="AX9" s="14">
        <v>-176.32999999999998</v>
      </c>
      <c r="AY9" s="1048">
        <v>85.87</v>
      </c>
      <c r="AZ9" s="975">
        <v>85.87</v>
      </c>
      <c r="BA9" s="975">
        <v>85.87</v>
      </c>
      <c r="BB9" s="975">
        <v>85.87</v>
      </c>
      <c r="BC9" s="975">
        <v>334.6</v>
      </c>
      <c r="BD9" s="975">
        <v>334.6</v>
      </c>
      <c r="BE9" s="975">
        <v>0</v>
      </c>
      <c r="BF9" s="975">
        <v>669.2</v>
      </c>
      <c r="BG9" s="975">
        <v>0.22</v>
      </c>
      <c r="BH9" s="975">
        <v>334.82</v>
      </c>
      <c r="BI9" s="975">
        <v>334.82</v>
      </c>
      <c r="BJ9" s="975">
        <v>334.82</v>
      </c>
      <c r="BK9" s="975">
        <f>'MXD P&amp;L'!N170</f>
        <v>334.82</v>
      </c>
      <c r="BL9" s="975">
        <f>'MXD P&amp;L'!O170</f>
        <v>334.82</v>
      </c>
      <c r="BM9" s="975">
        <f>'MXD P&amp;L'!P170</f>
        <v>0</v>
      </c>
      <c r="BN9" s="975">
        <f>'MXD P&amp;L'!Q170</f>
        <v>0</v>
      </c>
      <c r="BO9" s="975">
        <f>'MXD P&amp;L'!R170</f>
        <v>398.03</v>
      </c>
      <c r="BP9" s="975">
        <f>'MXD P&amp;L'!S170</f>
        <v>398.67</v>
      </c>
      <c r="BQ9" s="975">
        <f>'MXD P&amp;L'!T170</f>
        <v>797.4</v>
      </c>
      <c r="BR9" s="975">
        <f>'MXD P&amp;L'!U168</f>
        <v>3171.39</v>
      </c>
      <c r="BS9" s="975">
        <f>'MXD P&amp;L'!V168</f>
        <v>2742.38</v>
      </c>
      <c r="BT9" s="975">
        <f>'MXD P&amp;L'!W168</f>
        <v>2990.04</v>
      </c>
      <c r="BU9" s="975">
        <f>'MXD P&amp;L'!X168</f>
        <v>0</v>
      </c>
      <c r="BV9" s="975">
        <f>'MXD P&amp;L'!Y169</f>
        <v>0</v>
      </c>
      <c r="BW9" s="975">
        <f t="shared" si="2"/>
        <v>11167.55</v>
      </c>
      <c r="BX9" s="902">
        <v>571232</v>
      </c>
      <c r="BY9" s="902">
        <v>440723</v>
      </c>
      <c r="BZ9" s="902"/>
      <c r="CA9" s="902">
        <v>485638.37</v>
      </c>
      <c r="CB9" s="902">
        <f t="shared" si="1"/>
        <v>343.48</v>
      </c>
      <c r="CC9" s="902">
        <v>1952.7700000000004</v>
      </c>
      <c r="CD9" s="360">
        <v>0.72686632719909483</v>
      </c>
    </row>
    <row r="10" spans="1:82" ht="18" customHeight="1" x14ac:dyDescent="0.3">
      <c r="B10" s="1398" t="s">
        <v>1255</v>
      </c>
      <c r="C10" s="8"/>
      <c r="D10" s="8"/>
      <c r="E10" s="18"/>
      <c r="F10" s="14"/>
      <c r="G10" s="8"/>
      <c r="H10" s="8"/>
      <c r="I10" s="18"/>
      <c r="J10" s="14"/>
      <c r="K10" s="8"/>
      <c r="L10" s="8"/>
      <c r="M10" s="18"/>
      <c r="N10" s="14"/>
      <c r="O10" s="8"/>
      <c r="P10" s="8"/>
      <c r="Q10" s="18"/>
      <c r="R10" s="14"/>
      <c r="S10" s="8"/>
      <c r="T10" s="8"/>
      <c r="U10" s="18"/>
      <c r="V10" s="14"/>
      <c r="W10" s="8"/>
      <c r="X10" s="8"/>
      <c r="Y10" s="18"/>
      <c r="Z10" s="14"/>
      <c r="AA10" s="8"/>
      <c r="AB10" s="8"/>
      <c r="AC10" s="18"/>
      <c r="AD10" s="14"/>
      <c r="AE10" s="8"/>
      <c r="AF10" s="8"/>
      <c r="AG10" s="18"/>
      <c r="AH10" s="14"/>
      <c r="AI10" s="8"/>
      <c r="AJ10" s="8"/>
      <c r="AK10" s="18"/>
      <c r="AL10" s="14"/>
      <c r="AM10" s="8"/>
      <c r="AN10" s="8"/>
      <c r="AO10" s="18"/>
      <c r="AP10" s="14"/>
      <c r="AQ10" s="8"/>
      <c r="AR10" s="8"/>
      <c r="AS10" s="18"/>
      <c r="AT10" s="14"/>
      <c r="AU10" s="8"/>
      <c r="AV10" s="8"/>
      <c r="AW10" s="18"/>
      <c r="AX10" s="14"/>
      <c r="AY10" s="1048"/>
      <c r="AZ10" s="975"/>
      <c r="BA10" s="975"/>
      <c r="BB10" s="975"/>
      <c r="BC10" s="975"/>
      <c r="BD10" s="975"/>
      <c r="BE10" s="975"/>
      <c r="BF10" s="975"/>
      <c r="BG10" s="975"/>
      <c r="BH10" s="975"/>
      <c r="BI10" s="975"/>
      <c r="BJ10" s="975"/>
      <c r="BK10" s="975">
        <f>'MXD P&amp;L'!N171</f>
        <v>0</v>
      </c>
      <c r="BL10" s="975">
        <f>'MXD P&amp;L'!O171</f>
        <v>0</v>
      </c>
      <c r="BM10" s="975">
        <f>'MXD P&amp;L'!P171</f>
        <v>0</v>
      </c>
      <c r="BN10" s="975">
        <f>'MXD P&amp;L'!Q171</f>
        <v>0</v>
      </c>
      <c r="BO10" s="975">
        <f>'MXD P&amp;L'!R171</f>
        <v>36453.1</v>
      </c>
      <c r="BP10" s="975">
        <f>'MXD P&amp;L'!S171</f>
        <v>0</v>
      </c>
      <c r="BQ10" s="975">
        <f>'MXD P&amp;L'!T171</f>
        <v>0</v>
      </c>
      <c r="BR10" s="975">
        <f>'MXD P&amp;L'!U169</f>
        <v>4881.74</v>
      </c>
      <c r="BS10" s="975">
        <f>'MXD P&amp;L'!V169</f>
        <v>4885.21</v>
      </c>
      <c r="BT10" s="975">
        <f>'MXD P&amp;L'!W169</f>
        <v>4532.8500000000004</v>
      </c>
      <c r="BU10" s="975">
        <f>'MXD P&amp;L'!X169</f>
        <v>0</v>
      </c>
      <c r="BV10" s="975">
        <f>'MXD P&amp;L'!Y170</f>
        <v>0</v>
      </c>
      <c r="BW10" s="975">
        <f t="shared" si="2"/>
        <v>50752.899999999994</v>
      </c>
      <c r="BX10" s="902">
        <v>571232</v>
      </c>
      <c r="BY10" s="902">
        <v>440723</v>
      </c>
      <c r="BZ10" s="902"/>
      <c r="CA10" s="902">
        <v>485638.37</v>
      </c>
      <c r="CB10" s="902">
        <f t="shared" ref="CB10" si="3">SUM(AY10:BB10)</f>
        <v>0</v>
      </c>
      <c r="CC10" s="902"/>
      <c r="CD10" s="360"/>
    </row>
    <row r="11" spans="1:82" x14ac:dyDescent="0.3">
      <c r="A11" t="s">
        <v>806</v>
      </c>
      <c r="B11" t="s">
        <v>806</v>
      </c>
      <c r="C11" s="8"/>
      <c r="D11" s="8"/>
      <c r="E11" s="18"/>
      <c r="F11" s="14"/>
      <c r="G11" s="8">
        <v>100192</v>
      </c>
      <c r="H11" s="8"/>
      <c r="I11" s="18"/>
      <c r="J11" s="14"/>
      <c r="K11" s="8">
        <v>36060</v>
      </c>
      <c r="L11" s="8"/>
      <c r="M11" s="18"/>
      <c r="N11" s="14"/>
      <c r="O11" s="8">
        <v>40</v>
      </c>
      <c r="P11" s="8"/>
      <c r="Q11" s="18"/>
      <c r="R11" s="14"/>
      <c r="S11" s="8">
        <v>40032</v>
      </c>
      <c r="T11" s="8"/>
      <c r="U11" s="18"/>
      <c r="V11" s="14">
        <v>10659.5</v>
      </c>
      <c r="W11" s="8">
        <v>25000</v>
      </c>
      <c r="X11" s="8"/>
      <c r="Y11" s="18"/>
      <c r="Z11" s="14"/>
      <c r="AA11" s="8">
        <v>820</v>
      </c>
      <c r="AB11" s="8"/>
      <c r="AC11" s="18"/>
      <c r="AD11" s="14">
        <v>3838.639999999999</v>
      </c>
      <c r="AE11" s="8">
        <v>20007</v>
      </c>
      <c r="AF11" s="8"/>
      <c r="AG11" s="18"/>
      <c r="AH11" s="14"/>
      <c r="AK11" s="18"/>
      <c r="AL11" s="14"/>
      <c r="AM11">
        <v>39</v>
      </c>
      <c r="AO11" s="18"/>
      <c r="AP11" s="14"/>
      <c r="AS11" s="18"/>
      <c r="AT11" s="14"/>
      <c r="AU11">
        <v>32810</v>
      </c>
      <c r="AW11" s="18"/>
      <c r="AX11" s="14"/>
      <c r="AY11" s="1048">
        <v>0</v>
      </c>
      <c r="AZ11" s="975">
        <v>0</v>
      </c>
      <c r="BA11" s="975">
        <v>0</v>
      </c>
      <c r="BB11" s="975">
        <v>0</v>
      </c>
      <c r="BC11" s="975">
        <v>0</v>
      </c>
      <c r="BD11" s="975">
        <v>4.7699999999999996</v>
      </c>
      <c r="BE11" s="975">
        <v>0</v>
      </c>
      <c r="BF11" s="975">
        <v>6250</v>
      </c>
      <c r="BG11" s="975">
        <v>-1265.95</v>
      </c>
      <c r="BH11" s="975">
        <v>6378.6</v>
      </c>
      <c r="BI11" s="975">
        <v>0</v>
      </c>
      <c r="BJ11" s="975">
        <v>33847.440000000002</v>
      </c>
      <c r="BK11" s="975">
        <f>'MXD P&amp;L'!N172</f>
        <v>-59.4</v>
      </c>
      <c r="BL11" s="975">
        <f>'MXD P&amp;L'!O172</f>
        <v>-0.1</v>
      </c>
      <c r="BM11" s="975">
        <f>'MXD P&amp;L'!P172</f>
        <v>510.13</v>
      </c>
      <c r="BN11" s="975">
        <f>'MXD P&amp;L'!Q172</f>
        <v>-2426.35</v>
      </c>
      <c r="BO11" s="975">
        <f>'MXD P&amp;L'!R172</f>
        <v>14681.84</v>
      </c>
      <c r="BP11" s="975">
        <f>'MXD P&amp;L'!S172</f>
        <v>1331.68</v>
      </c>
      <c r="BQ11" s="975">
        <f>'MXD P&amp;L'!T172</f>
        <v>3039.73</v>
      </c>
      <c r="BR11" s="975">
        <f>'MXD P&amp;L'!U170</f>
        <v>398.7</v>
      </c>
      <c r="BS11" s="975">
        <f>'MXD P&amp;L'!V170</f>
        <v>398.7</v>
      </c>
      <c r="BT11" s="975">
        <f>'MXD P&amp;L'!W170</f>
        <v>405.17</v>
      </c>
      <c r="BU11" s="975">
        <f>'MXD P&amp;L'!X170</f>
        <v>0</v>
      </c>
      <c r="BV11" s="975">
        <f>'MXD P&amp;L'!Y171</f>
        <v>0</v>
      </c>
      <c r="BW11" s="975">
        <f t="shared" si="2"/>
        <v>18280.100000000002</v>
      </c>
      <c r="BX11" s="902">
        <v>571232</v>
      </c>
      <c r="BY11" s="902">
        <v>440723</v>
      </c>
      <c r="BZ11" s="902"/>
      <c r="CA11" s="902">
        <v>485638.37</v>
      </c>
      <c r="CB11" s="902">
        <f t="shared" si="1"/>
        <v>0</v>
      </c>
      <c r="CC11" s="314">
        <v>30716.720000000001</v>
      </c>
      <c r="CD11" s="311">
        <v>0.67935010746466984</v>
      </c>
    </row>
    <row r="12" spans="1:82" x14ac:dyDescent="0.3">
      <c r="A12" t="s">
        <v>807</v>
      </c>
      <c r="B12" t="s">
        <v>807</v>
      </c>
      <c r="C12" s="8"/>
      <c r="D12" s="8"/>
      <c r="E12" s="18">
        <v>10631.375525956388</v>
      </c>
      <c r="F12" s="14">
        <v>7048.96</v>
      </c>
      <c r="G12" s="8"/>
      <c r="H12" s="8"/>
      <c r="I12" s="18">
        <v>2825.0188830720608</v>
      </c>
      <c r="J12" s="14">
        <v>145.8100000000004</v>
      </c>
      <c r="K12" s="8"/>
      <c r="L12" s="8"/>
      <c r="M12" s="18">
        <v>2810.4933676959922</v>
      </c>
      <c r="N12" s="14">
        <v>2573.35</v>
      </c>
      <c r="O12" s="8"/>
      <c r="P12" s="8"/>
      <c r="Q12" s="18">
        <v>10194.548875520331</v>
      </c>
      <c r="R12" s="14">
        <v>6404.3899999999994</v>
      </c>
      <c r="S12" s="8"/>
      <c r="T12" s="8"/>
      <c r="U12" s="18">
        <v>2781.3253019573331</v>
      </c>
      <c r="V12" s="14">
        <v>135.40999999999991</v>
      </c>
      <c r="W12" s="8"/>
      <c r="X12" s="8"/>
      <c r="Y12" s="18">
        <v>2939.8322998052736</v>
      </c>
      <c r="Z12" s="14">
        <v>131.9200000000001</v>
      </c>
      <c r="AA12" s="8"/>
      <c r="AB12" s="8"/>
      <c r="AC12" s="18">
        <v>10175.87486709744</v>
      </c>
      <c r="AD12" s="14">
        <v>4335.7799999999988</v>
      </c>
      <c r="AE12" s="8"/>
      <c r="AF12" s="8"/>
      <c r="AG12" s="18">
        <v>2911.359284278506</v>
      </c>
      <c r="AH12" s="14">
        <v>124.92000000000191</v>
      </c>
      <c r="AK12" s="18">
        <v>2897.0654489790086</v>
      </c>
      <c r="AL12" s="14">
        <v>121.4099999999999</v>
      </c>
      <c r="AO12" s="18">
        <v>9977.9532585547913</v>
      </c>
      <c r="AP12" s="14">
        <v>4508.119999999999</v>
      </c>
      <c r="AS12" s="18">
        <v>2868.3626100862675</v>
      </c>
      <c r="AT12" s="14">
        <v>300.17000000000189</v>
      </c>
      <c r="AW12" s="18">
        <v>115.8099999999977</v>
      </c>
      <c r="AX12" s="14">
        <v>115.8099999999977</v>
      </c>
      <c r="AY12" s="1048">
        <v>4399.4799999999996</v>
      </c>
      <c r="AZ12" s="975">
        <v>243.49</v>
      </c>
      <c r="BA12" s="975">
        <v>1409.08</v>
      </c>
      <c r="BB12" s="975">
        <v>5995.53</v>
      </c>
      <c r="BC12" s="975">
        <v>184.84</v>
      </c>
      <c r="BD12" s="975">
        <v>4366.55</v>
      </c>
      <c r="BE12" s="975">
        <v>2448.9499999999998</v>
      </c>
      <c r="BF12" s="975">
        <v>541.98</v>
      </c>
      <c r="BG12" s="975">
        <v>577.42999999999995</v>
      </c>
      <c r="BH12" s="975">
        <v>4425.9799999999996</v>
      </c>
      <c r="BI12" s="975">
        <v>632.25</v>
      </c>
      <c r="BJ12" s="975">
        <v>3659.11</v>
      </c>
      <c r="BK12" s="975">
        <f>'MXD P&amp;L'!N173</f>
        <v>4451.6099999999997</v>
      </c>
      <c r="BL12" s="975">
        <f>'MXD P&amp;L'!O173</f>
        <v>711.45</v>
      </c>
      <c r="BM12" s="975">
        <f>'MXD P&amp;L'!P173</f>
        <v>739.19</v>
      </c>
      <c r="BN12" s="975">
        <f>'MXD P&amp;L'!Q173</f>
        <v>852.13</v>
      </c>
      <c r="BO12" s="975">
        <f>'MXD P&amp;L'!R173</f>
        <v>693.63</v>
      </c>
      <c r="BP12" s="975">
        <f>'MXD P&amp;L'!S173</f>
        <v>-1979.18</v>
      </c>
      <c r="BQ12" s="975">
        <f>'MXD P&amp;L'!T173</f>
        <v>0</v>
      </c>
      <c r="BR12" s="975">
        <f>'MXD P&amp;L'!U171</f>
        <v>0</v>
      </c>
      <c r="BS12" s="975">
        <f>'MXD P&amp;L'!V171</f>
        <v>0</v>
      </c>
      <c r="BT12" s="975">
        <f>'MXD P&amp;L'!W171</f>
        <v>15000</v>
      </c>
      <c r="BU12" s="975">
        <f>'MXD P&amp;L'!X171</f>
        <v>0</v>
      </c>
      <c r="BV12" s="975">
        <f>'MXD P&amp;L'!Y172</f>
        <v>0</v>
      </c>
      <c r="BW12" s="975">
        <f t="shared" si="2"/>
        <v>20468.830000000002</v>
      </c>
      <c r="BX12" s="902">
        <v>571232</v>
      </c>
      <c r="BY12" s="902">
        <v>440723</v>
      </c>
      <c r="BZ12" s="902"/>
      <c r="CA12" s="902">
        <v>485638.37</v>
      </c>
      <c r="CB12" s="902">
        <f t="shared" si="1"/>
        <v>12047.579999999998</v>
      </c>
      <c r="CC12" s="314">
        <v>2938.619999999999</v>
      </c>
      <c r="CD12" s="311">
        <v>0.10173631895396414</v>
      </c>
    </row>
    <row r="13" spans="1:82" x14ac:dyDescent="0.3">
      <c r="A13" t="s">
        <v>808</v>
      </c>
      <c r="B13" t="s">
        <v>808</v>
      </c>
      <c r="C13" s="8">
        <v>148</v>
      </c>
      <c r="D13" s="8">
        <v>326</v>
      </c>
      <c r="E13" s="18">
        <v>450</v>
      </c>
      <c r="F13" s="14">
        <v>611.13</v>
      </c>
      <c r="G13" s="8">
        <v>189</v>
      </c>
      <c r="H13" s="8">
        <v>520</v>
      </c>
      <c r="I13" s="18">
        <v>450</v>
      </c>
      <c r="J13" s="14">
        <v>492.00000000000011</v>
      </c>
      <c r="K13" s="8">
        <v>246</v>
      </c>
      <c r="L13" s="8">
        <v>473</v>
      </c>
      <c r="M13" s="18">
        <v>450</v>
      </c>
      <c r="N13" s="14">
        <v>507.45</v>
      </c>
      <c r="O13" s="8">
        <v>213</v>
      </c>
      <c r="P13" s="8">
        <v>630</v>
      </c>
      <c r="Q13" s="18">
        <v>450</v>
      </c>
      <c r="R13" s="14">
        <v>548.26000000000022</v>
      </c>
      <c r="S13" s="8">
        <v>359</v>
      </c>
      <c r="T13" s="8">
        <v>1013</v>
      </c>
      <c r="U13" s="18">
        <v>450</v>
      </c>
      <c r="V13" s="14">
        <v>803.52999999999975</v>
      </c>
      <c r="W13" s="8">
        <v>283</v>
      </c>
      <c r="X13" s="8">
        <v>510</v>
      </c>
      <c r="Y13" s="18">
        <v>592.47399999999993</v>
      </c>
      <c r="Z13" s="14">
        <v>614.54</v>
      </c>
      <c r="AA13" s="8">
        <v>109</v>
      </c>
      <c r="AB13" s="8">
        <v>15</v>
      </c>
      <c r="AC13" s="18">
        <v>450</v>
      </c>
      <c r="AD13" s="14">
        <v>702.40000000000055</v>
      </c>
      <c r="AE13" s="8">
        <v>577</v>
      </c>
      <c r="AF13" s="8">
        <v>604</v>
      </c>
      <c r="AG13" s="18">
        <v>450</v>
      </c>
      <c r="AH13" s="14">
        <v>2316.52</v>
      </c>
      <c r="AI13">
        <v>313</v>
      </c>
      <c r="AJ13">
        <v>539</v>
      </c>
      <c r="AK13" s="18">
        <v>450</v>
      </c>
      <c r="AL13" s="14">
        <v>745.14999999999964</v>
      </c>
      <c r="AM13">
        <v>347</v>
      </c>
      <c r="AN13">
        <v>557</v>
      </c>
      <c r="AO13" s="18">
        <v>450</v>
      </c>
      <c r="AP13" s="14">
        <v>637.35000000000036</v>
      </c>
      <c r="AQ13">
        <v>338</v>
      </c>
      <c r="AS13" s="18">
        <v>450</v>
      </c>
      <c r="AT13" s="14">
        <v>620.46999999999935</v>
      </c>
      <c r="AU13">
        <v>385</v>
      </c>
      <c r="AW13" s="18">
        <v>450</v>
      </c>
      <c r="AX13" s="14">
        <v>529.28000000000065</v>
      </c>
      <c r="AY13" s="1048">
        <v>609.16999999999996</v>
      </c>
      <c r="AZ13" s="975">
        <v>759.86</v>
      </c>
      <c r="BA13" s="975">
        <v>782.87</v>
      </c>
      <c r="BB13" s="975">
        <v>899.11</v>
      </c>
      <c r="BC13" s="975">
        <v>925.89</v>
      </c>
      <c r="BD13" s="975">
        <v>852.09</v>
      </c>
      <c r="BE13" s="975">
        <v>1079.94</v>
      </c>
      <c r="BF13" s="975">
        <v>-1614.33</v>
      </c>
      <c r="BG13" s="975">
        <v>1109.92</v>
      </c>
      <c r="BH13" s="975">
        <v>1041.21</v>
      </c>
      <c r="BI13" s="975">
        <v>1235.97</v>
      </c>
      <c r="BJ13" s="975">
        <v>1007.49</v>
      </c>
      <c r="BK13" s="975">
        <f>'MXD P&amp;L'!N174</f>
        <v>802.81</v>
      </c>
      <c r="BL13" s="975">
        <f>'MXD P&amp;L'!O174</f>
        <v>873.62</v>
      </c>
      <c r="BM13" s="975">
        <f>'MXD P&amp;L'!P174</f>
        <v>758.17</v>
      </c>
      <c r="BN13" s="975">
        <f>'MXD P&amp;L'!Q174</f>
        <v>1067.71</v>
      </c>
      <c r="BO13" s="975">
        <f>'MXD P&amp;L'!R174</f>
        <v>1310.32</v>
      </c>
      <c r="BP13" s="975">
        <f>'MXD P&amp;L'!S174</f>
        <v>1243.05</v>
      </c>
      <c r="BQ13" s="975">
        <f>'MXD P&amp;L'!T174</f>
        <v>1796.92</v>
      </c>
      <c r="BR13" s="975">
        <f>'MXD P&amp;L'!U172</f>
        <v>5255.51</v>
      </c>
      <c r="BS13" s="975">
        <f>'MXD P&amp;L'!V172</f>
        <v>-13380.88</v>
      </c>
      <c r="BT13" s="975">
        <f>'MXD P&amp;L'!W172</f>
        <v>775.98</v>
      </c>
      <c r="BU13" s="975">
        <f>'MXD P&amp;L'!X172</f>
        <v>0</v>
      </c>
      <c r="BV13" s="975">
        <f>'MXD P&amp;L'!Y173</f>
        <v>0</v>
      </c>
      <c r="BW13" s="975">
        <f t="shared" si="2"/>
        <v>503.2100000000014</v>
      </c>
      <c r="BX13" s="902">
        <v>571232</v>
      </c>
      <c r="BY13" s="902">
        <v>440723</v>
      </c>
      <c r="BZ13" s="902"/>
      <c r="CA13" s="902">
        <v>485638.37</v>
      </c>
      <c r="CB13" s="902">
        <f t="shared" si="1"/>
        <v>3051.01</v>
      </c>
      <c r="CC13" s="314">
        <v>-438.88999999999942</v>
      </c>
      <c r="CD13" s="311">
        <v>-5.0509886422094509E-2</v>
      </c>
    </row>
    <row r="14" spans="1:82" x14ac:dyDescent="0.3">
      <c r="A14" t="s">
        <v>809</v>
      </c>
      <c r="B14" t="s">
        <v>809</v>
      </c>
      <c r="C14" s="8"/>
      <c r="D14" s="8">
        <v>57</v>
      </c>
      <c r="E14" s="18">
        <v>65</v>
      </c>
      <c r="F14" s="14"/>
      <c r="G14" s="8">
        <v>75</v>
      </c>
      <c r="H14" s="8"/>
      <c r="I14" s="18"/>
      <c r="J14" s="14">
        <v>2054.77</v>
      </c>
      <c r="K14" s="8"/>
      <c r="L14" s="8"/>
      <c r="M14" s="18"/>
      <c r="N14" s="14">
        <v>19.899999999999999</v>
      </c>
      <c r="O14" s="8"/>
      <c r="P14" s="8"/>
      <c r="Q14" s="18"/>
      <c r="R14" s="14">
        <v>1172.08</v>
      </c>
      <c r="S14" s="8"/>
      <c r="T14" s="8"/>
      <c r="U14" s="18"/>
      <c r="V14" s="14">
        <v>9.9500000000000455</v>
      </c>
      <c r="W14" s="8"/>
      <c r="X14" s="8"/>
      <c r="Y14" s="18"/>
      <c r="Z14" s="14"/>
      <c r="AA14" s="8"/>
      <c r="AB14" s="8"/>
      <c r="AC14" s="18"/>
      <c r="AD14" s="14"/>
      <c r="AE14" s="8"/>
      <c r="AF14" s="8">
        <v>59</v>
      </c>
      <c r="AG14" s="18">
        <v>65</v>
      </c>
      <c r="AH14" s="14"/>
      <c r="AI14" s="8"/>
      <c r="AJ14" s="8"/>
      <c r="AK14" s="18"/>
      <c r="AL14" s="14"/>
      <c r="AM14" s="8"/>
      <c r="AN14" s="8"/>
      <c r="AO14" s="18"/>
      <c r="AP14" s="14">
        <v>176.84999999999991</v>
      </c>
      <c r="AQ14" s="8"/>
      <c r="AR14" s="8"/>
      <c r="AS14" s="18"/>
      <c r="AT14" s="14"/>
      <c r="AU14" s="8"/>
      <c r="AV14" s="8"/>
      <c r="AW14" s="18"/>
      <c r="AX14" s="14">
        <v>2269.67</v>
      </c>
      <c r="AY14" s="975">
        <v>0</v>
      </c>
      <c r="AZ14" s="975">
        <v>10.95</v>
      </c>
      <c r="BA14" s="975">
        <v>0</v>
      </c>
      <c r="BB14" s="975">
        <v>21.9</v>
      </c>
      <c r="BC14" s="975">
        <v>0</v>
      </c>
      <c r="BD14" s="975">
        <v>928.74</v>
      </c>
      <c r="BE14" s="975">
        <v>256.32</v>
      </c>
      <c r="BF14" s="975">
        <v>0</v>
      </c>
      <c r="BG14" s="975">
        <v>0</v>
      </c>
      <c r="BH14" s="975">
        <v>2806.46</v>
      </c>
      <c r="BI14" s="975">
        <v>0</v>
      </c>
      <c r="BJ14" s="975">
        <v>0</v>
      </c>
      <c r="BK14" s="975">
        <f>'MXD P&amp;L'!N175</f>
        <v>0</v>
      </c>
      <c r="BL14" s="975">
        <f>'MXD P&amp;L'!O175</f>
        <v>0</v>
      </c>
      <c r="BM14" s="975">
        <f>'MXD P&amp;L'!P175</f>
        <v>49.2</v>
      </c>
      <c r="BN14" s="975">
        <f>'MXD P&amp;L'!Q175</f>
        <v>97.01</v>
      </c>
      <c r="BO14" s="975">
        <f>'MXD P&amp;L'!R175</f>
        <v>264.5</v>
      </c>
      <c r="BP14" s="975">
        <f>'MXD P&amp;L'!S175</f>
        <v>1402.22</v>
      </c>
      <c r="BQ14" s="975">
        <f>'MXD P&amp;L'!T175</f>
        <v>8</v>
      </c>
      <c r="BR14" s="975">
        <f>'MXD P&amp;L'!U173</f>
        <v>0</v>
      </c>
      <c r="BS14" s="975">
        <f>'MXD P&amp;L'!V173</f>
        <v>0</v>
      </c>
      <c r="BT14" s="975">
        <f>'MXD P&amp;L'!W173</f>
        <v>3.43</v>
      </c>
      <c r="BU14" s="975">
        <f>'MXD P&amp;L'!X173</f>
        <v>0</v>
      </c>
      <c r="BV14" s="975">
        <f>'MXD P&amp;L'!Y174</f>
        <v>0</v>
      </c>
      <c r="BW14" s="975">
        <f t="shared" si="2"/>
        <v>1824.3600000000001</v>
      </c>
      <c r="BX14" s="902">
        <v>571232</v>
      </c>
      <c r="BY14" s="902">
        <v>440723</v>
      </c>
      <c r="BZ14" s="902"/>
      <c r="CA14" s="902">
        <v>485638.37</v>
      </c>
      <c r="CB14" s="902">
        <f t="shared" si="1"/>
        <v>32.849999999999994</v>
      </c>
      <c r="CC14" s="902">
        <v>-1678.8499999999995</v>
      </c>
      <c r="CD14" s="360">
        <v>-0.41717088637476163</v>
      </c>
    </row>
    <row r="15" spans="1:82" x14ac:dyDescent="0.3">
      <c r="A15" t="s">
        <v>810</v>
      </c>
      <c r="B15" t="s">
        <v>810</v>
      </c>
      <c r="C15" s="8">
        <v>2018</v>
      </c>
      <c r="D15" s="8">
        <v>2308</v>
      </c>
      <c r="E15" s="18">
        <v>2332</v>
      </c>
      <c r="F15" s="14">
        <v>2007.95</v>
      </c>
      <c r="G15" s="8">
        <v>2026</v>
      </c>
      <c r="H15" s="8">
        <v>1712</v>
      </c>
      <c r="I15" s="18">
        <v>2332</v>
      </c>
      <c r="J15" s="14">
        <v>2213.5700000000011</v>
      </c>
      <c r="K15" s="8">
        <v>3316</v>
      </c>
      <c r="L15" s="8">
        <v>1476</v>
      </c>
      <c r="M15" s="18">
        <v>2332</v>
      </c>
      <c r="N15" s="14">
        <v>3080.09</v>
      </c>
      <c r="O15" s="8">
        <v>2325</v>
      </c>
      <c r="P15" s="8">
        <v>3674</v>
      </c>
      <c r="Q15" s="18">
        <v>2332</v>
      </c>
      <c r="R15" s="14">
        <v>2254.920000000001</v>
      </c>
      <c r="S15" s="8">
        <v>2041</v>
      </c>
      <c r="T15" s="8">
        <v>2307</v>
      </c>
      <c r="U15" s="18">
        <v>2332</v>
      </c>
      <c r="V15" s="14">
        <v>1992.389999999999</v>
      </c>
      <c r="W15" s="8">
        <v>1611</v>
      </c>
      <c r="X15" s="8">
        <v>2332</v>
      </c>
      <c r="Y15" s="18">
        <v>2309.7840000000006</v>
      </c>
      <c r="Z15" s="14">
        <v>2494.58</v>
      </c>
      <c r="AA15" s="8">
        <v>3128</v>
      </c>
      <c r="AB15" s="8">
        <v>1149</v>
      </c>
      <c r="AC15" s="18">
        <v>2332</v>
      </c>
      <c r="AD15" s="14">
        <v>1352.48</v>
      </c>
      <c r="AE15" s="8">
        <v>1751</v>
      </c>
      <c r="AF15" s="8">
        <v>1689</v>
      </c>
      <c r="AG15" s="18">
        <v>2332</v>
      </c>
      <c r="AH15" s="14">
        <v>2937.0600000000009</v>
      </c>
      <c r="AI15">
        <v>1211</v>
      </c>
      <c r="AJ15">
        <v>3819</v>
      </c>
      <c r="AK15" s="18">
        <v>2332</v>
      </c>
      <c r="AL15" s="14">
        <v>1831.8099999999979</v>
      </c>
      <c r="AM15">
        <v>3487</v>
      </c>
      <c r="AN15">
        <v>2215</v>
      </c>
      <c r="AO15" s="18">
        <v>2332</v>
      </c>
      <c r="AP15" s="14">
        <v>2799.0400000000009</v>
      </c>
      <c r="AQ15">
        <v>3102</v>
      </c>
      <c r="AS15" s="18">
        <v>2332</v>
      </c>
      <c r="AT15" s="14">
        <v>2065.010000000002</v>
      </c>
      <c r="AU15">
        <v>2123</v>
      </c>
      <c r="AW15" s="18">
        <v>2332</v>
      </c>
      <c r="AX15" s="14">
        <v>2042.8299999999981</v>
      </c>
      <c r="AY15" s="1048">
        <v>1364.79</v>
      </c>
      <c r="AZ15" s="975">
        <v>2658.65</v>
      </c>
      <c r="BA15" s="975">
        <v>1323.47</v>
      </c>
      <c r="BB15" s="975">
        <v>3034.44</v>
      </c>
      <c r="BC15" s="975">
        <v>2223.33</v>
      </c>
      <c r="BD15" s="975">
        <v>354.75</v>
      </c>
      <c r="BE15" s="975">
        <v>279.91000000000003</v>
      </c>
      <c r="BF15" s="975">
        <v>1081.74</v>
      </c>
      <c r="BG15" s="975">
        <v>394.37</v>
      </c>
      <c r="BH15" s="975">
        <v>1426.22</v>
      </c>
      <c r="BI15" s="975">
        <v>2080.4299999999998</v>
      </c>
      <c r="BJ15" s="975">
        <v>2693.07</v>
      </c>
      <c r="BK15" s="975">
        <f>'MXD P&amp;L'!N176</f>
        <v>2144.84</v>
      </c>
      <c r="BL15" s="975">
        <f>'MXD P&amp;L'!O176</f>
        <v>1366.82</v>
      </c>
      <c r="BM15" s="975">
        <f>'MXD P&amp;L'!P176</f>
        <v>2012.81</v>
      </c>
      <c r="BN15" s="975">
        <f>'MXD P&amp;L'!Q176</f>
        <v>3477.27</v>
      </c>
      <c r="BO15" s="975">
        <f>'MXD P&amp;L'!R176</f>
        <v>1506.88</v>
      </c>
      <c r="BP15" s="975">
        <f>'MXD P&amp;L'!S176</f>
        <v>1832.02</v>
      </c>
      <c r="BQ15" s="975">
        <f>'MXD P&amp;L'!T176</f>
        <v>1956.86</v>
      </c>
      <c r="BR15" s="975">
        <f>'MXD P&amp;L'!U174</f>
        <v>1163.3399999999999</v>
      </c>
      <c r="BS15" s="975">
        <f>'MXD P&amp;L'!V174</f>
        <v>950.29</v>
      </c>
      <c r="BT15" s="975">
        <f>'MXD P&amp;L'!W174</f>
        <v>939.59</v>
      </c>
      <c r="BU15" s="975">
        <f>'MXD P&amp;L'!X174</f>
        <v>0</v>
      </c>
      <c r="BV15" s="975">
        <f>'MXD P&amp;L'!Y175</f>
        <v>0</v>
      </c>
      <c r="BW15" s="975">
        <f t="shared" si="2"/>
        <v>17350.72</v>
      </c>
      <c r="BX15" s="902">
        <v>571232</v>
      </c>
      <c r="BY15" s="902">
        <v>440723</v>
      </c>
      <c r="BZ15" s="902"/>
      <c r="CA15" s="902">
        <v>485638.37</v>
      </c>
      <c r="CB15" s="902">
        <f t="shared" si="1"/>
        <v>8381.35</v>
      </c>
      <c r="CC15" s="314">
        <v>-8156.5599999999977</v>
      </c>
      <c r="CD15" s="311">
        <v>-0.43121790605106891</v>
      </c>
    </row>
    <row r="16" spans="1:82" x14ac:dyDescent="0.3">
      <c r="A16" t="s">
        <v>811</v>
      </c>
      <c r="B16" t="s">
        <v>811</v>
      </c>
      <c r="C16" s="8">
        <v>42</v>
      </c>
      <c r="D16" s="8">
        <v>46</v>
      </c>
      <c r="E16" s="18">
        <v>50</v>
      </c>
      <c r="F16" s="14">
        <v>54.2</v>
      </c>
      <c r="G16" s="8">
        <v>45</v>
      </c>
      <c r="H16" s="8">
        <v>50</v>
      </c>
      <c r="I16" s="18">
        <v>50</v>
      </c>
      <c r="J16" s="14">
        <v>47.099999999999987</v>
      </c>
      <c r="K16" s="8">
        <v>45</v>
      </c>
      <c r="L16" s="8">
        <v>51</v>
      </c>
      <c r="M16" s="18">
        <v>50</v>
      </c>
      <c r="N16" s="14">
        <v>50.4</v>
      </c>
      <c r="O16" s="8">
        <v>45</v>
      </c>
      <c r="P16" s="8">
        <v>49</v>
      </c>
      <c r="Q16" s="18">
        <v>50</v>
      </c>
      <c r="R16" s="14">
        <v>52.850000000000023</v>
      </c>
      <c r="S16" s="8">
        <v>43</v>
      </c>
      <c r="T16" s="8">
        <v>56</v>
      </c>
      <c r="U16" s="18">
        <v>50</v>
      </c>
      <c r="V16" s="14">
        <v>56.75</v>
      </c>
      <c r="W16" s="8">
        <v>48</v>
      </c>
      <c r="X16" s="8">
        <v>50</v>
      </c>
      <c r="Y16" s="18">
        <v>52.260000000000005</v>
      </c>
      <c r="Z16" s="14">
        <v>52.849999999999973</v>
      </c>
      <c r="AA16" s="8">
        <v>-152</v>
      </c>
      <c r="AB16" s="8">
        <v>-17</v>
      </c>
      <c r="AC16" s="18">
        <v>50</v>
      </c>
      <c r="AD16" s="14">
        <v>51.850000000000023</v>
      </c>
      <c r="AE16" s="8">
        <v>46</v>
      </c>
      <c r="AF16" s="8">
        <v>54</v>
      </c>
      <c r="AG16" s="18">
        <v>50</v>
      </c>
      <c r="AH16" s="14">
        <v>59.399999999999977</v>
      </c>
      <c r="AI16">
        <v>-272</v>
      </c>
      <c r="AJ16">
        <v>51</v>
      </c>
      <c r="AK16" s="18">
        <v>50</v>
      </c>
      <c r="AL16" s="14">
        <v>58.850000000000023</v>
      </c>
      <c r="AM16">
        <v>52</v>
      </c>
      <c r="AN16">
        <v>50</v>
      </c>
      <c r="AO16" s="18">
        <v>50</v>
      </c>
      <c r="AP16" s="14">
        <v>62.399999999999977</v>
      </c>
      <c r="AQ16">
        <v>50</v>
      </c>
      <c r="AS16" s="18">
        <v>50</v>
      </c>
      <c r="AT16" s="14">
        <v>59.100000000000023</v>
      </c>
      <c r="AU16">
        <v>49</v>
      </c>
      <c r="AW16" s="18">
        <v>50</v>
      </c>
      <c r="AX16" s="14">
        <v>56.799999999999947</v>
      </c>
      <c r="AY16" s="1048">
        <v>53.9</v>
      </c>
      <c r="AZ16" s="975">
        <v>54.8</v>
      </c>
      <c r="BA16" s="975">
        <v>55.2</v>
      </c>
      <c r="BB16" s="975">
        <v>68.56</v>
      </c>
      <c r="BC16" s="975">
        <v>59.05</v>
      </c>
      <c r="BD16" s="975">
        <v>58.2</v>
      </c>
      <c r="BE16" s="975">
        <v>57.85</v>
      </c>
      <c r="BF16" s="975">
        <v>54.55</v>
      </c>
      <c r="BG16" s="975">
        <v>0</v>
      </c>
      <c r="BH16" s="975">
        <v>53.5</v>
      </c>
      <c r="BI16" s="975">
        <v>60.5</v>
      </c>
      <c r="BJ16" s="975">
        <v>49</v>
      </c>
      <c r="BK16" s="975">
        <f>'MXD P&amp;L'!N177</f>
        <v>48.8</v>
      </c>
      <c r="BL16" s="975">
        <f>'MXD P&amp;L'!O177</f>
        <v>48.35</v>
      </c>
      <c r="BM16" s="975">
        <f>'MXD P&amp;L'!P177</f>
        <v>50.85</v>
      </c>
      <c r="BN16" s="975">
        <f>'MXD P&amp;L'!Q177</f>
        <v>51.05</v>
      </c>
      <c r="BO16" s="975">
        <f>'MXD P&amp;L'!R177</f>
        <v>46.35</v>
      </c>
      <c r="BP16" s="975">
        <f>'MXD P&amp;L'!S177</f>
        <v>49</v>
      </c>
      <c r="BQ16" s="975">
        <f>'MXD P&amp;L'!T177</f>
        <v>49.3</v>
      </c>
      <c r="BR16" s="975">
        <f>'MXD P&amp;L'!U175</f>
        <v>0</v>
      </c>
      <c r="BS16" s="975">
        <f>'MXD P&amp;L'!V175</f>
        <v>195.16</v>
      </c>
      <c r="BT16" s="975">
        <f>'MXD P&amp;L'!W175</f>
        <v>69.64</v>
      </c>
      <c r="BU16" s="975">
        <f>'MXD P&amp;L'!X175</f>
        <v>0</v>
      </c>
      <c r="BV16" s="975">
        <f>'MXD P&amp;L'!Y176</f>
        <v>0</v>
      </c>
      <c r="BW16" s="975">
        <f t="shared" si="2"/>
        <v>608.5</v>
      </c>
      <c r="BX16" s="902">
        <v>571232</v>
      </c>
      <c r="BY16" s="902">
        <v>440723</v>
      </c>
      <c r="BZ16" s="902"/>
      <c r="CA16" s="902">
        <v>485638.37</v>
      </c>
      <c r="CB16" s="902">
        <f t="shared" si="1"/>
        <v>232.45999999999998</v>
      </c>
      <c r="CC16" s="314">
        <v>-37.439999999999941</v>
      </c>
      <c r="CD16" s="311">
        <v>-5.9893458751259683E-2</v>
      </c>
    </row>
    <row r="17" spans="1:82" x14ac:dyDescent="0.3">
      <c r="A17" t="s">
        <v>812</v>
      </c>
      <c r="B17" t="s">
        <v>812</v>
      </c>
      <c r="C17" s="8">
        <v>268</v>
      </c>
      <c r="D17" s="8">
        <v>268</v>
      </c>
      <c r="E17" s="18">
        <v>1378</v>
      </c>
      <c r="F17" s="14">
        <v>1163.97</v>
      </c>
      <c r="G17" s="8">
        <v>268</v>
      </c>
      <c r="H17" s="8">
        <v>268</v>
      </c>
      <c r="I17" s="18">
        <v>1378</v>
      </c>
      <c r="J17" s="14">
        <v>1163.97</v>
      </c>
      <c r="K17" s="8">
        <v>268</v>
      </c>
      <c r="L17" s="8">
        <v>268</v>
      </c>
      <c r="M17" s="18">
        <v>1378</v>
      </c>
      <c r="N17" s="14">
        <v>1163.97</v>
      </c>
      <c r="O17" s="8">
        <v>268</v>
      </c>
      <c r="P17" s="8">
        <v>268</v>
      </c>
      <c r="Q17" s="18">
        <v>1378</v>
      </c>
      <c r="R17" s="14">
        <v>1163.97</v>
      </c>
      <c r="S17" s="8">
        <v>268</v>
      </c>
      <c r="T17" s="8">
        <v>268</v>
      </c>
      <c r="U17" s="18">
        <v>1378</v>
      </c>
      <c r="V17" s="14">
        <v>1163.97</v>
      </c>
      <c r="W17" s="8">
        <v>268</v>
      </c>
      <c r="X17" s="8">
        <v>3597</v>
      </c>
      <c r="Y17" s="18">
        <v>1163.97</v>
      </c>
      <c r="Z17" s="14">
        <v>1163.9699999999989</v>
      </c>
      <c r="AA17" s="8">
        <v>268</v>
      </c>
      <c r="AB17" s="8">
        <v>1378</v>
      </c>
      <c r="AC17" s="18">
        <v>1163.9699999999989</v>
      </c>
      <c r="AD17" s="14">
        <v>1163.97</v>
      </c>
      <c r="AE17" s="8">
        <v>268</v>
      </c>
      <c r="AF17" s="8">
        <v>1378</v>
      </c>
      <c r="AG17" s="18">
        <v>1163.97</v>
      </c>
      <c r="AH17" s="14">
        <v>1163.97</v>
      </c>
      <c r="AI17">
        <v>268</v>
      </c>
      <c r="AJ17">
        <v>1378</v>
      </c>
      <c r="AK17" s="18">
        <v>1163.97</v>
      </c>
      <c r="AL17" s="14">
        <v>1163.9699999999989</v>
      </c>
      <c r="AM17">
        <v>268</v>
      </c>
      <c r="AN17">
        <v>1378</v>
      </c>
      <c r="AO17" s="18">
        <v>1163.9699999999989</v>
      </c>
      <c r="AP17" s="14">
        <v>1163.9700000000009</v>
      </c>
      <c r="AQ17">
        <v>268</v>
      </c>
      <c r="AS17" s="18">
        <v>1163.9700000000009</v>
      </c>
      <c r="AT17" s="14">
        <v>1163.9699999999989</v>
      </c>
      <c r="AU17">
        <v>268</v>
      </c>
      <c r="AW17" s="18">
        <v>1163.9699999999989</v>
      </c>
      <c r="AX17" s="14">
        <v>1163.9699999999989</v>
      </c>
      <c r="AY17" s="1048">
        <v>1163.97</v>
      </c>
      <c r="AZ17" s="975">
        <v>1163.97</v>
      </c>
      <c r="BA17" s="975">
        <v>1163.97</v>
      </c>
      <c r="BB17" s="975">
        <v>1163.97</v>
      </c>
      <c r="BC17" s="975">
        <v>1163.97</v>
      </c>
      <c r="BD17" s="975">
        <v>1163.97</v>
      </c>
      <c r="BE17" s="975">
        <v>1163.97</v>
      </c>
      <c r="BF17" s="975">
        <v>1163.97</v>
      </c>
      <c r="BG17" s="975">
        <v>1163.97</v>
      </c>
      <c r="BH17" s="975">
        <v>1163.97</v>
      </c>
      <c r="BI17" s="975">
        <v>1163.97</v>
      </c>
      <c r="BJ17" s="975">
        <v>1163.97</v>
      </c>
      <c r="BK17" s="975">
        <f>'MXD P&amp;L'!N178</f>
        <v>1163.97</v>
      </c>
      <c r="BL17" s="975">
        <f>'MXD P&amp;L'!O178</f>
        <v>1163.97</v>
      </c>
      <c r="BM17" s="975">
        <f>'MXD P&amp;L'!P178</f>
        <v>1163.97</v>
      </c>
      <c r="BN17" s="975">
        <f>'MXD P&amp;L'!Q178</f>
        <v>1163.97</v>
      </c>
      <c r="BO17" s="975">
        <f>'MXD P&amp;L'!R178</f>
        <v>1163.97</v>
      </c>
      <c r="BP17" s="975">
        <f>'MXD P&amp;L'!S178</f>
        <v>1163.97</v>
      </c>
      <c r="BQ17" s="975">
        <f>'MXD P&amp;L'!T178</f>
        <v>1163.97</v>
      </c>
      <c r="BR17" s="975">
        <f>'MXD P&amp;L'!U176</f>
        <v>2302.09</v>
      </c>
      <c r="BS17" s="975">
        <f>'MXD P&amp;L'!V176</f>
        <v>898.21</v>
      </c>
      <c r="BT17" s="975">
        <f>'MXD P&amp;L'!W176</f>
        <v>909.19</v>
      </c>
      <c r="BU17" s="975">
        <f>'MXD P&amp;L'!X176</f>
        <v>0</v>
      </c>
      <c r="BV17" s="975">
        <f>'MXD P&amp;L'!Y177</f>
        <v>0</v>
      </c>
      <c r="BW17" s="975">
        <f t="shared" si="2"/>
        <v>12257.28</v>
      </c>
      <c r="BX17" s="902">
        <v>571232</v>
      </c>
      <c r="BY17" s="902">
        <v>440723</v>
      </c>
      <c r="BZ17" s="902"/>
      <c r="CA17" s="902">
        <v>485638.37</v>
      </c>
      <c r="CB17" s="902">
        <f t="shared" si="1"/>
        <v>4655.88</v>
      </c>
      <c r="CC17" s="314">
        <v>0</v>
      </c>
      <c r="CD17" s="311">
        <v>0</v>
      </c>
    </row>
    <row r="18" spans="1:82" x14ac:dyDescent="0.3">
      <c r="A18" t="s">
        <v>813</v>
      </c>
      <c r="B18" t="s">
        <v>813</v>
      </c>
      <c r="C18" s="8">
        <v>358</v>
      </c>
      <c r="D18" s="8">
        <v>313</v>
      </c>
      <c r="E18" s="18">
        <v>313</v>
      </c>
      <c r="F18" s="14">
        <v>312.5</v>
      </c>
      <c r="G18" s="8">
        <v>411</v>
      </c>
      <c r="H18" s="8">
        <v>313</v>
      </c>
      <c r="I18" s="18">
        <v>313</v>
      </c>
      <c r="J18" s="14">
        <v>312.5</v>
      </c>
      <c r="K18" s="8">
        <v>411</v>
      </c>
      <c r="L18" s="8">
        <v>313</v>
      </c>
      <c r="M18" s="18">
        <v>313</v>
      </c>
      <c r="N18" s="14">
        <v>312.5</v>
      </c>
      <c r="O18" s="8">
        <v>411</v>
      </c>
      <c r="P18" s="8">
        <v>313</v>
      </c>
      <c r="Q18" s="18">
        <v>313</v>
      </c>
      <c r="R18" s="14">
        <v>312.5</v>
      </c>
      <c r="S18" s="8">
        <v>411</v>
      </c>
      <c r="T18" s="8">
        <v>313</v>
      </c>
      <c r="U18" s="18">
        <v>313</v>
      </c>
      <c r="V18" s="14">
        <v>312.5</v>
      </c>
      <c r="W18" s="8">
        <v>411</v>
      </c>
      <c r="X18" s="8">
        <v>313</v>
      </c>
      <c r="Y18" s="18">
        <v>312.5</v>
      </c>
      <c r="Z18" s="14">
        <v>312.5</v>
      </c>
      <c r="AA18" s="8">
        <v>411</v>
      </c>
      <c r="AB18" s="8">
        <v>313</v>
      </c>
      <c r="AC18" s="18">
        <v>312.5</v>
      </c>
      <c r="AD18" s="14">
        <v>312.49999999999977</v>
      </c>
      <c r="AE18" s="8">
        <v>411</v>
      </c>
      <c r="AF18" s="8">
        <v>313</v>
      </c>
      <c r="AG18" s="18">
        <v>312.49999999999977</v>
      </c>
      <c r="AH18" s="14">
        <v>312.5</v>
      </c>
      <c r="AI18">
        <v>411</v>
      </c>
      <c r="AJ18">
        <v>313</v>
      </c>
      <c r="AK18" s="18">
        <v>312.5</v>
      </c>
      <c r="AL18" s="14">
        <v>312.5</v>
      </c>
      <c r="AM18">
        <v>411</v>
      </c>
      <c r="AN18">
        <v>313</v>
      </c>
      <c r="AO18" s="18">
        <v>312.5</v>
      </c>
      <c r="AP18" s="14">
        <v>312.5</v>
      </c>
      <c r="AQ18">
        <v>411</v>
      </c>
      <c r="AS18" s="18">
        <v>312.5</v>
      </c>
      <c r="AT18" s="14">
        <v>312.5</v>
      </c>
      <c r="AU18">
        <v>457</v>
      </c>
      <c r="AW18" s="18">
        <v>312.5</v>
      </c>
      <c r="AX18" s="14">
        <v>312.5</v>
      </c>
      <c r="AY18" s="1048">
        <v>312.5</v>
      </c>
      <c r="AZ18" s="975">
        <v>312.5</v>
      </c>
      <c r="BA18" s="975">
        <v>312.5</v>
      </c>
      <c r="BB18" s="975">
        <v>312.5</v>
      </c>
      <c r="BC18" s="975">
        <v>312.5</v>
      </c>
      <c r="BD18" s="975">
        <v>312.5</v>
      </c>
      <c r="BE18" s="975">
        <v>312.5</v>
      </c>
      <c r="BF18" s="975">
        <v>312.5</v>
      </c>
      <c r="BG18" s="975">
        <v>312.5</v>
      </c>
      <c r="BH18" s="975">
        <v>312.5</v>
      </c>
      <c r="BI18" s="975">
        <v>312.5</v>
      </c>
      <c r="BJ18" s="975">
        <v>312.5</v>
      </c>
      <c r="BK18" s="975">
        <f>'MXD P&amp;L'!N179</f>
        <v>312.5</v>
      </c>
      <c r="BL18" s="975">
        <f>'MXD P&amp;L'!O179</f>
        <v>312.5</v>
      </c>
      <c r="BM18" s="975">
        <f>'MXD P&amp;L'!P179</f>
        <v>312.5</v>
      </c>
      <c r="BN18" s="975">
        <f>'MXD P&amp;L'!Q179</f>
        <v>312.5</v>
      </c>
      <c r="BO18" s="975">
        <f>'MXD P&amp;L'!R179</f>
        <v>312.5</v>
      </c>
      <c r="BP18" s="975">
        <f>'MXD P&amp;L'!S179</f>
        <v>312.5</v>
      </c>
      <c r="BQ18" s="975">
        <f>'MXD P&amp;L'!T179</f>
        <v>312.5</v>
      </c>
      <c r="BR18" s="975">
        <f>'MXD P&amp;L'!U177</f>
        <v>46.95</v>
      </c>
      <c r="BS18" s="975">
        <f>'MXD P&amp;L'!V177</f>
        <v>52.5</v>
      </c>
      <c r="BT18" s="975">
        <f>'MXD P&amp;L'!W177</f>
        <v>49.05</v>
      </c>
      <c r="BU18" s="975">
        <f>'MXD P&amp;L'!X177</f>
        <v>0</v>
      </c>
      <c r="BV18" s="975">
        <f>'MXD P&amp;L'!Y178</f>
        <v>0</v>
      </c>
      <c r="BW18" s="975">
        <f t="shared" si="2"/>
        <v>2336</v>
      </c>
      <c r="BX18" s="902">
        <v>571232</v>
      </c>
      <c r="BY18" s="902">
        <v>440723</v>
      </c>
      <c r="BZ18" s="902"/>
      <c r="CA18" s="902">
        <v>485638.37</v>
      </c>
      <c r="CB18" s="902">
        <f t="shared" si="1"/>
        <v>1250</v>
      </c>
      <c r="CC18" s="314">
        <v>0</v>
      </c>
      <c r="CD18" s="311">
        <v>0</v>
      </c>
    </row>
    <row r="19" spans="1:82" x14ac:dyDescent="0.3">
      <c r="A19" t="s">
        <v>814</v>
      </c>
      <c r="B19" t="s">
        <v>814</v>
      </c>
      <c r="C19" s="8">
        <v>1757</v>
      </c>
      <c r="D19" s="8">
        <v>2345</v>
      </c>
      <c r="E19" s="18">
        <v>2345</v>
      </c>
      <c r="F19" s="14">
        <v>1322.88</v>
      </c>
      <c r="G19" s="8">
        <v>1757</v>
      </c>
      <c r="H19" s="8">
        <v>2345</v>
      </c>
      <c r="I19" s="18">
        <v>2345</v>
      </c>
      <c r="J19" s="14">
        <v>1322.88</v>
      </c>
      <c r="K19" s="8">
        <v>1757</v>
      </c>
      <c r="L19" s="8">
        <v>2345</v>
      </c>
      <c r="M19" s="18">
        <v>2345</v>
      </c>
      <c r="N19" s="14">
        <v>1322.88</v>
      </c>
      <c r="O19" s="8">
        <v>1757</v>
      </c>
      <c r="P19" s="8">
        <v>2345</v>
      </c>
      <c r="Q19" s="18">
        <v>2345</v>
      </c>
      <c r="R19" s="14">
        <v>1322.880000000001</v>
      </c>
      <c r="S19" s="8">
        <v>1757</v>
      </c>
      <c r="T19" s="8">
        <v>2345</v>
      </c>
      <c r="U19" s="18">
        <v>2345</v>
      </c>
      <c r="V19" s="14">
        <v>1322.879999999999</v>
      </c>
      <c r="W19" s="8">
        <v>1757</v>
      </c>
      <c r="X19" s="8">
        <v>2345</v>
      </c>
      <c r="Y19" s="18">
        <v>1322.879999999999</v>
      </c>
      <c r="Z19" s="14">
        <v>1322.88</v>
      </c>
      <c r="AA19" s="8">
        <v>1757</v>
      </c>
      <c r="AB19" s="8">
        <v>2345</v>
      </c>
      <c r="AC19" s="18">
        <v>1322.88</v>
      </c>
      <c r="AD19" s="14">
        <v>1322.88</v>
      </c>
      <c r="AE19" s="8">
        <v>1757</v>
      </c>
      <c r="AF19" s="8">
        <v>2345</v>
      </c>
      <c r="AG19" s="18">
        <v>1322.88</v>
      </c>
      <c r="AH19" s="14">
        <v>1322.880000000001</v>
      </c>
      <c r="AI19">
        <v>1757</v>
      </c>
      <c r="AJ19">
        <v>2345</v>
      </c>
      <c r="AK19" s="18">
        <v>1322.880000000001</v>
      </c>
      <c r="AL19" s="14">
        <v>1322.879999999999</v>
      </c>
      <c r="AM19">
        <v>1757</v>
      </c>
      <c r="AN19">
        <v>2345</v>
      </c>
      <c r="AO19" s="18">
        <v>1322.879999999999</v>
      </c>
      <c r="AP19" s="14">
        <v>1322.879999999999</v>
      </c>
      <c r="AQ19">
        <v>1757</v>
      </c>
      <c r="AS19" s="18">
        <v>1322.879999999999</v>
      </c>
      <c r="AT19" s="14">
        <v>1322.880000000001</v>
      </c>
      <c r="AU19">
        <v>3996</v>
      </c>
      <c r="AW19" s="18">
        <v>1322.880000000001</v>
      </c>
      <c r="AX19" s="14">
        <v>1322.879999999999</v>
      </c>
      <c r="AY19" s="1048">
        <v>1322.88</v>
      </c>
      <c r="AZ19" s="975">
        <v>1322.88</v>
      </c>
      <c r="BA19" s="975">
        <v>1322.88</v>
      </c>
      <c r="BB19" s="975">
        <v>1322.88</v>
      </c>
      <c r="BC19" s="975">
        <v>1322.88</v>
      </c>
      <c r="BD19" s="975">
        <v>1322.88</v>
      </c>
      <c r="BE19" s="975">
        <v>1322.88</v>
      </c>
      <c r="BF19" s="975">
        <v>1322.88</v>
      </c>
      <c r="BG19" s="975">
        <v>1322.88</v>
      </c>
      <c r="BH19" s="975">
        <v>1322.88</v>
      </c>
      <c r="BI19" s="975">
        <v>1322.88</v>
      </c>
      <c r="BJ19" s="975">
        <v>1322.88</v>
      </c>
      <c r="BK19" s="975">
        <f>'MXD P&amp;L'!N180</f>
        <v>1322.88</v>
      </c>
      <c r="BL19" s="975">
        <v>0</v>
      </c>
      <c r="BM19" s="975">
        <v>0</v>
      </c>
      <c r="BN19" s="975"/>
      <c r="BO19" s="975"/>
      <c r="BP19" s="975"/>
      <c r="BQ19" s="975"/>
      <c r="BR19" s="975"/>
      <c r="BS19" s="975"/>
      <c r="BT19" s="975"/>
      <c r="BU19" s="975"/>
      <c r="BV19" s="975"/>
      <c r="BW19" s="975">
        <f t="shared" si="2"/>
        <v>1322.88</v>
      </c>
      <c r="BX19" s="902">
        <v>571232</v>
      </c>
      <c r="BY19" s="902">
        <v>440723</v>
      </c>
      <c r="BZ19" s="902"/>
      <c r="CA19" s="902">
        <v>485638.37</v>
      </c>
      <c r="CB19" s="902">
        <f t="shared" si="1"/>
        <v>5291.52</v>
      </c>
      <c r="CC19" s="314">
        <v>0</v>
      </c>
      <c r="CD19" s="311">
        <v>0</v>
      </c>
    </row>
    <row r="20" spans="1:82" x14ac:dyDescent="0.3">
      <c r="A20" t="s">
        <v>815</v>
      </c>
      <c r="B20" t="s">
        <v>815</v>
      </c>
      <c r="C20" s="8">
        <v>679</v>
      </c>
      <c r="D20" s="8">
        <v>617</v>
      </c>
      <c r="E20" s="18">
        <v>1135</v>
      </c>
      <c r="F20" s="14">
        <v>930.43</v>
      </c>
      <c r="G20" s="8">
        <v>679</v>
      </c>
      <c r="H20" s="8">
        <v>617</v>
      </c>
      <c r="I20" s="18">
        <v>1135</v>
      </c>
      <c r="J20" s="14">
        <v>930.43</v>
      </c>
      <c r="K20" s="8">
        <v>679</v>
      </c>
      <c r="L20" s="8">
        <v>617</v>
      </c>
      <c r="M20" s="18">
        <v>1135</v>
      </c>
      <c r="N20" s="14">
        <v>930.43</v>
      </c>
      <c r="O20" s="8">
        <v>679</v>
      </c>
      <c r="P20" s="8">
        <v>617</v>
      </c>
      <c r="Q20" s="18">
        <v>1135</v>
      </c>
      <c r="R20" s="14">
        <v>930.42999999999984</v>
      </c>
      <c r="S20" s="8">
        <v>679</v>
      </c>
      <c r="T20" s="8">
        <v>617</v>
      </c>
      <c r="U20" s="18">
        <v>1135</v>
      </c>
      <c r="V20" s="14">
        <v>930.42999999999984</v>
      </c>
      <c r="W20" s="8">
        <v>679</v>
      </c>
      <c r="X20" s="8">
        <v>2170</v>
      </c>
      <c r="Y20" s="18">
        <v>930.42999999999984</v>
      </c>
      <c r="Z20" s="14">
        <v>930.43000000000029</v>
      </c>
      <c r="AA20" s="8">
        <v>679</v>
      </c>
      <c r="AB20" s="8">
        <v>1135</v>
      </c>
      <c r="AC20" s="18">
        <v>930.43000000000029</v>
      </c>
      <c r="AD20" s="14">
        <v>930.43000000000029</v>
      </c>
      <c r="AE20" s="8">
        <v>679</v>
      </c>
      <c r="AF20" s="8">
        <v>1135</v>
      </c>
      <c r="AG20" s="18">
        <v>930.43000000000029</v>
      </c>
      <c r="AH20" s="14">
        <v>930.42999999999938</v>
      </c>
      <c r="AI20">
        <v>679</v>
      </c>
      <c r="AJ20">
        <v>1135</v>
      </c>
      <c r="AK20" s="18">
        <v>930.42999999999938</v>
      </c>
      <c r="AL20" s="14">
        <v>930.4300000000012</v>
      </c>
      <c r="AM20">
        <v>679</v>
      </c>
      <c r="AN20">
        <v>1135</v>
      </c>
      <c r="AO20" s="18">
        <v>930.4300000000012</v>
      </c>
      <c r="AP20" s="14">
        <v>930.42999999999847</v>
      </c>
      <c r="AQ20">
        <v>679</v>
      </c>
      <c r="AS20" s="18">
        <v>930.42999999999847</v>
      </c>
      <c r="AT20" s="14">
        <v>930.43000000000029</v>
      </c>
      <c r="AU20">
        <v>679</v>
      </c>
      <c r="AW20" s="18">
        <v>930.43000000000029</v>
      </c>
      <c r="AX20" s="14">
        <v>930.43000000000029</v>
      </c>
      <c r="AY20" s="1048">
        <v>930.43</v>
      </c>
      <c r="AZ20" s="975">
        <v>930.43</v>
      </c>
      <c r="BA20" s="975">
        <v>930.43</v>
      </c>
      <c r="BB20" s="975">
        <v>930.43</v>
      </c>
      <c r="BC20" s="975">
        <v>930.43</v>
      </c>
      <c r="BD20" s="975">
        <v>930.43</v>
      </c>
      <c r="BE20" s="975">
        <v>930.43</v>
      </c>
      <c r="BF20" s="975">
        <v>930.43</v>
      </c>
      <c r="BG20" s="975">
        <v>930.43</v>
      </c>
      <c r="BH20" s="975">
        <v>930.43</v>
      </c>
      <c r="BI20" s="975">
        <v>930.43</v>
      </c>
      <c r="BJ20" s="975">
        <v>930.43</v>
      </c>
      <c r="BK20" s="975">
        <f>'MXD P&amp;L'!N181</f>
        <v>930.43</v>
      </c>
      <c r="BL20" s="975">
        <f>'MXD P&amp;L'!O181</f>
        <v>930.43</v>
      </c>
      <c r="BM20" s="975">
        <f>'MXD P&amp;L'!P181</f>
        <v>930.43</v>
      </c>
      <c r="BN20" s="975">
        <f>'MXD P&amp;L'!Q181</f>
        <v>930.43</v>
      </c>
      <c r="BO20" s="975">
        <f>'MXD P&amp;L'!R181</f>
        <v>930.43</v>
      </c>
      <c r="BP20" s="975">
        <f>'MXD P&amp;L'!S181</f>
        <v>930.43</v>
      </c>
      <c r="BQ20" s="975">
        <f>'MXD P&amp;L'!T181</f>
        <v>930.43</v>
      </c>
      <c r="BR20" s="975">
        <f>'MXD P&amp;L'!U179</f>
        <v>312.5</v>
      </c>
      <c r="BS20" s="975">
        <f>'MXD P&amp;L'!V179</f>
        <v>312.5</v>
      </c>
      <c r="BT20" s="975">
        <f>'MXD P&amp;L'!W179</f>
        <v>312.5</v>
      </c>
      <c r="BU20" s="975">
        <f>'MXD P&amp;L'!X179</f>
        <v>0</v>
      </c>
      <c r="BV20" s="975">
        <f>'MXD P&amp;L'!Y180</f>
        <v>0</v>
      </c>
      <c r="BW20" s="975">
        <f t="shared" si="2"/>
        <v>7450.51</v>
      </c>
      <c r="BX20" s="902">
        <v>571232</v>
      </c>
      <c r="BY20" s="902">
        <v>440723</v>
      </c>
      <c r="BZ20" s="902"/>
      <c r="CA20" s="902">
        <v>485638.37</v>
      </c>
      <c r="CB20" s="902">
        <f t="shared" si="1"/>
        <v>3721.72</v>
      </c>
      <c r="CC20" s="314">
        <v>0</v>
      </c>
      <c r="CD20" s="311">
        <v>0</v>
      </c>
    </row>
    <row r="21" spans="1:82" x14ac:dyDescent="0.3">
      <c r="A21" t="s">
        <v>816</v>
      </c>
      <c r="B21" t="s">
        <v>816</v>
      </c>
      <c r="C21" s="8"/>
      <c r="D21" s="8">
        <v>1106</v>
      </c>
      <c r="E21" s="18">
        <v>1106</v>
      </c>
      <c r="F21" s="14">
        <v>1105.56</v>
      </c>
      <c r="G21" s="8"/>
      <c r="H21" s="8">
        <v>1106</v>
      </c>
      <c r="I21" s="18">
        <v>1106</v>
      </c>
      <c r="J21" s="14">
        <v>1105.56</v>
      </c>
      <c r="K21" s="8"/>
      <c r="L21" s="8">
        <v>1106</v>
      </c>
      <c r="M21" s="18">
        <v>1106</v>
      </c>
      <c r="N21" s="14">
        <v>1105.56</v>
      </c>
      <c r="O21" s="8"/>
      <c r="P21" s="8">
        <v>1106</v>
      </c>
      <c r="Q21" s="18">
        <v>1106</v>
      </c>
      <c r="R21" s="14">
        <v>3316.65</v>
      </c>
      <c r="S21" s="8"/>
      <c r="T21" s="8">
        <v>1106</v>
      </c>
      <c r="U21" s="18">
        <v>1106</v>
      </c>
      <c r="V21" s="14">
        <v>1658.33</v>
      </c>
      <c r="W21" s="8"/>
      <c r="X21" s="8">
        <v>1106</v>
      </c>
      <c r="Y21" s="18">
        <v>1658.33</v>
      </c>
      <c r="Z21" s="14">
        <v>1658.33</v>
      </c>
      <c r="AA21" s="8"/>
      <c r="AB21" s="8">
        <v>1106</v>
      </c>
      <c r="AC21" s="18">
        <v>1658.33</v>
      </c>
      <c r="AD21" s="14">
        <v>1658.33</v>
      </c>
      <c r="AE21" s="8"/>
      <c r="AF21" s="8">
        <v>1106</v>
      </c>
      <c r="AG21" s="18">
        <v>1658.33</v>
      </c>
      <c r="AH21" s="14">
        <v>1658.33</v>
      </c>
      <c r="AJ21">
        <v>1106</v>
      </c>
      <c r="AK21" s="18">
        <v>1658.33</v>
      </c>
      <c r="AL21" s="14">
        <v>1658.33</v>
      </c>
      <c r="AN21">
        <v>1106</v>
      </c>
      <c r="AO21" s="18">
        <v>1658.33</v>
      </c>
      <c r="AP21" s="14">
        <v>1658.330000000002</v>
      </c>
      <c r="AS21" s="18">
        <v>1658.330000000002</v>
      </c>
      <c r="AT21" s="14">
        <v>1658.3299999999981</v>
      </c>
      <c r="AU21">
        <v>3317</v>
      </c>
      <c r="AW21" s="18">
        <v>1658.3299999999981</v>
      </c>
      <c r="AX21" s="14">
        <v>1658.330000000002</v>
      </c>
      <c r="AY21" s="1048">
        <v>1658.33</v>
      </c>
      <c r="AZ21" s="975">
        <v>1658.33</v>
      </c>
      <c r="BA21" s="975">
        <v>1658.33</v>
      </c>
      <c r="BB21" s="975">
        <v>1658.33</v>
      </c>
      <c r="BC21" s="975">
        <v>1658.33</v>
      </c>
      <c r="BD21" s="975">
        <v>1658.33</v>
      </c>
      <c r="BE21" s="975">
        <v>1658.33</v>
      </c>
      <c r="BF21" s="975">
        <v>1658.33</v>
      </c>
      <c r="BG21" s="975">
        <v>1658.33</v>
      </c>
      <c r="BH21" s="975">
        <v>1658.33</v>
      </c>
      <c r="BI21" s="975">
        <v>1658.33</v>
      </c>
      <c r="BJ21" s="975">
        <v>1658.33</v>
      </c>
      <c r="BK21" s="975">
        <f>'MXD P&amp;L'!N182</f>
        <v>1658.33</v>
      </c>
      <c r="BL21" s="975">
        <f>'MXD P&amp;L'!O182</f>
        <v>1658.33</v>
      </c>
      <c r="BM21" s="975">
        <f>'MXD P&amp;L'!P182</f>
        <v>1658.33</v>
      </c>
      <c r="BN21" s="975">
        <f>'MXD P&amp;L'!Q182</f>
        <v>1658.33</v>
      </c>
      <c r="BO21" s="975">
        <f>'MXD P&amp;L'!R182</f>
        <v>1658.33</v>
      </c>
      <c r="BP21" s="975">
        <f>'MXD P&amp;L'!S182</f>
        <v>1658.33</v>
      </c>
      <c r="BQ21" s="975">
        <f>'MXD P&amp;L'!T182</f>
        <v>1658.33</v>
      </c>
      <c r="BR21" s="975">
        <f>'MXD P&amp;L'!U180</f>
        <v>1322.88</v>
      </c>
      <c r="BS21" s="975">
        <f>'MXD P&amp;L'!V180</f>
        <v>1322.88</v>
      </c>
      <c r="BT21" s="975">
        <f>'MXD P&amp;L'!W180</f>
        <v>1322.88</v>
      </c>
      <c r="BU21" s="975">
        <f>'MXD P&amp;L'!X180</f>
        <v>0</v>
      </c>
      <c r="BV21" s="975">
        <f>'MXD P&amp;L'!Y181</f>
        <v>0</v>
      </c>
      <c r="BW21" s="975">
        <f t="shared" si="2"/>
        <v>15576.95</v>
      </c>
      <c r="BX21" s="902">
        <v>571232</v>
      </c>
      <c r="BY21" s="902">
        <v>440723</v>
      </c>
      <c r="BZ21" s="902"/>
      <c r="CA21" s="902">
        <v>485638.37</v>
      </c>
      <c r="CB21" s="902">
        <f t="shared" si="1"/>
        <v>6633.32</v>
      </c>
      <c r="CC21" s="314">
        <v>-1.0000000002037268E-2</v>
      </c>
      <c r="CD21" s="311">
        <v>-5.0251357299397935E-7</v>
      </c>
    </row>
    <row r="22" spans="1:82" x14ac:dyDescent="0.3">
      <c r="A22" t="s">
        <v>817</v>
      </c>
      <c r="B22" t="s">
        <v>817</v>
      </c>
      <c r="C22" s="8">
        <v>124</v>
      </c>
      <c r="D22" s="8">
        <v>157</v>
      </c>
      <c r="E22" s="18">
        <v>157</v>
      </c>
      <c r="F22" s="14">
        <v>550</v>
      </c>
      <c r="G22" s="8"/>
      <c r="H22" s="8">
        <v>9</v>
      </c>
      <c r="I22" s="18">
        <v>9</v>
      </c>
      <c r="J22" s="14">
        <v>544.43000000000006</v>
      </c>
      <c r="K22" s="8"/>
      <c r="L22" s="8">
        <v>13</v>
      </c>
      <c r="M22" s="18">
        <v>13</v>
      </c>
      <c r="N22" s="14">
        <v>763.67</v>
      </c>
      <c r="O22" s="8">
        <v>143</v>
      </c>
      <c r="P22" s="8">
        <v>1114</v>
      </c>
      <c r="Q22" s="18">
        <v>1114</v>
      </c>
      <c r="R22" s="14">
        <v>2817.41</v>
      </c>
      <c r="S22" s="8">
        <v>65</v>
      </c>
      <c r="T22" s="8">
        <v>150</v>
      </c>
      <c r="U22" s="18">
        <v>150</v>
      </c>
      <c r="V22" s="14">
        <v>1424.78</v>
      </c>
      <c r="W22" s="8">
        <v>209</v>
      </c>
      <c r="X22" s="8">
        <v>50</v>
      </c>
      <c r="Y22" s="18">
        <v>50</v>
      </c>
      <c r="Z22" s="14">
        <v>355.9399999999996</v>
      </c>
      <c r="AA22" s="8">
        <v>143</v>
      </c>
      <c r="AB22" s="8">
        <v>478</v>
      </c>
      <c r="AC22" s="18">
        <v>478</v>
      </c>
      <c r="AD22" s="14">
        <v>2335.440000000001</v>
      </c>
      <c r="AE22" s="8">
        <v>120</v>
      </c>
      <c r="AF22" s="8">
        <v>90</v>
      </c>
      <c r="AG22" s="18">
        <v>90</v>
      </c>
      <c r="AH22" s="14">
        <v>2260.73</v>
      </c>
      <c r="AJ22">
        <v>50</v>
      </c>
      <c r="AK22" s="18">
        <v>50</v>
      </c>
      <c r="AL22" s="14">
        <v>1157.860000000001</v>
      </c>
      <c r="AM22">
        <v>269</v>
      </c>
      <c r="AN22">
        <v>50</v>
      </c>
      <c r="AO22" s="18">
        <v>50</v>
      </c>
      <c r="AP22" s="14">
        <v>1326.41</v>
      </c>
      <c r="AQ22">
        <v>1023</v>
      </c>
      <c r="AS22" s="18">
        <v>50</v>
      </c>
      <c r="AT22" s="14">
        <v>2592.9100000000021</v>
      </c>
      <c r="AU22">
        <v>14</v>
      </c>
      <c r="AW22" s="18">
        <v>50</v>
      </c>
      <c r="AX22" s="14">
        <v>1501.5799999999981</v>
      </c>
      <c r="AY22" s="1048">
        <v>815.82</v>
      </c>
      <c r="AZ22" s="975">
        <v>1143.24</v>
      </c>
      <c r="BA22" s="975">
        <v>4682.1099999999997</v>
      </c>
      <c r="BB22" s="975">
        <v>1550.7</v>
      </c>
      <c r="BC22" s="975">
        <v>2635.26</v>
      </c>
      <c r="BD22" s="975">
        <v>2388.34</v>
      </c>
      <c r="BE22" s="975">
        <v>361.47</v>
      </c>
      <c r="BF22" s="975">
        <v>2418.81</v>
      </c>
      <c r="BG22" s="975">
        <v>1963.08</v>
      </c>
      <c r="BH22" s="975">
        <v>3587.5</v>
      </c>
      <c r="BI22" s="975">
        <v>1276.52</v>
      </c>
      <c r="BJ22" s="975">
        <v>3122.6</v>
      </c>
      <c r="BK22" s="975">
        <f>'MXD P&amp;L'!N183</f>
        <v>-144.19999999999999</v>
      </c>
      <c r="BL22" s="975">
        <f>'MXD P&amp;L'!O183</f>
        <v>3386.24</v>
      </c>
      <c r="BM22" s="975">
        <f>'MXD P&amp;L'!P183</f>
        <v>4698.34</v>
      </c>
      <c r="BN22" s="975">
        <f>'MXD P&amp;L'!Q183</f>
        <v>9227.18</v>
      </c>
      <c r="BO22" s="975">
        <f>'MXD P&amp;L'!R183</f>
        <v>3806.73</v>
      </c>
      <c r="BP22" s="975">
        <f>'MXD P&amp;L'!S183</f>
        <v>1287.48</v>
      </c>
      <c r="BQ22" s="975">
        <f>'MXD P&amp;L'!T183</f>
        <v>5338.89</v>
      </c>
      <c r="BR22" s="975">
        <f>'MXD P&amp;L'!U181</f>
        <v>930.43</v>
      </c>
      <c r="BS22" s="975">
        <f>'MXD P&amp;L'!V181</f>
        <v>930.43</v>
      </c>
      <c r="BT22" s="975">
        <f>'MXD P&amp;L'!W181</f>
        <v>930.43</v>
      </c>
      <c r="BU22" s="975">
        <f>'MXD P&amp;L'!X181</f>
        <v>0</v>
      </c>
      <c r="BV22" s="975">
        <f>'MXD P&amp;L'!Y182</f>
        <v>0</v>
      </c>
      <c r="BW22" s="975">
        <f t="shared" si="2"/>
        <v>30391.95</v>
      </c>
      <c r="BX22" s="902">
        <v>571232</v>
      </c>
      <c r="BY22" s="902">
        <v>440723</v>
      </c>
      <c r="BZ22" s="902"/>
      <c r="CA22" s="902">
        <v>485638.37</v>
      </c>
      <c r="CB22" s="902">
        <f t="shared" si="1"/>
        <v>8191.87</v>
      </c>
      <c r="CC22" s="314">
        <v>8314.2900000000009</v>
      </c>
      <c r="CD22" s="311">
        <v>0.32045271907020306</v>
      </c>
    </row>
    <row r="23" spans="1:82" x14ac:dyDescent="0.3">
      <c r="A23" t="s">
        <v>818</v>
      </c>
      <c r="B23" t="s">
        <v>818</v>
      </c>
      <c r="C23" s="8"/>
      <c r="D23" s="8">
        <v>284</v>
      </c>
      <c r="E23" s="18">
        <v>1200</v>
      </c>
      <c r="F23" s="14"/>
      <c r="G23" s="8">
        <v>338</v>
      </c>
      <c r="H23" s="8">
        <v>678</v>
      </c>
      <c r="I23" s="18">
        <v>1200</v>
      </c>
      <c r="J23" s="14"/>
      <c r="K23" s="8">
        <v>1160</v>
      </c>
      <c r="L23" s="8">
        <v>72</v>
      </c>
      <c r="M23" s="18">
        <v>1200</v>
      </c>
      <c r="N23" s="14"/>
      <c r="O23" s="8"/>
      <c r="P23" s="8"/>
      <c r="Q23" s="18">
        <v>1200</v>
      </c>
      <c r="R23" s="14">
        <v>4175</v>
      </c>
      <c r="S23" s="8"/>
      <c r="T23" s="8">
        <v>423</v>
      </c>
      <c r="U23" s="18">
        <v>1200</v>
      </c>
      <c r="V23" s="14"/>
      <c r="W23" s="8">
        <v>685</v>
      </c>
      <c r="X23" s="8">
        <v>109</v>
      </c>
      <c r="Y23" s="18">
        <v>1200</v>
      </c>
      <c r="Z23" s="14">
        <v>350</v>
      </c>
      <c r="AA23" s="8">
        <v>32</v>
      </c>
      <c r="AB23" s="8"/>
      <c r="AC23" s="18">
        <v>1200</v>
      </c>
      <c r="AD23" s="14"/>
      <c r="AE23" s="8">
        <v>7638</v>
      </c>
      <c r="AF23" s="8"/>
      <c r="AG23" s="18">
        <v>1200</v>
      </c>
      <c r="AH23" s="14">
        <v>300</v>
      </c>
      <c r="AI23">
        <v>2961</v>
      </c>
      <c r="AJ23">
        <v>499</v>
      </c>
      <c r="AK23" s="18">
        <v>1200</v>
      </c>
      <c r="AL23" s="14">
        <v>3393.5499999999988</v>
      </c>
      <c r="AM23">
        <v>5</v>
      </c>
      <c r="AN23">
        <v>38</v>
      </c>
      <c r="AO23" s="18">
        <v>1200</v>
      </c>
      <c r="AP23" s="14"/>
      <c r="AQ23">
        <v>1665</v>
      </c>
      <c r="AS23" s="18">
        <v>1200</v>
      </c>
      <c r="AT23" s="14">
        <v>2780.15</v>
      </c>
      <c r="AU23">
        <v>213</v>
      </c>
      <c r="AW23" s="18">
        <v>1200</v>
      </c>
      <c r="AX23" s="14">
        <v>2400</v>
      </c>
      <c r="AY23" s="1048">
        <v>0</v>
      </c>
      <c r="AZ23" s="975">
        <v>1100</v>
      </c>
      <c r="BA23" s="975">
        <v>3381</v>
      </c>
      <c r="BB23" s="975">
        <v>2294.4</v>
      </c>
      <c r="BC23" s="975">
        <v>1013.8</v>
      </c>
      <c r="BD23" s="975">
        <v>2565</v>
      </c>
      <c r="BE23" s="975">
        <v>6266.31</v>
      </c>
      <c r="BF23" s="975">
        <v>11231</v>
      </c>
      <c r="BG23" s="975">
        <v>0</v>
      </c>
      <c r="BH23" s="975">
        <v>34132</v>
      </c>
      <c r="BI23" s="975">
        <v>0</v>
      </c>
      <c r="BJ23" s="975">
        <v>700</v>
      </c>
      <c r="BK23" s="975">
        <f>'MXD P&amp;L'!N184</f>
        <v>3535</v>
      </c>
      <c r="BL23" s="975">
        <f>'MXD P&amp;L'!O184</f>
        <v>571.39</v>
      </c>
      <c r="BM23" s="975">
        <f>'MXD P&amp;L'!P184</f>
        <v>0</v>
      </c>
      <c r="BN23" s="975">
        <f>'MXD P&amp;L'!Q184</f>
        <v>150</v>
      </c>
      <c r="BO23" s="975">
        <f>'MXD P&amp;L'!R184</f>
        <v>200</v>
      </c>
      <c r="BP23" s="975">
        <f>'MXD P&amp;L'!S184</f>
        <v>0</v>
      </c>
      <c r="BQ23" s="975">
        <f>'MXD P&amp;L'!T184</f>
        <v>150</v>
      </c>
      <c r="BR23" s="975">
        <f>'MXD P&amp;L'!U182</f>
        <v>1658.33</v>
      </c>
      <c r="BS23" s="975">
        <f>'MXD P&amp;L'!V182</f>
        <v>1658.33</v>
      </c>
      <c r="BT23" s="975">
        <f>'MXD P&amp;L'!W182</f>
        <v>1658.33</v>
      </c>
      <c r="BU23" s="975">
        <f>'MXD P&amp;L'!X182</f>
        <v>0</v>
      </c>
      <c r="BV23" s="975">
        <f>'MXD P&amp;L'!Y183</f>
        <v>0</v>
      </c>
      <c r="BW23" s="975">
        <f t="shared" si="2"/>
        <v>9581.380000000001</v>
      </c>
      <c r="BX23" s="902">
        <v>571232</v>
      </c>
      <c r="BY23" s="902">
        <v>440723</v>
      </c>
      <c r="BZ23" s="902"/>
      <c r="CA23" s="902">
        <v>485638.37</v>
      </c>
      <c r="CB23" s="902">
        <f t="shared" si="1"/>
        <v>6775.4</v>
      </c>
      <c r="CC23" s="314">
        <v>49284.810000000005</v>
      </c>
      <c r="CD23" s="311">
        <v>0.78624840887180703</v>
      </c>
    </row>
    <row r="24" spans="1:82" x14ac:dyDescent="0.3">
      <c r="A24" t="s">
        <v>819</v>
      </c>
      <c r="B24" t="s">
        <v>819</v>
      </c>
      <c r="C24" s="8"/>
      <c r="D24" s="8"/>
      <c r="E24" s="18"/>
      <c r="F24" s="14"/>
      <c r="G24" s="8"/>
      <c r="H24" s="8"/>
      <c r="I24" s="18"/>
      <c r="J24" s="14"/>
      <c r="K24" s="8"/>
      <c r="L24" s="8"/>
      <c r="M24" s="18"/>
      <c r="N24" s="14"/>
      <c r="O24" s="8"/>
      <c r="P24" s="8"/>
      <c r="Q24" s="18"/>
      <c r="R24" s="14"/>
      <c r="S24" s="8"/>
      <c r="T24" s="8"/>
      <c r="U24" s="18"/>
      <c r="V24" s="14"/>
      <c r="W24" s="8"/>
      <c r="X24" s="8"/>
      <c r="Y24" s="18"/>
      <c r="Z24" s="14"/>
      <c r="AA24" s="8"/>
      <c r="AB24" s="8"/>
      <c r="AC24" s="18"/>
      <c r="AD24" s="14"/>
      <c r="AE24" s="8"/>
      <c r="AF24" s="8"/>
      <c r="AG24" s="18"/>
      <c r="AH24" s="14"/>
      <c r="AK24" s="18"/>
      <c r="AL24" s="14"/>
      <c r="AO24" s="18"/>
      <c r="AP24" s="14"/>
      <c r="AS24" s="18"/>
      <c r="AT24" s="14"/>
      <c r="AW24" s="18"/>
      <c r="AX24" s="14"/>
      <c r="AY24" s="1048">
        <v>0</v>
      </c>
      <c r="AZ24" s="975">
        <v>0</v>
      </c>
      <c r="BA24" s="975">
        <v>0</v>
      </c>
      <c r="BB24" s="975">
        <v>0</v>
      </c>
      <c r="BC24" s="975">
        <v>0</v>
      </c>
      <c r="BD24" s="975">
        <v>0</v>
      </c>
      <c r="BE24" s="975">
        <v>75</v>
      </c>
      <c r="BF24" s="975">
        <v>0</v>
      </c>
      <c r="BG24" s="975">
        <v>0</v>
      </c>
      <c r="BH24" s="975">
        <v>0</v>
      </c>
      <c r="BI24" s="975">
        <v>190</v>
      </c>
      <c r="BJ24" s="975">
        <v>0</v>
      </c>
      <c r="BK24" s="975">
        <f>'MXD P&amp;L'!N185</f>
        <v>0</v>
      </c>
      <c r="BL24" s="975">
        <f>'MXD P&amp;L'!O185</f>
        <v>0</v>
      </c>
      <c r="BM24" s="975">
        <f>'MXD P&amp;L'!P185</f>
        <v>0</v>
      </c>
      <c r="BN24" s="975">
        <f>'MXD P&amp;L'!Q185</f>
        <v>0</v>
      </c>
      <c r="BO24" s="975">
        <f>'MXD P&amp;L'!R185</f>
        <v>0</v>
      </c>
      <c r="BP24" s="975">
        <f>'MXD P&amp;L'!S185</f>
        <v>0</v>
      </c>
      <c r="BQ24" s="975">
        <f>'MXD P&amp;L'!T185</f>
        <v>0</v>
      </c>
      <c r="BR24" s="975">
        <f>'MXD P&amp;L'!U183</f>
        <v>9126.93</v>
      </c>
      <c r="BS24" s="975">
        <f>'MXD P&amp;L'!V183</f>
        <v>12765.06</v>
      </c>
      <c r="BT24" s="975">
        <f>'MXD P&amp;L'!W183</f>
        <v>11592.28</v>
      </c>
      <c r="BU24" s="975">
        <f>'MXD P&amp;L'!X183</f>
        <v>0</v>
      </c>
      <c r="BV24" s="975">
        <f>'MXD P&amp;L'!Y184</f>
        <v>0</v>
      </c>
      <c r="BW24" s="975">
        <f t="shared" si="2"/>
        <v>33484.269999999997</v>
      </c>
      <c r="BX24" s="902">
        <v>571232</v>
      </c>
      <c r="BY24" s="902">
        <v>440723</v>
      </c>
      <c r="BZ24" s="902"/>
      <c r="CA24" s="902">
        <v>485638.37</v>
      </c>
      <c r="CB24" s="902">
        <f t="shared" si="1"/>
        <v>0</v>
      </c>
      <c r="CC24" s="314"/>
      <c r="CD24" s="311"/>
    </row>
    <row r="25" spans="1:82" x14ac:dyDescent="0.3">
      <c r="A25" t="s">
        <v>820</v>
      </c>
      <c r="B25" t="s">
        <v>820</v>
      </c>
      <c r="C25" s="8">
        <v>2979</v>
      </c>
      <c r="D25" s="8">
        <v>5359</v>
      </c>
      <c r="E25" s="18">
        <v>4460</v>
      </c>
      <c r="F25" s="14">
        <v>1083.33</v>
      </c>
      <c r="G25" s="8"/>
      <c r="H25" s="8">
        <v>1221</v>
      </c>
      <c r="I25" s="18">
        <v>4460</v>
      </c>
      <c r="J25" s="14">
        <v>4459.67</v>
      </c>
      <c r="K25" s="8">
        <v>1046</v>
      </c>
      <c r="L25" s="8">
        <v>1514</v>
      </c>
      <c r="M25" s="18">
        <v>4460</v>
      </c>
      <c r="N25" s="14">
        <v>4459.67</v>
      </c>
      <c r="O25" s="8">
        <v>1221</v>
      </c>
      <c r="P25" s="8">
        <v>1236</v>
      </c>
      <c r="Q25" s="18">
        <v>4460</v>
      </c>
      <c r="R25" s="14">
        <v>4459.59</v>
      </c>
      <c r="S25" s="8">
        <v>8249</v>
      </c>
      <c r="T25" s="8">
        <v>10286</v>
      </c>
      <c r="U25" s="18">
        <v>4794.5</v>
      </c>
      <c r="V25" s="14">
        <v>1089.0999999999999</v>
      </c>
      <c r="W25" s="8">
        <v>4648</v>
      </c>
      <c r="X25" s="8">
        <v>5431</v>
      </c>
      <c r="Y25" s="18">
        <v>4794.5</v>
      </c>
      <c r="Z25" s="14">
        <v>1089.099999999999</v>
      </c>
      <c r="AA25" s="8">
        <v>4738</v>
      </c>
      <c r="AB25" s="8">
        <v>2449</v>
      </c>
      <c r="AC25" s="18">
        <v>4794.5</v>
      </c>
      <c r="AD25" s="14">
        <v>1089.100000000002</v>
      </c>
      <c r="AE25" s="8">
        <v>4738</v>
      </c>
      <c r="AF25" s="8">
        <v>4460</v>
      </c>
      <c r="AG25" s="18">
        <v>4794.5</v>
      </c>
      <c r="AH25" s="14">
        <v>5471.52</v>
      </c>
      <c r="AI25">
        <v>7085</v>
      </c>
      <c r="AJ25">
        <v>4460</v>
      </c>
      <c r="AK25" s="18">
        <v>4794.5</v>
      </c>
      <c r="AL25" s="14">
        <v>18133.52</v>
      </c>
      <c r="AM25">
        <v>5359</v>
      </c>
      <c r="AN25">
        <v>4460</v>
      </c>
      <c r="AO25" s="18">
        <v>4794.5</v>
      </c>
      <c r="AP25" s="14">
        <v>5471.32</v>
      </c>
      <c r="AQ25">
        <v>5359</v>
      </c>
      <c r="AS25" s="18">
        <v>4794.5</v>
      </c>
      <c r="AT25" s="14">
        <v>1089.0600000000049</v>
      </c>
      <c r="AU25">
        <v>4138</v>
      </c>
      <c r="AW25" s="18">
        <v>4794.5</v>
      </c>
      <c r="AX25" s="14">
        <v>1089.0599999999979</v>
      </c>
      <c r="AY25" s="1048">
        <v>1089.06</v>
      </c>
      <c r="AZ25" s="975">
        <v>1089.06</v>
      </c>
      <c r="BA25" s="975">
        <v>5441.16</v>
      </c>
      <c r="BB25" s="975">
        <v>5506.44</v>
      </c>
      <c r="BC25" s="975">
        <v>5608.34</v>
      </c>
      <c r="BD25" s="975">
        <v>12274.44</v>
      </c>
      <c r="BE25" s="975">
        <v>7106.08</v>
      </c>
      <c r="BF25" s="975">
        <v>6606.08</v>
      </c>
      <c r="BG25" s="975">
        <v>6796.41</v>
      </c>
      <c r="BH25" s="975">
        <v>6796.41</v>
      </c>
      <c r="BI25" s="975">
        <v>-7301.93</v>
      </c>
      <c r="BJ25" s="975">
        <v>9832.76</v>
      </c>
      <c r="BK25" s="975">
        <f>'MXD P&amp;L'!N186</f>
        <v>1188.07</v>
      </c>
      <c r="BL25" s="975">
        <f>'MXD P&amp;L'!O186</f>
        <v>6796.41</v>
      </c>
      <c r="BM25" s="975">
        <f>'MXD P&amp;L'!P186</f>
        <v>6796.39</v>
      </c>
      <c r="BN25" s="975">
        <f>'MXD P&amp;L'!Q186</f>
        <v>5608.22</v>
      </c>
      <c r="BO25" s="975">
        <f>'MXD P&amp;L'!R186</f>
        <v>0</v>
      </c>
      <c r="BP25" s="975">
        <f>'MXD P&amp;L'!S186</f>
        <v>14999.51</v>
      </c>
      <c r="BQ25" s="975">
        <f>'MXD P&amp;L'!T186</f>
        <v>8913.36</v>
      </c>
      <c r="BR25" s="975">
        <f>'MXD P&amp;L'!U184</f>
        <v>150</v>
      </c>
      <c r="BS25" s="975">
        <f>'MXD P&amp;L'!V184</f>
        <v>800</v>
      </c>
      <c r="BT25" s="975">
        <f>'MXD P&amp;L'!W184</f>
        <v>625</v>
      </c>
      <c r="BU25" s="975">
        <f>'MXD P&amp;L'!X184</f>
        <v>0</v>
      </c>
      <c r="BV25" s="975">
        <f>'MXD P&amp;L'!Y185</f>
        <v>0</v>
      </c>
      <c r="BW25" s="975">
        <f t="shared" si="2"/>
        <v>45876.959999999999</v>
      </c>
      <c r="BX25" s="902">
        <v>571232</v>
      </c>
      <c r="BY25" s="902">
        <v>440723</v>
      </c>
      <c r="BZ25" s="902"/>
      <c r="CA25" s="902">
        <v>485638.37</v>
      </c>
      <c r="CB25" s="902">
        <f t="shared" si="1"/>
        <v>13125.72</v>
      </c>
      <c r="CC25" s="314">
        <v>11860.270000000004</v>
      </c>
      <c r="CD25" s="311">
        <v>0.19492816994719805</v>
      </c>
    </row>
    <row r="26" spans="1:82" x14ac:dyDescent="0.3">
      <c r="A26" t="s">
        <v>821</v>
      </c>
      <c r="B26" t="s">
        <v>821</v>
      </c>
      <c r="C26" s="8">
        <v>4946</v>
      </c>
      <c r="D26" s="8">
        <v>25867</v>
      </c>
      <c r="E26" s="18">
        <v>6666.666666666667</v>
      </c>
      <c r="F26" s="14"/>
      <c r="G26" s="8">
        <v>128</v>
      </c>
      <c r="H26" s="8">
        <v>6350</v>
      </c>
      <c r="I26" s="18">
        <v>6666.666666666667</v>
      </c>
      <c r="J26" s="14">
        <v>4166</v>
      </c>
      <c r="K26" s="8"/>
      <c r="L26" s="8">
        <v>17244</v>
      </c>
      <c r="M26" s="18">
        <v>6666.666666666667</v>
      </c>
      <c r="N26" s="14"/>
      <c r="O26" s="8">
        <v>5278</v>
      </c>
      <c r="P26" s="8">
        <v>7340</v>
      </c>
      <c r="Q26" s="18">
        <v>6666.666666666667</v>
      </c>
      <c r="R26" s="14">
        <v>8332</v>
      </c>
      <c r="S26" s="8">
        <v>3552</v>
      </c>
      <c r="T26" s="8">
        <v>5666</v>
      </c>
      <c r="U26" s="18">
        <v>6666.666666666667</v>
      </c>
      <c r="V26" s="14"/>
      <c r="W26" s="8">
        <v>2163</v>
      </c>
      <c r="X26" s="8">
        <v>9209</v>
      </c>
      <c r="Y26" s="18">
        <v>6666.666666666667</v>
      </c>
      <c r="Z26" s="14">
        <v>23868</v>
      </c>
      <c r="AA26" s="8">
        <v>5345</v>
      </c>
      <c r="AB26" s="8">
        <v>4691</v>
      </c>
      <c r="AC26" s="18">
        <v>6666.666666666667</v>
      </c>
      <c r="AD26" s="14">
        <v>10737.86</v>
      </c>
      <c r="AE26" s="8">
        <v>2300</v>
      </c>
      <c r="AF26" s="8">
        <v>4366</v>
      </c>
      <c r="AG26" s="18">
        <v>6666.666666666667</v>
      </c>
      <c r="AH26" s="14"/>
      <c r="AI26">
        <v>6590</v>
      </c>
      <c r="AJ26">
        <v>4166</v>
      </c>
      <c r="AK26" s="18">
        <v>6666.666666666667</v>
      </c>
      <c r="AL26" s="14">
        <v>8332</v>
      </c>
      <c r="AM26">
        <v>2548</v>
      </c>
      <c r="AN26">
        <v>4465</v>
      </c>
      <c r="AO26" s="18">
        <v>6666.666666666667</v>
      </c>
      <c r="AP26" s="14"/>
      <c r="AQ26">
        <v>2554</v>
      </c>
      <c r="AS26" s="18">
        <v>6666.666666666667</v>
      </c>
      <c r="AT26" s="14">
        <v>14012</v>
      </c>
      <c r="AU26">
        <v>1780</v>
      </c>
      <c r="AV26" s="27"/>
      <c r="AW26" s="18">
        <v>6666.666666666667</v>
      </c>
      <c r="AX26" s="14"/>
      <c r="AY26" s="1048">
        <v>8332</v>
      </c>
      <c r="AZ26" s="975">
        <v>22348.69</v>
      </c>
      <c r="BA26" s="975">
        <v>8333.33</v>
      </c>
      <c r="BB26" s="975">
        <v>8384.33</v>
      </c>
      <c r="BC26" s="975">
        <v>11333.33</v>
      </c>
      <c r="BD26" s="975">
        <v>23097.33</v>
      </c>
      <c r="BE26" s="975">
        <v>1422</v>
      </c>
      <c r="BF26" s="975">
        <v>6149.33</v>
      </c>
      <c r="BG26" s="975">
        <v>8333.33</v>
      </c>
      <c r="BH26" s="975">
        <v>16748.330000000002</v>
      </c>
      <c r="BI26" s="975">
        <v>11458.33</v>
      </c>
      <c r="BJ26" s="975">
        <v>8333.33</v>
      </c>
      <c r="BK26" s="975">
        <f>'MXD P&amp;L'!N187</f>
        <v>8649.33</v>
      </c>
      <c r="BL26" s="975">
        <f>'MXD P&amp;L'!O187</f>
        <v>0</v>
      </c>
      <c r="BM26" s="975">
        <f>'MXD P&amp;L'!P187</f>
        <v>7250</v>
      </c>
      <c r="BN26" s="975">
        <f>'MXD P&amp;L'!Q187</f>
        <v>0</v>
      </c>
      <c r="BO26" s="975">
        <f>'MXD P&amp;L'!R187</f>
        <v>0</v>
      </c>
      <c r="BP26" s="975">
        <f>'MXD P&amp;L'!S187</f>
        <v>21331.66</v>
      </c>
      <c r="BQ26" s="975">
        <f>'MXD P&amp;L'!T187</f>
        <v>21666.66</v>
      </c>
      <c r="BR26" s="975">
        <f>'MXD P&amp;L'!U185</f>
        <v>0</v>
      </c>
      <c r="BS26" s="975">
        <f>'MXD P&amp;L'!V185</f>
        <v>0</v>
      </c>
      <c r="BT26" s="975">
        <f>'MXD P&amp;L'!W185</f>
        <v>0</v>
      </c>
      <c r="BU26" s="975">
        <f>'MXD P&amp;L'!X185</f>
        <v>0</v>
      </c>
      <c r="BV26" s="975">
        <f>'MXD P&amp;L'!Y186</f>
        <v>0</v>
      </c>
      <c r="BW26" s="975">
        <f t="shared" si="2"/>
        <v>58897.649999999994</v>
      </c>
      <c r="BX26" s="902">
        <v>571232</v>
      </c>
      <c r="BY26" s="902">
        <v>440723</v>
      </c>
      <c r="BZ26" s="902"/>
      <c r="CA26" s="902">
        <v>485638.37</v>
      </c>
      <c r="CB26" s="902">
        <f t="shared" si="1"/>
        <v>47398.35</v>
      </c>
      <c r="CC26" s="314">
        <v>64825.8</v>
      </c>
      <c r="CD26" s="311">
        <v>0.48278865713498836</v>
      </c>
    </row>
    <row r="27" spans="1:82" x14ac:dyDescent="0.3">
      <c r="A27" t="s">
        <v>822</v>
      </c>
      <c r="B27" t="s">
        <v>822</v>
      </c>
      <c r="C27" s="8">
        <v>202</v>
      </c>
      <c r="D27" s="8"/>
      <c r="E27" s="18">
        <v>50</v>
      </c>
      <c r="F27" s="14"/>
      <c r="G27" s="8">
        <v>46</v>
      </c>
      <c r="H27" s="8">
        <v>65</v>
      </c>
      <c r="I27" s="18">
        <v>50</v>
      </c>
      <c r="J27" s="14"/>
      <c r="K27" s="8">
        <v>42</v>
      </c>
      <c r="L27" s="8"/>
      <c r="M27" s="18">
        <v>50</v>
      </c>
      <c r="N27" s="14"/>
      <c r="O27" s="8">
        <v>30</v>
      </c>
      <c r="P27" s="8">
        <v>20</v>
      </c>
      <c r="Q27" s="18">
        <v>50</v>
      </c>
      <c r="R27" s="14"/>
      <c r="S27" s="8"/>
      <c r="T27" s="8"/>
      <c r="U27" s="18">
        <v>50</v>
      </c>
      <c r="V27" s="14"/>
      <c r="W27" s="8"/>
      <c r="X27" s="8"/>
      <c r="Y27" s="18">
        <v>50</v>
      </c>
      <c r="Z27" s="14"/>
      <c r="AA27" s="8"/>
      <c r="AB27" s="8"/>
      <c r="AC27" s="18">
        <v>50</v>
      </c>
      <c r="AD27" s="14">
        <v>32</v>
      </c>
      <c r="AE27" s="8"/>
      <c r="AF27" s="8"/>
      <c r="AG27" s="18">
        <v>50</v>
      </c>
      <c r="AH27" s="14"/>
      <c r="AI27">
        <v>156</v>
      </c>
      <c r="AK27" s="18">
        <v>50</v>
      </c>
      <c r="AL27" s="14"/>
      <c r="AM27">
        <v>126</v>
      </c>
      <c r="AO27" s="18">
        <v>50</v>
      </c>
      <c r="AP27" s="14"/>
      <c r="AQ27">
        <v>16</v>
      </c>
      <c r="AS27" s="18">
        <v>50</v>
      </c>
      <c r="AT27" s="14">
        <v>45.94</v>
      </c>
      <c r="AU27">
        <v>12</v>
      </c>
      <c r="AW27" s="18">
        <v>50</v>
      </c>
      <c r="AX27" s="14"/>
      <c r="AY27" s="1048">
        <v>0</v>
      </c>
      <c r="AZ27" s="975">
        <v>0</v>
      </c>
      <c r="BA27" s="975">
        <v>0</v>
      </c>
      <c r="BB27" s="975">
        <v>189.99</v>
      </c>
      <c r="BC27" s="975">
        <v>0</v>
      </c>
      <c r="BD27" s="975">
        <v>0</v>
      </c>
      <c r="BE27" s="975">
        <v>0</v>
      </c>
      <c r="BF27" s="975">
        <v>0</v>
      </c>
      <c r="BG27" s="975">
        <v>0</v>
      </c>
      <c r="BH27" s="975">
        <v>0</v>
      </c>
      <c r="BI27" s="975">
        <v>0</v>
      </c>
      <c r="BJ27" s="975">
        <v>0</v>
      </c>
      <c r="BK27" s="975">
        <f>'MXD P&amp;L'!N188</f>
        <v>0</v>
      </c>
      <c r="BL27" s="975">
        <f>'MXD P&amp;L'!O188</f>
        <v>0</v>
      </c>
      <c r="BM27" s="975">
        <f>'MXD P&amp;L'!P188</f>
        <v>0</v>
      </c>
      <c r="BN27" s="975">
        <f>'MXD P&amp;L'!Q188</f>
        <v>0</v>
      </c>
      <c r="BO27" s="975">
        <f>'MXD P&amp;L'!R188</f>
        <v>0</v>
      </c>
      <c r="BP27" s="975">
        <f>'MXD P&amp;L'!S188</f>
        <v>0</v>
      </c>
      <c r="BQ27" s="975">
        <f>'MXD P&amp;L'!T188</f>
        <v>0</v>
      </c>
      <c r="BR27" s="975">
        <f>'MXD P&amp;L'!U186</f>
        <v>13102.69</v>
      </c>
      <c r="BS27" s="975">
        <f>'MXD P&amp;L'!V186</f>
        <v>6500</v>
      </c>
      <c r="BT27" s="975">
        <f>'MXD P&amp;L'!W186</f>
        <v>776.77</v>
      </c>
      <c r="BU27" s="975">
        <f>'MXD P&amp;L'!X186</f>
        <v>0</v>
      </c>
      <c r="BV27" s="975">
        <f>'MXD P&amp;L'!Y187</f>
        <v>0</v>
      </c>
      <c r="BW27" s="975">
        <f t="shared" si="2"/>
        <v>20379.460000000003</v>
      </c>
      <c r="BX27" s="902">
        <v>571232</v>
      </c>
      <c r="BY27" s="902">
        <v>440723</v>
      </c>
      <c r="BZ27" s="902"/>
      <c r="CA27" s="902">
        <v>485638.37</v>
      </c>
      <c r="CB27" s="902">
        <f t="shared" si="1"/>
        <v>189.99</v>
      </c>
      <c r="CC27" s="314">
        <v>112.05000000000001</v>
      </c>
      <c r="CD27" s="311">
        <v>0.58976788252013268</v>
      </c>
    </row>
    <row r="28" spans="1:82" x14ac:dyDescent="0.3">
      <c r="A28" t="s">
        <v>823</v>
      </c>
      <c r="B28" t="s">
        <v>823</v>
      </c>
      <c r="C28" s="8">
        <v>46</v>
      </c>
      <c r="D28" s="8">
        <v>46</v>
      </c>
      <c r="E28" s="18">
        <v>45.94</v>
      </c>
      <c r="F28" s="14">
        <v>45.94</v>
      </c>
      <c r="G28" s="8">
        <v>46</v>
      </c>
      <c r="H28" s="8">
        <v>46</v>
      </c>
      <c r="I28" s="18">
        <v>45.94</v>
      </c>
      <c r="J28" s="14">
        <v>45.94</v>
      </c>
      <c r="K28" s="8">
        <v>46</v>
      </c>
      <c r="L28" s="8">
        <v>46</v>
      </c>
      <c r="M28" s="18">
        <v>45.94</v>
      </c>
      <c r="N28" s="14">
        <v>45.94</v>
      </c>
      <c r="O28" s="8">
        <v>46</v>
      </c>
      <c r="P28" s="8">
        <v>46</v>
      </c>
      <c r="Q28" s="18">
        <v>45.94</v>
      </c>
      <c r="R28" s="14">
        <v>45.94</v>
      </c>
      <c r="S28" s="8">
        <v>46</v>
      </c>
      <c r="T28">
        <v>46</v>
      </c>
      <c r="U28" s="18">
        <v>45.94</v>
      </c>
      <c r="V28" s="14"/>
      <c r="W28">
        <v>46</v>
      </c>
      <c r="X28" s="8">
        <v>46</v>
      </c>
      <c r="Y28" s="18">
        <v>45.94</v>
      </c>
      <c r="Z28" s="14">
        <v>45.94</v>
      </c>
      <c r="AA28" s="8">
        <v>46</v>
      </c>
      <c r="AB28" s="8">
        <v>46</v>
      </c>
      <c r="AC28" s="18">
        <v>45.94</v>
      </c>
      <c r="AD28" s="14">
        <v>45.94</v>
      </c>
      <c r="AE28" s="8">
        <v>46</v>
      </c>
      <c r="AF28">
        <v>46</v>
      </c>
      <c r="AG28" s="18">
        <v>45.94</v>
      </c>
      <c r="AH28" s="14">
        <v>45.94</v>
      </c>
      <c r="AI28">
        <v>46</v>
      </c>
      <c r="AJ28">
        <v>46</v>
      </c>
      <c r="AK28" s="18">
        <v>45.94</v>
      </c>
      <c r="AL28" s="14">
        <v>45.94</v>
      </c>
      <c r="AM28">
        <v>46</v>
      </c>
      <c r="AN28">
        <v>46</v>
      </c>
      <c r="AO28" s="18">
        <v>45.94</v>
      </c>
      <c r="AP28" s="14">
        <v>45.94</v>
      </c>
      <c r="AQ28">
        <v>46</v>
      </c>
      <c r="AS28" s="18">
        <v>45.94</v>
      </c>
      <c r="AT28" s="14">
        <v>51.509999999999764</v>
      </c>
      <c r="AU28">
        <v>1951</v>
      </c>
      <c r="AW28" s="18">
        <v>45.94</v>
      </c>
      <c r="AX28" s="14">
        <v>45.94</v>
      </c>
      <c r="AY28" s="1048">
        <v>45.94</v>
      </c>
      <c r="AZ28" s="975">
        <v>45.94</v>
      </c>
      <c r="BA28" s="975">
        <v>45.94</v>
      </c>
      <c r="BB28" s="975">
        <v>45.94</v>
      </c>
      <c r="BC28" s="975">
        <v>45.94</v>
      </c>
      <c r="BD28" s="975">
        <v>45.94</v>
      </c>
      <c r="BE28" s="975">
        <v>178.06</v>
      </c>
      <c r="BF28" s="975">
        <v>0</v>
      </c>
      <c r="BG28" s="975">
        <v>0</v>
      </c>
      <c r="BH28" s="975">
        <v>0</v>
      </c>
      <c r="BI28" s="975">
        <v>0</v>
      </c>
      <c r="BJ28" s="975">
        <v>0</v>
      </c>
      <c r="BK28" s="975">
        <f>'MXD P&amp;L'!N189</f>
        <v>0</v>
      </c>
      <c r="BL28" s="975">
        <f>'MXD P&amp;L'!O189</f>
        <v>0</v>
      </c>
      <c r="BM28" s="975">
        <f>'MXD P&amp;L'!P189</f>
        <v>0</v>
      </c>
      <c r="BN28" s="975">
        <f>'MXD P&amp;L'!Q189</f>
        <v>0</v>
      </c>
      <c r="BO28" s="975">
        <f>'MXD P&amp;L'!R189</f>
        <v>0</v>
      </c>
      <c r="BP28" s="975">
        <f>'MXD P&amp;L'!S189</f>
        <v>0</v>
      </c>
      <c r="BQ28" s="975">
        <f>'MXD P&amp;L'!T189</f>
        <v>0</v>
      </c>
      <c r="BR28" s="975">
        <f>'MXD P&amp;L'!U187</f>
        <v>22666.66</v>
      </c>
      <c r="BS28" s="975">
        <f>'MXD P&amp;L'!V187</f>
        <v>23668.66</v>
      </c>
      <c r="BT28" s="975">
        <f>'MXD P&amp;L'!W187</f>
        <v>10088.33</v>
      </c>
      <c r="BU28" s="975">
        <f>'MXD P&amp;L'!X187</f>
        <v>0</v>
      </c>
      <c r="BV28" s="975">
        <f>'MXD P&amp;L'!Y188</f>
        <v>0</v>
      </c>
      <c r="BW28" s="975">
        <f t="shared" si="2"/>
        <v>56423.65</v>
      </c>
      <c r="BX28" s="902">
        <v>571232</v>
      </c>
      <c r="BY28" s="902">
        <v>440723</v>
      </c>
      <c r="BZ28" s="902"/>
      <c r="CA28" s="902">
        <v>485638.37</v>
      </c>
      <c r="CB28" s="902">
        <f t="shared" si="1"/>
        <v>183.76</v>
      </c>
      <c r="CC28" s="314">
        <v>-57.209999999999752</v>
      </c>
      <c r="CD28" s="311">
        <v>-0.12609653956358774</v>
      </c>
    </row>
    <row r="29" spans="1:82" x14ac:dyDescent="0.3">
      <c r="A29" t="s">
        <v>824</v>
      </c>
      <c r="B29" t="s">
        <v>824</v>
      </c>
      <c r="C29" s="8">
        <v>139</v>
      </c>
      <c r="D29" s="8">
        <v>533</v>
      </c>
      <c r="E29" s="18">
        <v>486</v>
      </c>
      <c r="F29" s="14">
        <v>48.74</v>
      </c>
      <c r="G29" s="8">
        <v>62</v>
      </c>
      <c r="H29" s="8">
        <v>355</v>
      </c>
      <c r="I29" s="18">
        <v>486</v>
      </c>
      <c r="J29" s="14">
        <v>19.753299999999999</v>
      </c>
      <c r="K29" s="8">
        <v>304</v>
      </c>
      <c r="L29" s="8">
        <v>426</v>
      </c>
      <c r="M29" s="18">
        <v>486</v>
      </c>
      <c r="N29" s="14">
        <v>499.96</v>
      </c>
      <c r="O29" s="8">
        <v>312</v>
      </c>
      <c r="P29" s="8">
        <v>214</v>
      </c>
      <c r="Q29" s="18">
        <v>486</v>
      </c>
      <c r="R29" s="14">
        <v>268.46999999999991</v>
      </c>
      <c r="S29" s="8">
        <v>247</v>
      </c>
      <c r="T29" s="8">
        <v>331</v>
      </c>
      <c r="U29" s="18">
        <v>486</v>
      </c>
      <c r="V29" s="14">
        <v>120.5600000000001</v>
      </c>
      <c r="W29" s="8">
        <v>377</v>
      </c>
      <c r="X29" s="8">
        <v>1342</v>
      </c>
      <c r="Y29" s="18">
        <v>486</v>
      </c>
      <c r="Z29" s="14">
        <v>29.46000000000004</v>
      </c>
      <c r="AA29" s="8">
        <v>543</v>
      </c>
      <c r="AB29" s="8">
        <v>148</v>
      </c>
      <c r="AC29" s="18">
        <v>486</v>
      </c>
      <c r="AD29" s="14">
        <v>197.52</v>
      </c>
      <c r="AE29" s="8">
        <v>145</v>
      </c>
      <c r="AF29" s="8">
        <v>660</v>
      </c>
      <c r="AG29" s="18">
        <v>486</v>
      </c>
      <c r="AH29" s="14">
        <v>856.6400000000001</v>
      </c>
      <c r="AI29">
        <v>244</v>
      </c>
      <c r="AJ29">
        <v>171</v>
      </c>
      <c r="AK29" s="18">
        <v>486</v>
      </c>
      <c r="AL29" s="14">
        <v>54.440000000000047</v>
      </c>
      <c r="AM29">
        <v>325</v>
      </c>
      <c r="AN29">
        <v>657</v>
      </c>
      <c r="AO29" s="18">
        <v>486</v>
      </c>
      <c r="AP29" s="14">
        <v>1698.27</v>
      </c>
      <c r="AQ29">
        <v>177</v>
      </c>
      <c r="AS29" s="18">
        <v>486</v>
      </c>
      <c r="AT29" s="14"/>
      <c r="AU29">
        <v>36</v>
      </c>
      <c r="AW29" s="18">
        <v>486</v>
      </c>
      <c r="AX29" s="14">
        <v>766.92999999999984</v>
      </c>
      <c r="AY29" s="1048">
        <v>689.4</v>
      </c>
      <c r="AZ29" s="975">
        <v>296.35000000000002</v>
      </c>
      <c r="BA29" s="975">
        <v>350.31</v>
      </c>
      <c r="BB29" s="975">
        <v>559.75</v>
      </c>
      <c r="BC29" s="975">
        <v>457.13</v>
      </c>
      <c r="BD29" s="975">
        <v>626.41999999999996</v>
      </c>
      <c r="BE29" s="975">
        <v>415.23</v>
      </c>
      <c r="BF29" s="975">
        <v>0</v>
      </c>
      <c r="BG29" s="975">
        <v>505.85</v>
      </c>
      <c r="BH29" s="975">
        <v>332.48</v>
      </c>
      <c r="BI29" s="975">
        <v>1035.18</v>
      </c>
      <c r="BJ29" s="975">
        <v>1557.54</v>
      </c>
      <c r="BK29" s="975">
        <f>'MXD P&amp;L'!N190</f>
        <v>493.62</v>
      </c>
      <c r="BL29" s="975">
        <f>'MXD P&amp;L'!O190</f>
        <v>792.3</v>
      </c>
      <c r="BM29" s="975">
        <f>'MXD P&amp;L'!P190</f>
        <v>593.78</v>
      </c>
      <c r="BN29" s="975">
        <f>'MXD P&amp;L'!Q190</f>
        <v>708.3</v>
      </c>
      <c r="BO29" s="975">
        <f>'MXD P&amp;L'!R190</f>
        <v>718.39</v>
      </c>
      <c r="BP29" s="975">
        <f>'MXD P&amp;L'!S190</f>
        <v>482.22</v>
      </c>
      <c r="BQ29" s="975">
        <f>'MXD P&amp;L'!T190</f>
        <v>772.77</v>
      </c>
      <c r="BR29" s="975">
        <f>'MXD P&amp;L'!U188</f>
        <v>0</v>
      </c>
      <c r="BS29" s="975">
        <f>'MXD P&amp;L'!V188</f>
        <v>0</v>
      </c>
      <c r="BT29" s="975">
        <f>'MXD P&amp;L'!W188</f>
        <v>0</v>
      </c>
      <c r="BU29" s="975">
        <f>'MXD P&amp;L'!X188</f>
        <v>0</v>
      </c>
      <c r="BV29" s="975">
        <f>'MXD P&amp;L'!Y189</f>
        <v>0</v>
      </c>
      <c r="BW29" s="975">
        <f t="shared" si="2"/>
        <v>4561.3799999999992</v>
      </c>
      <c r="BX29" s="902">
        <v>571232</v>
      </c>
      <c r="BY29" s="902">
        <v>440723</v>
      </c>
      <c r="BZ29" s="902"/>
      <c r="CA29" s="902">
        <v>485638.37</v>
      </c>
      <c r="CB29" s="902">
        <f t="shared" si="1"/>
        <v>1895.81</v>
      </c>
      <c r="CC29" s="314">
        <v>2264.8967000000002</v>
      </c>
      <c r="CD29" s="311">
        <v>0.33182188043905042</v>
      </c>
    </row>
    <row r="30" spans="1:82" ht="15.6" x14ac:dyDescent="0.3">
      <c r="B30" s="1398" t="s">
        <v>1256</v>
      </c>
      <c r="C30" s="8"/>
      <c r="D30" s="8"/>
      <c r="E30" s="18"/>
      <c r="F30" s="14"/>
      <c r="G30" s="8"/>
      <c r="H30" s="8"/>
      <c r="I30" s="18"/>
      <c r="J30" s="14"/>
      <c r="K30" s="8"/>
      <c r="L30" s="8"/>
      <c r="M30" s="18"/>
      <c r="N30" s="14"/>
      <c r="O30" s="8"/>
      <c r="P30" s="8"/>
      <c r="Q30" s="18"/>
      <c r="R30" s="14"/>
      <c r="S30" s="8"/>
      <c r="T30" s="8"/>
      <c r="U30" s="18"/>
      <c r="V30" s="14"/>
      <c r="W30" s="8"/>
      <c r="X30" s="8"/>
      <c r="Y30" s="18"/>
      <c r="Z30" s="14"/>
      <c r="AA30" s="8"/>
      <c r="AB30" s="8"/>
      <c r="AC30" s="18"/>
      <c r="AD30" s="14"/>
      <c r="AE30" s="8"/>
      <c r="AF30" s="8"/>
      <c r="AG30" s="18"/>
      <c r="AH30" s="14"/>
      <c r="AK30" s="18"/>
      <c r="AL30" s="14"/>
      <c r="AO30" s="18"/>
      <c r="AP30" s="14"/>
      <c r="AS30" s="18"/>
      <c r="AT30" s="14"/>
      <c r="AW30" s="18"/>
      <c r="AX30" s="14"/>
      <c r="AY30" s="1048"/>
      <c r="AZ30" s="975"/>
      <c r="BA30" s="975"/>
      <c r="BB30" s="975"/>
      <c r="BC30" s="975"/>
      <c r="BD30" s="975"/>
      <c r="BE30" s="975"/>
      <c r="BF30" s="975"/>
      <c r="BG30" s="975"/>
      <c r="BH30" s="975"/>
      <c r="BI30" s="975"/>
      <c r="BJ30" s="975"/>
      <c r="BK30" s="975">
        <f>'MXD P&amp;L'!N191</f>
        <v>0</v>
      </c>
      <c r="BL30" s="975">
        <f>'MXD P&amp;L'!O191</f>
        <v>0</v>
      </c>
      <c r="BM30" s="975">
        <f>'MXD P&amp;L'!P191</f>
        <v>0</v>
      </c>
      <c r="BN30" s="975">
        <f>'MXD P&amp;L'!Q191</f>
        <v>0</v>
      </c>
      <c r="BO30" s="975">
        <f>'MXD P&amp;L'!R191</f>
        <v>0</v>
      </c>
      <c r="BP30" s="975">
        <f>'MXD P&amp;L'!S191</f>
        <v>0</v>
      </c>
      <c r="BQ30" s="975">
        <f>'MXD P&amp;L'!T191</f>
        <v>2512.8000000000002</v>
      </c>
      <c r="BR30" s="975">
        <f>'MXD P&amp;L'!U189</f>
        <v>0</v>
      </c>
      <c r="BS30" s="975">
        <f>'MXD P&amp;L'!V189</f>
        <v>0</v>
      </c>
      <c r="BT30" s="975">
        <f>'MXD P&amp;L'!W189</f>
        <v>0</v>
      </c>
      <c r="BU30" s="975">
        <f>'MXD P&amp;L'!X189</f>
        <v>0</v>
      </c>
      <c r="BV30" s="975">
        <f>'MXD P&amp;L'!Y190</f>
        <v>0</v>
      </c>
      <c r="BW30" s="975">
        <f t="shared" ref="BW30" si="4">SUM(BK30:BV30)</f>
        <v>2512.8000000000002</v>
      </c>
      <c r="BX30" s="902"/>
      <c r="BY30" s="902"/>
      <c r="BZ30" s="902"/>
      <c r="CA30" s="902"/>
      <c r="CB30" s="902"/>
      <c r="CC30" s="314"/>
      <c r="CD30" s="311"/>
    </row>
    <row r="31" spans="1:82" x14ac:dyDescent="0.3">
      <c r="A31" t="s">
        <v>825</v>
      </c>
      <c r="B31" t="s">
        <v>825</v>
      </c>
      <c r="C31" s="8"/>
      <c r="D31" s="8"/>
      <c r="E31" s="18">
        <v>200</v>
      </c>
      <c r="F31" s="14"/>
      <c r="G31" s="8"/>
      <c r="H31" s="8"/>
      <c r="I31" s="18">
        <v>200</v>
      </c>
      <c r="J31" s="14"/>
      <c r="K31" s="8"/>
      <c r="L31" s="8"/>
      <c r="M31" s="18">
        <v>200</v>
      </c>
      <c r="N31" s="14"/>
      <c r="O31" s="8"/>
      <c r="P31" s="8">
        <v>1017</v>
      </c>
      <c r="Q31" s="18">
        <v>200</v>
      </c>
      <c r="R31" s="14"/>
      <c r="S31" s="8"/>
      <c r="T31" s="8">
        <v>1899</v>
      </c>
      <c r="U31" s="18">
        <v>200</v>
      </c>
      <c r="V31" s="14"/>
      <c r="W31" s="8"/>
      <c r="X31" s="8">
        <v>1369</v>
      </c>
      <c r="Y31" s="18">
        <v>200</v>
      </c>
      <c r="Z31" s="14"/>
      <c r="AA31" s="8"/>
      <c r="AB31" s="8">
        <v>13</v>
      </c>
      <c r="AC31" s="18">
        <v>200</v>
      </c>
      <c r="AD31" s="14"/>
      <c r="AE31" s="8"/>
      <c r="AF31" s="8"/>
      <c r="AG31" s="18">
        <v>200</v>
      </c>
      <c r="AH31" s="14"/>
      <c r="AK31" s="18">
        <v>200</v>
      </c>
      <c r="AL31" s="14"/>
      <c r="AO31" s="18">
        <v>200</v>
      </c>
      <c r="AP31" s="14"/>
      <c r="AS31" s="18">
        <v>200</v>
      </c>
      <c r="AT31" s="14">
        <v>1728.51</v>
      </c>
      <c r="AW31" s="18">
        <v>200</v>
      </c>
      <c r="AX31" s="14">
        <v>251.53</v>
      </c>
      <c r="AY31" s="1048">
        <v>78.84</v>
      </c>
      <c r="AZ31" s="975">
        <v>0.4</v>
      </c>
      <c r="BA31" s="975">
        <v>701.33</v>
      </c>
      <c r="BB31" s="975">
        <v>2602.3200000000002</v>
      </c>
      <c r="BC31" s="975">
        <v>5876.83</v>
      </c>
      <c r="BD31" s="975">
        <v>574.88</v>
      </c>
      <c r="BE31" s="975">
        <v>-71.150000000000006</v>
      </c>
      <c r="BF31" s="975">
        <v>376.84</v>
      </c>
      <c r="BG31" s="975">
        <v>4010.31</v>
      </c>
      <c r="BH31" s="975">
        <v>-704.62</v>
      </c>
      <c r="BI31" s="975">
        <v>-897.66</v>
      </c>
      <c r="BJ31" s="975">
        <v>-13942.43</v>
      </c>
      <c r="BK31" s="975">
        <f>'MXD P&amp;L'!N192</f>
        <v>6323.95</v>
      </c>
      <c r="BL31" s="975">
        <f>'MXD P&amp;L'!O192</f>
        <v>2779.67</v>
      </c>
      <c r="BM31" s="975">
        <f>'MXD P&amp;L'!P192</f>
        <v>7452.58</v>
      </c>
      <c r="BN31" s="975">
        <f>'MXD P&amp;L'!Q192</f>
        <v>3246.79</v>
      </c>
      <c r="BO31" s="975">
        <f>'MXD P&amp;L'!R192</f>
        <v>4303.6899999999996</v>
      </c>
      <c r="BP31" s="975">
        <f>'MXD P&amp;L'!S192</f>
        <v>10526.98</v>
      </c>
      <c r="BQ31" s="975">
        <f>'MXD P&amp;L'!T192</f>
        <v>5541.52</v>
      </c>
      <c r="BR31" s="975">
        <f>'MXD P&amp;L'!U190</f>
        <v>967.86</v>
      </c>
      <c r="BS31" s="975">
        <f>'MXD P&amp;L'!V190</f>
        <v>573.6</v>
      </c>
      <c r="BT31" s="975">
        <f>'MXD P&amp;L'!W190</f>
        <v>730.82</v>
      </c>
      <c r="BU31" s="975">
        <f>'MXD P&amp;L'!X190</f>
        <v>0</v>
      </c>
      <c r="BV31" s="975">
        <f>'MXD P&amp;L'!Y191</f>
        <v>0</v>
      </c>
      <c r="BW31" s="975">
        <f t="shared" si="2"/>
        <v>42447.459999999992</v>
      </c>
      <c r="BX31" s="902">
        <v>571232</v>
      </c>
      <c r="BY31" s="902">
        <v>440723</v>
      </c>
      <c r="BZ31" s="902"/>
      <c r="CA31" s="902">
        <v>485638.37</v>
      </c>
      <c r="CB31" s="902">
        <f t="shared" si="1"/>
        <v>3382.8900000000003</v>
      </c>
      <c r="CC31" s="314">
        <v>-3374.1500000000005</v>
      </c>
      <c r="CD31" s="311">
        <v>2.4202896471584014</v>
      </c>
    </row>
    <row r="32" spans="1:82" x14ac:dyDescent="0.3">
      <c r="A32" t="s">
        <v>826</v>
      </c>
      <c r="B32" t="s">
        <v>826</v>
      </c>
      <c r="C32" s="8">
        <v>3718</v>
      </c>
      <c r="D32" s="8">
        <v>2336</v>
      </c>
      <c r="E32" s="18">
        <v>1711.9166666666667</v>
      </c>
      <c r="F32" s="14">
        <v>781.97</v>
      </c>
      <c r="G32" s="8">
        <v>1997</v>
      </c>
      <c r="H32" s="8">
        <v>316</v>
      </c>
      <c r="I32" s="18">
        <v>1711.9166666666667</v>
      </c>
      <c r="J32" s="14">
        <v>2632.5</v>
      </c>
      <c r="K32" s="8">
        <v>1403</v>
      </c>
      <c r="L32" s="8">
        <v>3240</v>
      </c>
      <c r="M32" s="18">
        <v>2632.5</v>
      </c>
      <c r="N32" s="14">
        <v>1555.39</v>
      </c>
      <c r="O32" s="8">
        <v>2069</v>
      </c>
      <c r="P32" s="8">
        <v>1256</v>
      </c>
      <c r="Q32" s="18">
        <v>2632.5</v>
      </c>
      <c r="R32" s="14">
        <v>1347.22</v>
      </c>
      <c r="S32" s="8">
        <v>1172</v>
      </c>
      <c r="T32" s="8">
        <v>1338</v>
      </c>
      <c r="U32" s="18">
        <v>2632.5</v>
      </c>
      <c r="V32" s="14">
        <v>935.14000000000033</v>
      </c>
      <c r="W32" s="8">
        <v>2378</v>
      </c>
      <c r="X32" s="8">
        <v>4879</v>
      </c>
      <c r="Y32" s="18">
        <v>2632.5</v>
      </c>
      <c r="Z32" s="14">
        <v>2161.0099999999989</v>
      </c>
      <c r="AA32" s="8">
        <v>1658</v>
      </c>
      <c r="AB32" s="8">
        <v>2572</v>
      </c>
      <c r="AC32" s="18">
        <v>2632.5</v>
      </c>
      <c r="AD32" s="14">
        <v>2638.99</v>
      </c>
      <c r="AE32" s="8">
        <v>538</v>
      </c>
      <c r="AF32" s="8">
        <v>2847</v>
      </c>
      <c r="AG32" s="18">
        <v>2632.5</v>
      </c>
      <c r="AH32" s="14">
        <v>1738.9099999999999</v>
      </c>
      <c r="AI32">
        <v>1288</v>
      </c>
      <c r="AJ32">
        <v>1553</v>
      </c>
      <c r="AK32" s="18">
        <v>2632.5</v>
      </c>
      <c r="AL32" s="14">
        <v>2636.7700000000018</v>
      </c>
      <c r="AM32">
        <v>2065</v>
      </c>
      <c r="AN32">
        <v>3248</v>
      </c>
      <c r="AO32" s="18">
        <v>2632.5</v>
      </c>
      <c r="AP32" s="14">
        <v>1768.4499999999971</v>
      </c>
      <c r="AQ32">
        <v>1170</v>
      </c>
      <c r="AS32" s="18">
        <v>2632.5</v>
      </c>
      <c r="AT32" s="14">
        <v>3130.09</v>
      </c>
      <c r="AU32">
        <v>1088</v>
      </c>
      <c r="AW32" s="18">
        <v>2632.5</v>
      </c>
      <c r="AX32" s="14">
        <v>2316.77</v>
      </c>
      <c r="AY32" s="1048">
        <v>2318.4899999999998</v>
      </c>
      <c r="AZ32" s="975">
        <v>3880.52</v>
      </c>
      <c r="BA32" s="975">
        <v>4626.1000000000004</v>
      </c>
      <c r="BB32" s="975">
        <v>3981.99</v>
      </c>
      <c r="BC32" s="975">
        <v>2200.5500000000002</v>
      </c>
      <c r="BD32" s="975">
        <v>3707.54</v>
      </c>
      <c r="BE32" s="975">
        <v>4373.33</v>
      </c>
      <c r="BF32" s="975">
        <v>3245.1</v>
      </c>
      <c r="BG32" s="975">
        <v>3207.25</v>
      </c>
      <c r="BH32" s="975">
        <v>5888.77</v>
      </c>
      <c r="BI32" s="975">
        <v>4245.04</v>
      </c>
      <c r="BJ32" s="975">
        <v>3921.23</v>
      </c>
      <c r="BK32" s="975">
        <f>'MXD P&amp;L'!N193</f>
        <v>3729.12</v>
      </c>
      <c r="BL32" s="975">
        <f>'MXD P&amp;L'!O193</f>
        <v>3290.87</v>
      </c>
      <c r="BM32" s="975">
        <f>'MXD P&amp;L'!P193</f>
        <v>2644.61</v>
      </c>
      <c r="BN32" s="975">
        <f>'MXD P&amp;L'!Q193</f>
        <v>3293.79</v>
      </c>
      <c r="BO32" s="975">
        <f>'MXD P&amp;L'!R193</f>
        <v>3653.53</v>
      </c>
      <c r="BP32" s="975">
        <f>'MXD P&amp;L'!S193</f>
        <v>8174.77</v>
      </c>
      <c r="BQ32" s="975">
        <f>'MXD P&amp;L'!T193</f>
        <v>5695.84</v>
      </c>
      <c r="BR32" s="975">
        <f>'MXD P&amp;L'!U191</f>
        <v>-424.64</v>
      </c>
      <c r="BS32" s="975">
        <f>'MXD P&amp;L'!V191</f>
        <v>0</v>
      </c>
      <c r="BT32" s="975">
        <f>'MXD P&amp;L'!W191</f>
        <v>0</v>
      </c>
      <c r="BU32" s="975">
        <f>'MXD P&amp;L'!X191</f>
        <v>0</v>
      </c>
      <c r="BV32" s="975">
        <f>'MXD P&amp;L'!Y192</f>
        <v>0</v>
      </c>
      <c r="BW32" s="975">
        <f t="shared" si="2"/>
        <v>30057.89</v>
      </c>
      <c r="BX32" s="902">
        <v>571232</v>
      </c>
      <c r="BY32" s="902">
        <v>440723</v>
      </c>
      <c r="BZ32" s="902"/>
      <c r="CA32" s="902">
        <v>485638.37</v>
      </c>
      <c r="CB32" s="902">
        <f t="shared" si="1"/>
        <v>14807.1</v>
      </c>
      <c r="CC32" s="314">
        <v>21952.700000000004</v>
      </c>
      <c r="CD32" s="311">
        <v>0.48146204341573623</v>
      </c>
    </row>
    <row r="33" spans="1:82" x14ac:dyDescent="0.3">
      <c r="A33" t="s">
        <v>827</v>
      </c>
      <c r="B33" t="s">
        <v>827</v>
      </c>
      <c r="C33" s="8">
        <v>550</v>
      </c>
      <c r="D33" s="8">
        <v>478</v>
      </c>
      <c r="E33" s="18">
        <v>800</v>
      </c>
      <c r="F33" s="14">
        <v>443.19</v>
      </c>
      <c r="G33" s="8">
        <v>550</v>
      </c>
      <c r="H33" s="8"/>
      <c r="I33" s="18">
        <v>800</v>
      </c>
      <c r="J33" s="14">
        <v>524.70000000000005</v>
      </c>
      <c r="K33" s="8">
        <v>550</v>
      </c>
      <c r="L33" s="8">
        <v>501</v>
      </c>
      <c r="M33" s="18">
        <v>800</v>
      </c>
      <c r="N33" s="14">
        <v>1544.4</v>
      </c>
      <c r="O33" s="8">
        <v>636</v>
      </c>
      <c r="P33" s="8">
        <v>1569</v>
      </c>
      <c r="Q33" s="18">
        <v>800</v>
      </c>
      <c r="R33" s="14">
        <v>0</v>
      </c>
      <c r="S33" s="8">
        <v>550</v>
      </c>
      <c r="T33" s="8">
        <v>805</v>
      </c>
      <c r="U33" s="18">
        <v>800</v>
      </c>
      <c r="V33" s="14">
        <v>1049.4000000000001</v>
      </c>
      <c r="W33" s="8">
        <v>550</v>
      </c>
      <c r="X33" s="8">
        <v>934</v>
      </c>
      <c r="Y33" s="18">
        <v>800</v>
      </c>
      <c r="Z33" s="14"/>
      <c r="AA33" s="8">
        <v>550</v>
      </c>
      <c r="AB33" s="8">
        <v>1372</v>
      </c>
      <c r="AC33" s="18">
        <v>800</v>
      </c>
      <c r="AD33" s="14">
        <v>495</v>
      </c>
      <c r="AE33" s="8">
        <v>716</v>
      </c>
      <c r="AF33" s="8">
        <v>684</v>
      </c>
      <c r="AG33" s="18">
        <v>800</v>
      </c>
      <c r="AH33" s="14">
        <v>494.99999999999949</v>
      </c>
      <c r="AI33">
        <v>550</v>
      </c>
      <c r="AJ33">
        <v>987</v>
      </c>
      <c r="AK33" s="18">
        <v>800</v>
      </c>
      <c r="AL33" s="14">
        <v>495</v>
      </c>
      <c r="AM33">
        <v>550</v>
      </c>
      <c r="AN33">
        <v>525</v>
      </c>
      <c r="AO33" s="18">
        <v>800</v>
      </c>
      <c r="AP33" s="14">
        <v>495</v>
      </c>
      <c r="AQ33">
        <v>550</v>
      </c>
      <c r="AS33" s="18">
        <v>800</v>
      </c>
      <c r="AT33" s="14">
        <v>495</v>
      </c>
      <c r="AU33">
        <v>694</v>
      </c>
      <c r="AW33" s="18">
        <v>800</v>
      </c>
      <c r="AX33" s="14">
        <v>550</v>
      </c>
      <c r="AY33" s="1048">
        <v>550</v>
      </c>
      <c r="AZ33" s="975">
        <v>550</v>
      </c>
      <c r="BA33" s="975">
        <v>550</v>
      </c>
      <c r="BB33" s="975">
        <v>1100</v>
      </c>
      <c r="BC33" s="975">
        <v>550</v>
      </c>
      <c r="BD33" s="975">
        <v>0</v>
      </c>
      <c r="BE33" s="975">
        <v>1100</v>
      </c>
      <c r="BF33" s="975">
        <v>0</v>
      </c>
      <c r="BG33" s="975">
        <v>0</v>
      </c>
      <c r="BH33" s="975">
        <v>168.67</v>
      </c>
      <c r="BI33" s="975">
        <v>1.68</v>
      </c>
      <c r="BJ33" s="975">
        <v>0</v>
      </c>
      <c r="BK33" s="975">
        <f>'MXD P&amp;L'!N194</f>
        <v>0</v>
      </c>
      <c r="BL33" s="975">
        <f>'MXD P&amp;L'!O194</f>
        <v>0</v>
      </c>
      <c r="BM33" s="975">
        <f>'MXD P&amp;L'!P194</f>
        <v>0</v>
      </c>
      <c r="BN33" s="975">
        <f>'MXD P&amp;L'!Q194</f>
        <v>0</v>
      </c>
      <c r="BO33" s="975">
        <f>'MXD P&amp;L'!R194</f>
        <v>0</v>
      </c>
      <c r="BP33" s="975">
        <f>'MXD P&amp;L'!S194</f>
        <v>0</v>
      </c>
      <c r="BQ33" s="975">
        <f>'MXD P&amp;L'!T194</f>
        <v>0</v>
      </c>
      <c r="BR33" s="975">
        <f>'MXD P&amp;L'!U192</f>
        <v>10530.38</v>
      </c>
      <c r="BS33" s="975">
        <f>'MXD P&amp;L'!V192</f>
        <v>4492.8900000000003</v>
      </c>
      <c r="BT33" s="975">
        <f>'MXD P&amp;L'!W192</f>
        <v>10724.3</v>
      </c>
      <c r="BU33" s="975">
        <f>'MXD P&amp;L'!X192</f>
        <v>0</v>
      </c>
      <c r="BV33" s="975">
        <f>'MXD P&amp;L'!Y193</f>
        <v>0</v>
      </c>
      <c r="BW33" s="975">
        <f t="shared" si="2"/>
        <v>25747.57</v>
      </c>
      <c r="BX33" s="902">
        <v>571232</v>
      </c>
      <c r="BY33" s="902">
        <v>440723</v>
      </c>
      <c r="BZ33" s="902"/>
      <c r="CA33" s="902">
        <v>485638.37</v>
      </c>
      <c r="CB33" s="902">
        <f t="shared" si="1"/>
        <v>2750</v>
      </c>
      <c r="CC33" s="314">
        <v>-2016.3399999999992</v>
      </c>
      <c r="CD33" s="311">
        <v>-0.44117846554421414</v>
      </c>
    </row>
    <row r="34" spans="1:82" x14ac:dyDescent="0.3">
      <c r="A34" t="s">
        <v>921</v>
      </c>
      <c r="B34" t="s">
        <v>828</v>
      </c>
      <c r="C34" s="8">
        <v>327</v>
      </c>
      <c r="D34" s="8">
        <v>305</v>
      </c>
      <c r="E34" s="18">
        <v>400</v>
      </c>
      <c r="F34" s="14">
        <v>422.69</v>
      </c>
      <c r="G34" s="8">
        <v>331</v>
      </c>
      <c r="H34" s="8">
        <v>542</v>
      </c>
      <c r="I34" s="18">
        <v>250</v>
      </c>
      <c r="J34" s="14">
        <v>975.2</v>
      </c>
      <c r="K34" s="8">
        <v>331</v>
      </c>
      <c r="L34" s="8">
        <v>209</v>
      </c>
      <c r="M34" s="18">
        <v>250</v>
      </c>
      <c r="N34" s="14">
        <v>209.11</v>
      </c>
      <c r="O34" s="8">
        <v>191</v>
      </c>
      <c r="P34" s="8"/>
      <c r="Q34" s="18">
        <v>250</v>
      </c>
      <c r="R34" s="14">
        <v>209.1099999999999</v>
      </c>
      <c r="S34" s="8">
        <v>339</v>
      </c>
      <c r="T34" s="8"/>
      <c r="U34" s="18">
        <v>250</v>
      </c>
      <c r="V34" s="14">
        <v>304.16000000000008</v>
      </c>
      <c r="W34" s="8">
        <v>235</v>
      </c>
      <c r="X34" s="8">
        <v>628</v>
      </c>
      <c r="Y34" s="18">
        <v>250</v>
      </c>
      <c r="Z34" s="14"/>
      <c r="AA34" s="8">
        <v>209</v>
      </c>
      <c r="AB34" s="8">
        <v>-3</v>
      </c>
      <c r="AC34" s="18">
        <v>250</v>
      </c>
      <c r="AD34" s="14">
        <v>686.4</v>
      </c>
      <c r="AE34" s="8">
        <v>367</v>
      </c>
      <c r="AF34" s="8">
        <v>514</v>
      </c>
      <c r="AG34" s="18">
        <v>250</v>
      </c>
      <c r="AH34" s="14">
        <v>45.840000000000089</v>
      </c>
      <c r="AI34">
        <v>209</v>
      </c>
      <c r="AJ34">
        <v>209</v>
      </c>
      <c r="AK34" s="18">
        <v>250</v>
      </c>
      <c r="AL34" s="14">
        <v>2259.23</v>
      </c>
      <c r="AM34">
        <v>209</v>
      </c>
      <c r="AN34">
        <v>209</v>
      </c>
      <c r="AO34" s="18">
        <v>250</v>
      </c>
      <c r="AP34" s="14">
        <v>123.0199999999995</v>
      </c>
      <c r="AQ34">
        <v>302</v>
      </c>
      <c r="AS34" s="18">
        <v>250</v>
      </c>
      <c r="AT34" s="14">
        <v>402.84000000000009</v>
      </c>
      <c r="AU34">
        <v>305</v>
      </c>
      <c r="AW34" s="18">
        <v>250</v>
      </c>
      <c r="AX34" s="14"/>
      <c r="AY34" s="1048">
        <v>545.84</v>
      </c>
      <c r="AZ34" s="975">
        <v>1173.4000000000001</v>
      </c>
      <c r="BA34" s="975">
        <v>-24.26</v>
      </c>
      <c r="BB34" s="975">
        <v>385.27</v>
      </c>
      <c r="BC34" s="975">
        <v>2018.54</v>
      </c>
      <c r="BD34" s="975">
        <v>1666.69</v>
      </c>
      <c r="BE34" s="975">
        <v>376.55</v>
      </c>
      <c r="BF34" s="975">
        <v>594.94000000000005</v>
      </c>
      <c r="BG34" s="975">
        <v>176.95</v>
      </c>
      <c r="BH34" s="975">
        <v>83.25</v>
      </c>
      <c r="BI34" s="975">
        <v>302.7</v>
      </c>
      <c r="BJ34" s="975">
        <v>496.65</v>
      </c>
      <c r="BK34" s="975">
        <f>'MXD P&amp;L'!N195</f>
        <v>300.3</v>
      </c>
      <c r="BL34" s="975">
        <f>'MXD P&amp;L'!O195</f>
        <v>1083.2</v>
      </c>
      <c r="BM34" s="975">
        <f>'MXD P&amp;L'!P195</f>
        <v>125.35</v>
      </c>
      <c r="BN34" s="975">
        <f>'MXD P&amp;L'!Q195</f>
        <v>0</v>
      </c>
      <c r="BO34" s="975">
        <f>'MXD P&amp;L'!R195</f>
        <v>0</v>
      </c>
      <c r="BP34" s="975">
        <f>'MXD P&amp;L'!S195</f>
        <v>0</v>
      </c>
      <c r="BQ34" s="975">
        <f>'MXD P&amp;L'!T195</f>
        <v>0</v>
      </c>
      <c r="BR34" s="975">
        <f>'MXD P&amp;L'!U193</f>
        <v>7046.28</v>
      </c>
      <c r="BS34" s="975">
        <f>'MXD P&amp;L'!V193</f>
        <v>4201.6499999999996</v>
      </c>
      <c r="BT34" s="975">
        <f>'MXD P&amp;L'!W193</f>
        <v>3572.15</v>
      </c>
      <c r="BU34" s="975">
        <f>'MXD P&amp;L'!X193</f>
        <v>0</v>
      </c>
      <c r="BV34" s="975">
        <f>'MXD P&amp;L'!Y194</f>
        <v>0</v>
      </c>
      <c r="BW34" s="975">
        <f t="shared" si="2"/>
        <v>16328.929999999998</v>
      </c>
      <c r="BX34" s="902">
        <v>571232</v>
      </c>
      <c r="BY34" s="902">
        <v>440723</v>
      </c>
      <c r="BZ34" s="902"/>
      <c r="CA34" s="902">
        <v>485638.37</v>
      </c>
      <c r="CB34" s="902">
        <f t="shared" si="1"/>
        <v>2080.25</v>
      </c>
      <c r="CC34" s="314">
        <v>2158.9199999999992</v>
      </c>
      <c r="CD34" s="311">
        <v>0.2769081590247956</v>
      </c>
    </row>
    <row r="35" spans="1:82" x14ac:dyDescent="0.3">
      <c r="A35" t="s">
        <v>829</v>
      </c>
      <c r="B35" t="s">
        <v>829</v>
      </c>
      <c r="C35" s="8"/>
      <c r="D35" s="8"/>
      <c r="E35" s="18"/>
      <c r="F35" s="14">
        <v>1745.49</v>
      </c>
      <c r="G35" s="8"/>
      <c r="H35" s="8"/>
      <c r="I35" s="18"/>
      <c r="J35" s="14">
        <v>251</v>
      </c>
      <c r="K35" s="8"/>
      <c r="L35" s="8"/>
      <c r="M35" s="18"/>
      <c r="N35" s="14"/>
      <c r="O35" s="8"/>
      <c r="P35" s="8"/>
      <c r="Q35" s="18"/>
      <c r="R35" s="14"/>
      <c r="S35" s="8"/>
      <c r="T35" s="8"/>
      <c r="U35" s="18"/>
      <c r="V35" s="14"/>
      <c r="W35" s="8"/>
      <c r="X35" s="8"/>
      <c r="Y35" s="18"/>
      <c r="Z35" s="14"/>
      <c r="AA35" s="8"/>
      <c r="AB35" s="8"/>
      <c r="AC35" s="18"/>
      <c r="AD35" s="14">
        <v>594.66000000000008</v>
      </c>
      <c r="AE35" s="8"/>
      <c r="AF35" s="8">
        <v>1063</v>
      </c>
      <c r="AG35" s="18"/>
      <c r="AH35" s="14">
        <v>128.2199999999998</v>
      </c>
      <c r="AJ35">
        <v>20</v>
      </c>
      <c r="AK35" s="18"/>
      <c r="AL35" s="14"/>
      <c r="AN35">
        <v>137</v>
      </c>
      <c r="AO35" s="18"/>
      <c r="AP35" s="14">
        <v>2213.1999999999998</v>
      </c>
      <c r="AS35" s="18"/>
      <c r="AT35" s="14">
        <v>4746.43</v>
      </c>
      <c r="AW35" s="18"/>
      <c r="AX35" s="14">
        <v>27.549999999999269</v>
      </c>
      <c r="AY35" s="1048">
        <v>0</v>
      </c>
      <c r="AZ35" s="975">
        <v>0</v>
      </c>
      <c r="BA35" s="975">
        <v>13815.77</v>
      </c>
      <c r="BB35" s="975">
        <v>3160.24</v>
      </c>
      <c r="BC35" s="975">
        <v>988.98</v>
      </c>
      <c r="BD35" s="975">
        <v>-1133.71</v>
      </c>
      <c r="BE35" s="975">
        <v>0</v>
      </c>
      <c r="BF35" s="975">
        <v>0</v>
      </c>
      <c r="BG35" s="975">
        <v>0</v>
      </c>
      <c r="BH35" s="975">
        <v>-6192.53</v>
      </c>
      <c r="BI35" s="975">
        <v>1372.73</v>
      </c>
      <c r="BJ35" s="975">
        <v>10781.62</v>
      </c>
      <c r="BK35" s="975">
        <f>'MXD P&amp;L'!N196</f>
        <v>2747.11</v>
      </c>
      <c r="BL35" s="975">
        <f>'MXD P&amp;L'!O196</f>
        <v>859.64</v>
      </c>
      <c r="BM35" s="975">
        <f>'MXD P&amp;L'!P196</f>
        <v>3252.78</v>
      </c>
      <c r="BN35" s="975">
        <f>'MXD P&amp;L'!Q196</f>
        <v>-2627.26</v>
      </c>
      <c r="BO35" s="975">
        <f>'MXD P&amp;L'!R196</f>
        <v>5405.1</v>
      </c>
      <c r="BP35" s="975">
        <f>'MXD P&amp;L'!S196</f>
        <v>5088.87</v>
      </c>
      <c r="BQ35" s="975">
        <f>'MXD P&amp;L'!T196</f>
        <v>-4532.68</v>
      </c>
      <c r="BR35" s="975">
        <f>'MXD P&amp;L'!U194</f>
        <v>0</v>
      </c>
      <c r="BS35" s="975">
        <f>'MXD P&amp;L'!V194</f>
        <v>0</v>
      </c>
      <c r="BT35" s="975">
        <f>'MXD P&amp;L'!W194</f>
        <v>0</v>
      </c>
      <c r="BU35" s="975">
        <f>'MXD P&amp;L'!X194</f>
        <v>0</v>
      </c>
      <c r="BV35" s="975">
        <f>'MXD P&amp;L'!Y195</f>
        <v>0</v>
      </c>
      <c r="BW35" s="975">
        <f t="shared" si="2"/>
        <v>10193.560000000001</v>
      </c>
      <c r="BX35" s="902">
        <v>571232</v>
      </c>
      <c r="BY35" s="902">
        <v>440723</v>
      </c>
      <c r="BZ35" s="902"/>
      <c r="CA35" s="902">
        <v>485638.37</v>
      </c>
      <c r="CB35" s="902">
        <f t="shared" si="1"/>
        <v>16976.010000000002</v>
      </c>
      <c r="CC35" s="314">
        <v>13086.550000000007</v>
      </c>
      <c r="CD35" s="311">
        <v>0.57414524571032477</v>
      </c>
    </row>
    <row r="36" spans="1:82" x14ac:dyDescent="0.3">
      <c r="A36" t="s">
        <v>830</v>
      </c>
      <c r="B36" t="s">
        <v>830</v>
      </c>
      <c r="C36" s="8">
        <v>75</v>
      </c>
      <c r="D36" s="8">
        <v>55</v>
      </c>
      <c r="E36" s="18">
        <v>50</v>
      </c>
      <c r="F36" s="14"/>
      <c r="G36" s="8">
        <v>100</v>
      </c>
      <c r="H36" s="8"/>
      <c r="I36" s="18">
        <v>50</v>
      </c>
      <c r="J36" s="14">
        <v>15.9</v>
      </c>
      <c r="K36" s="8">
        <v>55</v>
      </c>
      <c r="L36" s="8">
        <v>64</v>
      </c>
      <c r="M36" s="18">
        <v>50</v>
      </c>
      <c r="N36" s="14"/>
      <c r="O36" s="8">
        <v>87</v>
      </c>
      <c r="P36" s="8">
        <v>46</v>
      </c>
      <c r="Q36" s="18">
        <v>50</v>
      </c>
      <c r="R36" s="14">
        <v>207.95</v>
      </c>
      <c r="S36" s="8">
        <v>55</v>
      </c>
      <c r="T36" s="8">
        <v>165</v>
      </c>
      <c r="U36" s="18">
        <v>50</v>
      </c>
      <c r="V36" s="14">
        <v>26.349999999999991</v>
      </c>
      <c r="W36" s="8">
        <v>50</v>
      </c>
      <c r="X36" s="8">
        <v>21</v>
      </c>
      <c r="Y36" s="18">
        <v>50</v>
      </c>
      <c r="Z36" s="14"/>
      <c r="AA36" s="8">
        <v>55</v>
      </c>
      <c r="AB36" s="8">
        <v>3</v>
      </c>
      <c r="AC36" s="18">
        <v>50</v>
      </c>
      <c r="AD36" s="14"/>
      <c r="AE36" s="8"/>
      <c r="AF36" s="8">
        <v>165</v>
      </c>
      <c r="AG36" s="18">
        <v>50</v>
      </c>
      <c r="AH36" s="14"/>
      <c r="AI36">
        <v>55</v>
      </c>
      <c r="AK36" s="18">
        <v>50</v>
      </c>
      <c r="AL36" s="14">
        <v>174</v>
      </c>
      <c r="AM36">
        <v>55</v>
      </c>
      <c r="AO36" s="18">
        <v>50</v>
      </c>
      <c r="AP36" s="14"/>
      <c r="AQ36">
        <v>32</v>
      </c>
      <c r="AS36" s="18">
        <v>50</v>
      </c>
      <c r="AT36" s="14">
        <v>8.6999999999999886</v>
      </c>
      <c r="AU36">
        <v>55</v>
      </c>
      <c r="AW36" s="18">
        <v>50</v>
      </c>
      <c r="AX36" s="14"/>
      <c r="AY36" s="1048">
        <v>0</v>
      </c>
      <c r="AZ36" s="975">
        <v>2.2000000000000002</v>
      </c>
      <c r="BA36" s="975">
        <v>0</v>
      </c>
      <c r="BB36" s="975">
        <v>0</v>
      </c>
      <c r="BC36" s="975">
        <v>0</v>
      </c>
      <c r="BD36" s="975">
        <v>0</v>
      </c>
      <c r="BE36" s="975">
        <v>0</v>
      </c>
      <c r="BF36" s="975">
        <v>0</v>
      </c>
      <c r="BG36" s="975">
        <v>0</v>
      </c>
      <c r="BH36" s="975">
        <v>0</v>
      </c>
      <c r="BI36" s="975">
        <v>0</v>
      </c>
      <c r="BJ36" s="975">
        <v>0</v>
      </c>
      <c r="BK36" s="975">
        <f>'MXD P&amp;L'!N197</f>
        <v>60</v>
      </c>
      <c r="BL36" s="975">
        <f>'MXD P&amp;L'!O197</f>
        <v>0</v>
      </c>
      <c r="BM36" s="975">
        <f>'MXD P&amp;L'!P197</f>
        <v>0</v>
      </c>
      <c r="BN36" s="975">
        <f>'MXD P&amp;L'!Q197</f>
        <v>0</v>
      </c>
      <c r="BO36" s="975">
        <f>'MXD P&amp;L'!R197</f>
        <v>0</v>
      </c>
      <c r="BP36" s="975">
        <f>'MXD P&amp;L'!S197</f>
        <v>0</v>
      </c>
      <c r="BQ36" s="975">
        <f>'MXD P&amp;L'!T197</f>
        <v>0</v>
      </c>
      <c r="BR36" s="975">
        <f>'MXD P&amp;L'!U195</f>
        <v>0</v>
      </c>
      <c r="BS36" s="975">
        <f>'MXD P&amp;L'!V195</f>
        <v>0</v>
      </c>
      <c r="BT36" s="975">
        <f>'MXD P&amp;L'!W195</f>
        <v>0</v>
      </c>
      <c r="BU36" s="975">
        <f>'MXD P&amp;L'!X195</f>
        <v>0</v>
      </c>
      <c r="BV36" s="975">
        <f>'MXD P&amp;L'!Y196</f>
        <v>0</v>
      </c>
      <c r="BW36" s="975">
        <f t="shared" si="2"/>
        <v>60</v>
      </c>
      <c r="BX36" s="902">
        <v>571232</v>
      </c>
      <c r="BY36" s="902">
        <v>440723</v>
      </c>
      <c r="BZ36" s="902"/>
      <c r="CA36" s="902">
        <v>485638.37</v>
      </c>
      <c r="CB36" s="902">
        <f t="shared" si="1"/>
        <v>2.2000000000000002</v>
      </c>
      <c r="CC36" s="314">
        <v>-430.7</v>
      </c>
      <c r="CD36" s="311">
        <v>-195.77272727272725</v>
      </c>
    </row>
    <row r="37" spans="1:82" x14ac:dyDescent="0.3">
      <c r="A37" t="s">
        <v>831</v>
      </c>
      <c r="B37" s="13" t="s">
        <v>831</v>
      </c>
      <c r="C37" s="14"/>
      <c r="D37" s="14"/>
      <c r="E37" s="13">
        <v>985.66</v>
      </c>
      <c r="F37" s="13"/>
      <c r="G37" s="14">
        <v>112</v>
      </c>
      <c r="H37" s="14">
        <v>98</v>
      </c>
      <c r="I37" s="13">
        <v>985.66</v>
      </c>
      <c r="J37" s="13"/>
      <c r="K37" s="14"/>
      <c r="L37" s="14"/>
      <c r="M37" s="13">
        <v>985.66</v>
      </c>
      <c r="N37" s="13"/>
      <c r="O37" s="14"/>
      <c r="P37" s="14"/>
      <c r="Q37" s="13">
        <v>985.66</v>
      </c>
      <c r="R37" s="13"/>
      <c r="S37" s="14"/>
      <c r="T37" s="14"/>
      <c r="U37" s="13">
        <v>985.66</v>
      </c>
      <c r="V37" s="13">
        <v>922</v>
      </c>
      <c r="W37" s="14"/>
      <c r="X37" s="14"/>
      <c r="Y37" s="13">
        <v>985.66</v>
      </c>
      <c r="Z37" s="13">
        <v>153.6700000000001</v>
      </c>
      <c r="AA37" s="14"/>
      <c r="AB37" s="14"/>
      <c r="AC37" s="13">
        <v>985.66</v>
      </c>
      <c r="AD37" s="13">
        <v>153.66999999999979</v>
      </c>
      <c r="AE37" s="14"/>
      <c r="AF37" s="14"/>
      <c r="AG37" s="13">
        <v>985.66</v>
      </c>
      <c r="AH37" s="13">
        <v>153.6700000000001</v>
      </c>
      <c r="AI37" s="13"/>
      <c r="AJ37" s="13"/>
      <c r="AK37" s="13">
        <v>985.66</v>
      </c>
      <c r="AL37" s="13">
        <v>153.6700000000001</v>
      </c>
      <c r="AM37" s="13"/>
      <c r="AN37" s="13"/>
      <c r="AO37" s="13">
        <v>985.66</v>
      </c>
      <c r="AP37" s="13">
        <v>153.66999999999979</v>
      </c>
      <c r="AQ37" s="13">
        <v>123</v>
      </c>
      <c r="AR37" s="13">
        <v>3867.87</v>
      </c>
      <c r="AS37" s="13">
        <v>985.66</v>
      </c>
      <c r="AT37" s="13">
        <v>153.6700000000001</v>
      </c>
      <c r="AU37" s="13"/>
      <c r="AV37" s="13"/>
      <c r="AW37" s="13">
        <v>985.66</v>
      </c>
      <c r="AX37" s="13">
        <v>153.6700000000001</v>
      </c>
      <c r="AY37" s="1049">
        <v>153.66999999999999</v>
      </c>
      <c r="AZ37" s="1026">
        <v>153.66999999999999</v>
      </c>
      <c r="BA37" s="1026">
        <v>153.66999999999999</v>
      </c>
      <c r="BB37" s="1026">
        <v>153.66999999999999</v>
      </c>
      <c r="BC37" s="1026">
        <v>152.32</v>
      </c>
      <c r="BD37" s="1026">
        <v>152.32</v>
      </c>
      <c r="BE37" s="1026">
        <v>152.32</v>
      </c>
      <c r="BF37" s="1026">
        <v>152.32</v>
      </c>
      <c r="BG37" s="1026">
        <v>152.32</v>
      </c>
      <c r="BH37" s="1026">
        <v>152.32</v>
      </c>
      <c r="BI37" s="1026">
        <v>152.32</v>
      </c>
      <c r="BJ37" s="1026">
        <v>152.32</v>
      </c>
      <c r="BK37" s="975">
        <f>'MXD P&amp;L'!N198</f>
        <v>152.32</v>
      </c>
      <c r="BL37" s="975">
        <f>'MXD P&amp;L'!O198</f>
        <v>152.32</v>
      </c>
      <c r="BM37" s="975">
        <f>'MXD P&amp;L'!P198</f>
        <v>152.32</v>
      </c>
      <c r="BN37" s="975">
        <f>'MXD P&amp;L'!Q198</f>
        <v>152.32</v>
      </c>
      <c r="BO37" s="975">
        <f>'MXD P&amp;L'!R198</f>
        <v>152.32</v>
      </c>
      <c r="BP37" s="975">
        <f>'MXD P&amp;L'!S198</f>
        <v>152.32</v>
      </c>
      <c r="BQ37" s="975">
        <f>'MXD P&amp;L'!T198</f>
        <v>602.32000000000005</v>
      </c>
      <c r="BR37" s="975">
        <f>'MXD P&amp;L'!U196</f>
        <v>0</v>
      </c>
      <c r="BS37" s="975">
        <f>'MXD P&amp;L'!V196</f>
        <v>0</v>
      </c>
      <c r="BT37" s="975">
        <f>'MXD P&amp;L'!W196</f>
        <v>65</v>
      </c>
      <c r="BU37" s="975">
        <f>'MXD P&amp;L'!X196</f>
        <v>0</v>
      </c>
      <c r="BV37" s="975">
        <f>'MXD P&amp;L'!Y197</f>
        <v>0</v>
      </c>
      <c r="BW37" s="975">
        <f t="shared" si="2"/>
        <v>1581.2399999999998</v>
      </c>
      <c r="BX37" s="902">
        <v>571232</v>
      </c>
      <c r="BY37" s="902">
        <v>440723</v>
      </c>
      <c r="BZ37" s="902"/>
      <c r="CA37" s="902">
        <v>485638.37</v>
      </c>
      <c r="CB37" s="902">
        <f t="shared" si="1"/>
        <v>614.67999999999995</v>
      </c>
      <c r="CC37" s="1026">
        <v>-164.4500000000005</v>
      </c>
      <c r="CD37" s="714">
        <v>-8.970456677794536E-2</v>
      </c>
    </row>
    <row r="38" spans="1:82" x14ac:dyDescent="0.3">
      <c r="A38" t="s">
        <v>832</v>
      </c>
      <c r="B38" t="s">
        <v>832</v>
      </c>
      <c r="C38" s="8"/>
      <c r="D38" s="8"/>
      <c r="E38" s="18"/>
      <c r="F38" s="14">
        <v>66.739999999999995</v>
      </c>
      <c r="G38" s="8"/>
      <c r="H38" s="8"/>
      <c r="I38" s="18"/>
      <c r="J38" s="14">
        <v>213.01</v>
      </c>
      <c r="K38" s="8"/>
      <c r="L38" s="8"/>
      <c r="M38" s="18"/>
      <c r="N38" s="14">
        <v>196</v>
      </c>
      <c r="O38" s="8"/>
      <c r="P38" s="8"/>
      <c r="Q38" s="18"/>
      <c r="R38" s="14">
        <v>699.66000000000008</v>
      </c>
      <c r="S38" s="8"/>
      <c r="T38" s="8"/>
      <c r="U38" s="18"/>
      <c r="V38" s="14">
        <v>310.8599999999999</v>
      </c>
      <c r="W38" s="8"/>
      <c r="X38" s="8"/>
      <c r="Y38" s="18"/>
      <c r="Z38" s="14">
        <v>982.47000000000025</v>
      </c>
      <c r="AA38" s="8"/>
      <c r="AB38" s="8"/>
      <c r="AC38" s="18"/>
      <c r="AD38" s="14">
        <v>1208.03</v>
      </c>
      <c r="AE38" s="8"/>
      <c r="AF38" s="8"/>
      <c r="AG38" s="18"/>
      <c r="AH38" s="14">
        <v>629.30000000000018</v>
      </c>
      <c r="AK38" s="18"/>
      <c r="AL38" s="14">
        <v>1238.93</v>
      </c>
      <c r="AO38" s="18"/>
      <c r="AP38" s="14">
        <v>673.69999999999982</v>
      </c>
      <c r="AS38" s="18"/>
      <c r="AT38" s="14">
        <v>988.55999999999949</v>
      </c>
      <c r="AW38" s="18"/>
      <c r="AX38" s="14">
        <v>1063.8499999999999</v>
      </c>
      <c r="AY38" s="1048">
        <v>782.06</v>
      </c>
      <c r="AZ38" s="975">
        <v>3116.84</v>
      </c>
      <c r="BA38" s="975">
        <v>978.08</v>
      </c>
      <c r="BB38" s="975">
        <v>1473.1</v>
      </c>
      <c r="BC38" s="975">
        <v>895.59</v>
      </c>
      <c r="BD38" s="975">
        <v>1167.4100000000001</v>
      </c>
      <c r="BE38" s="975">
        <v>1910.13</v>
      </c>
      <c r="BF38" s="975">
        <v>1743.45</v>
      </c>
      <c r="BG38" s="975">
        <v>1933.05</v>
      </c>
      <c r="BH38" s="975">
        <v>1861.47</v>
      </c>
      <c r="BI38" s="975">
        <v>2389.11</v>
      </c>
      <c r="BJ38" s="975">
        <v>2587.1</v>
      </c>
      <c r="BK38" s="975">
        <f>'MXD P&amp;L'!N199</f>
        <v>2828.96</v>
      </c>
      <c r="BL38" s="975">
        <f>'MXD P&amp;L'!O199</f>
        <v>2834.09</v>
      </c>
      <c r="BM38" s="975">
        <f>'MXD P&amp;L'!P199</f>
        <v>3525.26</v>
      </c>
      <c r="BN38" s="975">
        <f>'MXD P&amp;L'!Q199</f>
        <v>2234.5</v>
      </c>
      <c r="BO38" s="975">
        <f>'MXD P&amp;L'!R199</f>
        <v>920</v>
      </c>
      <c r="BP38" s="975">
        <f>'MXD P&amp;L'!S199</f>
        <v>2303.88</v>
      </c>
      <c r="BQ38" s="975">
        <f>'MXD P&amp;L'!T199</f>
        <v>1750.65</v>
      </c>
      <c r="BR38" s="975">
        <f>'MXD P&amp;L'!U197</f>
        <v>26.6</v>
      </c>
      <c r="BS38" s="975">
        <f>'MXD P&amp;L'!V197</f>
        <v>0</v>
      </c>
      <c r="BT38" s="975">
        <f>'MXD P&amp;L'!W197</f>
        <v>2.4900000000000002</v>
      </c>
      <c r="BU38" s="975">
        <f>'MXD P&amp;L'!X197</f>
        <v>0</v>
      </c>
      <c r="BV38" s="975">
        <f>'MXD P&amp;L'!Y198</f>
        <v>0</v>
      </c>
      <c r="BW38" s="975">
        <f t="shared" si="2"/>
        <v>16426.430000000004</v>
      </c>
      <c r="BX38" s="902">
        <v>571232</v>
      </c>
      <c r="BY38" s="902">
        <v>440723</v>
      </c>
      <c r="BZ38" s="902"/>
      <c r="CA38" s="902">
        <v>485638.37</v>
      </c>
      <c r="CB38" s="902">
        <f t="shared" si="1"/>
        <v>6350.08</v>
      </c>
      <c r="CC38" s="314">
        <v>12566.279999999995</v>
      </c>
      <c r="CD38" s="311">
        <v>0.60306401137570487</v>
      </c>
    </row>
    <row r="39" spans="1:82" x14ac:dyDescent="0.3">
      <c r="A39" t="s">
        <v>833</v>
      </c>
      <c r="B39" t="s">
        <v>833</v>
      </c>
      <c r="C39" s="8">
        <v>2193</v>
      </c>
      <c r="D39" s="8">
        <v>3776</v>
      </c>
      <c r="E39" s="18">
        <v>441.2978723404255</v>
      </c>
      <c r="F39" s="14">
        <v>370</v>
      </c>
      <c r="G39" s="8">
        <v>2193</v>
      </c>
      <c r="H39" s="8">
        <v>3776</v>
      </c>
      <c r="I39" s="18"/>
      <c r="J39" s="14">
        <v>370</v>
      </c>
      <c r="K39" s="8">
        <v>2193</v>
      </c>
      <c r="L39" s="8">
        <v>6369</v>
      </c>
      <c r="M39" s="18">
        <v>0</v>
      </c>
      <c r="N39" s="14">
        <v>370</v>
      </c>
      <c r="O39" s="8">
        <v>2193</v>
      </c>
      <c r="P39" s="8">
        <v>8524</v>
      </c>
      <c r="Q39" s="18">
        <v>0</v>
      </c>
      <c r="R39" s="14">
        <v>370</v>
      </c>
      <c r="S39" s="8">
        <v>2193</v>
      </c>
      <c r="T39" s="8">
        <v>5203</v>
      </c>
      <c r="U39" s="18">
        <v>0</v>
      </c>
      <c r="V39" s="14">
        <v>370</v>
      </c>
      <c r="W39" s="8">
        <v>2237</v>
      </c>
      <c r="X39" s="8">
        <v>23175</v>
      </c>
      <c r="Y39" s="18">
        <v>0</v>
      </c>
      <c r="Z39" s="14">
        <v>370</v>
      </c>
      <c r="AA39" s="8">
        <v>2237</v>
      </c>
      <c r="AB39" s="8">
        <v>4050</v>
      </c>
      <c r="AC39" s="18">
        <v>0</v>
      </c>
      <c r="AD39" s="14">
        <v>370</v>
      </c>
      <c r="AE39" s="8">
        <v>2237</v>
      </c>
      <c r="AF39" s="8">
        <v>4050</v>
      </c>
      <c r="AG39" s="18">
        <v>0</v>
      </c>
      <c r="AH39" s="14">
        <v>370</v>
      </c>
      <c r="AI39">
        <v>2237</v>
      </c>
      <c r="AJ39">
        <v>4050</v>
      </c>
      <c r="AK39" s="18">
        <v>0</v>
      </c>
      <c r="AL39" s="14">
        <v>370</v>
      </c>
      <c r="AM39">
        <v>3776</v>
      </c>
      <c r="AN39">
        <v>4050</v>
      </c>
      <c r="AO39" s="18">
        <v>0</v>
      </c>
      <c r="AP39" s="14">
        <v>370</v>
      </c>
      <c r="AQ39">
        <v>5276</v>
      </c>
      <c r="AS39" s="18">
        <v>0</v>
      </c>
      <c r="AT39" s="14">
        <v>370</v>
      </c>
      <c r="AU39">
        <v>5276</v>
      </c>
      <c r="AW39" s="18">
        <v>0</v>
      </c>
      <c r="AX39" s="14">
        <v>370</v>
      </c>
      <c r="AY39" s="1048">
        <v>370</v>
      </c>
      <c r="AZ39" s="975">
        <v>370</v>
      </c>
      <c r="BA39" s="975">
        <v>370</v>
      </c>
      <c r="BB39" s="975">
        <v>370</v>
      </c>
      <c r="BC39" s="975">
        <v>370</v>
      </c>
      <c r="BD39" s="975">
        <v>370</v>
      </c>
      <c r="BE39" s="975">
        <v>370</v>
      </c>
      <c r="BF39" s="975">
        <v>370</v>
      </c>
      <c r="BG39" s="975">
        <v>370</v>
      </c>
      <c r="BH39" s="975">
        <v>370</v>
      </c>
      <c r="BI39" s="975">
        <v>370</v>
      </c>
      <c r="BJ39" s="975">
        <v>370</v>
      </c>
      <c r="BK39" s="975">
        <f>'MXD P&amp;L'!N200</f>
        <v>370</v>
      </c>
      <c r="BL39" s="975">
        <f>'MXD P&amp;L'!O200</f>
        <v>370</v>
      </c>
      <c r="BM39" s="975">
        <f>'MXD P&amp;L'!P200</f>
        <v>370</v>
      </c>
      <c r="BN39" s="975">
        <f>'MXD P&amp;L'!Q200</f>
        <v>370</v>
      </c>
      <c r="BO39" s="975">
        <f>'MXD P&amp;L'!R200</f>
        <v>370</v>
      </c>
      <c r="BP39" s="975">
        <f>'MXD P&amp;L'!S200</f>
        <v>370</v>
      </c>
      <c r="BQ39" s="975">
        <f>'MXD P&amp;L'!T200</f>
        <v>370</v>
      </c>
      <c r="BR39" s="975">
        <f>'MXD P&amp;L'!U198</f>
        <v>152.32</v>
      </c>
      <c r="BS39" s="975">
        <f>'MXD P&amp;L'!V198</f>
        <v>152.32</v>
      </c>
      <c r="BT39" s="975">
        <f>'MXD P&amp;L'!W198</f>
        <v>152.32</v>
      </c>
      <c r="BU39" s="975">
        <f>'MXD P&amp;L'!X198</f>
        <v>0</v>
      </c>
      <c r="BV39" s="975">
        <f>'MXD P&amp;L'!Y199</f>
        <v>0</v>
      </c>
      <c r="BW39" s="975">
        <f t="shared" si="2"/>
        <v>3046.9600000000005</v>
      </c>
      <c r="BX39" s="902">
        <v>571232</v>
      </c>
      <c r="BY39" s="902">
        <v>440723</v>
      </c>
      <c r="BZ39" s="902"/>
      <c r="CA39" s="902">
        <v>485638.37</v>
      </c>
      <c r="CB39" s="902">
        <f t="shared" si="1"/>
        <v>1480</v>
      </c>
      <c r="CC39" s="314">
        <v>0</v>
      </c>
      <c r="CD39" s="311">
        <v>0</v>
      </c>
    </row>
    <row r="40" spans="1:82" x14ac:dyDescent="0.3">
      <c r="A40" t="s">
        <v>834</v>
      </c>
      <c r="B40" t="s">
        <v>834</v>
      </c>
      <c r="C40" s="8"/>
      <c r="D40" s="8">
        <v>77</v>
      </c>
      <c r="E40" s="18">
        <v>200</v>
      </c>
      <c r="F40" s="14"/>
      <c r="G40" s="8"/>
      <c r="H40" s="8"/>
      <c r="I40" s="18">
        <v>200</v>
      </c>
      <c r="J40" s="14">
        <v>7331.96</v>
      </c>
      <c r="K40" s="8"/>
      <c r="L40" s="8">
        <v>211</v>
      </c>
      <c r="M40" s="18">
        <v>200</v>
      </c>
      <c r="N40" s="14">
        <v>3055.36</v>
      </c>
      <c r="O40" s="8"/>
      <c r="P40" s="8">
        <v>656</v>
      </c>
      <c r="Q40" s="18">
        <v>200</v>
      </c>
      <c r="R40" s="14"/>
      <c r="S40" s="8"/>
      <c r="T40" s="8">
        <v>1001</v>
      </c>
      <c r="U40" s="18">
        <v>200</v>
      </c>
      <c r="V40" s="14">
        <v>3634.91</v>
      </c>
      <c r="W40" s="8"/>
      <c r="X40" s="8">
        <v>276</v>
      </c>
      <c r="Y40" s="18">
        <v>200</v>
      </c>
      <c r="Z40" s="14">
        <v>200.00000000000114</v>
      </c>
      <c r="AA40" s="8"/>
      <c r="AB40" s="8">
        <v>126</v>
      </c>
      <c r="AC40" s="18">
        <v>200</v>
      </c>
      <c r="AD40" s="14">
        <v>199.99999999999886</v>
      </c>
      <c r="AE40" s="8"/>
      <c r="AF40" s="8">
        <v>126</v>
      </c>
      <c r="AG40" s="18">
        <v>200</v>
      </c>
      <c r="AH40" s="14">
        <v>200</v>
      </c>
      <c r="AJ40">
        <v>126</v>
      </c>
      <c r="AK40" s="18">
        <v>200</v>
      </c>
      <c r="AL40" s="14">
        <v>200</v>
      </c>
      <c r="AM40">
        <v>77</v>
      </c>
      <c r="AN40">
        <v>273</v>
      </c>
      <c r="AO40" s="18">
        <v>200</v>
      </c>
      <c r="AP40" s="14">
        <v>199.99999999999909</v>
      </c>
      <c r="AS40" s="18">
        <v>200</v>
      </c>
      <c r="AT40" s="14">
        <v>200</v>
      </c>
      <c r="AU40">
        <v>511</v>
      </c>
      <c r="AW40" s="18">
        <v>200</v>
      </c>
      <c r="AX40" s="14">
        <v>1537.32</v>
      </c>
      <c r="AY40" s="1048">
        <v>200</v>
      </c>
      <c r="AZ40" s="975">
        <v>200</v>
      </c>
      <c r="BA40" s="975">
        <v>200</v>
      </c>
      <c r="BB40" s="975">
        <v>200</v>
      </c>
      <c r="BC40" s="975">
        <v>200</v>
      </c>
      <c r="BD40" s="975">
        <v>200</v>
      </c>
      <c r="BE40" s="975">
        <v>37.75</v>
      </c>
      <c r="BF40" s="975">
        <v>37.65</v>
      </c>
      <c r="BG40" s="975">
        <v>36.07</v>
      </c>
      <c r="BH40" s="975">
        <v>0</v>
      </c>
      <c r="BI40" s="975">
        <v>0</v>
      </c>
      <c r="BJ40" s="975">
        <v>0</v>
      </c>
      <c r="BK40" s="975">
        <f>'MXD P&amp;L'!N201</f>
        <v>0</v>
      </c>
      <c r="BL40" s="975">
        <f>'MXD P&amp;L'!O201</f>
        <v>0</v>
      </c>
      <c r="BM40" s="975">
        <f>'MXD P&amp;L'!P201</f>
        <v>0</v>
      </c>
      <c r="BN40" s="975">
        <f>'MXD P&amp;L'!Q201</f>
        <v>0</v>
      </c>
      <c r="BO40" s="975">
        <f>'MXD P&amp;L'!R201</f>
        <v>0</v>
      </c>
      <c r="BP40" s="975">
        <f>'MXD P&amp;L'!S201</f>
        <v>0</v>
      </c>
      <c r="BQ40" s="975">
        <f>'MXD P&amp;L'!T201</f>
        <v>0</v>
      </c>
      <c r="BR40" s="975">
        <f>'MXD P&amp;L'!U199</f>
        <v>2064.46</v>
      </c>
      <c r="BS40" s="975">
        <f>'MXD P&amp;L'!V199</f>
        <v>2239.92</v>
      </c>
      <c r="BT40" s="975">
        <f>'MXD P&amp;L'!W199</f>
        <v>992.39</v>
      </c>
      <c r="BU40" s="975">
        <f>'MXD P&amp;L'!X199</f>
        <v>0</v>
      </c>
      <c r="BV40" s="975">
        <f>'MXD P&amp;L'!Y200</f>
        <v>0</v>
      </c>
      <c r="BW40" s="975">
        <f t="shared" si="2"/>
        <v>5296.77</v>
      </c>
      <c r="BX40" s="902">
        <v>571232</v>
      </c>
      <c r="BY40" s="902">
        <v>440723</v>
      </c>
      <c r="BZ40" s="902"/>
      <c r="CA40" s="902">
        <v>485638.37</v>
      </c>
      <c r="CB40" s="902">
        <f t="shared" si="1"/>
        <v>800</v>
      </c>
      <c r="CC40" s="314">
        <v>-15448.08</v>
      </c>
      <c r="CD40" s="311">
        <v>-11.779209589239555</v>
      </c>
    </row>
    <row r="41" spans="1:82" x14ac:dyDescent="0.3">
      <c r="A41" t="s">
        <v>835</v>
      </c>
      <c r="B41" t="s">
        <v>835</v>
      </c>
      <c r="C41" s="8">
        <v>2872</v>
      </c>
      <c r="D41" s="8">
        <v>1086</v>
      </c>
      <c r="E41" s="18">
        <v>1090</v>
      </c>
      <c r="F41" s="14"/>
      <c r="G41" s="8">
        <v>101</v>
      </c>
      <c r="H41" s="8">
        <v>2234</v>
      </c>
      <c r="I41" s="18">
        <v>1090</v>
      </c>
      <c r="J41" s="14">
        <v>8</v>
      </c>
      <c r="K41" s="8">
        <v>58</v>
      </c>
      <c r="L41" s="8">
        <v>1228</v>
      </c>
      <c r="M41" s="18">
        <v>1090</v>
      </c>
      <c r="N41" s="14">
        <v>1133.22</v>
      </c>
      <c r="O41" s="8">
        <v>306</v>
      </c>
      <c r="P41" s="8">
        <v>144</v>
      </c>
      <c r="Q41" s="18">
        <v>1090</v>
      </c>
      <c r="R41" s="14">
        <v>1723.48</v>
      </c>
      <c r="S41" s="8">
        <v>462</v>
      </c>
      <c r="T41" s="8"/>
      <c r="U41" s="18">
        <v>1090</v>
      </c>
      <c r="V41" s="14">
        <v>85</v>
      </c>
      <c r="W41" s="8">
        <v>269</v>
      </c>
      <c r="X41" s="8">
        <v>4</v>
      </c>
      <c r="Y41" s="18">
        <v>1090</v>
      </c>
      <c r="Z41" s="14"/>
      <c r="AA41" s="8">
        <v>99</v>
      </c>
      <c r="AB41" s="8">
        <v>1157</v>
      </c>
      <c r="AC41" s="18">
        <v>1090</v>
      </c>
      <c r="AD41" s="14">
        <v>1875.610000000001</v>
      </c>
      <c r="AE41" s="8">
        <v>127</v>
      </c>
      <c r="AF41" s="8">
        <v>41</v>
      </c>
      <c r="AG41" s="18">
        <v>1090</v>
      </c>
      <c r="AH41" s="14">
        <v>4706.5500000000029</v>
      </c>
      <c r="AI41">
        <v>142</v>
      </c>
      <c r="AK41" s="18">
        <v>1090</v>
      </c>
      <c r="AL41" s="14">
        <v>3</v>
      </c>
      <c r="AM41">
        <v>3666</v>
      </c>
      <c r="AN41">
        <v>72</v>
      </c>
      <c r="AO41" s="18">
        <v>1090</v>
      </c>
      <c r="AP41" s="14">
        <v>3510.36</v>
      </c>
      <c r="AQ41">
        <v>3262</v>
      </c>
      <c r="AS41" s="18">
        <v>1090</v>
      </c>
      <c r="AT41" s="14">
        <v>72.829999999999927</v>
      </c>
      <c r="AU41">
        <v>15</v>
      </c>
      <c r="AW41" s="18">
        <v>1090</v>
      </c>
      <c r="AX41" s="14">
        <v>7599.1499999999905</v>
      </c>
      <c r="AY41" s="1048">
        <v>35.950000000000003</v>
      </c>
      <c r="AZ41" s="975">
        <v>800.8</v>
      </c>
      <c r="BA41" s="975">
        <v>12.53</v>
      </c>
      <c r="BB41" s="975">
        <v>450.2</v>
      </c>
      <c r="BC41" s="975">
        <v>1559.25</v>
      </c>
      <c r="BD41" s="975">
        <v>3739.62</v>
      </c>
      <c r="BE41" s="975">
        <v>2746.68</v>
      </c>
      <c r="BF41" s="975">
        <v>2665.09</v>
      </c>
      <c r="BG41" s="975">
        <v>4108.67</v>
      </c>
      <c r="BH41" s="975">
        <v>1873.31</v>
      </c>
      <c r="BI41" s="975">
        <v>5791.21</v>
      </c>
      <c r="BJ41" s="975">
        <v>4055.96</v>
      </c>
      <c r="BK41" s="975">
        <f>'MXD P&amp;L'!N202</f>
        <v>10928.03</v>
      </c>
      <c r="BL41" s="975">
        <f>'MXD P&amp;L'!O202</f>
        <v>3198.19</v>
      </c>
      <c r="BM41" s="975">
        <f>'MXD P&amp;L'!P202</f>
        <v>9509.0499999999993</v>
      </c>
      <c r="BN41" s="975">
        <f>'MXD P&amp;L'!Q202</f>
        <v>10880.01</v>
      </c>
      <c r="BO41" s="975">
        <f>'MXD P&amp;L'!R202</f>
        <v>11685.45</v>
      </c>
      <c r="BP41" s="975">
        <f>'MXD P&amp;L'!S202</f>
        <v>445.98</v>
      </c>
      <c r="BQ41" s="975">
        <f>'MXD P&amp;L'!T202</f>
        <v>12103.84</v>
      </c>
      <c r="BR41" s="975">
        <f>'MXD P&amp;L'!U200</f>
        <v>370</v>
      </c>
      <c r="BS41" s="975">
        <f>'MXD P&amp;L'!V200</f>
        <v>370</v>
      </c>
      <c r="BT41" s="975">
        <f>'MXD P&amp;L'!W200</f>
        <v>370</v>
      </c>
      <c r="BU41" s="975">
        <f>'MXD P&amp;L'!X200</f>
        <v>0</v>
      </c>
      <c r="BV41" s="975">
        <f>'MXD P&amp;L'!Y201</f>
        <v>0</v>
      </c>
      <c r="BW41" s="975">
        <f t="shared" si="2"/>
        <v>59860.55</v>
      </c>
      <c r="BX41" s="902">
        <v>571232</v>
      </c>
      <c r="BY41" s="902">
        <v>440723</v>
      </c>
      <c r="BZ41" s="902"/>
      <c r="CA41" s="902">
        <v>485638.37</v>
      </c>
      <c r="CB41" s="902">
        <f t="shared" si="1"/>
        <v>1299.48</v>
      </c>
      <c r="CC41" s="314">
        <v>7122.0700000000033</v>
      </c>
      <c r="CD41" s="311">
        <v>0.25582818802360852</v>
      </c>
    </row>
    <row r="42" spans="1:82" x14ac:dyDescent="0.3">
      <c r="A42" t="s">
        <v>836</v>
      </c>
      <c r="B42" t="s">
        <v>836</v>
      </c>
      <c r="C42" s="8">
        <v>3896</v>
      </c>
      <c r="D42" s="8">
        <v>2531</v>
      </c>
      <c r="E42" s="18">
        <v>3400</v>
      </c>
      <c r="F42" s="14">
        <v>5910.27</v>
      </c>
      <c r="G42" s="8">
        <v>486</v>
      </c>
      <c r="H42" s="8">
        <v>2211</v>
      </c>
      <c r="I42" s="18">
        <v>5076.9366666666674</v>
      </c>
      <c r="J42" s="14">
        <v>8638.7099999999991</v>
      </c>
      <c r="K42" s="8">
        <v>4283</v>
      </c>
      <c r="L42" s="8">
        <v>2565</v>
      </c>
      <c r="M42" s="18">
        <v>5076.9366666666674</v>
      </c>
      <c r="N42" s="14">
        <v>3769.69</v>
      </c>
      <c r="O42" s="8">
        <v>3397</v>
      </c>
      <c r="P42" s="8">
        <v>-542</v>
      </c>
      <c r="Q42" s="18">
        <v>5076.9366666666674</v>
      </c>
      <c r="R42" s="14">
        <v>3390.579999999994</v>
      </c>
      <c r="S42" s="8">
        <v>3688</v>
      </c>
      <c r="T42" s="8">
        <v>1993</v>
      </c>
      <c r="U42" s="18">
        <v>5076.9366666666674</v>
      </c>
      <c r="V42" s="14">
        <v>2735.9600000000059</v>
      </c>
      <c r="W42" s="8">
        <v>3331</v>
      </c>
      <c r="X42" s="8">
        <v>5978</v>
      </c>
      <c r="Y42" s="18">
        <v>5076.9366666666674</v>
      </c>
      <c r="Z42" s="14">
        <v>1681.4699999999939</v>
      </c>
      <c r="AA42" s="8">
        <v>5023</v>
      </c>
      <c r="AB42" s="8">
        <v>4863</v>
      </c>
      <c r="AC42" s="18">
        <v>5076.9366666666674</v>
      </c>
      <c r="AD42" s="14">
        <v>1254.980000000003</v>
      </c>
      <c r="AE42" s="8">
        <v>2959</v>
      </c>
      <c r="AF42" s="8">
        <v>4643</v>
      </c>
      <c r="AG42" s="18">
        <v>5076.9366666666674</v>
      </c>
      <c r="AH42" s="14">
        <v>3483.5</v>
      </c>
      <c r="AI42">
        <v>2076</v>
      </c>
      <c r="AJ42">
        <v>1853</v>
      </c>
      <c r="AK42" s="18">
        <v>5076.9366666666674</v>
      </c>
      <c r="AL42" s="14">
        <v>6984.9400000000023</v>
      </c>
      <c r="AM42">
        <v>10049</v>
      </c>
      <c r="AN42">
        <v>4979</v>
      </c>
      <c r="AO42" s="18">
        <v>5076.9366666666674</v>
      </c>
      <c r="AP42" s="14">
        <v>1416.569999999992</v>
      </c>
      <c r="AQ42">
        <v>2483</v>
      </c>
      <c r="AS42" s="18">
        <v>5076.9366666666674</v>
      </c>
      <c r="AT42" s="14">
        <v>6485.820000000007</v>
      </c>
      <c r="AU42">
        <v>-186</v>
      </c>
      <c r="AW42" s="18">
        <v>5076.9366666666674</v>
      </c>
      <c r="AX42" s="14">
        <v>9164.0799999999872</v>
      </c>
      <c r="AY42" s="1048">
        <v>3160.61</v>
      </c>
      <c r="AZ42" s="975">
        <v>3134.97</v>
      </c>
      <c r="BA42" s="975">
        <v>4689.79</v>
      </c>
      <c r="BB42" s="975">
        <v>3458.83</v>
      </c>
      <c r="BC42" s="975">
        <v>7293.91</v>
      </c>
      <c r="BD42" s="975">
        <v>4879.6099999999997</v>
      </c>
      <c r="BE42" s="975">
        <v>3337.69</v>
      </c>
      <c r="BF42" s="975">
        <v>4638.07</v>
      </c>
      <c r="BG42" s="975">
        <v>5497.57</v>
      </c>
      <c r="BH42" s="975">
        <v>6132.05</v>
      </c>
      <c r="BI42" s="975">
        <v>10729.87</v>
      </c>
      <c r="BJ42" s="975">
        <v>3344.02</v>
      </c>
      <c r="BK42" s="975">
        <f>'MXD P&amp;L'!N203</f>
        <v>4246.3599999999997</v>
      </c>
      <c r="BL42" s="975">
        <f>'MXD P&amp;L'!O203</f>
        <v>2647.07</v>
      </c>
      <c r="BM42" s="975">
        <f>'MXD P&amp;L'!P203</f>
        <v>2006.7</v>
      </c>
      <c r="BN42" s="975">
        <f>'MXD P&amp;L'!Q203</f>
        <v>3368.56</v>
      </c>
      <c r="BO42" s="975">
        <f>'MXD P&amp;L'!R203</f>
        <v>1942.7</v>
      </c>
      <c r="BP42" s="975">
        <f>'MXD P&amp;L'!S203</f>
        <v>4528.49</v>
      </c>
      <c r="BQ42" s="975">
        <f>'MXD P&amp;L'!T203</f>
        <v>4041.16</v>
      </c>
      <c r="BR42" s="975">
        <f>'MXD P&amp;L'!U201</f>
        <v>0</v>
      </c>
      <c r="BS42" s="975">
        <f>'MXD P&amp;L'!V201</f>
        <v>0</v>
      </c>
      <c r="BT42" s="975">
        <f>'MXD P&amp;L'!W201</f>
        <v>0</v>
      </c>
      <c r="BU42" s="975">
        <f>'MXD P&amp;L'!X201</f>
        <v>0</v>
      </c>
      <c r="BV42" s="975">
        <f>'MXD P&amp;L'!Y202</f>
        <v>0</v>
      </c>
      <c r="BW42" s="975">
        <f t="shared" si="2"/>
        <v>22781.040000000001</v>
      </c>
      <c r="BX42" s="902">
        <v>571232</v>
      </c>
      <c r="BY42" s="902">
        <v>440723</v>
      </c>
      <c r="BZ42" s="902"/>
      <c r="CA42" s="902">
        <v>485638.37</v>
      </c>
      <c r="CB42" s="902">
        <f t="shared" si="1"/>
        <v>14444.199999999999</v>
      </c>
      <c r="CC42" s="314">
        <v>5380.4200000000128</v>
      </c>
      <c r="CD42" s="311">
        <v>8.923198322171659E-2</v>
      </c>
    </row>
    <row r="43" spans="1:82" x14ac:dyDescent="0.3">
      <c r="A43" t="s">
        <v>837</v>
      </c>
      <c r="B43" t="s">
        <v>837</v>
      </c>
      <c r="C43" s="8">
        <v>2568</v>
      </c>
      <c r="D43" s="8">
        <v>33</v>
      </c>
      <c r="E43" s="18">
        <v>1000</v>
      </c>
      <c r="F43" s="14">
        <v>4357.75</v>
      </c>
      <c r="G43" s="8">
        <v>3887</v>
      </c>
      <c r="H43" s="8">
        <v>5083</v>
      </c>
      <c r="I43" s="18">
        <v>1000</v>
      </c>
      <c r="J43" s="14">
        <v>3840.43</v>
      </c>
      <c r="K43" s="8">
        <v>3246</v>
      </c>
      <c r="L43" s="8">
        <v>155</v>
      </c>
      <c r="M43" s="18">
        <v>1000</v>
      </c>
      <c r="N43" s="14">
        <v>19387.669999999998</v>
      </c>
      <c r="O43" s="8">
        <v>3683</v>
      </c>
      <c r="P43" s="8">
        <v>1853</v>
      </c>
      <c r="Q43" s="18">
        <v>1000</v>
      </c>
      <c r="R43" s="14">
        <v>48384.43</v>
      </c>
      <c r="S43" s="8">
        <v>4882</v>
      </c>
      <c r="T43" s="8">
        <v>4799</v>
      </c>
      <c r="U43" s="18">
        <v>1000</v>
      </c>
      <c r="V43" s="14">
        <v>11071.05</v>
      </c>
      <c r="W43" s="8">
        <v>1835</v>
      </c>
      <c r="X43" s="8">
        <v>2977</v>
      </c>
      <c r="Y43" s="18">
        <v>1000</v>
      </c>
      <c r="Z43" s="14">
        <v>5156</v>
      </c>
      <c r="AA43" s="8">
        <v>2213</v>
      </c>
      <c r="AB43" s="8">
        <v>7277</v>
      </c>
      <c r="AC43" s="18">
        <v>5000</v>
      </c>
      <c r="AD43" s="14">
        <v>9562.11</v>
      </c>
      <c r="AE43" s="8">
        <v>2512</v>
      </c>
      <c r="AF43" s="18">
        <v>5000</v>
      </c>
      <c r="AG43" s="18">
        <v>1000</v>
      </c>
      <c r="AH43" s="14">
        <v>5535.5800000000017</v>
      </c>
      <c r="AI43" s="18">
        <v>5000</v>
      </c>
      <c r="AJ43">
        <v>4067</v>
      </c>
      <c r="AK43" s="18">
        <v>1000</v>
      </c>
      <c r="AL43" s="14">
        <v>14518.72999999999</v>
      </c>
      <c r="AN43">
        <v>5318</v>
      </c>
      <c r="AO43" s="18">
        <v>5000</v>
      </c>
      <c r="AP43" s="14">
        <v>6268.6900000000023</v>
      </c>
      <c r="AR43" s="18">
        <v>5000</v>
      </c>
      <c r="AS43" s="18">
        <v>1000</v>
      </c>
      <c r="AT43" s="14">
        <v>11754.71000000001</v>
      </c>
      <c r="AU43" s="18">
        <v>5000</v>
      </c>
      <c r="AW43" s="18">
        <v>1000</v>
      </c>
      <c r="AX43" s="14">
        <v>6752.5899999999974</v>
      </c>
      <c r="AY43" s="1048">
        <v>12449.13</v>
      </c>
      <c r="AZ43" s="975">
        <v>10343.49</v>
      </c>
      <c r="BA43" s="975">
        <v>21071.27</v>
      </c>
      <c r="BB43" s="975">
        <v>12382.66</v>
      </c>
      <c r="BC43" s="975">
        <v>9584.56</v>
      </c>
      <c r="BD43" s="975">
        <v>11056.88</v>
      </c>
      <c r="BE43" s="975">
        <v>11461.75</v>
      </c>
      <c r="BF43" s="975">
        <v>19994.36</v>
      </c>
      <c r="BG43" s="975">
        <v>29322.9</v>
      </c>
      <c r="BH43" s="975">
        <v>7609.27</v>
      </c>
      <c r="BI43" s="975">
        <v>7583.71</v>
      </c>
      <c r="BJ43" s="975">
        <v>9238.14</v>
      </c>
      <c r="BK43" s="975">
        <f>'MXD P&amp;L'!N204</f>
        <v>4000.38</v>
      </c>
      <c r="BL43" s="975">
        <v>0</v>
      </c>
      <c r="BM43" s="975">
        <v>0</v>
      </c>
      <c r="BN43" s="975">
        <v>0</v>
      </c>
      <c r="BO43" s="975">
        <v>0</v>
      </c>
      <c r="BP43" s="975">
        <v>0</v>
      </c>
      <c r="BQ43" s="975">
        <v>0</v>
      </c>
      <c r="BR43" s="975">
        <v>0</v>
      </c>
      <c r="BS43" s="975">
        <v>0</v>
      </c>
      <c r="BT43" s="975">
        <v>0</v>
      </c>
      <c r="BU43" s="975">
        <v>0</v>
      </c>
      <c r="BV43" s="975">
        <v>0</v>
      </c>
      <c r="BW43" s="975">
        <f t="shared" si="2"/>
        <v>4000.38</v>
      </c>
      <c r="BX43" s="902">
        <v>571232</v>
      </c>
      <c r="BY43" s="902">
        <v>440723</v>
      </c>
      <c r="BZ43" s="902"/>
      <c r="CA43" s="902">
        <v>485638.37</v>
      </c>
      <c r="CB43" s="902">
        <f t="shared" si="1"/>
        <v>56246.55</v>
      </c>
      <c r="CC43" s="314">
        <v>15508.379999999976</v>
      </c>
      <c r="CD43" s="18">
        <v>9.56727937375213E-2</v>
      </c>
    </row>
    <row r="44" spans="1:82" x14ac:dyDescent="0.3">
      <c r="A44" t="s">
        <v>838</v>
      </c>
      <c r="B44" t="s">
        <v>838</v>
      </c>
      <c r="C44" s="8">
        <v>4352</v>
      </c>
      <c r="D44" s="8">
        <v>4261</v>
      </c>
      <c r="E44" s="18">
        <v>6146.75</v>
      </c>
      <c r="F44" s="14">
        <v>8526.2900000000009</v>
      </c>
      <c r="G44" s="8">
        <v>3966</v>
      </c>
      <c r="H44" s="8">
        <v>5396</v>
      </c>
      <c r="I44" s="18">
        <v>6146.75</v>
      </c>
      <c r="J44" s="14">
        <v>6466.1699999999983</v>
      </c>
      <c r="K44" s="8">
        <v>9448</v>
      </c>
      <c r="L44" s="8">
        <v>11643</v>
      </c>
      <c r="M44" s="18">
        <v>6146.75</v>
      </c>
      <c r="N44" s="14">
        <v>8760.08</v>
      </c>
      <c r="O44" s="8">
        <v>2288</v>
      </c>
      <c r="P44" s="8">
        <v>6044</v>
      </c>
      <c r="Q44" s="18">
        <v>6146.75</v>
      </c>
      <c r="R44" s="14">
        <v>6319.3600000000006</v>
      </c>
      <c r="S44" s="8">
        <v>8934</v>
      </c>
      <c r="T44" s="8">
        <v>5284</v>
      </c>
      <c r="U44" s="18">
        <v>6146.75</v>
      </c>
      <c r="V44" s="14">
        <v>6798.2900000000009</v>
      </c>
      <c r="W44" s="8">
        <v>8489</v>
      </c>
      <c r="X44" s="8">
        <v>5836</v>
      </c>
      <c r="Y44" s="18">
        <v>6146.75</v>
      </c>
      <c r="Z44" s="14">
        <v>7944.9599999999973</v>
      </c>
      <c r="AA44" s="8">
        <v>7579</v>
      </c>
      <c r="AB44" s="8">
        <v>9275</v>
      </c>
      <c r="AC44" s="18">
        <v>6146.75</v>
      </c>
      <c r="AD44" s="14">
        <v>6892.6299999999974</v>
      </c>
      <c r="AE44" s="8">
        <v>3812</v>
      </c>
      <c r="AF44" s="8">
        <v>9094</v>
      </c>
      <c r="AG44" s="18">
        <v>6146.75</v>
      </c>
      <c r="AH44" s="14">
        <v>4907.9700000000012</v>
      </c>
      <c r="AI44">
        <v>5391</v>
      </c>
      <c r="AJ44">
        <v>7558</v>
      </c>
      <c r="AK44" s="18">
        <v>6146.75</v>
      </c>
      <c r="AL44" s="14">
        <v>7678.510000000002</v>
      </c>
      <c r="AM44">
        <v>11455</v>
      </c>
      <c r="AN44">
        <v>6484</v>
      </c>
      <c r="AO44" s="18">
        <v>6146.75</v>
      </c>
      <c r="AP44" s="14">
        <v>9158.9100000000035</v>
      </c>
      <c r="AQ44">
        <v>2291</v>
      </c>
      <c r="AS44" s="18">
        <v>6146.75</v>
      </c>
      <c r="AT44" s="14">
        <v>6375.25</v>
      </c>
      <c r="AU44">
        <v>5756</v>
      </c>
      <c r="AW44" s="18">
        <v>6146.75</v>
      </c>
      <c r="AX44" s="14">
        <v>4359.7700000000041</v>
      </c>
      <c r="AY44" s="1048">
        <v>19201.95</v>
      </c>
      <c r="AZ44" s="975">
        <v>2134.11</v>
      </c>
      <c r="BA44" s="975">
        <v>4050.19</v>
      </c>
      <c r="BB44" s="975">
        <v>4977.1000000000004</v>
      </c>
      <c r="BC44" s="975">
        <v>1532.73</v>
      </c>
      <c r="BD44" s="975">
        <v>1432.26</v>
      </c>
      <c r="BE44" s="975">
        <v>5157.0200000000004</v>
      </c>
      <c r="BF44" s="975">
        <v>3039.62</v>
      </c>
      <c r="BG44" s="975">
        <v>3982.03</v>
      </c>
      <c r="BH44" s="975">
        <v>2717.95</v>
      </c>
      <c r="BI44" s="975">
        <v>2417.2600000000002</v>
      </c>
      <c r="BJ44" s="975">
        <v>2026.06</v>
      </c>
      <c r="BK44" s="975">
        <f>'MXD P&amp;L'!N205</f>
        <v>1163.93</v>
      </c>
      <c r="BL44" s="975">
        <v>0</v>
      </c>
      <c r="BM44" s="975">
        <v>0</v>
      </c>
      <c r="BN44" s="975">
        <v>0</v>
      </c>
      <c r="BO44" s="975">
        <v>0</v>
      </c>
      <c r="BP44" s="975">
        <v>0</v>
      </c>
      <c r="BQ44" s="975">
        <v>0</v>
      </c>
      <c r="BR44" s="975">
        <v>0</v>
      </c>
      <c r="BS44" s="975">
        <v>0</v>
      </c>
      <c r="BT44" s="975">
        <v>0</v>
      </c>
      <c r="BU44" s="975">
        <v>0</v>
      </c>
      <c r="BV44" s="975">
        <v>0</v>
      </c>
      <c r="BW44" s="975">
        <f t="shared" si="2"/>
        <v>1163.93</v>
      </c>
      <c r="BX44" s="902">
        <v>571232</v>
      </c>
      <c r="BY44" s="902">
        <v>440723</v>
      </c>
      <c r="BZ44" s="902"/>
      <c r="CA44" s="902">
        <v>485638.37</v>
      </c>
      <c r="CB44" s="902">
        <f t="shared" si="1"/>
        <v>30363.35</v>
      </c>
      <c r="CC44" s="314">
        <v>-31519.910000000018</v>
      </c>
      <c r="CD44" s="311">
        <v>-0.59846097119556629</v>
      </c>
    </row>
    <row r="45" spans="1:82" x14ac:dyDescent="0.3">
      <c r="A45" t="s">
        <v>839</v>
      </c>
      <c r="B45" t="s">
        <v>839</v>
      </c>
      <c r="C45" s="8"/>
      <c r="D45" s="8"/>
      <c r="E45" s="18">
        <v>756.51063829787233</v>
      </c>
      <c r="F45" s="14">
        <v>2034.99</v>
      </c>
      <c r="G45" s="8"/>
      <c r="H45" s="8"/>
      <c r="I45" s="18"/>
      <c r="J45" s="14">
        <v>2686.7599999999989</v>
      </c>
      <c r="K45" s="8"/>
      <c r="L45" s="8"/>
      <c r="M45" s="18"/>
      <c r="N45" s="14">
        <v>5715.43</v>
      </c>
      <c r="O45" s="8"/>
      <c r="P45" s="8"/>
      <c r="Q45" s="18"/>
      <c r="R45" s="14">
        <v>4178.99</v>
      </c>
      <c r="S45" s="8"/>
      <c r="T45" s="8"/>
      <c r="U45" s="18"/>
      <c r="V45" s="14">
        <v>3882.85</v>
      </c>
      <c r="W45" s="8"/>
      <c r="X45" s="8"/>
      <c r="Y45" s="18"/>
      <c r="Z45" s="14">
        <v>3696</v>
      </c>
      <c r="AA45" s="8"/>
      <c r="AB45" s="8"/>
      <c r="AC45" s="18"/>
      <c r="AD45" s="14">
        <v>3246.6599999999989</v>
      </c>
      <c r="AE45" s="8"/>
      <c r="AF45" s="8"/>
      <c r="AG45" s="18"/>
      <c r="AH45" s="14"/>
      <c r="AK45" s="18"/>
      <c r="AL45" s="14">
        <v>3900.8999999999978</v>
      </c>
      <c r="AO45" s="18"/>
      <c r="AP45" s="14">
        <v>4385.4400000000023</v>
      </c>
      <c r="AS45" s="18"/>
      <c r="AT45" s="14">
        <v>6229.239999999998</v>
      </c>
      <c r="AW45" s="18"/>
      <c r="AX45" s="14">
        <v>5436.75</v>
      </c>
      <c r="AY45" s="1048">
        <v>0</v>
      </c>
      <c r="AZ45" s="975">
        <v>7693.48</v>
      </c>
      <c r="BA45" s="975">
        <v>11857.09</v>
      </c>
      <c r="BB45" s="975">
        <v>21904.92</v>
      </c>
      <c r="BC45" s="975">
        <v>14921.59</v>
      </c>
      <c r="BD45" s="975">
        <v>25684.73</v>
      </c>
      <c r="BE45" s="975">
        <v>23875.78</v>
      </c>
      <c r="BF45" s="975">
        <v>42573.27</v>
      </c>
      <c r="BG45" s="975">
        <v>16605.53</v>
      </c>
      <c r="BH45" s="975">
        <v>3635.72</v>
      </c>
      <c r="BI45" s="975">
        <v>3470.14</v>
      </c>
      <c r="BJ45" s="975">
        <v>-6745.65</v>
      </c>
      <c r="BK45" s="975">
        <f>'MXD P&amp;L'!N206</f>
        <v>4378</v>
      </c>
      <c r="BL45" s="975">
        <f>'MXD P&amp;L'!O206</f>
        <v>867</v>
      </c>
      <c r="BM45" s="975">
        <f>'MXD P&amp;L'!P206</f>
        <v>4166</v>
      </c>
      <c r="BN45" s="975">
        <f>'MXD P&amp;L'!Q206</f>
        <v>2709</v>
      </c>
      <c r="BO45" s="975">
        <f>'MXD P&amp;L'!R206</f>
        <v>1583</v>
      </c>
      <c r="BP45" s="975">
        <f>'MXD P&amp;L'!S206</f>
        <v>458.48</v>
      </c>
      <c r="BQ45" s="975">
        <f>'MXD P&amp;L'!T206</f>
        <v>1258</v>
      </c>
      <c r="BR45" s="975">
        <f>'MXD P&amp;L'!U204</f>
        <v>3432.97</v>
      </c>
      <c r="BS45" s="975">
        <f>'MXD P&amp;L'!V204</f>
        <v>8978.39</v>
      </c>
      <c r="BT45" s="975">
        <f>'MXD P&amp;L'!W204</f>
        <v>2785.47</v>
      </c>
      <c r="BU45" s="975">
        <f>'MXD P&amp;L'!X204</f>
        <v>0</v>
      </c>
      <c r="BV45" s="975">
        <f>'MXD P&amp;L'!Y205</f>
        <v>0</v>
      </c>
      <c r="BW45" s="975">
        <f t="shared" si="2"/>
        <v>30616.31</v>
      </c>
      <c r="BX45" s="902">
        <v>571232</v>
      </c>
      <c r="BY45" s="902">
        <v>440723</v>
      </c>
      <c r="BZ45" s="902"/>
      <c r="CA45" s="902">
        <v>485638.37</v>
      </c>
      <c r="CB45" s="902">
        <f t="shared" si="1"/>
        <v>41455.49</v>
      </c>
      <c r="CC45" s="314">
        <v>120082.59</v>
      </c>
      <c r="CD45" s="311">
        <v>0.72567716523061265</v>
      </c>
    </row>
    <row r="46" spans="1:82" x14ac:dyDescent="0.3">
      <c r="A46" t="s">
        <v>840</v>
      </c>
      <c r="B46" t="s">
        <v>840</v>
      </c>
      <c r="C46" s="8"/>
      <c r="D46" s="8"/>
      <c r="E46" s="18"/>
      <c r="F46" s="14"/>
      <c r="G46" s="8"/>
      <c r="H46" s="8"/>
      <c r="I46" s="18"/>
      <c r="J46" s="14"/>
      <c r="K46" s="8"/>
      <c r="L46" s="8"/>
      <c r="M46" s="18"/>
      <c r="N46" s="14"/>
      <c r="O46" s="8"/>
      <c r="P46" s="8"/>
      <c r="Q46" s="18"/>
      <c r="R46" s="14"/>
      <c r="S46" s="8"/>
      <c r="T46" s="8"/>
      <c r="U46" s="18"/>
      <c r="V46" s="14"/>
      <c r="W46" s="8"/>
      <c r="X46" s="8"/>
      <c r="Y46" s="18"/>
      <c r="Z46" s="14"/>
      <c r="AA46" s="8"/>
      <c r="AB46" s="8"/>
      <c r="AC46" s="18"/>
      <c r="AD46" s="14"/>
      <c r="AE46" s="8"/>
      <c r="AF46" s="8"/>
      <c r="AG46" s="18"/>
      <c r="AH46" s="14"/>
      <c r="AK46" s="18"/>
      <c r="AL46" s="14">
        <v>1500</v>
      </c>
      <c r="AO46" s="18"/>
      <c r="AP46" s="14"/>
      <c r="AS46" s="18"/>
      <c r="AT46" s="14"/>
      <c r="AW46" s="18"/>
      <c r="AX46" s="14"/>
      <c r="AY46" s="1048">
        <v>4500</v>
      </c>
      <c r="AZ46" s="975">
        <v>19000</v>
      </c>
      <c r="BA46" s="975">
        <v>0</v>
      </c>
      <c r="BB46" s="975">
        <v>3000</v>
      </c>
      <c r="BC46" s="975">
        <v>1500</v>
      </c>
      <c r="BD46" s="975">
        <v>2000</v>
      </c>
      <c r="BE46" s="975">
        <v>0</v>
      </c>
      <c r="BF46" s="975">
        <v>0</v>
      </c>
      <c r="BG46" s="975">
        <v>0</v>
      </c>
      <c r="BH46" s="975">
        <v>8381.0300000000007</v>
      </c>
      <c r="BI46" s="975">
        <v>11974</v>
      </c>
      <c r="BJ46" s="975">
        <v>39713.85</v>
      </c>
      <c r="BK46" s="975">
        <f>'MXD P&amp;L'!N207</f>
        <v>-8189</v>
      </c>
      <c r="BL46" s="975">
        <f>'MXD P&amp;L'!O207</f>
        <v>0</v>
      </c>
      <c r="BM46" s="975">
        <f>'MXD P&amp;L'!P207</f>
        <v>16850</v>
      </c>
      <c r="BN46" s="975">
        <f>'MXD P&amp;L'!Q207</f>
        <v>6880.22</v>
      </c>
      <c r="BO46" s="975">
        <f>'MXD P&amp;L'!R207</f>
        <v>60000</v>
      </c>
      <c r="BP46" s="975">
        <f>'MXD P&amp;L'!S207</f>
        <v>0.1</v>
      </c>
      <c r="BQ46" s="975">
        <f>'MXD P&amp;L'!T207</f>
        <v>7668.16</v>
      </c>
      <c r="BR46" s="975">
        <f>'MXD P&amp;L'!U205</f>
        <v>655.98</v>
      </c>
      <c r="BS46" s="975">
        <f>'MXD P&amp;L'!V205</f>
        <v>4011.35</v>
      </c>
      <c r="BT46" s="975">
        <f>'MXD P&amp;L'!W205</f>
        <v>2117.92</v>
      </c>
      <c r="BU46" s="975">
        <f>'MXD P&amp;L'!X205</f>
        <v>0</v>
      </c>
      <c r="BV46" s="975">
        <f>'MXD P&amp;L'!Y206</f>
        <v>0</v>
      </c>
      <c r="BW46" s="975">
        <f t="shared" si="2"/>
        <v>89994.73000000001</v>
      </c>
      <c r="BX46" s="902">
        <v>571232</v>
      </c>
      <c r="BY46" s="902">
        <v>440723</v>
      </c>
      <c r="BZ46" s="902"/>
      <c r="CA46" s="902">
        <v>485638.37</v>
      </c>
      <c r="CB46" s="902">
        <f t="shared" si="1"/>
        <v>26500</v>
      </c>
      <c r="CC46" s="314">
        <v>88568.88</v>
      </c>
      <c r="CD46" s="311">
        <v>0.98334607913410266</v>
      </c>
    </row>
    <row r="47" spans="1:82" ht="15.6" x14ac:dyDescent="0.3">
      <c r="B47" s="1398" t="s">
        <v>1257</v>
      </c>
      <c r="C47" s="8"/>
      <c r="D47" s="8"/>
      <c r="E47" s="18"/>
      <c r="F47" s="14"/>
      <c r="G47" s="8"/>
      <c r="H47" s="8"/>
      <c r="I47" s="18"/>
      <c r="J47" s="14"/>
      <c r="K47" s="8"/>
      <c r="L47" s="8"/>
      <c r="M47" s="18"/>
      <c r="N47" s="14"/>
      <c r="O47" s="8"/>
      <c r="P47" s="8"/>
      <c r="Q47" s="18"/>
      <c r="R47" s="14"/>
      <c r="S47" s="8"/>
      <c r="T47" s="8"/>
      <c r="U47" s="18"/>
      <c r="V47" s="14"/>
      <c r="W47" s="8"/>
      <c r="X47" s="8"/>
      <c r="Y47" s="18"/>
      <c r="Z47" s="14"/>
      <c r="AA47" s="8"/>
      <c r="AB47" s="8"/>
      <c r="AC47" s="18"/>
      <c r="AD47" s="14"/>
      <c r="AE47" s="8"/>
      <c r="AF47" s="8"/>
      <c r="AG47" s="18"/>
      <c r="AH47" s="14"/>
      <c r="AK47" s="18"/>
      <c r="AL47" s="14"/>
      <c r="AO47" s="18"/>
      <c r="AP47" s="14"/>
      <c r="AS47" s="18"/>
      <c r="AT47" s="14"/>
      <c r="AW47" s="18"/>
      <c r="AX47" s="14"/>
      <c r="AY47" s="1048"/>
      <c r="AZ47" s="975"/>
      <c r="BA47" s="975"/>
      <c r="BB47" s="975"/>
      <c r="BC47" s="975"/>
      <c r="BD47" s="975"/>
      <c r="BE47" s="975"/>
      <c r="BF47" s="975"/>
      <c r="BG47" s="975"/>
      <c r="BH47" s="975"/>
      <c r="BI47" s="975"/>
      <c r="BJ47" s="975"/>
      <c r="BK47" s="975">
        <f>'MXD P&amp;L'!N208</f>
        <v>0</v>
      </c>
      <c r="BL47" s="975">
        <f>'MXD P&amp;L'!O208</f>
        <v>0</v>
      </c>
      <c r="BM47" s="975">
        <f>'MXD P&amp;L'!P208</f>
        <v>0</v>
      </c>
      <c r="BN47" s="975">
        <f>'MXD P&amp;L'!Q208</f>
        <v>0</v>
      </c>
      <c r="BO47" s="975">
        <f>'MXD P&amp;L'!R208</f>
        <v>0</v>
      </c>
      <c r="BP47" s="975">
        <f>'MXD P&amp;L'!S208</f>
        <v>-24305.439999999999</v>
      </c>
      <c r="BQ47" s="975">
        <f>'MXD P&amp;L'!T208</f>
        <v>0</v>
      </c>
      <c r="BR47" s="975">
        <f>'MXD P&amp;L'!U206</f>
        <v>970</v>
      </c>
      <c r="BS47" s="975">
        <f>'MXD P&amp;L'!V206</f>
        <v>-4234.04</v>
      </c>
      <c r="BT47" s="975">
        <f>'MXD P&amp;L'!W206</f>
        <v>1823.04</v>
      </c>
      <c r="BU47" s="975">
        <f>'MXD P&amp;L'!X206</f>
        <v>0</v>
      </c>
      <c r="BV47" s="975">
        <f>'MXD P&amp;L'!Y207</f>
        <v>0</v>
      </c>
      <c r="BW47" s="975">
        <f t="shared" ref="BW47:BW48" si="5">SUM(BK47:BV47)</f>
        <v>-25746.44</v>
      </c>
      <c r="BX47" s="902"/>
      <c r="BY47" s="902"/>
      <c r="BZ47" s="902"/>
      <c r="CA47" s="902"/>
      <c r="CB47" s="902"/>
      <c r="CC47" s="314"/>
      <c r="CD47" s="311"/>
    </row>
    <row r="48" spans="1:82" ht="15.6" x14ac:dyDescent="0.3">
      <c r="B48" s="1398" t="s">
        <v>1258</v>
      </c>
      <c r="C48" s="8"/>
      <c r="D48" s="8"/>
      <c r="E48" s="18"/>
      <c r="F48" s="14"/>
      <c r="G48" s="8"/>
      <c r="H48" s="8"/>
      <c r="I48" s="18"/>
      <c r="J48" s="14"/>
      <c r="K48" s="8"/>
      <c r="L48" s="8"/>
      <c r="M48" s="18"/>
      <c r="N48" s="14"/>
      <c r="O48" s="8"/>
      <c r="P48" s="8"/>
      <c r="Q48" s="18"/>
      <c r="R48" s="14"/>
      <c r="S48" s="8"/>
      <c r="T48" s="8"/>
      <c r="U48" s="18"/>
      <c r="V48" s="14"/>
      <c r="W48" s="8"/>
      <c r="X48" s="8"/>
      <c r="Y48" s="18"/>
      <c r="Z48" s="14"/>
      <c r="AA48" s="8"/>
      <c r="AB48" s="8"/>
      <c r="AC48" s="18"/>
      <c r="AD48" s="14"/>
      <c r="AE48" s="8"/>
      <c r="AF48" s="8"/>
      <c r="AG48" s="18"/>
      <c r="AH48" s="14"/>
      <c r="AK48" s="18"/>
      <c r="AL48" s="14"/>
      <c r="AO48" s="18"/>
      <c r="AP48" s="14"/>
      <c r="AS48" s="18"/>
      <c r="AT48" s="14"/>
      <c r="AW48" s="18"/>
      <c r="AX48" s="14"/>
      <c r="AY48" s="1048"/>
      <c r="AZ48" s="975"/>
      <c r="BA48" s="975"/>
      <c r="BB48" s="975"/>
      <c r="BC48" s="975"/>
      <c r="BD48" s="975"/>
      <c r="BE48" s="975"/>
      <c r="BF48" s="975"/>
      <c r="BG48" s="975"/>
      <c r="BH48" s="975"/>
      <c r="BI48" s="975"/>
      <c r="BJ48" s="975"/>
      <c r="BK48" s="975">
        <f>'MXD P&amp;L'!N212</f>
        <v>0</v>
      </c>
      <c r="BL48" s="975">
        <f>'MXD P&amp;L'!O212</f>
        <v>0</v>
      </c>
      <c r="BM48" s="975">
        <f>'MXD P&amp;L'!P212</f>
        <v>0</v>
      </c>
      <c r="BN48" s="975">
        <f>'MXD P&amp;L'!Q212</f>
        <v>0</v>
      </c>
      <c r="BO48" s="975">
        <f>'MXD P&amp;L'!R212</f>
        <v>59905.87</v>
      </c>
      <c r="BP48" s="975">
        <f>'MXD P&amp;L'!S212</f>
        <v>971.14</v>
      </c>
      <c r="BQ48" s="975">
        <f>'MXD P&amp;L'!T212</f>
        <v>62400</v>
      </c>
      <c r="BR48" s="975">
        <f>'MXD P&amp;L'!U210</f>
        <v>308771.90999999997</v>
      </c>
      <c r="BS48" s="975">
        <f>'MXD P&amp;L'!V210</f>
        <v>274685.42</v>
      </c>
      <c r="BT48" s="975">
        <f>'MXD P&amp;L'!W210</f>
        <v>481198.6</v>
      </c>
      <c r="BU48" s="975">
        <f>'MXD P&amp;L'!X210</f>
        <v>0</v>
      </c>
      <c r="BV48" s="975">
        <f>'MXD P&amp;L'!Y211</f>
        <v>0</v>
      </c>
      <c r="BW48" s="975">
        <f t="shared" si="5"/>
        <v>1187932.94</v>
      </c>
      <c r="BX48" s="902"/>
      <c r="BY48" s="902"/>
      <c r="BZ48" s="902"/>
      <c r="CA48" s="902"/>
      <c r="CB48" s="902"/>
      <c r="CC48" s="314"/>
      <c r="CD48" s="311"/>
    </row>
    <row r="49" spans="1:84" x14ac:dyDescent="0.3">
      <c r="A49" t="s">
        <v>841</v>
      </c>
      <c r="B49" t="s">
        <v>841</v>
      </c>
      <c r="C49" s="8"/>
      <c r="D49" s="8"/>
      <c r="E49" s="18"/>
      <c r="F49" s="14"/>
      <c r="G49" s="8"/>
      <c r="H49" s="8"/>
      <c r="I49" s="18"/>
      <c r="J49" s="14"/>
      <c r="K49" s="8"/>
      <c r="L49" s="8"/>
      <c r="M49" s="18"/>
      <c r="N49" s="14"/>
      <c r="O49" s="8"/>
      <c r="P49" s="8"/>
      <c r="Q49" s="18"/>
      <c r="R49" s="14"/>
      <c r="S49" s="8"/>
      <c r="T49" s="8"/>
      <c r="U49" s="18"/>
      <c r="V49" s="14"/>
      <c r="W49" s="8"/>
      <c r="X49" s="8"/>
      <c r="Y49" s="18"/>
      <c r="Z49" s="14"/>
      <c r="AA49" s="8"/>
      <c r="AB49" s="8"/>
      <c r="AC49" s="18"/>
      <c r="AD49" s="14"/>
      <c r="AE49" s="8"/>
      <c r="AF49" s="8"/>
      <c r="AG49" s="18"/>
      <c r="AH49" s="14"/>
      <c r="AK49" s="18"/>
      <c r="AL49" s="14"/>
      <c r="AO49" s="18"/>
      <c r="AP49" s="14"/>
      <c r="AS49" s="18"/>
      <c r="AT49" s="14"/>
      <c r="AW49" s="18"/>
      <c r="AX49" s="14"/>
      <c r="AY49" s="1048"/>
      <c r="AZ49" s="975"/>
      <c r="BA49" s="975"/>
      <c r="BB49" s="975"/>
      <c r="BC49" s="975"/>
      <c r="BD49" s="975"/>
      <c r="BE49" s="975"/>
      <c r="BF49" s="975">
        <v>2535.5</v>
      </c>
      <c r="BG49" s="975">
        <v>4792.3500000000004</v>
      </c>
      <c r="BH49" s="975">
        <v>-22796.31</v>
      </c>
      <c r="BI49" s="975">
        <v>0</v>
      </c>
      <c r="BJ49" s="975">
        <v>-33067.949999999997</v>
      </c>
      <c r="BK49" s="975">
        <f>'MXD P&amp;L'!N209</f>
        <v>1258.3900000000001</v>
      </c>
      <c r="BL49" s="975">
        <f>'MXD P&amp;L'!O209</f>
        <v>53.83</v>
      </c>
      <c r="BM49" s="975">
        <f>'MXD P&amp;L'!P209</f>
        <v>4900</v>
      </c>
      <c r="BN49" s="975">
        <f>'MXD P&amp;L'!Q209</f>
        <v>26675</v>
      </c>
      <c r="BO49" s="975">
        <f>'MXD P&amp;L'!R209</f>
        <v>0</v>
      </c>
      <c r="BP49" s="975">
        <f>'MXD P&amp;L'!S209</f>
        <v>5300</v>
      </c>
      <c r="BQ49" s="975">
        <f>'MXD P&amp;L'!T209</f>
        <v>0</v>
      </c>
      <c r="BR49" s="975">
        <f>'MXD P&amp;L'!U207</f>
        <v>0</v>
      </c>
      <c r="BS49" s="975">
        <f>'MXD P&amp;L'!V207</f>
        <v>0</v>
      </c>
      <c r="BT49" s="975">
        <f>'MXD P&amp;L'!W207</f>
        <v>2119.96</v>
      </c>
      <c r="BU49" s="975">
        <f>'MXD P&amp;L'!X207</f>
        <v>0</v>
      </c>
      <c r="BV49" s="975">
        <f>'MXD P&amp;L'!Y208</f>
        <v>0</v>
      </c>
      <c r="BW49" s="975">
        <f t="shared" si="2"/>
        <v>40307.18</v>
      </c>
      <c r="BX49" s="902">
        <v>571232</v>
      </c>
      <c r="BY49" s="902">
        <v>440723</v>
      </c>
      <c r="BZ49" s="902"/>
      <c r="CA49" s="902">
        <v>485638.37</v>
      </c>
      <c r="CB49" s="902">
        <f t="shared" si="1"/>
        <v>0</v>
      </c>
      <c r="CC49" s="314">
        <v>-48536.409999999996</v>
      </c>
      <c r="CD49" s="311">
        <v>1</v>
      </c>
    </row>
    <row r="50" spans="1:84" x14ac:dyDescent="0.3">
      <c r="B50" t="s">
        <v>403</v>
      </c>
      <c r="E50" s="314"/>
      <c r="F50" s="13"/>
      <c r="J50" s="13"/>
      <c r="N50" s="13"/>
      <c r="R50" s="13"/>
      <c r="V50" s="13"/>
      <c r="Z50" s="13"/>
      <c r="AD50" s="13"/>
      <c r="AH50" s="14">
        <v>14700</v>
      </c>
      <c r="AL50" s="14"/>
      <c r="AP50" s="14"/>
      <c r="AT50" s="14"/>
      <c r="AX50" s="14"/>
      <c r="AY50" s="1049"/>
      <c r="AZ50" s="1026"/>
      <c r="BA50" s="1026"/>
      <c r="BB50" s="1026"/>
      <c r="BC50" s="1026"/>
      <c r="BD50" s="1026"/>
      <c r="BE50" s="1026"/>
      <c r="BF50" s="1026"/>
      <c r="BG50" s="1026"/>
      <c r="BH50" s="1026"/>
      <c r="BI50" s="1026"/>
      <c r="BJ50" s="975">
        <v>0</v>
      </c>
      <c r="BK50" s="975">
        <v>0</v>
      </c>
      <c r="BL50" s="975">
        <v>0</v>
      </c>
      <c r="BM50" s="975">
        <v>0</v>
      </c>
      <c r="BN50" s="975">
        <v>0</v>
      </c>
      <c r="BO50" s="975">
        <v>0</v>
      </c>
      <c r="BP50" s="975">
        <v>0</v>
      </c>
      <c r="BQ50" s="975">
        <v>0</v>
      </c>
      <c r="BR50" s="975">
        <v>0</v>
      </c>
      <c r="BS50" s="975">
        <v>0</v>
      </c>
      <c r="BT50" s="975">
        <v>0</v>
      </c>
      <c r="BU50" s="975">
        <v>0</v>
      </c>
      <c r="BV50" s="975">
        <v>0</v>
      </c>
      <c r="BW50" s="975">
        <f t="shared" si="2"/>
        <v>0</v>
      </c>
      <c r="BX50" s="902">
        <v>571232</v>
      </c>
      <c r="BY50" s="902">
        <v>440723</v>
      </c>
      <c r="BZ50" s="902"/>
      <c r="CA50" s="902">
        <v>485638.37</v>
      </c>
      <c r="CB50" s="902">
        <f t="shared" si="1"/>
        <v>0</v>
      </c>
      <c r="CC50" s="314">
        <v>-14700</v>
      </c>
      <c r="CD50" s="311">
        <v>0</v>
      </c>
    </row>
    <row r="51" spans="1:84" x14ac:dyDescent="0.3">
      <c r="B51" t="s">
        <v>51</v>
      </c>
      <c r="C51" s="8"/>
      <c r="D51" s="8"/>
      <c r="E51" s="18"/>
      <c r="F51" s="14"/>
      <c r="G51" s="8"/>
      <c r="H51" s="8"/>
      <c r="I51" s="18"/>
      <c r="J51" s="14"/>
      <c r="K51" s="8"/>
      <c r="L51" s="8"/>
      <c r="M51" s="18"/>
      <c r="N51" s="14"/>
      <c r="O51" s="8"/>
      <c r="P51" s="8"/>
      <c r="Q51" s="18"/>
      <c r="R51" s="14"/>
      <c r="S51" s="8"/>
      <c r="T51" s="8"/>
      <c r="U51" s="18"/>
      <c r="V51" s="14"/>
      <c r="W51" s="8"/>
      <c r="X51" s="8"/>
      <c r="Y51" s="18"/>
      <c r="Z51" s="14"/>
      <c r="AA51" s="8"/>
      <c r="AB51" s="8"/>
      <c r="AC51" s="18"/>
      <c r="AD51" s="14"/>
      <c r="AE51" s="8"/>
      <c r="AF51" s="8"/>
      <c r="AG51" s="18"/>
      <c r="AH51" s="14"/>
      <c r="AK51" s="18"/>
      <c r="AL51" s="14"/>
      <c r="AO51" s="18"/>
      <c r="AP51" s="14"/>
      <c r="AS51" s="18"/>
      <c r="AT51" s="14"/>
      <c r="AW51" s="18"/>
      <c r="AX51" s="14"/>
      <c r="AY51" s="1048"/>
      <c r="AZ51" s="975"/>
      <c r="BA51" s="975"/>
      <c r="BB51" s="975"/>
      <c r="BC51" s="975"/>
      <c r="BD51" s="975"/>
      <c r="BE51" s="975"/>
      <c r="BF51" s="975"/>
      <c r="BG51" s="975"/>
      <c r="BH51" s="975"/>
      <c r="BI51" s="975"/>
      <c r="BJ51" s="975">
        <v>0</v>
      </c>
      <c r="BK51" s="975">
        <v>0</v>
      </c>
      <c r="BL51" s="975">
        <v>0</v>
      </c>
      <c r="BM51" s="975">
        <v>0</v>
      </c>
      <c r="BN51" s="975">
        <v>0</v>
      </c>
      <c r="BO51" s="975">
        <v>0</v>
      </c>
      <c r="BP51" s="975">
        <v>0</v>
      </c>
      <c r="BQ51" s="975">
        <v>0</v>
      </c>
      <c r="BR51" s="975">
        <v>0</v>
      </c>
      <c r="BS51" s="975">
        <v>0</v>
      </c>
      <c r="BT51" s="975">
        <v>0</v>
      </c>
      <c r="BU51" s="975">
        <v>0</v>
      </c>
      <c r="BV51" s="975">
        <v>0</v>
      </c>
      <c r="BW51" s="975">
        <f t="shared" si="2"/>
        <v>0</v>
      </c>
      <c r="BX51" s="902">
        <v>571232</v>
      </c>
      <c r="BY51" s="902">
        <v>440723</v>
      </c>
      <c r="BZ51" s="902"/>
      <c r="CA51" s="902">
        <v>485638.37</v>
      </c>
      <c r="CB51" s="902">
        <f t="shared" si="1"/>
        <v>0</v>
      </c>
      <c r="CC51" s="314">
        <v>0</v>
      </c>
      <c r="CD51" s="311">
        <v>0</v>
      </c>
    </row>
    <row r="52" spans="1:84" x14ac:dyDescent="0.3">
      <c r="B52" t="s">
        <v>54</v>
      </c>
      <c r="C52" s="8">
        <v>43</v>
      </c>
      <c r="D52" s="8">
        <v>43</v>
      </c>
      <c r="E52" s="18">
        <v>43</v>
      </c>
      <c r="F52" s="14">
        <v>43.33</v>
      </c>
      <c r="G52" s="8">
        <v>43</v>
      </c>
      <c r="H52" s="8">
        <v>43</v>
      </c>
      <c r="I52" s="18">
        <v>43</v>
      </c>
      <c r="J52" s="14">
        <v>43.33</v>
      </c>
      <c r="K52" s="8">
        <v>43</v>
      </c>
      <c r="L52" s="8">
        <v>43</v>
      </c>
      <c r="M52" s="18">
        <v>43</v>
      </c>
      <c r="N52" s="14">
        <v>43.33</v>
      </c>
      <c r="O52" s="8">
        <v>43</v>
      </c>
      <c r="P52" s="8">
        <v>43</v>
      </c>
      <c r="Q52" s="18">
        <v>43</v>
      </c>
      <c r="R52" s="14">
        <v>-129.98999999999978</v>
      </c>
      <c r="S52" s="8">
        <v>43</v>
      </c>
      <c r="T52" s="8">
        <v>43</v>
      </c>
      <c r="U52" s="18">
        <v>43</v>
      </c>
      <c r="V52" s="14"/>
      <c r="W52" s="8">
        <v>43</v>
      </c>
      <c r="X52" s="8">
        <v>43</v>
      </c>
      <c r="Y52" s="18">
        <v>0</v>
      </c>
      <c r="Z52" s="14"/>
      <c r="AA52" s="8">
        <v>43</v>
      </c>
      <c r="AB52" s="8">
        <v>43</v>
      </c>
      <c r="AC52" s="18">
        <v>0</v>
      </c>
      <c r="AD52" s="14"/>
      <c r="AE52" s="8">
        <v>43</v>
      </c>
      <c r="AF52" s="8">
        <v>43</v>
      </c>
      <c r="AG52" s="18">
        <v>0</v>
      </c>
      <c r="AH52" s="14">
        <v>0</v>
      </c>
      <c r="AI52">
        <v>43</v>
      </c>
      <c r="AJ52">
        <v>43</v>
      </c>
      <c r="AK52" s="18">
        <v>0</v>
      </c>
      <c r="AL52" s="14"/>
      <c r="AM52">
        <v>43</v>
      </c>
      <c r="AN52">
        <v>43</v>
      </c>
      <c r="AO52" s="18">
        <v>0</v>
      </c>
      <c r="AP52" s="14"/>
      <c r="AQ52">
        <v>43</v>
      </c>
      <c r="AS52" s="18">
        <v>0</v>
      </c>
      <c r="AT52" s="14"/>
      <c r="AU52">
        <v>43</v>
      </c>
      <c r="AW52" s="18">
        <v>0</v>
      </c>
      <c r="AX52" s="14"/>
      <c r="AY52" s="1048"/>
      <c r="AZ52" s="975">
        <v>0</v>
      </c>
      <c r="BA52" s="975">
        <v>0</v>
      </c>
      <c r="BB52" s="975">
        <v>0</v>
      </c>
      <c r="BC52" s="975">
        <v>0</v>
      </c>
      <c r="BD52" s="975">
        <v>0</v>
      </c>
      <c r="BE52" s="975">
        <v>0</v>
      </c>
      <c r="BF52" s="975">
        <v>0</v>
      </c>
      <c r="BG52" s="975">
        <v>0</v>
      </c>
      <c r="BH52" s="975">
        <v>0</v>
      </c>
      <c r="BI52" s="975">
        <v>0</v>
      </c>
      <c r="BJ52" s="975">
        <v>0</v>
      </c>
      <c r="BK52" s="975">
        <v>0</v>
      </c>
      <c r="BL52" s="975">
        <v>0</v>
      </c>
      <c r="BM52" s="975">
        <v>0</v>
      </c>
      <c r="BN52" s="975">
        <v>0</v>
      </c>
      <c r="BO52" s="975">
        <v>0</v>
      </c>
      <c r="BP52" s="975">
        <v>0</v>
      </c>
      <c r="BQ52" s="975">
        <v>0</v>
      </c>
      <c r="BR52" s="975">
        <v>0</v>
      </c>
      <c r="BS52" s="975">
        <v>0</v>
      </c>
      <c r="BT52" s="975">
        <v>0</v>
      </c>
      <c r="BU52" s="975">
        <v>0</v>
      </c>
      <c r="BV52" s="975">
        <v>0</v>
      </c>
      <c r="BW52" s="975">
        <f t="shared" si="2"/>
        <v>0</v>
      </c>
      <c r="BX52" s="902">
        <v>571232</v>
      </c>
      <c r="BY52" s="902">
        <v>440723</v>
      </c>
      <c r="BZ52" s="902"/>
      <c r="CA52" s="902">
        <v>485638.37</v>
      </c>
      <c r="CB52" s="902">
        <f t="shared" si="1"/>
        <v>0</v>
      </c>
      <c r="CC52" s="314">
        <v>-2.2737367544323206E-13</v>
      </c>
      <c r="CD52" s="311">
        <v>0</v>
      </c>
    </row>
    <row r="53" spans="1:84" x14ac:dyDescent="0.3">
      <c r="B53" t="s">
        <v>55</v>
      </c>
      <c r="C53" s="8">
        <v>3334</v>
      </c>
      <c r="D53" s="8">
        <v>1667</v>
      </c>
      <c r="E53" s="18">
        <v>1000</v>
      </c>
      <c r="F53" s="14"/>
      <c r="G53" s="8">
        <v>1667</v>
      </c>
      <c r="H53" s="8"/>
      <c r="I53" s="18">
        <v>1000</v>
      </c>
      <c r="J53" s="14"/>
      <c r="K53" s="8">
        <v>1667</v>
      </c>
      <c r="L53" s="8"/>
      <c r="M53" s="18">
        <v>1000</v>
      </c>
      <c r="N53" s="14"/>
      <c r="O53" s="8">
        <v>1667</v>
      </c>
      <c r="P53" s="8"/>
      <c r="Q53" s="18">
        <v>1000</v>
      </c>
      <c r="R53" s="14"/>
      <c r="S53" s="8">
        <v>1667</v>
      </c>
      <c r="T53" s="8"/>
      <c r="U53" s="18">
        <v>1000</v>
      </c>
      <c r="V53" s="14"/>
      <c r="W53" s="8">
        <v>1667</v>
      </c>
      <c r="X53" s="8"/>
      <c r="Y53" s="18">
        <v>1000</v>
      </c>
      <c r="Z53" s="14"/>
      <c r="AA53" s="8">
        <v>1667</v>
      </c>
      <c r="AB53" s="8"/>
      <c r="AC53" s="18">
        <v>1000</v>
      </c>
      <c r="AD53" s="14"/>
      <c r="AE53" s="8">
        <v>16028</v>
      </c>
      <c r="AF53" s="8"/>
      <c r="AG53" s="18">
        <v>1000</v>
      </c>
      <c r="AH53" s="14"/>
      <c r="AK53" s="18">
        <v>1000</v>
      </c>
      <c r="AL53" s="14"/>
      <c r="AM53">
        <v>3334</v>
      </c>
      <c r="AO53" s="18">
        <v>1000</v>
      </c>
      <c r="AP53" s="14"/>
      <c r="AS53" s="18">
        <v>1000</v>
      </c>
      <c r="AT53" s="14"/>
      <c r="AU53">
        <v>3334</v>
      </c>
      <c r="AW53" s="18">
        <v>1000</v>
      </c>
      <c r="AX53" s="14"/>
      <c r="AY53" s="1048"/>
      <c r="AZ53" s="975">
        <v>0</v>
      </c>
      <c r="BA53" s="975">
        <v>0</v>
      </c>
      <c r="BB53" s="975">
        <v>0</v>
      </c>
      <c r="BC53" s="975">
        <v>0</v>
      </c>
      <c r="BD53" s="975">
        <v>0</v>
      </c>
      <c r="BE53" s="975">
        <v>0</v>
      </c>
      <c r="BF53" s="975">
        <v>0</v>
      </c>
      <c r="BG53" s="975">
        <v>0</v>
      </c>
      <c r="BH53" s="975">
        <v>0</v>
      </c>
      <c r="BI53" s="975">
        <v>0</v>
      </c>
      <c r="BJ53" s="975">
        <v>0</v>
      </c>
      <c r="BK53" s="975">
        <v>0</v>
      </c>
      <c r="BL53" s="975">
        <v>0</v>
      </c>
      <c r="BM53" s="975">
        <v>0</v>
      </c>
      <c r="BN53" s="975">
        <v>0</v>
      </c>
      <c r="BO53" s="975">
        <v>0</v>
      </c>
      <c r="BP53" s="975">
        <v>0</v>
      </c>
      <c r="BQ53" s="975">
        <v>0</v>
      </c>
      <c r="BR53" s="975">
        <v>0</v>
      </c>
      <c r="BS53" s="975">
        <v>0</v>
      </c>
      <c r="BT53" s="975">
        <v>0</v>
      </c>
      <c r="BU53" s="975">
        <v>0</v>
      </c>
      <c r="BV53" s="975">
        <v>0</v>
      </c>
      <c r="BW53" s="975">
        <f t="shared" si="2"/>
        <v>0</v>
      </c>
      <c r="BX53" s="902">
        <v>571232</v>
      </c>
      <c r="BY53" s="902">
        <v>440723</v>
      </c>
      <c r="BZ53" s="902"/>
      <c r="CA53" s="902">
        <v>485638.37</v>
      </c>
      <c r="CB53" s="902">
        <f t="shared" si="1"/>
        <v>0</v>
      </c>
      <c r="CC53" s="314">
        <v>0</v>
      </c>
      <c r="CD53" s="311">
        <v>0</v>
      </c>
    </row>
    <row r="54" spans="1:84" x14ac:dyDescent="0.3">
      <c r="B54" t="s">
        <v>56</v>
      </c>
      <c r="C54" s="8">
        <v>124</v>
      </c>
      <c r="D54" s="8">
        <v>143</v>
      </c>
      <c r="E54" s="18">
        <v>143</v>
      </c>
      <c r="F54" s="14"/>
      <c r="G54" s="8"/>
      <c r="H54" s="8"/>
      <c r="I54" s="18">
        <v>143</v>
      </c>
      <c r="J54" s="14"/>
      <c r="K54" s="8"/>
      <c r="L54" s="8"/>
      <c r="M54" s="18">
        <v>143</v>
      </c>
      <c r="N54" s="14"/>
      <c r="O54" s="8"/>
      <c r="P54" s="8"/>
      <c r="Q54" s="18">
        <v>143</v>
      </c>
      <c r="R54" s="14"/>
      <c r="S54" s="8">
        <v>285</v>
      </c>
      <c r="T54" s="8"/>
      <c r="U54" s="18">
        <v>143</v>
      </c>
      <c r="V54" s="14"/>
      <c r="W54" s="8">
        <v>139</v>
      </c>
      <c r="X54" s="8"/>
      <c r="Y54" s="18">
        <v>143</v>
      </c>
      <c r="Z54" s="14"/>
      <c r="AA54" s="8">
        <v>143</v>
      </c>
      <c r="AB54" s="8"/>
      <c r="AC54" s="18">
        <v>143</v>
      </c>
      <c r="AD54" s="14"/>
      <c r="AE54" s="8">
        <v>143</v>
      </c>
      <c r="AF54" s="8"/>
      <c r="AG54" s="18">
        <v>143</v>
      </c>
      <c r="AH54" s="14"/>
      <c r="AI54">
        <v>143</v>
      </c>
      <c r="AK54" s="18">
        <v>143</v>
      </c>
      <c r="AL54" s="14"/>
      <c r="AM54">
        <v>143</v>
      </c>
      <c r="AO54" s="18">
        <v>143</v>
      </c>
      <c r="AP54" s="14"/>
      <c r="AQ54">
        <v>143</v>
      </c>
      <c r="AS54" s="18">
        <v>143</v>
      </c>
      <c r="AT54" s="14"/>
      <c r="AU54">
        <v>143</v>
      </c>
      <c r="AW54" s="18">
        <v>143</v>
      </c>
      <c r="AX54" s="14"/>
      <c r="AY54" s="1048"/>
      <c r="AZ54" s="975">
        <v>0</v>
      </c>
      <c r="BA54" s="975">
        <v>0</v>
      </c>
      <c r="BB54" s="975">
        <v>0</v>
      </c>
      <c r="BC54" s="975">
        <v>0</v>
      </c>
      <c r="BD54" s="975">
        <v>0</v>
      </c>
      <c r="BE54" s="975">
        <v>0</v>
      </c>
      <c r="BF54" s="975">
        <v>0</v>
      </c>
      <c r="BG54" s="975">
        <v>0</v>
      </c>
      <c r="BH54" s="975">
        <v>0</v>
      </c>
      <c r="BI54" s="975">
        <v>0</v>
      </c>
      <c r="BJ54" s="975">
        <v>0</v>
      </c>
      <c r="BK54" s="975">
        <v>0</v>
      </c>
      <c r="BL54" s="975">
        <v>0</v>
      </c>
      <c r="BM54" s="975">
        <v>0</v>
      </c>
      <c r="BN54" s="975">
        <v>0</v>
      </c>
      <c r="BO54" s="975">
        <v>0</v>
      </c>
      <c r="BP54" s="975">
        <v>0</v>
      </c>
      <c r="BQ54" s="975">
        <v>0</v>
      </c>
      <c r="BR54" s="975">
        <v>0</v>
      </c>
      <c r="BS54" s="975">
        <v>0</v>
      </c>
      <c r="BT54" s="975">
        <v>0</v>
      </c>
      <c r="BU54" s="975">
        <v>0</v>
      </c>
      <c r="BV54" s="975">
        <v>0</v>
      </c>
      <c r="BW54" s="975">
        <f t="shared" si="2"/>
        <v>0</v>
      </c>
      <c r="BX54" s="902">
        <v>571232</v>
      </c>
      <c r="BY54" s="902">
        <v>440723</v>
      </c>
      <c r="BZ54" s="902"/>
      <c r="CA54" s="902">
        <v>485638.37</v>
      </c>
      <c r="CB54" s="902">
        <f t="shared" si="1"/>
        <v>0</v>
      </c>
      <c r="CC54" s="314">
        <v>0</v>
      </c>
      <c r="CD54" s="311">
        <v>0</v>
      </c>
    </row>
    <row r="55" spans="1:84" x14ac:dyDescent="0.3">
      <c r="B55" t="s">
        <v>57</v>
      </c>
      <c r="C55" s="8"/>
      <c r="D55" s="8"/>
      <c r="E55" s="18"/>
      <c r="F55" s="14"/>
      <c r="G55" s="8"/>
      <c r="H55" s="8"/>
      <c r="I55" s="18"/>
      <c r="J55" s="14"/>
      <c r="K55" s="8"/>
      <c r="L55" s="8"/>
      <c r="M55" s="18"/>
      <c r="N55" s="14"/>
      <c r="O55" s="8"/>
      <c r="P55" s="8"/>
      <c r="Q55" s="18"/>
      <c r="R55" s="14"/>
      <c r="S55" s="8"/>
      <c r="T55" s="8"/>
      <c r="U55" s="18"/>
      <c r="V55" s="14"/>
      <c r="W55" s="8"/>
      <c r="X55" s="8"/>
      <c r="Y55" s="18"/>
      <c r="Z55" s="14"/>
      <c r="AA55" s="8"/>
      <c r="AB55" s="8"/>
      <c r="AC55" s="18"/>
      <c r="AD55" s="14"/>
      <c r="AE55" s="8"/>
      <c r="AF55" s="8"/>
      <c r="AG55" s="18"/>
      <c r="AH55" s="14"/>
      <c r="AK55" s="18"/>
      <c r="AL55" s="14"/>
      <c r="AO55" s="18"/>
      <c r="AP55" s="14"/>
      <c r="AS55" s="18"/>
      <c r="AT55" s="14"/>
      <c r="AW55" s="18"/>
      <c r="AX55" s="14"/>
      <c r="AY55" s="1048"/>
      <c r="AZ55" s="975">
        <v>0</v>
      </c>
      <c r="BA55" s="975">
        <v>0</v>
      </c>
      <c r="BB55" s="975">
        <v>0</v>
      </c>
      <c r="BC55" s="975">
        <v>0</v>
      </c>
      <c r="BD55" s="975">
        <v>0</v>
      </c>
      <c r="BE55" s="975">
        <v>0</v>
      </c>
      <c r="BF55" s="975">
        <v>0</v>
      </c>
      <c r="BG55" s="975">
        <v>0</v>
      </c>
      <c r="BH55" s="975">
        <v>0</v>
      </c>
      <c r="BI55" s="975">
        <v>0</v>
      </c>
      <c r="BJ55" s="975">
        <v>0</v>
      </c>
      <c r="BK55" s="975">
        <v>0</v>
      </c>
      <c r="BL55" s="975">
        <v>0</v>
      </c>
      <c r="BM55" s="975">
        <v>0</v>
      </c>
      <c r="BN55" s="975">
        <v>0</v>
      </c>
      <c r="BO55" s="975">
        <v>0</v>
      </c>
      <c r="BP55" s="975">
        <v>0</v>
      </c>
      <c r="BQ55" s="975">
        <v>0</v>
      </c>
      <c r="BR55" s="975">
        <v>0</v>
      </c>
      <c r="BS55" s="975">
        <v>0</v>
      </c>
      <c r="BT55" s="975">
        <v>0</v>
      </c>
      <c r="BU55" s="975">
        <v>0</v>
      </c>
      <c r="BV55" s="975">
        <v>0</v>
      </c>
      <c r="BW55" s="975">
        <f t="shared" si="2"/>
        <v>0</v>
      </c>
      <c r="BX55" s="902">
        <v>571232</v>
      </c>
      <c r="BY55" s="902">
        <v>440723</v>
      </c>
      <c r="BZ55" s="902"/>
      <c r="CA55" s="902">
        <v>485638.37</v>
      </c>
      <c r="CB55" s="902">
        <f t="shared" si="1"/>
        <v>0</v>
      </c>
      <c r="CC55" s="314">
        <v>0</v>
      </c>
      <c r="CD55" s="311">
        <v>0</v>
      </c>
    </row>
    <row r="56" spans="1:84" x14ac:dyDescent="0.3">
      <c r="B56" t="s">
        <v>58</v>
      </c>
      <c r="C56" s="8"/>
      <c r="D56" s="8"/>
      <c r="E56" s="18"/>
      <c r="F56" s="14"/>
      <c r="G56" s="8"/>
      <c r="H56" s="8"/>
      <c r="I56" s="18"/>
      <c r="J56" s="14"/>
      <c r="K56" s="8"/>
      <c r="L56" s="8"/>
      <c r="M56" s="18"/>
      <c r="N56" s="14"/>
      <c r="O56" s="8"/>
      <c r="P56" s="8"/>
      <c r="Q56" s="18"/>
      <c r="R56" s="14"/>
      <c r="S56" s="8"/>
      <c r="T56" s="8"/>
      <c r="U56" s="18"/>
      <c r="V56" s="14"/>
      <c r="W56" s="8"/>
      <c r="X56" s="8"/>
      <c r="Y56" s="18"/>
      <c r="Z56" s="14"/>
      <c r="AA56" s="8"/>
      <c r="AB56" s="8"/>
      <c r="AC56" s="18"/>
      <c r="AD56" s="14"/>
      <c r="AE56" s="8"/>
      <c r="AF56" s="8">
        <v>33</v>
      </c>
      <c r="AG56" s="18"/>
      <c r="AH56" s="14"/>
      <c r="AK56" s="18"/>
      <c r="AL56" s="14"/>
      <c r="AO56" s="18"/>
      <c r="AP56" s="14"/>
      <c r="AS56" s="18"/>
      <c r="AT56" s="14"/>
      <c r="AW56" s="18"/>
      <c r="AX56" s="14"/>
      <c r="AY56" s="1048"/>
      <c r="AZ56" s="975">
        <v>0</v>
      </c>
      <c r="BA56" s="975">
        <v>0</v>
      </c>
      <c r="BB56" s="975">
        <v>0</v>
      </c>
      <c r="BC56" s="975">
        <v>0</v>
      </c>
      <c r="BD56" s="975">
        <v>0</v>
      </c>
      <c r="BE56" s="975">
        <v>0</v>
      </c>
      <c r="BF56" s="975">
        <v>0</v>
      </c>
      <c r="BG56" s="975">
        <v>0</v>
      </c>
      <c r="BH56" s="975">
        <v>0</v>
      </c>
      <c r="BI56" s="975">
        <v>0</v>
      </c>
      <c r="BJ56" s="975">
        <v>0</v>
      </c>
      <c r="BK56" s="975">
        <f>'MXD P&amp;L'!N218</f>
        <v>0</v>
      </c>
      <c r="BL56" s="975">
        <f>'MXD P&amp;L'!O218</f>
        <v>0</v>
      </c>
      <c r="BM56" s="975">
        <f>'MXD P&amp;L'!P218</f>
        <v>0</v>
      </c>
      <c r="BN56" s="975">
        <f>'MXD P&amp;L'!Q218</f>
        <v>0</v>
      </c>
      <c r="BO56" s="975">
        <f>'MXD P&amp;L'!R218</f>
        <v>0</v>
      </c>
      <c r="BP56" s="975">
        <f>'MXD P&amp;L'!S218</f>
        <v>0</v>
      </c>
      <c r="BQ56" s="975">
        <f>'MXD P&amp;L'!T218</f>
        <v>0</v>
      </c>
      <c r="BR56" s="975">
        <f>'MXD P&amp;L'!U216</f>
        <v>130542.6100000001</v>
      </c>
      <c r="BS56" s="975">
        <f>'MXD P&amp;L'!V216</f>
        <v>93623.590000000026</v>
      </c>
      <c r="BT56" s="975">
        <f>'MXD P&amp;L'!W216</f>
        <v>156996.6100000001</v>
      </c>
      <c r="BU56" s="975">
        <f>'MXD P&amp;L'!X216</f>
        <v>0</v>
      </c>
      <c r="BV56" s="975">
        <f>'MXD P&amp;L'!Y217</f>
        <v>0</v>
      </c>
      <c r="BW56" s="975">
        <f t="shared" si="2"/>
        <v>381162.81000000023</v>
      </c>
      <c r="BX56" s="902">
        <v>571232</v>
      </c>
      <c r="BY56" s="902">
        <v>440723</v>
      </c>
      <c r="BZ56" s="902"/>
      <c r="CA56" s="902">
        <v>485638.37</v>
      </c>
      <c r="CB56" s="902">
        <f t="shared" si="1"/>
        <v>0</v>
      </c>
      <c r="CC56" s="314">
        <v>0</v>
      </c>
      <c r="CD56" s="311">
        <v>0</v>
      </c>
    </row>
    <row r="57" spans="1:84" x14ac:dyDescent="0.3">
      <c r="B57" t="s">
        <v>59</v>
      </c>
      <c r="C57" s="8">
        <v>5074</v>
      </c>
      <c r="D57" s="8">
        <v>5074</v>
      </c>
      <c r="E57" s="18">
        <v>0</v>
      </c>
      <c r="F57" s="14"/>
      <c r="G57" s="8">
        <v>5074</v>
      </c>
      <c r="H57" s="8">
        <v>5074</v>
      </c>
      <c r="I57" s="18">
        <v>0</v>
      </c>
      <c r="J57" s="14">
        <v>0</v>
      </c>
      <c r="K57" s="8">
        <v>5074</v>
      </c>
      <c r="L57" s="8">
        <v>5074</v>
      </c>
      <c r="M57" s="18">
        <v>0</v>
      </c>
      <c r="N57" s="14"/>
      <c r="O57" s="8">
        <v>5074</v>
      </c>
      <c r="P57" s="8">
        <v>10148</v>
      </c>
      <c r="Q57" s="18">
        <v>0</v>
      </c>
      <c r="R57" s="14"/>
      <c r="S57" s="8">
        <v>5074</v>
      </c>
      <c r="T57" s="8">
        <v>2616</v>
      </c>
      <c r="U57" s="18">
        <v>0</v>
      </c>
      <c r="V57" s="14"/>
      <c r="W57" s="8">
        <v>5074</v>
      </c>
      <c r="X57" s="8"/>
      <c r="Y57" s="18">
        <v>0</v>
      </c>
      <c r="Z57" s="14"/>
      <c r="AA57" s="8">
        <v>5074</v>
      </c>
      <c r="AB57" s="8">
        <v>6020</v>
      </c>
      <c r="AC57" s="18">
        <v>0</v>
      </c>
      <c r="AD57" s="14"/>
      <c r="AE57" s="8">
        <v>13588</v>
      </c>
      <c r="AF57" s="8"/>
      <c r="AG57" s="18">
        <v>0</v>
      </c>
      <c r="AH57" s="14"/>
      <c r="AI57">
        <v>5074</v>
      </c>
      <c r="AK57" s="18">
        <v>0</v>
      </c>
      <c r="AL57" s="14"/>
      <c r="AM57">
        <v>5074</v>
      </c>
      <c r="AO57" s="18">
        <v>0</v>
      </c>
      <c r="AP57" s="14"/>
      <c r="AQ57">
        <v>5074</v>
      </c>
      <c r="AS57" s="18">
        <v>0</v>
      </c>
      <c r="AT57" s="14"/>
      <c r="AU57">
        <v>5074</v>
      </c>
      <c r="AW57" s="18">
        <v>0</v>
      </c>
      <c r="AX57" s="14"/>
      <c r="AY57" s="1048"/>
      <c r="AZ57" s="975">
        <v>0</v>
      </c>
      <c r="BA57" s="975">
        <v>0</v>
      </c>
      <c r="BB57" s="975">
        <v>0</v>
      </c>
      <c r="BC57" s="975">
        <v>0</v>
      </c>
      <c r="BD57" s="975">
        <v>0</v>
      </c>
      <c r="BE57" s="975">
        <v>0</v>
      </c>
      <c r="BF57" s="975">
        <v>0</v>
      </c>
      <c r="BG57" s="975">
        <v>0</v>
      </c>
      <c r="BH57" s="975">
        <v>0</v>
      </c>
      <c r="BI57" s="975">
        <v>0</v>
      </c>
      <c r="BJ57" s="975">
        <v>0</v>
      </c>
      <c r="BK57" s="975">
        <f>'MXD P&amp;L'!N219</f>
        <v>4451.6099999999997</v>
      </c>
      <c r="BL57" s="975">
        <f>'MXD P&amp;L'!O219</f>
        <v>711.45</v>
      </c>
      <c r="BM57" s="975">
        <f>'MXD P&amp;L'!P219</f>
        <v>739.19</v>
      </c>
      <c r="BN57" s="975">
        <f>'MXD P&amp;L'!Q219</f>
        <v>852.13</v>
      </c>
      <c r="BO57" s="975">
        <f>'MXD P&amp;L'!R219</f>
        <v>693.63</v>
      </c>
      <c r="BP57" s="975">
        <f>'MXD P&amp;L'!S219</f>
        <v>-1979.18</v>
      </c>
      <c r="BQ57" s="975">
        <f>'MXD P&amp;L'!T219</f>
        <v>0</v>
      </c>
      <c r="BR57" s="975">
        <f>'MXD P&amp;L'!U217</f>
        <v>0</v>
      </c>
      <c r="BS57" s="975">
        <f>'MXD P&amp;L'!V217</f>
        <v>0</v>
      </c>
      <c r="BT57" s="975">
        <f>'MXD P&amp;L'!W217</f>
        <v>0</v>
      </c>
      <c r="BU57" s="975">
        <f>'MXD P&amp;L'!X217</f>
        <v>0</v>
      </c>
      <c r="BV57" s="975">
        <f>'MXD P&amp;L'!Y218</f>
        <v>0</v>
      </c>
      <c r="BW57" s="975">
        <f t="shared" si="2"/>
        <v>5468.83</v>
      </c>
      <c r="BX57" s="902">
        <v>571232</v>
      </c>
      <c r="BY57" s="902">
        <v>440723</v>
      </c>
      <c r="BZ57" s="902"/>
      <c r="CA57" s="902">
        <v>485638.37</v>
      </c>
      <c r="CB57" s="902">
        <f t="shared" si="1"/>
        <v>0</v>
      </c>
      <c r="CC57" s="314">
        <v>0</v>
      </c>
      <c r="CD57" s="311">
        <v>0</v>
      </c>
    </row>
    <row r="58" spans="1:84" s="10" customFormat="1" x14ac:dyDescent="0.3">
      <c r="B58" s="7" t="s">
        <v>63</v>
      </c>
      <c r="C58" s="9">
        <v>34257</v>
      </c>
      <c r="D58" s="9">
        <v>54570</v>
      </c>
      <c r="E58" s="9">
        <v>87221.691869928036</v>
      </c>
      <c r="F58" s="9">
        <v>81042.55</v>
      </c>
      <c r="G58" s="9">
        <v>19793</v>
      </c>
      <c r="H58" s="9">
        <v>35311</v>
      </c>
      <c r="I58" s="9">
        <v>76865.197024579145</v>
      </c>
      <c r="J58" s="9">
        <v>87498.893299999967</v>
      </c>
      <c r="K58" s="9">
        <v>30887</v>
      </c>
      <c r="L58" s="9">
        <v>52149</v>
      </c>
      <c r="M58" s="9">
        <v>84295.468175869755</v>
      </c>
      <c r="N58" s="9">
        <v>62575.450000000004</v>
      </c>
      <c r="O58" s="9">
        <v>27578</v>
      </c>
      <c r="P58" s="9">
        <v>39539</v>
      </c>
      <c r="Q58" s="9">
        <v>92780.523683694104</v>
      </c>
      <c r="R58" s="9">
        <v>104278.13000000002</v>
      </c>
      <c r="S58" s="9">
        <v>39992</v>
      </c>
      <c r="T58" s="9">
        <v>47414</v>
      </c>
      <c r="U58" s="9">
        <v>84748.800110131095</v>
      </c>
      <c r="V58" s="9">
        <v>43146.55</v>
      </c>
      <c r="W58" s="9">
        <v>32559</v>
      </c>
      <c r="X58" s="9">
        <v>74687</v>
      </c>
      <c r="Y58" s="9">
        <v>84807.307107979039</v>
      </c>
      <c r="Z58" s="9">
        <v>56766.01999999999</v>
      </c>
      <c r="AA58" s="9">
        <v>36670</v>
      </c>
      <c r="AB58" s="9">
        <v>45941</v>
      </c>
      <c r="AC58" s="9">
        <v>90852.623572771205</v>
      </c>
      <c r="AD58" s="9">
        <v>55447.22</v>
      </c>
      <c r="AE58" s="9">
        <v>33744</v>
      </c>
      <c r="AF58" s="9">
        <v>46532</v>
      </c>
      <c r="AG58" s="9">
        <v>83265.107989952274</v>
      </c>
      <c r="AH58" s="9">
        <v>56855.380000000005</v>
      </c>
      <c r="AI58" s="9">
        <v>38397</v>
      </c>
      <c r="AJ58" s="9">
        <v>40501</v>
      </c>
      <c r="AK58" s="9">
        <v>83145.814154652777</v>
      </c>
      <c r="AL58" s="9">
        <v>81376.320000000007</v>
      </c>
      <c r="AM58" s="9">
        <v>47581</v>
      </c>
      <c r="AN58" s="9">
        <v>44110</v>
      </c>
      <c r="AO58" s="9">
        <v>90226.70196422856</v>
      </c>
      <c r="AP58" s="9">
        <v>52850.819999999992</v>
      </c>
      <c r="AQ58" s="9">
        <v>32934</v>
      </c>
      <c r="AR58" s="9">
        <v>8867.869999999999</v>
      </c>
      <c r="AS58" s="9">
        <v>83117.111315760034</v>
      </c>
      <c r="AT58" s="9">
        <v>116742.28999999995</v>
      </c>
      <c r="AU58" s="9">
        <v>37932</v>
      </c>
      <c r="AV58" s="9">
        <v>0</v>
      </c>
      <c r="AW58" s="899">
        <v>83102.702106051453</v>
      </c>
      <c r="AX58" s="9">
        <v>55789.039999999972</v>
      </c>
      <c r="AY58" s="1274">
        <f t="shared" ref="AY58:CB58" si="6">SUM(AY6:AY57)</f>
        <v>111804.98</v>
      </c>
      <c r="AZ58" s="900">
        <f t="shared" si="6"/>
        <v>132012.37</v>
      </c>
      <c r="BA58" s="900">
        <f t="shared" si="6"/>
        <v>144752.30000000002</v>
      </c>
      <c r="BB58" s="900">
        <f t="shared" si="6"/>
        <v>147690.51000000004</v>
      </c>
      <c r="BC58" s="900">
        <f t="shared" si="6"/>
        <v>153370.39000000001</v>
      </c>
      <c r="BD58" s="900">
        <f t="shared" si="6"/>
        <v>172238.65000000002</v>
      </c>
      <c r="BE58" s="900">
        <f t="shared" si="6"/>
        <v>125770.30000000002</v>
      </c>
      <c r="BF58" s="900">
        <f t="shared" si="6"/>
        <v>169884.26</v>
      </c>
      <c r="BG58" s="900">
        <f t="shared" si="6"/>
        <v>150771.29000000004</v>
      </c>
      <c r="BH58" s="900">
        <f t="shared" si="6"/>
        <v>146926.92000000004</v>
      </c>
      <c r="BI58" s="900">
        <f t="shared" si="6"/>
        <v>121551.19999999998</v>
      </c>
      <c r="BJ58" s="900">
        <f t="shared" si="6"/>
        <v>149953.78999999998</v>
      </c>
      <c r="BK58" s="900">
        <f t="shared" si="6"/>
        <v>124680.14000000001</v>
      </c>
      <c r="BL58" s="900">
        <f t="shared" si="6"/>
        <v>90707.94</v>
      </c>
      <c r="BM58" s="900">
        <f t="shared" si="6"/>
        <v>146526.79999999999</v>
      </c>
      <c r="BN58" s="900">
        <f t="shared" si="6"/>
        <v>135145.62</v>
      </c>
      <c r="BO58" s="900">
        <f t="shared" si="6"/>
        <v>277652.29000000004</v>
      </c>
      <c r="BP58" s="900">
        <f t="shared" si="6"/>
        <v>123587.45000000003</v>
      </c>
      <c r="BQ58" s="900">
        <f t="shared" si="6"/>
        <v>206350.47</v>
      </c>
      <c r="BR58" s="900">
        <f t="shared" si="6"/>
        <v>589887.20000000007</v>
      </c>
      <c r="BS58" s="900">
        <f t="shared" si="6"/>
        <v>486492.82</v>
      </c>
      <c r="BT58" s="900">
        <f t="shared" si="6"/>
        <v>772157.84000000008</v>
      </c>
      <c r="BU58" s="900">
        <f t="shared" si="6"/>
        <v>0</v>
      </c>
      <c r="BV58" s="900">
        <f t="shared" si="6"/>
        <v>0</v>
      </c>
      <c r="BW58" s="900">
        <f t="shared" si="6"/>
        <v>2953188.5700000003</v>
      </c>
      <c r="BX58" s="900">
        <f t="shared" si="6"/>
        <v>27990368</v>
      </c>
      <c r="BY58" s="900">
        <f t="shared" si="6"/>
        <v>21595427</v>
      </c>
      <c r="BZ58" s="900">
        <f t="shared" si="6"/>
        <v>0</v>
      </c>
      <c r="CA58" s="900">
        <f t="shared" si="6"/>
        <v>23796280.130000003</v>
      </c>
      <c r="CB58" s="900">
        <f t="shared" si="6"/>
        <v>536260.15999999992</v>
      </c>
      <c r="CC58" s="899">
        <v>299468.52669999993</v>
      </c>
      <c r="CD58" s="715">
        <v>0.28942269673289767</v>
      </c>
      <c r="CE58"/>
      <c r="CF58"/>
    </row>
    <row r="59" spans="1:84" x14ac:dyDescent="0.3">
      <c r="B59" s="10" t="s">
        <v>403</v>
      </c>
      <c r="C59" s="10"/>
      <c r="D59" s="10"/>
      <c r="E59" s="10"/>
      <c r="F59" s="10"/>
      <c r="G59" s="10"/>
      <c r="H59" s="10"/>
      <c r="I59" s="10">
        <v>5479.9866095231346</v>
      </c>
      <c r="J59" s="10"/>
      <c r="K59" s="10"/>
      <c r="L59" s="10"/>
      <c r="M59" s="10">
        <v>3727.1524561050801</v>
      </c>
      <c r="N59" s="10">
        <v>0</v>
      </c>
      <c r="O59" s="10"/>
      <c r="P59" s="10"/>
      <c r="Q59" s="10">
        <v>6253.1636516837352</v>
      </c>
      <c r="R59" s="10"/>
      <c r="S59" s="10"/>
      <c r="T59" s="10"/>
      <c r="U59" s="10">
        <v>4207.7685041758032</v>
      </c>
      <c r="V59" s="10">
        <v>0</v>
      </c>
      <c r="W59" s="10"/>
      <c r="X59" s="10"/>
      <c r="Y59" s="10">
        <v>7238.8019004020462</v>
      </c>
      <c r="Z59" s="10">
        <v>0</v>
      </c>
      <c r="AA59" s="10"/>
      <c r="AB59" s="10"/>
      <c r="AC59" s="10">
        <v>10375.857987095784</v>
      </c>
      <c r="AD59" s="10">
        <v>3897.971400000004</v>
      </c>
      <c r="AE59" s="10"/>
      <c r="AF59" s="10"/>
      <c r="AG59" s="10">
        <v>7746.5512673886624</v>
      </c>
      <c r="AH59" s="10">
        <v>8545.1327579999997</v>
      </c>
      <c r="AI59" s="10"/>
      <c r="AJ59" s="10"/>
      <c r="AK59" s="10">
        <v>12096.372679333064</v>
      </c>
      <c r="AL59" s="10"/>
      <c r="AM59" s="10"/>
      <c r="AN59" s="10"/>
      <c r="AO59" s="10">
        <v>7455.9369034621595</v>
      </c>
      <c r="AP59" s="10">
        <v>6252</v>
      </c>
      <c r="AQ59" s="10"/>
      <c r="AR59" s="10"/>
      <c r="AS59" s="10">
        <v>9100.5933167121293</v>
      </c>
      <c r="AT59" s="10">
        <v>1611</v>
      </c>
      <c r="AU59" s="10"/>
      <c r="AV59" s="10"/>
      <c r="AW59" s="10">
        <v>13715.812576109853</v>
      </c>
      <c r="AX59" s="10">
        <v>6508</v>
      </c>
      <c r="AY59" s="1047">
        <v>0</v>
      </c>
      <c r="AZ59" s="902">
        <v>0</v>
      </c>
      <c r="BA59" s="1047">
        <v>0</v>
      </c>
      <c r="BB59" s="902">
        <v>0</v>
      </c>
      <c r="BC59" s="902">
        <v>0</v>
      </c>
      <c r="BD59" s="902">
        <v>0</v>
      </c>
      <c r="BE59" s="902">
        <v>0</v>
      </c>
      <c r="BF59" s="902">
        <v>0</v>
      </c>
      <c r="BG59" s="902">
        <v>0</v>
      </c>
      <c r="BH59" s="902">
        <v>0</v>
      </c>
      <c r="BI59" s="902">
        <v>0</v>
      </c>
      <c r="BJ59" s="902">
        <v>0</v>
      </c>
      <c r="BK59" s="902"/>
      <c r="BL59" s="902"/>
      <c r="BM59" s="902"/>
      <c r="BN59" s="902"/>
      <c r="BO59" s="902"/>
      <c r="BP59" s="902"/>
      <c r="BQ59" s="902"/>
      <c r="BR59" s="902"/>
      <c r="BS59" s="902"/>
      <c r="BT59" s="902"/>
      <c r="BU59" s="902"/>
      <c r="BV59" s="902"/>
      <c r="BW59" s="1047">
        <v>0</v>
      </c>
      <c r="BX59" s="1047"/>
      <c r="BY59" s="1047"/>
      <c r="BZ59" s="1047"/>
      <c r="CA59" s="1047"/>
      <c r="CB59" s="1047">
        <v>0</v>
      </c>
      <c r="CC59" s="10"/>
      <c r="CD59" s="10"/>
      <c r="CE59" s="10"/>
      <c r="CF59" s="10"/>
    </row>
    <row r="60" spans="1:84" s="10" customFormat="1" x14ac:dyDescent="0.3">
      <c r="B60" s="7" t="s">
        <v>401</v>
      </c>
      <c r="C60" s="9"/>
      <c r="D60" s="9"/>
      <c r="E60" s="9">
        <v>87221.691869928036</v>
      </c>
      <c r="F60" s="9">
        <v>81042.55</v>
      </c>
      <c r="G60" s="9"/>
      <c r="H60" s="9"/>
      <c r="I60" s="9">
        <v>82345.183634102286</v>
      </c>
      <c r="J60" s="9">
        <v>87498.893299999967</v>
      </c>
      <c r="K60" s="9"/>
      <c r="L60" s="9"/>
      <c r="M60" s="9">
        <v>88022.620631974831</v>
      </c>
      <c r="N60" s="9">
        <v>62575.450000000004</v>
      </c>
      <c r="O60" s="9"/>
      <c r="P60" s="9"/>
      <c r="Q60" s="9">
        <v>99033.687335377836</v>
      </c>
      <c r="R60" s="9">
        <v>104278.13000000002</v>
      </c>
      <c r="S60" s="9"/>
      <c r="T60" s="9"/>
      <c r="U60" s="9">
        <v>88956.568614306903</v>
      </c>
      <c r="V60" s="9">
        <v>43146.55</v>
      </c>
      <c r="W60" s="9"/>
      <c r="X60" s="9"/>
      <c r="Y60" s="9">
        <v>92046.109008381085</v>
      </c>
      <c r="Z60" s="9">
        <v>56766.01999999999</v>
      </c>
      <c r="AA60" s="9"/>
      <c r="AB60" s="9"/>
      <c r="AC60" s="9">
        <v>101228.48155986698</v>
      </c>
      <c r="AD60" s="9">
        <v>59345.191400000003</v>
      </c>
      <c r="AE60" s="9"/>
      <c r="AF60" s="9"/>
      <c r="AG60" s="9">
        <v>91011.659257340943</v>
      </c>
      <c r="AH60" s="9">
        <v>65400.512758000004</v>
      </c>
      <c r="AI60" s="9"/>
      <c r="AJ60" s="9"/>
      <c r="AK60" s="9">
        <v>95242.186833985848</v>
      </c>
      <c r="AL60" s="9">
        <v>81376.320000000007</v>
      </c>
      <c r="AM60" s="9"/>
      <c r="AN60" s="9"/>
      <c r="AO60" s="9">
        <v>97682.638867690723</v>
      </c>
      <c r="AP60" s="9">
        <v>59102.819999999992</v>
      </c>
      <c r="AQ60" s="9"/>
      <c r="AR60" s="9"/>
      <c r="AS60" s="9">
        <v>92217.70463247216</v>
      </c>
      <c r="AT60" s="9">
        <v>118353.28999999995</v>
      </c>
      <c r="AU60" s="9"/>
      <c r="AV60" s="9"/>
      <c r="AW60" s="899">
        <v>96818.514682161302</v>
      </c>
      <c r="AX60" s="9">
        <v>62297.039999999972</v>
      </c>
      <c r="AY60" s="1274">
        <v>111804.98</v>
      </c>
      <c r="AZ60" s="900">
        <v>132012.37</v>
      </c>
      <c r="BA60" s="900">
        <v>144752.30000000002</v>
      </c>
      <c r="BB60" s="900">
        <v>147690.51000000004</v>
      </c>
      <c r="BC60" s="900">
        <v>153370.39000000001</v>
      </c>
      <c r="BD60" s="900">
        <v>172238.65000000002</v>
      </c>
      <c r="BE60" s="900">
        <v>125770.30000000002</v>
      </c>
      <c r="BF60" s="900">
        <v>169884.26</v>
      </c>
      <c r="BG60" s="900">
        <v>150771.29000000004</v>
      </c>
      <c r="BH60" s="900">
        <v>146926.92000000004</v>
      </c>
      <c r="BI60" s="900">
        <v>121551.19999999998</v>
      </c>
      <c r="BJ60" s="900">
        <v>149953.78999999998</v>
      </c>
      <c r="BK60" s="900">
        <f t="shared" ref="BK60:CA60" si="7">BK58+BK59</f>
        <v>124680.14000000001</v>
      </c>
      <c r="BL60" s="900">
        <f t="shared" si="7"/>
        <v>90707.94</v>
      </c>
      <c r="BM60" s="900">
        <f>BM58+BM59</f>
        <v>146526.79999999999</v>
      </c>
      <c r="BN60" s="900">
        <f>BN58+BN59</f>
        <v>135145.62</v>
      </c>
      <c r="BO60" s="900">
        <f t="shared" ref="BO60:BV60" si="8">BO58+BO59</f>
        <v>277652.29000000004</v>
      </c>
      <c r="BP60" s="900">
        <f t="shared" si="8"/>
        <v>123587.45000000003</v>
      </c>
      <c r="BQ60" s="900">
        <f t="shared" si="8"/>
        <v>206350.47</v>
      </c>
      <c r="BR60" s="900">
        <f t="shared" si="8"/>
        <v>589887.20000000007</v>
      </c>
      <c r="BS60" s="900">
        <f t="shared" si="8"/>
        <v>486492.82</v>
      </c>
      <c r="BT60" s="900">
        <f t="shared" si="8"/>
        <v>772157.84000000008</v>
      </c>
      <c r="BU60" s="900">
        <f t="shared" si="8"/>
        <v>0</v>
      </c>
      <c r="BV60" s="900">
        <f t="shared" si="8"/>
        <v>0</v>
      </c>
      <c r="BW60" s="900">
        <f t="shared" si="7"/>
        <v>2953188.5700000003</v>
      </c>
      <c r="BX60" s="900">
        <f t="shared" si="7"/>
        <v>27990368</v>
      </c>
      <c r="BY60" s="900">
        <f t="shared" si="7"/>
        <v>21595427</v>
      </c>
      <c r="BZ60" s="900">
        <f t="shared" si="7"/>
        <v>0</v>
      </c>
      <c r="CA60" s="900">
        <f t="shared" si="7"/>
        <v>23796280.130000003</v>
      </c>
      <c r="CB60" s="900">
        <f>CB58+CB59</f>
        <v>536260.15999999992</v>
      </c>
      <c r="CC60" s="899"/>
      <c r="CD60" s="715"/>
      <c r="CE60"/>
      <c r="CF60"/>
    </row>
    <row r="61" spans="1:84" x14ac:dyDescent="0.3">
      <c r="B61" s="10" t="s">
        <v>401</v>
      </c>
      <c r="C61" s="10"/>
      <c r="D61" s="10"/>
      <c r="E61" s="10">
        <v>93859.334473008072</v>
      </c>
      <c r="F61" s="10">
        <v>93859.334473008101</v>
      </c>
      <c r="G61" s="10"/>
      <c r="H61" s="10"/>
      <c r="I61" s="10">
        <v>78202.189049310822</v>
      </c>
      <c r="J61" s="10">
        <v>78202.189049310822</v>
      </c>
      <c r="K61" s="10"/>
      <c r="L61" s="10"/>
      <c r="M61" s="10"/>
      <c r="N61" s="10"/>
      <c r="O61" s="10"/>
      <c r="P61" s="10"/>
      <c r="Q61" s="10">
        <v>94329.245954615937</v>
      </c>
      <c r="R61" s="10">
        <v>94329.245954615893</v>
      </c>
      <c r="S61" s="10"/>
      <c r="T61" s="10"/>
      <c r="U61" s="10">
        <v>89018.33142315541</v>
      </c>
      <c r="V61" s="10">
        <v>89018.33142315541</v>
      </c>
      <c r="W61" s="10"/>
      <c r="X61" s="10"/>
      <c r="Y61" s="10">
        <v>88834.989885335774</v>
      </c>
      <c r="Z61" s="10">
        <v>88834.989885335774</v>
      </c>
      <c r="AA61" s="10"/>
      <c r="AB61" s="10"/>
      <c r="AC61" s="10">
        <v>92519.408718342427</v>
      </c>
      <c r="AD61" s="10">
        <v>92519.408718342427</v>
      </c>
      <c r="AE61" s="10"/>
      <c r="AF61" s="10"/>
      <c r="AG61" s="10">
        <v>87940.849527677667</v>
      </c>
      <c r="AH61" s="10">
        <v>87940.849527677667</v>
      </c>
      <c r="AI61" s="10"/>
      <c r="AJ61" s="10"/>
      <c r="AK61" s="10">
        <v>86912.02046098547</v>
      </c>
      <c r="AL61" s="10">
        <v>86912.02046098547</v>
      </c>
      <c r="AM61" s="10"/>
      <c r="AN61" s="10"/>
      <c r="AO61" s="10">
        <v>95355.909730131199</v>
      </c>
      <c r="AP61" s="10">
        <v>95355.909730131199</v>
      </c>
      <c r="AQ61" s="10"/>
      <c r="AR61" s="10"/>
      <c r="AS61" s="10">
        <v>92236.1672726283</v>
      </c>
      <c r="AT61" s="10">
        <v>92236.1672726283</v>
      </c>
      <c r="AU61" s="10"/>
      <c r="AV61" s="10"/>
      <c r="AW61" s="10">
        <v>135358.86541288279</v>
      </c>
      <c r="AX61" s="10">
        <v>135358.86541288279</v>
      </c>
      <c r="AY61" s="1047"/>
      <c r="AZ61" s="1047"/>
      <c r="BA61" s="1047"/>
      <c r="BB61" s="1047"/>
      <c r="BC61" s="1047"/>
      <c r="BD61" s="1047"/>
      <c r="BE61" s="1047"/>
      <c r="BF61" s="1047"/>
      <c r="BG61" s="1047"/>
      <c r="BH61" s="1047"/>
      <c r="BI61" s="1047"/>
      <c r="BJ61" s="1047"/>
      <c r="BK61" s="1047"/>
      <c r="BL61" s="1047"/>
      <c r="BM61" s="1047"/>
      <c r="BN61" s="1047"/>
      <c r="BO61" s="1047"/>
      <c r="BP61" s="1047"/>
      <c r="BQ61" s="1047"/>
      <c r="BR61" s="1047"/>
      <c r="BS61" s="1047"/>
      <c r="BT61" s="1047"/>
      <c r="BU61" s="1047"/>
      <c r="BV61" s="1047"/>
      <c r="BW61" s="1047"/>
      <c r="BX61" s="1047"/>
      <c r="BY61" s="1047"/>
      <c r="BZ61" s="10"/>
      <c r="CA61" s="10"/>
      <c r="CB61" s="10"/>
      <c r="CC61" s="10"/>
      <c r="CD61" s="10"/>
      <c r="CE61" s="10"/>
      <c r="CF61" s="10"/>
    </row>
    <row r="62" spans="1:84" x14ac:dyDescent="0.3">
      <c r="B62" t="s">
        <v>60</v>
      </c>
      <c r="K62">
        <v>-1125</v>
      </c>
      <c r="AF62">
        <v>178970</v>
      </c>
      <c r="AJ62">
        <v>13757</v>
      </c>
      <c r="AU62">
        <v>208</v>
      </c>
      <c r="AY62" s="314"/>
      <c r="AZ62" s="314"/>
      <c r="BA62" s="314"/>
      <c r="BB62" s="314"/>
      <c r="BC62" s="314"/>
      <c r="BD62" s="314"/>
      <c r="BE62" s="314"/>
      <c r="BF62" s="314"/>
      <c r="BG62" s="314"/>
      <c r="BH62" s="314"/>
      <c r="BI62" s="314"/>
      <c r="BJ62" s="314"/>
      <c r="BK62" s="314"/>
      <c r="BL62" s="314"/>
      <c r="BM62" s="314"/>
      <c r="BN62" s="314"/>
      <c r="BO62" s="314"/>
      <c r="BP62" s="314"/>
      <c r="BQ62" s="314"/>
      <c r="BR62" s="314"/>
      <c r="BS62" s="314"/>
      <c r="BT62" s="314"/>
      <c r="BU62" s="314"/>
      <c r="BV62" s="314"/>
      <c r="BW62" s="314"/>
      <c r="BX62" s="314">
        <v>-917</v>
      </c>
      <c r="BY62" s="314">
        <v>192727</v>
      </c>
    </row>
    <row r="63" spans="1:84" x14ac:dyDescent="0.3">
      <c r="B63" t="s">
        <v>61</v>
      </c>
      <c r="C63">
        <v>990</v>
      </c>
      <c r="H63">
        <v>19</v>
      </c>
      <c r="L63">
        <v>18819</v>
      </c>
      <c r="N63">
        <v>5620.67</v>
      </c>
      <c r="O63">
        <v>6532</v>
      </c>
      <c r="R63">
        <v>10749.47</v>
      </c>
      <c r="S63">
        <v>-827</v>
      </c>
      <c r="W63">
        <v>2815</v>
      </c>
      <c r="X63">
        <v>4570</v>
      </c>
      <c r="AI63">
        <v>2840</v>
      </c>
      <c r="AJ63">
        <v>4450</v>
      </c>
      <c r="AN63">
        <v>-816</v>
      </c>
      <c r="AU63">
        <v>1436</v>
      </c>
      <c r="AY63" s="314"/>
      <c r="AZ63" s="314"/>
      <c r="BA63" s="314"/>
      <c r="BB63" s="314"/>
      <c r="BC63" s="314"/>
      <c r="BD63" s="314"/>
      <c r="BE63" s="314"/>
      <c r="BF63" s="314"/>
      <c r="BG63" s="314"/>
      <c r="BH63" s="314"/>
      <c r="BI63" s="314"/>
      <c r="BJ63" s="314"/>
      <c r="BK63" s="314"/>
      <c r="BL63" s="314"/>
      <c r="BM63" s="314"/>
      <c r="BN63" s="314"/>
      <c r="BO63" s="314"/>
      <c r="BP63" s="314"/>
      <c r="BQ63" s="314"/>
      <c r="BR63" s="314"/>
      <c r="BS63" s="314"/>
      <c r="BT63" s="314"/>
      <c r="BU63" s="314"/>
      <c r="BV63" s="314"/>
      <c r="BW63" s="314"/>
      <c r="BX63" s="314">
        <v>13786</v>
      </c>
      <c r="BY63" s="314">
        <v>27042</v>
      </c>
    </row>
    <row r="64" spans="1:84" x14ac:dyDescent="0.3">
      <c r="B64" t="s">
        <v>62</v>
      </c>
      <c r="F64" s="27"/>
      <c r="V64">
        <v>-99637.01</v>
      </c>
      <c r="AY64" s="314"/>
      <c r="AZ64" s="314"/>
      <c r="BA64" s="314"/>
      <c r="BB64" s="314"/>
      <c r="BC64" s="314"/>
      <c r="BD64" s="314"/>
      <c r="BE64" s="314"/>
      <c r="BF64" s="314"/>
      <c r="BG64" s="314"/>
      <c r="BH64" s="314"/>
      <c r="BI64" s="314"/>
      <c r="BJ64" s="314"/>
      <c r="BK64" s="314"/>
      <c r="BL64" s="314"/>
      <c r="BM64" s="314"/>
      <c r="BN64" s="314"/>
      <c r="BO64" s="314"/>
      <c r="BP64" s="314"/>
      <c r="BQ64" s="314"/>
      <c r="BR64" s="314"/>
      <c r="BS64" s="314"/>
      <c r="BT64" s="314"/>
      <c r="BU64" s="314"/>
      <c r="BV64" s="314"/>
      <c r="BW64" s="314"/>
      <c r="BX64" s="314"/>
      <c r="BY64" s="314"/>
    </row>
  </sheetData>
  <mergeCells count="1">
    <mergeCell ref="B2:B4"/>
  </mergeCells>
  <pageMargins left="0.7" right="0.7" top="0.75" bottom="0.75" header="0.3" footer="0.3"/>
  <pageSetup orientation="portrait" horizontalDpi="1200" verticalDpi="120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2D56B-6963-41E6-9C08-B5765E525F7D}">
  <sheetPr codeName="Sheet12"/>
  <dimension ref="A1:AD1019"/>
  <sheetViews>
    <sheetView showGridLines="0" topLeftCell="C1" zoomScale="70" zoomScaleNormal="70" workbookViewId="0">
      <pane xSplit="5" ySplit="1" topLeftCell="H11" activePane="bottomRight" state="frozen"/>
      <selection activeCell="C1" sqref="C1"/>
      <selection pane="topRight" activeCell="H1" sqref="H1"/>
      <selection pane="bottomLeft" activeCell="C2" sqref="C2"/>
      <selection pane="bottomRight" activeCell="C3" sqref="C3"/>
    </sheetView>
  </sheetViews>
  <sheetFormatPr defaultColWidth="16.44140625" defaultRowHeight="15.6" outlineLevelRow="1" x14ac:dyDescent="0.3"/>
  <cols>
    <col min="1" max="1" width="1.88671875" style="31" customWidth="1"/>
    <col min="2" max="2" width="3.109375" style="31" customWidth="1"/>
    <col min="3" max="3" width="32.109375" style="31" customWidth="1"/>
    <col min="4" max="4" width="6.109375" style="31" customWidth="1"/>
    <col min="5" max="5" width="21.109375" style="31" customWidth="1"/>
    <col min="6" max="6" width="12.88671875" style="31" customWidth="1"/>
    <col min="7" max="7" width="19.109375" style="31" hidden="1" customWidth="1"/>
    <col min="8" max="8" width="18.44140625" style="204" customWidth="1"/>
    <col min="9" max="9" width="17.44140625" style="31" customWidth="1"/>
    <col min="10" max="10" width="19.44140625" style="596" customWidth="1"/>
    <col min="11" max="17" width="16.88671875" style="31" customWidth="1"/>
    <col min="18" max="18" width="16.88671875" style="412" customWidth="1"/>
    <col min="19" max="19" width="16.44140625" style="31"/>
    <col min="20" max="20" width="16.44140625" style="34"/>
    <col min="21" max="16384" width="16.44140625" style="31"/>
  </cols>
  <sheetData>
    <row r="1" spans="3:20" outlineLevel="1" x14ac:dyDescent="0.3">
      <c r="F1" s="32"/>
      <c r="G1" s="33" t="s">
        <v>144</v>
      </c>
      <c r="H1" s="199" t="s">
        <v>145</v>
      </c>
      <c r="I1" s="33" t="s">
        <v>146</v>
      </c>
      <c r="J1" s="33" t="s">
        <v>147</v>
      </c>
      <c r="K1" s="33" t="s">
        <v>148</v>
      </c>
      <c r="L1" s="33" t="s">
        <v>18</v>
      </c>
      <c r="M1" s="33" t="s">
        <v>149</v>
      </c>
      <c r="N1" s="33" t="s">
        <v>150</v>
      </c>
      <c r="O1" s="33" t="s">
        <v>151</v>
      </c>
      <c r="P1" s="33" t="s">
        <v>152</v>
      </c>
      <c r="Q1" s="33" t="s">
        <v>153</v>
      </c>
      <c r="R1" s="340" t="s">
        <v>154</v>
      </c>
      <c r="S1" s="33" t="s">
        <v>144</v>
      </c>
    </row>
    <row r="2" spans="3:20" outlineLevel="1" x14ac:dyDescent="0.3">
      <c r="C2" s="31" t="s">
        <v>155</v>
      </c>
      <c r="F2" s="32" t="s">
        <v>156</v>
      </c>
      <c r="G2" s="35">
        <f t="shared" ref="G2:R2" si="0">G120/G139</f>
        <v>1.9435781557883265</v>
      </c>
      <c r="H2" s="200">
        <f t="shared" si="0"/>
        <v>1.8883815542649736</v>
      </c>
      <c r="I2" s="35">
        <f t="shared" si="0"/>
        <v>1.8921990874473202</v>
      </c>
      <c r="J2" s="35">
        <f t="shared" si="0"/>
        <v>1.3726644769798568</v>
      </c>
      <c r="K2" s="35">
        <f t="shared" si="0"/>
        <v>1.4604301826474106</v>
      </c>
      <c r="L2" s="35">
        <f t="shared" si="0"/>
        <v>1.6959170271577382</v>
      </c>
      <c r="M2" s="35">
        <f t="shared" si="0"/>
        <v>1.6709910527057887</v>
      </c>
      <c r="N2" s="35">
        <f t="shared" si="0"/>
        <v>1.4727934689318141</v>
      </c>
      <c r="O2" s="35">
        <f t="shared" si="0"/>
        <v>1.5509608521202753</v>
      </c>
      <c r="P2" s="35">
        <f t="shared" si="0"/>
        <v>1.5871277792058629</v>
      </c>
      <c r="Q2" s="35">
        <f t="shared" si="0"/>
        <v>1.4796888822829255</v>
      </c>
      <c r="R2" s="407">
        <f t="shared" si="0"/>
        <v>1.4543835264929035</v>
      </c>
      <c r="S2" s="35">
        <f>S120/S139</f>
        <v>1.5205293373601991</v>
      </c>
      <c r="T2" s="36"/>
    </row>
    <row r="3" spans="3:20" outlineLevel="1" x14ac:dyDescent="0.3">
      <c r="C3" s="31" t="s">
        <v>157</v>
      </c>
      <c r="F3" s="32" t="s">
        <v>158</v>
      </c>
      <c r="G3" s="35">
        <f t="shared" ref="G3:R3" si="1">G147/G155</f>
        <v>1.3738212830553447</v>
      </c>
      <c r="H3" s="200">
        <f t="shared" si="1"/>
        <v>1.3292498872487113</v>
      </c>
      <c r="I3" s="35">
        <f t="shared" si="1"/>
        <v>1.2102699744588981</v>
      </c>
      <c r="J3" s="35">
        <f t="shared" si="1"/>
        <v>2.1390829531201137</v>
      </c>
      <c r="K3" s="35">
        <f t="shared" si="1"/>
        <v>2.5269647484933819</v>
      </c>
      <c r="L3" s="35">
        <f t="shared" si="1"/>
        <v>1.8915844684140695</v>
      </c>
      <c r="M3" s="35">
        <f t="shared" si="1"/>
        <v>1.9624146736823982</v>
      </c>
      <c r="N3" s="35">
        <f t="shared" si="1"/>
        <v>2.595578864814553</v>
      </c>
      <c r="O3" s="35">
        <f t="shared" si="1"/>
        <v>2.5599271826163505</v>
      </c>
      <c r="P3" s="35">
        <f t="shared" si="1"/>
        <v>2.4726193350123626</v>
      </c>
      <c r="Q3" s="35">
        <f t="shared" si="1"/>
        <v>2.8482650319137797</v>
      </c>
      <c r="R3" s="407">
        <f t="shared" si="1"/>
        <v>3.0091566296163821</v>
      </c>
      <c r="S3" s="35">
        <f>S147/S155</f>
        <v>1.8042365124956932</v>
      </c>
      <c r="T3" s="36"/>
    </row>
    <row r="4" spans="3:20" outlineLevel="1" x14ac:dyDescent="0.3">
      <c r="F4" s="37" t="s">
        <v>159</v>
      </c>
      <c r="G4" s="38">
        <f>(G146+G131)/1290965</f>
        <v>0.69119897131215791</v>
      </c>
      <c r="H4" s="201">
        <f>(J4-G4)/3*1+G4</f>
        <v>1.0892268836572274</v>
      </c>
      <c r="I4" s="408">
        <f>(J4-G4)/3*2+G4</f>
        <v>1.487254796002297</v>
      </c>
      <c r="J4" s="408">
        <f>(J146+J131)/(854610+SUM(H86:J86))</f>
        <v>1.8852827083473667</v>
      </c>
      <c r="K4" s="408">
        <f>(M4-J4)/3*1+J4</f>
        <v>2.3723938394906998</v>
      </c>
      <c r="L4" s="408">
        <f>(M4-J4)/3*2+J4</f>
        <v>2.859504970634033</v>
      </c>
      <c r="M4" s="408">
        <f>(M146+M131)/(330290+SUM(H86:M86))</f>
        <v>3.3466161017773661</v>
      </c>
      <c r="N4" s="408">
        <f>(P4-M4)/3*1+M4</f>
        <v>3.3007402825364149</v>
      </c>
      <c r="O4" s="408">
        <f>(P4-M4)/3*2+M4</f>
        <v>3.2548644632954633</v>
      </c>
      <c r="P4" s="408">
        <f>(P146+P131)/(317295+SUM($H$86:P86))</f>
        <v>3.2089886440545121</v>
      </c>
      <c r="Q4" s="408">
        <f>(S4-P4)/3*1+P4</f>
        <v>2.6429512750416042</v>
      </c>
      <c r="R4" s="409">
        <f>(R146+R131-R143)/(SUM(G86:R86))</f>
        <v>2.4425085223062917</v>
      </c>
      <c r="S4" s="408">
        <f>(S146+S131)/(SUM(H86:S86))</f>
        <v>1.5108765370157882</v>
      </c>
    </row>
    <row r="5" spans="3:20" outlineLevel="1" x14ac:dyDescent="0.3">
      <c r="F5" s="32" t="s">
        <v>160</v>
      </c>
      <c r="G5" s="39">
        <f>G54/G34</f>
        <v>0.3200793864413235</v>
      </c>
      <c r="H5" s="410">
        <f t="shared" ref="H5:S5" si="2">H54/H34</f>
        <v>0.35307659158746724</v>
      </c>
      <c r="I5" s="39">
        <f t="shared" si="2"/>
        <v>0.25080627158944474</v>
      </c>
      <c r="J5" s="39">
        <f t="shared" si="2"/>
        <v>0.26400883687604493</v>
      </c>
      <c r="K5" s="321">
        <f t="shared" si="2"/>
        <v>0.20651887611392306</v>
      </c>
      <c r="L5" s="321">
        <f t="shared" si="2"/>
        <v>0.40048082608901447</v>
      </c>
      <c r="M5" s="321">
        <f t="shared" si="2"/>
        <v>0.272981435351621</v>
      </c>
      <c r="N5" s="321">
        <f>N54/N34</f>
        <v>0.31880489521540084</v>
      </c>
      <c r="O5" s="321">
        <f t="shared" si="2"/>
        <v>0.26075614029878702</v>
      </c>
      <c r="P5" s="39">
        <f t="shared" si="2"/>
        <v>0.26187902568373705</v>
      </c>
      <c r="Q5" s="39">
        <f t="shared" si="2"/>
        <v>0.23761317690748254</v>
      </c>
      <c r="R5" s="411">
        <f t="shared" si="2"/>
        <v>0.26245601196955753</v>
      </c>
      <c r="S5" s="39">
        <f t="shared" si="2"/>
        <v>0.32889032814086816</v>
      </c>
    </row>
    <row r="6" spans="3:20" outlineLevel="1" x14ac:dyDescent="0.3">
      <c r="F6" s="32" t="s">
        <v>161</v>
      </c>
      <c r="G6" s="39">
        <f t="shared" ref="G6:S6" si="3">G63/G34</f>
        <v>0.13026100074577721</v>
      </c>
      <c r="H6" s="410">
        <f t="shared" si="3"/>
        <v>4.0195524092116505E-2</v>
      </c>
      <c r="I6" s="39">
        <f t="shared" si="3"/>
        <v>4.2164835904093402E-2</v>
      </c>
      <c r="J6" s="39">
        <f t="shared" si="3"/>
        <v>6.2849295438261281E-3</v>
      </c>
      <c r="K6" s="321">
        <f t="shared" si="3"/>
        <v>-0.19268405014016546</v>
      </c>
      <c r="L6" s="321">
        <f t="shared" si="3"/>
        <v>0.2341941485170366</v>
      </c>
      <c r="M6" s="321">
        <f t="shared" si="3"/>
        <v>8.7703132593844827E-3</v>
      </c>
      <c r="N6" s="321">
        <f t="shared" si="3"/>
        <v>4.1770934965525149E-2</v>
      </c>
      <c r="O6" s="321">
        <f t="shared" si="3"/>
        <v>-0.13811778592648041</v>
      </c>
      <c r="P6" s="39">
        <f t="shared" si="3"/>
        <v>3.0055645877520933E-2</v>
      </c>
      <c r="Q6" s="39">
        <f t="shared" si="3"/>
        <v>4.2826092785591401E-2</v>
      </c>
      <c r="R6" s="411">
        <f t="shared" si="3"/>
        <v>-7.9861626213074313E-2</v>
      </c>
      <c r="S6" s="39">
        <f t="shared" si="3"/>
        <v>0.14644964915780681</v>
      </c>
    </row>
    <row r="7" spans="3:20" outlineLevel="1" x14ac:dyDescent="0.3">
      <c r="F7" s="32" t="s">
        <v>162</v>
      </c>
      <c r="G7" s="39">
        <f t="shared" ref="G7:S7" si="4">G69/G34</f>
        <v>0.13050941583622264</v>
      </c>
      <c r="H7" s="410">
        <f t="shared" si="4"/>
        <v>4.1803577412569091E-2</v>
      </c>
      <c r="I7" s="39">
        <f t="shared" si="4"/>
        <v>4.2142275214900805E-2</v>
      </c>
      <c r="J7" s="39">
        <f t="shared" si="4"/>
        <v>-1.6188201576307619E-2</v>
      </c>
      <c r="K7" s="321">
        <f t="shared" si="4"/>
        <v>-0.19268405014016546</v>
      </c>
      <c r="L7" s="321">
        <f t="shared" si="4"/>
        <v>0.2341941485170366</v>
      </c>
      <c r="M7" s="321">
        <f t="shared" si="4"/>
        <v>3.2886800531906546E-3</v>
      </c>
      <c r="N7" s="321">
        <f t="shared" si="4"/>
        <v>4.1770934965525149E-2</v>
      </c>
      <c r="O7" s="321">
        <f t="shared" si="4"/>
        <v>-0.13811778592648041</v>
      </c>
      <c r="P7" s="39">
        <f t="shared" si="4"/>
        <v>2.4507664666949935E-2</v>
      </c>
      <c r="Q7" s="39">
        <f t="shared" si="4"/>
        <v>4.3639080395381731E-2</v>
      </c>
      <c r="R7" s="411">
        <f t="shared" si="4"/>
        <v>-7.9861626213074313E-2</v>
      </c>
      <c r="S7" s="39">
        <f t="shared" si="4"/>
        <v>0.55706153574698514</v>
      </c>
    </row>
    <row r="8" spans="3:20" outlineLevel="1" x14ac:dyDescent="0.3">
      <c r="F8" s="32"/>
      <c r="G8" s="39"/>
      <c r="J8" s="31"/>
    </row>
    <row r="9" spans="3:20" outlineLevel="1" x14ac:dyDescent="0.3">
      <c r="F9" s="32" t="s">
        <v>163</v>
      </c>
      <c r="G9" s="39">
        <f>1005989/G155</f>
        <v>0.46314976081345088</v>
      </c>
      <c r="H9" s="410">
        <f t="shared" ref="H9:S9" si="5">H69/H155*12</f>
        <v>0.16145362930792784</v>
      </c>
      <c r="I9" s="39">
        <f t="shared" si="5"/>
        <v>0.20727865099109888</v>
      </c>
      <c r="J9" s="39">
        <f t="shared" si="5"/>
        <v>-7.6339230908716166E-2</v>
      </c>
      <c r="K9" s="321">
        <f t="shared" si="5"/>
        <v>-0.55568940732313998</v>
      </c>
      <c r="L9" s="321">
        <f t="shared" si="5"/>
        <v>1.3650768994443441</v>
      </c>
      <c r="M9" s="321">
        <f t="shared" si="5"/>
        <v>1.4233201979435856E-2</v>
      </c>
      <c r="N9" s="321">
        <f t="shared" si="5"/>
        <v>0.20115264242463199</v>
      </c>
      <c r="O9" s="321">
        <f t="shared" si="5"/>
        <v>-0.82270652425394863</v>
      </c>
      <c r="P9" s="39">
        <f t="shared" si="5"/>
        <v>0.13335703680065122</v>
      </c>
      <c r="Q9" s="39">
        <f t="shared" si="5"/>
        <v>0.3194720690950052</v>
      </c>
      <c r="R9" s="411">
        <f t="shared" si="5"/>
        <v>-0.4243942015432407</v>
      </c>
      <c r="S9" s="39">
        <f t="shared" si="5"/>
        <v>3.6009999353433528</v>
      </c>
    </row>
    <row r="10" spans="3:20" outlineLevel="1" x14ac:dyDescent="0.3">
      <c r="F10" s="32" t="s">
        <v>164</v>
      </c>
      <c r="G10" s="40">
        <f t="shared" ref="G10:S10" si="6">G34/G111</f>
        <v>2.3718810422520082</v>
      </c>
      <c r="H10" s="413">
        <f t="shared" si="6"/>
        <v>1.0775058580190922</v>
      </c>
      <c r="I10" s="40">
        <f t="shared" si="6"/>
        <v>1.1638309886964682</v>
      </c>
      <c r="J10" s="40">
        <f t="shared" si="6"/>
        <v>0.65066601190841566</v>
      </c>
      <c r="K10" s="414">
        <f t="shared" si="6"/>
        <v>0.40377992873942697</v>
      </c>
      <c r="L10" s="414">
        <f t="shared" si="6"/>
        <v>1.1183294638700199</v>
      </c>
      <c r="M10" s="414">
        <f t="shared" si="6"/>
        <v>0.6975980406512976</v>
      </c>
      <c r="N10" s="414">
        <f t="shared" si="6"/>
        <v>0.60695213472877796</v>
      </c>
      <c r="O10" s="414">
        <f t="shared" si="6"/>
        <v>1.0326590996452931</v>
      </c>
      <c r="P10" s="40">
        <f t="shared" si="6"/>
        <v>0.68269286494263148</v>
      </c>
      <c r="Q10" s="40">
        <f t="shared" si="6"/>
        <v>0.83686275896453544</v>
      </c>
      <c r="R10" s="415">
        <f t="shared" si="6"/>
        <v>0.60875782443434534</v>
      </c>
      <c r="S10" s="40">
        <f t="shared" si="6"/>
        <v>1.183827581795778</v>
      </c>
    </row>
    <row r="11" spans="3:20" outlineLevel="1" x14ac:dyDescent="0.3">
      <c r="F11" s="32" t="s">
        <v>165</v>
      </c>
      <c r="G11" s="40">
        <f t="shared" ref="G11:S11" si="7">G18/G10</f>
        <v>13.06979542724736</v>
      </c>
      <c r="H11" s="413">
        <f t="shared" si="7"/>
        <v>28.770145210153203</v>
      </c>
      <c r="I11" s="40">
        <f t="shared" si="7"/>
        <v>24.058476077665702</v>
      </c>
      <c r="J11" s="40">
        <f t="shared" si="7"/>
        <v>49.180377358490567</v>
      </c>
      <c r="K11" s="414">
        <f t="shared" si="7"/>
        <v>74.297898099239177</v>
      </c>
      <c r="L11" s="414">
        <f t="shared" si="7"/>
        <v>26.825726200742228</v>
      </c>
      <c r="M11" s="414">
        <f t="shared" si="7"/>
        <v>44.43819820803612</v>
      </c>
      <c r="N11" s="414">
        <f t="shared" si="7"/>
        <v>51.074867730472072</v>
      </c>
      <c r="O11" s="414">
        <f t="shared" si="7"/>
        <v>30.019587306835483</v>
      </c>
      <c r="P11" s="40">
        <f>P18/P10</f>
        <v>43.943626102670606</v>
      </c>
      <c r="Q11" s="40">
        <f t="shared" si="7"/>
        <v>37.043110913857404</v>
      </c>
      <c r="R11" s="415">
        <f t="shared" si="7"/>
        <v>49.28068074997779</v>
      </c>
      <c r="S11" s="40">
        <f t="shared" si="7"/>
        <v>26.186245764755132</v>
      </c>
    </row>
    <row r="12" spans="3:20" outlineLevel="1" x14ac:dyDescent="0.3">
      <c r="F12" s="32" t="s">
        <v>166</v>
      </c>
      <c r="G12" s="40">
        <f t="shared" ref="G12:S12" si="8">G51/SUM(G115:G117,G119)</f>
        <v>0.95667856309820531</v>
      </c>
      <c r="H12" s="413">
        <f t="shared" si="8"/>
        <v>0.32160104604059125</v>
      </c>
      <c r="I12" s="40">
        <f t="shared" si="8"/>
        <v>0.55075076613666762</v>
      </c>
      <c r="J12" s="40">
        <f t="shared" si="8"/>
        <v>0.53276309931839894</v>
      </c>
      <c r="K12" s="414">
        <f t="shared" si="8"/>
        <v>0.29243023614822533</v>
      </c>
      <c r="L12" s="414">
        <f t="shared" si="8"/>
        <v>0.59100493152295408</v>
      </c>
      <c r="M12" s="414">
        <f t="shared" si="8"/>
        <v>0.50158424584075367</v>
      </c>
      <c r="N12" s="414">
        <f t="shared" si="8"/>
        <v>0.36765103927047682</v>
      </c>
      <c r="O12" s="414">
        <f t="shared" si="8"/>
        <v>0.45353564898495657</v>
      </c>
      <c r="P12" s="40">
        <f t="shared" si="8"/>
        <v>0.41350739034303274</v>
      </c>
      <c r="Q12" s="40">
        <f t="shared" si="8"/>
        <v>0.64726498413554878</v>
      </c>
      <c r="R12" s="415">
        <f t="shared" si="8"/>
        <v>0.38035518187535944</v>
      </c>
      <c r="S12" s="40">
        <f t="shared" si="8"/>
        <v>0.65613758681512591</v>
      </c>
    </row>
    <row r="13" spans="3:20" outlineLevel="1" x14ac:dyDescent="0.3">
      <c r="F13" s="32" t="s">
        <v>167</v>
      </c>
      <c r="G13" s="41">
        <f t="shared" ref="G13:S13" si="9">G18/G12</f>
        <v>32.403778234150501</v>
      </c>
      <c r="H13" s="413">
        <f t="shared" si="9"/>
        <v>96.392721297577182</v>
      </c>
      <c r="I13" s="40">
        <f t="shared" si="9"/>
        <v>50.839693236217599</v>
      </c>
      <c r="J13" s="40">
        <f t="shared" si="9"/>
        <v>60.06421998997272</v>
      </c>
      <c r="K13" s="414">
        <f t="shared" si="9"/>
        <v>102.5885708507713</v>
      </c>
      <c r="L13" s="414">
        <f t="shared" si="9"/>
        <v>50.760997751225752</v>
      </c>
      <c r="M13" s="414">
        <f t="shared" si="9"/>
        <v>61.804173988833945</v>
      </c>
      <c r="N13" s="414">
        <f t="shared" si="9"/>
        <v>84.319087092784315</v>
      </c>
      <c r="O13" s="414">
        <f t="shared" si="9"/>
        <v>68.351848568861328</v>
      </c>
      <c r="P13" s="40">
        <f t="shared" si="9"/>
        <v>72.550093905487259</v>
      </c>
      <c r="Q13" s="40">
        <f t="shared" si="9"/>
        <v>47.893831367074306</v>
      </c>
      <c r="R13" s="415">
        <f t="shared" si="9"/>
        <v>78.873646080181061</v>
      </c>
      <c r="S13" s="40">
        <f t="shared" si="9"/>
        <v>47.246188334482042</v>
      </c>
    </row>
    <row r="14" spans="3:20" outlineLevel="1" x14ac:dyDescent="0.3">
      <c r="D14" s="32"/>
      <c r="F14" s="32" t="s">
        <v>168</v>
      </c>
      <c r="G14" s="40">
        <f t="shared" ref="G14:S14" si="10">G51/G133</f>
        <v>1.4358613492617884</v>
      </c>
      <c r="H14" s="413">
        <f t="shared" si="10"/>
        <v>0.70441476296736283</v>
      </c>
      <c r="I14" s="40">
        <f t="shared" si="10"/>
        <v>1.6461257949865786</v>
      </c>
      <c r="J14" s="40">
        <f t="shared" si="10"/>
        <v>0.93306173489933897</v>
      </c>
      <c r="K14" s="414">
        <f t="shared" si="10"/>
        <v>0.49552043288706632</v>
      </c>
      <c r="L14" s="414">
        <f t="shared" si="10"/>
        <v>1.9053895368039815</v>
      </c>
      <c r="M14" s="414">
        <f t="shared" si="10"/>
        <v>1.4270621294669976</v>
      </c>
      <c r="N14" s="414">
        <f t="shared" si="10"/>
        <v>0.72468674357990692</v>
      </c>
      <c r="O14" s="414">
        <f t="shared" si="10"/>
        <v>1.2418274119964026</v>
      </c>
      <c r="P14" s="40">
        <f t="shared" si="10"/>
        <v>1.3271918012276995</v>
      </c>
      <c r="Q14" s="40">
        <f t="shared" si="10"/>
        <v>1.5912508429126768</v>
      </c>
      <c r="R14" s="415">
        <f t="shared" si="10"/>
        <v>0.87228012153678125</v>
      </c>
      <c r="S14" s="40">
        <f t="shared" si="10"/>
        <v>2.0985595264116306</v>
      </c>
    </row>
    <row r="15" spans="3:20" outlineLevel="1" x14ac:dyDescent="0.3">
      <c r="F15" s="32" t="s">
        <v>169</v>
      </c>
      <c r="G15" s="41">
        <f t="shared" ref="G15:S15" si="11">G18/G14</f>
        <v>21.58982830475788</v>
      </c>
      <c r="H15" s="413">
        <f t="shared" si="11"/>
        <v>44.008163414139439</v>
      </c>
      <c r="I15" s="40">
        <f t="shared" si="11"/>
        <v>17.009635645876198</v>
      </c>
      <c r="J15" s="40">
        <f t="shared" si="11"/>
        <v>34.295694275204887</v>
      </c>
      <c r="K15" s="414">
        <f t="shared" si="11"/>
        <v>60.542407555648218</v>
      </c>
      <c r="L15" s="414">
        <f t="shared" si="11"/>
        <v>15.744811977041037</v>
      </c>
      <c r="M15" s="414">
        <f t="shared" si="11"/>
        <v>21.722950500815536</v>
      </c>
      <c r="N15" s="414">
        <f t="shared" si="11"/>
        <v>42.77710372741462</v>
      </c>
      <c r="O15" s="414">
        <f t="shared" si="11"/>
        <v>24.963211232520131</v>
      </c>
      <c r="P15" s="40">
        <f t="shared" si="11"/>
        <v>22.604117937022316</v>
      </c>
      <c r="Q15" s="40">
        <f t="shared" si="11"/>
        <v>19.481529350367289</v>
      </c>
      <c r="R15" s="415">
        <f t="shared" si="11"/>
        <v>34.39262142893508</v>
      </c>
      <c r="S15" s="40">
        <f t="shared" si="11"/>
        <v>14.772037490405395</v>
      </c>
    </row>
    <row r="16" spans="3:20" outlineLevel="1" x14ac:dyDescent="0.3">
      <c r="F16" s="32" t="s">
        <v>170</v>
      </c>
      <c r="G16" s="39"/>
      <c r="J16" s="31"/>
    </row>
    <row r="17" spans="3:30" outlineLevel="1" x14ac:dyDescent="0.3">
      <c r="F17" s="32" t="s">
        <v>171</v>
      </c>
      <c r="G17" s="39"/>
      <c r="J17" s="31"/>
      <c r="R17" s="409"/>
    </row>
    <row r="18" spans="3:30" outlineLevel="1" x14ac:dyDescent="0.3">
      <c r="F18" s="32" t="s">
        <v>172</v>
      </c>
      <c r="G18" s="41">
        <f>_xlfn.DAYS(H20,G20)</f>
        <v>31</v>
      </c>
      <c r="H18" s="416">
        <f>_xlfn.DAYS(H20,G20)</f>
        <v>31</v>
      </c>
      <c r="I18" s="416">
        <f>_xlfn.DAYS(I20,H20)</f>
        <v>28</v>
      </c>
      <c r="J18" s="416">
        <f t="shared" ref="J18:S18" si="12">_xlfn.DAYS(J20,I20)</f>
        <v>32</v>
      </c>
      <c r="K18" s="346">
        <f t="shared" si="12"/>
        <v>30</v>
      </c>
      <c r="L18" s="346">
        <f t="shared" si="12"/>
        <v>30</v>
      </c>
      <c r="M18" s="346">
        <f t="shared" si="12"/>
        <v>31</v>
      </c>
      <c r="N18" s="346">
        <f t="shared" si="12"/>
        <v>31</v>
      </c>
      <c r="O18" s="346">
        <f t="shared" si="12"/>
        <v>31</v>
      </c>
      <c r="P18" s="41">
        <f t="shared" si="12"/>
        <v>30</v>
      </c>
      <c r="Q18" s="41">
        <f t="shared" si="12"/>
        <v>31</v>
      </c>
      <c r="R18" s="417">
        <f t="shared" si="12"/>
        <v>30</v>
      </c>
      <c r="S18" s="41">
        <f t="shared" si="12"/>
        <v>31</v>
      </c>
    </row>
    <row r="19" spans="3:30" ht="15.75" customHeight="1" x14ac:dyDescent="0.3">
      <c r="G19" s="33" t="s">
        <v>144</v>
      </c>
      <c r="H19" s="199" t="s">
        <v>145</v>
      </c>
      <c r="I19" s="33" t="s">
        <v>146</v>
      </c>
      <c r="J19" s="33" t="s">
        <v>147</v>
      </c>
      <c r="K19" s="33" t="s">
        <v>148</v>
      </c>
      <c r="L19" s="33" t="s">
        <v>18</v>
      </c>
      <c r="M19" s="33" t="s">
        <v>149</v>
      </c>
      <c r="N19" s="33" t="s">
        <v>150</v>
      </c>
      <c r="O19" s="33" t="s">
        <v>151</v>
      </c>
      <c r="P19" s="33" t="s">
        <v>152</v>
      </c>
      <c r="Q19" s="33" t="s">
        <v>153</v>
      </c>
      <c r="R19" s="340" t="s">
        <v>154</v>
      </c>
      <c r="S19" s="33" t="s">
        <v>144</v>
      </c>
    </row>
    <row r="20" spans="3:30" ht="15.75" customHeight="1" x14ac:dyDescent="0.3">
      <c r="C20" s="329"/>
      <c r="D20" s="329"/>
      <c r="E20" s="329"/>
      <c r="F20" s="418"/>
      <c r="G20" s="419">
        <v>43830</v>
      </c>
      <c r="H20" s="209">
        <f>DATE(YEAR(G20),MONTH(G20)+1,DAY(G20))</f>
        <v>43861</v>
      </c>
      <c r="I20" s="209">
        <v>43889</v>
      </c>
      <c r="J20" s="209">
        <v>43921</v>
      </c>
      <c r="K20" s="420">
        <v>43951</v>
      </c>
      <c r="L20" s="420">
        <v>43981</v>
      </c>
      <c r="M20" s="420">
        <f>DATE(YEAR(L20),MONTH(L20)+1,DAY(L20))</f>
        <v>44012</v>
      </c>
      <c r="N20" s="420">
        <v>44043</v>
      </c>
      <c r="O20" s="420">
        <f>DATE(YEAR(N20),MONTH(N20)+1,DAY(N20))</f>
        <v>44074</v>
      </c>
      <c r="P20" s="209">
        <v>44104</v>
      </c>
      <c r="Q20" s="209">
        <v>44135</v>
      </c>
      <c r="R20" s="421">
        <v>44165</v>
      </c>
      <c r="S20" s="209">
        <v>44196</v>
      </c>
      <c r="T20" s="45"/>
    </row>
    <row r="21" spans="3:30" ht="15.75" customHeight="1" x14ac:dyDescent="0.3">
      <c r="F21" s="46"/>
      <c r="G21" s="47"/>
      <c r="H21" s="210"/>
      <c r="I21" s="304"/>
      <c r="J21" s="304"/>
      <c r="K21" s="304"/>
      <c r="L21" s="304"/>
      <c r="M21" s="304"/>
      <c r="N21" s="304"/>
      <c r="O21" s="304"/>
      <c r="P21" s="304"/>
      <c r="Q21" s="304"/>
      <c r="R21" s="422"/>
      <c r="S21" s="304"/>
      <c r="T21" s="34" t="s">
        <v>173</v>
      </c>
    </row>
    <row r="22" spans="3:30" ht="21" x14ac:dyDescent="0.4">
      <c r="C22" s="48" t="s">
        <v>174</v>
      </c>
      <c r="D22" s="49"/>
      <c r="E22" s="49"/>
      <c r="F22" s="49"/>
      <c r="G22" s="49"/>
      <c r="H22" s="49"/>
      <c r="I22" s="423"/>
      <c r="J22" s="423"/>
      <c r="K22" s="423"/>
      <c r="L22" s="423"/>
      <c r="M22" s="423"/>
      <c r="N22" s="423"/>
      <c r="O22" s="423"/>
      <c r="P22" s="49"/>
      <c r="Q22" s="49"/>
      <c r="R22" s="424"/>
      <c r="S22" s="49"/>
      <c r="T22" s="49"/>
    </row>
    <row r="23" spans="3:30" ht="15.75" customHeight="1" x14ac:dyDescent="0.3">
      <c r="C23" s="50"/>
      <c r="D23" s="51"/>
      <c r="E23" s="51"/>
      <c r="F23" s="52"/>
      <c r="G23" s="53"/>
      <c r="H23" s="425"/>
      <c r="I23" s="426"/>
      <c r="J23" s="426"/>
      <c r="K23" s="427"/>
      <c r="L23" s="427"/>
      <c r="M23" s="427"/>
      <c r="N23" s="427"/>
      <c r="O23" s="427"/>
      <c r="P23" s="428"/>
      <c r="Q23" s="428"/>
      <c r="R23" s="429"/>
      <c r="S23" s="427"/>
      <c r="T23" s="54"/>
    </row>
    <row r="24" spans="3:30" ht="15.75" customHeight="1" x14ac:dyDescent="0.3">
      <c r="C24" s="55" t="s">
        <v>175</v>
      </c>
      <c r="F24" s="56"/>
      <c r="G24" s="47"/>
      <c r="H24" s="430"/>
      <c r="I24" s="431"/>
      <c r="J24" s="431"/>
      <c r="K24" s="432"/>
      <c r="L24" s="432"/>
      <c r="M24" s="432"/>
      <c r="N24" s="432"/>
      <c r="O24" s="432"/>
      <c r="P24" s="432"/>
      <c r="Q24" s="432"/>
      <c r="R24" s="432"/>
      <c r="S24" s="304"/>
    </row>
    <row r="25" spans="3:30" ht="15.75" customHeight="1" x14ac:dyDescent="0.3">
      <c r="C25" s="57" t="s">
        <v>1</v>
      </c>
      <c r="D25" s="58"/>
      <c r="E25" s="59" t="s">
        <v>176</v>
      </c>
      <c r="F25" s="60">
        <f>SUM(J25:O25)/SUM($J$34:$O$34)</f>
        <v>0.55284074845752618</v>
      </c>
      <c r="G25" s="61">
        <v>613857</v>
      </c>
      <c r="H25" s="433">
        <v>462745</v>
      </c>
      <c r="I25" s="61">
        <v>408560</v>
      </c>
      <c r="J25" s="61">
        <v>495196</v>
      </c>
      <c r="K25" s="62">
        <v>374901</v>
      </c>
      <c r="L25" s="62">
        <v>378932.5</v>
      </c>
      <c r="M25" s="62">
        <v>459055.92</v>
      </c>
      <c r="N25" s="62">
        <v>469501.75</v>
      </c>
      <c r="O25" s="62">
        <v>528629.46</v>
      </c>
      <c r="P25" s="434">
        <v>553900.05000000005</v>
      </c>
      <c r="Q25" s="434">
        <v>532365</v>
      </c>
      <c r="R25" s="435">
        <v>483702.34</v>
      </c>
      <c r="S25" s="434">
        <v>560675.71</v>
      </c>
      <c r="T25" s="54">
        <f>SUM(H25:S25)</f>
        <v>5708164.7299999995</v>
      </c>
    </row>
    <row r="26" spans="3:30" ht="15.75" customHeight="1" x14ac:dyDescent="0.3">
      <c r="C26" s="57" t="s">
        <v>2</v>
      </c>
      <c r="D26" s="63"/>
      <c r="E26" s="59" t="s">
        <v>176</v>
      </c>
      <c r="F26" s="60">
        <f t="shared" ref="F26:F32" si="13">SUM(J26:O26)/SUM($J$34:$O$34)</f>
        <v>4.7470122146207508E-2</v>
      </c>
      <c r="G26" s="61">
        <v>25662</v>
      </c>
      <c r="H26" s="433">
        <v>4092</v>
      </c>
      <c r="I26" s="61">
        <v>45895</v>
      </c>
      <c r="J26" s="61">
        <v>8252</v>
      </c>
      <c r="K26" s="62">
        <v>0</v>
      </c>
      <c r="L26" s="62">
        <v>17802</v>
      </c>
      <c r="M26" s="62">
        <v>44319</v>
      </c>
      <c r="N26" s="62">
        <v>133095.5</v>
      </c>
      <c r="O26" s="62">
        <v>28903</v>
      </c>
      <c r="P26" s="434">
        <v>95385</v>
      </c>
      <c r="Q26" s="434">
        <v>45217.06</v>
      </c>
      <c r="R26" s="435">
        <v>16092</v>
      </c>
      <c r="S26" s="434">
        <v>0</v>
      </c>
      <c r="T26" s="54">
        <f t="shared" ref="T26:T33" si="14">SUM(H26:S26)</f>
        <v>439052.56</v>
      </c>
    </row>
    <row r="27" spans="3:30" ht="15.75" customHeight="1" x14ac:dyDescent="0.3">
      <c r="C27" s="57" t="s">
        <v>3</v>
      </c>
      <c r="D27" s="63"/>
      <c r="E27" s="59" t="s">
        <v>176</v>
      </c>
      <c r="F27" s="60">
        <f t="shared" si="13"/>
        <v>0.33971082010109582</v>
      </c>
      <c r="G27" s="61">
        <v>1035261</v>
      </c>
      <c r="H27" s="433">
        <v>260714</v>
      </c>
      <c r="I27" s="61">
        <v>397725</v>
      </c>
      <c r="J27" s="61">
        <v>133247</v>
      </c>
      <c r="K27" s="62">
        <v>257142.7</v>
      </c>
      <c r="L27" s="62">
        <v>683676.35</v>
      </c>
      <c r="M27" s="62">
        <v>294240</v>
      </c>
      <c r="N27" s="62">
        <v>87467</v>
      </c>
      <c r="O27" s="62">
        <v>207149</v>
      </c>
      <c r="P27" s="434">
        <v>156771.25</v>
      </c>
      <c r="Q27" s="434">
        <v>62320</v>
      </c>
      <c r="R27" s="435">
        <v>464753</v>
      </c>
      <c r="S27" s="434">
        <v>241957</v>
      </c>
      <c r="T27" s="54">
        <f t="shared" si="14"/>
        <v>3247162.3</v>
      </c>
      <c r="AD27" t="s">
        <v>177</v>
      </c>
    </row>
    <row r="28" spans="3:30" ht="15.75" customHeight="1" x14ac:dyDescent="0.3">
      <c r="C28" s="57" t="s">
        <v>178</v>
      </c>
      <c r="D28" s="63"/>
      <c r="E28" s="59"/>
      <c r="F28" s="60">
        <f t="shared" si="13"/>
        <v>0</v>
      </c>
      <c r="G28" s="61"/>
      <c r="H28" s="433"/>
      <c r="I28" s="61"/>
      <c r="J28" s="61"/>
      <c r="K28" s="62"/>
      <c r="L28" s="62"/>
      <c r="M28" s="62">
        <v>0</v>
      </c>
      <c r="N28" s="62">
        <v>0</v>
      </c>
      <c r="O28" s="62">
        <v>0</v>
      </c>
      <c r="P28" s="434">
        <v>6020</v>
      </c>
      <c r="Q28" s="434">
        <v>0</v>
      </c>
      <c r="R28" s="435">
        <v>30589.86</v>
      </c>
      <c r="S28" s="434">
        <v>0</v>
      </c>
      <c r="T28" s="54">
        <f t="shared" si="14"/>
        <v>36609.86</v>
      </c>
      <c r="AD28"/>
    </row>
    <row r="29" spans="3:30" ht="15.75" customHeight="1" x14ac:dyDescent="0.3">
      <c r="C29" s="57" t="s">
        <v>179</v>
      </c>
      <c r="D29" s="63"/>
      <c r="E29" s="59" t="s">
        <v>176</v>
      </c>
      <c r="F29" s="60">
        <f t="shared" si="13"/>
        <v>2.2060788395173027E-3</v>
      </c>
      <c r="G29" s="61">
        <v>78400</v>
      </c>
      <c r="H29" s="433">
        <v>17943</v>
      </c>
      <c r="I29" s="61">
        <v>375</v>
      </c>
      <c r="J29" s="61">
        <v>-1</v>
      </c>
      <c r="K29" s="62">
        <v>800</v>
      </c>
      <c r="L29" s="62">
        <v>0</v>
      </c>
      <c r="M29" s="62">
        <v>0</v>
      </c>
      <c r="N29" s="62">
        <v>0</v>
      </c>
      <c r="O29" s="62">
        <v>10000</v>
      </c>
      <c r="P29" s="434">
        <v>0</v>
      </c>
      <c r="Q29" s="434">
        <v>0</v>
      </c>
      <c r="R29" s="435">
        <v>16000</v>
      </c>
      <c r="S29" s="434">
        <v>2000</v>
      </c>
      <c r="T29" s="54">
        <f t="shared" si="14"/>
        <v>47117</v>
      </c>
      <c r="AD29" t="s">
        <v>177</v>
      </c>
    </row>
    <row r="30" spans="3:30" ht="15.75" customHeight="1" x14ac:dyDescent="0.3">
      <c r="C30" s="57" t="s">
        <v>5</v>
      </c>
      <c r="E30" s="59" t="s">
        <v>176</v>
      </c>
      <c r="F30" s="60">
        <f t="shared" si="13"/>
        <v>1.2479060126003607E-2</v>
      </c>
      <c r="G30" s="61">
        <v>84500</v>
      </c>
      <c r="H30" s="433">
        <v>-84500</v>
      </c>
      <c r="I30" s="61">
        <v>0</v>
      </c>
      <c r="J30" s="61">
        <v>176578</v>
      </c>
      <c r="K30" s="62">
        <v>-176578.38</v>
      </c>
      <c r="L30" s="62">
        <v>0</v>
      </c>
      <c r="M30" s="62">
        <v>0</v>
      </c>
      <c r="N30" s="62">
        <v>0</v>
      </c>
      <c r="O30" s="62">
        <v>61086.76</v>
      </c>
      <c r="P30" s="434">
        <v>-61086.76</v>
      </c>
      <c r="Q30" s="434">
        <v>337046.25</v>
      </c>
      <c r="R30" s="435">
        <v>-337046.25</v>
      </c>
      <c r="S30" s="434">
        <v>366023.1</v>
      </c>
      <c r="T30" s="54">
        <f t="shared" si="14"/>
        <v>281522.71999999997</v>
      </c>
      <c r="AD30" t="s">
        <v>177</v>
      </c>
    </row>
    <row r="31" spans="3:30" ht="15.75" customHeight="1" x14ac:dyDescent="0.3">
      <c r="C31" s="57" t="s">
        <v>6</v>
      </c>
      <c r="E31" s="59" t="s">
        <v>176</v>
      </c>
      <c r="F31" s="60">
        <f t="shared" si="13"/>
        <v>4.5220695971848357E-2</v>
      </c>
      <c r="G31" s="61">
        <v>40875</v>
      </c>
      <c r="H31" s="433">
        <v>15982</v>
      </c>
      <c r="I31" s="61">
        <v>26583.98</v>
      </c>
      <c r="J31" s="61">
        <v>24201</v>
      </c>
      <c r="K31" s="62">
        <v>33093</v>
      </c>
      <c r="L31" s="62">
        <v>35707.07</v>
      </c>
      <c r="M31" s="62">
        <v>35998.5</v>
      </c>
      <c r="N31" s="62">
        <v>59906.73</v>
      </c>
      <c r="O31" s="62">
        <v>32454.01</v>
      </c>
      <c r="P31" s="434">
        <v>51067.43</v>
      </c>
      <c r="Q31" s="434">
        <v>28937.78</v>
      </c>
      <c r="R31" s="435">
        <v>31307.7</v>
      </c>
      <c r="S31" s="434">
        <v>53215.81</v>
      </c>
      <c r="T31" s="54">
        <f t="shared" si="14"/>
        <v>428455.01</v>
      </c>
      <c r="AD31" t="s">
        <v>177</v>
      </c>
    </row>
    <row r="32" spans="3:30" ht="15.75" customHeight="1" x14ac:dyDescent="0.3">
      <c r="C32" s="57" t="s">
        <v>7</v>
      </c>
      <c r="E32" s="63"/>
      <c r="F32" s="60">
        <f t="shared" si="13"/>
        <v>-1.0193845179360441E-4</v>
      </c>
      <c r="G32" s="61"/>
      <c r="H32" s="433">
        <v>0</v>
      </c>
      <c r="I32" s="61"/>
      <c r="J32" s="61">
        <v>-499</v>
      </c>
      <c r="K32" s="62">
        <v>0</v>
      </c>
      <c r="L32" s="62">
        <v>0</v>
      </c>
      <c r="M32" s="62">
        <v>0</v>
      </c>
      <c r="N32" s="62">
        <v>0</v>
      </c>
      <c r="O32" s="62">
        <v>0</v>
      </c>
      <c r="P32" s="434">
        <v>0</v>
      </c>
      <c r="Q32" s="434">
        <v>-1948.64</v>
      </c>
      <c r="R32" s="435">
        <v>-1589.25</v>
      </c>
      <c r="S32" s="434">
        <v>0</v>
      </c>
      <c r="T32" s="54">
        <f t="shared" si="14"/>
        <v>-4036.8900000000003</v>
      </c>
      <c r="AD32" t="s">
        <v>180</v>
      </c>
    </row>
    <row r="33" spans="1:30" ht="15.75" customHeight="1" x14ac:dyDescent="0.3">
      <c r="C33" s="322" t="s">
        <v>181</v>
      </c>
      <c r="D33" s="329"/>
      <c r="E33" s="347" t="s">
        <v>453</v>
      </c>
      <c r="F33" s="436">
        <f>SUM(J33:O33)/SUM($J$34:$O$34)</f>
        <v>1.7441280959484097E-4</v>
      </c>
      <c r="G33" s="325">
        <v>1363</v>
      </c>
      <c r="H33" s="437">
        <v>1291.31</v>
      </c>
      <c r="I33" s="325">
        <v>-176.47</v>
      </c>
      <c r="J33" s="325">
        <v>426</v>
      </c>
      <c r="K33" s="325">
        <v>92</v>
      </c>
      <c r="L33" s="325">
        <v>102.71</v>
      </c>
      <c r="M33" s="325">
        <v>79.72</v>
      </c>
      <c r="N33" s="325">
        <v>109.19</v>
      </c>
      <c r="O33" s="325">
        <v>44.149999999999991</v>
      </c>
      <c r="P33" s="438">
        <v>36.590000000000003</v>
      </c>
      <c r="Q33" s="438">
        <v>26.19</v>
      </c>
      <c r="R33" s="439">
        <v>69.580000000000013</v>
      </c>
      <c r="S33" s="438">
        <v>-550.97</v>
      </c>
      <c r="T33" s="54">
        <f t="shared" si="14"/>
        <v>1550.0000000000002</v>
      </c>
      <c r="AD33" t="s">
        <v>182</v>
      </c>
    </row>
    <row r="34" spans="1:30" ht="15.75" customHeight="1" x14ac:dyDescent="0.3">
      <c r="C34" s="68" t="s">
        <v>183</v>
      </c>
      <c r="F34" s="69">
        <f>SUM(H34:M34)</f>
        <v>4833993.91</v>
      </c>
      <c r="G34" s="70">
        <f t="shared" ref="G34:S34" si="15">SUM(G25:G33)</f>
        <v>1879918</v>
      </c>
      <c r="H34" s="440">
        <f t="shared" si="15"/>
        <v>678267.31</v>
      </c>
      <c r="I34" s="70">
        <f t="shared" si="15"/>
        <v>878962.51</v>
      </c>
      <c r="J34" s="70">
        <f t="shared" si="15"/>
        <v>837400</v>
      </c>
      <c r="K34" s="441">
        <f t="shared" si="15"/>
        <v>489450.31999999995</v>
      </c>
      <c r="L34" s="441">
        <f t="shared" si="15"/>
        <v>1116220.6300000001</v>
      </c>
      <c r="M34" s="441">
        <f t="shared" si="15"/>
        <v>833693.1399999999</v>
      </c>
      <c r="N34" s="441">
        <f t="shared" si="15"/>
        <v>750080.16999999993</v>
      </c>
      <c r="O34" s="441">
        <f t="shared" si="15"/>
        <v>868266.38</v>
      </c>
      <c r="P34" s="71">
        <f t="shared" si="15"/>
        <v>802093.56</v>
      </c>
      <c r="Q34" s="71">
        <f t="shared" si="15"/>
        <v>1003963.64</v>
      </c>
      <c r="R34" s="442">
        <f t="shared" si="15"/>
        <v>703878.98</v>
      </c>
      <c r="S34" s="71">
        <f t="shared" si="15"/>
        <v>1223320.6500000001</v>
      </c>
      <c r="T34" s="72">
        <f>SUM(T25:T33)</f>
        <v>10185597.289999999</v>
      </c>
      <c r="AD34" t="s">
        <v>454</v>
      </c>
    </row>
    <row r="35" spans="1:30" ht="15.75" customHeight="1" x14ac:dyDescent="0.3">
      <c r="C35" s="73" t="s">
        <v>184</v>
      </c>
      <c r="D35" s="74"/>
      <c r="E35" s="74"/>
      <c r="F35" s="74"/>
      <c r="G35" s="75"/>
      <c r="H35" s="443">
        <f>(H34-G34)/G34</f>
        <v>-0.63920377910100334</v>
      </c>
      <c r="I35" s="444">
        <f t="shared" ref="I35:S35" si="16">(I34-H34)/H34</f>
        <v>0.29589395956588255</v>
      </c>
      <c r="J35" s="444">
        <f t="shared" si="16"/>
        <v>-4.7285873432758821E-2</v>
      </c>
      <c r="K35" s="445">
        <f>(K34-J34)/J34</f>
        <v>-0.41551191784093627</v>
      </c>
      <c r="L35" s="445">
        <f t="shared" si="16"/>
        <v>1.2805596081743296</v>
      </c>
      <c r="M35" s="445">
        <f t="shared" si="16"/>
        <v>-0.25311079405511455</v>
      </c>
      <c r="N35" s="445">
        <f t="shared" si="16"/>
        <v>-0.10029226101104777</v>
      </c>
      <c r="O35" s="445">
        <f t="shared" si="16"/>
        <v>0.1575647707097764</v>
      </c>
      <c r="P35" s="446">
        <f t="shared" si="16"/>
        <v>-7.6212578909251275E-2</v>
      </c>
      <c r="Q35" s="446">
        <f t="shared" si="16"/>
        <v>0.25167896872280082</v>
      </c>
      <c r="R35" s="447">
        <f>(R34-Q34)/Q34</f>
        <v>-0.29889992828823964</v>
      </c>
      <c r="S35" s="446">
        <f t="shared" si="16"/>
        <v>0.73797014083301671</v>
      </c>
      <c r="T35" s="54"/>
      <c r="AD35" t="s">
        <v>185</v>
      </c>
    </row>
    <row r="36" spans="1:30" ht="15.75" customHeight="1" x14ac:dyDescent="0.3">
      <c r="C36" s="73" t="s">
        <v>186</v>
      </c>
      <c r="D36" s="74"/>
      <c r="E36" s="74"/>
      <c r="F36" s="74"/>
      <c r="G36" s="75"/>
      <c r="H36" s="448">
        <f>H34</f>
        <v>678267.31</v>
      </c>
      <c r="I36" s="449">
        <f>I34+H36</f>
        <v>1557229.82</v>
      </c>
      <c r="J36" s="449">
        <f t="shared" ref="J36:Q36" si="17">J34+I36</f>
        <v>2394629.8200000003</v>
      </c>
      <c r="K36" s="450">
        <f t="shared" si="17"/>
        <v>2884080.14</v>
      </c>
      <c r="L36" s="450">
        <f t="shared" si="17"/>
        <v>4000300.7700000005</v>
      </c>
      <c r="M36" s="450">
        <f t="shared" si="17"/>
        <v>4833993.91</v>
      </c>
      <c r="N36" s="450">
        <f>N34+M36</f>
        <v>5584074.0800000001</v>
      </c>
      <c r="O36" s="450">
        <f>O34+N36</f>
        <v>6452340.46</v>
      </c>
      <c r="P36" s="451">
        <f t="shared" si="17"/>
        <v>7254434.0199999996</v>
      </c>
      <c r="Q36" s="451">
        <f t="shared" si="17"/>
        <v>8258397.6599999992</v>
      </c>
      <c r="R36" s="452">
        <f>R34+Q36</f>
        <v>8962276.6399999987</v>
      </c>
      <c r="S36" s="451">
        <f>S34+R36</f>
        <v>10185597.289999999</v>
      </c>
      <c r="T36" s="54"/>
      <c r="AD36"/>
    </row>
    <row r="37" spans="1:30" ht="15.75" customHeight="1" x14ac:dyDescent="0.3">
      <c r="A37" s="76"/>
      <c r="B37" s="76"/>
      <c r="C37" s="55" t="s">
        <v>187</v>
      </c>
      <c r="D37" s="76"/>
      <c r="E37" s="76"/>
      <c r="F37" s="76"/>
      <c r="G37" s="61"/>
      <c r="H37" s="433"/>
      <c r="I37" s="61"/>
      <c r="J37" s="61"/>
      <c r="K37" s="62"/>
      <c r="L37" s="62"/>
      <c r="M37" s="62"/>
      <c r="N37" s="62"/>
      <c r="O37" s="62"/>
      <c r="P37" s="434"/>
      <c r="Q37" s="434"/>
      <c r="R37" s="435"/>
      <c r="S37" s="453"/>
      <c r="T37" s="54"/>
    </row>
    <row r="38" spans="1:30" s="79" customFormat="1" ht="15.75" customHeight="1" x14ac:dyDescent="0.3">
      <c r="A38" s="76"/>
      <c r="B38" s="76"/>
      <c r="C38" s="57" t="s">
        <v>188</v>
      </c>
      <c r="D38" s="76"/>
      <c r="E38" s="59" t="s">
        <v>189</v>
      </c>
      <c r="F38" s="77">
        <v>0.50791372760253184</v>
      </c>
      <c r="G38" s="61">
        <v>361805</v>
      </c>
      <c r="H38" s="433">
        <v>212066</v>
      </c>
      <c r="I38" s="61">
        <v>228859.83</v>
      </c>
      <c r="J38" s="78">
        <v>258022</v>
      </c>
      <c r="K38" s="62">
        <v>160137.69</v>
      </c>
      <c r="L38" s="62">
        <v>164272.64000000001</v>
      </c>
      <c r="M38" s="62">
        <v>207389.29</v>
      </c>
      <c r="N38" s="62">
        <v>225868.58</v>
      </c>
      <c r="O38" s="62">
        <v>298263.77</v>
      </c>
      <c r="P38" s="434">
        <v>294611.99</v>
      </c>
      <c r="Q38" s="434">
        <v>261657.94</v>
      </c>
      <c r="R38" s="435">
        <v>290828.59000000003</v>
      </c>
      <c r="S38" s="434">
        <v>332879.25</v>
      </c>
      <c r="T38" s="54">
        <f>SUM(H38:S38)</f>
        <v>2934857.57</v>
      </c>
      <c r="U38" s="454">
        <f t="shared" ref="U38:V41" si="18">(O25-O38)/O25</f>
        <v>0.43577913724293754</v>
      </c>
      <c r="V38" s="454">
        <f t="shared" si="18"/>
        <v>0.46811344393270959</v>
      </c>
    </row>
    <row r="39" spans="1:30" s="79" customFormat="1" ht="15.75" customHeight="1" x14ac:dyDescent="0.3">
      <c r="A39" s="76"/>
      <c r="B39" s="76"/>
      <c r="C39" s="57" t="s">
        <v>27</v>
      </c>
      <c r="D39" s="76"/>
      <c r="E39" s="59" t="s">
        <v>189</v>
      </c>
      <c r="F39" s="77">
        <v>0.9913292712258478</v>
      </c>
      <c r="G39" s="61">
        <v>19582</v>
      </c>
      <c r="H39" s="433">
        <v>4530</v>
      </c>
      <c r="I39" s="61">
        <v>46926.8</v>
      </c>
      <c r="J39" s="78">
        <v>5576</v>
      </c>
      <c r="K39" s="62">
        <v>107.31</v>
      </c>
      <c r="L39" s="62">
        <v>12270.84</v>
      </c>
      <c r="M39" s="62">
        <v>33923.5</v>
      </c>
      <c r="N39" s="62">
        <v>116234.22</v>
      </c>
      <c r="O39" s="62">
        <v>18313.71</v>
      </c>
      <c r="P39" s="434">
        <v>133069.78</v>
      </c>
      <c r="Q39" s="434">
        <v>41870.879999999997</v>
      </c>
      <c r="R39" s="435">
        <v>9568.82</v>
      </c>
      <c r="S39" s="434">
        <v>2824.92</v>
      </c>
      <c r="T39" s="54">
        <f t="shared" ref="T39:T54" si="19">SUM(H39:S39)</f>
        <v>425216.77999999997</v>
      </c>
      <c r="U39" s="454">
        <f t="shared" si="18"/>
        <v>0.36637338684565618</v>
      </c>
      <c r="V39" s="454">
        <f t="shared" si="18"/>
        <v>-0.39508077790008911</v>
      </c>
    </row>
    <row r="40" spans="1:30" s="79" customFormat="1" ht="15.75" customHeight="1" x14ac:dyDescent="0.3">
      <c r="A40" s="76"/>
      <c r="B40" s="76"/>
      <c r="C40" s="57" t="s">
        <v>28</v>
      </c>
      <c r="D40" s="76"/>
      <c r="E40" s="59" t="s">
        <v>189</v>
      </c>
      <c r="F40" s="77">
        <v>0.65018474739784204</v>
      </c>
      <c r="G40" s="61">
        <v>749245</v>
      </c>
      <c r="H40" s="433">
        <v>124089</v>
      </c>
      <c r="I40" s="61">
        <v>279208.25</v>
      </c>
      <c r="J40" s="78">
        <v>124818</v>
      </c>
      <c r="K40" s="62">
        <v>177765.57</v>
      </c>
      <c r="L40" s="62">
        <v>404939.61</v>
      </c>
      <c r="M40" s="62">
        <v>194698.6</v>
      </c>
      <c r="N40" s="62">
        <v>69861.91</v>
      </c>
      <c r="O40" s="62">
        <v>155892.29</v>
      </c>
      <c r="P40" s="434">
        <v>74475.59</v>
      </c>
      <c r="Q40" s="434">
        <v>34773.11</v>
      </c>
      <c r="R40" s="435">
        <v>285122.40000000002</v>
      </c>
      <c r="S40" s="434">
        <v>162593.26999999999</v>
      </c>
      <c r="T40" s="54">
        <f t="shared" si="19"/>
        <v>2088237.6000000006</v>
      </c>
      <c r="U40" s="454">
        <f t="shared" si="18"/>
        <v>0.24743884836518637</v>
      </c>
      <c r="V40" s="454">
        <f t="shared" si="18"/>
        <v>0.52494102075476212</v>
      </c>
    </row>
    <row r="41" spans="1:30" s="79" customFormat="1" ht="15.75" customHeight="1" x14ac:dyDescent="0.3">
      <c r="A41" s="76"/>
      <c r="B41" s="76"/>
      <c r="C41" s="57" t="s">
        <v>190</v>
      </c>
      <c r="D41" s="76"/>
      <c r="E41" s="59"/>
      <c r="F41" s="77"/>
      <c r="G41" s="61"/>
      <c r="H41" s="433"/>
      <c r="I41" s="61"/>
      <c r="J41" s="78"/>
      <c r="K41" s="62"/>
      <c r="L41" s="62"/>
      <c r="M41" s="62">
        <v>0</v>
      </c>
      <c r="N41" s="62">
        <v>0</v>
      </c>
      <c r="O41" s="62">
        <v>0</v>
      </c>
      <c r="P41" s="434">
        <v>0</v>
      </c>
      <c r="Q41" s="434">
        <v>0</v>
      </c>
      <c r="R41" s="435">
        <v>0</v>
      </c>
      <c r="S41" s="434">
        <v>0</v>
      </c>
      <c r="T41" s="54"/>
      <c r="U41" s="454" t="e">
        <f t="shared" si="18"/>
        <v>#DIV/0!</v>
      </c>
      <c r="V41" s="454">
        <f t="shared" si="18"/>
        <v>1</v>
      </c>
    </row>
    <row r="42" spans="1:30" s="79" customFormat="1" ht="15.75" customHeight="1" x14ac:dyDescent="0.3">
      <c r="A42" s="76"/>
      <c r="B42" s="76"/>
      <c r="C42" s="57" t="s">
        <v>29</v>
      </c>
      <c r="D42" s="76"/>
      <c r="E42" s="59" t="s">
        <v>189</v>
      </c>
      <c r="F42" s="77">
        <v>0.03</v>
      </c>
      <c r="G42" s="61"/>
      <c r="H42" s="433">
        <v>517</v>
      </c>
      <c r="I42" s="61"/>
      <c r="J42" s="78"/>
      <c r="K42" s="62">
        <v>0</v>
      </c>
      <c r="L42" s="62">
        <v>0</v>
      </c>
      <c r="M42" s="62">
        <v>0</v>
      </c>
      <c r="N42" s="62">
        <v>0</v>
      </c>
      <c r="O42" s="62">
        <v>0</v>
      </c>
      <c r="P42" s="434">
        <v>1.35</v>
      </c>
      <c r="Q42" s="434">
        <v>12639.84</v>
      </c>
      <c r="R42" s="435">
        <v>2309.36</v>
      </c>
      <c r="S42" s="434">
        <v>0</v>
      </c>
      <c r="T42" s="54">
        <f t="shared" si="19"/>
        <v>15467.550000000001</v>
      </c>
      <c r="U42" s="454"/>
    </row>
    <row r="43" spans="1:30" s="79" customFormat="1" ht="15.75" customHeight="1" x14ac:dyDescent="0.3">
      <c r="A43" s="76"/>
      <c r="B43" s="76"/>
      <c r="C43" s="57" t="s">
        <v>191</v>
      </c>
      <c r="D43" s="76"/>
      <c r="E43" s="59"/>
      <c r="F43" s="77"/>
      <c r="G43" s="61"/>
      <c r="H43" s="433">
        <v>0</v>
      </c>
      <c r="I43" s="61"/>
      <c r="J43" s="78">
        <v>113752</v>
      </c>
      <c r="K43" s="62">
        <v>-113752.26</v>
      </c>
      <c r="L43" s="62">
        <v>0</v>
      </c>
      <c r="M43" s="62">
        <v>0</v>
      </c>
      <c r="N43" s="62">
        <v>0</v>
      </c>
      <c r="O43" s="62">
        <v>46299.6</v>
      </c>
      <c r="P43" s="434">
        <v>-46299.6</v>
      </c>
      <c r="Q43" s="434">
        <v>209679.42</v>
      </c>
      <c r="R43" s="435">
        <v>-209679.42</v>
      </c>
      <c r="S43" s="434">
        <v>206122.6</v>
      </c>
      <c r="T43" s="54">
        <f t="shared" si="19"/>
        <v>206122.34000000003</v>
      </c>
    </row>
    <row r="44" spans="1:30" s="79" customFormat="1" ht="15.75" customHeight="1" x14ac:dyDescent="0.3">
      <c r="A44" s="76"/>
      <c r="B44" s="76"/>
      <c r="C44" s="57" t="s">
        <v>31</v>
      </c>
      <c r="D44" s="76"/>
      <c r="E44" s="59" t="s">
        <v>189</v>
      </c>
      <c r="F44" s="60">
        <v>0.84</v>
      </c>
      <c r="G44" s="61">
        <v>37920</v>
      </c>
      <c r="H44" s="433">
        <v>18376</v>
      </c>
      <c r="I44" s="61">
        <v>22804.73</v>
      </c>
      <c r="J44" s="78">
        <v>19857</v>
      </c>
      <c r="K44" s="62">
        <v>31291</v>
      </c>
      <c r="L44" s="62">
        <v>37535.47</v>
      </c>
      <c r="M44" s="62">
        <v>50109</v>
      </c>
      <c r="N44" s="62">
        <v>44562.02</v>
      </c>
      <c r="O44" s="62">
        <v>33577.4</v>
      </c>
      <c r="P44" s="434">
        <v>44072.84</v>
      </c>
      <c r="Q44" s="434">
        <v>42267.31</v>
      </c>
      <c r="R44" s="435">
        <v>33582.04</v>
      </c>
      <c r="S44" s="434">
        <v>35407.050000000003</v>
      </c>
      <c r="T44" s="54">
        <f t="shared" si="19"/>
        <v>413441.85999999993</v>
      </c>
    </row>
    <row r="45" spans="1:30" s="79" customFormat="1" ht="15.75" customHeight="1" x14ac:dyDescent="0.3">
      <c r="A45" s="76"/>
      <c r="B45" s="76"/>
      <c r="C45" s="57" t="s">
        <v>192</v>
      </c>
      <c r="D45" s="76"/>
      <c r="E45" s="59" t="s">
        <v>176</v>
      </c>
      <c r="F45" s="455">
        <v>1.4999999999999999E-2</v>
      </c>
      <c r="G45" s="61">
        <v>79811</v>
      </c>
      <c r="H45" s="433">
        <v>14556</v>
      </c>
      <c r="I45" s="61">
        <v>8843.09</v>
      </c>
      <c r="J45" s="78">
        <v>26157</v>
      </c>
      <c r="K45" s="62">
        <v>55539</v>
      </c>
      <c r="L45" s="62">
        <v>27631.82</v>
      </c>
      <c r="M45" s="62">
        <v>24903</v>
      </c>
      <c r="N45" s="62">
        <v>31489.91</v>
      </c>
      <c r="O45" s="62">
        <v>26870.460000000003</v>
      </c>
      <c r="P45" s="434">
        <v>21825.39</v>
      </c>
      <c r="Q45" s="434">
        <v>82773.83</v>
      </c>
      <c r="R45" s="435">
        <v>27687.190000000002</v>
      </c>
      <c r="S45" s="434">
        <v>78333.170000000013</v>
      </c>
      <c r="T45" s="54">
        <f t="shared" si="19"/>
        <v>426609.86</v>
      </c>
    </row>
    <row r="46" spans="1:30" s="79" customFormat="1" ht="15.75" customHeight="1" x14ac:dyDescent="0.3">
      <c r="A46" s="76"/>
      <c r="B46" s="76"/>
      <c r="C46" s="57" t="s">
        <v>193</v>
      </c>
      <c r="D46" s="76"/>
      <c r="E46" s="59"/>
      <c r="F46" s="80" t="s">
        <v>194</v>
      </c>
      <c r="G46" s="61">
        <v>-78614</v>
      </c>
      <c r="H46" s="433">
        <v>-76693</v>
      </c>
      <c r="I46" s="61">
        <v>-57270.38</v>
      </c>
      <c r="J46" s="78">
        <v>-61265</v>
      </c>
      <c r="K46" s="62">
        <v>-65316.63</v>
      </c>
      <c r="L46" s="62">
        <v>-59141.38</v>
      </c>
      <c r="M46" s="62">
        <v>-58597</v>
      </c>
      <c r="N46" s="62">
        <v>-81911.38</v>
      </c>
      <c r="O46" s="62">
        <v>-33564.57</v>
      </c>
      <c r="P46" s="61">
        <v>-46063.53</v>
      </c>
      <c r="Q46" s="61">
        <v>-39619.279999999999</v>
      </c>
      <c r="R46" s="435">
        <v>-40981.61</v>
      </c>
      <c r="S46" s="81">
        <v>-69709.789999999994</v>
      </c>
      <c r="T46" s="54">
        <f t="shared" si="19"/>
        <v>-690133.55</v>
      </c>
    </row>
    <row r="47" spans="1:30" s="79" customFormat="1" ht="15.75" customHeight="1" x14ac:dyDescent="0.3">
      <c r="A47" s="76"/>
      <c r="B47" s="76"/>
      <c r="C47" s="57" t="s">
        <v>195</v>
      </c>
      <c r="D47" s="76"/>
      <c r="E47" s="59"/>
      <c r="F47" s="80" t="s">
        <v>194</v>
      </c>
      <c r="G47" s="61">
        <v>86164</v>
      </c>
      <c r="H47" s="433">
        <v>92374</v>
      </c>
      <c r="I47" s="61">
        <v>77270.23</v>
      </c>
      <c r="J47" s="78">
        <v>89814</v>
      </c>
      <c r="K47" s="62">
        <v>81740</v>
      </c>
      <c r="L47" s="62">
        <v>79735.61</v>
      </c>
      <c r="M47" s="62">
        <v>68797</v>
      </c>
      <c r="N47" s="62">
        <v>83665.599999999991</v>
      </c>
      <c r="O47" s="62">
        <v>72890.539999999994</v>
      </c>
      <c r="P47" s="61">
        <v>75023.159999999989</v>
      </c>
      <c r="Q47" s="61">
        <v>68082.579999999987</v>
      </c>
      <c r="R47" s="435">
        <v>69065.899999999994</v>
      </c>
      <c r="S47" s="81">
        <v>89828.339999999982</v>
      </c>
      <c r="T47" s="54">
        <f t="shared" si="19"/>
        <v>948286.96</v>
      </c>
    </row>
    <row r="48" spans="1:30" s="79" customFormat="1" ht="15.75" customHeight="1" x14ac:dyDescent="0.3">
      <c r="A48" s="76"/>
      <c r="B48" s="76"/>
      <c r="C48" s="57" t="s">
        <v>196</v>
      </c>
      <c r="D48" s="76"/>
      <c r="E48" s="59"/>
      <c r="F48" s="56">
        <v>0</v>
      </c>
      <c r="G48" s="61"/>
      <c r="H48" s="433">
        <v>0</v>
      </c>
      <c r="I48" s="61">
        <v>412</v>
      </c>
      <c r="J48" s="61">
        <v>2</v>
      </c>
      <c r="K48" s="62">
        <v>0</v>
      </c>
      <c r="L48" s="62">
        <v>1970</v>
      </c>
      <c r="M48" s="62">
        <v>422</v>
      </c>
      <c r="N48" s="62">
        <v>20</v>
      </c>
      <c r="O48" s="62">
        <v>712</v>
      </c>
      <c r="P48" s="61">
        <v>0</v>
      </c>
      <c r="Q48" s="61">
        <v>206</v>
      </c>
      <c r="R48" s="435">
        <v>206</v>
      </c>
      <c r="S48" s="81">
        <v>206</v>
      </c>
      <c r="T48" s="54">
        <f t="shared" si="19"/>
        <v>4156</v>
      </c>
    </row>
    <row r="49" spans="1:21" s="79" customFormat="1" ht="15.75" customHeight="1" x14ac:dyDescent="0.3">
      <c r="A49" s="76"/>
      <c r="B49" s="76"/>
      <c r="C49" s="57" t="s">
        <v>197</v>
      </c>
      <c r="D49" s="76"/>
      <c r="E49" s="59"/>
      <c r="F49" s="59" t="s">
        <v>194</v>
      </c>
      <c r="G49" s="61">
        <v>-146620</v>
      </c>
      <c r="H49" s="433">
        <v>-128244</v>
      </c>
      <c r="I49" s="61">
        <v>-100194.35</v>
      </c>
      <c r="J49" s="78">
        <v>-109443</v>
      </c>
      <c r="K49" s="62">
        <v>-101107.09</v>
      </c>
      <c r="L49" s="62">
        <v>-117483.94</v>
      </c>
      <c r="M49" s="62">
        <v>-116889</v>
      </c>
      <c r="N49" s="62">
        <v>-115380.47</v>
      </c>
      <c r="O49" s="62">
        <v>-114572.43</v>
      </c>
      <c r="P49" s="61">
        <v>-94545.86</v>
      </c>
      <c r="Q49" s="61">
        <v>-80866.97</v>
      </c>
      <c r="R49" s="435">
        <v>-81525.850000000006</v>
      </c>
      <c r="S49" s="81">
        <v>-141672.59</v>
      </c>
      <c r="T49" s="54">
        <f t="shared" si="19"/>
        <v>-1301925.55</v>
      </c>
    </row>
    <row r="50" spans="1:21" s="79" customFormat="1" ht="15.75" customHeight="1" x14ac:dyDescent="0.3">
      <c r="A50" s="76"/>
      <c r="B50" s="76"/>
      <c r="C50" s="322" t="s">
        <v>198</v>
      </c>
      <c r="D50" s="322"/>
      <c r="E50" s="324"/>
      <c r="F50" s="324" t="s">
        <v>194</v>
      </c>
      <c r="G50" s="325">
        <v>168902</v>
      </c>
      <c r="H50" s="437">
        <v>177216</v>
      </c>
      <c r="I50" s="437">
        <v>151653</v>
      </c>
      <c r="J50" s="456">
        <v>149029</v>
      </c>
      <c r="K50" s="325">
        <v>161965</v>
      </c>
      <c r="L50" s="325">
        <v>117465</v>
      </c>
      <c r="M50" s="325">
        <v>201354</v>
      </c>
      <c r="N50" s="325">
        <v>136540.54999999999</v>
      </c>
      <c r="O50" s="325">
        <v>137177.82000000004</v>
      </c>
      <c r="P50" s="325">
        <v>135870.97</v>
      </c>
      <c r="Q50" s="325">
        <v>131943.99000000002</v>
      </c>
      <c r="R50" s="439">
        <v>132958.28999999998</v>
      </c>
      <c r="S50" s="318">
        <v>124170.1</v>
      </c>
      <c r="T50" s="67">
        <f t="shared" si="19"/>
        <v>1757343.7200000002</v>
      </c>
    </row>
    <row r="51" spans="1:21" s="88" customFormat="1" ht="15.75" customHeight="1" x14ac:dyDescent="0.3">
      <c r="A51" s="83"/>
      <c r="B51" s="83"/>
      <c r="C51" s="84" t="s">
        <v>64</v>
      </c>
      <c r="D51" s="83"/>
      <c r="E51" s="83"/>
      <c r="F51" s="83"/>
      <c r="G51" s="85">
        <f t="shared" ref="G51:S51" si="20">SUM(G38:G50)</f>
        <v>1278195</v>
      </c>
      <c r="H51" s="457">
        <f t="shared" si="20"/>
        <v>438787</v>
      </c>
      <c r="I51" s="85">
        <f>SUM(I38:I50)</f>
        <v>658513.19999999995</v>
      </c>
      <c r="J51" s="85">
        <f t="shared" si="20"/>
        <v>616319</v>
      </c>
      <c r="K51" s="458">
        <f>SUM(K38:K50)</f>
        <v>388369.58999999997</v>
      </c>
      <c r="L51" s="458">
        <f t="shared" si="20"/>
        <v>669195.66999999993</v>
      </c>
      <c r="M51" s="458">
        <f t="shared" si="20"/>
        <v>606110.39</v>
      </c>
      <c r="N51" s="458">
        <f t="shared" si="20"/>
        <v>510950.93999999989</v>
      </c>
      <c r="O51" s="458">
        <f t="shared" si="20"/>
        <v>641860.59000000008</v>
      </c>
      <c r="P51" s="86">
        <f t="shared" si="20"/>
        <v>592042.07999999996</v>
      </c>
      <c r="Q51" s="86">
        <f t="shared" si="20"/>
        <v>765408.64999999991</v>
      </c>
      <c r="R51" s="459">
        <f t="shared" si="20"/>
        <v>519141.71</v>
      </c>
      <c r="S51" s="86">
        <f t="shared" si="20"/>
        <v>820982.32</v>
      </c>
      <c r="T51" s="87">
        <f>SUM(H51:S51)</f>
        <v>7227681.1399999997</v>
      </c>
      <c r="U51" s="460">
        <f>P51-SUM(P46:P50)</f>
        <v>521757.33999999997</v>
      </c>
    </row>
    <row r="52" spans="1:21" ht="15.75" customHeight="1" x14ac:dyDescent="0.3">
      <c r="A52" s="76"/>
      <c r="B52" s="76"/>
      <c r="C52" s="63"/>
      <c r="D52" s="76"/>
      <c r="E52" s="76"/>
      <c r="F52" s="89" t="s">
        <v>199</v>
      </c>
      <c r="G52" s="461">
        <f t="shared" ref="G52:R52" si="21">ABS(G46)/G47</f>
        <v>0.91237639849589158</v>
      </c>
      <c r="H52" s="462">
        <f t="shared" si="21"/>
        <v>0.83024444107649342</v>
      </c>
      <c r="I52" s="461">
        <f t="shared" si="21"/>
        <v>0.74117004698963629</v>
      </c>
      <c r="J52" s="461">
        <f>ABS(J46)/J47</f>
        <v>0.68213196160954859</v>
      </c>
      <c r="K52" s="463">
        <f t="shared" si="21"/>
        <v>0.79907793002202099</v>
      </c>
      <c r="L52" s="463">
        <f t="shared" si="21"/>
        <v>0.74171853705013358</v>
      </c>
      <c r="M52" s="463">
        <f t="shared" si="21"/>
        <v>0.85173772112156054</v>
      </c>
      <c r="N52" s="463">
        <f t="shared" si="21"/>
        <v>0.9790329597827544</v>
      </c>
      <c r="O52" s="463">
        <f t="shared" si="21"/>
        <v>0.46047909646436974</v>
      </c>
      <c r="P52" s="90">
        <f>ABS(P46)/P47</f>
        <v>0.61399079964107095</v>
      </c>
      <c r="Q52" s="90">
        <f t="shared" si="21"/>
        <v>0.58192976823146259</v>
      </c>
      <c r="R52" s="464">
        <f t="shared" si="21"/>
        <v>0.59336966578296968</v>
      </c>
      <c r="S52" s="90">
        <f>ABS(S46)/S47</f>
        <v>0.77603337654909366</v>
      </c>
      <c r="T52" s="91"/>
    </row>
    <row r="53" spans="1:21" ht="15.75" customHeight="1" x14ac:dyDescent="0.3">
      <c r="A53" s="76"/>
      <c r="B53" s="76"/>
      <c r="C53" s="63"/>
      <c r="D53" s="76"/>
      <c r="E53" s="76"/>
      <c r="F53" s="76" t="s">
        <v>200</v>
      </c>
      <c r="G53" s="92">
        <f t="shared" ref="G53:R53" si="22">ABS(G49)/G50</f>
        <v>0.86807734662703817</v>
      </c>
      <c r="H53" s="462">
        <f t="shared" si="22"/>
        <v>0.7236592632719393</v>
      </c>
      <c r="I53" s="461">
        <f t="shared" si="22"/>
        <v>0.66068162186043145</v>
      </c>
      <c r="J53" s="461">
        <f t="shared" si="22"/>
        <v>0.73437384670097772</v>
      </c>
      <c r="K53" s="463">
        <f t="shared" si="22"/>
        <v>0.62425270891859352</v>
      </c>
      <c r="L53" s="463">
        <f t="shared" si="22"/>
        <v>1.0001612395181543</v>
      </c>
      <c r="M53" s="463">
        <f t="shared" si="22"/>
        <v>0.58051491403200339</v>
      </c>
      <c r="N53" s="463">
        <f t="shared" si="22"/>
        <v>0.84502713662717788</v>
      </c>
      <c r="O53" s="463">
        <f t="shared" si="22"/>
        <v>0.83521104213494546</v>
      </c>
      <c r="P53" s="90">
        <f>ABS(P49)/P50</f>
        <v>0.69585033506421567</v>
      </c>
      <c r="Q53" s="90">
        <f t="shared" si="22"/>
        <v>0.61288862039112191</v>
      </c>
      <c r="R53" s="464">
        <f t="shared" si="22"/>
        <v>0.61316861099823128</v>
      </c>
      <c r="S53" s="90">
        <f>ABS(S49)/S50</f>
        <v>1.1409557534382271</v>
      </c>
      <c r="T53" s="91"/>
    </row>
    <row r="54" spans="1:21" ht="15.75" customHeight="1" x14ac:dyDescent="0.3">
      <c r="A54" s="76"/>
      <c r="B54" s="76"/>
      <c r="C54" s="68" t="s">
        <v>201</v>
      </c>
      <c r="D54" s="93"/>
      <c r="E54" s="94"/>
      <c r="F54" s="95">
        <f>SUM(H54:M54)</f>
        <v>1456699.06</v>
      </c>
      <c r="G54" s="70">
        <f t="shared" ref="G54:S54" si="23">G34-G51</f>
        <v>601723</v>
      </c>
      <c r="H54" s="440">
        <f t="shared" si="23"/>
        <v>239480.31000000006</v>
      </c>
      <c r="I54" s="70">
        <f>I34-I51</f>
        <v>220449.31000000006</v>
      </c>
      <c r="J54" s="70">
        <f t="shared" si="23"/>
        <v>221081</v>
      </c>
      <c r="K54" s="441">
        <f t="shared" si="23"/>
        <v>101080.72999999998</v>
      </c>
      <c r="L54" s="441">
        <f t="shared" si="23"/>
        <v>447024.9600000002</v>
      </c>
      <c r="M54" s="441">
        <f>M34-M51</f>
        <v>227582.74999999988</v>
      </c>
      <c r="N54" s="441">
        <f t="shared" si="23"/>
        <v>239129.23000000004</v>
      </c>
      <c r="O54" s="441">
        <f t="shared" si="23"/>
        <v>226405.78999999992</v>
      </c>
      <c r="P54" s="71">
        <f t="shared" si="23"/>
        <v>210051.4800000001</v>
      </c>
      <c r="Q54" s="71">
        <f t="shared" si="23"/>
        <v>238554.99000000011</v>
      </c>
      <c r="R54" s="442">
        <f t="shared" si="23"/>
        <v>184737.26999999996</v>
      </c>
      <c r="S54" s="71">
        <f t="shared" si="23"/>
        <v>402338.33000000019</v>
      </c>
      <c r="T54" s="72">
        <f t="shared" si="19"/>
        <v>2957916.1500000004</v>
      </c>
      <c r="U54" s="69">
        <f>P34-U51</f>
        <v>280336.22000000009</v>
      </c>
    </row>
    <row r="55" spans="1:21" ht="15.75" customHeight="1" x14ac:dyDescent="0.3">
      <c r="A55" s="76"/>
      <c r="B55" s="76"/>
      <c r="C55" s="63"/>
      <c r="D55" s="76"/>
      <c r="E55" s="76"/>
      <c r="F55" s="76"/>
      <c r="G55" s="92">
        <f>G54/G34</f>
        <v>0.3200793864413235</v>
      </c>
      <c r="H55" s="462">
        <f t="shared" ref="H55:T55" si="24">H54/H34</f>
        <v>0.35307659158746724</v>
      </c>
      <c r="I55" s="461">
        <f t="shared" si="24"/>
        <v>0.25080627158944474</v>
      </c>
      <c r="J55" s="461">
        <f t="shared" si="24"/>
        <v>0.26400883687604493</v>
      </c>
      <c r="K55" s="463">
        <f t="shared" si="24"/>
        <v>0.20651887611392306</v>
      </c>
      <c r="L55" s="463">
        <f t="shared" si="24"/>
        <v>0.40048082608901447</v>
      </c>
      <c r="M55" s="463">
        <f t="shared" si="24"/>
        <v>0.272981435351621</v>
      </c>
      <c r="N55" s="463">
        <f t="shared" si="24"/>
        <v>0.31880489521540084</v>
      </c>
      <c r="O55" s="463">
        <f t="shared" si="24"/>
        <v>0.26075614029878702</v>
      </c>
      <c r="P55" s="90">
        <f t="shared" si="24"/>
        <v>0.26187902568373705</v>
      </c>
      <c r="Q55" s="90">
        <f t="shared" si="24"/>
        <v>0.23761317690748254</v>
      </c>
      <c r="R55" s="464">
        <f t="shared" si="24"/>
        <v>0.26245601196955753</v>
      </c>
      <c r="S55" s="90">
        <f t="shared" si="24"/>
        <v>0.32889032814086816</v>
      </c>
      <c r="T55" s="96">
        <f t="shared" si="24"/>
        <v>0.29040183562961192</v>
      </c>
      <c r="U55" s="39">
        <f>U54/P34</f>
        <v>0.34950563622528036</v>
      </c>
    </row>
    <row r="56" spans="1:21" ht="15.75" customHeight="1" x14ac:dyDescent="0.3">
      <c r="A56" s="76"/>
      <c r="B56" s="76"/>
      <c r="C56" s="55" t="s">
        <v>203</v>
      </c>
      <c r="D56" s="76"/>
      <c r="E56" s="76"/>
      <c r="F56" s="76"/>
      <c r="G56" s="97"/>
      <c r="H56" s="465"/>
      <c r="I56" s="97"/>
      <c r="J56" s="97"/>
      <c r="K56" s="97"/>
      <c r="L56" s="97"/>
      <c r="M56" s="97"/>
      <c r="N56" s="97"/>
      <c r="O56" s="97"/>
      <c r="P56" s="63"/>
      <c r="Q56" s="63"/>
      <c r="R56" s="466"/>
      <c r="S56" s="63"/>
    </row>
    <row r="57" spans="1:21" s="79" customFormat="1" ht="15.75" customHeight="1" x14ac:dyDescent="0.3">
      <c r="A57" s="76"/>
      <c r="B57" s="76"/>
      <c r="C57" s="57" t="s">
        <v>204</v>
      </c>
      <c r="D57" s="76"/>
      <c r="E57" s="76"/>
      <c r="F57" s="63"/>
      <c r="G57" s="61">
        <v>15425</v>
      </c>
      <c r="H57" s="433">
        <v>30116</v>
      </c>
      <c r="I57" s="61">
        <v>31957</v>
      </c>
      <c r="J57" s="61">
        <v>33837</v>
      </c>
      <c r="K57" s="62">
        <v>25192</v>
      </c>
      <c r="L57" s="62">
        <v>24319</v>
      </c>
      <c r="M57" s="62">
        <v>27774</v>
      </c>
      <c r="N57" s="62">
        <v>28774.519999999997</v>
      </c>
      <c r="O57" s="62">
        <v>24076.45</v>
      </c>
      <c r="P57" s="81">
        <v>27073.09</v>
      </c>
      <c r="Q57" s="81">
        <v>35416.74</v>
      </c>
      <c r="R57" s="435">
        <v>35779.829999999994</v>
      </c>
      <c r="S57" s="81">
        <v>33999.120000000003</v>
      </c>
      <c r="T57" s="54">
        <f>SUM(H57:S57)</f>
        <v>358314.75</v>
      </c>
    </row>
    <row r="58" spans="1:21" s="79" customFormat="1" ht="15.75" customHeight="1" x14ac:dyDescent="0.3">
      <c r="A58" s="76"/>
      <c r="B58" s="76"/>
      <c r="C58" s="57" t="s">
        <v>205</v>
      </c>
      <c r="D58" s="76"/>
      <c r="E58" s="76"/>
      <c r="F58" s="63"/>
      <c r="G58" s="61">
        <v>163691</v>
      </c>
      <c r="H58" s="433">
        <v>54581</v>
      </c>
      <c r="I58" s="61">
        <v>60084</v>
      </c>
      <c r="J58" s="61">
        <v>58572</v>
      </c>
      <c r="K58" s="62">
        <v>55164</v>
      </c>
      <c r="L58" s="62">
        <v>51641</v>
      </c>
      <c r="M58" s="62">
        <v>58553</v>
      </c>
      <c r="N58" s="62">
        <v>57298.32</v>
      </c>
      <c r="O58" s="62">
        <v>58480.780000000006</v>
      </c>
      <c r="P58" s="81">
        <v>55062.850000000006</v>
      </c>
      <c r="Q58" s="81">
        <v>58217.89</v>
      </c>
      <c r="R58" s="435">
        <v>61869.350000000006</v>
      </c>
      <c r="S58" s="81">
        <v>60065.27</v>
      </c>
      <c r="T58" s="54">
        <f>SUM(H58:S58)</f>
        <v>689589.46000000008</v>
      </c>
    </row>
    <row r="59" spans="1:21" s="79" customFormat="1" ht="15.75" customHeight="1" x14ac:dyDescent="0.3">
      <c r="A59" s="76"/>
      <c r="B59" s="76"/>
      <c r="C59" s="57" t="s">
        <v>455</v>
      </c>
      <c r="D59" s="76"/>
      <c r="E59" s="76"/>
      <c r="F59" s="63"/>
      <c r="G59" s="61">
        <v>177224</v>
      </c>
      <c r="H59" s="433">
        <v>127368</v>
      </c>
      <c r="I59" s="61">
        <v>89970</v>
      </c>
      <c r="J59" s="61">
        <v>118126</v>
      </c>
      <c r="K59" s="62">
        <v>114818</v>
      </c>
      <c r="L59" s="62">
        <v>109335</v>
      </c>
      <c r="M59" s="62">
        <v>129571</v>
      </c>
      <c r="N59" s="62">
        <v>115443.78</v>
      </c>
      <c r="O59" s="62">
        <v>263282.43</v>
      </c>
      <c r="P59" s="81">
        <v>103201</v>
      </c>
      <c r="Q59" s="81">
        <v>98203.260000000009</v>
      </c>
      <c r="R59" s="62">
        <v>141544.54999999999</v>
      </c>
      <c r="S59" s="81">
        <v>131911.97999999998</v>
      </c>
      <c r="T59" s="54">
        <f>SUM(H59:S59)</f>
        <v>1542775</v>
      </c>
    </row>
    <row r="60" spans="1:21" s="79" customFormat="1" x14ac:dyDescent="0.3">
      <c r="A60" s="76"/>
      <c r="B60" s="76"/>
      <c r="C60" s="322" t="s">
        <v>456</v>
      </c>
      <c r="D60" s="323"/>
      <c r="E60" s="323"/>
      <c r="F60" s="347"/>
      <c r="G60" s="325">
        <v>503</v>
      </c>
      <c r="H60" s="437">
        <v>152</v>
      </c>
      <c r="I60" s="325">
        <v>1377</v>
      </c>
      <c r="J60" s="325">
        <v>5283</v>
      </c>
      <c r="K60" s="325">
        <v>216</v>
      </c>
      <c r="L60" s="325">
        <v>317.62</v>
      </c>
      <c r="M60" s="325">
        <v>4373</v>
      </c>
      <c r="N60" s="325">
        <v>6281.06</v>
      </c>
      <c r="O60" s="325">
        <v>489.16</v>
      </c>
      <c r="P60" s="438">
        <v>607.1</v>
      </c>
      <c r="Q60" s="438">
        <v>3721.26</v>
      </c>
      <c r="R60" s="439">
        <v>1756.46</v>
      </c>
      <c r="S60" s="438">
        <v>-2792.92</v>
      </c>
      <c r="T60" s="67">
        <f>SUM(H60:S60)</f>
        <v>21780.739999999998</v>
      </c>
    </row>
    <row r="61" spans="1:21" ht="15.75" customHeight="1" x14ac:dyDescent="0.3">
      <c r="A61" s="76"/>
      <c r="B61" s="76"/>
      <c r="C61" s="84" t="s">
        <v>206</v>
      </c>
      <c r="D61" s="93"/>
      <c r="E61" s="93"/>
      <c r="F61" s="93"/>
      <c r="G61" s="85">
        <f>SUM(G57:G60)</f>
        <v>356843</v>
      </c>
      <c r="H61" s="457">
        <f>SUM(H57:H60)</f>
        <v>212217</v>
      </c>
      <c r="I61" s="85">
        <f>SUM(I57:I60)</f>
        <v>183388</v>
      </c>
      <c r="J61" s="85">
        <v>215818</v>
      </c>
      <c r="K61" s="458">
        <f t="shared" ref="K61:S61" si="25">SUM(K57:K60)</f>
        <v>195390</v>
      </c>
      <c r="L61" s="458">
        <f t="shared" si="25"/>
        <v>185612.62</v>
      </c>
      <c r="M61" s="458">
        <f t="shared" si="25"/>
        <v>220271</v>
      </c>
      <c r="N61" s="458">
        <f t="shared" si="25"/>
        <v>207797.68</v>
      </c>
      <c r="O61" s="458">
        <f t="shared" si="25"/>
        <v>346328.82</v>
      </c>
      <c r="P61" s="86">
        <f t="shared" si="25"/>
        <v>185944.04</v>
      </c>
      <c r="Q61" s="86">
        <f t="shared" si="25"/>
        <v>195559.15000000002</v>
      </c>
      <c r="R61" s="459">
        <f t="shared" si="25"/>
        <v>240950.18999999997</v>
      </c>
      <c r="S61" s="86">
        <f t="shared" si="25"/>
        <v>223183.44999999998</v>
      </c>
      <c r="T61" s="87">
        <f>SUM(H61:S61)</f>
        <v>2612459.9500000002</v>
      </c>
    </row>
    <row r="62" spans="1:21" ht="15.75" customHeight="1" x14ac:dyDescent="0.3">
      <c r="A62" s="76"/>
      <c r="B62" s="76"/>
      <c r="C62" s="63"/>
      <c r="D62" s="76"/>
      <c r="E62" s="76"/>
      <c r="F62" s="63"/>
      <c r="G62" s="97"/>
      <c r="H62" s="465"/>
      <c r="I62" s="97"/>
      <c r="J62" s="97"/>
      <c r="K62" s="467"/>
      <c r="L62" s="467"/>
      <c r="M62" s="467"/>
      <c r="N62" s="467"/>
      <c r="O62" s="467"/>
      <c r="P62" s="63"/>
      <c r="Q62" s="63"/>
      <c r="R62" s="466"/>
      <c r="S62" s="63"/>
    </row>
    <row r="63" spans="1:21" x14ac:dyDescent="0.3">
      <c r="A63" s="76"/>
      <c r="B63" s="76"/>
      <c r="C63" s="84" t="s">
        <v>207</v>
      </c>
      <c r="D63" s="93"/>
      <c r="E63" s="93"/>
      <c r="F63" s="93"/>
      <c r="G63" s="85">
        <f t="shared" ref="G63:S63" si="26">G54-G61</f>
        <v>244880</v>
      </c>
      <c r="H63" s="457">
        <f t="shared" si="26"/>
        <v>27263.310000000056</v>
      </c>
      <c r="I63" s="85">
        <f t="shared" si="26"/>
        <v>37061.310000000056</v>
      </c>
      <c r="J63" s="85">
        <f t="shared" si="26"/>
        <v>5263</v>
      </c>
      <c r="K63" s="458">
        <f t="shared" si="26"/>
        <v>-94309.270000000019</v>
      </c>
      <c r="L63" s="458">
        <f t="shared" si="26"/>
        <v>261412.3400000002</v>
      </c>
      <c r="M63" s="458">
        <f t="shared" si="26"/>
        <v>7311.7499999998836</v>
      </c>
      <c r="N63" s="458">
        <f>N54-N61</f>
        <v>31331.550000000047</v>
      </c>
      <c r="O63" s="458">
        <f>O54-O61</f>
        <v>-119923.03000000009</v>
      </c>
      <c r="P63" s="86">
        <f t="shared" si="26"/>
        <v>24107.44000000009</v>
      </c>
      <c r="Q63" s="86">
        <f>Q54-Q61</f>
        <v>42995.840000000084</v>
      </c>
      <c r="R63" s="459">
        <f t="shared" si="26"/>
        <v>-56212.920000000013</v>
      </c>
      <c r="S63" s="86">
        <f t="shared" si="26"/>
        <v>179154.88000000021</v>
      </c>
      <c r="T63" s="87">
        <f>SUM(H63:S63)</f>
        <v>345456.20000000054</v>
      </c>
    </row>
    <row r="64" spans="1:21" ht="15.75" customHeight="1" x14ac:dyDescent="0.3">
      <c r="A64" s="76"/>
      <c r="B64" s="76"/>
      <c r="C64" s="63"/>
      <c r="D64" s="76"/>
      <c r="E64" s="76"/>
      <c r="F64" s="76"/>
      <c r="G64" s="97"/>
      <c r="H64" s="465"/>
      <c r="I64" s="97"/>
      <c r="J64" s="461"/>
      <c r="K64" s="463"/>
      <c r="L64" s="463"/>
      <c r="M64" s="463"/>
      <c r="N64" s="463"/>
      <c r="O64" s="463"/>
      <c r="P64" s="63"/>
      <c r="Q64" s="63"/>
      <c r="R64" s="466"/>
      <c r="S64" s="63"/>
    </row>
    <row r="65" spans="1:22" s="79" customFormat="1" ht="15.75" customHeight="1" x14ac:dyDescent="0.3">
      <c r="A65" s="76"/>
      <c r="B65" s="76"/>
      <c r="C65" s="347" t="s">
        <v>208</v>
      </c>
      <c r="D65" s="323"/>
      <c r="E65" s="323" t="s">
        <v>209</v>
      </c>
      <c r="F65" s="468">
        <v>0.01</v>
      </c>
      <c r="G65" s="469">
        <v>2840</v>
      </c>
      <c r="H65" s="470">
        <v>0</v>
      </c>
      <c r="I65" s="469">
        <v>19</v>
      </c>
      <c r="J65" s="469">
        <v>18819</v>
      </c>
      <c r="K65" s="469"/>
      <c r="L65" s="469">
        <v>0</v>
      </c>
      <c r="M65" s="469">
        <v>4570</v>
      </c>
      <c r="N65" s="469">
        <v>0</v>
      </c>
      <c r="O65" s="469"/>
      <c r="P65" s="471">
        <v>4450</v>
      </c>
      <c r="Q65" s="471">
        <v>-816.21</v>
      </c>
      <c r="R65" s="472"/>
      <c r="S65" s="471">
        <v>3890</v>
      </c>
      <c r="T65" s="473">
        <f>SUM(H65:S65)</f>
        <v>30931.79</v>
      </c>
      <c r="U65" s="474"/>
      <c r="V65" s="474"/>
    </row>
    <row r="66" spans="1:22" s="79" customFormat="1" ht="15.75" customHeight="1" x14ac:dyDescent="0.3">
      <c r="A66" s="76"/>
      <c r="B66" s="76"/>
      <c r="C66" s="63"/>
      <c r="D66" s="76"/>
      <c r="E66" s="76"/>
      <c r="F66" s="475"/>
      <c r="G66" s="476"/>
      <c r="H66" s="477"/>
      <c r="I66" s="476"/>
      <c r="J66" s="476"/>
      <c r="K66" s="476"/>
      <c r="L66" s="476"/>
      <c r="M66" s="476"/>
      <c r="N66" s="476"/>
      <c r="O66" s="476"/>
      <c r="P66" s="478"/>
      <c r="Q66" s="478"/>
      <c r="R66" s="479"/>
      <c r="S66" s="478"/>
      <c r="T66" s="480"/>
      <c r="U66" s="474"/>
      <c r="V66" s="474"/>
    </row>
    <row r="67" spans="1:22" s="79" customFormat="1" ht="15.75" customHeight="1" x14ac:dyDescent="0.3">
      <c r="A67" s="76"/>
      <c r="B67" s="76"/>
      <c r="C67" s="63" t="s">
        <v>457</v>
      </c>
      <c r="D67" s="76"/>
      <c r="E67" s="76"/>
      <c r="F67" s="475"/>
      <c r="G67" s="476"/>
      <c r="H67" s="477"/>
      <c r="I67" s="476"/>
      <c r="J67" s="476"/>
      <c r="K67" s="476"/>
      <c r="L67" s="476"/>
      <c r="M67" s="476"/>
      <c r="N67" s="476"/>
      <c r="O67" s="476"/>
      <c r="P67" s="478"/>
      <c r="Q67" s="478"/>
      <c r="R67" s="479"/>
      <c r="S67" s="478">
        <v>506200</v>
      </c>
      <c r="T67" s="478"/>
      <c r="U67" s="474"/>
      <c r="V67" s="474"/>
    </row>
    <row r="68" spans="1:22" ht="15.75" customHeight="1" x14ac:dyDescent="0.3">
      <c r="A68" s="76"/>
      <c r="B68" s="76"/>
      <c r="C68" s="63"/>
      <c r="D68" s="76"/>
      <c r="E68" s="76"/>
      <c r="F68" s="76"/>
      <c r="G68" s="97"/>
      <c r="H68" s="465"/>
      <c r="I68" s="97"/>
      <c r="J68" s="92"/>
      <c r="K68" s="97"/>
      <c r="L68" s="97"/>
      <c r="M68" s="97"/>
      <c r="N68" s="97"/>
      <c r="O68" s="97"/>
      <c r="P68" s="63"/>
      <c r="Q68" s="63"/>
      <c r="R68" s="466"/>
      <c r="S68" s="63"/>
    </row>
    <row r="69" spans="1:22" ht="15.75" customHeight="1" x14ac:dyDescent="0.3">
      <c r="A69" s="76"/>
      <c r="B69" s="76"/>
      <c r="C69" s="99" t="s">
        <v>210</v>
      </c>
      <c r="D69" s="100"/>
      <c r="E69" s="94"/>
      <c r="F69" s="95">
        <f>SUM(H69:M69)</f>
        <v>221684.30000000008</v>
      </c>
      <c r="G69" s="85">
        <v>245347</v>
      </c>
      <c r="H69" s="457">
        <v>28354</v>
      </c>
      <c r="I69" s="85">
        <v>37041.480000000003</v>
      </c>
      <c r="J69" s="85">
        <f t="shared" ref="J69:R69" si="27">J63-SUM(J65:J65)</f>
        <v>-13556</v>
      </c>
      <c r="K69" s="458">
        <f t="shared" si="27"/>
        <v>-94309.270000000019</v>
      </c>
      <c r="L69" s="458">
        <f t="shared" si="27"/>
        <v>261412.3400000002</v>
      </c>
      <c r="M69" s="458">
        <f t="shared" si="27"/>
        <v>2741.7499999998836</v>
      </c>
      <c r="N69" s="458">
        <f t="shared" si="27"/>
        <v>31331.550000000047</v>
      </c>
      <c r="O69" s="458">
        <f t="shared" si="27"/>
        <v>-119923.03000000009</v>
      </c>
      <c r="P69" s="86">
        <f t="shared" si="27"/>
        <v>19657.44000000009</v>
      </c>
      <c r="Q69" s="86">
        <f t="shared" si="27"/>
        <v>43812.050000000083</v>
      </c>
      <c r="R69" s="459">
        <f t="shared" si="27"/>
        <v>-56212.920000000013</v>
      </c>
      <c r="S69" s="86">
        <f>S63-SUM(S65:S65)+S67</f>
        <v>681464.88000000024</v>
      </c>
      <c r="T69" s="87">
        <f>SUM(H69:S69)</f>
        <v>821814.27000000048</v>
      </c>
    </row>
    <row r="70" spans="1:22" ht="15.75" customHeight="1" x14ac:dyDescent="0.3">
      <c r="A70" s="76"/>
      <c r="B70" s="76"/>
      <c r="C70" s="63"/>
      <c r="D70" s="76"/>
      <c r="E70" s="76"/>
      <c r="F70" s="89"/>
      <c r="G70" s="101"/>
      <c r="H70" s="481"/>
      <c r="I70" s="101"/>
      <c r="J70" s="101"/>
      <c r="K70" s="482"/>
      <c r="L70" s="482"/>
      <c r="M70" s="482"/>
      <c r="N70" s="482"/>
      <c r="O70" s="482"/>
      <c r="P70" s="76"/>
      <c r="Q70" s="76"/>
      <c r="R70" s="483"/>
      <c r="S70" s="76"/>
    </row>
    <row r="71" spans="1:22" ht="15.75" customHeight="1" x14ac:dyDescent="0.3">
      <c r="A71" s="76"/>
      <c r="B71" s="76"/>
      <c r="C71" s="84" t="s">
        <v>211</v>
      </c>
      <c r="D71" s="76"/>
      <c r="E71" s="76"/>
      <c r="F71" s="76"/>
      <c r="G71" s="102"/>
      <c r="H71" s="102"/>
      <c r="I71" s="102"/>
      <c r="J71" s="102"/>
      <c r="K71" s="102"/>
      <c r="L71" s="102"/>
      <c r="M71" s="102"/>
      <c r="N71" s="102"/>
      <c r="O71" s="102">
        <f>O59-O74</f>
        <v>84312.38</v>
      </c>
      <c r="P71" s="110">
        <f>P59-P74</f>
        <v>89444</v>
      </c>
      <c r="Q71" s="110"/>
      <c r="R71" s="484"/>
      <c r="S71" s="76"/>
    </row>
    <row r="72" spans="1:22" ht="15.75" customHeight="1" x14ac:dyDescent="0.3">
      <c r="A72" s="76"/>
      <c r="B72" s="76"/>
      <c r="C72" s="103" t="s">
        <v>52</v>
      </c>
      <c r="D72" s="76"/>
      <c r="E72" s="76"/>
      <c r="F72" s="76"/>
      <c r="G72" s="104">
        <f>G81</f>
        <v>0</v>
      </c>
      <c r="H72" s="104">
        <f>H81</f>
        <v>0</v>
      </c>
      <c r="I72" s="104">
        <f>I81</f>
        <v>0</v>
      </c>
      <c r="J72" s="104">
        <f>J81</f>
        <v>0</v>
      </c>
      <c r="K72" s="104">
        <v>0</v>
      </c>
      <c r="L72" s="104">
        <f t="shared" ref="L72:Q72" si="28">L81</f>
        <v>0</v>
      </c>
      <c r="M72" s="104">
        <f t="shared" si="28"/>
        <v>0</v>
      </c>
      <c r="N72" s="104">
        <f t="shared" si="28"/>
        <v>0</v>
      </c>
      <c r="O72" s="104">
        <f t="shared" si="28"/>
        <v>0</v>
      </c>
      <c r="P72" s="105">
        <f t="shared" si="28"/>
        <v>0</v>
      </c>
      <c r="Q72" s="105">
        <f t="shared" si="28"/>
        <v>0</v>
      </c>
      <c r="R72" s="485">
        <f>R81</f>
        <v>42136.36</v>
      </c>
      <c r="S72" s="105">
        <f>S81</f>
        <v>7844.43</v>
      </c>
    </row>
    <row r="73" spans="1:22" ht="15.75" customHeight="1" x14ac:dyDescent="0.3">
      <c r="A73" s="76"/>
      <c r="B73" s="76"/>
      <c r="C73" s="103" t="s">
        <v>212</v>
      </c>
      <c r="D73" s="76"/>
      <c r="E73" s="76"/>
      <c r="F73" s="76"/>
      <c r="G73" s="104">
        <v>0</v>
      </c>
      <c r="H73" s="104">
        <v>0</v>
      </c>
      <c r="I73" s="104">
        <v>0</v>
      </c>
      <c r="J73" s="104">
        <v>0</v>
      </c>
      <c r="K73" s="104">
        <v>0</v>
      </c>
      <c r="L73" s="104">
        <v>0</v>
      </c>
      <c r="M73" s="104">
        <v>0</v>
      </c>
      <c r="N73" s="104">
        <v>0</v>
      </c>
      <c r="O73" s="104">
        <v>0</v>
      </c>
      <c r="P73" s="105">
        <v>0</v>
      </c>
      <c r="Q73" s="105">
        <v>0</v>
      </c>
      <c r="R73" s="485">
        <v>0</v>
      </c>
      <c r="S73" s="105">
        <v>0</v>
      </c>
    </row>
    <row r="74" spans="1:22" x14ac:dyDescent="0.3">
      <c r="C74" s="486" t="s">
        <v>213</v>
      </c>
      <c r="D74" s="329"/>
      <c r="E74" s="329"/>
      <c r="F74" s="329"/>
      <c r="G74" s="487">
        <v>0</v>
      </c>
      <c r="H74" s="487">
        <v>0</v>
      </c>
      <c r="I74" s="487">
        <v>0</v>
      </c>
      <c r="J74" s="487">
        <v>0</v>
      </c>
      <c r="K74" s="487"/>
      <c r="L74" s="487">
        <v>0</v>
      </c>
      <c r="M74" s="487">
        <v>0</v>
      </c>
      <c r="N74" s="487">
        <v>0</v>
      </c>
      <c r="O74" s="487">
        <f>O83</f>
        <v>178970.05</v>
      </c>
      <c r="P74" s="488">
        <v>13757</v>
      </c>
      <c r="Q74" s="488">
        <v>0</v>
      </c>
      <c r="R74" s="489">
        <v>0</v>
      </c>
      <c r="S74" s="488">
        <f>-S67</f>
        <v>-506200</v>
      </c>
      <c r="T74" s="108"/>
    </row>
    <row r="75" spans="1:22" ht="15.75" customHeight="1" x14ac:dyDescent="0.3">
      <c r="A75" s="76"/>
      <c r="B75" s="76"/>
      <c r="C75" s="84" t="s">
        <v>214</v>
      </c>
      <c r="D75" s="76"/>
      <c r="E75" s="109"/>
      <c r="F75" s="110">
        <f>SUM(H75:M75)</f>
        <v>221684.30000000008</v>
      </c>
      <c r="G75" s="61">
        <f>G69+SUM(G72:G74)</f>
        <v>245347</v>
      </c>
      <c r="H75" s="433">
        <f t="shared" ref="H75:R75" si="29">H69+SUM(H72:H74)</f>
        <v>28354</v>
      </c>
      <c r="I75" s="61">
        <f t="shared" si="29"/>
        <v>37041.480000000003</v>
      </c>
      <c r="J75" s="61">
        <f t="shared" si="29"/>
        <v>-13556</v>
      </c>
      <c r="K75" s="62">
        <f t="shared" si="29"/>
        <v>-94309.270000000019</v>
      </c>
      <c r="L75" s="62">
        <f t="shared" si="29"/>
        <v>261412.3400000002</v>
      </c>
      <c r="M75" s="62">
        <f t="shared" si="29"/>
        <v>2741.7499999998836</v>
      </c>
      <c r="N75" s="62">
        <f t="shared" si="29"/>
        <v>31331.550000000047</v>
      </c>
      <c r="O75" s="62">
        <f>O69+SUM(O72:O74)</f>
        <v>59047.019999999902</v>
      </c>
      <c r="P75" s="81">
        <f t="shared" si="29"/>
        <v>33414.44000000009</v>
      </c>
      <c r="Q75" s="81">
        <f t="shared" si="29"/>
        <v>43812.050000000083</v>
      </c>
      <c r="R75" s="435">
        <f t="shared" si="29"/>
        <v>-14076.560000000012</v>
      </c>
      <c r="S75" s="81">
        <f>S69+SUM(S72:S74)</f>
        <v>183109.31000000023</v>
      </c>
      <c r="T75" s="91">
        <f>T69+SUM(T72:T74)</f>
        <v>821814.27000000048</v>
      </c>
    </row>
    <row r="76" spans="1:22" ht="15.75" customHeight="1" x14ac:dyDescent="0.3">
      <c r="A76" s="76"/>
      <c r="B76" s="76"/>
      <c r="C76" s="63"/>
      <c r="D76" s="76"/>
      <c r="E76" s="109"/>
      <c r="F76" s="109"/>
      <c r="G76" s="78"/>
      <c r="H76" s="490"/>
      <c r="I76" s="78"/>
      <c r="J76" s="78"/>
      <c r="K76" s="491"/>
      <c r="L76" s="491"/>
      <c r="M76" s="491"/>
      <c r="N76" s="491"/>
      <c r="O76" s="491"/>
      <c r="P76" s="111"/>
      <c r="Q76" s="111"/>
      <c r="R76" s="492"/>
      <c r="S76" s="90">
        <f>S75/S34</f>
        <v>0.14968218675945691</v>
      </c>
      <c r="T76" s="112"/>
    </row>
    <row r="77" spans="1:22" ht="15.75" customHeight="1" x14ac:dyDescent="0.3">
      <c r="A77" s="76"/>
      <c r="B77" s="76"/>
      <c r="C77" s="63"/>
      <c r="D77" s="76"/>
      <c r="E77" s="109"/>
      <c r="F77" s="109"/>
      <c r="G77" s="78"/>
      <c r="H77" s="490"/>
      <c r="I77" s="78"/>
      <c r="J77" s="78"/>
      <c r="K77" s="491"/>
      <c r="L77" s="491"/>
      <c r="M77" s="491"/>
      <c r="N77" s="491"/>
      <c r="O77" s="491"/>
      <c r="P77" s="111"/>
      <c r="Q77" s="111"/>
      <c r="R77" s="492"/>
      <c r="S77" s="111"/>
      <c r="T77" s="112"/>
    </row>
    <row r="78" spans="1:22" s="79" customFormat="1" ht="15.75" customHeight="1" x14ac:dyDescent="0.3">
      <c r="A78" s="76"/>
      <c r="B78" s="76"/>
      <c r="C78" s="57" t="s">
        <v>53</v>
      </c>
      <c r="D78" s="76"/>
      <c r="E78" s="89" t="s">
        <v>215</v>
      </c>
      <c r="F78" s="493">
        <v>3.2500000000000001E-2</v>
      </c>
      <c r="G78" s="61"/>
      <c r="H78" s="433">
        <v>10244</v>
      </c>
      <c r="I78" s="61"/>
      <c r="J78" s="61">
        <v>-1761</v>
      </c>
      <c r="K78" s="61">
        <v>11070.6</v>
      </c>
      <c r="L78" s="62">
        <v>2083.7600000000002</v>
      </c>
      <c r="M78" s="62">
        <v>2262</v>
      </c>
      <c r="N78" s="62">
        <v>11913.96</v>
      </c>
      <c r="O78" s="62">
        <v>2379.48</v>
      </c>
      <c r="P78" s="81">
        <v>2100.66</v>
      </c>
      <c r="Q78" s="81">
        <v>8007.51</v>
      </c>
      <c r="R78" s="435">
        <v>2348.5700000000002</v>
      </c>
      <c r="S78" s="81">
        <v>2976.51</v>
      </c>
      <c r="T78" s="54">
        <f>$F$78/12*S131</f>
        <v>2708.3333333333335</v>
      </c>
    </row>
    <row r="79" spans="1:22" s="79" customFormat="1" ht="15.75" customHeight="1" x14ac:dyDescent="0.3">
      <c r="A79" s="76"/>
      <c r="B79" s="76"/>
      <c r="C79" s="57" t="s">
        <v>216</v>
      </c>
      <c r="D79" s="76"/>
      <c r="E79" s="89"/>
      <c r="F79" s="113"/>
      <c r="G79" s="114"/>
      <c r="H79" s="433">
        <v>16250</v>
      </c>
      <c r="I79" s="61">
        <v>16250</v>
      </c>
      <c r="J79" s="61">
        <v>16250</v>
      </c>
      <c r="K79" s="61">
        <f>16249.91</f>
        <v>16249.91</v>
      </c>
      <c r="L79" s="62">
        <v>16249.91</v>
      </c>
      <c r="M79" s="62">
        <v>31955</v>
      </c>
      <c r="N79" s="62">
        <v>20328.21</v>
      </c>
      <c r="O79" s="62">
        <v>20328.21</v>
      </c>
      <c r="P79" s="81">
        <v>20328.21</v>
      </c>
      <c r="Q79" s="81">
        <v>20328.21</v>
      </c>
      <c r="R79" s="435">
        <v>11383.68</v>
      </c>
      <c r="S79" s="81">
        <v>12109.3</v>
      </c>
      <c r="T79" s="54">
        <f>SUM(H79:S79)</f>
        <v>218010.63999999996</v>
      </c>
    </row>
    <row r="80" spans="1:22" s="79" customFormat="1" ht="15.75" customHeight="1" x14ac:dyDescent="0.3">
      <c r="A80" s="76"/>
      <c r="B80" s="76"/>
      <c r="C80" s="57" t="s">
        <v>217</v>
      </c>
      <c r="D80" s="76"/>
      <c r="E80" s="76"/>
      <c r="F80" s="113"/>
      <c r="G80" s="114"/>
      <c r="H80" s="433">
        <v>2262</v>
      </c>
      <c r="I80" s="61">
        <v>2262</v>
      </c>
      <c r="J80" s="61">
        <v>2262</v>
      </c>
      <c r="K80" s="61">
        <v>2262</v>
      </c>
      <c r="L80" s="62">
        <v>2262</v>
      </c>
      <c r="M80" s="62">
        <v>2262</v>
      </c>
      <c r="N80" s="62">
        <v>2262</v>
      </c>
      <c r="O80" s="62">
        <v>2262.1499999999996</v>
      </c>
      <c r="P80" s="81">
        <v>2262.1499999999996</v>
      </c>
      <c r="Q80" s="81">
        <v>2262.1499999999996</v>
      </c>
      <c r="R80" s="435">
        <v>2262.1799999999998</v>
      </c>
      <c r="S80" s="81">
        <v>9579.92</v>
      </c>
      <c r="T80" s="54">
        <f>SUM(H80:S80)</f>
        <v>34462.550000000003</v>
      </c>
    </row>
    <row r="81" spans="1:21" s="79" customFormat="1" ht="15.75" customHeight="1" x14ac:dyDescent="0.3">
      <c r="A81" s="76"/>
      <c r="B81" s="76"/>
      <c r="C81" s="57" t="s">
        <v>52</v>
      </c>
      <c r="D81" s="76"/>
      <c r="E81" s="76"/>
      <c r="F81" s="63"/>
      <c r="G81" s="114"/>
      <c r="H81" s="433">
        <v>0</v>
      </c>
      <c r="I81" s="61">
        <v>0</v>
      </c>
      <c r="J81" s="62">
        <v>0</v>
      </c>
      <c r="K81" s="62">
        <v>0</v>
      </c>
      <c r="L81" s="62">
        <v>0</v>
      </c>
      <c r="M81" s="62">
        <v>0</v>
      </c>
      <c r="N81" s="62">
        <v>0</v>
      </c>
      <c r="O81" s="62">
        <v>0</v>
      </c>
      <c r="P81" s="81">
        <v>0</v>
      </c>
      <c r="Q81" s="81">
        <v>0</v>
      </c>
      <c r="R81" s="435">
        <v>42136.36</v>
      </c>
      <c r="S81" s="81">
        <v>7844.43</v>
      </c>
      <c r="T81" s="54">
        <f>SUM(H81:S81)</f>
        <v>49980.79</v>
      </c>
    </row>
    <row r="82" spans="1:21" s="79" customFormat="1" ht="15.75" customHeight="1" x14ac:dyDescent="0.3">
      <c r="A82" s="76"/>
      <c r="B82" s="76"/>
      <c r="C82" s="57" t="s">
        <v>399</v>
      </c>
      <c r="D82" s="76"/>
      <c r="E82" s="76"/>
      <c r="F82" s="63"/>
      <c r="G82" s="61"/>
      <c r="H82" s="433">
        <v>4007</v>
      </c>
      <c r="I82" s="61">
        <v>6105</v>
      </c>
      <c r="J82" s="61">
        <v>10781</v>
      </c>
      <c r="K82" s="62">
        <v>2782.78</v>
      </c>
      <c r="L82" s="62">
        <v>1426.38</v>
      </c>
      <c r="M82" s="62">
        <v>4545</v>
      </c>
      <c r="N82" s="62">
        <v>6337.96</v>
      </c>
      <c r="O82" s="62">
        <v>5714.42</v>
      </c>
      <c r="P82" s="81">
        <v>1683.95</v>
      </c>
      <c r="Q82" s="81">
        <v>3946.83</v>
      </c>
      <c r="R82" s="435">
        <v>6294.75</v>
      </c>
      <c r="S82" s="81">
        <v>860.85</v>
      </c>
      <c r="T82" s="54">
        <f>SUM(H82:S82)</f>
        <v>54485.919999999998</v>
      </c>
    </row>
    <row r="83" spans="1:21" s="79" customFormat="1" ht="15.75" customHeight="1" x14ac:dyDescent="0.3">
      <c r="A83" s="76"/>
      <c r="B83" s="76"/>
      <c r="C83" s="57" t="s">
        <v>218</v>
      </c>
      <c r="D83" s="76"/>
      <c r="E83" s="76"/>
      <c r="F83" s="63"/>
      <c r="G83" s="61"/>
      <c r="H83" s="433"/>
      <c r="I83" s="61">
        <v>0</v>
      </c>
      <c r="J83" s="62">
        <v>0</v>
      </c>
      <c r="K83" s="62">
        <v>0</v>
      </c>
      <c r="L83" s="62">
        <v>0</v>
      </c>
      <c r="M83" s="62">
        <v>0</v>
      </c>
      <c r="N83" s="62">
        <v>0</v>
      </c>
      <c r="O83" s="62">
        <v>178970.05</v>
      </c>
      <c r="P83" s="81">
        <v>13757.15</v>
      </c>
      <c r="Q83" s="81">
        <v>0</v>
      </c>
      <c r="R83" s="435">
        <v>6847.88</v>
      </c>
      <c r="S83" s="81">
        <v>11417.83</v>
      </c>
      <c r="T83" s="54"/>
    </row>
    <row r="84" spans="1:21" s="79" customFormat="1" ht="15.75" customHeight="1" x14ac:dyDescent="0.3">
      <c r="A84" s="76"/>
      <c r="B84" s="76"/>
      <c r="C84" s="57"/>
      <c r="D84" s="76"/>
      <c r="E84" s="76"/>
      <c r="F84" s="63"/>
      <c r="G84" s="61"/>
      <c r="H84" s="433"/>
      <c r="I84" s="61"/>
      <c r="J84" s="61"/>
      <c r="K84" s="62"/>
      <c r="L84" s="62"/>
      <c r="M84" s="62"/>
      <c r="N84" s="62"/>
      <c r="O84" s="62"/>
      <c r="P84" s="81"/>
      <c r="Q84" s="81"/>
      <c r="R84" s="435"/>
      <c r="S84" s="81"/>
      <c r="T84" s="54"/>
    </row>
    <row r="85" spans="1:21" ht="15.75" customHeight="1" x14ac:dyDescent="0.3">
      <c r="A85" s="76"/>
      <c r="B85" s="76"/>
      <c r="C85" s="115" t="s">
        <v>219</v>
      </c>
      <c r="D85" s="76"/>
      <c r="E85" s="76"/>
      <c r="F85" s="76"/>
      <c r="G85" s="116"/>
      <c r="H85" s="494"/>
      <c r="I85" s="116"/>
      <c r="J85" s="116"/>
      <c r="K85" s="116"/>
      <c r="L85" s="116"/>
      <c r="M85" s="116"/>
      <c r="N85" s="116"/>
      <c r="O85" s="116"/>
      <c r="P85" s="495"/>
      <c r="Q85" s="495"/>
      <c r="R85" s="496"/>
      <c r="S85" s="495"/>
    </row>
    <row r="86" spans="1:21" ht="15.75" customHeight="1" x14ac:dyDescent="0.3">
      <c r="A86" s="76"/>
      <c r="B86" s="76"/>
      <c r="C86" s="117" t="s">
        <v>220</v>
      </c>
      <c r="F86" s="118"/>
      <c r="G86" s="119">
        <f>G75+G78+G65+G79+G80</f>
        <v>248187</v>
      </c>
      <c r="H86" s="497">
        <f>H75+H78+H65+H79+H80</f>
        <v>57110</v>
      </c>
      <c r="I86" s="119">
        <f>I75+I78+I65+I79+I80</f>
        <v>55572.480000000003</v>
      </c>
      <c r="J86" s="119">
        <f>J75+J78+J65+J79+J80</f>
        <v>22014</v>
      </c>
      <c r="K86" s="119">
        <f>K69+K78+K65+K79+K80</f>
        <v>-64726.760000000009</v>
      </c>
      <c r="L86" s="119">
        <f>L75+L78+L65+L79+L80</f>
        <v>282008.01000000018</v>
      </c>
      <c r="M86" s="119">
        <f>M75+M78+M65+M79+M80</f>
        <v>43790.749999999884</v>
      </c>
      <c r="N86" s="119">
        <f>N75+N78+N65+N79+N80</f>
        <v>65835.720000000045</v>
      </c>
      <c r="O86" s="119">
        <f>O69+O78+O65+O79+O80</f>
        <v>-94953.19000000009</v>
      </c>
      <c r="P86" s="305">
        <f>P75+P78+P65+P79+P80</f>
        <v>62555.460000000094</v>
      </c>
      <c r="Q86" s="305">
        <f>Q75+Q78+Q65+Q79+Q80</f>
        <v>73593.710000000079</v>
      </c>
      <c r="R86" s="498">
        <f>R75+R78+R65+R79+R80</f>
        <v>1917.8699999999876</v>
      </c>
      <c r="S86" s="305">
        <f>S69+S78+S65+S79+S80</f>
        <v>710020.61000000034</v>
      </c>
      <c r="T86" s="54">
        <f>SUM(H86:S86)</f>
        <v>1214738.6600000006</v>
      </c>
      <c r="U86" s="853">
        <f>T86-(S86-S88)</f>
        <v>716383.09000000055</v>
      </c>
    </row>
    <row r="87" spans="1:21" ht="15.75" customHeight="1" x14ac:dyDescent="0.3">
      <c r="C87" s="120" t="s">
        <v>221</v>
      </c>
      <c r="D87" s="76"/>
      <c r="E87" s="76"/>
      <c r="F87" s="76"/>
      <c r="G87" s="121">
        <f>G86/$G$34</f>
        <v>0.13202012002651178</v>
      </c>
      <c r="H87" s="499">
        <f>H86/$G$34</f>
        <v>3.037898461528641E-2</v>
      </c>
      <c r="I87" s="121">
        <f t="shared" ref="I87:S87" si="30">I86/$G$34</f>
        <v>2.9561119155197196E-2</v>
      </c>
      <c r="J87" s="121">
        <f t="shared" si="30"/>
        <v>1.1710085227121608E-2</v>
      </c>
      <c r="K87" s="121">
        <f t="shared" si="30"/>
        <v>-3.4430629421070495E-2</v>
      </c>
      <c r="L87" s="121">
        <f t="shared" si="30"/>
        <v>0.15001080366271305</v>
      </c>
      <c r="M87" s="121">
        <f t="shared" si="30"/>
        <v>2.3293968141163541E-2</v>
      </c>
      <c r="N87" s="121">
        <f t="shared" si="30"/>
        <v>3.5020527491092718E-2</v>
      </c>
      <c r="O87" s="121">
        <f t="shared" si="30"/>
        <v>-5.0509219019127478E-2</v>
      </c>
      <c r="P87" s="306">
        <f t="shared" si="30"/>
        <v>3.327563223502307E-2</v>
      </c>
      <c r="Q87" s="306">
        <f t="shared" si="30"/>
        <v>3.9147297914057994E-2</v>
      </c>
      <c r="R87" s="500">
        <f t="shared" si="30"/>
        <v>1.0201881145879702E-3</v>
      </c>
      <c r="S87" s="306">
        <f t="shared" si="30"/>
        <v>0.37768701081642941</v>
      </c>
    </row>
    <row r="88" spans="1:21" ht="15.75" customHeight="1" x14ac:dyDescent="0.3">
      <c r="A88" s="76"/>
      <c r="B88" s="76"/>
      <c r="C88" s="122" t="s">
        <v>222</v>
      </c>
      <c r="D88" s="76"/>
      <c r="E88" s="76"/>
      <c r="F88" s="76"/>
      <c r="G88" s="123">
        <f>G86+SUM(G72:G74)</f>
        <v>248187</v>
      </c>
      <c r="H88" s="501">
        <f t="shared" ref="H88:R88" si="31">H86+SUM(H72:H74)</f>
        <v>57110</v>
      </c>
      <c r="I88" s="123">
        <f t="shared" si="31"/>
        <v>55572.480000000003</v>
      </c>
      <c r="J88" s="123">
        <f t="shared" si="31"/>
        <v>22014</v>
      </c>
      <c r="K88" s="123">
        <f t="shared" si="31"/>
        <v>-64726.760000000009</v>
      </c>
      <c r="L88" s="123">
        <f t="shared" si="31"/>
        <v>282008.01000000018</v>
      </c>
      <c r="M88" s="123">
        <f t="shared" si="31"/>
        <v>43790.749999999884</v>
      </c>
      <c r="N88" s="123">
        <f t="shared" si="31"/>
        <v>65835.720000000045</v>
      </c>
      <c r="O88" s="123">
        <f>O86+SUM(O72:O74)</f>
        <v>84016.859999999899</v>
      </c>
      <c r="P88" s="307">
        <f t="shared" si="31"/>
        <v>76312.460000000094</v>
      </c>
      <c r="Q88" s="307">
        <f t="shared" si="31"/>
        <v>73593.710000000079</v>
      </c>
      <c r="R88" s="502">
        <f t="shared" si="31"/>
        <v>44054.229999999989</v>
      </c>
      <c r="S88" s="307">
        <f>S86+SUM(S72:S74)</f>
        <v>211665.04000000033</v>
      </c>
      <c r="T88" s="54">
        <f>SUM(H88:S88)</f>
        <v>951246.50000000047</v>
      </c>
    </row>
    <row r="89" spans="1:21" ht="15.75" customHeight="1" x14ac:dyDescent="0.3">
      <c r="A89" s="76"/>
      <c r="B89" s="76"/>
      <c r="C89" s="120" t="s">
        <v>221</v>
      </c>
      <c r="D89" s="76"/>
      <c r="E89" s="76"/>
      <c r="F89" s="76"/>
      <c r="G89" s="121">
        <f>G88/$G$34</f>
        <v>0.13202012002651178</v>
      </c>
      <c r="H89" s="499">
        <f>H88/$G$34</f>
        <v>3.037898461528641E-2</v>
      </c>
      <c r="I89" s="121">
        <f t="shared" ref="I89:S89" si="32">I88/$G$34</f>
        <v>2.9561119155197196E-2</v>
      </c>
      <c r="J89" s="121">
        <f t="shared" si="32"/>
        <v>1.1710085227121608E-2</v>
      </c>
      <c r="K89" s="121">
        <f t="shared" si="32"/>
        <v>-3.4430629421070495E-2</v>
      </c>
      <c r="L89" s="121">
        <f t="shared" si="32"/>
        <v>0.15001080366271305</v>
      </c>
      <c r="M89" s="121">
        <f t="shared" si="32"/>
        <v>2.3293968141163541E-2</v>
      </c>
      <c r="N89" s="121">
        <f t="shared" si="32"/>
        <v>3.5020527491092718E-2</v>
      </c>
      <c r="O89" s="121">
        <f t="shared" si="32"/>
        <v>4.4691768470752395E-2</v>
      </c>
      <c r="P89" s="306">
        <f t="shared" si="32"/>
        <v>4.0593504610307522E-2</v>
      </c>
      <c r="Q89" s="306">
        <f t="shared" si="32"/>
        <v>3.9147297914057994E-2</v>
      </c>
      <c r="R89" s="500">
        <f t="shared" si="32"/>
        <v>2.3434123190479578E-2</v>
      </c>
      <c r="S89" s="306">
        <f t="shared" si="32"/>
        <v>0.11259269819215537</v>
      </c>
    </row>
    <row r="90" spans="1:21" ht="15.75" customHeight="1" x14ac:dyDescent="0.3">
      <c r="A90" s="76"/>
      <c r="B90" s="76"/>
      <c r="C90" s="117" t="s">
        <v>223</v>
      </c>
      <c r="G90" s="124">
        <f>H90</f>
        <v>16250</v>
      </c>
      <c r="H90" s="503">
        <f t="shared" ref="H90:S90" si="33">H79</f>
        <v>16250</v>
      </c>
      <c r="I90" s="124">
        <f t="shared" si="33"/>
        <v>16250</v>
      </c>
      <c r="J90" s="124">
        <f t="shared" si="33"/>
        <v>16250</v>
      </c>
      <c r="K90" s="124">
        <f t="shared" si="33"/>
        <v>16249.91</v>
      </c>
      <c r="L90" s="124">
        <f t="shared" si="33"/>
        <v>16249.91</v>
      </c>
      <c r="M90" s="124">
        <f t="shared" si="33"/>
        <v>31955</v>
      </c>
      <c r="N90" s="124">
        <f t="shared" si="33"/>
        <v>20328.21</v>
      </c>
      <c r="O90" s="124">
        <f t="shared" si="33"/>
        <v>20328.21</v>
      </c>
      <c r="P90" s="308">
        <f t="shared" si="33"/>
        <v>20328.21</v>
      </c>
      <c r="Q90" s="308">
        <f t="shared" si="33"/>
        <v>20328.21</v>
      </c>
      <c r="R90" s="504">
        <f t="shared" si="33"/>
        <v>11383.68</v>
      </c>
      <c r="S90" s="308">
        <f t="shared" si="33"/>
        <v>12109.3</v>
      </c>
    </row>
    <row r="91" spans="1:21" ht="15.75" customHeight="1" x14ac:dyDescent="0.3">
      <c r="C91" s="120" t="s">
        <v>221</v>
      </c>
      <c r="D91" s="76"/>
      <c r="E91" s="76"/>
      <c r="F91" s="76"/>
      <c r="G91" s="121">
        <f>G90/$G$34</f>
        <v>8.643994046548838E-3</v>
      </c>
      <c r="H91" s="499">
        <f>H90/$G$34</f>
        <v>8.643994046548838E-3</v>
      </c>
      <c r="I91" s="121">
        <f t="shared" ref="I91:S91" si="34">I90/$G$34</f>
        <v>8.643994046548838E-3</v>
      </c>
      <c r="J91" s="121">
        <f t="shared" si="34"/>
        <v>8.643994046548838E-3</v>
      </c>
      <c r="K91" s="121">
        <f t="shared" si="34"/>
        <v>8.6439461721202725E-3</v>
      </c>
      <c r="L91" s="121">
        <f t="shared" si="34"/>
        <v>8.6439461721202725E-3</v>
      </c>
      <c r="M91" s="121">
        <f t="shared" si="34"/>
        <v>1.699808183122881E-2</v>
      </c>
      <c r="N91" s="121">
        <f t="shared" si="34"/>
        <v>1.0813349305661205E-2</v>
      </c>
      <c r="O91" s="121">
        <f t="shared" si="34"/>
        <v>1.0813349305661205E-2</v>
      </c>
      <c r="P91" s="306">
        <f t="shared" si="34"/>
        <v>1.0813349305661205E-2</v>
      </c>
      <c r="Q91" s="306">
        <f t="shared" si="34"/>
        <v>1.0813349305661205E-2</v>
      </c>
      <c r="R91" s="500">
        <f t="shared" si="34"/>
        <v>6.0554130552502826E-3</v>
      </c>
      <c r="S91" s="306">
        <f t="shared" si="34"/>
        <v>6.4413979758691595E-3</v>
      </c>
    </row>
    <row r="92" spans="1:21" ht="15.75" customHeight="1" x14ac:dyDescent="0.3">
      <c r="A92" s="76"/>
      <c r="B92" s="76"/>
      <c r="C92" s="117" t="s">
        <v>224</v>
      </c>
      <c r="D92" s="125"/>
      <c r="G92" s="123">
        <f>H92</f>
        <v>2262</v>
      </c>
      <c r="H92" s="501">
        <f t="shared" ref="H92:S92" si="35">H80</f>
        <v>2262</v>
      </c>
      <c r="I92" s="123">
        <f t="shared" si="35"/>
        <v>2262</v>
      </c>
      <c r="J92" s="123">
        <f t="shared" si="35"/>
        <v>2262</v>
      </c>
      <c r="K92" s="123">
        <f t="shared" si="35"/>
        <v>2262</v>
      </c>
      <c r="L92" s="123">
        <f t="shared" si="35"/>
        <v>2262</v>
      </c>
      <c r="M92" s="123">
        <f t="shared" si="35"/>
        <v>2262</v>
      </c>
      <c r="N92" s="123">
        <f t="shared" si="35"/>
        <v>2262</v>
      </c>
      <c r="O92" s="123">
        <f t="shared" si="35"/>
        <v>2262.1499999999996</v>
      </c>
      <c r="P92" s="307">
        <f t="shared" si="35"/>
        <v>2262.1499999999996</v>
      </c>
      <c r="Q92" s="307">
        <f t="shared" si="35"/>
        <v>2262.1499999999996</v>
      </c>
      <c r="R92" s="502">
        <f t="shared" si="35"/>
        <v>2262.1799999999998</v>
      </c>
      <c r="S92" s="307">
        <f t="shared" si="35"/>
        <v>9579.92</v>
      </c>
    </row>
    <row r="93" spans="1:21" ht="15.75" customHeight="1" x14ac:dyDescent="0.3">
      <c r="C93" s="120" t="s">
        <v>221</v>
      </c>
      <c r="D93" s="76"/>
      <c r="E93" s="76"/>
      <c r="F93" s="76"/>
      <c r="G93" s="121">
        <f>G92/$G$34</f>
        <v>1.2032439712795983E-3</v>
      </c>
      <c r="H93" s="499">
        <f>H92/$G$34</f>
        <v>1.2032439712795983E-3</v>
      </c>
      <c r="I93" s="121">
        <f t="shared" ref="I93:S93" si="36">I92/$G$34</f>
        <v>1.2032439712795983E-3</v>
      </c>
      <c r="J93" s="121">
        <f t="shared" si="36"/>
        <v>1.2032439712795983E-3</v>
      </c>
      <c r="K93" s="121">
        <f t="shared" si="36"/>
        <v>1.2032439712795983E-3</v>
      </c>
      <c r="L93" s="121">
        <f t="shared" si="36"/>
        <v>1.2032439712795983E-3</v>
      </c>
      <c r="M93" s="121">
        <f t="shared" si="36"/>
        <v>1.2032439712795983E-3</v>
      </c>
      <c r="N93" s="121">
        <f t="shared" si="36"/>
        <v>1.2032439712795983E-3</v>
      </c>
      <c r="O93" s="121">
        <f t="shared" si="36"/>
        <v>1.2033237619938741E-3</v>
      </c>
      <c r="P93" s="306">
        <f t="shared" si="36"/>
        <v>1.2033237619938741E-3</v>
      </c>
      <c r="Q93" s="306">
        <f t="shared" si="36"/>
        <v>1.2033237619938741E-3</v>
      </c>
      <c r="R93" s="500">
        <f t="shared" si="36"/>
        <v>1.2033397201367292E-3</v>
      </c>
      <c r="S93" s="306">
        <f t="shared" si="36"/>
        <v>5.0959243967024096E-3</v>
      </c>
    </row>
    <row r="94" spans="1:21" ht="15.75" customHeight="1" x14ac:dyDescent="0.3">
      <c r="A94" s="76"/>
      <c r="B94" s="76"/>
      <c r="C94" s="117" t="s">
        <v>225</v>
      </c>
      <c r="E94" s="32"/>
      <c r="F94" s="56"/>
      <c r="G94" s="123">
        <v>-469651</v>
      </c>
      <c r="H94" s="501">
        <f t="shared" ref="H94:N94" si="37">-(H123-G123)</f>
        <v>-189537.66000000015</v>
      </c>
      <c r="I94" s="123">
        <f t="shared" si="37"/>
        <v>-230730.2799999998</v>
      </c>
      <c r="J94" s="123">
        <f t="shared" si="37"/>
        <v>-159710.2200000002</v>
      </c>
      <c r="K94" s="123">
        <f t="shared" si="37"/>
        <v>-63888.069999999832</v>
      </c>
      <c r="L94" s="123">
        <f t="shared" si="37"/>
        <v>-55066.930000000168</v>
      </c>
      <c r="M94" s="123">
        <f t="shared" si="37"/>
        <v>13897</v>
      </c>
      <c r="N94" s="123">
        <f t="shared" si="37"/>
        <v>-8038.8300000000745</v>
      </c>
      <c r="O94" s="123">
        <f>-(O123-N123)-490781.6</f>
        <v>-11207.730000000331</v>
      </c>
      <c r="P94" s="307">
        <v>0</v>
      </c>
      <c r="Q94" s="307">
        <v>0</v>
      </c>
      <c r="R94" s="123">
        <v>0</v>
      </c>
      <c r="S94" s="123">
        <v>-5079.3599999999997</v>
      </c>
    </row>
    <row r="95" spans="1:21" ht="15.75" customHeight="1" x14ac:dyDescent="0.3">
      <c r="C95" s="120" t="s">
        <v>221</v>
      </c>
      <c r="D95" s="76"/>
      <c r="E95" s="126"/>
      <c r="F95" s="126"/>
      <c r="G95" s="121">
        <f>G94/G$34</f>
        <v>-0.24982525833573593</v>
      </c>
      <c r="H95" s="499">
        <f t="shared" ref="H95:S95" si="38">H94/H$34</f>
        <v>-0.279443896536898</v>
      </c>
      <c r="I95" s="121">
        <f t="shared" si="38"/>
        <v>-0.26250298206689132</v>
      </c>
      <c r="J95" s="121">
        <f t="shared" si="38"/>
        <v>-0.19072154287079079</v>
      </c>
      <c r="K95" s="121">
        <f t="shared" si="38"/>
        <v>-0.13053024462217092</v>
      </c>
      <c r="L95" s="121">
        <f t="shared" si="38"/>
        <v>-4.9333374173527109E-2</v>
      </c>
      <c r="M95" s="121">
        <f t="shared" si="38"/>
        <v>1.666920277165769E-2</v>
      </c>
      <c r="N95" s="121">
        <f t="shared" si="38"/>
        <v>-1.0717294392678153E-2</v>
      </c>
      <c r="O95" s="121">
        <f t="shared" si="38"/>
        <v>-1.2908169955861162E-2</v>
      </c>
      <c r="P95" s="306">
        <f t="shared" si="38"/>
        <v>0</v>
      </c>
      <c r="Q95" s="306">
        <f t="shared" si="38"/>
        <v>0</v>
      </c>
      <c r="R95" s="500">
        <f t="shared" si="38"/>
        <v>0</v>
      </c>
      <c r="S95" s="306">
        <f t="shared" si="38"/>
        <v>-4.1521084435221451E-3</v>
      </c>
    </row>
    <row r="96" spans="1:21" ht="15.75" customHeight="1" x14ac:dyDescent="0.3">
      <c r="A96" s="76"/>
      <c r="B96" s="76"/>
      <c r="C96" s="117" t="s">
        <v>226</v>
      </c>
      <c r="F96" s="56"/>
      <c r="G96" s="123">
        <v>600126.2899999998</v>
      </c>
      <c r="H96" s="501">
        <f t="shared" ref="H96:S96" si="39">H102-G102</f>
        <v>-63475.289999999804</v>
      </c>
      <c r="I96" s="123">
        <f t="shared" si="39"/>
        <v>157889.42999999947</v>
      </c>
      <c r="J96" s="123">
        <f t="shared" si="39"/>
        <v>-283733.42999999947</v>
      </c>
      <c r="K96" s="123">
        <f t="shared" si="39"/>
        <v>-159062.84999999963</v>
      </c>
      <c r="L96" s="123">
        <f t="shared" si="39"/>
        <v>472359.45000000065</v>
      </c>
      <c r="M96" s="123">
        <f t="shared" si="39"/>
        <v>64122.399999998976</v>
      </c>
      <c r="N96" s="123">
        <f t="shared" si="39"/>
        <v>-104974.02000000048</v>
      </c>
      <c r="O96" s="123">
        <f t="shared" si="39"/>
        <v>65934.010000000242</v>
      </c>
      <c r="P96" s="307">
        <f t="shared" si="39"/>
        <v>403059.42999999924</v>
      </c>
      <c r="Q96" s="307">
        <f t="shared" si="39"/>
        <v>-184945.13999999897</v>
      </c>
      <c r="R96" s="123">
        <f t="shared" si="39"/>
        <v>-334760.1399999999</v>
      </c>
      <c r="S96" s="307">
        <f t="shared" si="39"/>
        <v>296397.16999999993</v>
      </c>
    </row>
    <row r="97" spans="1:20" ht="15.75" customHeight="1" x14ac:dyDescent="0.3">
      <c r="C97" s="120" t="s">
        <v>221</v>
      </c>
      <c r="D97" s="76"/>
      <c r="E97" s="76"/>
      <c r="F97" s="76"/>
      <c r="G97" s="121">
        <f>G96/$G$34</f>
        <v>0.31923003556538093</v>
      </c>
      <c r="H97" s="499">
        <f>H96/$G$34</f>
        <v>-3.3764924853105192E-2</v>
      </c>
      <c r="I97" s="121">
        <f t="shared" ref="I97:S97" si="40">I96/$G$34</f>
        <v>8.3987402642029849E-2</v>
      </c>
      <c r="J97" s="121">
        <f t="shared" si="40"/>
        <v>-0.15092862029088475</v>
      </c>
      <c r="K97" s="121">
        <f t="shared" si="40"/>
        <v>-8.461158944166694E-2</v>
      </c>
      <c r="L97" s="121">
        <f t="shared" si="40"/>
        <v>0.25126598606960548</v>
      </c>
      <c r="M97" s="121">
        <f t="shared" si="40"/>
        <v>3.4109147313871657E-2</v>
      </c>
      <c r="N97" s="121">
        <f t="shared" si="40"/>
        <v>-5.5839680241372487E-2</v>
      </c>
      <c r="O97" s="121">
        <f t="shared" si="40"/>
        <v>3.5072811686467302E-2</v>
      </c>
      <c r="P97" s="306">
        <f t="shared" si="40"/>
        <v>0.21440266543540687</v>
      </c>
      <c r="Q97" s="306">
        <f t="shared" si="40"/>
        <v>-9.8379365482962E-2</v>
      </c>
      <c r="R97" s="500">
        <f t="shared" si="40"/>
        <v>-0.17807167121119108</v>
      </c>
      <c r="S97" s="306">
        <f t="shared" si="40"/>
        <v>0.15766494602424144</v>
      </c>
    </row>
    <row r="98" spans="1:20" ht="15.75" customHeight="1" x14ac:dyDescent="0.3">
      <c r="A98" s="76"/>
      <c r="B98" s="76"/>
      <c r="C98" s="117" t="s">
        <v>227</v>
      </c>
      <c r="G98" s="123">
        <v>0</v>
      </c>
      <c r="H98" s="501">
        <v>0</v>
      </c>
      <c r="I98" s="123">
        <v>0</v>
      </c>
      <c r="J98" s="123">
        <v>0</v>
      </c>
      <c r="K98" s="123">
        <v>0</v>
      </c>
      <c r="L98" s="123">
        <v>0</v>
      </c>
      <c r="M98" s="123">
        <v>0</v>
      </c>
      <c r="N98" s="123">
        <v>0</v>
      </c>
      <c r="O98" s="123">
        <v>0</v>
      </c>
      <c r="P98" s="307">
        <v>0</v>
      </c>
      <c r="Q98" s="307">
        <v>0</v>
      </c>
      <c r="R98" s="502">
        <v>0</v>
      </c>
      <c r="S98" s="307">
        <v>0</v>
      </c>
    </row>
    <row r="99" spans="1:20" ht="15.75" customHeight="1" x14ac:dyDescent="0.3">
      <c r="C99" s="120" t="s">
        <v>221</v>
      </c>
      <c r="D99" s="76"/>
      <c r="E99" s="76"/>
      <c r="F99" s="76"/>
      <c r="G99" s="505">
        <f>G98/$G$34</f>
        <v>0</v>
      </c>
      <c r="H99" s="506">
        <f>H98/$G$34</f>
        <v>0</v>
      </c>
      <c r="I99" s="505">
        <f t="shared" ref="I99:S99" si="41">I98/$G$34</f>
        <v>0</v>
      </c>
      <c r="J99" s="505">
        <f t="shared" si="41"/>
        <v>0</v>
      </c>
      <c r="K99" s="505">
        <f t="shared" si="41"/>
        <v>0</v>
      </c>
      <c r="L99" s="505">
        <f t="shared" si="41"/>
        <v>0</v>
      </c>
      <c r="M99" s="505">
        <f t="shared" si="41"/>
        <v>0</v>
      </c>
      <c r="N99" s="505">
        <f t="shared" si="41"/>
        <v>0</v>
      </c>
      <c r="O99" s="505">
        <f t="shared" si="41"/>
        <v>0</v>
      </c>
      <c r="P99" s="507">
        <f t="shared" si="41"/>
        <v>0</v>
      </c>
      <c r="Q99" s="507">
        <f t="shared" si="41"/>
        <v>0</v>
      </c>
      <c r="R99" s="508">
        <f t="shared" si="41"/>
        <v>0</v>
      </c>
      <c r="S99" s="509">
        <f t="shared" si="41"/>
        <v>0</v>
      </c>
    </row>
    <row r="100" spans="1:20" ht="15.75" customHeight="1" x14ac:dyDescent="0.3">
      <c r="A100" s="76"/>
      <c r="B100" s="76"/>
      <c r="C100" s="128" t="s">
        <v>228</v>
      </c>
      <c r="D100" s="128"/>
      <c r="E100" s="128"/>
      <c r="F100" s="129"/>
      <c r="G100" s="78">
        <f>G69+G90+G92+G94+-G96+G98</f>
        <v>-805918.2899999998</v>
      </c>
      <c r="H100" s="490">
        <f t="shared" ref="H100:R100" si="42">H69+H90+H92+H94+-H96+H98</f>
        <v>-79196.370000000345</v>
      </c>
      <c r="I100" s="78">
        <f t="shared" si="42"/>
        <v>-333066.22999999928</v>
      </c>
      <c r="J100" s="78">
        <f t="shared" si="42"/>
        <v>128979.20999999926</v>
      </c>
      <c r="K100" s="491">
        <f>K69+K90+K92+K94+-K96+K98</f>
        <v>19377.41999999978</v>
      </c>
      <c r="L100" s="491">
        <f>L69+L90+L92+L94+-L96+L98</f>
        <v>-247502.13000000064</v>
      </c>
      <c r="M100" s="491">
        <f t="shared" si="42"/>
        <v>-13266.649999999092</v>
      </c>
      <c r="N100" s="491">
        <f t="shared" si="42"/>
        <v>150856.95000000045</v>
      </c>
      <c r="O100" s="491">
        <f>O75+O90+O92+O94+-O96+O98</f>
        <v>4495.6399999993155</v>
      </c>
      <c r="P100" s="111">
        <f>P69+P90+P92+P94+-P96+P98</f>
        <v>-360811.62999999913</v>
      </c>
      <c r="Q100" s="111">
        <f t="shared" si="42"/>
        <v>251347.54999999906</v>
      </c>
      <c r="R100" s="492">
        <f t="shared" si="42"/>
        <v>292193.0799999999</v>
      </c>
      <c r="S100" s="111">
        <f>S69+S90+S92+S94+-S96+S98</f>
        <v>401677.57000000041</v>
      </c>
      <c r="T100" s="112">
        <f>S100+S74</f>
        <v>-104522.42999999959</v>
      </c>
    </row>
    <row r="101" spans="1:20" ht="15.75" customHeight="1" x14ac:dyDescent="0.3">
      <c r="C101" s="510" t="s">
        <v>221</v>
      </c>
      <c r="D101" s="511"/>
      <c r="E101" s="511"/>
      <c r="F101" s="511"/>
      <c r="G101" s="512">
        <f>G100/$G$34</f>
        <v>-0.42869864004706576</v>
      </c>
      <c r="H101" s="513">
        <f>H100/$G$34</f>
        <v>-4.2127566202355818E-2</v>
      </c>
      <c r="I101" s="512">
        <f t="shared" ref="I101:S101" si="43">I100/$G$34</f>
        <v>-0.17717061595239755</v>
      </c>
      <c r="J101" s="512">
        <f t="shared" si="43"/>
        <v>6.8608955284219453E-2</v>
      </c>
      <c r="K101" s="512">
        <f t="shared" si="43"/>
        <v>1.0307587884152277E-2</v>
      </c>
      <c r="L101" s="512">
        <f t="shared" si="43"/>
        <v>-0.13165581158327153</v>
      </c>
      <c r="M101" s="512">
        <f t="shared" si="43"/>
        <v>-7.0570365303162649E-3</v>
      </c>
      <c r="N101" s="512">
        <f t="shared" si="43"/>
        <v>8.0246558626493519E-2</v>
      </c>
      <c r="O101" s="512">
        <f t="shared" si="43"/>
        <v>2.3914021781797478E-3</v>
      </c>
      <c r="P101" s="514">
        <f t="shared" si="43"/>
        <v>-0.19192945117818921</v>
      </c>
      <c r="Q101" s="514">
        <f t="shared" si="43"/>
        <v>0.13370133697320791</v>
      </c>
      <c r="R101" s="515">
        <f t="shared" si="43"/>
        <v>0.15542863039770879</v>
      </c>
      <c r="S101" s="514">
        <f t="shared" si="43"/>
        <v>0.21366760145921279</v>
      </c>
    </row>
    <row r="102" spans="1:20" ht="15.75" customHeight="1" x14ac:dyDescent="0.3">
      <c r="A102" s="76"/>
      <c r="B102" s="76"/>
      <c r="C102" s="117" t="s">
        <v>229</v>
      </c>
      <c r="G102" s="123">
        <f t="shared" ref="G102:Q102" si="44">G120-G139-G110+G131</f>
        <v>177307.2899999998</v>
      </c>
      <c r="H102" s="501">
        <f t="shared" si="44"/>
        <v>113832</v>
      </c>
      <c r="I102" s="123">
        <f t="shared" si="44"/>
        <v>271721.42999999947</v>
      </c>
      <c r="J102" s="123">
        <f t="shared" si="44"/>
        <v>-12012</v>
      </c>
      <c r="K102" s="123">
        <f t="shared" si="44"/>
        <v>-171074.84999999963</v>
      </c>
      <c r="L102" s="123">
        <f t="shared" si="44"/>
        <v>301284.60000000102</v>
      </c>
      <c r="M102" s="123">
        <f t="shared" si="44"/>
        <v>365407</v>
      </c>
      <c r="N102" s="123">
        <f t="shared" si="44"/>
        <v>260432.97999999952</v>
      </c>
      <c r="O102" s="123">
        <f t="shared" si="44"/>
        <v>326366.98999999976</v>
      </c>
      <c r="P102" s="307">
        <f t="shared" si="44"/>
        <v>729426.41999999899</v>
      </c>
      <c r="Q102" s="307">
        <f t="shared" si="44"/>
        <v>544481.28000000003</v>
      </c>
      <c r="R102" s="502">
        <f>R120-R139-R110+R131</f>
        <v>209721.14000000013</v>
      </c>
      <c r="S102" s="307">
        <f>S120-S139-S110+S131</f>
        <v>506118.31000000006</v>
      </c>
    </row>
    <row r="103" spans="1:20" ht="15.75" customHeight="1" x14ac:dyDescent="0.3">
      <c r="C103" s="133" t="s">
        <v>221</v>
      </c>
      <c r="D103" s="134"/>
      <c r="E103" s="134"/>
      <c r="F103" s="134"/>
      <c r="G103" s="505">
        <f>G102/$G$34</f>
        <v>9.4316502102751193E-2</v>
      </c>
      <c r="H103" s="506">
        <f>H102/$G$34</f>
        <v>6.0551577249645994E-2</v>
      </c>
      <c r="I103" s="505">
        <f t="shared" ref="I103:S103" si="45">I102/$G$34</f>
        <v>0.14453897989167586</v>
      </c>
      <c r="J103" s="505">
        <f t="shared" si="45"/>
        <v>-6.3896403992089014E-3</v>
      </c>
      <c r="K103" s="505">
        <f t="shared" si="45"/>
        <v>-9.1001229840875844E-2</v>
      </c>
      <c r="L103" s="505">
        <f t="shared" si="45"/>
        <v>0.16026475622872968</v>
      </c>
      <c r="M103" s="505">
        <f t="shared" si="45"/>
        <v>0.19437390354260134</v>
      </c>
      <c r="N103" s="505">
        <f t="shared" si="45"/>
        <v>0.13853422330122883</v>
      </c>
      <c r="O103" s="505">
        <f t="shared" si="45"/>
        <v>0.17360703498769614</v>
      </c>
      <c r="P103" s="507">
        <f t="shared" si="45"/>
        <v>0.38800970042310301</v>
      </c>
      <c r="Q103" s="507">
        <f t="shared" si="45"/>
        <v>0.28963033494014101</v>
      </c>
      <c r="R103" s="508">
        <f t="shared" si="45"/>
        <v>0.11155866372894994</v>
      </c>
      <c r="S103" s="507">
        <f t="shared" si="45"/>
        <v>0.26922360975319137</v>
      </c>
    </row>
    <row r="104" spans="1:20" ht="15.75" customHeight="1" x14ac:dyDescent="0.3">
      <c r="A104" s="76"/>
      <c r="B104" s="76"/>
      <c r="C104" s="120" t="s">
        <v>230</v>
      </c>
      <c r="D104" s="76"/>
      <c r="E104" s="76"/>
      <c r="F104" s="76"/>
      <c r="G104" s="135">
        <f t="shared" ref="G104:R104" si="46">G120-G139</f>
        <v>1975824.6999999997</v>
      </c>
      <c r="H104" s="516">
        <f t="shared" si="46"/>
        <v>1717222</v>
      </c>
      <c r="I104" s="135">
        <f t="shared" si="46"/>
        <v>1540889.9299999995</v>
      </c>
      <c r="J104" s="135">
        <f t="shared" si="46"/>
        <v>1376276</v>
      </c>
      <c r="K104" s="135">
        <f t="shared" si="46"/>
        <v>1739248.3100000005</v>
      </c>
      <c r="L104" s="135">
        <f t="shared" si="46"/>
        <v>2027475.620000001</v>
      </c>
      <c r="M104" s="135">
        <f t="shared" si="46"/>
        <v>2084376</v>
      </c>
      <c r="N104" s="135">
        <f t="shared" si="46"/>
        <v>1630155.7499999995</v>
      </c>
      <c r="O104" s="135">
        <f t="shared" si="46"/>
        <v>1696219.71</v>
      </c>
      <c r="P104" s="136">
        <f t="shared" si="46"/>
        <v>1748578.4799999991</v>
      </c>
      <c r="Q104" s="136">
        <f t="shared" si="46"/>
        <v>1601424.5300000003</v>
      </c>
      <c r="R104" s="517">
        <f t="shared" si="46"/>
        <v>1562051.92</v>
      </c>
      <c r="S104" s="136">
        <f>S120-S139</f>
        <v>1697943.0300000003</v>
      </c>
    </row>
    <row r="105" spans="1:20" ht="15.75" customHeight="1" x14ac:dyDescent="0.3">
      <c r="A105" s="76"/>
      <c r="B105" s="76"/>
      <c r="C105" s="120" t="s">
        <v>221</v>
      </c>
      <c r="D105" s="76"/>
      <c r="E105" s="76"/>
      <c r="F105" s="76"/>
      <c r="G105" s="121">
        <f>G104/$G$34</f>
        <v>1.0510164273122549</v>
      </c>
      <c r="H105" s="499">
        <f>H104/$G$34</f>
        <v>0.91345579966785784</v>
      </c>
      <c r="I105" s="121">
        <f t="shared" ref="I105:S105" si="47">I104/$G$34</f>
        <v>0.81965805423428018</v>
      </c>
      <c r="J105" s="121">
        <f t="shared" si="47"/>
        <v>0.73209363387126458</v>
      </c>
      <c r="K105" s="121">
        <f t="shared" si="47"/>
        <v>0.92517243305293129</v>
      </c>
      <c r="L105" s="121">
        <f t="shared" si="47"/>
        <v>1.0784915193109492</v>
      </c>
      <c r="M105" s="121">
        <f t="shared" si="47"/>
        <v>1.1087589990627251</v>
      </c>
      <c r="N105" s="121">
        <f t="shared" si="47"/>
        <v>0.8671419444890679</v>
      </c>
      <c r="O105" s="121">
        <f t="shared" si="47"/>
        <v>0.90228388153100292</v>
      </c>
      <c r="P105" s="306">
        <f t="shared" si="47"/>
        <v>0.93013550591036365</v>
      </c>
      <c r="Q105" s="306">
        <f t="shared" si="47"/>
        <v>0.85185871405029379</v>
      </c>
      <c r="R105" s="500">
        <f t="shared" si="47"/>
        <v>0.83091492288493429</v>
      </c>
      <c r="S105" s="306">
        <f t="shared" si="47"/>
        <v>0.90320058108917534</v>
      </c>
    </row>
    <row r="106" spans="1:20" ht="15.75" customHeight="1" x14ac:dyDescent="0.3">
      <c r="A106" s="76"/>
      <c r="B106" s="76"/>
      <c r="C106" s="137"/>
      <c r="D106" s="76"/>
      <c r="E106" s="76"/>
      <c r="F106" s="76"/>
      <c r="G106" s="138"/>
      <c r="H106" s="518"/>
      <c r="I106" s="138"/>
      <c r="J106" s="138"/>
      <c r="K106" s="138"/>
      <c r="L106" s="138"/>
      <c r="M106" s="138"/>
      <c r="N106" s="138"/>
      <c r="O106" s="138"/>
      <c r="P106" s="138"/>
      <c r="Q106" s="138"/>
      <c r="R106" s="519"/>
    </row>
    <row r="107" spans="1:20" ht="15.75" customHeight="1" x14ac:dyDescent="0.3">
      <c r="A107" s="76"/>
      <c r="B107" s="76"/>
      <c r="C107" s="330"/>
      <c r="D107" s="76"/>
      <c r="E107" s="76"/>
      <c r="F107" s="140"/>
      <c r="G107" s="140"/>
      <c r="H107" s="520"/>
      <c r="I107" s="140"/>
      <c r="J107" s="140"/>
      <c r="K107" s="495"/>
      <c r="L107" s="495"/>
      <c r="M107" s="495"/>
      <c r="N107" s="495"/>
      <c r="O107" s="495"/>
      <c r="P107" s="140"/>
      <c r="Q107" s="140"/>
      <c r="R107" s="521"/>
    </row>
    <row r="108" spans="1:20" ht="21" x14ac:dyDescent="0.4">
      <c r="C108" s="48" t="s">
        <v>231</v>
      </c>
      <c r="D108" s="49"/>
      <c r="E108" s="49"/>
      <c r="F108" s="49"/>
      <c r="G108" s="49"/>
      <c r="H108" s="49"/>
      <c r="I108" s="423"/>
      <c r="J108" s="423"/>
      <c r="K108" s="423"/>
      <c r="L108" s="423"/>
      <c r="M108" s="423"/>
      <c r="N108" s="423"/>
      <c r="O108" s="423"/>
      <c r="P108" s="49"/>
      <c r="Q108" s="49"/>
      <c r="R108" s="424"/>
      <c r="S108" s="49"/>
    </row>
    <row r="109" spans="1:20" ht="15.75" customHeight="1" x14ac:dyDescent="0.3">
      <c r="A109" s="76"/>
      <c r="B109" s="76"/>
      <c r="C109" s="84" t="s">
        <v>232</v>
      </c>
      <c r="D109" s="63"/>
      <c r="E109" s="63"/>
      <c r="F109" s="141"/>
      <c r="G109" s="142"/>
      <c r="H109" s="522"/>
      <c r="I109" s="142"/>
      <c r="J109" s="142"/>
      <c r="K109" s="523"/>
      <c r="L109" s="523"/>
      <c r="M109" s="523"/>
      <c r="N109" s="523"/>
      <c r="O109" s="523"/>
      <c r="P109" s="63"/>
      <c r="Q109" s="63"/>
      <c r="R109" s="524"/>
      <c r="S109" s="63"/>
    </row>
    <row r="110" spans="1:20" ht="15.75" customHeight="1" x14ac:dyDescent="0.3">
      <c r="A110" s="76"/>
      <c r="B110" s="76"/>
      <c r="C110" s="57" t="s">
        <v>233</v>
      </c>
      <c r="D110" s="63" t="s">
        <v>234</v>
      </c>
      <c r="E110" s="63"/>
      <c r="F110" s="143"/>
      <c r="G110" s="144">
        <v>1800779.41</v>
      </c>
      <c r="H110" s="144">
        <v>1603390</v>
      </c>
      <c r="I110" s="61">
        <v>1269168.5</v>
      </c>
      <c r="J110" s="61">
        <v>2388288</v>
      </c>
      <c r="K110" s="62">
        <v>2910323.16</v>
      </c>
      <c r="L110" s="62">
        <v>2726191.02</v>
      </c>
      <c r="M110" s="62">
        <v>2718969</v>
      </c>
      <c r="N110" s="62">
        <v>2369722.77</v>
      </c>
      <c r="O110" s="62">
        <v>2369852.7200000002</v>
      </c>
      <c r="P110" s="145">
        <v>2019152.06</v>
      </c>
      <c r="Q110" s="145">
        <v>2056943.2500000002</v>
      </c>
      <c r="R110" s="435">
        <v>2352330.7799999998</v>
      </c>
      <c r="S110" s="145">
        <v>2191824.7200000002</v>
      </c>
      <c r="T110" s="146"/>
    </row>
    <row r="111" spans="1:20" ht="15.75" customHeight="1" x14ac:dyDescent="0.3">
      <c r="A111" s="76"/>
      <c r="B111" s="76"/>
      <c r="C111" s="57" t="s">
        <v>235</v>
      </c>
      <c r="D111" s="63"/>
      <c r="E111" s="63" t="s">
        <v>236</v>
      </c>
      <c r="F111" s="147">
        <v>0.6</v>
      </c>
      <c r="G111" s="144">
        <v>792585.28</v>
      </c>
      <c r="H111" s="144">
        <v>629479</v>
      </c>
      <c r="I111" s="61">
        <v>755232.09</v>
      </c>
      <c r="J111" s="61">
        <v>1286989</v>
      </c>
      <c r="K111" s="62">
        <v>1212171</v>
      </c>
      <c r="L111" s="62">
        <v>998114.3</v>
      </c>
      <c r="M111" s="62">
        <f>1190891+4200</f>
        <v>1195091</v>
      </c>
      <c r="N111" s="62">
        <v>1235814.3700000001</v>
      </c>
      <c r="O111" s="62">
        <v>840806.39999999991</v>
      </c>
      <c r="P111" s="145">
        <v>1174896.6499999999</v>
      </c>
      <c r="Q111" s="145">
        <v>1199675.3700000001</v>
      </c>
      <c r="R111" s="435">
        <v>1156254.51</v>
      </c>
      <c r="S111" s="145">
        <v>1033360.49</v>
      </c>
    </row>
    <row r="112" spans="1:20" ht="15.75" customHeight="1" x14ac:dyDescent="0.3">
      <c r="A112" s="76"/>
      <c r="B112" s="76"/>
      <c r="C112" s="57" t="s">
        <v>237</v>
      </c>
      <c r="D112" s="63"/>
      <c r="E112" s="63"/>
      <c r="F112" s="147"/>
      <c r="G112" s="144"/>
      <c r="H112" s="144"/>
      <c r="I112" s="61"/>
      <c r="J112" s="61"/>
      <c r="K112" s="62"/>
      <c r="L112" s="62"/>
      <c r="M112" s="62"/>
      <c r="N112" s="62">
        <v>1655.2700000000002</v>
      </c>
      <c r="O112" s="62">
        <v>-1150.68</v>
      </c>
      <c r="P112" s="145">
        <v>323.79999999999984</v>
      </c>
      <c r="Q112" s="145">
        <v>2693.4599999999991</v>
      </c>
      <c r="R112" s="435">
        <v>-1126.1999999999998</v>
      </c>
      <c r="S112" s="145">
        <v>-1030.3000000000002</v>
      </c>
    </row>
    <row r="113" spans="1:19" ht="15.75" customHeight="1" x14ac:dyDescent="0.3">
      <c r="A113" s="76"/>
      <c r="B113" s="76"/>
      <c r="C113" s="57" t="s">
        <v>238</v>
      </c>
      <c r="D113" s="63"/>
      <c r="E113" s="63" t="s">
        <v>236</v>
      </c>
      <c r="F113" s="147">
        <v>0.01</v>
      </c>
      <c r="G113" s="144">
        <v>84500</v>
      </c>
      <c r="H113" s="144">
        <v>0</v>
      </c>
      <c r="I113" s="61">
        <v>0</v>
      </c>
      <c r="J113" s="525">
        <v>176578</v>
      </c>
      <c r="K113" s="62"/>
      <c r="L113" s="62">
        <v>0</v>
      </c>
      <c r="M113" s="62">
        <v>0</v>
      </c>
      <c r="N113" s="62">
        <v>0</v>
      </c>
      <c r="O113" s="62">
        <v>61086.76</v>
      </c>
      <c r="P113" s="145">
        <v>0</v>
      </c>
      <c r="Q113" s="145">
        <v>337046.25</v>
      </c>
      <c r="R113" s="435">
        <v>0</v>
      </c>
      <c r="S113" s="145">
        <v>366023.1</v>
      </c>
    </row>
    <row r="114" spans="1:19" ht="15.75" customHeight="1" x14ac:dyDescent="0.3">
      <c r="A114" s="76"/>
      <c r="B114" s="76"/>
      <c r="C114" s="57" t="s">
        <v>239</v>
      </c>
      <c r="D114" s="63"/>
      <c r="E114" s="63" t="s">
        <v>236</v>
      </c>
      <c r="F114" s="148">
        <v>0.06</v>
      </c>
      <c r="G114" s="149">
        <v>53444.68</v>
      </c>
      <c r="H114" s="149">
        <v>50420</v>
      </c>
      <c r="I114" s="62">
        <v>47136.34</v>
      </c>
      <c r="J114" s="525">
        <v>59899</v>
      </c>
      <c r="K114" s="62">
        <v>63564</v>
      </c>
      <c r="L114" s="62">
        <v>80759.97</v>
      </c>
      <c r="M114" s="62">
        <v>64278</v>
      </c>
      <c r="N114" s="62">
        <v>77055.210000000006</v>
      </c>
      <c r="O114" s="62">
        <v>84621.7</v>
      </c>
      <c r="P114" s="145">
        <v>95193.849999999991</v>
      </c>
      <c r="Q114" s="145">
        <v>111537.61</v>
      </c>
      <c r="R114" s="435">
        <v>115552.87999999999</v>
      </c>
      <c r="S114" s="145">
        <v>118484.54</v>
      </c>
    </row>
    <row r="115" spans="1:19" ht="15.75" customHeight="1" x14ac:dyDescent="0.3">
      <c r="A115" s="76"/>
      <c r="B115" s="76"/>
      <c r="C115" s="57" t="s">
        <v>458</v>
      </c>
      <c r="D115" s="63"/>
      <c r="E115" s="63" t="s">
        <v>240</v>
      </c>
      <c r="F115" s="148">
        <f>SUM(G115:L115)/SUM($G$115:$L$119)</f>
        <v>0.68059865366901351</v>
      </c>
      <c r="G115" s="149">
        <v>897306.71</v>
      </c>
      <c r="H115" s="149">
        <v>912140</v>
      </c>
      <c r="I115" s="62">
        <v>855086.71</v>
      </c>
      <c r="J115" s="525">
        <v>881156</v>
      </c>
      <c r="K115" s="62">
        <v>817636.27</v>
      </c>
      <c r="L115" s="62">
        <v>758752.1</v>
      </c>
      <c r="M115" s="62">
        <v>800263</v>
      </c>
      <c r="N115" s="62">
        <v>860050.01</v>
      </c>
      <c r="O115" s="62">
        <v>799228.96</v>
      </c>
      <c r="P115" s="145">
        <v>846489.79</v>
      </c>
      <c r="Q115" s="145">
        <v>714731.97</v>
      </c>
      <c r="R115" s="435">
        <v>758589.25</v>
      </c>
      <c r="S115" s="145">
        <v>799148.38</v>
      </c>
    </row>
    <row r="116" spans="1:19" ht="15.75" customHeight="1" x14ac:dyDescent="0.3">
      <c r="A116" s="76"/>
      <c r="B116" s="76"/>
      <c r="C116" s="57" t="s">
        <v>241</v>
      </c>
      <c r="D116" s="63"/>
      <c r="E116" s="63" t="s">
        <v>240</v>
      </c>
      <c r="F116" s="148">
        <f>SUM(G116:L116)/SUM($G$115:$L$119)</f>
        <v>3.4147066490484913E-2</v>
      </c>
      <c r="G116" s="149">
        <v>29713.17</v>
      </c>
      <c r="H116" s="149">
        <v>32073</v>
      </c>
      <c r="I116" s="62">
        <v>40461.56</v>
      </c>
      <c r="J116" s="525">
        <v>42867</v>
      </c>
      <c r="K116" s="62">
        <v>57613.53</v>
      </c>
      <c r="L116" s="62">
        <v>54257.16</v>
      </c>
      <c r="M116" s="62">
        <v>50215</v>
      </c>
      <c r="N116" s="62">
        <v>53677.34</v>
      </c>
      <c r="O116" s="62">
        <v>94213.97</v>
      </c>
      <c r="P116" s="145">
        <v>86487.83</v>
      </c>
      <c r="Q116" s="145">
        <v>68381.94</v>
      </c>
      <c r="R116" s="435">
        <v>79346.92</v>
      </c>
      <c r="S116" s="145">
        <v>48526.34</v>
      </c>
    </row>
    <row r="117" spans="1:19" ht="15.75" customHeight="1" x14ac:dyDescent="0.3">
      <c r="A117" s="76"/>
      <c r="B117" s="76"/>
      <c r="C117" s="57" t="s">
        <v>242</v>
      </c>
      <c r="D117" s="63"/>
      <c r="E117" s="63" t="s">
        <v>243</v>
      </c>
      <c r="F117" s="148">
        <f>SUM(G117:L117)/SUM($G$115:$L$119)</f>
        <v>-1.5114854015553255E-2</v>
      </c>
      <c r="G117" s="149">
        <v>0</v>
      </c>
      <c r="H117" s="149"/>
      <c r="I117" s="62"/>
      <c r="J117" s="525">
        <f>-113752</f>
        <v>-113752</v>
      </c>
      <c r="K117" s="62">
        <v>0</v>
      </c>
      <c r="L117" s="62">
        <v>0</v>
      </c>
      <c r="M117" s="62"/>
      <c r="N117" s="62"/>
      <c r="O117" s="62"/>
      <c r="P117" s="145"/>
      <c r="Q117" s="145"/>
      <c r="R117" s="435"/>
      <c r="S117" s="145"/>
    </row>
    <row r="118" spans="1:19" ht="15.75" customHeight="1" x14ac:dyDescent="0.3">
      <c r="A118" s="76"/>
      <c r="B118" s="76"/>
      <c r="C118" s="57" t="s">
        <v>244</v>
      </c>
      <c r="D118" s="63"/>
      <c r="E118" s="63" t="s">
        <v>240</v>
      </c>
      <c r="F118" s="148">
        <f>SUM(G118:L118)/SUM($G$115:$L$119)</f>
        <v>1.6617529771377243E-3</v>
      </c>
      <c r="G118" s="149">
        <v>2409.98</v>
      </c>
      <c r="H118" s="149">
        <v>2528</v>
      </c>
      <c r="I118" s="62">
        <v>758</v>
      </c>
      <c r="J118" s="525">
        <v>758</v>
      </c>
      <c r="K118" s="62">
        <v>2556.11</v>
      </c>
      <c r="L118" s="62">
        <v>3496</v>
      </c>
      <c r="M118" s="62">
        <v>4060</v>
      </c>
      <c r="N118" s="62">
        <v>4060.2</v>
      </c>
      <c r="O118" s="62">
        <v>4422.87</v>
      </c>
      <c r="P118" s="145">
        <v>5445.85</v>
      </c>
      <c r="Q118" s="145">
        <v>49466.05</v>
      </c>
      <c r="R118" s="435">
        <v>11892.19</v>
      </c>
      <c r="S118" s="145">
        <v>0</v>
      </c>
    </row>
    <row r="119" spans="1:19" ht="15.75" customHeight="1" x14ac:dyDescent="0.3">
      <c r="A119" s="76"/>
      <c r="B119" s="76"/>
      <c r="C119" s="322" t="s">
        <v>245</v>
      </c>
      <c r="D119" s="347"/>
      <c r="E119" s="347" t="s">
        <v>246</v>
      </c>
      <c r="F119" s="526">
        <f>SUM(G119:L119)/SUM($G$115:$L$119)</f>
        <v>0.29870738087891696</v>
      </c>
      <c r="G119" s="527">
        <v>409055.84</v>
      </c>
      <c r="H119" s="527">
        <v>420170</v>
      </c>
      <c r="I119" s="325">
        <v>300116.34000000003</v>
      </c>
      <c r="J119" s="525">
        <v>346564</v>
      </c>
      <c r="K119" s="62">
        <v>452826.24</v>
      </c>
      <c r="L119" s="62">
        <v>319292.07</v>
      </c>
      <c r="M119" s="62">
        <v>357914</v>
      </c>
      <c r="N119" s="62">
        <v>476044.16</v>
      </c>
      <c r="O119" s="62">
        <v>521794.42</v>
      </c>
      <c r="P119" s="145">
        <v>498779.33</v>
      </c>
      <c r="Q119" s="145">
        <v>399413.6</v>
      </c>
      <c r="R119" s="435">
        <v>526950.48</v>
      </c>
      <c r="S119" s="145">
        <v>403560.29000000004</v>
      </c>
    </row>
    <row r="120" spans="1:19" ht="15.75" customHeight="1" x14ac:dyDescent="0.3">
      <c r="A120" s="76"/>
      <c r="B120" s="76"/>
      <c r="C120" s="152" t="s">
        <v>247</v>
      </c>
      <c r="D120" s="68"/>
      <c r="E120" s="68"/>
      <c r="F120" s="153"/>
      <c r="G120" s="154">
        <f>SUM(G110:G119)</f>
        <v>4069795.07</v>
      </c>
      <c r="H120" s="154">
        <f t="shared" ref="H120:S120" si="48">SUM(H110:H119)</f>
        <v>3650200</v>
      </c>
      <c r="I120" s="70">
        <f>SUM(I110:I119)</f>
        <v>3267959.5399999996</v>
      </c>
      <c r="J120" s="528">
        <f>SUM(J110:J119)-1</f>
        <v>5069346</v>
      </c>
      <c r="K120" s="529">
        <f>SUM(K110:K119)</f>
        <v>5516690.3100000005</v>
      </c>
      <c r="L120" s="529">
        <f t="shared" si="48"/>
        <v>4940862.620000001</v>
      </c>
      <c r="M120" s="529">
        <f>SUM(M110:M119)</f>
        <v>5190790</v>
      </c>
      <c r="N120" s="529">
        <f t="shared" si="48"/>
        <v>5078079.33</v>
      </c>
      <c r="O120" s="529">
        <f t="shared" si="48"/>
        <v>4774877.12</v>
      </c>
      <c r="P120" s="155">
        <f t="shared" si="48"/>
        <v>4726769.1599999992</v>
      </c>
      <c r="Q120" s="155">
        <f t="shared" si="48"/>
        <v>4939889.5</v>
      </c>
      <c r="R120" s="530">
        <f t="shared" si="48"/>
        <v>4999790.8100000005</v>
      </c>
      <c r="S120" s="155">
        <f t="shared" si="48"/>
        <v>4959897.5600000005</v>
      </c>
    </row>
    <row r="121" spans="1:19" ht="15.75" customHeight="1" x14ac:dyDescent="0.3">
      <c r="A121" s="76"/>
      <c r="B121" s="76"/>
      <c r="C121" s="63"/>
      <c r="D121" s="63"/>
      <c r="E121" s="63"/>
      <c r="F121" s="156"/>
      <c r="G121" s="157"/>
      <c r="H121" s="61"/>
      <c r="I121" s="61"/>
      <c r="J121" s="61"/>
      <c r="K121" s="61"/>
      <c r="L121" s="61"/>
      <c r="M121" s="61"/>
      <c r="N121" s="61"/>
      <c r="O121" s="61"/>
      <c r="P121" s="434"/>
      <c r="Q121" s="434"/>
      <c r="R121" s="435"/>
      <c r="S121" s="434"/>
    </row>
    <row r="122" spans="1:19" ht="15.75" customHeight="1" x14ac:dyDescent="0.3">
      <c r="A122" s="76"/>
      <c r="B122" s="76"/>
      <c r="C122" s="84" t="s">
        <v>248</v>
      </c>
      <c r="D122" s="63"/>
      <c r="E122" s="63"/>
      <c r="G122" s="144"/>
      <c r="H122" s="144"/>
      <c r="I122" s="61"/>
      <c r="J122" s="531"/>
      <c r="K122" s="61"/>
      <c r="L122" s="61"/>
      <c r="M122" s="61"/>
      <c r="N122" s="61"/>
      <c r="O122" s="61"/>
      <c r="P122" s="81"/>
      <c r="Q122" s="81"/>
      <c r="R122" s="435"/>
      <c r="S122" s="81"/>
    </row>
    <row r="123" spans="1:19" ht="15.75" customHeight="1" x14ac:dyDescent="0.3">
      <c r="A123" s="76"/>
      <c r="B123" s="76"/>
      <c r="C123" s="57" t="s">
        <v>249</v>
      </c>
      <c r="D123" s="63"/>
      <c r="E123" s="63"/>
      <c r="G123" s="144">
        <v>2410928.84</v>
      </c>
      <c r="H123" s="144">
        <v>2600466.5</v>
      </c>
      <c r="I123" s="61">
        <v>2831196.78</v>
      </c>
      <c r="J123" s="525">
        <f>2990907</f>
        <v>2990907</v>
      </c>
      <c r="K123" s="61">
        <v>3054795.07</v>
      </c>
      <c r="L123" s="61">
        <v>3109862</v>
      </c>
      <c r="M123" s="61">
        <v>3095965</v>
      </c>
      <c r="N123" s="61">
        <v>3104003.83</v>
      </c>
      <c r="O123" s="61">
        <v>2624429.9600000004</v>
      </c>
      <c r="P123" s="81">
        <v>2549705.83</v>
      </c>
      <c r="Q123" s="81">
        <v>2549577.2600000002</v>
      </c>
      <c r="R123" s="435">
        <v>2549577.2600000002</v>
      </c>
      <c r="S123" s="81">
        <v>2613821.3600000003</v>
      </c>
    </row>
    <row r="124" spans="1:19" ht="15.75" customHeight="1" x14ac:dyDescent="0.3">
      <c r="A124" s="76"/>
      <c r="B124" s="76"/>
      <c r="C124" s="57" t="s">
        <v>250</v>
      </c>
      <c r="D124" s="63"/>
      <c r="E124" s="63"/>
      <c r="G124" s="144">
        <v>-1324642.01</v>
      </c>
      <c r="H124" s="144">
        <v>-1341996.5</v>
      </c>
      <c r="I124" s="61">
        <v>-1359352.93</v>
      </c>
      <c r="J124" s="525">
        <v>-1371150</v>
      </c>
      <c r="K124" s="61">
        <v>-1388505.83</v>
      </c>
      <c r="L124" s="61">
        <v>-1405861</v>
      </c>
      <c r="M124" s="61">
        <v>-1438921</v>
      </c>
      <c r="N124" s="61">
        <v>-1461511.8299999998</v>
      </c>
      <c r="O124" s="61">
        <v>-1172290.6400000004</v>
      </c>
      <c r="P124" s="81">
        <v>-1133914.02</v>
      </c>
      <c r="Q124" s="81">
        <v>-1156504.3799999999</v>
      </c>
      <c r="R124" s="435">
        <v>-1176998.1200000001</v>
      </c>
      <c r="S124" s="81">
        <v>-1205525.18</v>
      </c>
    </row>
    <row r="125" spans="1:19" x14ac:dyDescent="0.3">
      <c r="A125" s="76"/>
      <c r="B125" s="76"/>
      <c r="C125" s="322" t="s">
        <v>251</v>
      </c>
      <c r="D125" s="1794"/>
      <c r="E125" s="1794"/>
      <c r="F125" s="1794"/>
      <c r="G125" s="527"/>
      <c r="H125" s="527">
        <v>0</v>
      </c>
      <c r="I125" s="325"/>
      <c r="J125" s="532">
        <v>-1</v>
      </c>
      <c r="K125" s="325"/>
      <c r="L125" s="325"/>
      <c r="M125" s="325"/>
      <c r="N125" s="325">
        <v>0</v>
      </c>
      <c r="O125" s="325">
        <v>0</v>
      </c>
      <c r="P125" s="318">
        <v>0</v>
      </c>
      <c r="Q125" s="318">
        <v>0</v>
      </c>
      <c r="R125" s="439"/>
      <c r="S125" s="318">
        <v>0</v>
      </c>
    </row>
    <row r="126" spans="1:19" ht="15.75" customHeight="1" x14ac:dyDescent="0.3">
      <c r="A126" s="76"/>
      <c r="B126" s="76"/>
      <c r="C126" s="152" t="s">
        <v>252</v>
      </c>
      <c r="D126" s="68"/>
      <c r="E126" s="68"/>
      <c r="F126" s="158"/>
      <c r="G126" s="154">
        <f>SUM(G123:G125)</f>
        <v>1086286.8299999998</v>
      </c>
      <c r="H126" s="154">
        <f>SUM(H123:H125)</f>
        <v>1258470</v>
      </c>
      <c r="I126" s="70">
        <f t="shared" ref="I126:S126" si="49">SUM(I123:I125)</f>
        <v>1471843.8499999999</v>
      </c>
      <c r="J126" s="533">
        <f t="shared" si="49"/>
        <v>1619756</v>
      </c>
      <c r="K126" s="70">
        <f t="shared" si="49"/>
        <v>1666289.2399999998</v>
      </c>
      <c r="L126" s="70">
        <f t="shared" si="49"/>
        <v>1704001</v>
      </c>
      <c r="M126" s="70">
        <f t="shared" si="49"/>
        <v>1657044</v>
      </c>
      <c r="N126" s="70">
        <f t="shared" si="49"/>
        <v>1642492.0000000002</v>
      </c>
      <c r="O126" s="70">
        <f t="shared" si="49"/>
        <v>1452139.32</v>
      </c>
      <c r="P126" s="71">
        <f t="shared" si="49"/>
        <v>1415791.81</v>
      </c>
      <c r="Q126" s="71">
        <f t="shared" si="49"/>
        <v>1393072.8800000004</v>
      </c>
      <c r="R126" s="442">
        <f t="shared" si="49"/>
        <v>1372579.1400000001</v>
      </c>
      <c r="S126" s="71">
        <f t="shared" si="49"/>
        <v>1408296.1800000004</v>
      </c>
    </row>
    <row r="127" spans="1:19" ht="15.75" customHeight="1" x14ac:dyDescent="0.3">
      <c r="A127" s="76"/>
      <c r="B127" s="76"/>
      <c r="C127" s="68" t="s">
        <v>253</v>
      </c>
      <c r="D127" s="68"/>
      <c r="E127" s="68"/>
      <c r="F127" s="158"/>
      <c r="G127" s="154">
        <f>G126+G120</f>
        <v>5156081.8999999994</v>
      </c>
      <c r="H127" s="154">
        <f>H126+H120</f>
        <v>4908670</v>
      </c>
      <c r="I127" s="70">
        <f t="shared" ref="I127:S127" si="50">I126+I120</f>
        <v>4739803.3899999997</v>
      </c>
      <c r="J127" s="533">
        <f t="shared" si="50"/>
        <v>6689102</v>
      </c>
      <c r="K127" s="70">
        <f t="shared" si="50"/>
        <v>7182979.5500000007</v>
      </c>
      <c r="L127" s="70">
        <f t="shared" si="50"/>
        <v>6644863.620000001</v>
      </c>
      <c r="M127" s="70">
        <f t="shared" si="50"/>
        <v>6847834</v>
      </c>
      <c r="N127" s="70">
        <f t="shared" si="50"/>
        <v>6720571.3300000001</v>
      </c>
      <c r="O127" s="70">
        <f t="shared" si="50"/>
        <v>6227016.4400000004</v>
      </c>
      <c r="P127" s="71">
        <f t="shared" si="50"/>
        <v>6142560.9699999988</v>
      </c>
      <c r="Q127" s="71">
        <f t="shared" si="50"/>
        <v>6332962.3800000008</v>
      </c>
      <c r="R127" s="442">
        <f t="shared" si="50"/>
        <v>6372369.9500000011</v>
      </c>
      <c r="S127" s="71">
        <f t="shared" si="50"/>
        <v>6368193.7400000012</v>
      </c>
    </row>
    <row r="128" spans="1:19" ht="15.75" customHeight="1" x14ac:dyDescent="0.3">
      <c r="A128" s="76"/>
      <c r="B128" s="76"/>
      <c r="C128" s="63"/>
      <c r="D128" s="63"/>
      <c r="E128" s="63"/>
      <c r="F128" s="63"/>
      <c r="G128" s="144"/>
      <c r="H128" s="144"/>
      <c r="I128" s="61"/>
      <c r="J128" s="525"/>
      <c r="K128" s="61"/>
      <c r="L128" s="61"/>
      <c r="M128" s="61"/>
      <c r="N128" s="61"/>
      <c r="O128" s="61"/>
      <c r="P128" s="81"/>
      <c r="Q128" s="81"/>
      <c r="R128" s="435"/>
      <c r="S128" s="81"/>
    </row>
    <row r="129" spans="1:19" ht="15.75" customHeight="1" x14ac:dyDescent="0.3">
      <c r="A129" s="76"/>
      <c r="B129" s="76"/>
      <c r="C129" s="84" t="s">
        <v>254</v>
      </c>
      <c r="D129" s="63"/>
      <c r="E129" s="63"/>
      <c r="F129" s="63"/>
      <c r="G129" s="144"/>
      <c r="H129" s="144"/>
      <c r="I129" s="61"/>
      <c r="J129" s="525"/>
      <c r="K129" s="61"/>
      <c r="L129" s="61"/>
      <c r="M129" s="61"/>
      <c r="N129" s="61"/>
      <c r="O129" s="61"/>
      <c r="P129" s="81"/>
      <c r="Q129" s="81"/>
      <c r="R129" s="435"/>
      <c r="S129" s="81"/>
    </row>
    <row r="130" spans="1:19" ht="15.75" customHeight="1" x14ac:dyDescent="0.3">
      <c r="A130" s="76"/>
      <c r="B130" s="76"/>
      <c r="C130" s="84" t="s">
        <v>255</v>
      </c>
      <c r="D130" s="63"/>
      <c r="E130" s="63"/>
      <c r="F130" s="63"/>
      <c r="G130" s="144"/>
      <c r="H130" s="144"/>
      <c r="I130" s="61"/>
      <c r="J130" s="525">
        <v>1</v>
      </c>
      <c r="K130" s="61"/>
      <c r="L130" s="61"/>
      <c r="M130" s="61"/>
      <c r="N130" s="61"/>
      <c r="O130" s="61"/>
      <c r="P130" s="81"/>
      <c r="Q130" s="81"/>
      <c r="R130" s="435"/>
      <c r="S130" s="81"/>
    </row>
    <row r="131" spans="1:19" ht="15.75" customHeight="1" x14ac:dyDescent="0.3">
      <c r="A131" s="76"/>
      <c r="B131" s="76"/>
      <c r="C131" s="57" t="s">
        <v>256</v>
      </c>
      <c r="D131" s="63"/>
      <c r="E131" s="63"/>
      <c r="F131" s="63"/>
      <c r="G131" s="144">
        <f>G169</f>
        <v>2262</v>
      </c>
      <c r="H131" s="144">
        <v>0</v>
      </c>
      <c r="I131" s="61">
        <f t="shared" ref="I131:O131" si="51">H131+I180</f>
        <v>0</v>
      </c>
      <c r="J131" s="525">
        <f t="shared" si="51"/>
        <v>1000000</v>
      </c>
      <c r="K131" s="61">
        <f t="shared" si="51"/>
        <v>1000000</v>
      </c>
      <c r="L131" s="61">
        <f t="shared" si="51"/>
        <v>1000000</v>
      </c>
      <c r="M131" s="61">
        <f t="shared" si="51"/>
        <v>1000000</v>
      </c>
      <c r="N131" s="61">
        <f t="shared" si="51"/>
        <v>1000000</v>
      </c>
      <c r="O131" s="61">
        <f t="shared" si="51"/>
        <v>1000000</v>
      </c>
      <c r="P131" s="81">
        <v>1000000</v>
      </c>
      <c r="Q131" s="81">
        <f>P131+Q180</f>
        <v>1000000</v>
      </c>
      <c r="R131" s="435">
        <v>1000000</v>
      </c>
      <c r="S131" s="81">
        <f>R131+S180</f>
        <v>1000000</v>
      </c>
    </row>
    <row r="132" spans="1:19" ht="15.75" customHeight="1" x14ac:dyDescent="0.3">
      <c r="A132" s="76"/>
      <c r="B132" s="76"/>
      <c r="C132" s="57" t="s">
        <v>406</v>
      </c>
      <c r="D132" s="63"/>
      <c r="E132" s="63"/>
      <c r="F132" s="63"/>
      <c r="G132" s="144"/>
      <c r="H132" s="144"/>
      <c r="I132" s="61"/>
      <c r="J132" s="525"/>
      <c r="K132" s="61"/>
      <c r="L132" s="61"/>
      <c r="M132" s="61"/>
      <c r="N132" s="61"/>
      <c r="O132" s="61"/>
      <c r="P132" s="81"/>
      <c r="Q132" s="81"/>
      <c r="R132" s="435">
        <v>266525.14</v>
      </c>
      <c r="S132" s="81">
        <v>266525.14</v>
      </c>
    </row>
    <row r="133" spans="1:19" ht="15.75" customHeight="1" x14ac:dyDescent="0.3">
      <c r="A133" s="76"/>
      <c r="B133" s="76"/>
      <c r="C133" s="57" t="s">
        <v>257</v>
      </c>
      <c r="D133" s="63"/>
      <c r="E133" s="63" t="s">
        <v>243</v>
      </c>
      <c r="F133" s="148">
        <v>0.7</v>
      </c>
      <c r="G133" s="144">
        <v>890193.89</v>
      </c>
      <c r="H133" s="144">
        <v>622910</v>
      </c>
      <c r="I133" s="61">
        <v>400038.2</v>
      </c>
      <c r="J133" s="525">
        <v>660534</v>
      </c>
      <c r="K133" s="61">
        <v>783761</v>
      </c>
      <c r="L133" s="61">
        <v>351212</v>
      </c>
      <c r="M133" s="61">
        <v>424726</v>
      </c>
      <c r="N133" s="61">
        <v>705064.55999999994</v>
      </c>
      <c r="O133" s="61">
        <v>516867.79000000004</v>
      </c>
      <c r="P133" s="81">
        <v>446086.30000000005</v>
      </c>
      <c r="Q133" s="81">
        <v>481010.68000000005</v>
      </c>
      <c r="R133" s="435">
        <v>595154.81000000006</v>
      </c>
      <c r="S133" s="81">
        <v>391212.31</v>
      </c>
    </row>
    <row r="134" spans="1:19" ht="15.75" customHeight="1" x14ac:dyDescent="0.3">
      <c r="A134" s="76"/>
      <c r="B134" s="76"/>
      <c r="C134" s="57" t="s">
        <v>258</v>
      </c>
      <c r="D134" s="63"/>
      <c r="E134" s="63" t="s">
        <v>259</v>
      </c>
      <c r="F134" s="148">
        <v>0.02</v>
      </c>
      <c r="G134" s="144">
        <v>39419.57</v>
      </c>
      <c r="H134" s="144">
        <v>9067</v>
      </c>
      <c r="I134" s="61">
        <v>25659.59</v>
      </c>
      <c r="J134" s="525">
        <v>32739</v>
      </c>
      <c r="K134" s="534">
        <v>33048</v>
      </c>
      <c r="L134" s="534">
        <v>42053</v>
      </c>
      <c r="M134" s="534">
        <v>51349</v>
      </c>
      <c r="N134" s="534">
        <v>63425.31</v>
      </c>
      <c r="O134" s="534">
        <v>61167.72</v>
      </c>
      <c r="P134" s="81">
        <v>67997</v>
      </c>
      <c r="Q134" s="81">
        <v>73667.89</v>
      </c>
      <c r="R134" s="535">
        <v>82708.310000000012</v>
      </c>
      <c r="S134" s="81">
        <v>61172.46</v>
      </c>
    </row>
    <row r="135" spans="1:19" ht="15.75" customHeight="1" x14ac:dyDescent="0.3">
      <c r="A135" s="76"/>
      <c r="B135" s="76"/>
      <c r="C135" s="57" t="s">
        <v>260</v>
      </c>
      <c r="D135" s="63"/>
      <c r="E135" s="63" t="s">
        <v>259</v>
      </c>
      <c r="F135" s="148">
        <f>AVERAGE(G135:L135)/AVERAGE(G34:M34)</f>
        <v>0.11469618338597873</v>
      </c>
      <c r="G135" s="144">
        <v>176815.29</v>
      </c>
      <c r="H135" s="144">
        <v>71380</v>
      </c>
      <c r="I135" s="61">
        <v>76800.2</v>
      </c>
      <c r="J135" s="525">
        <v>92502</v>
      </c>
      <c r="K135" s="61">
        <v>117670</v>
      </c>
      <c r="L135" s="61">
        <v>124884</v>
      </c>
      <c r="M135" s="61">
        <v>214578</v>
      </c>
      <c r="N135" s="61">
        <v>64524.82</v>
      </c>
      <c r="O135" s="61">
        <v>81600.2</v>
      </c>
      <c r="P135" s="81">
        <v>97947.06</v>
      </c>
      <c r="Q135" s="81">
        <v>117453.41</v>
      </c>
      <c r="R135" s="435">
        <v>132518.10999999999</v>
      </c>
      <c r="S135" s="81">
        <v>68146.739999999991</v>
      </c>
    </row>
    <row r="136" spans="1:19" ht="15.75" customHeight="1" x14ac:dyDescent="0.3">
      <c r="A136" s="76"/>
      <c r="B136" s="76"/>
      <c r="C136" s="57" t="s">
        <v>261</v>
      </c>
      <c r="D136" s="63"/>
      <c r="E136" s="63" t="s">
        <v>259</v>
      </c>
      <c r="F136" s="148">
        <f>AVERAGE(G136:L136)/AVERAGE($G$34:$L$34)</f>
        <v>1.511297141755833</v>
      </c>
      <c r="G136" s="144">
        <v>1061427.79</v>
      </c>
      <c r="H136" s="144">
        <v>1295997</v>
      </c>
      <c r="I136" s="61">
        <v>1220339.03</v>
      </c>
      <c r="J136" s="525">
        <v>1962633</v>
      </c>
      <c r="K136" s="61">
        <v>1891561</v>
      </c>
      <c r="L136" s="61">
        <v>1454800</v>
      </c>
      <c r="M136" s="61">
        <v>1471467</v>
      </c>
      <c r="N136" s="61">
        <v>1656182.88</v>
      </c>
      <c r="O136" s="61">
        <v>1436912.0299999998</v>
      </c>
      <c r="P136" s="81">
        <v>1417752.51</v>
      </c>
      <c r="Q136" s="81">
        <v>1718801.74</v>
      </c>
      <c r="R136" s="435">
        <v>1418340.11</v>
      </c>
      <c r="S136" s="81">
        <v>1536000.64</v>
      </c>
    </row>
    <row r="137" spans="1:19" ht="15.75" customHeight="1" x14ac:dyDescent="0.3">
      <c r="A137" s="76"/>
      <c r="B137" s="76"/>
      <c r="C137" s="57" t="s">
        <v>262</v>
      </c>
      <c r="E137" s="63" t="s">
        <v>259</v>
      </c>
      <c r="F137" s="148">
        <f>AVERAGE(G137:L137)/AVERAGE($G$34:$L$34)</f>
        <v>3.0778905867136639E-2</v>
      </c>
      <c r="G137" s="144">
        <v>3663.83</v>
      </c>
      <c r="H137" s="144">
        <v>29157</v>
      </c>
      <c r="I137" s="61">
        <v>91215.87</v>
      </c>
      <c r="J137" s="525">
        <v>18144</v>
      </c>
      <c r="K137" s="61">
        <v>24885</v>
      </c>
      <c r="L137" s="61">
        <v>13921</v>
      </c>
      <c r="M137" s="61">
        <v>17777</v>
      </c>
      <c r="N137" s="61">
        <v>32209.29</v>
      </c>
      <c r="O137" s="61">
        <v>42092.95</v>
      </c>
      <c r="P137" s="81">
        <v>15321.09</v>
      </c>
      <c r="Q137" s="81">
        <v>14444.53</v>
      </c>
      <c r="R137" s="435">
        <v>9405.69</v>
      </c>
      <c r="S137" s="81">
        <v>5810.52</v>
      </c>
    </row>
    <row r="138" spans="1:19" ht="15.75" customHeight="1" x14ac:dyDescent="0.3">
      <c r="A138" s="76"/>
      <c r="B138" s="76"/>
      <c r="C138" s="322" t="s">
        <v>263</v>
      </c>
      <c r="D138" s="347"/>
      <c r="E138" s="347" t="s">
        <v>264</v>
      </c>
      <c r="F138" s="536"/>
      <c r="G138" s="527">
        <v>-77550</v>
      </c>
      <c r="H138" s="527">
        <v>-95533</v>
      </c>
      <c r="I138" s="325">
        <v>-86983.28</v>
      </c>
      <c r="J138" s="532">
        <v>-73483</v>
      </c>
      <c r="K138" s="325">
        <f>J138</f>
        <v>-73483</v>
      </c>
      <c r="L138" s="325">
        <f>K138</f>
        <v>-73483</v>
      </c>
      <c r="M138" s="325">
        <f>L138</f>
        <v>-73483</v>
      </c>
      <c r="N138" s="325">
        <v>-73483.28</v>
      </c>
      <c r="O138" s="325">
        <v>-59983.28</v>
      </c>
      <c r="P138" s="318">
        <v>-66913.279999999999</v>
      </c>
      <c r="Q138" s="318">
        <v>-66913.279999999999</v>
      </c>
      <c r="R138" s="439">
        <v>-66913.279999999999</v>
      </c>
      <c r="S138" s="318">
        <v>-66913.279999999999</v>
      </c>
    </row>
    <row r="139" spans="1:19" ht="15.75" customHeight="1" x14ac:dyDescent="0.3">
      <c r="A139" s="76"/>
      <c r="B139" s="76"/>
      <c r="C139" s="152" t="s">
        <v>265</v>
      </c>
      <c r="D139" s="68"/>
      <c r="E139" s="68"/>
      <c r="F139" s="68"/>
      <c r="G139" s="159">
        <f>SUM(G133:G138)</f>
        <v>2093970.37</v>
      </c>
      <c r="H139" s="159">
        <f>SUM(H131:H138)</f>
        <v>1932978</v>
      </c>
      <c r="I139" s="441">
        <f>SUM(I131:I138)</f>
        <v>1727069.61</v>
      </c>
      <c r="J139" s="533">
        <f>SUM(J130:J138)</f>
        <v>3693070</v>
      </c>
      <c r="K139" s="441">
        <f t="shared" ref="K139:S139" si="52">SUM(K131:K138)</f>
        <v>3777442</v>
      </c>
      <c r="L139" s="441">
        <f t="shared" si="52"/>
        <v>2913387</v>
      </c>
      <c r="M139" s="441">
        <f t="shared" si="52"/>
        <v>3106414</v>
      </c>
      <c r="N139" s="441">
        <f t="shared" si="52"/>
        <v>3447923.5800000005</v>
      </c>
      <c r="O139" s="441">
        <f t="shared" si="52"/>
        <v>3078657.41</v>
      </c>
      <c r="P139" s="160">
        <f t="shared" si="52"/>
        <v>2978190.68</v>
      </c>
      <c r="Q139" s="160">
        <f t="shared" si="52"/>
        <v>3338464.9699999997</v>
      </c>
      <c r="R139" s="442">
        <f t="shared" si="52"/>
        <v>3437738.8900000006</v>
      </c>
      <c r="S139" s="160">
        <f t="shared" si="52"/>
        <v>3261954.5300000003</v>
      </c>
    </row>
    <row r="140" spans="1:19" ht="15.75" customHeight="1" x14ac:dyDescent="0.3">
      <c r="A140" s="76"/>
      <c r="B140" s="76"/>
      <c r="C140" s="63"/>
      <c r="D140" s="63"/>
      <c r="E140" s="63"/>
      <c r="F140" s="63"/>
      <c r="G140" s="161"/>
      <c r="H140" s="161"/>
      <c r="I140" s="537"/>
      <c r="J140" s="538"/>
      <c r="K140" s="537"/>
      <c r="L140" s="537"/>
      <c r="M140" s="537"/>
      <c r="N140" s="537"/>
      <c r="O140" s="537"/>
      <c r="P140" s="162"/>
      <c r="Q140" s="162"/>
      <c r="R140" s="539"/>
      <c r="S140" s="162"/>
    </row>
    <row r="141" spans="1:19" ht="15.75" customHeight="1" x14ac:dyDescent="0.3">
      <c r="A141" s="76"/>
      <c r="B141" s="76"/>
      <c r="C141" s="84" t="s">
        <v>266</v>
      </c>
      <c r="D141" s="63"/>
      <c r="E141" s="63"/>
      <c r="F141" s="63"/>
      <c r="G141" s="161"/>
      <c r="H141" s="161"/>
      <c r="I141" s="537"/>
      <c r="J141" s="538"/>
      <c r="K141" s="537"/>
      <c r="L141" s="537"/>
      <c r="M141" s="537"/>
      <c r="N141" s="537"/>
      <c r="O141" s="537"/>
      <c r="P141" s="162"/>
      <c r="Q141" s="162"/>
      <c r="R141" s="539"/>
      <c r="S141" s="162"/>
    </row>
    <row r="142" spans="1:19" ht="15.75" customHeight="1" x14ac:dyDescent="0.3">
      <c r="A142" s="76"/>
      <c r="B142" s="76"/>
      <c r="C142" s="57" t="s">
        <v>267</v>
      </c>
      <c r="D142" s="63"/>
      <c r="E142" s="63"/>
      <c r="F142" s="63"/>
      <c r="G142" s="144">
        <v>780297.83</v>
      </c>
      <c r="H142" s="144">
        <v>760523.27</v>
      </c>
      <c r="I142" s="61">
        <v>760523.27</v>
      </c>
      <c r="J142" s="538">
        <v>758558</v>
      </c>
      <c r="K142" s="537">
        <f>J142-K179</f>
        <v>758558</v>
      </c>
      <c r="L142" s="537">
        <f>K142-L179</f>
        <v>758558</v>
      </c>
      <c r="M142" s="537">
        <f>L142-M179</f>
        <v>758558</v>
      </c>
      <c r="N142" s="537">
        <v>738260.31</v>
      </c>
      <c r="O142" s="537">
        <v>738260.31</v>
      </c>
      <c r="P142" s="162">
        <v>738260.31</v>
      </c>
      <c r="Q142" s="162">
        <v>695226</v>
      </c>
      <c r="R142" s="539">
        <f>Q142+R179</f>
        <v>695226</v>
      </c>
      <c r="S142" s="162">
        <v>695226</v>
      </c>
    </row>
    <row r="143" spans="1:19" ht="15.75" customHeight="1" x14ac:dyDescent="0.3">
      <c r="A143" s="76"/>
      <c r="B143" s="76"/>
      <c r="C143" s="57" t="s">
        <v>268</v>
      </c>
      <c r="D143" s="63"/>
      <c r="E143" s="63"/>
      <c r="F143" s="63"/>
      <c r="G143" s="144">
        <f>G181</f>
        <v>0</v>
      </c>
      <c r="H143" s="144">
        <f>G143+H181</f>
        <v>0</v>
      </c>
      <c r="I143" s="61">
        <f>H143+I181</f>
        <v>0</v>
      </c>
      <c r="J143" s="525"/>
      <c r="K143" s="61">
        <f>J143+K181</f>
        <v>506200</v>
      </c>
      <c r="L143" s="61">
        <v>506200</v>
      </c>
      <c r="M143" s="61">
        <f>L143+M181</f>
        <v>506200</v>
      </c>
      <c r="N143" s="61">
        <v>506200</v>
      </c>
      <c r="O143" s="61">
        <v>506200</v>
      </c>
      <c r="P143" s="81">
        <v>506200</v>
      </c>
      <c r="Q143" s="81">
        <v>506200</v>
      </c>
      <c r="R143" s="435">
        <f>Q143+R181</f>
        <v>506200</v>
      </c>
      <c r="S143" s="81">
        <v>0</v>
      </c>
    </row>
    <row r="144" spans="1:19" ht="15.75" customHeight="1" x14ac:dyDescent="0.3">
      <c r="A144" s="76"/>
      <c r="B144" s="76"/>
      <c r="C144" s="57" t="s">
        <v>269</v>
      </c>
      <c r="D144" s="63"/>
      <c r="E144" s="63"/>
      <c r="F144" s="63"/>
      <c r="G144" s="144"/>
      <c r="H144" s="144"/>
      <c r="I144" s="61"/>
      <c r="J144" s="525"/>
      <c r="K144" s="61"/>
      <c r="L144" s="61">
        <v>64528</v>
      </c>
      <c r="M144" s="61">
        <v>63266</v>
      </c>
      <c r="N144" s="61">
        <v>62001.65</v>
      </c>
      <c r="O144" s="61">
        <v>60733.46</v>
      </c>
      <c r="P144" s="81">
        <v>59461.87</v>
      </c>
      <c r="Q144" s="81">
        <v>58186.87</v>
      </c>
      <c r="R144" s="435">
        <f>Q144+R182</f>
        <v>56908.441112445093</v>
      </c>
      <c r="S144" s="81">
        <v>55626.58</v>
      </c>
    </row>
    <row r="145" spans="1:19" ht="15.75" customHeight="1" x14ac:dyDescent="0.3">
      <c r="A145" s="76"/>
      <c r="B145" s="76"/>
      <c r="C145" s="322" t="s">
        <v>270</v>
      </c>
      <c r="D145" s="347"/>
      <c r="E145" s="347"/>
      <c r="F145" s="324"/>
      <c r="G145" s="527">
        <v>109753.85</v>
      </c>
      <c r="H145" s="527">
        <v>107765.06</v>
      </c>
      <c r="I145" s="325">
        <v>107765.06</v>
      </c>
      <c r="J145" s="540">
        <f>106565-0.6</f>
        <v>106564.4</v>
      </c>
      <c r="K145" s="541">
        <v>104190</v>
      </c>
      <c r="L145" s="541">
        <f>K145</f>
        <v>104190</v>
      </c>
      <c r="M145" s="541">
        <v>101815</v>
      </c>
      <c r="N145" s="541">
        <v>97065.06</v>
      </c>
      <c r="O145" s="541">
        <v>93967.56</v>
      </c>
      <c r="P145" s="542">
        <v>91592.56</v>
      </c>
      <c r="Q145" s="542">
        <v>89217.56</v>
      </c>
      <c r="R145" s="543">
        <f>Q145+R183</f>
        <v>86842.559999999998</v>
      </c>
      <c r="S145" s="542">
        <v>84467.56</v>
      </c>
    </row>
    <row r="146" spans="1:19" ht="15.75" customHeight="1" x14ac:dyDescent="0.3">
      <c r="A146" s="76"/>
      <c r="B146" s="76"/>
      <c r="C146" s="152" t="s">
        <v>271</v>
      </c>
      <c r="D146" s="68"/>
      <c r="E146" s="68"/>
      <c r="F146" s="68"/>
      <c r="G146" s="163">
        <f t="shared" ref="G146:S146" si="53">SUM(G142:G145)</f>
        <v>890051.67999999993</v>
      </c>
      <c r="H146" s="163">
        <f t="shared" si="53"/>
        <v>868288.33000000007</v>
      </c>
      <c r="I146" s="544">
        <f t="shared" si="53"/>
        <v>868288.33000000007</v>
      </c>
      <c r="J146" s="545">
        <f t="shared" si="53"/>
        <v>865122.4</v>
      </c>
      <c r="K146" s="544">
        <f t="shared" si="53"/>
        <v>1368948</v>
      </c>
      <c r="L146" s="544">
        <f t="shared" si="53"/>
        <v>1433476</v>
      </c>
      <c r="M146" s="544">
        <f t="shared" si="53"/>
        <v>1429839</v>
      </c>
      <c r="N146" s="544">
        <f t="shared" si="53"/>
        <v>1403527.02</v>
      </c>
      <c r="O146" s="544">
        <f t="shared" si="53"/>
        <v>1399161.33</v>
      </c>
      <c r="P146" s="546">
        <f t="shared" si="53"/>
        <v>1395514.7400000002</v>
      </c>
      <c r="Q146" s="546">
        <f t="shared" si="53"/>
        <v>1348830.4300000002</v>
      </c>
      <c r="R146" s="547">
        <f t="shared" si="53"/>
        <v>1345177.0011124453</v>
      </c>
      <c r="S146" s="546">
        <f t="shared" si="53"/>
        <v>835320.1399999999</v>
      </c>
    </row>
    <row r="147" spans="1:19" ht="15.75" customHeight="1" x14ac:dyDescent="0.3">
      <c r="A147" s="76"/>
      <c r="B147" s="76"/>
      <c r="C147" s="84" t="s">
        <v>272</v>
      </c>
      <c r="D147" s="84"/>
      <c r="E147" s="84"/>
      <c r="F147" s="164"/>
      <c r="G147" s="165">
        <f t="shared" ref="G147:S147" si="54">G146+G139</f>
        <v>2984022.05</v>
      </c>
      <c r="H147" s="165">
        <f t="shared" si="54"/>
        <v>2801266.33</v>
      </c>
      <c r="I147" s="548">
        <f t="shared" si="54"/>
        <v>2595357.9400000004</v>
      </c>
      <c r="J147" s="549">
        <f t="shared" si="54"/>
        <v>4558192.4000000004</v>
      </c>
      <c r="K147" s="548">
        <f>K146+K139</f>
        <v>5146390</v>
      </c>
      <c r="L147" s="548">
        <f t="shared" si="54"/>
        <v>4346863</v>
      </c>
      <c r="M147" s="548">
        <f t="shared" si="54"/>
        <v>4536253</v>
      </c>
      <c r="N147" s="548">
        <f t="shared" si="54"/>
        <v>4851450.6000000006</v>
      </c>
      <c r="O147" s="548">
        <f t="shared" si="54"/>
        <v>4477818.74</v>
      </c>
      <c r="P147" s="166">
        <f t="shared" si="54"/>
        <v>4373705.42</v>
      </c>
      <c r="Q147" s="166">
        <f t="shared" si="54"/>
        <v>4687295.4000000004</v>
      </c>
      <c r="R147" s="550">
        <f t="shared" si="54"/>
        <v>4782915.8911124459</v>
      </c>
      <c r="S147" s="166">
        <f t="shared" si="54"/>
        <v>4097274.67</v>
      </c>
    </row>
    <row r="148" spans="1:19" ht="15.75" customHeight="1" x14ac:dyDescent="0.3">
      <c r="A148" s="76"/>
      <c r="B148" s="76"/>
      <c r="C148" s="31" t="s">
        <v>273</v>
      </c>
      <c r="D148" s="63"/>
      <c r="E148" s="63"/>
      <c r="F148" s="63"/>
      <c r="G148" s="167"/>
      <c r="H148" s="167">
        <f>H146+H131</f>
        <v>868288.33000000007</v>
      </c>
      <c r="I148" s="551">
        <f t="shared" ref="I148:R148" si="55">I146+I131</f>
        <v>868288.33000000007</v>
      </c>
      <c r="J148" s="538">
        <f t="shared" si="55"/>
        <v>1865122.4</v>
      </c>
      <c r="K148" s="551">
        <f t="shared" si="55"/>
        <v>2368948</v>
      </c>
      <c r="L148" s="551">
        <f t="shared" si="55"/>
        <v>2433476</v>
      </c>
      <c r="M148" s="551">
        <f>M146+M131</f>
        <v>2429839</v>
      </c>
      <c r="N148" s="551">
        <f t="shared" si="55"/>
        <v>2403527.02</v>
      </c>
      <c r="O148" s="551">
        <f t="shared" si="55"/>
        <v>2399161.33</v>
      </c>
      <c r="P148" s="168">
        <f t="shared" si="55"/>
        <v>2395514.7400000002</v>
      </c>
      <c r="Q148" s="168">
        <f t="shared" si="55"/>
        <v>2348830.4300000002</v>
      </c>
      <c r="R148" s="539">
        <f t="shared" si="55"/>
        <v>2345177.0011124453</v>
      </c>
      <c r="S148" s="168">
        <f>S146+S131</f>
        <v>1835320.14</v>
      </c>
    </row>
    <row r="149" spans="1:19" ht="15.75" customHeight="1" x14ac:dyDescent="0.3">
      <c r="A149" s="76"/>
      <c r="B149" s="76"/>
      <c r="C149" s="84" t="s">
        <v>274</v>
      </c>
      <c r="D149" s="63"/>
      <c r="E149" s="63"/>
      <c r="F149" s="63"/>
      <c r="G149" s="167"/>
      <c r="H149" s="167"/>
      <c r="I149" s="551"/>
      <c r="J149" s="538"/>
      <c r="K149" s="551"/>
      <c r="L149" s="551"/>
      <c r="M149" s="551"/>
      <c r="N149" s="551"/>
      <c r="O149" s="551"/>
      <c r="P149" s="168"/>
      <c r="Q149" s="168"/>
      <c r="R149" s="539"/>
      <c r="S149" s="168"/>
    </row>
    <row r="150" spans="1:19" ht="15.75" customHeight="1" x14ac:dyDescent="0.3">
      <c r="A150" s="76"/>
      <c r="B150" s="76"/>
      <c r="C150" s="57" t="s">
        <v>275</v>
      </c>
      <c r="D150" s="63"/>
      <c r="E150" s="169"/>
      <c r="F150" s="143"/>
      <c r="G150" s="144">
        <v>301000</v>
      </c>
      <c r="H150" s="144">
        <v>301000</v>
      </c>
      <c r="I150" s="61">
        <v>301000</v>
      </c>
      <c r="J150" s="525">
        <v>301000</v>
      </c>
      <c r="K150" s="551">
        <f>J150</f>
        <v>301000</v>
      </c>
      <c r="L150" s="551">
        <f t="shared" ref="L150:Q152" si="56">K150</f>
        <v>301000</v>
      </c>
      <c r="M150" s="551">
        <f t="shared" si="56"/>
        <v>301000</v>
      </c>
      <c r="N150" s="551">
        <f t="shared" si="56"/>
        <v>301000</v>
      </c>
      <c r="O150" s="551">
        <v>301000</v>
      </c>
      <c r="P150" s="168">
        <v>301000</v>
      </c>
      <c r="Q150" s="168">
        <f t="shared" si="56"/>
        <v>301000</v>
      </c>
      <c r="R150" s="539">
        <v>301000</v>
      </c>
      <c r="S150" s="168">
        <v>301000</v>
      </c>
    </row>
    <row r="151" spans="1:19" ht="15.75" customHeight="1" x14ac:dyDescent="0.3">
      <c r="A151" s="76"/>
      <c r="B151" s="76"/>
      <c r="C151" s="57" t="s">
        <v>276</v>
      </c>
      <c r="D151" s="63"/>
      <c r="E151" s="169"/>
      <c r="F151" s="143"/>
      <c r="G151" s="144">
        <v>-943667</v>
      </c>
      <c r="H151" s="144">
        <v>-943667</v>
      </c>
      <c r="I151" s="61">
        <v>-943667</v>
      </c>
      <c r="J151" s="525">
        <v>-943667</v>
      </c>
      <c r="K151" s="551">
        <f>J151</f>
        <v>-943667</v>
      </c>
      <c r="L151" s="551">
        <f t="shared" si="56"/>
        <v>-943667</v>
      </c>
      <c r="M151" s="551">
        <f t="shared" si="56"/>
        <v>-943667</v>
      </c>
      <c r="N151" s="551">
        <f t="shared" si="56"/>
        <v>-943667</v>
      </c>
      <c r="O151" s="551">
        <v>-943667</v>
      </c>
      <c r="P151" s="168">
        <v>-943667</v>
      </c>
      <c r="Q151" s="168">
        <f t="shared" si="56"/>
        <v>-943667</v>
      </c>
      <c r="R151" s="539">
        <v>-943667</v>
      </c>
      <c r="S151" s="168">
        <v>-943667</v>
      </c>
    </row>
    <row r="152" spans="1:19" ht="15.75" customHeight="1" x14ac:dyDescent="0.3">
      <c r="A152" s="76"/>
      <c r="B152" s="76"/>
      <c r="C152" s="57" t="s">
        <v>277</v>
      </c>
      <c r="D152" s="63"/>
      <c r="E152" s="63"/>
      <c r="F152" s="63"/>
      <c r="G152" s="144">
        <v>2280817.6</v>
      </c>
      <c r="H152" s="144">
        <f>SUM(G152:G154)</f>
        <v>2814726.85</v>
      </c>
      <c r="I152" s="62">
        <f>H152</f>
        <v>2814726.85</v>
      </c>
      <c r="J152" s="525">
        <v>2818197</v>
      </c>
      <c r="K152" s="62">
        <f>J152</f>
        <v>2818197</v>
      </c>
      <c r="L152" s="62">
        <v>2818197</v>
      </c>
      <c r="M152" s="62">
        <v>2818197</v>
      </c>
      <c r="N152" s="62">
        <f t="shared" si="56"/>
        <v>2818197</v>
      </c>
      <c r="O152" s="62">
        <v>2818196.87</v>
      </c>
      <c r="P152" s="145">
        <v>2818196.87</v>
      </c>
      <c r="Q152" s="145">
        <f t="shared" si="56"/>
        <v>2818196.87</v>
      </c>
      <c r="R152" s="435">
        <v>2818196.87</v>
      </c>
      <c r="S152" s="145">
        <v>2818196.87</v>
      </c>
    </row>
    <row r="153" spans="1:19" ht="15.75" customHeight="1" x14ac:dyDescent="0.3">
      <c r="A153" s="76"/>
      <c r="B153" s="76"/>
      <c r="C153" s="57" t="s">
        <v>278</v>
      </c>
      <c r="D153" s="63"/>
      <c r="E153" s="63"/>
      <c r="F153" s="59"/>
      <c r="G153" s="144">
        <v>-472080</v>
      </c>
      <c r="H153" s="144">
        <v>-93010</v>
      </c>
      <c r="I153" s="62">
        <v>-93010</v>
      </c>
      <c r="J153" s="525">
        <v>-96460</v>
      </c>
      <c r="K153" s="62">
        <f>J153+K184</f>
        <v>-96460</v>
      </c>
      <c r="L153" s="62">
        <f>K153+L184</f>
        <v>-96460</v>
      </c>
      <c r="M153" s="62">
        <v>-96460</v>
      </c>
      <c r="N153" s="62">
        <v>-570238</v>
      </c>
      <c r="O153" s="62">
        <v>-570238</v>
      </c>
      <c r="P153" s="145">
        <v>-570238</v>
      </c>
      <c r="Q153" s="145">
        <v>-737238</v>
      </c>
      <c r="R153" s="435">
        <v>-737238</v>
      </c>
      <c r="S153" s="145">
        <v>-737238</v>
      </c>
    </row>
    <row r="154" spans="1:19" ht="15.75" customHeight="1" x14ac:dyDescent="0.3">
      <c r="A154" s="76"/>
      <c r="B154" s="76"/>
      <c r="C154" s="322" t="s">
        <v>279</v>
      </c>
      <c r="D154" s="347"/>
      <c r="E154" s="347"/>
      <c r="F154" s="324"/>
      <c r="G154" s="552">
        <v>1005989.25</v>
      </c>
      <c r="H154" s="552">
        <f>H69</f>
        <v>28354</v>
      </c>
      <c r="I154" s="541">
        <f>I69+H154+0.12</f>
        <v>65395.600000000006</v>
      </c>
      <c r="J154" s="540">
        <f>J69+I154</f>
        <v>51839.600000000006</v>
      </c>
      <c r="K154" s="541">
        <f>K75+J154-9-1.78</f>
        <v>-42480.450000000012</v>
      </c>
      <c r="L154" s="541">
        <v>218931</v>
      </c>
      <c r="M154" s="541">
        <v>232497</v>
      </c>
      <c r="N154" s="541">
        <v>263828.86</v>
      </c>
      <c r="O154" s="541">
        <f>O69+N154</f>
        <v>143905.8299999999</v>
      </c>
      <c r="P154" s="542">
        <f>P69+O154</f>
        <v>163563.26999999999</v>
      </c>
      <c r="Q154" s="542">
        <v>207375</v>
      </c>
      <c r="R154" s="543">
        <f>R69+Q154</f>
        <v>151162.07999999999</v>
      </c>
      <c r="S154" s="542">
        <f>S69+R154</f>
        <v>832626.9600000002</v>
      </c>
    </row>
    <row r="155" spans="1:19" ht="15.75" customHeight="1" x14ac:dyDescent="0.3">
      <c r="A155" s="76"/>
      <c r="B155" s="76"/>
      <c r="C155" s="171" t="s">
        <v>280</v>
      </c>
      <c r="D155" s="172"/>
      <c r="E155" s="172"/>
      <c r="F155" s="173"/>
      <c r="G155" s="174">
        <f>SUM(G150:G154)</f>
        <v>2172059.85</v>
      </c>
      <c r="H155" s="174">
        <f>SUM(H150:H154)</f>
        <v>2107403.85</v>
      </c>
      <c r="I155" s="553">
        <f>SUM(I150:I154)</f>
        <v>2144445.4500000002</v>
      </c>
      <c r="J155" s="554">
        <f t="shared" ref="J155:S155" si="57">SUM(J150:J154)</f>
        <v>2130909.6</v>
      </c>
      <c r="K155" s="553">
        <f>SUM(K150:K154)</f>
        <v>2036589.55</v>
      </c>
      <c r="L155" s="553">
        <f t="shared" si="57"/>
        <v>2298001</v>
      </c>
      <c r="M155" s="553">
        <f t="shared" si="57"/>
        <v>2311567</v>
      </c>
      <c r="N155" s="553">
        <f t="shared" si="57"/>
        <v>1869120.8599999999</v>
      </c>
      <c r="O155" s="553">
        <f t="shared" si="57"/>
        <v>1749197.7</v>
      </c>
      <c r="P155" s="175">
        <f t="shared" si="57"/>
        <v>1768855.1400000001</v>
      </c>
      <c r="Q155" s="175">
        <f t="shared" si="57"/>
        <v>1645666.87</v>
      </c>
      <c r="R155" s="555">
        <f t="shared" si="57"/>
        <v>1589453.9500000002</v>
      </c>
      <c r="S155" s="175">
        <f t="shared" si="57"/>
        <v>2270918.83</v>
      </c>
    </row>
    <row r="156" spans="1:19" ht="15.75" customHeight="1" x14ac:dyDescent="0.3">
      <c r="A156" s="76"/>
      <c r="B156" s="76"/>
      <c r="C156" s="68" t="s">
        <v>281</v>
      </c>
      <c r="D156" s="68"/>
      <c r="E156" s="68"/>
      <c r="F156" s="158"/>
      <c r="G156" s="176">
        <f t="shared" ref="G156:S156" si="58">G155+G147</f>
        <v>5156081.9000000004</v>
      </c>
      <c r="H156" s="176">
        <f t="shared" si="58"/>
        <v>4908670.18</v>
      </c>
      <c r="I156" s="556">
        <f t="shared" si="58"/>
        <v>4739803.3900000006</v>
      </c>
      <c r="J156" s="557">
        <f t="shared" si="58"/>
        <v>6689102</v>
      </c>
      <c r="K156" s="556">
        <f>K155+K147</f>
        <v>7182979.5499999998</v>
      </c>
      <c r="L156" s="556">
        <f t="shared" si="58"/>
        <v>6644864</v>
      </c>
      <c r="M156" s="556">
        <f t="shared" si="58"/>
        <v>6847820</v>
      </c>
      <c r="N156" s="556">
        <f>N155+N147</f>
        <v>6720571.4600000009</v>
      </c>
      <c r="O156" s="556">
        <f>O155+O147</f>
        <v>6227016.4400000004</v>
      </c>
      <c r="P156" s="177">
        <f t="shared" si="58"/>
        <v>6142560.5600000005</v>
      </c>
      <c r="Q156" s="177">
        <f t="shared" si="58"/>
        <v>6332962.2700000005</v>
      </c>
      <c r="R156" s="558">
        <f t="shared" si="58"/>
        <v>6372369.841112446</v>
      </c>
      <c r="S156" s="177">
        <f t="shared" si="58"/>
        <v>6368193.5</v>
      </c>
    </row>
    <row r="157" spans="1:19" ht="15.75" customHeight="1" x14ac:dyDescent="0.3">
      <c r="A157" s="76"/>
      <c r="B157" s="76"/>
      <c r="C157" s="178" t="s">
        <v>282</v>
      </c>
      <c r="D157" s="178"/>
      <c r="E157" s="178"/>
      <c r="F157" s="179"/>
      <c r="G157" s="180">
        <f t="shared" ref="G157:S157" si="59">G156-G127</f>
        <v>0</v>
      </c>
      <c r="H157" s="559">
        <f t="shared" si="59"/>
        <v>0.17999999970197678</v>
      </c>
      <c r="I157" s="560">
        <f t="shared" si="59"/>
        <v>0</v>
      </c>
      <c r="J157" s="561">
        <f t="shared" si="59"/>
        <v>0</v>
      </c>
      <c r="K157" s="180">
        <f t="shared" si="59"/>
        <v>0</v>
      </c>
      <c r="L157" s="562">
        <f t="shared" si="59"/>
        <v>0.37999999895691872</v>
      </c>
      <c r="M157" s="562">
        <f t="shared" si="59"/>
        <v>-14</v>
      </c>
      <c r="N157" s="562">
        <f t="shared" si="59"/>
        <v>0.13000000081956387</v>
      </c>
      <c r="O157" s="562">
        <f t="shared" si="59"/>
        <v>0</v>
      </c>
      <c r="P157" s="181">
        <f t="shared" si="59"/>
        <v>-0.40999999828636646</v>
      </c>
      <c r="Q157" s="181">
        <f t="shared" si="59"/>
        <v>-0.11000000033527613</v>
      </c>
      <c r="R157" s="563">
        <f t="shared" si="59"/>
        <v>-0.108887555077672</v>
      </c>
      <c r="S157" s="181">
        <f t="shared" si="59"/>
        <v>-0.24000000115483999</v>
      </c>
    </row>
    <row r="158" spans="1:19" ht="15.75" customHeight="1" x14ac:dyDescent="0.3">
      <c r="A158" s="76"/>
      <c r="B158" s="76"/>
      <c r="C158" s="63"/>
      <c r="D158" s="63"/>
      <c r="E158" s="63"/>
      <c r="F158" s="156"/>
      <c r="G158" s="182"/>
      <c r="H158" s="183"/>
      <c r="I158" s="182"/>
      <c r="J158" s="564"/>
      <c r="K158" s="184"/>
      <c r="L158" s="184"/>
      <c r="M158" s="184"/>
      <c r="N158" s="184"/>
      <c r="O158" s="184"/>
      <c r="P158" s="184"/>
      <c r="Q158" s="184"/>
      <c r="R158" s="185"/>
      <c r="S158" s="184"/>
    </row>
    <row r="159" spans="1:19" ht="15.75" customHeight="1" x14ac:dyDescent="0.3">
      <c r="A159" s="76"/>
      <c r="B159" s="76"/>
      <c r="C159" s="63"/>
      <c r="D159" s="63"/>
      <c r="E159" s="63"/>
      <c r="F159" s="186"/>
      <c r="G159" s="187"/>
      <c r="H159" s="187"/>
      <c r="I159" s="187"/>
      <c r="J159" s="565"/>
      <c r="K159" s="184"/>
      <c r="L159" s="184"/>
      <c r="M159" s="184"/>
      <c r="N159" s="184"/>
      <c r="O159" s="184"/>
      <c r="P159" s="184"/>
      <c r="Q159" s="184"/>
      <c r="R159" s="185"/>
      <c r="S159" s="184"/>
    </row>
    <row r="160" spans="1:19" ht="21" x14ac:dyDescent="0.4">
      <c r="C160" s="48" t="s">
        <v>283</v>
      </c>
      <c r="D160" s="49"/>
      <c r="E160" s="49"/>
      <c r="F160" s="49"/>
      <c r="G160" s="49"/>
      <c r="H160" s="49"/>
      <c r="I160" s="423"/>
      <c r="J160" s="566"/>
      <c r="K160" s="423"/>
      <c r="L160" s="423"/>
      <c r="M160" s="423"/>
      <c r="N160" s="423"/>
      <c r="O160" s="423"/>
      <c r="P160" s="49"/>
      <c r="Q160" s="49"/>
      <c r="R160" s="424"/>
      <c r="S160" s="49"/>
    </row>
    <row r="161" spans="1:19" ht="15.75" customHeight="1" x14ac:dyDescent="0.3">
      <c r="A161" s="76"/>
      <c r="B161" s="76"/>
      <c r="C161" s="63"/>
      <c r="D161" s="63"/>
      <c r="E161" s="63"/>
      <c r="F161" s="63"/>
      <c r="G161" s="143"/>
      <c r="H161" s="567"/>
      <c r="I161" s="63"/>
      <c r="J161" s="568"/>
      <c r="K161" s="63"/>
      <c r="L161" s="63"/>
      <c r="M161" s="63"/>
      <c r="N161" s="63"/>
      <c r="O161" s="63"/>
      <c r="P161" s="63"/>
      <c r="Q161" s="63"/>
      <c r="R161" s="524"/>
    </row>
    <row r="162" spans="1:19" ht="15.75" customHeight="1" x14ac:dyDescent="0.3">
      <c r="A162" s="76"/>
      <c r="B162" s="76"/>
      <c r="C162" s="188" t="s">
        <v>284</v>
      </c>
      <c r="D162" s="188"/>
      <c r="E162" s="188"/>
      <c r="F162" s="63"/>
      <c r="G162" s="143"/>
      <c r="H162" s="567"/>
      <c r="I162" s="63"/>
      <c r="J162" s="568"/>
      <c r="K162" s="63"/>
      <c r="L162" s="63"/>
      <c r="M162" s="63"/>
      <c r="N162" s="63"/>
      <c r="O162" s="63"/>
      <c r="P162" s="63"/>
      <c r="Q162" s="63"/>
      <c r="R162" s="524"/>
    </row>
    <row r="163" spans="1:19" ht="15.75" customHeight="1" x14ac:dyDescent="0.3">
      <c r="A163" s="76"/>
      <c r="B163" s="76"/>
      <c r="C163" s="57" t="s">
        <v>202</v>
      </c>
      <c r="D163" s="63"/>
      <c r="E163" s="63"/>
      <c r="G163" s="167">
        <f>G70</f>
        <v>0</v>
      </c>
      <c r="H163" s="569">
        <f>H69</f>
        <v>28354</v>
      </c>
      <c r="I163" s="167">
        <f>I69</f>
        <v>37041.480000000003</v>
      </c>
      <c r="J163" s="570">
        <f>J69</f>
        <v>-13556</v>
      </c>
      <c r="K163" s="167">
        <f>K75</f>
        <v>-94309.270000000019</v>
      </c>
      <c r="L163" s="167">
        <f t="shared" ref="L163:R163" si="60">L69</f>
        <v>261412.3400000002</v>
      </c>
      <c r="M163" s="167">
        <f t="shared" si="60"/>
        <v>2741.7499999998836</v>
      </c>
      <c r="N163" s="167">
        <f t="shared" si="60"/>
        <v>31331.550000000047</v>
      </c>
      <c r="O163" s="167">
        <f t="shared" si="60"/>
        <v>-119923.03000000009</v>
      </c>
      <c r="P163" s="184">
        <f t="shared" si="60"/>
        <v>19657.44000000009</v>
      </c>
      <c r="Q163" s="184">
        <f t="shared" si="60"/>
        <v>43812.050000000083</v>
      </c>
      <c r="R163" s="571">
        <f t="shared" si="60"/>
        <v>-56212.920000000013</v>
      </c>
      <c r="S163" s="184">
        <f>S69-506200</f>
        <v>175264.88000000024</v>
      </c>
    </row>
    <row r="164" spans="1:19" ht="15.75" customHeight="1" x14ac:dyDescent="0.3">
      <c r="A164" s="76"/>
      <c r="B164" s="76"/>
      <c r="C164" s="117" t="s">
        <v>285</v>
      </c>
      <c r="D164" s="63"/>
      <c r="E164" s="63"/>
      <c r="G164" s="167">
        <v>0</v>
      </c>
      <c r="H164" s="189">
        <f t="shared" ref="H164:R164" si="61">SUM(G111:G119)-SUM(H111:H119)</f>
        <v>222205.65999999968</v>
      </c>
      <c r="I164" s="167">
        <f t="shared" si="61"/>
        <v>48018.959999999963</v>
      </c>
      <c r="J164" s="570">
        <f t="shared" si="61"/>
        <v>-682267.96</v>
      </c>
      <c r="K164" s="167">
        <f t="shared" si="61"/>
        <v>74691.850000000559</v>
      </c>
      <c r="L164" s="167">
        <f t="shared" si="61"/>
        <v>391695.54999999935</v>
      </c>
      <c r="M164" s="167">
        <f t="shared" si="61"/>
        <v>-257149.39999999991</v>
      </c>
      <c r="N164" s="167">
        <f t="shared" si="61"/>
        <v>-236535.56000000052</v>
      </c>
      <c r="O164" s="167">
        <f t="shared" si="61"/>
        <v>303332.16000000061</v>
      </c>
      <c r="P164" s="184">
        <f t="shared" si="61"/>
        <v>-302592.70000000019</v>
      </c>
      <c r="Q164" s="184">
        <f t="shared" si="61"/>
        <v>-175329.14999999991</v>
      </c>
      <c r="R164" s="571">
        <f t="shared" si="61"/>
        <v>235486.2200000002</v>
      </c>
      <c r="S164" s="184">
        <f>SUM(R111:R119)-SUM(S111:S119)</f>
        <v>-120612.81000000006</v>
      </c>
    </row>
    <row r="165" spans="1:19" ht="15.75" customHeight="1" x14ac:dyDescent="0.3">
      <c r="A165" s="76"/>
      <c r="B165" s="76"/>
      <c r="C165" s="117" t="s">
        <v>286</v>
      </c>
      <c r="D165" s="63"/>
      <c r="E165" s="63"/>
      <c r="G165" s="167">
        <v>0</v>
      </c>
      <c r="H165" s="189">
        <f t="shared" ref="H165:P165" si="62">SUM(H133:H138)-SUM(G133:G138)</f>
        <v>-160992.37000000011</v>
      </c>
      <c r="I165" s="167">
        <f t="shared" si="62"/>
        <v>-205908.3899999999</v>
      </c>
      <c r="J165" s="570">
        <f t="shared" si="62"/>
        <v>965999.3899999999</v>
      </c>
      <c r="K165" s="167">
        <f>SUM(K133:K138)-SUM(J133:J138)</f>
        <v>84373</v>
      </c>
      <c r="L165" s="167">
        <f>SUM(L133:L138)-SUM(K133:K138)</f>
        <v>-864055</v>
      </c>
      <c r="M165" s="167">
        <f t="shared" si="62"/>
        <v>193027</v>
      </c>
      <c r="N165" s="167">
        <f t="shared" si="62"/>
        <v>341509.58000000007</v>
      </c>
      <c r="O165" s="167">
        <f>SUM(O133:O138)-SUM(N133:N138)</f>
        <v>-369266.17000000016</v>
      </c>
      <c r="P165" s="184">
        <f t="shared" si="62"/>
        <v>-100466.72999999975</v>
      </c>
      <c r="Q165" s="184">
        <f>SUM(Q133:Q138)-SUM(P133:P138)</f>
        <v>360274.29000000004</v>
      </c>
      <c r="R165" s="571">
        <f>SUM(R132:R138)-SUM(Q132:Q138)</f>
        <v>99273.920000000391</v>
      </c>
      <c r="S165" s="184">
        <f>SUM(S133:S138)-SUM(R133:R138)</f>
        <v>-175784.36000000057</v>
      </c>
    </row>
    <row r="166" spans="1:19" ht="15.75" customHeight="1" x14ac:dyDescent="0.3">
      <c r="A166" s="76"/>
      <c r="B166" s="76"/>
      <c r="C166" s="117" t="s">
        <v>287</v>
      </c>
      <c r="D166" s="63"/>
      <c r="E166" s="63"/>
      <c r="G166" s="167"/>
      <c r="H166" s="189"/>
      <c r="I166" s="167"/>
      <c r="J166" s="570"/>
      <c r="K166" s="167"/>
      <c r="L166" s="167"/>
      <c r="M166" s="167"/>
      <c r="N166" s="167"/>
      <c r="O166" s="167">
        <v>178970.05</v>
      </c>
      <c r="P166" s="184">
        <v>13757</v>
      </c>
      <c r="Q166" s="184">
        <f>784.29+3202.52+1551.76</f>
        <v>5538.57</v>
      </c>
      <c r="R166" s="571">
        <v>6848</v>
      </c>
      <c r="S166" s="184">
        <f>11418</f>
        <v>11418</v>
      </c>
    </row>
    <row r="167" spans="1:19" ht="15.75" customHeight="1" x14ac:dyDescent="0.3">
      <c r="A167" s="76"/>
      <c r="B167" s="76"/>
      <c r="C167" s="117" t="s">
        <v>459</v>
      </c>
      <c r="D167" s="63"/>
      <c r="E167" s="63"/>
      <c r="G167" s="167"/>
      <c r="H167" s="189"/>
      <c r="I167" s="167"/>
      <c r="J167" s="570"/>
      <c r="K167" s="167"/>
      <c r="L167" s="167"/>
      <c r="M167" s="167"/>
      <c r="N167" s="167"/>
      <c r="O167" s="167"/>
      <c r="P167" s="184"/>
      <c r="Q167" s="184"/>
      <c r="R167" s="571"/>
      <c r="S167" s="184">
        <f>-65860.44+2115.5</f>
        <v>-63744.94</v>
      </c>
    </row>
    <row r="168" spans="1:19" ht="15.75" customHeight="1" x14ac:dyDescent="0.3">
      <c r="A168" s="76"/>
      <c r="B168" s="76"/>
      <c r="C168" s="117" t="s">
        <v>223</v>
      </c>
      <c r="D168" s="63"/>
      <c r="E168" s="63"/>
      <c r="F168" s="32"/>
      <c r="G168" s="189">
        <f>H168</f>
        <v>16250</v>
      </c>
      <c r="H168" s="189">
        <f t="shared" ref="H168:S168" si="63">H90</f>
        <v>16250</v>
      </c>
      <c r="I168" s="167">
        <f t="shared" si="63"/>
        <v>16250</v>
      </c>
      <c r="J168" s="570">
        <f t="shared" si="63"/>
        <v>16250</v>
      </c>
      <c r="K168" s="167">
        <f t="shared" si="63"/>
        <v>16249.91</v>
      </c>
      <c r="L168" s="167">
        <f t="shared" si="63"/>
        <v>16249.91</v>
      </c>
      <c r="M168" s="167">
        <f t="shared" si="63"/>
        <v>31955</v>
      </c>
      <c r="N168" s="167">
        <f t="shared" si="63"/>
        <v>20328.21</v>
      </c>
      <c r="O168" s="167">
        <f t="shared" si="63"/>
        <v>20328.21</v>
      </c>
      <c r="P168" s="184">
        <f t="shared" si="63"/>
        <v>20328.21</v>
      </c>
      <c r="Q168" s="184">
        <f t="shared" si="63"/>
        <v>20328.21</v>
      </c>
      <c r="R168" s="571">
        <f t="shared" si="63"/>
        <v>11383.68</v>
      </c>
      <c r="S168" s="184">
        <f t="shared" si="63"/>
        <v>12109.3</v>
      </c>
    </row>
    <row r="169" spans="1:19" ht="15.75" customHeight="1" x14ac:dyDescent="0.3">
      <c r="A169" s="76"/>
      <c r="B169" s="76"/>
      <c r="C169" s="572" t="s">
        <v>224</v>
      </c>
      <c r="D169" s="347"/>
      <c r="E169" s="347"/>
      <c r="F169" s="329"/>
      <c r="G169" s="191">
        <f>H169</f>
        <v>2262</v>
      </c>
      <c r="H169" s="191">
        <f t="shared" ref="H169:S169" si="64">H92</f>
        <v>2262</v>
      </c>
      <c r="I169" s="552">
        <f t="shared" si="64"/>
        <v>2262</v>
      </c>
      <c r="J169" s="573">
        <f t="shared" si="64"/>
        <v>2262</v>
      </c>
      <c r="K169" s="552">
        <f t="shared" si="64"/>
        <v>2262</v>
      </c>
      <c r="L169" s="552">
        <f t="shared" si="64"/>
        <v>2262</v>
      </c>
      <c r="M169" s="552">
        <f t="shared" si="64"/>
        <v>2262</v>
      </c>
      <c r="N169" s="552">
        <f t="shared" si="64"/>
        <v>2262</v>
      </c>
      <c r="O169" s="552">
        <f t="shared" si="64"/>
        <v>2262.1499999999996</v>
      </c>
      <c r="P169" s="574">
        <f t="shared" si="64"/>
        <v>2262.1499999999996</v>
      </c>
      <c r="Q169" s="574">
        <f t="shared" si="64"/>
        <v>2262.1499999999996</v>
      </c>
      <c r="R169" s="575">
        <f t="shared" si="64"/>
        <v>2262.1799999999998</v>
      </c>
      <c r="S169" s="574">
        <f t="shared" si="64"/>
        <v>9579.92</v>
      </c>
    </row>
    <row r="170" spans="1:19" ht="15.75" customHeight="1" x14ac:dyDescent="0.3">
      <c r="A170" s="76"/>
      <c r="B170" s="76"/>
      <c r="C170" s="68" t="s">
        <v>288</v>
      </c>
      <c r="D170" s="68"/>
      <c r="E170" s="68"/>
      <c r="F170" s="68"/>
      <c r="G170" s="176">
        <f t="shared" ref="G170:S170" si="65">SUM(G163:G169)</f>
        <v>18512</v>
      </c>
      <c r="H170" s="576">
        <f t="shared" si="65"/>
        <v>108079.28999999957</v>
      </c>
      <c r="I170" s="176">
        <f t="shared" si="65"/>
        <v>-102335.94999999992</v>
      </c>
      <c r="J170" s="577">
        <f t="shared" si="65"/>
        <v>288687.42999999993</v>
      </c>
      <c r="K170" s="176">
        <f t="shared" si="65"/>
        <v>83267.490000000544</v>
      </c>
      <c r="L170" s="176">
        <f t="shared" si="65"/>
        <v>-192435.20000000045</v>
      </c>
      <c r="M170" s="176">
        <f t="shared" si="65"/>
        <v>-27163.650000000023</v>
      </c>
      <c r="N170" s="176">
        <f t="shared" si="65"/>
        <v>158895.77999999959</v>
      </c>
      <c r="O170" s="176">
        <f t="shared" si="65"/>
        <v>15703.370000000357</v>
      </c>
      <c r="P170" s="153">
        <f t="shared" si="65"/>
        <v>-347054.62999999983</v>
      </c>
      <c r="Q170" s="153">
        <f t="shared" si="65"/>
        <v>256886.1200000002</v>
      </c>
      <c r="R170" s="578">
        <f t="shared" si="65"/>
        <v>299041.08000000054</v>
      </c>
      <c r="S170" s="153">
        <f t="shared" si="65"/>
        <v>-151770.01000000039</v>
      </c>
    </row>
    <row r="171" spans="1:19" ht="15.75" customHeight="1" x14ac:dyDescent="0.3">
      <c r="A171" s="76"/>
      <c r="B171" s="76"/>
      <c r="C171" s="63"/>
      <c r="D171" s="63"/>
      <c r="E171" s="63"/>
      <c r="F171" s="63"/>
      <c r="G171" s="167"/>
      <c r="H171" s="465"/>
      <c r="I171" s="97"/>
      <c r="J171" s="579"/>
      <c r="K171" s="97"/>
      <c r="L171" s="97"/>
      <c r="M171" s="97"/>
      <c r="N171" s="97"/>
      <c r="O171" s="97"/>
      <c r="P171" s="63"/>
      <c r="Q171" s="63"/>
      <c r="R171" s="466"/>
    </row>
    <row r="172" spans="1:19" ht="15.75" customHeight="1" x14ac:dyDescent="0.3">
      <c r="A172" s="76"/>
      <c r="B172" s="76"/>
      <c r="C172" s="188" t="s">
        <v>289</v>
      </c>
      <c r="D172" s="188"/>
      <c r="E172" s="188"/>
      <c r="F172" s="63"/>
      <c r="G172" s="167"/>
      <c r="H172" s="465"/>
      <c r="I172" s="97"/>
      <c r="J172" s="579"/>
      <c r="K172" s="97"/>
      <c r="L172" s="97"/>
      <c r="M172" s="97"/>
      <c r="N172" s="97"/>
      <c r="O172" s="97"/>
      <c r="P172" s="63"/>
      <c r="Q172" s="63"/>
      <c r="R172" s="466"/>
    </row>
    <row r="173" spans="1:19" ht="15.75" customHeight="1" x14ac:dyDescent="0.3">
      <c r="A173" s="76"/>
      <c r="B173" s="76"/>
      <c r="C173" s="57" t="s">
        <v>290</v>
      </c>
      <c r="D173" s="63"/>
      <c r="E173" s="63"/>
      <c r="F173" s="63"/>
      <c r="G173" s="167">
        <f>G94</f>
        <v>-469651</v>
      </c>
      <c r="H173" s="189">
        <f t="shared" ref="H173:M173" si="66">-(H123-G123)</f>
        <v>-189537.66000000015</v>
      </c>
      <c r="I173" s="189">
        <f t="shared" si="66"/>
        <v>-230730.2799999998</v>
      </c>
      <c r="J173" s="570">
        <f t="shared" si="66"/>
        <v>-159710.2200000002</v>
      </c>
      <c r="K173" s="167">
        <f t="shared" si="66"/>
        <v>-63888.069999999832</v>
      </c>
      <c r="L173" s="167">
        <f t="shared" si="66"/>
        <v>-55066.930000000168</v>
      </c>
      <c r="M173" s="167">
        <f t="shared" si="66"/>
        <v>13897</v>
      </c>
      <c r="N173" s="167">
        <f>N94</f>
        <v>-8038.8300000000745</v>
      </c>
      <c r="O173" s="167">
        <f>O94</f>
        <v>-11207.730000000331</v>
      </c>
      <c r="P173" s="167">
        <f>P94</f>
        <v>0</v>
      </c>
      <c r="Q173" s="167">
        <v>-5410</v>
      </c>
      <c r="R173" s="167">
        <f>R94</f>
        <v>0</v>
      </c>
      <c r="S173" s="167">
        <v>-5079</v>
      </c>
    </row>
    <row r="174" spans="1:19" ht="15.75" customHeight="1" x14ac:dyDescent="0.3">
      <c r="A174" s="76"/>
      <c r="B174" s="76"/>
      <c r="C174" s="322" t="s">
        <v>291</v>
      </c>
      <c r="D174" s="347"/>
      <c r="E174" s="347"/>
      <c r="F174" s="347"/>
      <c r="G174" s="552">
        <v>0</v>
      </c>
      <c r="H174" s="191">
        <v>-1157.69</v>
      </c>
      <c r="I174" s="573">
        <v>-1155.27</v>
      </c>
      <c r="J174" s="573">
        <v>-8657.0499999994408</v>
      </c>
      <c r="K174" s="552">
        <v>-1169.8600000007</v>
      </c>
      <c r="L174" s="552">
        <v>-1158.01</v>
      </c>
      <c r="M174" s="552">
        <v>9667.6299999999992</v>
      </c>
      <c r="N174" s="552">
        <v>0.8</v>
      </c>
      <c r="O174" s="552"/>
      <c r="P174" s="574">
        <v>0</v>
      </c>
      <c r="Q174" s="574"/>
      <c r="R174" s="575">
        <v>0</v>
      </c>
      <c r="S174" s="574">
        <v>0</v>
      </c>
    </row>
    <row r="175" spans="1:19" ht="15.75" customHeight="1" x14ac:dyDescent="0.3">
      <c r="A175" s="76"/>
      <c r="B175" s="76"/>
      <c r="C175" s="68" t="s">
        <v>292</v>
      </c>
      <c r="D175" s="68"/>
      <c r="E175" s="68"/>
      <c r="F175" s="68"/>
      <c r="G175" s="176">
        <f t="shared" ref="G175:S175" si="67">SUM(G173:G174)</f>
        <v>-469651</v>
      </c>
      <c r="H175" s="576">
        <f t="shared" si="67"/>
        <v>-190695.35000000015</v>
      </c>
      <c r="I175" s="176">
        <f t="shared" si="67"/>
        <v>-231885.54999999978</v>
      </c>
      <c r="J175" s="577">
        <f t="shared" si="67"/>
        <v>-168367.26999999964</v>
      </c>
      <c r="K175" s="176">
        <f t="shared" si="67"/>
        <v>-65057.930000000531</v>
      </c>
      <c r="L175" s="176">
        <f t="shared" si="67"/>
        <v>-56224.94000000017</v>
      </c>
      <c r="M175" s="176">
        <f t="shared" si="67"/>
        <v>23564.629999999997</v>
      </c>
      <c r="N175" s="176">
        <f t="shared" si="67"/>
        <v>-8038.0300000000743</v>
      </c>
      <c r="O175" s="176">
        <f t="shared" si="67"/>
        <v>-11207.730000000331</v>
      </c>
      <c r="P175" s="153">
        <f t="shared" si="67"/>
        <v>0</v>
      </c>
      <c r="Q175" s="153">
        <f t="shared" si="67"/>
        <v>-5410</v>
      </c>
      <c r="R175" s="578">
        <f t="shared" si="67"/>
        <v>0</v>
      </c>
      <c r="S175" s="153">
        <f t="shared" si="67"/>
        <v>-5079</v>
      </c>
    </row>
    <row r="176" spans="1:19" ht="15.75" customHeight="1" x14ac:dyDescent="0.3">
      <c r="A176" s="76"/>
      <c r="B176" s="76"/>
      <c r="C176" s="63"/>
      <c r="D176" s="63"/>
      <c r="E176" s="63"/>
      <c r="F176" s="63"/>
      <c r="G176" s="167"/>
      <c r="H176" s="465"/>
      <c r="I176" s="97"/>
      <c r="J176" s="579"/>
      <c r="K176" s="97"/>
      <c r="L176" s="97"/>
      <c r="M176" s="97"/>
      <c r="N176" s="97"/>
      <c r="O176" s="97"/>
      <c r="P176" s="63"/>
      <c r="Q176" s="63"/>
      <c r="R176" s="466"/>
    </row>
    <row r="177" spans="1:19" ht="15.75" customHeight="1" x14ac:dyDescent="0.3">
      <c r="A177" s="76"/>
      <c r="B177" s="76"/>
      <c r="C177" s="188" t="s">
        <v>293</v>
      </c>
      <c r="D177" s="188"/>
      <c r="E177" s="188"/>
      <c r="F177" s="63"/>
      <c r="G177" s="167"/>
      <c r="H177" s="580"/>
      <c r="I177" s="97"/>
      <c r="J177" s="579"/>
      <c r="K177" s="97"/>
      <c r="L177" s="97"/>
      <c r="M177" s="97"/>
      <c r="N177" s="97"/>
      <c r="O177" s="97"/>
      <c r="P177" s="63"/>
      <c r="Q177" s="63"/>
      <c r="R177" s="466"/>
    </row>
    <row r="178" spans="1:19" ht="15.75" customHeight="1" x14ac:dyDescent="0.3">
      <c r="A178" s="76"/>
      <c r="B178" s="76"/>
      <c r="C178" s="57" t="s">
        <v>294</v>
      </c>
      <c r="D178" s="63"/>
      <c r="E178" s="63"/>
      <c r="G178" s="167">
        <v>0</v>
      </c>
      <c r="H178" s="189">
        <v>0</v>
      </c>
      <c r="I178" s="167">
        <v>0</v>
      </c>
      <c r="J178" s="570">
        <v>0</v>
      </c>
      <c r="K178" s="167">
        <v>0</v>
      </c>
      <c r="L178" s="167">
        <v>0</v>
      </c>
      <c r="M178" s="167">
        <v>0</v>
      </c>
      <c r="N178" s="167">
        <v>0</v>
      </c>
      <c r="O178" s="167">
        <v>0</v>
      </c>
      <c r="P178" s="143">
        <v>0</v>
      </c>
      <c r="Q178" s="143">
        <v>0</v>
      </c>
      <c r="R178" s="571">
        <v>0</v>
      </c>
      <c r="S178" s="143">
        <v>0</v>
      </c>
    </row>
    <row r="179" spans="1:19" ht="15.75" customHeight="1" x14ac:dyDescent="0.3">
      <c r="A179" s="76"/>
      <c r="B179" s="76"/>
      <c r="C179" s="57" t="s">
        <v>295</v>
      </c>
      <c r="D179" s="63"/>
      <c r="E179" s="63"/>
      <c r="G179" s="167">
        <v>0</v>
      </c>
      <c r="H179" s="189">
        <f>H142-G142</f>
        <v>-19774.559999999939</v>
      </c>
      <c r="I179" s="189">
        <f>I142-H142</f>
        <v>0</v>
      </c>
      <c r="J179" s="570">
        <v>0</v>
      </c>
      <c r="K179" s="167">
        <v>0</v>
      </c>
      <c r="L179" s="167">
        <v>0</v>
      </c>
      <c r="M179" s="167">
        <v>0</v>
      </c>
      <c r="N179" s="167">
        <f>N142-M142</f>
        <v>-20297.689999999944</v>
      </c>
      <c r="O179" s="167">
        <v>0</v>
      </c>
      <c r="P179" s="184">
        <v>0</v>
      </c>
      <c r="Q179" s="184">
        <f>Q142-P142</f>
        <v>-43034.310000000056</v>
      </c>
      <c r="R179" s="571">
        <v>0</v>
      </c>
      <c r="S179" s="184">
        <v>0</v>
      </c>
    </row>
    <row r="180" spans="1:19" ht="15.75" customHeight="1" x14ac:dyDescent="0.3">
      <c r="A180" s="76"/>
      <c r="B180" s="76"/>
      <c r="C180" s="57" t="s">
        <v>296</v>
      </c>
      <c r="D180" s="63"/>
      <c r="E180" s="63"/>
      <c r="G180" s="189">
        <v>0</v>
      </c>
      <c r="H180" s="189">
        <v>0</v>
      </c>
      <c r="I180" s="167">
        <v>0</v>
      </c>
      <c r="J180" s="570">
        <v>1000000</v>
      </c>
      <c r="K180" s="167">
        <v>0</v>
      </c>
      <c r="L180" s="167">
        <v>0</v>
      </c>
      <c r="M180" s="167">
        <v>0</v>
      </c>
      <c r="N180" s="167">
        <v>0</v>
      </c>
      <c r="O180" s="167">
        <v>0</v>
      </c>
      <c r="P180" s="184">
        <v>0</v>
      </c>
      <c r="Q180" s="184">
        <v>0</v>
      </c>
      <c r="R180" s="571">
        <v>0</v>
      </c>
      <c r="S180" s="184">
        <v>0</v>
      </c>
    </row>
    <row r="181" spans="1:19" ht="15.75" customHeight="1" x14ac:dyDescent="0.3">
      <c r="A181" s="76"/>
      <c r="B181" s="76"/>
      <c r="C181" s="57" t="s">
        <v>297</v>
      </c>
      <c r="D181" s="63"/>
      <c r="E181" s="63"/>
      <c r="G181" s="189">
        <v>0</v>
      </c>
      <c r="H181" s="189">
        <v>0</v>
      </c>
      <c r="I181" s="167">
        <v>0</v>
      </c>
      <c r="J181" s="570">
        <v>0</v>
      </c>
      <c r="K181" s="167">
        <v>506200</v>
      </c>
      <c r="L181" s="167">
        <f>L143-K143</f>
        <v>0</v>
      </c>
      <c r="M181" s="167">
        <v>0</v>
      </c>
      <c r="N181" s="167">
        <v>0</v>
      </c>
      <c r="O181" s="167">
        <v>0</v>
      </c>
      <c r="P181" s="184">
        <v>0</v>
      </c>
      <c r="Q181" s="184">
        <v>0</v>
      </c>
      <c r="R181" s="571">
        <v>0</v>
      </c>
      <c r="S181" s="184">
        <v>0</v>
      </c>
    </row>
    <row r="182" spans="1:19" ht="15.75" customHeight="1" x14ac:dyDescent="0.3">
      <c r="A182" s="76"/>
      <c r="B182" s="76"/>
      <c r="C182" s="57" t="s">
        <v>298</v>
      </c>
      <c r="D182" s="63"/>
      <c r="E182" s="63"/>
      <c r="G182" s="161"/>
      <c r="H182" s="189"/>
      <c r="I182" s="167"/>
      <c r="J182" s="570"/>
      <c r="K182" s="167"/>
      <c r="L182" s="167">
        <v>64528</v>
      </c>
      <c r="M182" s="167">
        <f>M144-L144</f>
        <v>-1262</v>
      </c>
      <c r="N182" s="167">
        <f>N144-M144</f>
        <v>-1264.3499999999985</v>
      </c>
      <c r="O182" s="167">
        <f>O144-N144</f>
        <v>-1268.1900000000023</v>
      </c>
      <c r="P182" s="167">
        <f>P144-O144</f>
        <v>-1271.5899999999965</v>
      </c>
      <c r="Q182" s="167">
        <f>Q144-P144</f>
        <v>-1275</v>
      </c>
      <c r="R182" s="167">
        <v>-1278.42888755491</v>
      </c>
      <c r="S182" s="184">
        <v>-1281.8593384031799</v>
      </c>
    </row>
    <row r="183" spans="1:19" ht="15.75" customHeight="1" x14ac:dyDescent="0.3">
      <c r="A183" s="76"/>
      <c r="B183" s="76"/>
      <c r="C183" s="57" t="s">
        <v>299</v>
      </c>
      <c r="D183" s="63"/>
      <c r="E183" s="63"/>
      <c r="G183" s="161"/>
      <c r="H183" s="189">
        <f t="shared" ref="H183:P183" si="68">H145-G145</f>
        <v>-1988.7900000000081</v>
      </c>
      <c r="I183" s="167">
        <f t="shared" si="68"/>
        <v>0</v>
      </c>
      <c r="J183" s="570">
        <f t="shared" si="68"/>
        <v>-1200.6600000000035</v>
      </c>
      <c r="K183" s="167">
        <f t="shared" si="68"/>
        <v>-2374.3999999999942</v>
      </c>
      <c r="L183" s="167">
        <f t="shared" si="68"/>
        <v>0</v>
      </c>
      <c r="M183" s="167">
        <f t="shared" si="68"/>
        <v>-2375</v>
      </c>
      <c r="N183" s="167">
        <f t="shared" si="68"/>
        <v>-4749.9400000000023</v>
      </c>
      <c r="O183" s="167">
        <f t="shared" si="68"/>
        <v>-3097.5</v>
      </c>
      <c r="P183" s="167">
        <f t="shared" si="68"/>
        <v>-2375</v>
      </c>
      <c r="Q183" s="167">
        <f>P183</f>
        <v>-2375</v>
      </c>
      <c r="R183" s="167">
        <f>Q183</f>
        <v>-2375</v>
      </c>
      <c r="S183" s="184">
        <f>R183</f>
        <v>-2375</v>
      </c>
    </row>
    <row r="184" spans="1:19" ht="15.75" customHeight="1" x14ac:dyDescent="0.3">
      <c r="A184" s="76"/>
      <c r="B184" s="76"/>
      <c r="C184" s="322" t="s">
        <v>300</v>
      </c>
      <c r="D184" s="347" t="s">
        <v>301</v>
      </c>
      <c r="E184" s="581"/>
      <c r="F184" s="582">
        <v>0.25</v>
      </c>
      <c r="G184" s="552">
        <v>0</v>
      </c>
      <c r="H184" s="191">
        <f>H153</f>
        <v>-93010</v>
      </c>
      <c r="I184" s="552">
        <v>0</v>
      </c>
      <c r="J184" s="573">
        <v>0</v>
      </c>
      <c r="K184" s="552">
        <v>0</v>
      </c>
      <c r="L184" s="552"/>
      <c r="M184" s="552">
        <v>0</v>
      </c>
      <c r="N184" s="552">
        <f>N153-M153</f>
        <v>-473778</v>
      </c>
      <c r="O184" s="552"/>
      <c r="P184" s="574"/>
      <c r="Q184" s="574">
        <v>-167000</v>
      </c>
      <c r="R184" s="575">
        <v>0</v>
      </c>
      <c r="S184" s="574"/>
    </row>
    <row r="185" spans="1:19" ht="15.75" customHeight="1" x14ac:dyDescent="0.3">
      <c r="A185" s="76"/>
      <c r="B185" s="76"/>
      <c r="C185" s="68" t="s">
        <v>302</v>
      </c>
      <c r="D185" s="68"/>
      <c r="E185" s="68"/>
      <c r="F185" s="68"/>
      <c r="G185" s="176">
        <f t="shared" ref="G185:S185" si="69">SUM(G178:G184)</f>
        <v>0</v>
      </c>
      <c r="H185" s="576">
        <f t="shared" si="69"/>
        <v>-114773.34999999995</v>
      </c>
      <c r="I185" s="176">
        <f t="shared" si="69"/>
        <v>0</v>
      </c>
      <c r="J185" s="577">
        <f t="shared" si="69"/>
        <v>998799.34</v>
      </c>
      <c r="K185" s="176">
        <f t="shared" si="69"/>
        <v>503825.6</v>
      </c>
      <c r="L185" s="176">
        <f t="shared" si="69"/>
        <v>64528</v>
      </c>
      <c r="M185" s="176">
        <f t="shared" si="69"/>
        <v>-3637</v>
      </c>
      <c r="N185" s="176">
        <f t="shared" si="69"/>
        <v>-500089.97999999992</v>
      </c>
      <c r="O185" s="176">
        <f t="shared" si="69"/>
        <v>-4365.6900000000023</v>
      </c>
      <c r="P185" s="153">
        <f t="shared" si="69"/>
        <v>-3646.5899999999965</v>
      </c>
      <c r="Q185" s="153">
        <f t="shared" si="69"/>
        <v>-213684.31000000006</v>
      </c>
      <c r="R185" s="578">
        <f t="shared" si="69"/>
        <v>-3653.42888755491</v>
      </c>
      <c r="S185" s="153">
        <f t="shared" si="69"/>
        <v>-3656.8593384031801</v>
      </c>
    </row>
    <row r="186" spans="1:19" ht="15.75" customHeight="1" x14ac:dyDescent="0.3">
      <c r="A186" s="76"/>
      <c r="B186" s="76"/>
      <c r="C186" s="347"/>
      <c r="D186" s="347"/>
      <c r="E186" s="347"/>
      <c r="F186" s="347"/>
      <c r="G186" s="552"/>
      <c r="H186" s="583"/>
      <c r="I186" s="584"/>
      <c r="J186" s="585"/>
      <c r="K186" s="584"/>
      <c r="L186" s="584"/>
      <c r="M186" s="584"/>
      <c r="N186" s="584"/>
      <c r="O186" s="584"/>
      <c r="P186" s="347"/>
      <c r="Q186" s="347"/>
      <c r="R186" s="586"/>
      <c r="S186" s="587"/>
    </row>
    <row r="187" spans="1:19" ht="15.75" customHeight="1" x14ac:dyDescent="0.3">
      <c r="A187" s="76"/>
      <c r="B187" s="76"/>
      <c r="C187" s="57" t="s">
        <v>303</v>
      </c>
      <c r="D187" s="63"/>
      <c r="E187" s="63"/>
      <c r="F187" s="184"/>
      <c r="G187" s="62">
        <f>G188-(G185+G175+G170)</f>
        <v>2251918.41</v>
      </c>
      <c r="H187" s="433">
        <f>G188</f>
        <v>1800779.41</v>
      </c>
      <c r="I187" s="62">
        <f t="shared" ref="I187:Q187" si="70">H188</f>
        <v>1603389.9999999995</v>
      </c>
      <c r="J187" s="525">
        <f t="shared" si="70"/>
        <v>1269168.4999999998</v>
      </c>
      <c r="K187" s="62">
        <f t="shared" si="70"/>
        <v>2388288</v>
      </c>
      <c r="L187" s="62">
        <f>K188</f>
        <v>2910323.16</v>
      </c>
      <c r="M187" s="62">
        <f>L188</f>
        <v>2726191.0199999996</v>
      </c>
      <c r="N187" s="62">
        <f>M188</f>
        <v>2718954.9999999995</v>
      </c>
      <c r="O187" s="62">
        <f>N188</f>
        <v>2369722.7699999991</v>
      </c>
      <c r="P187" s="145">
        <f t="shared" si="70"/>
        <v>2369852.7199999993</v>
      </c>
      <c r="Q187" s="145">
        <f t="shared" si="70"/>
        <v>2019151.4999999993</v>
      </c>
      <c r="R187" s="435">
        <f>Q188</f>
        <v>2056943.3099999996</v>
      </c>
      <c r="S187" s="194">
        <f>R188</f>
        <v>2352330.9611124452</v>
      </c>
    </row>
    <row r="188" spans="1:19" ht="15.75" customHeight="1" x14ac:dyDescent="0.3">
      <c r="A188" s="76"/>
      <c r="B188" s="76"/>
      <c r="C188" s="322" t="s">
        <v>304</v>
      </c>
      <c r="D188" s="347"/>
      <c r="E188" s="347"/>
      <c r="F188" s="347"/>
      <c r="G188" s="325">
        <f>G110</f>
        <v>1800779.41</v>
      </c>
      <c r="H188" s="437">
        <f t="shared" ref="H188:S188" si="71">H187+H170+H175+H185</f>
        <v>1603389.9999999995</v>
      </c>
      <c r="I188" s="325">
        <f t="shared" si="71"/>
        <v>1269168.4999999998</v>
      </c>
      <c r="J188" s="532">
        <f t="shared" si="71"/>
        <v>2388288</v>
      </c>
      <c r="K188" s="325">
        <f t="shared" si="71"/>
        <v>2910323.16</v>
      </c>
      <c r="L188" s="325">
        <f t="shared" si="71"/>
        <v>2726191.0199999996</v>
      </c>
      <c r="M188" s="325">
        <f t="shared" si="71"/>
        <v>2718954.9999999995</v>
      </c>
      <c r="N188" s="325">
        <f t="shared" si="71"/>
        <v>2369722.7699999991</v>
      </c>
      <c r="O188" s="325">
        <f t="shared" si="71"/>
        <v>2369852.7199999993</v>
      </c>
      <c r="P188" s="318">
        <f t="shared" si="71"/>
        <v>2019151.4999999993</v>
      </c>
      <c r="Q188" s="318">
        <f t="shared" si="71"/>
        <v>2056943.3099999996</v>
      </c>
      <c r="R188" s="439">
        <f t="shared" si="71"/>
        <v>2352330.9611124452</v>
      </c>
      <c r="S188" s="195">
        <f t="shared" si="71"/>
        <v>2191825.0917740418</v>
      </c>
    </row>
    <row r="189" spans="1:19" ht="15.75" customHeight="1" x14ac:dyDescent="0.3">
      <c r="A189" s="76"/>
      <c r="B189" s="76"/>
      <c r="C189" s="57" t="s">
        <v>305</v>
      </c>
      <c r="D189" s="63"/>
      <c r="E189" s="63"/>
      <c r="F189" s="63"/>
      <c r="G189" s="61">
        <f>G188-G187</f>
        <v>-451139.00000000023</v>
      </c>
      <c r="H189" s="433">
        <f>H188-H187</f>
        <v>-197389.41000000038</v>
      </c>
      <c r="I189" s="61">
        <f t="shared" ref="I189:S189" si="72">I188-I187</f>
        <v>-334221.49999999977</v>
      </c>
      <c r="J189" s="525">
        <f t="shared" si="72"/>
        <v>1119119.5000000002</v>
      </c>
      <c r="K189" s="61">
        <f>K188-K187</f>
        <v>522035.16000000015</v>
      </c>
      <c r="L189" s="61">
        <f>L188-L187</f>
        <v>-184132.1400000006</v>
      </c>
      <c r="M189" s="61">
        <f t="shared" si="72"/>
        <v>-7236.0200000000186</v>
      </c>
      <c r="N189" s="61">
        <f>N188-N187</f>
        <v>-349232.23000000045</v>
      </c>
      <c r="O189" s="61">
        <f>O188-O187</f>
        <v>129.95000000018626</v>
      </c>
      <c r="P189" s="81">
        <f t="shared" si="72"/>
        <v>-350701.22</v>
      </c>
      <c r="Q189" s="81">
        <f t="shared" si="72"/>
        <v>37791.810000000289</v>
      </c>
      <c r="R189" s="435">
        <f t="shared" si="72"/>
        <v>295387.65111244563</v>
      </c>
      <c r="S189" s="81">
        <f t="shared" si="72"/>
        <v>-160505.86933840346</v>
      </c>
    </row>
    <row r="190" spans="1:19" ht="15.75" customHeight="1" x14ac:dyDescent="0.3">
      <c r="A190" s="76"/>
      <c r="B190" s="76"/>
      <c r="C190" s="76"/>
      <c r="D190" s="76"/>
      <c r="E190" s="76"/>
      <c r="F190" s="89" t="s">
        <v>306</v>
      </c>
      <c r="G190" s="196">
        <f>G188-G110</f>
        <v>0</v>
      </c>
      <c r="H190" s="588">
        <f>H188-H110</f>
        <v>0</v>
      </c>
      <c r="I190" s="589">
        <f>I188-I110</f>
        <v>0</v>
      </c>
      <c r="J190" s="196">
        <f t="shared" ref="J190:S190" si="73">J110-J188</f>
        <v>0</v>
      </c>
      <c r="K190" s="590">
        <f t="shared" si="73"/>
        <v>0</v>
      </c>
      <c r="L190" s="590">
        <f t="shared" si="73"/>
        <v>0</v>
      </c>
      <c r="M190" s="590">
        <f t="shared" si="73"/>
        <v>14.000000000465661</v>
      </c>
      <c r="N190" s="590">
        <f t="shared" si="73"/>
        <v>0</v>
      </c>
      <c r="O190" s="590">
        <f t="shared" si="73"/>
        <v>0</v>
      </c>
      <c r="P190" s="591">
        <f t="shared" si="73"/>
        <v>0.56000000075437129</v>
      </c>
      <c r="Q190" s="591">
        <f t="shared" si="73"/>
        <v>-5.9999999357387424E-2</v>
      </c>
      <c r="R190" s="592">
        <f t="shared" si="73"/>
        <v>-0.18111244542524219</v>
      </c>
      <c r="S190" s="593">
        <f t="shared" si="73"/>
        <v>-0.37177404155954719</v>
      </c>
    </row>
    <row r="191" spans="1:19" ht="15.75" customHeight="1" x14ac:dyDescent="0.3">
      <c r="A191" s="76"/>
      <c r="B191" s="76"/>
      <c r="C191" s="76"/>
      <c r="D191" s="197"/>
      <c r="E191" s="76"/>
      <c r="F191" s="198"/>
      <c r="G191" s="198"/>
      <c r="H191" s="214"/>
      <c r="I191" s="198"/>
      <c r="J191" s="594"/>
      <c r="K191" s="198"/>
      <c r="L191" s="198"/>
      <c r="M191" s="198"/>
      <c r="N191" s="198"/>
      <c r="O191" s="198"/>
      <c r="P191" s="198"/>
      <c r="Q191" s="198"/>
      <c r="R191" s="595"/>
    </row>
    <row r="192" spans="1:19" ht="15.75" customHeight="1" x14ac:dyDescent="0.3">
      <c r="A192" s="76"/>
      <c r="B192" s="76"/>
      <c r="C192" s="76"/>
      <c r="D192" s="197"/>
      <c r="E192" s="76"/>
      <c r="F192" s="198"/>
      <c r="G192" s="198"/>
      <c r="H192" s="214"/>
      <c r="I192" s="198"/>
      <c r="J192" s="594"/>
      <c r="K192" s="198"/>
      <c r="L192" s="198"/>
      <c r="M192" s="198"/>
      <c r="N192" s="198"/>
      <c r="O192" s="198"/>
      <c r="P192" s="198"/>
      <c r="Q192" s="198"/>
      <c r="R192" s="595"/>
      <c r="S192" s="69"/>
    </row>
    <row r="193" spans="11:19" ht="15.75" customHeight="1" x14ac:dyDescent="0.3"/>
    <row r="194" spans="11:19" ht="15.75" customHeight="1" x14ac:dyDescent="0.3">
      <c r="S194" s="69"/>
    </row>
    <row r="195" spans="11:19" ht="15.75" customHeight="1" x14ac:dyDescent="0.3">
      <c r="K195" s="32"/>
      <c r="L195" s="32"/>
      <c r="M195" s="32"/>
      <c r="N195" s="32"/>
      <c r="O195" s="32"/>
      <c r="R195" s="407"/>
    </row>
    <row r="196" spans="11:19" ht="15.75" customHeight="1" x14ac:dyDescent="0.3">
      <c r="K196" s="32"/>
      <c r="L196" s="32"/>
      <c r="M196" s="32"/>
      <c r="N196" s="32"/>
      <c r="O196" s="32"/>
      <c r="R196" s="407"/>
    </row>
    <row r="197" spans="11:19" ht="15.75" customHeight="1" x14ac:dyDescent="0.3"/>
    <row r="198" spans="11:19" ht="15.75" customHeight="1" x14ac:dyDescent="0.3"/>
    <row r="199" spans="11:19" ht="15.75" customHeight="1" x14ac:dyDescent="0.3"/>
    <row r="200" spans="11:19" ht="15.75" customHeight="1" x14ac:dyDescent="0.3"/>
    <row r="201" spans="11:19" ht="15.75" customHeight="1" x14ac:dyDescent="0.3"/>
    <row r="202" spans="11:19" ht="15.75" customHeight="1" x14ac:dyDescent="0.3"/>
    <row r="203" spans="11:19" ht="15.75" customHeight="1" x14ac:dyDescent="0.3"/>
    <row r="204" spans="11:19" ht="15.75" customHeight="1" x14ac:dyDescent="0.3"/>
    <row r="205" spans="11:19" ht="15.75" customHeight="1" x14ac:dyDescent="0.3"/>
    <row r="206" spans="11:19" ht="15.75" customHeight="1" x14ac:dyDescent="0.3"/>
    <row r="207" spans="11:19" ht="15.75" customHeight="1" x14ac:dyDescent="0.3"/>
    <row r="208" spans="11:19"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row r="1005" ht="15.75" customHeight="1" x14ac:dyDescent="0.3"/>
    <row r="1006" ht="15.75" customHeight="1" x14ac:dyDescent="0.3"/>
    <row r="1007" ht="15.75" customHeight="1" x14ac:dyDescent="0.3"/>
    <row r="1008" ht="15.75" customHeight="1" x14ac:dyDescent="0.3"/>
    <row r="1009" ht="15.75" customHeight="1" x14ac:dyDescent="0.3"/>
    <row r="1010" ht="15.75" customHeight="1" x14ac:dyDescent="0.3"/>
    <row r="1011" ht="15.75" customHeight="1" x14ac:dyDescent="0.3"/>
    <row r="1012" ht="15.75" customHeight="1" x14ac:dyDescent="0.3"/>
    <row r="1013" ht="15.75" customHeight="1" x14ac:dyDescent="0.3"/>
    <row r="1014" ht="15.75" customHeight="1" x14ac:dyDescent="0.3"/>
    <row r="1015" ht="15.75" customHeight="1" x14ac:dyDescent="0.3"/>
    <row r="1016" ht="15.75" customHeight="1" x14ac:dyDescent="0.3"/>
    <row r="1017" ht="15.75" customHeight="1" x14ac:dyDescent="0.3"/>
    <row r="1018" ht="15.75" customHeight="1" x14ac:dyDescent="0.3"/>
    <row r="1019" ht="15.75" customHeight="1" x14ac:dyDescent="0.3"/>
  </sheetData>
  <mergeCells count="1">
    <mergeCell ref="D125:F125"/>
  </mergeCells>
  <conditionalFormatting sqref="G63:K63 P63 S63:T63">
    <cfRule type="cellIs" dxfId="69" priority="54" operator="lessThan">
      <formula>0</formula>
    </cfRule>
  </conditionalFormatting>
  <conditionalFormatting sqref="G69:K69 P69 S69:T69">
    <cfRule type="cellIs" dxfId="68" priority="53" operator="lessThan">
      <formula>0</formula>
    </cfRule>
  </conditionalFormatting>
  <conditionalFormatting sqref="P75:P77 G75:K82 G84:K84 G83:H83 P84 S75:T84">
    <cfRule type="cellIs" dxfId="67" priority="52" operator="lessThan">
      <formula>0</formula>
    </cfRule>
  </conditionalFormatting>
  <conditionalFormatting sqref="G100:K100 P100 S100:T100">
    <cfRule type="cellIs" dxfId="66" priority="51" operator="lessThan">
      <formula>0</formula>
    </cfRule>
  </conditionalFormatting>
  <conditionalFormatting sqref="G188:K189 P188:P189 S188:S189">
    <cfRule type="cellIs" dxfId="65" priority="49" operator="lessThan">
      <formula>0</formula>
    </cfRule>
  </conditionalFormatting>
  <conditionalFormatting sqref="G187:K187 P187 S187">
    <cfRule type="cellIs" dxfId="64" priority="50" operator="lessThan">
      <formula>0</formula>
    </cfRule>
  </conditionalFormatting>
  <conditionalFormatting sqref="L63">
    <cfRule type="cellIs" dxfId="63" priority="48" operator="lessThan">
      <formula>0</formula>
    </cfRule>
  </conditionalFormatting>
  <conditionalFormatting sqref="L69">
    <cfRule type="cellIs" dxfId="62" priority="47" operator="lessThan">
      <formula>0</formula>
    </cfRule>
  </conditionalFormatting>
  <conditionalFormatting sqref="L75:L82 L84">
    <cfRule type="cellIs" dxfId="61" priority="46" operator="lessThan">
      <formula>0</formula>
    </cfRule>
  </conditionalFormatting>
  <conditionalFormatting sqref="L100">
    <cfRule type="cellIs" dxfId="60" priority="45" operator="lessThan">
      <formula>0</formula>
    </cfRule>
  </conditionalFormatting>
  <conditionalFormatting sqref="L188:L189 M188">
    <cfRule type="cellIs" dxfId="59" priority="43" operator="lessThan">
      <formula>0</formula>
    </cfRule>
  </conditionalFormatting>
  <conditionalFormatting sqref="L187">
    <cfRule type="cellIs" dxfId="58" priority="44" operator="lessThan">
      <formula>0</formula>
    </cfRule>
  </conditionalFormatting>
  <conditionalFormatting sqref="M63">
    <cfRule type="cellIs" dxfId="57" priority="42" operator="lessThan">
      <formula>0</formula>
    </cfRule>
  </conditionalFormatting>
  <conditionalFormatting sqref="M69">
    <cfRule type="cellIs" dxfId="56" priority="41" operator="lessThan">
      <formula>0</formula>
    </cfRule>
  </conditionalFormatting>
  <conditionalFormatting sqref="M75:M82 M84">
    <cfRule type="cellIs" dxfId="55" priority="40" operator="lessThan">
      <formula>0</formula>
    </cfRule>
  </conditionalFormatting>
  <conditionalFormatting sqref="M100">
    <cfRule type="cellIs" dxfId="54" priority="39" operator="lessThan">
      <formula>0</formula>
    </cfRule>
  </conditionalFormatting>
  <conditionalFormatting sqref="M189">
    <cfRule type="cellIs" dxfId="53" priority="37" operator="lessThan">
      <formula>0</formula>
    </cfRule>
  </conditionalFormatting>
  <conditionalFormatting sqref="M187">
    <cfRule type="cellIs" dxfId="52" priority="38" operator="lessThan">
      <formula>0</formula>
    </cfRule>
  </conditionalFormatting>
  <conditionalFormatting sqref="I83:K83">
    <cfRule type="cellIs" dxfId="51" priority="36" operator="lessThan">
      <formula>0</formula>
    </cfRule>
  </conditionalFormatting>
  <conditionalFormatting sqref="L83">
    <cfRule type="cellIs" dxfId="50" priority="35" operator="lessThan">
      <formula>0</formula>
    </cfRule>
  </conditionalFormatting>
  <conditionalFormatting sqref="M83">
    <cfRule type="cellIs" dxfId="49" priority="34" operator="lessThan">
      <formula>0</formula>
    </cfRule>
  </conditionalFormatting>
  <conditionalFormatting sqref="P78:P83">
    <cfRule type="cellIs" dxfId="48" priority="33" operator="lessThan">
      <formula>0</formula>
    </cfRule>
  </conditionalFormatting>
  <conditionalFormatting sqref="N188">
    <cfRule type="cellIs" dxfId="47" priority="32" operator="lessThan">
      <formula>0</formula>
    </cfRule>
  </conditionalFormatting>
  <conditionalFormatting sqref="N63">
    <cfRule type="cellIs" dxfId="46" priority="31" operator="lessThan">
      <formula>0</formula>
    </cfRule>
  </conditionalFormatting>
  <conditionalFormatting sqref="N69">
    <cfRule type="cellIs" dxfId="45" priority="30" operator="lessThan">
      <formula>0</formula>
    </cfRule>
  </conditionalFormatting>
  <conditionalFormatting sqref="N75:N82 N84">
    <cfRule type="cellIs" dxfId="44" priority="29" operator="lessThan">
      <formula>0</formula>
    </cfRule>
  </conditionalFormatting>
  <conditionalFormatting sqref="N100">
    <cfRule type="cellIs" dxfId="43" priority="28" operator="lessThan">
      <formula>0</formula>
    </cfRule>
  </conditionalFormatting>
  <conditionalFormatting sqref="N189">
    <cfRule type="cellIs" dxfId="42" priority="26" operator="lessThan">
      <formula>0</formula>
    </cfRule>
  </conditionalFormatting>
  <conditionalFormatting sqref="N187">
    <cfRule type="cellIs" dxfId="41" priority="27" operator="lessThan">
      <formula>0</formula>
    </cfRule>
  </conditionalFormatting>
  <conditionalFormatting sqref="N83">
    <cfRule type="cellIs" dxfId="40" priority="25" operator="lessThan">
      <formula>0</formula>
    </cfRule>
  </conditionalFormatting>
  <conditionalFormatting sqref="O188">
    <cfRule type="cellIs" dxfId="39" priority="24" operator="lessThan">
      <formula>0</formula>
    </cfRule>
  </conditionalFormatting>
  <conditionalFormatting sqref="O63">
    <cfRule type="cellIs" dxfId="38" priority="23" operator="lessThan">
      <formula>0</formula>
    </cfRule>
  </conditionalFormatting>
  <conditionalFormatting sqref="O69">
    <cfRule type="cellIs" dxfId="37" priority="22" operator="lessThan">
      <formula>0</formula>
    </cfRule>
  </conditionalFormatting>
  <conditionalFormatting sqref="O75:O82 O84">
    <cfRule type="cellIs" dxfId="36" priority="21" operator="lessThan">
      <formula>0</formula>
    </cfRule>
  </conditionalFormatting>
  <conditionalFormatting sqref="O100">
    <cfRule type="cellIs" dxfId="35" priority="20" operator="lessThan">
      <formula>0</formula>
    </cfRule>
  </conditionalFormatting>
  <conditionalFormatting sqref="O189">
    <cfRule type="cellIs" dxfId="34" priority="18" operator="lessThan">
      <formula>0</formula>
    </cfRule>
  </conditionalFormatting>
  <conditionalFormatting sqref="O187">
    <cfRule type="cellIs" dxfId="33" priority="19" operator="lessThan">
      <formula>0</formula>
    </cfRule>
  </conditionalFormatting>
  <conditionalFormatting sqref="O83">
    <cfRule type="cellIs" dxfId="32" priority="17" operator="lessThan">
      <formula>0</formula>
    </cfRule>
  </conditionalFormatting>
  <conditionalFormatting sqref="R69">
    <cfRule type="cellIs" dxfId="31" priority="15" operator="lessThan">
      <formula>0</formula>
    </cfRule>
  </conditionalFormatting>
  <conditionalFormatting sqref="R63">
    <cfRule type="cellIs" dxfId="30" priority="16" operator="lessThan">
      <formula>0</formula>
    </cfRule>
  </conditionalFormatting>
  <conditionalFormatting sqref="R75:R79 R81:R84">
    <cfRule type="cellIs" dxfId="29" priority="14" operator="lessThan">
      <formula>0</formula>
    </cfRule>
  </conditionalFormatting>
  <conditionalFormatting sqref="R100">
    <cfRule type="cellIs" dxfId="28" priority="13" operator="lessThan">
      <formula>0</formula>
    </cfRule>
  </conditionalFormatting>
  <conditionalFormatting sqref="R188:R189">
    <cfRule type="cellIs" dxfId="27" priority="11" operator="lessThan">
      <formula>0</formula>
    </cfRule>
  </conditionalFormatting>
  <conditionalFormatting sqref="R187">
    <cfRule type="cellIs" dxfId="26" priority="12" operator="lessThan">
      <formula>0</formula>
    </cfRule>
  </conditionalFormatting>
  <conditionalFormatting sqref="R80">
    <cfRule type="cellIs" dxfId="25" priority="10" operator="lessThan">
      <formula>0</formula>
    </cfRule>
  </conditionalFormatting>
  <conditionalFormatting sqref="Q63">
    <cfRule type="cellIs" dxfId="24" priority="9" operator="lessThan">
      <formula>0</formula>
    </cfRule>
  </conditionalFormatting>
  <conditionalFormatting sqref="Q69">
    <cfRule type="cellIs" dxfId="23" priority="8" operator="lessThan">
      <formula>0</formula>
    </cfRule>
  </conditionalFormatting>
  <conditionalFormatting sqref="Q75:Q77 Q84">
    <cfRule type="cellIs" dxfId="22" priority="7" operator="lessThan">
      <formula>0</formula>
    </cfRule>
  </conditionalFormatting>
  <conditionalFormatting sqref="Q100">
    <cfRule type="cellIs" dxfId="21" priority="6" operator="lessThan">
      <formula>0</formula>
    </cfRule>
  </conditionalFormatting>
  <conditionalFormatting sqref="Q188:Q189">
    <cfRule type="cellIs" dxfId="20" priority="4" operator="lessThan">
      <formula>0</formula>
    </cfRule>
  </conditionalFormatting>
  <conditionalFormatting sqref="Q187">
    <cfRule type="cellIs" dxfId="19" priority="5" operator="lessThan">
      <formula>0</formula>
    </cfRule>
  </conditionalFormatting>
  <conditionalFormatting sqref="Q78:Q83">
    <cfRule type="cellIs" dxfId="18" priority="3" operator="lessThan">
      <formula>0</formula>
    </cfRule>
  </conditionalFormatting>
  <conditionalFormatting sqref="T86">
    <cfRule type="cellIs" dxfId="17" priority="2" operator="lessThan">
      <formula>0</formula>
    </cfRule>
  </conditionalFormatting>
  <conditionalFormatting sqref="T88">
    <cfRule type="cellIs" dxfId="16" priority="1" operator="lessThan">
      <formula>0</formula>
    </cfRule>
  </conditionalFormatting>
  <pageMargins left="0.75" right="0.75" top="1" bottom="1" header="0.5" footer="0.5"/>
  <pageSetup orientation="portrait" horizontalDpi="4294967292" verticalDpi="4294967292"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B8042-B5A1-4918-841A-5FF45FBF6F39}">
  <sheetPr codeName="Sheet10"/>
  <dimension ref="B3:U26"/>
  <sheetViews>
    <sheetView workbookViewId="0">
      <selection activeCell="B3" sqref="B3"/>
    </sheetView>
  </sheetViews>
  <sheetFormatPr defaultRowHeight="14.4" x14ac:dyDescent="0.3"/>
  <cols>
    <col min="2" max="4" width="12.88671875" bestFit="1" customWidth="1"/>
    <col min="5" max="8" width="14.109375" bestFit="1" customWidth="1"/>
    <col min="9" max="10" width="13.109375" bestFit="1" customWidth="1"/>
    <col min="11" max="11" width="14.109375" bestFit="1" customWidth="1"/>
    <col min="12" max="13" width="13.109375" bestFit="1" customWidth="1"/>
    <col min="14" max="14" width="14.109375" bestFit="1" customWidth="1"/>
  </cols>
  <sheetData>
    <row r="3" spans="2:21" ht="15.6" x14ac:dyDescent="0.3">
      <c r="B3" s="199"/>
      <c r="C3" s="33"/>
      <c r="D3" s="33"/>
      <c r="E3" s="33"/>
      <c r="F3" s="33"/>
      <c r="G3" s="33"/>
      <c r="H3" s="33"/>
      <c r="I3" s="33"/>
      <c r="J3" s="33"/>
      <c r="K3" s="340"/>
      <c r="L3" s="340"/>
      <c r="M3" s="33"/>
      <c r="N3" s="33"/>
      <c r="O3" s="33"/>
      <c r="P3" s="33"/>
      <c r="Q3" s="33"/>
      <c r="R3" s="33"/>
      <c r="S3" s="33"/>
      <c r="T3" s="33"/>
      <c r="U3" s="33"/>
    </row>
    <row r="4" spans="2:21" ht="15.6" x14ac:dyDescent="0.3">
      <c r="B4" s="341"/>
      <c r="C4" s="342"/>
      <c r="D4" s="342"/>
      <c r="E4" s="342"/>
      <c r="F4" s="342"/>
      <c r="G4" s="342"/>
      <c r="H4" s="342"/>
      <c r="I4" s="342"/>
      <c r="J4" s="342"/>
      <c r="K4" s="341"/>
      <c r="L4" s="341"/>
      <c r="M4" s="342"/>
      <c r="N4" s="343"/>
      <c r="O4" s="33"/>
      <c r="P4" s="33"/>
      <c r="Q4" s="33"/>
      <c r="R4" s="33"/>
      <c r="S4" s="33"/>
      <c r="T4" s="33"/>
      <c r="U4" s="33"/>
    </row>
    <row r="5" spans="2:21" ht="15.6" x14ac:dyDescent="0.3">
      <c r="B5" s="343"/>
      <c r="C5" s="343"/>
      <c r="D5" s="343"/>
      <c r="E5" s="343"/>
      <c r="F5" s="343"/>
      <c r="G5" s="344"/>
      <c r="H5" s="343"/>
      <c r="I5" s="310"/>
      <c r="J5" s="310"/>
      <c r="K5" s="310"/>
      <c r="L5" s="310"/>
      <c r="M5" s="310"/>
      <c r="N5" s="310"/>
    </row>
    <row r="6" spans="2:21" ht="15.6" x14ac:dyDescent="0.3">
      <c r="B6" s="341"/>
      <c r="C6" s="341"/>
      <c r="D6" s="341"/>
      <c r="E6" s="341"/>
      <c r="F6" s="341"/>
      <c r="G6" s="341"/>
      <c r="H6" s="341"/>
      <c r="I6" s="341"/>
      <c r="J6" s="341"/>
      <c r="K6" s="341"/>
      <c r="L6" s="341"/>
      <c r="M6" s="341"/>
      <c r="N6" s="341"/>
      <c r="O6" s="33"/>
      <c r="P6" s="33"/>
      <c r="Q6" s="33"/>
      <c r="R6" s="33"/>
      <c r="S6" s="33"/>
      <c r="T6" s="33"/>
      <c r="U6" s="33"/>
    </row>
    <row r="7" spans="2:21" ht="15.6" x14ac:dyDescent="0.3">
      <c r="B7" s="341"/>
      <c r="C7" s="342"/>
      <c r="D7" s="342"/>
      <c r="E7" s="342"/>
      <c r="F7" s="342"/>
      <c r="G7" s="342"/>
      <c r="H7" s="342"/>
      <c r="I7" s="342"/>
      <c r="J7" s="342"/>
      <c r="K7" s="341"/>
      <c r="L7" s="341"/>
      <c r="M7" s="342"/>
      <c r="N7" s="343"/>
      <c r="O7" s="33"/>
      <c r="P7" s="33"/>
      <c r="Q7" s="33"/>
      <c r="R7" s="33"/>
      <c r="S7" s="33"/>
      <c r="T7" s="33"/>
      <c r="U7" s="33"/>
    </row>
    <row r="8" spans="2:21" ht="15.6" x14ac:dyDescent="0.3">
      <c r="B8" s="341"/>
      <c r="C8" s="342"/>
      <c r="D8" s="342"/>
      <c r="E8" s="342"/>
      <c r="F8" s="342"/>
      <c r="G8" s="342"/>
      <c r="H8" s="342"/>
      <c r="I8" s="342"/>
      <c r="J8" s="342"/>
      <c r="K8" s="341"/>
      <c r="L8" s="341"/>
      <c r="M8" s="342"/>
      <c r="N8" s="343"/>
      <c r="O8" s="33"/>
      <c r="P8" s="33"/>
      <c r="Q8" s="33"/>
      <c r="R8" s="33"/>
      <c r="S8" s="33"/>
      <c r="T8" s="33"/>
      <c r="U8" s="33"/>
    </row>
    <row r="9" spans="2:21" ht="15.6" x14ac:dyDescent="0.3">
      <c r="B9" s="343"/>
      <c r="C9" s="343"/>
      <c r="D9" s="343"/>
      <c r="E9" s="343"/>
      <c r="F9" s="343"/>
      <c r="G9" s="344"/>
      <c r="H9" s="343"/>
      <c r="I9" s="310"/>
      <c r="J9" s="310"/>
      <c r="K9" s="310"/>
      <c r="L9" s="310"/>
      <c r="M9" s="310"/>
      <c r="N9" s="310"/>
    </row>
    <row r="10" spans="2:21" ht="15.6" x14ac:dyDescent="0.3">
      <c r="B10" s="341"/>
      <c r="C10" s="341"/>
      <c r="D10" s="341"/>
      <c r="E10" s="341"/>
      <c r="F10" s="341"/>
      <c r="G10" s="341"/>
      <c r="H10" s="341"/>
      <c r="I10" s="341"/>
      <c r="J10" s="341"/>
      <c r="K10" s="341"/>
      <c r="L10" s="341"/>
      <c r="M10" s="341"/>
      <c r="N10" s="341"/>
      <c r="O10" s="33"/>
      <c r="P10" s="33"/>
      <c r="Q10" s="33"/>
      <c r="R10" s="33"/>
      <c r="S10" s="33"/>
      <c r="T10" s="33"/>
      <c r="U10" s="33"/>
    </row>
    <row r="11" spans="2:21" ht="15.6" x14ac:dyDescent="0.3">
      <c r="B11" s="341"/>
      <c r="C11" s="342"/>
      <c r="D11" s="342"/>
      <c r="E11" s="342"/>
      <c r="F11" s="342"/>
      <c r="G11" s="342"/>
      <c r="H11" s="342"/>
      <c r="I11" s="342"/>
      <c r="J11" s="342"/>
      <c r="K11" s="341"/>
      <c r="L11" s="341"/>
      <c r="M11" s="342"/>
      <c r="N11" s="343"/>
      <c r="O11" s="33"/>
      <c r="P11" s="33"/>
      <c r="Q11" s="33"/>
      <c r="R11" s="33"/>
      <c r="S11" s="33"/>
      <c r="T11" s="33"/>
      <c r="U11" s="33"/>
    </row>
    <row r="12" spans="2:21" ht="15.6" x14ac:dyDescent="0.3">
      <c r="B12" s="345"/>
      <c r="C12" s="345"/>
      <c r="D12" s="345"/>
      <c r="E12" s="345"/>
      <c r="F12" s="345"/>
      <c r="G12" s="345"/>
      <c r="H12" s="345"/>
      <c r="I12" s="345"/>
      <c r="J12" s="345"/>
      <c r="K12" s="345"/>
      <c r="L12" s="345"/>
      <c r="M12" s="345"/>
      <c r="N12" s="345"/>
      <c r="O12" s="33"/>
      <c r="P12" s="33"/>
      <c r="Q12" s="33"/>
      <c r="R12" s="33"/>
      <c r="S12" s="33"/>
      <c r="T12" s="33"/>
      <c r="U12" s="33"/>
    </row>
    <row r="13" spans="2:21" ht="15.6" x14ac:dyDescent="0.3">
      <c r="B13" s="345"/>
      <c r="C13" s="345"/>
      <c r="D13" s="345"/>
      <c r="E13" s="345"/>
      <c r="F13" s="345"/>
      <c r="G13" s="345"/>
      <c r="H13" s="345"/>
      <c r="I13" s="345"/>
      <c r="J13" s="345"/>
      <c r="K13" s="345"/>
      <c r="L13" s="345"/>
      <c r="M13" s="345"/>
      <c r="N13" s="345"/>
      <c r="O13" s="33"/>
      <c r="P13" s="33"/>
      <c r="Q13" s="33"/>
      <c r="R13" s="33"/>
      <c r="S13" s="33"/>
      <c r="T13" s="33"/>
      <c r="U13" s="33"/>
    </row>
    <row r="14" spans="2:21" ht="15.6" x14ac:dyDescent="0.3">
      <c r="B14" s="345"/>
      <c r="C14" s="345"/>
      <c r="D14" s="345"/>
      <c r="E14" s="345"/>
      <c r="F14" s="345"/>
      <c r="G14" s="345"/>
      <c r="H14" s="345"/>
      <c r="I14" s="345"/>
      <c r="J14" s="345"/>
      <c r="K14" s="345"/>
      <c r="L14" s="345"/>
      <c r="M14" s="345"/>
      <c r="N14" s="345"/>
      <c r="O14" s="33"/>
      <c r="P14" s="33"/>
      <c r="Q14" s="33"/>
      <c r="R14" s="33"/>
      <c r="S14" s="33"/>
      <c r="T14" s="33"/>
      <c r="U14" s="33"/>
    </row>
    <row r="15" spans="2:21" ht="15.6" x14ac:dyDescent="0.3">
      <c r="B15" s="341"/>
      <c r="C15" s="342"/>
      <c r="D15" s="342"/>
      <c r="E15" s="342"/>
      <c r="F15" s="342"/>
      <c r="G15" s="342"/>
      <c r="H15" s="342"/>
      <c r="I15" s="342"/>
      <c r="J15" s="342"/>
      <c r="K15" s="341"/>
      <c r="L15" s="341"/>
      <c r="M15" s="342"/>
      <c r="N15" s="343"/>
      <c r="O15" s="33"/>
      <c r="P15" s="33"/>
      <c r="Q15" s="33"/>
      <c r="R15" s="33"/>
      <c r="S15" s="33"/>
      <c r="T15" s="33"/>
      <c r="U15" s="33"/>
    </row>
    <row r="16" spans="2:21" x14ac:dyDescent="0.3">
      <c r="B16" s="310"/>
      <c r="C16" s="310"/>
      <c r="D16" s="310"/>
      <c r="E16" s="310"/>
      <c r="F16" s="310"/>
      <c r="G16" s="310"/>
      <c r="H16" s="310"/>
      <c r="I16" s="310"/>
      <c r="J16" s="310"/>
      <c r="K16" s="310"/>
      <c r="L16" s="310"/>
      <c r="M16" s="310"/>
      <c r="N16" s="310"/>
    </row>
    <row r="17" spans="2:14" x14ac:dyDescent="0.3">
      <c r="B17" s="310"/>
      <c r="C17" s="310"/>
      <c r="D17" s="310"/>
      <c r="E17" s="310"/>
      <c r="F17" s="310"/>
      <c r="G17" s="310"/>
      <c r="H17" s="310"/>
      <c r="I17" s="310"/>
      <c r="J17" s="310"/>
      <c r="K17" s="310"/>
      <c r="L17" s="310"/>
      <c r="M17" s="310"/>
      <c r="N17" s="310"/>
    </row>
    <row r="18" spans="2:14" x14ac:dyDescent="0.3">
      <c r="B18" s="310"/>
      <c r="C18" s="310"/>
      <c r="D18" s="310"/>
      <c r="E18" s="310"/>
      <c r="F18" s="310"/>
      <c r="G18" s="310"/>
      <c r="H18" s="310"/>
      <c r="I18" s="310"/>
      <c r="J18" s="310"/>
      <c r="K18" s="310"/>
      <c r="L18" s="310"/>
      <c r="M18" s="310"/>
      <c r="N18" s="310"/>
    </row>
    <row r="19" spans="2:14" x14ac:dyDescent="0.3">
      <c r="B19" s="310"/>
      <c r="C19" s="310"/>
      <c r="D19" s="310"/>
      <c r="E19" s="310"/>
      <c r="F19" s="310"/>
      <c r="G19" s="310"/>
      <c r="H19" s="310"/>
      <c r="I19" s="310"/>
      <c r="J19" s="310"/>
      <c r="K19" s="310"/>
      <c r="L19" s="310"/>
      <c r="M19" s="310"/>
      <c r="N19" s="310"/>
    </row>
    <row r="20" spans="2:14" ht="15.6" x14ac:dyDescent="0.3">
      <c r="B20" s="341"/>
      <c r="C20" s="341"/>
      <c r="D20" s="341"/>
      <c r="E20" s="341"/>
      <c r="F20" s="341"/>
      <c r="G20" s="341"/>
      <c r="H20" s="341"/>
      <c r="I20" s="341"/>
      <c r="J20" s="341"/>
      <c r="K20" s="341"/>
      <c r="L20" s="341"/>
      <c r="M20" s="341"/>
      <c r="N20" s="341"/>
    </row>
    <row r="21" spans="2:14" x14ac:dyDescent="0.3">
      <c r="B21" s="310"/>
      <c r="C21" s="310"/>
      <c r="D21" s="310"/>
      <c r="E21" s="310"/>
      <c r="F21" s="310"/>
      <c r="G21" s="310"/>
      <c r="H21" s="310"/>
      <c r="I21" s="310"/>
      <c r="J21" s="310"/>
      <c r="K21" s="310"/>
      <c r="L21" s="310"/>
      <c r="M21" s="310"/>
      <c r="N21" s="310"/>
    </row>
    <row r="22" spans="2:14" x14ac:dyDescent="0.3">
      <c r="B22" s="310"/>
      <c r="C22" s="310"/>
      <c r="D22" s="310"/>
      <c r="E22" s="310"/>
      <c r="F22" s="310"/>
      <c r="G22" s="310"/>
      <c r="H22" s="310"/>
      <c r="I22" s="310"/>
      <c r="J22" s="310"/>
      <c r="K22" s="310"/>
      <c r="L22" s="310"/>
      <c r="M22" s="310"/>
      <c r="N22" s="310"/>
    </row>
    <row r="23" spans="2:14" x14ac:dyDescent="0.3">
      <c r="B23" s="310"/>
      <c r="C23" s="310"/>
      <c r="D23" s="310"/>
      <c r="E23" s="310"/>
      <c r="F23" s="310"/>
      <c r="G23" s="310"/>
      <c r="H23" s="310"/>
      <c r="I23" s="310"/>
      <c r="J23" s="310"/>
      <c r="K23" s="310"/>
      <c r="L23" s="310"/>
      <c r="M23" s="310"/>
      <c r="N23" s="310"/>
    </row>
    <row r="24" spans="2:14" x14ac:dyDescent="0.3">
      <c r="B24" s="310"/>
      <c r="C24" s="310"/>
      <c r="D24" s="310"/>
      <c r="E24" s="310"/>
      <c r="F24" s="310"/>
      <c r="G24" s="310"/>
      <c r="H24" s="310"/>
      <c r="I24" s="310"/>
      <c r="J24" s="310"/>
      <c r="K24" s="310"/>
      <c r="L24" s="310"/>
      <c r="M24" s="310"/>
      <c r="N24" s="310"/>
    </row>
    <row r="25" spans="2:14" x14ac:dyDescent="0.3">
      <c r="B25" s="310"/>
      <c r="C25" s="310"/>
      <c r="D25" s="310"/>
      <c r="E25" s="310"/>
      <c r="F25" s="310"/>
      <c r="G25" s="310"/>
      <c r="H25" s="310"/>
      <c r="I25" s="310"/>
      <c r="J25" s="310"/>
      <c r="K25" s="310"/>
      <c r="L25" s="310"/>
      <c r="M25" s="310"/>
      <c r="N25" s="310"/>
    </row>
    <row r="26" spans="2:14" ht="15.6" x14ac:dyDescent="0.3">
      <c r="B26" s="341"/>
      <c r="C26" s="341"/>
      <c r="D26" s="341"/>
      <c r="E26" s="341"/>
      <c r="F26" s="341"/>
      <c r="G26" s="341"/>
      <c r="H26" s="341"/>
      <c r="I26" s="341"/>
      <c r="J26" s="341"/>
      <c r="K26" s="341"/>
      <c r="L26" s="341"/>
      <c r="M26" s="341"/>
      <c r="N26" s="34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6929C-1C32-45BA-88C4-ED7F73F5AD29}">
  <sheetPr codeName="Sheet21"/>
  <dimension ref="A1:AJ799"/>
  <sheetViews>
    <sheetView showGridLines="0" zoomScale="80" zoomScaleNormal="80" workbookViewId="0">
      <pane xSplit="2" ySplit="18" topLeftCell="C28" activePane="bottomRight" state="frozen"/>
      <selection pane="topRight" activeCell="C1" sqref="C1"/>
      <selection pane="bottomLeft" activeCell="A19" sqref="A19"/>
      <selection pane="bottomRight" activeCell="A34" sqref="A34:XFD34"/>
    </sheetView>
  </sheetViews>
  <sheetFormatPr defaultColWidth="8.5546875" defaultRowHeight="13.2" x14ac:dyDescent="0.25"/>
  <cols>
    <col min="1" max="1" width="5.109375" style="220" customWidth="1"/>
    <col min="2" max="2" width="10.88671875" style="220" customWidth="1"/>
    <col min="3" max="3" width="11.109375" style="220" customWidth="1"/>
    <col min="4" max="4" width="14.88671875" style="220" customWidth="1"/>
    <col min="5" max="5" width="10.88671875" style="220" customWidth="1"/>
    <col min="6" max="6" width="10" style="220" customWidth="1"/>
    <col min="7" max="7" width="12.44140625" style="220" customWidth="1"/>
    <col min="8" max="8" width="14.88671875" style="220" customWidth="1"/>
    <col min="9" max="10" width="10.5546875" style="220" customWidth="1"/>
    <col min="11" max="11" width="48.109375" style="220" customWidth="1"/>
    <col min="12" max="12" width="13.88671875" style="220" customWidth="1"/>
    <col min="13" max="14" width="11" style="220" customWidth="1"/>
    <col min="15" max="15" width="9.88671875" style="220" bestFit="1" customWidth="1"/>
    <col min="16" max="18" width="9.109375" style="220" bestFit="1" customWidth="1"/>
    <col min="19" max="20" width="8.88671875" style="220" bestFit="1" customWidth="1"/>
    <col min="21" max="21" width="9.109375" style="220" bestFit="1" customWidth="1"/>
    <col min="22" max="23" width="8.88671875" style="220" bestFit="1" customWidth="1"/>
    <col min="24" max="24" width="9.109375" style="220" bestFit="1" customWidth="1"/>
    <col min="25" max="26" width="8.5546875" style="220"/>
    <col min="27" max="27" width="9.109375" style="220" bestFit="1" customWidth="1"/>
    <col min="28" max="29" width="8.5546875" style="220"/>
    <col min="30" max="30" width="9.109375" style="220" bestFit="1" customWidth="1"/>
    <col min="31" max="32" width="8.5546875" style="220"/>
    <col min="33" max="33" width="9.109375" style="220" bestFit="1" customWidth="1"/>
    <col min="34" max="34" width="8.5546875" style="220"/>
    <col min="35" max="35" width="10" style="220" bestFit="1" customWidth="1"/>
    <col min="36" max="36" width="10.109375" style="220" bestFit="1" customWidth="1"/>
    <col min="37" max="16384" width="8.5546875" style="220"/>
  </cols>
  <sheetData>
    <row r="1" spans="1:11" ht="30" customHeight="1" x14ac:dyDescent="0.4">
      <c r="A1" s="217" t="s">
        <v>313</v>
      </c>
      <c r="B1" s="218"/>
      <c r="C1" s="218"/>
      <c r="D1" s="218"/>
      <c r="E1" s="218"/>
      <c r="F1" s="218"/>
      <c r="G1" s="219"/>
      <c r="H1" s="219"/>
      <c r="K1" s="221" t="s">
        <v>314</v>
      </c>
    </row>
    <row r="2" spans="1:11" ht="12.75" customHeight="1" x14ac:dyDescent="0.25">
      <c r="A2" s="222" t="s">
        <v>315</v>
      </c>
      <c r="H2" s="223" t="str">
        <f ca="1">"© 2008-" &amp; YEAR(TODAY()) &amp; " Vertex42 LLC"</f>
        <v>© 2008-2024 Vertex42 LLC</v>
      </c>
      <c r="K2" s="1785" t="s">
        <v>316</v>
      </c>
    </row>
    <row r="3" spans="1:11" x14ac:dyDescent="0.25">
      <c r="A3" s="222"/>
      <c r="H3" s="223"/>
      <c r="K3" s="1786"/>
    </row>
    <row r="4" spans="1:11" ht="15.6" x14ac:dyDescent="0.3">
      <c r="B4" s="224" t="s">
        <v>317</v>
      </c>
      <c r="C4" s="1795"/>
      <c r="D4" s="1795"/>
      <c r="H4" s="225" t="s">
        <v>318</v>
      </c>
      <c r="K4" s="1786"/>
    </row>
    <row r="5" spans="1:11" x14ac:dyDescent="0.25">
      <c r="C5" s="220" t="s">
        <v>319</v>
      </c>
      <c r="H5" s="226" t="s">
        <v>320</v>
      </c>
      <c r="K5" s="1786"/>
    </row>
    <row r="6" spans="1:11" x14ac:dyDescent="0.25">
      <c r="C6" s="227" t="s">
        <v>321</v>
      </c>
      <c r="H6" s="226" t="s">
        <v>321</v>
      </c>
      <c r="K6" s="1786"/>
    </row>
    <row r="7" spans="1:11" x14ac:dyDescent="0.25">
      <c r="K7" s="1786"/>
    </row>
    <row r="8" spans="1:11" ht="13.8" x14ac:dyDescent="0.25">
      <c r="A8" s="228" t="s">
        <v>322</v>
      </c>
      <c r="B8" s="229"/>
      <c r="C8" s="229"/>
      <c r="D8" s="229"/>
      <c r="E8" s="230" t="s">
        <v>323</v>
      </c>
      <c r="F8" s="228" t="s">
        <v>324</v>
      </c>
      <c r="G8" s="231"/>
      <c r="H8" s="231"/>
      <c r="K8" s="1786"/>
    </row>
    <row r="9" spans="1:11" ht="15" customHeight="1" x14ac:dyDescent="0.25">
      <c r="A9" s="232"/>
      <c r="B9" s="232"/>
      <c r="C9" s="233" t="s">
        <v>325</v>
      </c>
      <c r="D9" s="234">
        <v>943667</v>
      </c>
      <c r="F9" s="232"/>
      <c r="G9" s="233" t="s">
        <v>326</v>
      </c>
      <c r="H9" s="235">
        <f>D10/D13</f>
        <v>7.9250000000000002E-5</v>
      </c>
      <c r="I9" s="220" t="s">
        <v>327</v>
      </c>
      <c r="K9" s="1786"/>
    </row>
    <row r="10" spans="1:11" ht="15" customHeight="1" x14ac:dyDescent="0.25">
      <c r="A10" s="232"/>
      <c r="B10" s="232"/>
      <c r="C10" s="233" t="s">
        <v>328</v>
      </c>
      <c r="D10" s="236">
        <v>2.853E-2</v>
      </c>
      <c r="F10" s="232"/>
      <c r="G10" s="233" t="s">
        <v>329</v>
      </c>
      <c r="H10" s="235">
        <f>D11/D13</f>
        <v>0</v>
      </c>
      <c r="I10" s="237">
        <v>0</v>
      </c>
      <c r="K10" s="1786"/>
    </row>
    <row r="11" spans="1:11" ht="15" customHeight="1" x14ac:dyDescent="0.25">
      <c r="A11" s="232"/>
      <c r="B11" s="232"/>
      <c r="C11" s="233" t="s">
        <v>330</v>
      </c>
      <c r="D11" s="236">
        <v>0</v>
      </c>
      <c r="F11" s="232"/>
      <c r="G11" s="233" t="s">
        <v>331</v>
      </c>
      <c r="H11" s="233">
        <f>40</f>
        <v>40</v>
      </c>
      <c r="K11" s="1786"/>
    </row>
    <row r="12" spans="1:11" ht="15" customHeight="1" x14ac:dyDescent="0.25">
      <c r="A12" s="232"/>
      <c r="B12" s="232"/>
      <c r="C12" s="233" t="s">
        <v>332</v>
      </c>
      <c r="D12" s="238">
        <v>43101</v>
      </c>
      <c r="F12" s="232"/>
      <c r="G12" s="233" t="s">
        <v>333</v>
      </c>
      <c r="H12" s="266">
        <f ca="1">SUM(C19:C798)</f>
        <v>1005978.2385000002</v>
      </c>
      <c r="K12" s="1786"/>
    </row>
    <row r="13" spans="1:11" ht="15" customHeight="1" x14ac:dyDescent="0.25">
      <c r="A13" s="232"/>
      <c r="B13" s="232"/>
      <c r="C13" s="233" t="s">
        <v>334</v>
      </c>
      <c r="D13" s="239">
        <v>360</v>
      </c>
      <c r="F13" s="232"/>
      <c r="G13" s="233" t="s">
        <v>335</v>
      </c>
      <c r="H13" s="266">
        <f ca="1">SUM(D18:D798)</f>
        <v>91811.210000000021</v>
      </c>
      <c r="K13" s="1786"/>
    </row>
    <row r="14" spans="1:11" ht="15" x14ac:dyDescent="0.25">
      <c r="C14" s="240" t="s">
        <v>336</v>
      </c>
      <c r="D14" s="241">
        <f>PMT(D10/4,H11,D9,0,)</f>
        <v>-27200.30174713572</v>
      </c>
      <c r="F14" s="232"/>
      <c r="G14" s="233" t="s">
        <v>337</v>
      </c>
      <c r="H14" s="233">
        <v>20</v>
      </c>
      <c r="K14" s="1786"/>
    </row>
    <row r="15" spans="1:11" x14ac:dyDescent="0.25">
      <c r="K15" s="1786"/>
    </row>
    <row r="16" spans="1:11" ht="15.6" x14ac:dyDescent="0.3">
      <c r="A16" s="1788" t="s">
        <v>338</v>
      </c>
      <c r="B16" s="1788"/>
      <c r="C16" s="1788"/>
      <c r="D16" s="1788"/>
      <c r="E16" s="242"/>
      <c r="F16" s="242"/>
      <c r="G16" s="242"/>
      <c r="H16" s="223" t="s">
        <v>339</v>
      </c>
      <c r="K16" s="243" t="s">
        <v>340</v>
      </c>
    </row>
    <row r="17" spans="1:36" ht="30" customHeight="1" thickBot="1" x14ac:dyDescent="0.3">
      <c r="A17" s="244" t="s">
        <v>341</v>
      </c>
      <c r="B17" s="245" t="s">
        <v>342</v>
      </c>
      <c r="C17" s="245" t="s">
        <v>343</v>
      </c>
      <c r="D17" s="245" t="s">
        <v>344</v>
      </c>
      <c r="E17" s="245"/>
      <c r="F17" s="245" t="s">
        <v>345</v>
      </c>
      <c r="G17" s="245" t="s">
        <v>346</v>
      </c>
      <c r="H17" s="245" t="s">
        <v>347</v>
      </c>
      <c r="K17" s="246"/>
      <c r="M17" s="247"/>
    </row>
    <row r="18" spans="1:36" x14ac:dyDescent="0.25">
      <c r="A18" s="248"/>
      <c r="B18" s="249">
        <f>D12-1</f>
        <v>43100</v>
      </c>
      <c r="C18" s="250">
        <v>29500</v>
      </c>
      <c r="D18" s="250" t="s">
        <v>348</v>
      </c>
      <c r="E18" s="807">
        <v>2.1093299999999999E-2</v>
      </c>
      <c r="F18" s="251">
        <v>0</v>
      </c>
      <c r="G18" s="252">
        <f>$D$9-C18</f>
        <v>914167</v>
      </c>
      <c r="H18" s="252">
        <f>F18+G18</f>
        <v>914167</v>
      </c>
      <c r="I18" s="253"/>
      <c r="J18" s="253"/>
      <c r="L18" s="220">
        <v>2020</v>
      </c>
      <c r="M18" s="220">
        <f>L18+1</f>
        <v>2021</v>
      </c>
      <c r="N18" s="220">
        <f t="shared" ref="N18:W18" si="0">M18+1</f>
        <v>2022</v>
      </c>
      <c r="O18" s="220">
        <f t="shared" si="0"/>
        <v>2023</v>
      </c>
      <c r="P18" s="220">
        <f t="shared" si="0"/>
        <v>2024</v>
      </c>
      <c r="Q18" s="220">
        <f t="shared" si="0"/>
        <v>2025</v>
      </c>
      <c r="R18" s="220">
        <f t="shared" si="0"/>
        <v>2026</v>
      </c>
      <c r="S18" s="220">
        <f t="shared" si="0"/>
        <v>2027</v>
      </c>
      <c r="T18" s="220">
        <f t="shared" si="0"/>
        <v>2028</v>
      </c>
      <c r="U18" s="220">
        <f t="shared" si="0"/>
        <v>2029</v>
      </c>
      <c r="V18" s="220">
        <f t="shared" si="0"/>
        <v>2030</v>
      </c>
      <c r="W18" s="220">
        <f t="shared" si="0"/>
        <v>2031</v>
      </c>
    </row>
    <row r="19" spans="1:36" x14ac:dyDescent="0.25">
      <c r="A19" s="254">
        <v>1</v>
      </c>
      <c r="B19" s="255">
        <f>IF(A19&lt;$H$11+1,DATE(YEAR(D12),MONTH(D12)+3,1),"")</f>
        <v>43191</v>
      </c>
      <c r="C19" s="256">
        <f>IF(OR(A19=$H$11,A19=$H$14),G18+D19,IF(B19="","",-$D$14))</f>
        <v>27200.30174713572</v>
      </c>
      <c r="D19" s="257">
        <f>IF(B19="","",ROUND((B19-B18)*(E19/$D$13+$H$10*($I$10))*G18,2))</f>
        <v>4874.26</v>
      </c>
      <c r="E19" s="809">
        <f>E18</f>
        <v>2.1093299999999999E-2</v>
      </c>
      <c r="F19" s="253">
        <f>IF(B19="","",MAX(C19-D19,0))</f>
        <v>22326.041747135721</v>
      </c>
      <c r="G19" s="257">
        <f t="shared" ref="G19:G24" si="1">IF(B19="","",-(C19-D19)+G18)</f>
        <v>891840.95825286431</v>
      </c>
      <c r="H19" s="257">
        <f>IF(B19="","",G19)</f>
        <v>891840.95825286431</v>
      </c>
      <c r="I19" s="220">
        <f>IF(B19="","",YEAR(B19))</f>
        <v>2018</v>
      </c>
      <c r="J19" s="220">
        <f>MONTH(B19)</f>
        <v>4</v>
      </c>
      <c r="K19" s="226" t="s">
        <v>349</v>
      </c>
      <c r="L19" s="811">
        <f ca="1">G25</f>
        <v>762903.77777004999</v>
      </c>
      <c r="M19" s="258">
        <f ca="1">L24</f>
        <v>694982.71777005005</v>
      </c>
      <c r="N19" s="258">
        <f ca="1">M24</f>
        <v>601374.0001308209</v>
      </c>
      <c r="O19" s="258">
        <f t="shared" ref="O19:X19" ca="1" si="2">N24</f>
        <v>508953.49314227805</v>
      </c>
      <c r="P19" s="258">
        <f t="shared" ca="1" si="2"/>
        <v>-2.8500000131316483E-2</v>
      </c>
      <c r="Q19" s="258">
        <f t="shared" ca="1" si="2"/>
        <v>-2.8500000131316483E-2</v>
      </c>
      <c r="R19" s="258">
        <f t="shared" ca="1" si="2"/>
        <v>-2.8500000131316483E-2</v>
      </c>
      <c r="S19" s="258">
        <f t="shared" ca="1" si="2"/>
        <v>-2.8500000131316483E-2</v>
      </c>
      <c r="T19" s="258">
        <f t="shared" ca="1" si="2"/>
        <v>-2.8500000131316483E-2</v>
      </c>
      <c r="U19" s="258">
        <f t="shared" ca="1" si="2"/>
        <v>-2.8500000131316483E-2</v>
      </c>
      <c r="V19" s="258">
        <f t="shared" ca="1" si="2"/>
        <v>-2.8500000131316483E-2</v>
      </c>
      <c r="W19" s="258">
        <f t="shared" ca="1" si="2"/>
        <v>-2.8500000131316483E-2</v>
      </c>
      <c r="X19" s="258">
        <f t="shared" ca="1" si="2"/>
        <v>-2.8500000131316483E-2</v>
      </c>
    </row>
    <row r="20" spans="1:36" x14ac:dyDescent="0.25">
      <c r="A20" s="254">
        <f ca="1">IF(OR(H19&lt;=0,H19=""),"",OFFSET(A20,-1,0,1,1)+1)</f>
        <v>2</v>
      </c>
      <c r="B20" s="255">
        <f ca="1">IF(A20&lt;$H$11+1,DATE(YEAR(B19),MONTH(B19)+3,1),"")</f>
        <v>43282</v>
      </c>
      <c r="C20" s="256">
        <f t="shared" ref="C20:C65" ca="1" si="3">IF(OR(A20=$H$11,A20=$H$14),G19+D20+E20,IF(B20="","",-$D$14))</f>
        <v>27200.30174713572</v>
      </c>
      <c r="D20" s="257">
        <f t="shared" ref="D20:D65" ca="1" si="4">IF(B20="","",ROUND((B20-B19)*(E20/$D$13+$H$10*($I$10))*G19,2))</f>
        <v>4755.22</v>
      </c>
      <c r="E20" s="808">
        <f>E19</f>
        <v>2.1093299999999999E-2</v>
      </c>
      <c r="F20" s="253">
        <f ca="1">IF(B20="","",MAX(C20-D20,0))</f>
        <v>22445.081747135719</v>
      </c>
      <c r="G20" s="257">
        <f t="shared" ca="1" si="1"/>
        <v>869395.87650572858</v>
      </c>
      <c r="H20" s="257">
        <f ca="1">IF(B20="","",G20)</f>
        <v>869395.87650572858</v>
      </c>
      <c r="I20" s="220">
        <f t="shared" ref="I20:I65" ca="1" si="5">IF(B20="","",YEAR(B20))</f>
        <v>2018</v>
      </c>
      <c r="J20" s="220">
        <f t="shared" ref="J20:J50" ca="1" si="6">MONTH(B20)</f>
        <v>7</v>
      </c>
      <c r="K20" s="226" t="s">
        <v>343</v>
      </c>
      <c r="L20" s="259">
        <f ca="1">SUMIF($I$19:$I$138,L18,$C$19:$C$138)</f>
        <v>83106.559999999939</v>
      </c>
      <c r="M20" s="259">
        <f ca="1">SUMIF($I$19:$I$138,M18,$C$19:$C$138)</f>
        <v>111007.95763922918</v>
      </c>
      <c r="N20" s="259">
        <f t="shared" ref="N20:X20" ca="1" si="7">IF(N18=YEAR($D$12)+$H$11/12,M24+N21,IF(N19&lt;SUMIF($I$19:$I$138,N18,$C$19:$C$138),N19+N21,SUMIF($I$19:$I$138,N18,$C$19:$C$138)))</f>
        <v>108801.20698854288</v>
      </c>
      <c r="O20" s="259">
        <f ca="1">IF(O18=YEAR($D$12)+$H$11/12,N24+O21,IF(O19&lt;SUMIF($I$19:$I$138,O18,$C$19:$C$138),O19+O21,SUMIF($I$19:$I$138,O18,$C$19:$C$138)))</f>
        <v>512660.37314227805</v>
      </c>
      <c r="P20" s="259">
        <f t="shared" ca="1" si="7"/>
        <v>-2.8500000131316483E-2</v>
      </c>
      <c r="Q20" s="259">
        <f t="shared" ca="1" si="7"/>
        <v>-2.8500000131316483E-2</v>
      </c>
      <c r="R20" s="259">
        <f t="shared" ca="1" si="7"/>
        <v>-2.8500000131316483E-2</v>
      </c>
      <c r="S20" s="259">
        <f t="shared" ca="1" si="7"/>
        <v>-2.8500000131316483E-2</v>
      </c>
      <c r="T20" s="259">
        <f t="shared" ca="1" si="7"/>
        <v>-2.8500000131316483E-2</v>
      </c>
      <c r="U20" s="259">
        <f t="shared" ca="1" si="7"/>
        <v>-2.8500000131316483E-2</v>
      </c>
      <c r="V20" s="259">
        <f t="shared" ca="1" si="7"/>
        <v>-2.8500000131316483E-2</v>
      </c>
      <c r="W20" s="259">
        <f t="shared" ca="1" si="7"/>
        <v>-2.8500000131316483E-2</v>
      </c>
      <c r="X20" s="259">
        <f t="shared" ca="1" si="7"/>
        <v>-2.8500000131316483E-2</v>
      </c>
    </row>
    <row r="21" spans="1:36" x14ac:dyDescent="0.25">
      <c r="A21" s="254">
        <f t="shared" ref="A21:A65" ca="1" si="8">IF(OR(H20&lt;=0,H20=""),"",OFFSET(A21,-1,0,1,1)+1)</f>
        <v>3</v>
      </c>
      <c r="B21" s="255">
        <f t="shared" ref="B21:B65" ca="1" si="9">IF(A21&lt;$H$11+1,DATE(YEAR(B20),MONTH(B20)+3,1),"")</f>
        <v>43374</v>
      </c>
      <c r="C21" s="256">
        <f t="shared" ca="1" si="3"/>
        <v>27200.30174713572</v>
      </c>
      <c r="D21" s="257">
        <f t="shared" ca="1" si="4"/>
        <v>4686.49</v>
      </c>
      <c r="E21" s="808">
        <f>E20</f>
        <v>2.1093299999999999E-2</v>
      </c>
      <c r="F21" s="253">
        <f t="shared" ref="F21:F65" ca="1" si="10">IF(B21="","",MAX(C21-D21,0))</f>
        <v>22513.811747135718</v>
      </c>
      <c r="G21" s="257">
        <f t="shared" ca="1" si="1"/>
        <v>846882.06475859287</v>
      </c>
      <c r="H21" s="257">
        <f t="shared" ref="H21:H65" ca="1" si="11">IF(B21="","",G21)</f>
        <v>846882.06475859287</v>
      </c>
      <c r="I21" s="220">
        <f t="shared" ca="1" si="5"/>
        <v>2018</v>
      </c>
      <c r="J21" s="220">
        <f t="shared" ca="1" si="6"/>
        <v>10</v>
      </c>
      <c r="K21" s="226" t="s">
        <v>350</v>
      </c>
      <c r="L21" s="260">
        <f ca="1">SUMIF($I$19:$I$138,L18,$D$19:$D$138)</f>
        <v>15185.5</v>
      </c>
      <c r="M21" s="260">
        <f ca="1">SUMIF($I$19:$I$138,M18,$D$19:$D$138)</f>
        <v>17399.240000000002</v>
      </c>
      <c r="N21" s="260">
        <f ca="1">IF(SUMIF($I$19:$I$138,N18,$D$19:$D$138)&gt;0,SUMIF($I$19:$I$138,N18,$D$19:$D$138),0)</f>
        <v>16380.699999999999</v>
      </c>
      <c r="O21" s="260">
        <f ca="1">IF(SUMIF($I$19:$I$138,O18,$D$19:$D$138)&gt;0,SUMIF($I$19:$I$138,O18,$D$19:$D$138),0)</f>
        <v>3706.88</v>
      </c>
      <c r="P21" s="260">
        <f ca="1">IF(SUMIF($I$19:$I$138,P18,$D$19:$D$138)&gt;0,SUMIF($I$19:$I$138,P18,$D$19:$D$138),0)</f>
        <v>0</v>
      </c>
      <c r="Q21" s="260">
        <f ca="1">IF(SUMIF($I$19:$I$138,Q18,$D$19:$D$138)&gt;0,SUMIF($I$19:$I$138,Q18,$D$19:$D$138),0)</f>
        <v>0</v>
      </c>
      <c r="R21" s="260">
        <f ca="1">IF(SUMIF($I$19:$I$138,R18,$D$19:$D$138)&gt;0,SUMIF($I$19:$I$138,R18,$D$19:$D$138),0)</f>
        <v>0</v>
      </c>
      <c r="S21" s="260">
        <f t="shared" ref="S21:X21" ca="1" si="12">IF(SUMIF($I$19:$I$138,S18,$D$19:$D$138)&gt;0,SUMIF($I$19:$I$138,S18,$D$19:$D$138),0)</f>
        <v>0</v>
      </c>
      <c r="T21" s="260">
        <f t="shared" ca="1" si="12"/>
        <v>0</v>
      </c>
      <c r="U21" s="260">
        <f t="shared" ca="1" si="12"/>
        <v>0</v>
      </c>
      <c r="V21" s="260">
        <f t="shared" ca="1" si="12"/>
        <v>0</v>
      </c>
      <c r="W21" s="260">
        <f t="shared" ca="1" si="12"/>
        <v>0</v>
      </c>
      <c r="X21" s="260">
        <f t="shared" ca="1" si="12"/>
        <v>0</v>
      </c>
    </row>
    <row r="22" spans="1:36" x14ac:dyDescent="0.25">
      <c r="A22" s="254">
        <f t="shared" ca="1" si="8"/>
        <v>4</v>
      </c>
      <c r="B22" s="255">
        <f t="shared" ca="1" si="9"/>
        <v>43466</v>
      </c>
      <c r="C22" s="256">
        <f t="shared" ca="1" si="3"/>
        <v>27200.30174713572</v>
      </c>
      <c r="D22" s="257">
        <f t="shared" ca="1" si="4"/>
        <v>6497.09</v>
      </c>
      <c r="E22" s="810">
        <v>3.0020000000000002E-2</v>
      </c>
      <c r="F22" s="253">
        <f t="shared" ca="1" si="10"/>
        <v>20703.21174713572</v>
      </c>
      <c r="G22" s="257">
        <f t="shared" ca="1" si="1"/>
        <v>826178.85301145713</v>
      </c>
      <c r="H22" s="257">
        <f t="shared" ca="1" si="11"/>
        <v>826178.85301145713</v>
      </c>
      <c r="I22" s="220">
        <f t="shared" ca="1" si="5"/>
        <v>2019</v>
      </c>
      <c r="J22" s="220">
        <f t="shared" ca="1" si="6"/>
        <v>1</v>
      </c>
      <c r="K22" s="226" t="s">
        <v>351</v>
      </c>
      <c r="L22" s="258">
        <f ca="1">L20-L21</f>
        <v>67921.059999999939</v>
      </c>
      <c r="M22" s="258">
        <f t="shared" ref="M22:X22" ca="1" si="13">IF(SUMIF($I$19:$I$138,M18,$F$19:$F$138)&gt;0,SUMIF($I$19:$I$138,M18,$F$19:$F$138),0)</f>
        <v>93608.717639229173</v>
      </c>
      <c r="N22" s="258">
        <f ca="1">IF(SUMIF($I$19:$I$138,N18,$F$19:$F$138)&gt;0,SUMIF($I$19:$I$138,N18,$F$19:$F$138),0)</f>
        <v>92420.506988542867</v>
      </c>
      <c r="O22" s="258">
        <f ca="1">IF(SUMIF($I$19:$I$138,O18,$F$19:$F$138)&gt;0,SUMIF($I$19:$I$138,O18,$F$19:$F$138),0)</f>
        <v>508953.52164227818</v>
      </c>
      <c r="P22" s="258">
        <f t="shared" ca="1" si="13"/>
        <v>0</v>
      </c>
      <c r="Q22" s="258">
        <f ca="1">IF(SUMIF($I$19:$I$138,Q18,$F$19:$F$138)&gt;0,SUMIF($I$19:$I$138,Q18,$F$19:$F$138),0)</f>
        <v>0</v>
      </c>
      <c r="R22" s="258">
        <f t="shared" ca="1" si="13"/>
        <v>0</v>
      </c>
      <c r="S22" s="258">
        <f t="shared" ca="1" si="13"/>
        <v>0</v>
      </c>
      <c r="T22" s="258">
        <f t="shared" ca="1" si="13"/>
        <v>0</v>
      </c>
      <c r="U22" s="258">
        <f t="shared" ca="1" si="13"/>
        <v>0</v>
      </c>
      <c r="V22" s="258">
        <f t="shared" ca="1" si="13"/>
        <v>0</v>
      </c>
      <c r="W22" s="258">
        <f t="shared" ca="1" si="13"/>
        <v>0</v>
      </c>
      <c r="X22" s="258">
        <f t="shared" ca="1" si="13"/>
        <v>0</v>
      </c>
    </row>
    <row r="23" spans="1:36" x14ac:dyDescent="0.25">
      <c r="A23" s="254">
        <f t="shared" ca="1" si="8"/>
        <v>5</v>
      </c>
      <c r="B23" s="255">
        <f t="shared" ca="1" si="9"/>
        <v>43556</v>
      </c>
      <c r="C23" s="256">
        <f t="shared" ca="1" si="3"/>
        <v>27200.30174713572</v>
      </c>
      <c r="D23" s="257">
        <f t="shared" ca="1" si="4"/>
        <v>6200.47</v>
      </c>
      <c r="E23" s="808">
        <f>E22</f>
        <v>3.0020000000000002E-2</v>
      </c>
      <c r="F23" s="253">
        <f t="shared" ca="1" si="10"/>
        <v>20999.831747135719</v>
      </c>
      <c r="G23" s="257">
        <f t="shared" ca="1" si="1"/>
        <v>805179.0212643214</v>
      </c>
      <c r="H23" s="257">
        <f t="shared" ca="1" si="11"/>
        <v>805179.0212643214</v>
      </c>
      <c r="I23" s="220">
        <f t="shared" ca="1" si="5"/>
        <v>2019</v>
      </c>
      <c r="J23" s="220">
        <f t="shared" ca="1" si="6"/>
        <v>4</v>
      </c>
      <c r="K23" s="226" t="s">
        <v>352</v>
      </c>
      <c r="L23" s="258"/>
      <c r="M23" s="258"/>
      <c r="N23" s="258"/>
      <c r="O23" s="258"/>
      <c r="P23" s="258"/>
      <c r="Q23" s="258"/>
      <c r="R23" s="258"/>
      <c r="S23" s="258"/>
      <c r="T23" s="258"/>
      <c r="U23" s="258"/>
      <c r="V23" s="258"/>
      <c r="W23" s="258"/>
      <c r="X23" s="258"/>
    </row>
    <row r="24" spans="1:36" x14ac:dyDescent="0.25">
      <c r="A24" s="254">
        <f t="shared" ca="1" si="8"/>
        <v>6</v>
      </c>
      <c r="B24" s="255">
        <f t="shared" ca="1" si="9"/>
        <v>43647</v>
      </c>
      <c r="C24" s="256">
        <f t="shared" ca="1" si="3"/>
        <v>27200.30174713572</v>
      </c>
      <c r="D24" s="257">
        <f t="shared" ca="1" si="4"/>
        <v>6110.01</v>
      </c>
      <c r="E24" s="808">
        <f>E23</f>
        <v>3.0020000000000002E-2</v>
      </c>
      <c r="F24" s="253">
        <f t="shared" ca="1" si="10"/>
        <v>21090.291747135721</v>
      </c>
      <c r="G24" s="257">
        <f t="shared" ca="1" si="1"/>
        <v>784088.72951718571</v>
      </c>
      <c r="H24" s="257">
        <f t="shared" ca="1" si="11"/>
        <v>784088.72951718571</v>
      </c>
      <c r="I24" s="220">
        <f t="shared" ca="1" si="5"/>
        <v>2019</v>
      </c>
      <c r="J24" s="220">
        <f t="shared" ca="1" si="6"/>
        <v>7</v>
      </c>
      <c r="K24" s="226" t="s">
        <v>353</v>
      </c>
      <c r="L24" s="258">
        <f ca="1">L19+L23-L22</f>
        <v>694982.71777005005</v>
      </c>
      <c r="M24" s="258">
        <f ca="1">M19+M23-M22</f>
        <v>601374.0001308209</v>
      </c>
      <c r="N24" s="258">
        <f t="shared" ref="N24:X24" ca="1" si="14">N19+N23-N22</f>
        <v>508953.49314227805</v>
      </c>
      <c r="O24" s="258">
        <f t="shared" ca="1" si="14"/>
        <v>-2.8500000131316483E-2</v>
      </c>
      <c r="P24" s="258">
        <f t="shared" ca="1" si="14"/>
        <v>-2.8500000131316483E-2</v>
      </c>
      <c r="Q24" s="258">
        <f t="shared" ca="1" si="14"/>
        <v>-2.8500000131316483E-2</v>
      </c>
      <c r="R24" s="258">
        <f t="shared" ca="1" si="14"/>
        <v>-2.8500000131316483E-2</v>
      </c>
      <c r="S24" s="258">
        <f t="shared" ca="1" si="14"/>
        <v>-2.8500000131316483E-2</v>
      </c>
      <c r="T24" s="258">
        <f t="shared" ca="1" si="14"/>
        <v>-2.8500000131316483E-2</v>
      </c>
      <c r="U24" s="258">
        <f t="shared" ca="1" si="14"/>
        <v>-2.8500000131316483E-2</v>
      </c>
      <c r="V24" s="258">
        <f t="shared" ca="1" si="14"/>
        <v>-2.8500000131316483E-2</v>
      </c>
      <c r="W24" s="258">
        <f t="shared" ca="1" si="14"/>
        <v>-2.8500000131316483E-2</v>
      </c>
      <c r="X24" s="258">
        <f t="shared" ca="1" si="14"/>
        <v>-2.8500000131316483E-2</v>
      </c>
    </row>
    <row r="25" spans="1:36" x14ac:dyDescent="0.25">
      <c r="A25" s="254">
        <f t="shared" ca="1" si="8"/>
        <v>7</v>
      </c>
      <c r="B25" s="255">
        <f t="shared" ca="1" si="9"/>
        <v>43739</v>
      </c>
      <c r="C25" s="256">
        <f t="shared" ca="1" si="3"/>
        <v>27200.30174713572</v>
      </c>
      <c r="D25" s="257">
        <f t="shared" ca="1" si="4"/>
        <v>6015.35</v>
      </c>
      <c r="E25" s="808">
        <f>E24</f>
        <v>3.0020000000000002E-2</v>
      </c>
      <c r="F25" s="253">
        <f t="shared" ca="1" si="10"/>
        <v>21184.951747135718</v>
      </c>
      <c r="G25" s="257">
        <f ca="1">IF(B25="","",-(C25-D25)+G24)</f>
        <v>762903.77777004999</v>
      </c>
      <c r="H25" s="257">
        <f t="shared" ca="1" si="11"/>
        <v>762903.77777004999</v>
      </c>
      <c r="I25" s="220">
        <f t="shared" ca="1" si="5"/>
        <v>2019</v>
      </c>
      <c r="J25" s="220">
        <f t="shared" ca="1" si="6"/>
        <v>10</v>
      </c>
      <c r="K25" s="261" t="s">
        <v>354</v>
      </c>
      <c r="L25" s="262">
        <v>0</v>
      </c>
      <c r="M25" s="262">
        <v>0</v>
      </c>
      <c r="N25" s="262">
        <v>0</v>
      </c>
      <c r="O25" s="262">
        <v>0</v>
      </c>
      <c r="P25" s="262">
        <v>0</v>
      </c>
      <c r="Q25" s="262">
        <v>0</v>
      </c>
      <c r="R25" s="262"/>
    </row>
    <row r="26" spans="1:36" x14ac:dyDescent="0.25">
      <c r="A26" s="254">
        <f t="shared" ca="1" si="8"/>
        <v>8</v>
      </c>
      <c r="B26" s="255">
        <f t="shared" ca="1" si="9"/>
        <v>43831</v>
      </c>
      <c r="C26" s="256">
        <f>-'2020 Financials'!H179</f>
        <v>19774.559999999939</v>
      </c>
      <c r="D26" s="257">
        <f t="shared" ca="1" si="4"/>
        <v>3889.3</v>
      </c>
      <c r="E26" s="810">
        <v>1.9948799999999999E-2</v>
      </c>
      <c r="F26" s="253">
        <f t="shared" ca="1" si="10"/>
        <v>15885.25999999994</v>
      </c>
      <c r="G26" s="257">
        <f t="shared" ref="G26:G65" ca="1" si="15">IF(B26="","",-(C26-D26)+G25)</f>
        <v>747018.51777005009</v>
      </c>
      <c r="H26" s="257">
        <f t="shared" ca="1" si="11"/>
        <v>747018.51777005009</v>
      </c>
      <c r="I26" s="220">
        <f t="shared" ca="1" si="5"/>
        <v>2020</v>
      </c>
      <c r="J26" s="220">
        <f t="shared" ca="1" si="6"/>
        <v>1</v>
      </c>
      <c r="K26" s="812">
        <f ca="1">G25-G29</f>
        <v>67921.059999999823</v>
      </c>
      <c r="M26" s="258"/>
      <c r="N26" s="258"/>
      <c r="O26" s="258"/>
      <c r="P26" s="258"/>
      <c r="Q26" s="258"/>
    </row>
    <row r="27" spans="1:36" x14ac:dyDescent="0.25">
      <c r="A27" s="254">
        <f t="shared" ca="1" si="8"/>
        <v>9</v>
      </c>
      <c r="B27" s="255">
        <f t="shared" ca="1" si="9"/>
        <v>43922</v>
      </c>
      <c r="C27" s="256">
        <f>-'2020 Financials'!K179</f>
        <v>0</v>
      </c>
      <c r="D27" s="257">
        <f ca="1">IF(B27="","",ROUND((B27-B26)*(E27/$D$13+$H$10*($I$10))*G26,2))</f>
        <v>3766.93</v>
      </c>
      <c r="E27" s="808">
        <f>E26</f>
        <v>1.9948799999999999E-2</v>
      </c>
      <c r="F27" s="253">
        <f t="shared" ca="1" si="10"/>
        <v>0</v>
      </c>
      <c r="G27" s="257">
        <f t="shared" ca="1" si="15"/>
        <v>750785.44777005014</v>
      </c>
      <c r="H27" s="257">
        <f t="shared" ca="1" si="11"/>
        <v>750785.44777005014</v>
      </c>
      <c r="I27" s="220">
        <f t="shared" ca="1" si="5"/>
        <v>2020</v>
      </c>
      <c r="J27" s="220">
        <f t="shared" ca="1" si="6"/>
        <v>4</v>
      </c>
      <c r="K27" s="263"/>
      <c r="M27" s="247"/>
      <c r="N27" s="247">
        <f ca="1">M24*D11</f>
        <v>0</v>
      </c>
    </row>
    <row r="28" spans="1:36" x14ac:dyDescent="0.25">
      <c r="A28" s="254">
        <f t="shared" ca="1" si="8"/>
        <v>10</v>
      </c>
      <c r="B28" s="255">
        <f t="shared" ca="1" si="9"/>
        <v>44013</v>
      </c>
      <c r="C28" s="256">
        <f>-'2020 Financials'!N179</f>
        <v>20297.689999999944</v>
      </c>
      <c r="D28" s="257">
        <f t="shared" ca="1" si="4"/>
        <v>3785.92</v>
      </c>
      <c r="E28" s="808">
        <f>E27</f>
        <v>1.9948799999999999E-2</v>
      </c>
      <c r="F28" s="253">
        <f t="shared" ca="1" si="10"/>
        <v>16511.769999999946</v>
      </c>
      <c r="G28" s="257">
        <f t="shared" ca="1" si="15"/>
        <v>734273.67777005024</v>
      </c>
      <c r="H28" s="257">
        <f t="shared" ca="1" si="11"/>
        <v>734273.67777005024</v>
      </c>
      <c r="I28" s="220">
        <f t="shared" ca="1" si="5"/>
        <v>2020</v>
      </c>
      <c r="J28" s="220">
        <f t="shared" ca="1" si="6"/>
        <v>7</v>
      </c>
      <c r="N28" s="220">
        <f ca="1">N23/M24</f>
        <v>0</v>
      </c>
    </row>
    <row r="29" spans="1:36" x14ac:dyDescent="0.25">
      <c r="A29" s="254">
        <f t="shared" ca="1" si="8"/>
        <v>11</v>
      </c>
      <c r="B29" s="255">
        <f t="shared" ca="1" si="9"/>
        <v>44105</v>
      </c>
      <c r="C29" s="256">
        <f>-'2020 Financials'!Q179</f>
        <v>43034.310000000056</v>
      </c>
      <c r="D29" s="257">
        <f ca="1">IF(B29="","",ROUND((B29-B28)*(E29/$D$13+$H$10*($I$10))*G28,2))</f>
        <v>3743.35</v>
      </c>
      <c r="E29" s="808">
        <f>E28</f>
        <v>1.9948799999999999E-2</v>
      </c>
      <c r="F29" s="253">
        <f t="shared" ca="1" si="10"/>
        <v>39290.960000000057</v>
      </c>
      <c r="G29" s="257">
        <f t="shared" ca="1" si="15"/>
        <v>694982.71777005016</v>
      </c>
      <c r="H29" s="257">
        <f t="shared" ca="1" si="11"/>
        <v>694982.71777005016</v>
      </c>
      <c r="I29" s="220">
        <f t="shared" ca="1" si="5"/>
        <v>2020</v>
      </c>
      <c r="J29" s="220">
        <f t="shared" ca="1" si="6"/>
        <v>10</v>
      </c>
      <c r="N29" s="220">
        <f ca="1">N27/M24</f>
        <v>0</v>
      </c>
    </row>
    <row r="30" spans="1:36" x14ac:dyDescent="0.25">
      <c r="A30" s="254">
        <f t="shared" ca="1" si="8"/>
        <v>12</v>
      </c>
      <c r="B30" s="255">
        <f t="shared" ca="1" si="9"/>
        <v>44197</v>
      </c>
      <c r="C30" s="256">
        <v>27751.989409807295</v>
      </c>
      <c r="D30" s="257">
        <f ca="1">IF(B30="","",ROUND((B30-B29)*(E30/$D$13+$H$10*($I$10))*G29,2))</f>
        <v>4617.7700000000004</v>
      </c>
      <c r="E30" s="810">
        <v>2.5999999999999999E-2</v>
      </c>
      <c r="F30" s="253">
        <f ca="1">IF(B30="","",MAX(C30-D30,0))</f>
        <v>23134.219409807294</v>
      </c>
      <c r="G30" s="257">
        <f t="shared" ca="1" si="15"/>
        <v>671848.49836024293</v>
      </c>
      <c r="H30" s="257">
        <f t="shared" ca="1" si="11"/>
        <v>671848.49836024293</v>
      </c>
      <c r="I30" s="220">
        <f t="shared" ca="1" si="5"/>
        <v>2021</v>
      </c>
      <c r="J30" s="220">
        <f t="shared" ca="1" si="6"/>
        <v>1</v>
      </c>
      <c r="L30" s="220">
        <v>2021</v>
      </c>
      <c r="X30" s="220">
        <v>2022</v>
      </c>
      <c r="AJ30" s="220">
        <v>2023</v>
      </c>
    </row>
    <row r="31" spans="1:36" x14ac:dyDescent="0.25">
      <c r="A31" s="254">
        <f t="shared" ca="1" si="8"/>
        <v>13</v>
      </c>
      <c r="B31" s="255">
        <f t="shared" ca="1" si="9"/>
        <v>44287</v>
      </c>
      <c r="C31" s="256">
        <f>C30</f>
        <v>27751.989409807295</v>
      </c>
      <c r="D31" s="257">
        <f t="shared" ca="1" si="4"/>
        <v>4367.0200000000004</v>
      </c>
      <c r="E31" s="808">
        <f t="shared" ref="E31:E38" si="16">E30</f>
        <v>2.5999999999999999E-2</v>
      </c>
      <c r="F31" s="253">
        <f t="shared" ca="1" si="10"/>
        <v>23384.969409807294</v>
      </c>
      <c r="G31" s="257">
        <f t="shared" ca="1" si="15"/>
        <v>648463.52895043558</v>
      </c>
      <c r="H31" s="257">
        <f t="shared" ca="1" si="11"/>
        <v>648463.52895043558</v>
      </c>
      <c r="I31" s="220">
        <f t="shared" ca="1" si="5"/>
        <v>2021</v>
      </c>
      <c r="J31" s="220">
        <f t="shared" ca="1" si="6"/>
        <v>4</v>
      </c>
      <c r="L31" s="220">
        <v>1</v>
      </c>
      <c r="M31" s="220">
        <f>L31+1</f>
        <v>2</v>
      </c>
      <c r="N31" s="220">
        <f t="shared" ref="N31:W31" si="17">M31+1</f>
        <v>3</v>
      </c>
      <c r="O31" s="220">
        <f t="shared" si="17"/>
        <v>4</v>
      </c>
      <c r="P31" s="220">
        <f t="shared" si="17"/>
        <v>5</v>
      </c>
      <c r="Q31" s="220">
        <f t="shared" si="17"/>
        <v>6</v>
      </c>
      <c r="R31" s="220">
        <f t="shared" si="17"/>
        <v>7</v>
      </c>
      <c r="S31" s="220">
        <f t="shared" si="17"/>
        <v>8</v>
      </c>
      <c r="T31" s="220">
        <f t="shared" si="17"/>
        <v>9</v>
      </c>
      <c r="U31" s="220">
        <f t="shared" si="17"/>
        <v>10</v>
      </c>
      <c r="V31" s="220">
        <f t="shared" si="17"/>
        <v>11</v>
      </c>
      <c r="W31" s="220">
        <f t="shared" si="17"/>
        <v>12</v>
      </c>
      <c r="X31" s="220">
        <f t="shared" ref="X31:AJ31" si="18">W31+1</f>
        <v>13</v>
      </c>
      <c r="Y31" s="220">
        <f t="shared" si="18"/>
        <v>14</v>
      </c>
      <c r="Z31" s="220">
        <f t="shared" si="18"/>
        <v>15</v>
      </c>
      <c r="AA31" s="220">
        <f t="shared" si="18"/>
        <v>16</v>
      </c>
      <c r="AB31" s="220">
        <f t="shared" si="18"/>
        <v>17</v>
      </c>
      <c r="AC31" s="220">
        <f t="shared" si="18"/>
        <v>18</v>
      </c>
      <c r="AD31" s="220">
        <f t="shared" si="18"/>
        <v>19</v>
      </c>
      <c r="AE31" s="220">
        <f t="shared" si="18"/>
        <v>20</v>
      </c>
      <c r="AF31" s="220">
        <f t="shared" si="18"/>
        <v>21</v>
      </c>
      <c r="AG31" s="220">
        <f t="shared" si="18"/>
        <v>22</v>
      </c>
      <c r="AH31" s="220">
        <f t="shared" si="18"/>
        <v>23</v>
      </c>
      <c r="AI31" s="220">
        <f t="shared" si="18"/>
        <v>24</v>
      </c>
      <c r="AJ31" s="220">
        <f t="shared" si="18"/>
        <v>25</v>
      </c>
    </row>
    <row r="32" spans="1:36" x14ac:dyDescent="0.25">
      <c r="A32" s="254">
        <f t="shared" ca="1" si="8"/>
        <v>14</v>
      </c>
      <c r="B32" s="255">
        <f t="shared" ca="1" si="9"/>
        <v>44378</v>
      </c>
      <c r="C32" s="256">
        <f>C31</f>
        <v>27751.989409807295</v>
      </c>
      <c r="D32" s="257">
        <f t="shared" ca="1" si="4"/>
        <v>4261.8500000000004</v>
      </c>
      <c r="E32" s="808">
        <f t="shared" si="16"/>
        <v>2.5999999999999999E-2</v>
      </c>
      <c r="F32" s="253">
        <f t="shared" ca="1" si="10"/>
        <v>23490.139409807292</v>
      </c>
      <c r="G32" s="257">
        <f t="shared" ca="1" si="15"/>
        <v>624973.3895406283</v>
      </c>
      <c r="H32" s="257">
        <f t="shared" ca="1" si="11"/>
        <v>624973.3895406283</v>
      </c>
      <c r="I32" s="220">
        <f t="shared" ca="1" si="5"/>
        <v>2021</v>
      </c>
      <c r="J32" s="220">
        <f t="shared" ca="1" si="6"/>
        <v>7</v>
      </c>
      <c r="K32" s="226" t="s">
        <v>350</v>
      </c>
      <c r="L32" s="253">
        <f ca="1">D30</f>
        <v>4617.7700000000004</v>
      </c>
      <c r="O32" s="253">
        <f ca="1">D31</f>
        <v>4367.0200000000004</v>
      </c>
      <c r="R32" s="253">
        <f ca="1">D32</f>
        <v>4261.8500000000004</v>
      </c>
      <c r="U32" s="253">
        <f ca="1">D33</f>
        <v>4152.6000000000004</v>
      </c>
      <c r="X32" s="253">
        <f ca="1">D34</f>
        <v>4380.01</v>
      </c>
      <c r="AA32" s="253">
        <f ca="1">D35</f>
        <v>4122.2</v>
      </c>
      <c r="AD32" s="253">
        <f ca="1">D36</f>
        <v>4001.74</v>
      </c>
      <c r="AG32" s="253">
        <f ca="1">D37</f>
        <v>3876.75</v>
      </c>
      <c r="AJ32" s="253">
        <f ca="1">D38</f>
        <v>3706.88</v>
      </c>
    </row>
    <row r="33" spans="1:36" x14ac:dyDescent="0.25">
      <c r="A33" s="254">
        <f t="shared" ca="1" si="8"/>
        <v>15</v>
      </c>
      <c r="B33" s="255">
        <f t="shared" ca="1" si="9"/>
        <v>44470</v>
      </c>
      <c r="C33" s="256">
        <f>C32</f>
        <v>27751.989409807295</v>
      </c>
      <c r="D33" s="257">
        <f t="shared" ca="1" si="4"/>
        <v>4152.6000000000004</v>
      </c>
      <c r="E33" s="808">
        <f t="shared" si="16"/>
        <v>2.5999999999999999E-2</v>
      </c>
      <c r="F33" s="253">
        <f t="shared" ca="1" si="10"/>
        <v>23599.389409807292</v>
      </c>
      <c r="G33" s="257">
        <f t="shared" ca="1" si="15"/>
        <v>601374.00013082102</v>
      </c>
      <c r="H33" s="257">
        <f t="shared" ca="1" si="11"/>
        <v>601374.00013082102</v>
      </c>
      <c r="I33" s="220">
        <f t="shared" ca="1" si="5"/>
        <v>2021</v>
      </c>
      <c r="J33" s="220">
        <f t="shared" ca="1" si="6"/>
        <v>10</v>
      </c>
      <c r="K33" s="226" t="s">
        <v>378</v>
      </c>
      <c r="L33" s="253">
        <f ca="1">C30-L32</f>
        <v>23134.219409807294</v>
      </c>
      <c r="O33" s="253">
        <f ca="1">C31-O32</f>
        <v>23384.969409807294</v>
      </c>
      <c r="R33" s="253">
        <f ca="1">C32-R32</f>
        <v>23490.139409807292</v>
      </c>
      <c r="U33" s="253">
        <f ca="1">C33-U32</f>
        <v>23599.389409807292</v>
      </c>
      <c r="X33" s="253">
        <f ca="1">C34-X32</f>
        <v>22820.291747135721</v>
      </c>
      <c r="AA33" s="253">
        <f ca="1">C35-AA32</f>
        <v>23078.101747135719</v>
      </c>
      <c r="AD33" s="253">
        <f ca="1">C36-AD32</f>
        <v>23198.561747135718</v>
      </c>
      <c r="AG33" s="253">
        <f ca="1">C37-AG32</f>
        <v>23323.55174713572</v>
      </c>
      <c r="AI33" s="253">
        <f ca="1">AJ33</f>
        <v>508953.52164227818</v>
      </c>
      <c r="AJ33" s="253">
        <f ca="1">C38-AJ32</f>
        <v>508953.52164227818</v>
      </c>
    </row>
    <row r="34" spans="1:36" x14ac:dyDescent="0.25">
      <c r="A34" s="254">
        <f t="shared" ca="1" si="8"/>
        <v>16</v>
      </c>
      <c r="B34" s="255">
        <f t="shared" ca="1" si="9"/>
        <v>44562</v>
      </c>
      <c r="C34" s="256">
        <f t="shared" ca="1" si="3"/>
        <v>27200.30174713572</v>
      </c>
      <c r="D34" s="257">
        <f t="shared" ca="1" si="4"/>
        <v>4380.01</v>
      </c>
      <c r="E34" s="810">
        <v>2.8500000000000001E-2</v>
      </c>
      <c r="F34" s="253">
        <f t="shared" ca="1" si="10"/>
        <v>22820.291747135721</v>
      </c>
      <c r="G34" s="257">
        <f t="shared" ca="1" si="15"/>
        <v>578553.70838368533</v>
      </c>
      <c r="H34" s="257">
        <f t="shared" ca="1" si="11"/>
        <v>578553.70838368533</v>
      </c>
      <c r="I34" s="220">
        <f t="shared" ca="1" si="5"/>
        <v>2022</v>
      </c>
      <c r="J34" s="220">
        <f t="shared" ca="1" si="6"/>
        <v>1</v>
      </c>
    </row>
    <row r="35" spans="1:36" x14ac:dyDescent="0.25">
      <c r="A35" s="254">
        <f t="shared" ca="1" si="8"/>
        <v>17</v>
      </c>
      <c r="B35" s="255">
        <f t="shared" ca="1" si="9"/>
        <v>44652</v>
      </c>
      <c r="C35" s="256">
        <f t="shared" ca="1" si="3"/>
        <v>27200.30174713572</v>
      </c>
      <c r="D35" s="257">
        <f t="shared" ca="1" si="4"/>
        <v>4122.2</v>
      </c>
      <c r="E35" s="808">
        <f t="shared" si="16"/>
        <v>2.8500000000000001E-2</v>
      </c>
      <c r="F35" s="253">
        <f t="shared" ca="1" si="10"/>
        <v>23078.101747135719</v>
      </c>
      <c r="G35" s="257">
        <f t="shared" ca="1" si="15"/>
        <v>555475.60663654958</v>
      </c>
      <c r="H35" s="257">
        <f t="shared" ca="1" si="11"/>
        <v>555475.60663654958</v>
      </c>
      <c r="I35" s="220">
        <f t="shared" ca="1" si="5"/>
        <v>2022</v>
      </c>
      <c r="J35" s="220">
        <f t="shared" ca="1" si="6"/>
        <v>4</v>
      </c>
    </row>
    <row r="36" spans="1:36" x14ac:dyDescent="0.25">
      <c r="A36" s="254">
        <f t="shared" ca="1" si="8"/>
        <v>18</v>
      </c>
      <c r="B36" s="255">
        <f t="shared" ca="1" si="9"/>
        <v>44743</v>
      </c>
      <c r="C36" s="256">
        <f t="shared" ca="1" si="3"/>
        <v>27200.30174713572</v>
      </c>
      <c r="D36" s="257">
        <f t="shared" ca="1" si="4"/>
        <v>4001.74</v>
      </c>
      <c r="E36" s="808">
        <f t="shared" si="16"/>
        <v>2.8500000000000001E-2</v>
      </c>
      <c r="F36" s="253">
        <f t="shared" ca="1" si="10"/>
        <v>23198.561747135718</v>
      </c>
      <c r="G36" s="257">
        <f t="shared" ca="1" si="15"/>
        <v>532277.04488941387</v>
      </c>
      <c r="H36" s="257">
        <f t="shared" ca="1" si="11"/>
        <v>532277.04488941387</v>
      </c>
      <c r="I36" s="220">
        <f t="shared" ca="1" si="5"/>
        <v>2022</v>
      </c>
      <c r="J36" s="220">
        <f t="shared" ca="1" si="6"/>
        <v>7</v>
      </c>
    </row>
    <row r="37" spans="1:36" x14ac:dyDescent="0.25">
      <c r="A37" s="254">
        <v>19</v>
      </c>
      <c r="B37" s="255">
        <f t="shared" ca="1" si="9"/>
        <v>44835</v>
      </c>
      <c r="C37" s="256">
        <f t="shared" ca="1" si="3"/>
        <v>27200.30174713572</v>
      </c>
      <c r="D37" s="257">
        <f t="shared" ca="1" si="4"/>
        <v>3876.75</v>
      </c>
      <c r="E37" s="808">
        <f t="shared" si="16"/>
        <v>2.8500000000000001E-2</v>
      </c>
      <c r="F37" s="253">
        <f t="shared" ca="1" si="10"/>
        <v>23323.55174713572</v>
      </c>
      <c r="G37" s="257">
        <f t="shared" ca="1" si="15"/>
        <v>508953.49314227817</v>
      </c>
      <c r="H37" s="257">
        <f t="shared" ca="1" si="11"/>
        <v>508953.49314227817</v>
      </c>
      <c r="I37" s="220">
        <f t="shared" ca="1" si="5"/>
        <v>2022</v>
      </c>
      <c r="J37" s="220">
        <f t="shared" ca="1" si="6"/>
        <v>10</v>
      </c>
    </row>
    <row r="38" spans="1:36" x14ac:dyDescent="0.25">
      <c r="A38" s="254">
        <f t="shared" ca="1" si="8"/>
        <v>20</v>
      </c>
      <c r="B38" s="255">
        <f t="shared" ca="1" si="9"/>
        <v>44927</v>
      </c>
      <c r="C38" s="256">
        <f t="shared" ca="1" si="3"/>
        <v>512660.40164227819</v>
      </c>
      <c r="D38" s="257">
        <f t="shared" ca="1" si="4"/>
        <v>3706.88</v>
      </c>
      <c r="E38" s="808">
        <f t="shared" si="16"/>
        <v>2.8500000000000001E-2</v>
      </c>
      <c r="F38" s="253">
        <f t="shared" ca="1" si="10"/>
        <v>508953.52164227818</v>
      </c>
      <c r="G38" s="257">
        <f t="shared" ca="1" si="15"/>
        <v>-2.8500000014901161E-2</v>
      </c>
      <c r="H38" s="257">
        <f t="shared" ca="1" si="11"/>
        <v>-2.8500000014901161E-2</v>
      </c>
      <c r="I38" s="220">
        <f t="shared" ca="1" si="5"/>
        <v>2023</v>
      </c>
      <c r="J38" s="220">
        <f t="shared" ca="1" si="6"/>
        <v>1</v>
      </c>
    </row>
    <row r="39" spans="1:36" x14ac:dyDescent="0.25">
      <c r="A39" s="254" t="str">
        <f ca="1">IF(OR(H38&lt;=0,H38=""),"",OFFSET(A39,-1,0,1,1)+1)</f>
        <v/>
      </c>
      <c r="B39" s="255" t="str">
        <f t="shared" ca="1" si="9"/>
        <v/>
      </c>
      <c r="C39" s="256" t="str">
        <f t="shared" ca="1" si="3"/>
        <v/>
      </c>
      <c r="D39" s="257" t="str">
        <f t="shared" ca="1" si="4"/>
        <v/>
      </c>
      <c r="E39" s="808" t="str">
        <f t="shared" ref="E39:E65" ca="1" si="19">IF(B39="","",ROUND((B39-B38)*($H$10*(1-$I$10))*G38,2))</f>
        <v/>
      </c>
      <c r="F39" s="253" t="str">
        <f t="shared" ca="1" si="10"/>
        <v/>
      </c>
      <c r="G39" s="257" t="str">
        <f t="shared" ca="1" si="15"/>
        <v/>
      </c>
      <c r="H39" s="257" t="str">
        <f t="shared" ca="1" si="11"/>
        <v/>
      </c>
      <c r="I39" s="220" t="str">
        <f t="shared" ca="1" si="5"/>
        <v/>
      </c>
      <c r="J39" s="220" t="e">
        <f t="shared" ca="1" si="6"/>
        <v>#VALUE!</v>
      </c>
    </row>
    <row r="40" spans="1:36" x14ac:dyDescent="0.25">
      <c r="A40" s="254" t="str">
        <f ca="1">IF(OR(H39&lt;=0,H39=""),"",OFFSET(A40,-1,0,1,1)+1)</f>
        <v/>
      </c>
      <c r="B40" s="255" t="str">
        <f ca="1">IF(A40&lt;$H$11+1,DATE(YEAR(B39),MONTH(B39)+3,1),"")</f>
        <v/>
      </c>
      <c r="C40" s="256" t="str">
        <f ca="1">IF(OR(A40=$H$11,A40=$H$14),G39+D40+E40,IF(B40="","",-$D$14))</f>
        <v/>
      </c>
      <c r="D40" s="257" t="str">
        <f t="shared" ca="1" si="4"/>
        <v/>
      </c>
      <c r="E40" s="808" t="str">
        <f t="shared" ca="1" si="19"/>
        <v/>
      </c>
      <c r="F40" s="253" t="str">
        <f ca="1">IF(B40="","",MAX(C40-D40,0))</f>
        <v/>
      </c>
      <c r="G40" s="257" t="str">
        <f t="shared" ca="1" si="15"/>
        <v/>
      </c>
      <c r="H40" s="257" t="str">
        <f t="shared" ca="1" si="11"/>
        <v/>
      </c>
      <c r="I40" s="220" t="str">
        <f t="shared" ca="1" si="5"/>
        <v/>
      </c>
      <c r="J40" s="220" t="e">
        <f t="shared" ca="1" si="6"/>
        <v>#VALUE!</v>
      </c>
    </row>
    <row r="41" spans="1:36" x14ac:dyDescent="0.25">
      <c r="A41" s="254" t="str">
        <f t="shared" ca="1" si="8"/>
        <v/>
      </c>
      <c r="B41" s="255" t="str">
        <f t="shared" ca="1" si="9"/>
        <v/>
      </c>
      <c r="C41" s="256" t="str">
        <f t="shared" ca="1" si="3"/>
        <v/>
      </c>
      <c r="D41" s="257" t="str">
        <f t="shared" ca="1" si="4"/>
        <v/>
      </c>
      <c r="E41" s="808" t="str">
        <f t="shared" ca="1" si="19"/>
        <v/>
      </c>
      <c r="F41" s="253" t="str">
        <f t="shared" ca="1" si="10"/>
        <v/>
      </c>
      <c r="G41" s="257" t="str">
        <f t="shared" ca="1" si="15"/>
        <v/>
      </c>
      <c r="H41" s="257" t="str">
        <f t="shared" ca="1" si="11"/>
        <v/>
      </c>
      <c r="I41" s="220" t="str">
        <f t="shared" ca="1" si="5"/>
        <v/>
      </c>
      <c r="J41" s="220" t="e">
        <f t="shared" ca="1" si="6"/>
        <v>#VALUE!</v>
      </c>
    </row>
    <row r="42" spans="1:36" x14ac:dyDescent="0.25">
      <c r="A42" s="254" t="str">
        <f t="shared" ca="1" si="8"/>
        <v/>
      </c>
      <c r="B42" s="255" t="str">
        <f t="shared" ca="1" si="9"/>
        <v/>
      </c>
      <c r="C42" s="256" t="str">
        <f t="shared" ca="1" si="3"/>
        <v/>
      </c>
      <c r="D42" s="257" t="str">
        <f t="shared" ca="1" si="4"/>
        <v/>
      </c>
      <c r="E42" s="808" t="str">
        <f t="shared" ca="1" si="19"/>
        <v/>
      </c>
      <c r="F42" s="253" t="str">
        <f t="shared" ca="1" si="10"/>
        <v/>
      </c>
      <c r="G42" s="257" t="str">
        <f t="shared" ca="1" si="15"/>
        <v/>
      </c>
      <c r="H42" s="257" t="str">
        <f t="shared" ca="1" si="11"/>
        <v/>
      </c>
      <c r="I42" s="220" t="str">
        <f t="shared" ca="1" si="5"/>
        <v/>
      </c>
      <c r="J42" s="220" t="e">
        <f t="shared" ca="1" si="6"/>
        <v>#VALUE!</v>
      </c>
    </row>
    <row r="43" spans="1:36" x14ac:dyDescent="0.25">
      <c r="A43" s="254" t="str">
        <f t="shared" ca="1" si="8"/>
        <v/>
      </c>
      <c r="B43" s="255" t="str">
        <f t="shared" ca="1" si="9"/>
        <v/>
      </c>
      <c r="C43" s="256" t="str">
        <f t="shared" ca="1" si="3"/>
        <v/>
      </c>
      <c r="D43" s="257" t="str">
        <f t="shared" ca="1" si="4"/>
        <v/>
      </c>
      <c r="E43" s="808" t="str">
        <f t="shared" ca="1" si="19"/>
        <v/>
      </c>
      <c r="F43" s="253" t="str">
        <f t="shared" ca="1" si="10"/>
        <v/>
      </c>
      <c r="G43" s="257" t="str">
        <f t="shared" ca="1" si="15"/>
        <v/>
      </c>
      <c r="H43" s="257" t="str">
        <f t="shared" ca="1" si="11"/>
        <v/>
      </c>
      <c r="I43" s="220" t="str">
        <f t="shared" ca="1" si="5"/>
        <v/>
      </c>
      <c r="J43" s="220" t="e">
        <f t="shared" ca="1" si="6"/>
        <v>#VALUE!</v>
      </c>
    </row>
    <row r="44" spans="1:36" x14ac:dyDescent="0.25">
      <c r="A44" s="254" t="str">
        <f t="shared" ca="1" si="8"/>
        <v/>
      </c>
      <c r="B44" s="255" t="str">
        <f t="shared" ca="1" si="9"/>
        <v/>
      </c>
      <c r="C44" s="256" t="str">
        <f t="shared" ca="1" si="3"/>
        <v/>
      </c>
      <c r="D44" s="257" t="str">
        <f t="shared" ca="1" si="4"/>
        <v/>
      </c>
      <c r="E44" s="808" t="str">
        <f t="shared" ca="1" si="19"/>
        <v/>
      </c>
      <c r="F44" s="253" t="str">
        <f t="shared" ca="1" si="10"/>
        <v/>
      </c>
      <c r="G44" s="257" t="str">
        <f t="shared" ca="1" si="15"/>
        <v/>
      </c>
      <c r="H44" s="257" t="str">
        <f t="shared" ca="1" si="11"/>
        <v/>
      </c>
      <c r="I44" s="220" t="str">
        <f t="shared" ca="1" si="5"/>
        <v/>
      </c>
      <c r="J44" s="220" t="e">
        <f t="shared" ca="1" si="6"/>
        <v>#VALUE!</v>
      </c>
    </row>
    <row r="45" spans="1:36" x14ac:dyDescent="0.25">
      <c r="A45" s="254" t="str">
        <f t="shared" ca="1" si="8"/>
        <v/>
      </c>
      <c r="B45" s="255" t="str">
        <f t="shared" ca="1" si="9"/>
        <v/>
      </c>
      <c r="C45" s="256" t="str">
        <f t="shared" ca="1" si="3"/>
        <v/>
      </c>
      <c r="D45" s="257" t="str">
        <f t="shared" ca="1" si="4"/>
        <v/>
      </c>
      <c r="E45" s="808" t="str">
        <f t="shared" ca="1" si="19"/>
        <v/>
      </c>
      <c r="F45" s="253" t="str">
        <f t="shared" ca="1" si="10"/>
        <v/>
      </c>
      <c r="G45" s="257" t="str">
        <f t="shared" ca="1" si="15"/>
        <v/>
      </c>
      <c r="H45" s="257" t="str">
        <f t="shared" ca="1" si="11"/>
        <v/>
      </c>
      <c r="I45" s="220" t="str">
        <f t="shared" ca="1" si="5"/>
        <v/>
      </c>
      <c r="J45" s="220" t="e">
        <f t="shared" ca="1" si="6"/>
        <v>#VALUE!</v>
      </c>
    </row>
    <row r="46" spans="1:36" x14ac:dyDescent="0.25">
      <c r="A46" s="254" t="str">
        <f t="shared" ca="1" si="8"/>
        <v/>
      </c>
      <c r="B46" s="255" t="str">
        <f t="shared" ca="1" si="9"/>
        <v/>
      </c>
      <c r="C46" s="256" t="str">
        <f t="shared" ca="1" si="3"/>
        <v/>
      </c>
      <c r="D46" s="257" t="str">
        <f t="shared" ca="1" si="4"/>
        <v/>
      </c>
      <c r="E46" s="808" t="str">
        <f t="shared" ca="1" si="19"/>
        <v/>
      </c>
      <c r="F46" s="253" t="str">
        <f t="shared" ca="1" si="10"/>
        <v/>
      </c>
      <c r="G46" s="257" t="str">
        <f t="shared" ca="1" si="15"/>
        <v/>
      </c>
      <c r="H46" s="257" t="str">
        <f t="shared" ca="1" si="11"/>
        <v/>
      </c>
      <c r="I46" s="220" t="str">
        <f t="shared" ca="1" si="5"/>
        <v/>
      </c>
      <c r="J46" s="220" t="e">
        <f t="shared" ca="1" si="6"/>
        <v>#VALUE!</v>
      </c>
    </row>
    <row r="47" spans="1:36" x14ac:dyDescent="0.25">
      <c r="A47" s="254" t="str">
        <f t="shared" ca="1" si="8"/>
        <v/>
      </c>
      <c r="B47" s="255" t="str">
        <f t="shared" ca="1" si="9"/>
        <v/>
      </c>
      <c r="C47" s="256" t="str">
        <f t="shared" ca="1" si="3"/>
        <v/>
      </c>
      <c r="D47" s="257" t="str">
        <f t="shared" ca="1" si="4"/>
        <v/>
      </c>
      <c r="E47" s="808" t="str">
        <f t="shared" ca="1" si="19"/>
        <v/>
      </c>
      <c r="F47" s="253" t="str">
        <f t="shared" ca="1" si="10"/>
        <v/>
      </c>
      <c r="G47" s="257" t="str">
        <f t="shared" ca="1" si="15"/>
        <v/>
      </c>
      <c r="H47" s="257" t="str">
        <f t="shared" ca="1" si="11"/>
        <v/>
      </c>
      <c r="I47" s="220" t="str">
        <f t="shared" ca="1" si="5"/>
        <v/>
      </c>
      <c r="J47" s="220" t="e">
        <f t="shared" ca="1" si="6"/>
        <v>#VALUE!</v>
      </c>
    </row>
    <row r="48" spans="1:36" x14ac:dyDescent="0.25">
      <c r="A48" s="254" t="str">
        <f t="shared" ca="1" si="8"/>
        <v/>
      </c>
      <c r="B48" s="255" t="str">
        <f t="shared" ca="1" si="9"/>
        <v/>
      </c>
      <c r="C48" s="256" t="str">
        <f t="shared" ca="1" si="3"/>
        <v/>
      </c>
      <c r="D48" s="257" t="str">
        <f t="shared" ca="1" si="4"/>
        <v/>
      </c>
      <c r="E48" s="808" t="str">
        <f t="shared" ca="1" si="19"/>
        <v/>
      </c>
      <c r="F48" s="253" t="str">
        <f t="shared" ca="1" si="10"/>
        <v/>
      </c>
      <c r="G48" s="257" t="str">
        <f t="shared" ca="1" si="15"/>
        <v/>
      </c>
      <c r="H48" s="257" t="str">
        <f t="shared" ca="1" si="11"/>
        <v/>
      </c>
      <c r="I48" s="220" t="str">
        <f t="shared" ca="1" si="5"/>
        <v/>
      </c>
      <c r="J48" s="220" t="e">
        <f t="shared" ca="1" si="6"/>
        <v>#VALUE!</v>
      </c>
    </row>
    <row r="49" spans="1:11" x14ac:dyDescent="0.25">
      <c r="A49" s="254" t="str">
        <f t="shared" ca="1" si="8"/>
        <v/>
      </c>
      <c r="B49" s="255" t="str">
        <f t="shared" ca="1" si="9"/>
        <v/>
      </c>
      <c r="C49" s="256" t="str">
        <f t="shared" ca="1" si="3"/>
        <v/>
      </c>
      <c r="D49" s="257" t="str">
        <f t="shared" ca="1" si="4"/>
        <v/>
      </c>
      <c r="E49" s="808" t="str">
        <f t="shared" ca="1" si="19"/>
        <v/>
      </c>
      <c r="F49" s="253" t="str">
        <f t="shared" ca="1" si="10"/>
        <v/>
      </c>
      <c r="G49" s="257" t="str">
        <f t="shared" ca="1" si="15"/>
        <v/>
      </c>
      <c r="H49" s="257" t="str">
        <f t="shared" ca="1" si="11"/>
        <v/>
      </c>
      <c r="I49" s="220" t="str">
        <f t="shared" ca="1" si="5"/>
        <v/>
      </c>
      <c r="J49" s="220" t="e">
        <f t="shared" ca="1" si="6"/>
        <v>#VALUE!</v>
      </c>
    </row>
    <row r="50" spans="1:11" x14ac:dyDescent="0.25">
      <c r="A50" s="254" t="str">
        <f t="shared" ca="1" si="8"/>
        <v/>
      </c>
      <c r="B50" s="255" t="str">
        <f t="shared" ca="1" si="9"/>
        <v/>
      </c>
      <c r="C50" s="256" t="str">
        <f t="shared" ca="1" si="3"/>
        <v/>
      </c>
      <c r="D50" s="257" t="str">
        <f t="shared" ca="1" si="4"/>
        <v/>
      </c>
      <c r="E50" s="808" t="str">
        <f t="shared" ca="1" si="19"/>
        <v/>
      </c>
      <c r="F50" s="253" t="str">
        <f t="shared" ca="1" si="10"/>
        <v/>
      </c>
      <c r="G50" s="257" t="str">
        <f t="shared" ca="1" si="15"/>
        <v/>
      </c>
      <c r="H50" s="257" t="str">
        <f t="shared" ca="1" si="11"/>
        <v/>
      </c>
      <c r="I50" s="220" t="str">
        <f t="shared" ca="1" si="5"/>
        <v/>
      </c>
      <c r="J50" s="220" t="e">
        <f t="shared" ca="1" si="6"/>
        <v>#VALUE!</v>
      </c>
    </row>
    <row r="51" spans="1:11" x14ac:dyDescent="0.25">
      <c r="A51" s="254" t="str">
        <f t="shared" ca="1" si="8"/>
        <v/>
      </c>
      <c r="B51" s="255" t="str">
        <f t="shared" ca="1" si="9"/>
        <v/>
      </c>
      <c r="C51" s="256" t="str">
        <f t="shared" ca="1" si="3"/>
        <v/>
      </c>
      <c r="D51" s="257" t="str">
        <f t="shared" ca="1" si="4"/>
        <v/>
      </c>
      <c r="E51" s="808" t="str">
        <f t="shared" ca="1" si="19"/>
        <v/>
      </c>
      <c r="F51" s="253" t="str">
        <f t="shared" ca="1" si="10"/>
        <v/>
      </c>
      <c r="G51" s="257" t="str">
        <f t="shared" ca="1" si="15"/>
        <v/>
      </c>
      <c r="H51" s="257" t="str">
        <f t="shared" ca="1" si="11"/>
        <v/>
      </c>
      <c r="I51" s="220" t="str">
        <f t="shared" ca="1" si="5"/>
        <v/>
      </c>
    </row>
    <row r="52" spans="1:11" x14ac:dyDescent="0.25">
      <c r="A52" s="254" t="str">
        <f t="shared" ca="1" si="8"/>
        <v/>
      </c>
      <c r="B52" s="255" t="str">
        <f t="shared" ca="1" si="9"/>
        <v/>
      </c>
      <c r="C52" s="256" t="str">
        <f t="shared" ca="1" si="3"/>
        <v/>
      </c>
      <c r="D52" s="257" t="str">
        <f t="shared" ca="1" si="4"/>
        <v/>
      </c>
      <c r="E52" s="808" t="str">
        <f t="shared" ca="1" si="19"/>
        <v/>
      </c>
      <c r="F52" s="253" t="str">
        <f t="shared" ca="1" si="10"/>
        <v/>
      </c>
      <c r="G52" s="257" t="str">
        <f t="shared" ca="1" si="15"/>
        <v/>
      </c>
      <c r="H52" s="257" t="str">
        <f t="shared" ca="1" si="11"/>
        <v/>
      </c>
      <c r="I52" s="220" t="str">
        <f t="shared" ca="1" si="5"/>
        <v/>
      </c>
    </row>
    <row r="53" spans="1:11" x14ac:dyDescent="0.25">
      <c r="A53" s="254" t="str">
        <f t="shared" ca="1" si="8"/>
        <v/>
      </c>
      <c r="B53" s="255" t="str">
        <f t="shared" ca="1" si="9"/>
        <v/>
      </c>
      <c r="C53" s="256" t="str">
        <f t="shared" ca="1" si="3"/>
        <v/>
      </c>
      <c r="D53" s="257" t="str">
        <f t="shared" ca="1" si="4"/>
        <v/>
      </c>
      <c r="E53" s="808" t="str">
        <f t="shared" ca="1" si="19"/>
        <v/>
      </c>
      <c r="F53" s="253" t="str">
        <f t="shared" ca="1" si="10"/>
        <v/>
      </c>
      <c r="G53" s="257" t="str">
        <f t="shared" ca="1" si="15"/>
        <v/>
      </c>
      <c r="H53" s="257" t="str">
        <f t="shared" ca="1" si="11"/>
        <v/>
      </c>
      <c r="I53" s="220" t="str">
        <f t="shared" ca="1" si="5"/>
        <v/>
      </c>
    </row>
    <row r="54" spans="1:11" x14ac:dyDescent="0.25">
      <c r="A54" s="254" t="str">
        <f t="shared" ca="1" si="8"/>
        <v/>
      </c>
      <c r="B54" s="255" t="str">
        <f t="shared" ca="1" si="9"/>
        <v/>
      </c>
      <c r="C54" s="256" t="str">
        <f t="shared" ca="1" si="3"/>
        <v/>
      </c>
      <c r="D54" s="257" t="str">
        <f t="shared" ca="1" si="4"/>
        <v/>
      </c>
      <c r="E54" s="808" t="str">
        <f t="shared" ca="1" si="19"/>
        <v/>
      </c>
      <c r="F54" s="253" t="str">
        <f t="shared" ca="1" si="10"/>
        <v/>
      </c>
      <c r="G54" s="257" t="str">
        <f t="shared" ca="1" si="15"/>
        <v/>
      </c>
      <c r="H54" s="257" t="str">
        <f t="shared" ca="1" si="11"/>
        <v/>
      </c>
      <c r="I54" s="220" t="str">
        <f t="shared" ca="1" si="5"/>
        <v/>
      </c>
      <c r="J54" s="253">
        <f ca="1">SUM(C48:C54)</f>
        <v>0</v>
      </c>
    </row>
    <row r="55" spans="1:11" x14ac:dyDescent="0.25">
      <c r="A55" s="254" t="str">
        <f t="shared" ca="1" si="8"/>
        <v/>
      </c>
      <c r="B55" s="255" t="str">
        <f t="shared" ca="1" si="9"/>
        <v/>
      </c>
      <c r="C55" s="256" t="str">
        <f t="shared" ca="1" si="3"/>
        <v/>
      </c>
      <c r="D55" s="257" t="str">
        <f t="shared" ca="1" si="4"/>
        <v/>
      </c>
      <c r="E55" s="808" t="str">
        <f t="shared" ca="1" si="19"/>
        <v/>
      </c>
      <c r="F55" s="253" t="str">
        <f t="shared" ca="1" si="10"/>
        <v/>
      </c>
      <c r="G55" s="257" t="str">
        <f t="shared" ca="1" si="15"/>
        <v/>
      </c>
      <c r="H55" s="257" t="str">
        <f t="shared" ca="1" si="11"/>
        <v/>
      </c>
      <c r="I55" s="220" t="str">
        <f t="shared" ca="1" si="5"/>
        <v/>
      </c>
    </row>
    <row r="56" spans="1:11" x14ac:dyDescent="0.25">
      <c r="A56" s="254" t="str">
        <f t="shared" ca="1" si="8"/>
        <v/>
      </c>
      <c r="B56" s="255" t="str">
        <f t="shared" ca="1" si="9"/>
        <v/>
      </c>
      <c r="C56" s="256" t="str">
        <f t="shared" ca="1" si="3"/>
        <v/>
      </c>
      <c r="D56" s="257" t="str">
        <f t="shared" ca="1" si="4"/>
        <v/>
      </c>
      <c r="E56" s="808" t="str">
        <f t="shared" ca="1" si="19"/>
        <v/>
      </c>
      <c r="F56" s="253" t="str">
        <f t="shared" ca="1" si="10"/>
        <v/>
      </c>
      <c r="G56" s="257" t="str">
        <f t="shared" ca="1" si="15"/>
        <v/>
      </c>
      <c r="H56" s="257" t="str">
        <f t="shared" ca="1" si="11"/>
        <v/>
      </c>
      <c r="I56" s="220" t="str">
        <f t="shared" ca="1" si="5"/>
        <v/>
      </c>
    </row>
    <row r="57" spans="1:11" x14ac:dyDescent="0.25">
      <c r="A57" s="254" t="str">
        <f t="shared" ca="1" si="8"/>
        <v/>
      </c>
      <c r="B57" s="255" t="str">
        <f t="shared" ca="1" si="9"/>
        <v/>
      </c>
      <c r="C57" s="256" t="str">
        <f t="shared" ca="1" si="3"/>
        <v/>
      </c>
      <c r="D57" s="257" t="str">
        <f t="shared" ca="1" si="4"/>
        <v/>
      </c>
      <c r="E57" s="808" t="str">
        <f t="shared" ca="1" si="19"/>
        <v/>
      </c>
      <c r="F57" s="253" t="str">
        <f t="shared" ca="1" si="10"/>
        <v/>
      </c>
      <c r="G57" s="257" t="str">
        <f t="shared" ca="1" si="15"/>
        <v/>
      </c>
      <c r="H57" s="257" t="str">
        <f t="shared" ca="1" si="11"/>
        <v/>
      </c>
      <c r="I57" s="220" t="str">
        <f t="shared" ca="1" si="5"/>
        <v/>
      </c>
    </row>
    <row r="58" spans="1:11" x14ac:dyDescent="0.25">
      <c r="A58" s="254" t="str">
        <f t="shared" ca="1" si="8"/>
        <v/>
      </c>
      <c r="B58" s="255" t="str">
        <f t="shared" ca="1" si="9"/>
        <v/>
      </c>
      <c r="C58" s="256" t="str">
        <f t="shared" ca="1" si="3"/>
        <v/>
      </c>
      <c r="D58" s="257" t="str">
        <f t="shared" ca="1" si="4"/>
        <v/>
      </c>
      <c r="E58" s="808" t="str">
        <f t="shared" ca="1" si="19"/>
        <v/>
      </c>
      <c r="F58" s="253" t="str">
        <f t="shared" ca="1" si="10"/>
        <v/>
      </c>
      <c r="G58" s="257" t="str">
        <f t="shared" ca="1" si="15"/>
        <v/>
      </c>
      <c r="H58" s="257" t="str">
        <f t="shared" ca="1" si="11"/>
        <v/>
      </c>
      <c r="I58" s="220" t="str">
        <f t="shared" ca="1" si="5"/>
        <v/>
      </c>
    </row>
    <row r="59" spans="1:11" x14ac:dyDescent="0.25">
      <c r="A59" s="254" t="str">
        <f t="shared" ca="1" si="8"/>
        <v/>
      </c>
      <c r="B59" s="255" t="str">
        <f t="shared" ca="1" si="9"/>
        <v/>
      </c>
      <c r="C59" s="256" t="str">
        <f t="shared" ca="1" si="3"/>
        <v/>
      </c>
      <c r="D59" s="257" t="str">
        <f t="shared" ca="1" si="4"/>
        <v/>
      </c>
      <c r="E59" s="808" t="str">
        <f t="shared" ca="1" si="19"/>
        <v/>
      </c>
      <c r="F59" s="253" t="str">
        <f t="shared" ca="1" si="10"/>
        <v/>
      </c>
      <c r="G59" s="257" t="str">
        <f t="shared" ca="1" si="15"/>
        <v/>
      </c>
      <c r="H59" s="257" t="str">
        <f t="shared" ca="1" si="11"/>
        <v/>
      </c>
      <c r="I59" s="220" t="str">
        <f t="shared" ca="1" si="5"/>
        <v/>
      </c>
    </row>
    <row r="60" spans="1:11" x14ac:dyDescent="0.25">
      <c r="A60" s="254" t="str">
        <f t="shared" ca="1" si="8"/>
        <v/>
      </c>
      <c r="B60" s="255" t="str">
        <f t="shared" ca="1" si="9"/>
        <v/>
      </c>
      <c r="C60" s="256" t="str">
        <f t="shared" ca="1" si="3"/>
        <v/>
      </c>
      <c r="D60" s="257" t="str">
        <f t="shared" ca="1" si="4"/>
        <v/>
      </c>
      <c r="E60" s="808" t="str">
        <f t="shared" ca="1" si="19"/>
        <v/>
      </c>
      <c r="F60" s="253" t="str">
        <f t="shared" ca="1" si="10"/>
        <v/>
      </c>
      <c r="G60" s="257" t="str">
        <f t="shared" ca="1" si="15"/>
        <v/>
      </c>
      <c r="H60" s="257" t="str">
        <f t="shared" ca="1" si="11"/>
        <v/>
      </c>
      <c r="I60" s="220" t="str">
        <f t="shared" ca="1" si="5"/>
        <v/>
      </c>
    </row>
    <row r="61" spans="1:11" x14ac:dyDescent="0.25">
      <c r="A61" s="254" t="str">
        <f t="shared" ca="1" si="8"/>
        <v/>
      </c>
      <c r="B61" s="255" t="str">
        <f t="shared" ca="1" si="9"/>
        <v/>
      </c>
      <c r="C61" s="256" t="str">
        <f t="shared" ca="1" si="3"/>
        <v/>
      </c>
      <c r="D61" s="257" t="str">
        <f t="shared" ca="1" si="4"/>
        <v/>
      </c>
      <c r="E61" s="808" t="str">
        <f t="shared" ca="1" si="19"/>
        <v/>
      </c>
      <c r="F61" s="253" t="str">
        <f t="shared" ca="1" si="10"/>
        <v/>
      </c>
      <c r="G61" s="257" t="str">
        <f t="shared" ca="1" si="15"/>
        <v/>
      </c>
      <c r="H61" s="257" t="str">
        <f t="shared" ca="1" si="11"/>
        <v/>
      </c>
      <c r="I61" s="220" t="str">
        <f t="shared" ca="1" si="5"/>
        <v/>
      </c>
    </row>
    <row r="62" spans="1:11" x14ac:dyDescent="0.25">
      <c r="A62" s="254" t="str">
        <f t="shared" ca="1" si="8"/>
        <v/>
      </c>
      <c r="B62" s="255" t="str">
        <f t="shared" ca="1" si="9"/>
        <v/>
      </c>
      <c r="C62" s="256" t="str">
        <f t="shared" ca="1" si="3"/>
        <v/>
      </c>
      <c r="D62" s="257" t="str">
        <f t="shared" ca="1" si="4"/>
        <v/>
      </c>
      <c r="E62" s="808" t="str">
        <f t="shared" ca="1" si="19"/>
        <v/>
      </c>
      <c r="F62" s="253" t="str">
        <f t="shared" ca="1" si="10"/>
        <v/>
      </c>
      <c r="G62" s="257" t="str">
        <f t="shared" ca="1" si="15"/>
        <v/>
      </c>
      <c r="H62" s="257" t="str">
        <f t="shared" ca="1" si="11"/>
        <v/>
      </c>
      <c r="I62" s="220" t="str">
        <f t="shared" ca="1" si="5"/>
        <v/>
      </c>
    </row>
    <row r="63" spans="1:11" x14ac:dyDescent="0.25">
      <c r="A63" s="254" t="str">
        <f t="shared" ca="1" si="8"/>
        <v/>
      </c>
      <c r="B63" s="255" t="str">
        <f t="shared" ca="1" si="9"/>
        <v/>
      </c>
      <c r="C63" s="256" t="str">
        <f t="shared" ca="1" si="3"/>
        <v/>
      </c>
      <c r="D63" s="257" t="str">
        <f t="shared" ca="1" si="4"/>
        <v/>
      </c>
      <c r="E63" s="808" t="str">
        <f t="shared" ca="1" si="19"/>
        <v/>
      </c>
      <c r="F63" s="253" t="str">
        <f t="shared" ca="1" si="10"/>
        <v/>
      </c>
      <c r="G63" s="257" t="str">
        <f t="shared" ca="1" si="15"/>
        <v/>
      </c>
      <c r="H63" s="257" t="str">
        <f t="shared" ca="1" si="11"/>
        <v/>
      </c>
      <c r="I63" s="220" t="str">
        <f t="shared" ca="1" si="5"/>
        <v/>
      </c>
    </row>
    <row r="64" spans="1:11" x14ac:dyDescent="0.25">
      <c r="A64" s="254" t="str">
        <f t="shared" ca="1" si="8"/>
        <v/>
      </c>
      <c r="B64" s="255" t="str">
        <f t="shared" ca="1" si="9"/>
        <v/>
      </c>
      <c r="C64" s="256" t="str">
        <f t="shared" ca="1" si="3"/>
        <v/>
      </c>
      <c r="D64" s="257" t="str">
        <f t="shared" ca="1" si="4"/>
        <v/>
      </c>
      <c r="E64" s="808" t="str">
        <f t="shared" ca="1" si="19"/>
        <v/>
      </c>
      <c r="F64" s="253" t="str">
        <f t="shared" ca="1" si="10"/>
        <v/>
      </c>
      <c r="G64" s="257" t="str">
        <f t="shared" ca="1" si="15"/>
        <v/>
      </c>
      <c r="H64" s="257" t="str">
        <f t="shared" ca="1" si="11"/>
        <v/>
      </c>
      <c r="I64" s="220" t="str">
        <f t="shared" ca="1" si="5"/>
        <v/>
      </c>
      <c r="K64" s="253"/>
    </row>
    <row r="65" spans="1:13" x14ac:dyDescent="0.25">
      <c r="A65" s="254" t="str">
        <f t="shared" ca="1" si="8"/>
        <v/>
      </c>
      <c r="B65" s="255" t="str">
        <f t="shared" ca="1" si="9"/>
        <v/>
      </c>
      <c r="C65" s="256" t="str">
        <f t="shared" ca="1" si="3"/>
        <v/>
      </c>
      <c r="D65" s="257" t="str">
        <f t="shared" ca="1" si="4"/>
        <v/>
      </c>
      <c r="E65" s="808" t="str">
        <f t="shared" ca="1" si="19"/>
        <v/>
      </c>
      <c r="F65" s="253" t="str">
        <f t="shared" ca="1" si="10"/>
        <v/>
      </c>
      <c r="G65" s="257" t="str">
        <f t="shared" ca="1" si="15"/>
        <v/>
      </c>
      <c r="H65" s="257" t="str">
        <f t="shared" ca="1" si="11"/>
        <v/>
      </c>
      <c r="I65" s="220" t="str">
        <f t="shared" ca="1" si="5"/>
        <v/>
      </c>
      <c r="K65" s="260" t="e">
        <f t="shared" ref="K65:K128" ca="1" si="20">HLOOKUP(I64,$L$18:$W$25,7,0)/12</f>
        <v>#N/A</v>
      </c>
      <c r="L65" s="253" t="e">
        <f ca="1">G62-G68</f>
        <v>#VALUE!</v>
      </c>
    </row>
    <row r="66" spans="1:13" x14ac:dyDescent="0.25">
      <c r="A66" s="254" t="str">
        <f t="shared" ref="A66:A129" ca="1" si="21">IF(OR(H65&lt;=0,H65=""),"",OFFSET(A66,-1,0,1,1)+1)</f>
        <v/>
      </c>
      <c r="B66" s="255" t="str">
        <f t="shared" ref="B66:B129" ca="1" si="22">IF(A66&lt;$H$11+1,DATE(YEAR(B65),MONTH(B65)+3,1),"")</f>
        <v/>
      </c>
      <c r="C66" s="256" t="str">
        <f t="shared" ref="C66:C129" ca="1" si="23">IF(OR(A66=$H$11,A66=$H$14),G65+D66+E66,IF(B66="","",-$D$14))</f>
        <v/>
      </c>
      <c r="D66" s="257" t="str">
        <f t="shared" ref="D66:D129" ca="1" si="24">IF(B66="","",ROUND((B66-B65)*(E66/$D$13+$H$10*($I$10))*G65,2))</f>
        <v/>
      </c>
      <c r="E66" s="808" t="str">
        <f t="shared" ref="E66:E129" ca="1" si="25">IF(B66="","",ROUND((B66-B65)*($H$10*(1-$I$10))*G65,2))</f>
        <v/>
      </c>
      <c r="F66" s="253" t="str">
        <f t="shared" ref="F66:F129" ca="1" si="26">IF(B66="","",MAX(C66-D66,0))</f>
        <v/>
      </c>
      <c r="G66" s="257" t="str">
        <f t="shared" ref="G66:G129" ca="1" si="27">IF(B66="","",-(C66-D66)+G65)</f>
        <v/>
      </c>
      <c r="H66" s="257" t="str">
        <f t="shared" ref="H66:H129" ca="1" si="28">IF(B66="","",G66)</f>
        <v/>
      </c>
      <c r="I66" s="220" t="str">
        <f t="shared" ref="I66:I129" ca="1" si="29">IF(B66="","",YEAR(B66))</f>
        <v/>
      </c>
      <c r="K66" s="260" t="e">
        <f t="shared" ca="1" si="20"/>
        <v>#N/A</v>
      </c>
    </row>
    <row r="67" spans="1:13" x14ac:dyDescent="0.25">
      <c r="A67" s="254" t="str">
        <f t="shared" ca="1" si="21"/>
        <v/>
      </c>
      <c r="B67" s="255" t="str">
        <f t="shared" ca="1" si="22"/>
        <v/>
      </c>
      <c r="C67" s="256" t="str">
        <f t="shared" ca="1" si="23"/>
        <v/>
      </c>
      <c r="D67" s="257" t="str">
        <f t="shared" ca="1" si="24"/>
        <v/>
      </c>
      <c r="E67" s="808" t="str">
        <f t="shared" ca="1" si="25"/>
        <v/>
      </c>
      <c r="F67" s="253" t="str">
        <f t="shared" ca="1" si="26"/>
        <v/>
      </c>
      <c r="G67" s="257" t="str">
        <f t="shared" ca="1" si="27"/>
        <v/>
      </c>
      <c r="H67" s="257" t="str">
        <f t="shared" ca="1" si="28"/>
        <v/>
      </c>
      <c r="I67" s="220" t="str">
        <f t="shared" ca="1" si="29"/>
        <v/>
      </c>
      <c r="K67" s="260" t="e">
        <f t="shared" ca="1" si="20"/>
        <v>#N/A</v>
      </c>
    </row>
    <row r="68" spans="1:13" x14ac:dyDescent="0.25">
      <c r="A68" s="254" t="str">
        <f t="shared" ca="1" si="21"/>
        <v/>
      </c>
      <c r="B68" s="255" t="str">
        <f t="shared" ca="1" si="22"/>
        <v/>
      </c>
      <c r="C68" s="256" t="str">
        <f t="shared" ca="1" si="23"/>
        <v/>
      </c>
      <c r="D68" s="257" t="str">
        <f t="shared" ca="1" si="24"/>
        <v/>
      </c>
      <c r="E68" s="808" t="str">
        <f t="shared" ca="1" si="25"/>
        <v/>
      </c>
      <c r="F68" s="253" t="str">
        <f t="shared" ca="1" si="26"/>
        <v/>
      </c>
      <c r="G68" s="257" t="str">
        <f t="shared" ca="1" si="27"/>
        <v/>
      </c>
      <c r="H68" s="257" t="str">
        <f t="shared" ca="1" si="28"/>
        <v/>
      </c>
      <c r="I68" s="220" t="str">
        <f t="shared" ca="1" si="29"/>
        <v/>
      </c>
      <c r="K68" s="260" t="e">
        <f t="shared" ca="1" si="20"/>
        <v>#N/A</v>
      </c>
    </row>
    <row r="69" spans="1:13" x14ac:dyDescent="0.25">
      <c r="A69" s="254" t="str">
        <f t="shared" ca="1" si="21"/>
        <v/>
      </c>
      <c r="B69" s="255" t="str">
        <f t="shared" ca="1" si="22"/>
        <v/>
      </c>
      <c r="C69" s="256" t="str">
        <f t="shared" ca="1" si="23"/>
        <v/>
      </c>
      <c r="D69" s="257" t="str">
        <f t="shared" ca="1" si="24"/>
        <v/>
      </c>
      <c r="E69" s="808" t="str">
        <f t="shared" ca="1" si="25"/>
        <v/>
      </c>
      <c r="F69" s="253" t="str">
        <f t="shared" ca="1" si="26"/>
        <v/>
      </c>
      <c r="G69" s="257" t="str">
        <f t="shared" ca="1" si="27"/>
        <v/>
      </c>
      <c r="H69" s="257" t="str">
        <f t="shared" ca="1" si="28"/>
        <v/>
      </c>
      <c r="I69" s="220" t="str">
        <f t="shared" ca="1" si="29"/>
        <v/>
      </c>
      <c r="K69" s="260" t="e">
        <f t="shared" ca="1" si="20"/>
        <v>#N/A</v>
      </c>
      <c r="L69" s="253" t="e">
        <f ca="1">G68-G74</f>
        <v>#VALUE!</v>
      </c>
      <c r="M69" s="247" t="e">
        <f ca="1">L22-L65</f>
        <v>#VALUE!</v>
      </c>
    </row>
    <row r="70" spans="1:13" x14ac:dyDescent="0.25">
      <c r="A70" s="254" t="str">
        <f t="shared" ca="1" si="21"/>
        <v/>
      </c>
      <c r="B70" s="255" t="str">
        <f t="shared" ca="1" si="22"/>
        <v/>
      </c>
      <c r="C70" s="256" t="str">
        <f t="shared" ca="1" si="23"/>
        <v/>
      </c>
      <c r="D70" s="257" t="str">
        <f t="shared" ca="1" si="24"/>
        <v/>
      </c>
      <c r="E70" s="808" t="str">
        <f t="shared" ca="1" si="25"/>
        <v/>
      </c>
      <c r="F70" s="253" t="str">
        <f t="shared" ca="1" si="26"/>
        <v/>
      </c>
      <c r="G70" s="257" t="str">
        <f t="shared" ca="1" si="27"/>
        <v/>
      </c>
      <c r="H70" s="257" t="str">
        <f t="shared" ca="1" si="28"/>
        <v/>
      </c>
      <c r="I70" s="220" t="str">
        <f t="shared" ca="1" si="29"/>
        <v/>
      </c>
      <c r="K70" s="260" t="e">
        <f t="shared" ca="1" si="20"/>
        <v>#N/A</v>
      </c>
      <c r="L70" s="253" t="e">
        <f ca="1">L69+L65</f>
        <v>#VALUE!</v>
      </c>
    </row>
    <row r="71" spans="1:13" x14ac:dyDescent="0.25">
      <c r="A71" s="254" t="str">
        <f t="shared" ca="1" si="21"/>
        <v/>
      </c>
      <c r="B71" s="255" t="str">
        <f t="shared" ca="1" si="22"/>
        <v/>
      </c>
      <c r="C71" s="256" t="str">
        <f t="shared" ca="1" si="23"/>
        <v/>
      </c>
      <c r="D71" s="257" t="str">
        <f t="shared" ca="1" si="24"/>
        <v/>
      </c>
      <c r="E71" s="808" t="str">
        <f t="shared" ca="1" si="25"/>
        <v/>
      </c>
      <c r="F71" s="253" t="str">
        <f t="shared" ca="1" si="26"/>
        <v/>
      </c>
      <c r="G71" s="257" t="str">
        <f t="shared" ca="1" si="27"/>
        <v/>
      </c>
      <c r="H71" s="257" t="str">
        <f t="shared" ca="1" si="28"/>
        <v/>
      </c>
      <c r="I71" s="220" t="str">
        <f t="shared" ca="1" si="29"/>
        <v/>
      </c>
      <c r="K71" s="260" t="e">
        <f t="shared" ca="1" si="20"/>
        <v>#N/A</v>
      </c>
    </row>
    <row r="72" spans="1:13" x14ac:dyDescent="0.25">
      <c r="A72" s="254" t="str">
        <f t="shared" ca="1" si="21"/>
        <v/>
      </c>
      <c r="B72" s="255" t="str">
        <f t="shared" ca="1" si="22"/>
        <v/>
      </c>
      <c r="C72" s="256" t="str">
        <f t="shared" ca="1" si="23"/>
        <v/>
      </c>
      <c r="D72" s="257" t="str">
        <f t="shared" ca="1" si="24"/>
        <v/>
      </c>
      <c r="E72" s="808" t="str">
        <f t="shared" ca="1" si="25"/>
        <v/>
      </c>
      <c r="F72" s="253" t="str">
        <f t="shared" ca="1" si="26"/>
        <v/>
      </c>
      <c r="G72" s="257" t="str">
        <f t="shared" ca="1" si="27"/>
        <v/>
      </c>
      <c r="H72" s="257" t="str">
        <f t="shared" ca="1" si="28"/>
        <v/>
      </c>
      <c r="I72" s="220" t="str">
        <f t="shared" ca="1" si="29"/>
        <v/>
      </c>
      <c r="K72" s="260" t="e">
        <f t="shared" ca="1" si="20"/>
        <v>#N/A</v>
      </c>
    </row>
    <row r="73" spans="1:13" x14ac:dyDescent="0.25">
      <c r="A73" s="254" t="str">
        <f t="shared" ca="1" si="21"/>
        <v/>
      </c>
      <c r="B73" s="255" t="str">
        <f t="shared" ca="1" si="22"/>
        <v/>
      </c>
      <c r="C73" s="256" t="str">
        <f t="shared" ca="1" si="23"/>
        <v/>
      </c>
      <c r="D73" s="257" t="str">
        <f t="shared" ca="1" si="24"/>
        <v/>
      </c>
      <c r="E73" s="808" t="str">
        <f t="shared" ca="1" si="25"/>
        <v/>
      </c>
      <c r="F73" s="253" t="str">
        <f t="shared" ca="1" si="26"/>
        <v/>
      </c>
      <c r="G73" s="257" t="str">
        <f t="shared" ca="1" si="27"/>
        <v/>
      </c>
      <c r="H73" s="257" t="str">
        <f t="shared" ca="1" si="28"/>
        <v/>
      </c>
      <c r="I73" s="220" t="str">
        <f t="shared" ca="1" si="29"/>
        <v/>
      </c>
      <c r="K73" s="260" t="e">
        <f t="shared" ca="1" si="20"/>
        <v>#N/A</v>
      </c>
    </row>
    <row r="74" spans="1:13" x14ac:dyDescent="0.25">
      <c r="A74" s="254" t="str">
        <f t="shared" ca="1" si="21"/>
        <v/>
      </c>
      <c r="B74" s="255" t="str">
        <f t="shared" ca="1" si="22"/>
        <v/>
      </c>
      <c r="C74" s="256" t="str">
        <f t="shared" ca="1" si="23"/>
        <v/>
      </c>
      <c r="D74" s="257" t="str">
        <f t="shared" ca="1" si="24"/>
        <v/>
      </c>
      <c r="E74" s="808" t="str">
        <f t="shared" ca="1" si="25"/>
        <v/>
      </c>
      <c r="F74" s="253" t="str">
        <f t="shared" ca="1" si="26"/>
        <v/>
      </c>
      <c r="G74" s="257" t="str">
        <f t="shared" ca="1" si="27"/>
        <v/>
      </c>
      <c r="H74" s="257" t="str">
        <f t="shared" ca="1" si="28"/>
        <v/>
      </c>
      <c r="I74" s="220" t="str">
        <f t="shared" ca="1" si="29"/>
        <v/>
      </c>
      <c r="K74" s="260" t="e">
        <f t="shared" ca="1" si="20"/>
        <v>#N/A</v>
      </c>
    </row>
    <row r="75" spans="1:13" x14ac:dyDescent="0.25">
      <c r="A75" s="254" t="str">
        <f t="shared" ca="1" si="21"/>
        <v/>
      </c>
      <c r="B75" s="255" t="str">
        <f t="shared" ca="1" si="22"/>
        <v/>
      </c>
      <c r="C75" s="256" t="str">
        <f t="shared" ca="1" si="23"/>
        <v/>
      </c>
      <c r="D75" s="257" t="str">
        <f t="shared" ca="1" si="24"/>
        <v/>
      </c>
      <c r="E75" s="808" t="str">
        <f t="shared" ca="1" si="25"/>
        <v/>
      </c>
      <c r="F75" s="253" t="str">
        <f t="shared" ca="1" si="26"/>
        <v/>
      </c>
      <c r="G75" s="257" t="str">
        <f t="shared" ca="1" si="27"/>
        <v/>
      </c>
      <c r="H75" s="257" t="str">
        <f t="shared" ca="1" si="28"/>
        <v/>
      </c>
      <c r="I75" s="220" t="str">
        <f t="shared" ca="1" si="29"/>
        <v/>
      </c>
      <c r="K75" s="260" t="e">
        <f t="shared" ca="1" si="20"/>
        <v>#N/A</v>
      </c>
    </row>
    <row r="76" spans="1:13" x14ac:dyDescent="0.25">
      <c r="A76" s="254" t="str">
        <f t="shared" ca="1" si="21"/>
        <v/>
      </c>
      <c r="B76" s="255" t="str">
        <f t="shared" ca="1" si="22"/>
        <v/>
      </c>
      <c r="C76" s="256" t="str">
        <f t="shared" ca="1" si="23"/>
        <v/>
      </c>
      <c r="D76" s="257" t="str">
        <f t="shared" ca="1" si="24"/>
        <v/>
      </c>
      <c r="E76" s="808" t="str">
        <f t="shared" ca="1" si="25"/>
        <v/>
      </c>
      <c r="F76" s="253" t="str">
        <f t="shared" ca="1" si="26"/>
        <v/>
      </c>
      <c r="G76" s="257" t="str">
        <f t="shared" ca="1" si="27"/>
        <v/>
      </c>
      <c r="H76" s="257" t="str">
        <f t="shared" ca="1" si="28"/>
        <v/>
      </c>
      <c r="I76" s="220" t="str">
        <f t="shared" ca="1" si="29"/>
        <v/>
      </c>
      <c r="K76" s="260" t="e">
        <f t="shared" ca="1" si="20"/>
        <v>#N/A</v>
      </c>
    </row>
    <row r="77" spans="1:13" x14ac:dyDescent="0.25">
      <c r="A77" s="254" t="str">
        <f t="shared" ca="1" si="21"/>
        <v/>
      </c>
      <c r="B77" s="255" t="str">
        <f t="shared" ca="1" si="22"/>
        <v/>
      </c>
      <c r="C77" s="256" t="str">
        <f t="shared" ca="1" si="23"/>
        <v/>
      </c>
      <c r="D77" s="257" t="str">
        <f t="shared" ca="1" si="24"/>
        <v/>
      </c>
      <c r="E77" s="808" t="str">
        <f t="shared" ca="1" si="25"/>
        <v/>
      </c>
      <c r="F77" s="253" t="str">
        <f t="shared" ca="1" si="26"/>
        <v/>
      </c>
      <c r="G77" s="257" t="str">
        <f t="shared" ca="1" si="27"/>
        <v/>
      </c>
      <c r="H77" s="257" t="str">
        <f t="shared" ca="1" si="28"/>
        <v/>
      </c>
      <c r="I77" s="220" t="str">
        <f t="shared" ca="1" si="29"/>
        <v/>
      </c>
      <c r="K77" s="260" t="e">
        <f t="shared" ca="1" si="20"/>
        <v>#N/A</v>
      </c>
    </row>
    <row r="78" spans="1:13" x14ac:dyDescent="0.25">
      <c r="A78" s="254" t="str">
        <f t="shared" ca="1" si="21"/>
        <v/>
      </c>
      <c r="B78" s="255" t="str">
        <f t="shared" ca="1" si="22"/>
        <v/>
      </c>
      <c r="C78" s="256" t="str">
        <f t="shared" ca="1" si="23"/>
        <v/>
      </c>
      <c r="D78" s="257" t="str">
        <f t="shared" ca="1" si="24"/>
        <v/>
      </c>
      <c r="E78" s="808" t="str">
        <f t="shared" ca="1" si="25"/>
        <v/>
      </c>
      <c r="F78" s="253" t="str">
        <f t="shared" ca="1" si="26"/>
        <v/>
      </c>
      <c r="G78" s="257" t="str">
        <f t="shared" ca="1" si="27"/>
        <v/>
      </c>
      <c r="H78" s="257" t="str">
        <f t="shared" ca="1" si="28"/>
        <v/>
      </c>
      <c r="I78" s="220" t="str">
        <f t="shared" ca="1" si="29"/>
        <v/>
      </c>
      <c r="K78" s="260" t="e">
        <f t="shared" ca="1" si="20"/>
        <v>#N/A</v>
      </c>
    </row>
    <row r="79" spans="1:13" x14ac:dyDescent="0.25">
      <c r="A79" s="254" t="str">
        <f t="shared" ca="1" si="21"/>
        <v/>
      </c>
      <c r="B79" s="255" t="str">
        <f t="shared" ca="1" si="22"/>
        <v/>
      </c>
      <c r="C79" s="256" t="str">
        <f t="shared" ca="1" si="23"/>
        <v/>
      </c>
      <c r="D79" s="257" t="str">
        <f t="shared" ca="1" si="24"/>
        <v/>
      </c>
      <c r="E79" s="808" t="str">
        <f t="shared" ca="1" si="25"/>
        <v/>
      </c>
      <c r="F79" s="253" t="str">
        <f t="shared" ca="1" si="26"/>
        <v/>
      </c>
      <c r="G79" s="257" t="str">
        <f t="shared" ca="1" si="27"/>
        <v/>
      </c>
      <c r="H79" s="257" t="str">
        <f t="shared" ca="1" si="28"/>
        <v/>
      </c>
      <c r="I79" s="220" t="str">
        <f t="shared" ca="1" si="29"/>
        <v/>
      </c>
      <c r="K79" s="260" t="e">
        <f t="shared" ca="1" si="20"/>
        <v>#N/A</v>
      </c>
    </row>
    <row r="80" spans="1:13" x14ac:dyDescent="0.25">
      <c r="A80" s="254" t="str">
        <f t="shared" ca="1" si="21"/>
        <v/>
      </c>
      <c r="B80" s="255" t="str">
        <f t="shared" ca="1" si="22"/>
        <v/>
      </c>
      <c r="C80" s="256" t="str">
        <f t="shared" ca="1" si="23"/>
        <v/>
      </c>
      <c r="D80" s="257" t="str">
        <f t="shared" ca="1" si="24"/>
        <v/>
      </c>
      <c r="E80" s="808" t="str">
        <f t="shared" ca="1" si="25"/>
        <v/>
      </c>
      <c r="F80" s="253" t="str">
        <f t="shared" ca="1" si="26"/>
        <v/>
      </c>
      <c r="G80" s="257" t="str">
        <f t="shared" ca="1" si="27"/>
        <v/>
      </c>
      <c r="H80" s="257" t="str">
        <f t="shared" ca="1" si="28"/>
        <v/>
      </c>
      <c r="I80" s="220" t="str">
        <f t="shared" ca="1" si="29"/>
        <v/>
      </c>
      <c r="K80" s="260" t="e">
        <f t="shared" ca="1" si="20"/>
        <v>#N/A</v>
      </c>
    </row>
    <row r="81" spans="1:11" x14ac:dyDescent="0.25">
      <c r="A81" s="254" t="str">
        <f t="shared" ca="1" si="21"/>
        <v/>
      </c>
      <c r="B81" s="255" t="str">
        <f t="shared" ca="1" si="22"/>
        <v/>
      </c>
      <c r="C81" s="256" t="str">
        <f t="shared" ca="1" si="23"/>
        <v/>
      </c>
      <c r="D81" s="257" t="str">
        <f t="shared" ca="1" si="24"/>
        <v/>
      </c>
      <c r="E81" s="808" t="str">
        <f t="shared" ca="1" si="25"/>
        <v/>
      </c>
      <c r="F81" s="253" t="str">
        <f t="shared" ca="1" si="26"/>
        <v/>
      </c>
      <c r="G81" s="257" t="str">
        <f t="shared" ca="1" si="27"/>
        <v/>
      </c>
      <c r="H81" s="257" t="str">
        <f t="shared" ca="1" si="28"/>
        <v/>
      </c>
      <c r="I81" s="220" t="str">
        <f t="shared" ca="1" si="29"/>
        <v/>
      </c>
      <c r="K81" s="260" t="e">
        <f t="shared" ca="1" si="20"/>
        <v>#N/A</v>
      </c>
    </row>
    <row r="82" spans="1:11" x14ac:dyDescent="0.25">
      <c r="A82" s="254" t="str">
        <f t="shared" ca="1" si="21"/>
        <v/>
      </c>
      <c r="B82" s="255" t="str">
        <f t="shared" ca="1" si="22"/>
        <v/>
      </c>
      <c r="C82" s="256" t="str">
        <f t="shared" ca="1" si="23"/>
        <v/>
      </c>
      <c r="D82" s="257" t="str">
        <f t="shared" ca="1" si="24"/>
        <v/>
      </c>
      <c r="E82" s="808" t="str">
        <f t="shared" ca="1" si="25"/>
        <v/>
      </c>
      <c r="F82" s="253" t="str">
        <f t="shared" ca="1" si="26"/>
        <v/>
      </c>
      <c r="G82" s="257" t="str">
        <f t="shared" ca="1" si="27"/>
        <v/>
      </c>
      <c r="H82" s="257" t="str">
        <f t="shared" ca="1" si="28"/>
        <v/>
      </c>
      <c r="I82" s="220" t="str">
        <f t="shared" ca="1" si="29"/>
        <v/>
      </c>
      <c r="K82" s="260" t="e">
        <f t="shared" ca="1" si="20"/>
        <v>#N/A</v>
      </c>
    </row>
    <row r="83" spans="1:11" x14ac:dyDescent="0.25">
      <c r="A83" s="254" t="str">
        <f t="shared" ca="1" si="21"/>
        <v/>
      </c>
      <c r="B83" s="255" t="str">
        <f t="shared" ca="1" si="22"/>
        <v/>
      </c>
      <c r="C83" s="256" t="str">
        <f t="shared" ca="1" si="23"/>
        <v/>
      </c>
      <c r="D83" s="257" t="str">
        <f t="shared" ca="1" si="24"/>
        <v/>
      </c>
      <c r="E83" s="808" t="str">
        <f t="shared" ca="1" si="25"/>
        <v/>
      </c>
      <c r="F83" s="253" t="str">
        <f t="shared" ca="1" si="26"/>
        <v/>
      </c>
      <c r="G83" s="257" t="str">
        <f t="shared" ca="1" si="27"/>
        <v/>
      </c>
      <c r="H83" s="257" t="str">
        <f t="shared" ca="1" si="28"/>
        <v/>
      </c>
      <c r="I83" s="220" t="str">
        <f t="shared" ca="1" si="29"/>
        <v/>
      </c>
      <c r="K83" s="260" t="e">
        <f t="shared" ca="1" si="20"/>
        <v>#N/A</v>
      </c>
    </row>
    <row r="84" spans="1:11" x14ac:dyDescent="0.25">
      <c r="A84" s="254" t="str">
        <f t="shared" ca="1" si="21"/>
        <v/>
      </c>
      <c r="B84" s="255" t="str">
        <f t="shared" ca="1" si="22"/>
        <v/>
      </c>
      <c r="C84" s="256" t="str">
        <f t="shared" ca="1" si="23"/>
        <v/>
      </c>
      <c r="D84" s="257" t="str">
        <f t="shared" ca="1" si="24"/>
        <v/>
      </c>
      <c r="E84" s="808" t="str">
        <f t="shared" ca="1" si="25"/>
        <v/>
      </c>
      <c r="F84" s="253" t="str">
        <f t="shared" ca="1" si="26"/>
        <v/>
      </c>
      <c r="G84" s="257" t="str">
        <f t="shared" ca="1" si="27"/>
        <v/>
      </c>
      <c r="H84" s="257" t="str">
        <f t="shared" ca="1" si="28"/>
        <v/>
      </c>
      <c r="I84" s="220" t="str">
        <f t="shared" ca="1" si="29"/>
        <v/>
      </c>
      <c r="K84" s="260" t="e">
        <f t="shared" ca="1" si="20"/>
        <v>#N/A</v>
      </c>
    </row>
    <row r="85" spans="1:11" x14ac:dyDescent="0.25">
      <c r="A85" s="254" t="str">
        <f t="shared" ca="1" si="21"/>
        <v/>
      </c>
      <c r="B85" s="255" t="str">
        <f t="shared" ca="1" si="22"/>
        <v/>
      </c>
      <c r="C85" s="256" t="str">
        <f t="shared" ca="1" si="23"/>
        <v/>
      </c>
      <c r="D85" s="257" t="str">
        <f t="shared" ca="1" si="24"/>
        <v/>
      </c>
      <c r="E85" s="808" t="str">
        <f t="shared" ca="1" si="25"/>
        <v/>
      </c>
      <c r="F85" s="253" t="str">
        <f t="shared" ca="1" si="26"/>
        <v/>
      </c>
      <c r="G85" s="257" t="str">
        <f t="shared" ca="1" si="27"/>
        <v/>
      </c>
      <c r="H85" s="257" t="str">
        <f t="shared" ca="1" si="28"/>
        <v/>
      </c>
      <c r="I85" s="220" t="str">
        <f t="shared" ca="1" si="29"/>
        <v/>
      </c>
      <c r="K85" s="260" t="e">
        <f t="shared" ca="1" si="20"/>
        <v>#N/A</v>
      </c>
    </row>
    <row r="86" spans="1:11" x14ac:dyDescent="0.25">
      <c r="A86" s="254" t="str">
        <f t="shared" ca="1" si="21"/>
        <v/>
      </c>
      <c r="B86" s="255" t="str">
        <f t="shared" ca="1" si="22"/>
        <v/>
      </c>
      <c r="C86" s="256" t="str">
        <f t="shared" ca="1" si="23"/>
        <v/>
      </c>
      <c r="D86" s="257" t="str">
        <f t="shared" ca="1" si="24"/>
        <v/>
      </c>
      <c r="E86" s="808" t="str">
        <f t="shared" ca="1" si="25"/>
        <v/>
      </c>
      <c r="F86" s="253" t="str">
        <f t="shared" ca="1" si="26"/>
        <v/>
      </c>
      <c r="G86" s="257" t="str">
        <f t="shared" ca="1" si="27"/>
        <v/>
      </c>
      <c r="H86" s="257" t="str">
        <f t="shared" ca="1" si="28"/>
        <v/>
      </c>
      <c r="I86" s="220" t="str">
        <f t="shared" ca="1" si="29"/>
        <v/>
      </c>
      <c r="K86" s="260" t="e">
        <f t="shared" ca="1" si="20"/>
        <v>#N/A</v>
      </c>
    </row>
    <row r="87" spans="1:11" x14ac:dyDescent="0.25">
      <c r="A87" s="254" t="str">
        <f t="shared" ca="1" si="21"/>
        <v/>
      </c>
      <c r="B87" s="255" t="str">
        <f t="shared" ca="1" si="22"/>
        <v/>
      </c>
      <c r="C87" s="256" t="str">
        <f t="shared" ca="1" si="23"/>
        <v/>
      </c>
      <c r="D87" s="257" t="str">
        <f t="shared" ca="1" si="24"/>
        <v/>
      </c>
      <c r="E87" s="808" t="str">
        <f t="shared" ca="1" si="25"/>
        <v/>
      </c>
      <c r="F87" s="253" t="str">
        <f t="shared" ca="1" si="26"/>
        <v/>
      </c>
      <c r="G87" s="257" t="str">
        <f t="shared" ca="1" si="27"/>
        <v/>
      </c>
      <c r="H87" s="257" t="str">
        <f t="shared" ca="1" si="28"/>
        <v/>
      </c>
      <c r="I87" s="220" t="str">
        <f t="shared" ca="1" si="29"/>
        <v/>
      </c>
      <c r="K87" s="260" t="e">
        <f t="shared" ca="1" si="20"/>
        <v>#N/A</v>
      </c>
    </row>
    <row r="88" spans="1:11" x14ac:dyDescent="0.25">
      <c r="A88" s="254" t="str">
        <f t="shared" ca="1" si="21"/>
        <v/>
      </c>
      <c r="B88" s="255" t="str">
        <f t="shared" ca="1" si="22"/>
        <v/>
      </c>
      <c r="C88" s="256" t="str">
        <f t="shared" ca="1" si="23"/>
        <v/>
      </c>
      <c r="D88" s="257" t="str">
        <f t="shared" ca="1" si="24"/>
        <v/>
      </c>
      <c r="E88" s="808" t="str">
        <f t="shared" ca="1" si="25"/>
        <v/>
      </c>
      <c r="F88" s="253" t="str">
        <f t="shared" ca="1" si="26"/>
        <v/>
      </c>
      <c r="G88" s="257" t="str">
        <f t="shared" ca="1" si="27"/>
        <v/>
      </c>
      <c r="H88" s="257" t="str">
        <f t="shared" ca="1" si="28"/>
        <v/>
      </c>
      <c r="I88" s="220" t="str">
        <f t="shared" ca="1" si="29"/>
        <v/>
      </c>
      <c r="K88" s="260" t="e">
        <f t="shared" ca="1" si="20"/>
        <v>#N/A</v>
      </c>
    </row>
    <row r="89" spans="1:11" x14ac:dyDescent="0.25">
      <c r="A89" s="254" t="str">
        <f t="shared" ca="1" si="21"/>
        <v/>
      </c>
      <c r="B89" s="255" t="str">
        <f t="shared" ca="1" si="22"/>
        <v/>
      </c>
      <c r="C89" s="256" t="str">
        <f t="shared" ca="1" si="23"/>
        <v/>
      </c>
      <c r="D89" s="257" t="str">
        <f t="shared" ca="1" si="24"/>
        <v/>
      </c>
      <c r="E89" s="808" t="str">
        <f t="shared" ca="1" si="25"/>
        <v/>
      </c>
      <c r="F89" s="253" t="str">
        <f t="shared" ca="1" si="26"/>
        <v/>
      </c>
      <c r="G89" s="257" t="str">
        <f t="shared" ca="1" si="27"/>
        <v/>
      </c>
      <c r="H89" s="257" t="str">
        <f t="shared" ca="1" si="28"/>
        <v/>
      </c>
      <c r="I89" s="220" t="str">
        <f t="shared" ca="1" si="29"/>
        <v/>
      </c>
      <c r="K89" s="260" t="e">
        <f t="shared" ca="1" si="20"/>
        <v>#N/A</v>
      </c>
    </row>
    <row r="90" spans="1:11" x14ac:dyDescent="0.25">
      <c r="A90" s="254" t="str">
        <f t="shared" ca="1" si="21"/>
        <v/>
      </c>
      <c r="B90" s="255" t="str">
        <f t="shared" ca="1" si="22"/>
        <v/>
      </c>
      <c r="C90" s="256" t="str">
        <f t="shared" ca="1" si="23"/>
        <v/>
      </c>
      <c r="D90" s="257" t="str">
        <f t="shared" ca="1" si="24"/>
        <v/>
      </c>
      <c r="E90" s="808" t="str">
        <f t="shared" ca="1" si="25"/>
        <v/>
      </c>
      <c r="F90" s="253" t="str">
        <f t="shared" ca="1" si="26"/>
        <v/>
      </c>
      <c r="G90" s="257" t="str">
        <f t="shared" ca="1" si="27"/>
        <v/>
      </c>
      <c r="H90" s="257" t="str">
        <f t="shared" ca="1" si="28"/>
        <v/>
      </c>
      <c r="I90" s="220" t="str">
        <f t="shared" ca="1" si="29"/>
        <v/>
      </c>
      <c r="K90" s="260" t="e">
        <f t="shared" ca="1" si="20"/>
        <v>#N/A</v>
      </c>
    </row>
    <row r="91" spans="1:11" x14ac:dyDescent="0.25">
      <c r="A91" s="254" t="str">
        <f t="shared" ca="1" si="21"/>
        <v/>
      </c>
      <c r="B91" s="255" t="str">
        <f t="shared" ca="1" si="22"/>
        <v/>
      </c>
      <c r="C91" s="256" t="str">
        <f t="shared" ca="1" si="23"/>
        <v/>
      </c>
      <c r="D91" s="257" t="str">
        <f t="shared" ca="1" si="24"/>
        <v/>
      </c>
      <c r="E91" s="808" t="str">
        <f t="shared" ca="1" si="25"/>
        <v/>
      </c>
      <c r="F91" s="253" t="str">
        <f t="shared" ca="1" si="26"/>
        <v/>
      </c>
      <c r="G91" s="257" t="str">
        <f t="shared" ca="1" si="27"/>
        <v/>
      </c>
      <c r="H91" s="257" t="str">
        <f t="shared" ca="1" si="28"/>
        <v/>
      </c>
      <c r="I91" s="220" t="str">
        <f t="shared" ca="1" si="29"/>
        <v/>
      </c>
      <c r="K91" s="260" t="e">
        <f t="shared" ca="1" si="20"/>
        <v>#N/A</v>
      </c>
    </row>
    <row r="92" spans="1:11" x14ac:dyDescent="0.25">
      <c r="A92" s="254" t="str">
        <f t="shared" ca="1" si="21"/>
        <v/>
      </c>
      <c r="B92" s="255" t="str">
        <f t="shared" ca="1" si="22"/>
        <v/>
      </c>
      <c r="C92" s="256" t="str">
        <f t="shared" ca="1" si="23"/>
        <v/>
      </c>
      <c r="D92" s="257" t="str">
        <f t="shared" ca="1" si="24"/>
        <v/>
      </c>
      <c r="E92" s="808" t="str">
        <f t="shared" ca="1" si="25"/>
        <v/>
      </c>
      <c r="F92" s="253" t="str">
        <f t="shared" ca="1" si="26"/>
        <v/>
      </c>
      <c r="G92" s="257" t="str">
        <f t="shared" ca="1" si="27"/>
        <v/>
      </c>
      <c r="H92" s="257" t="str">
        <f t="shared" ca="1" si="28"/>
        <v/>
      </c>
      <c r="I92" s="220" t="str">
        <f t="shared" ca="1" si="29"/>
        <v/>
      </c>
      <c r="K92" s="260" t="e">
        <f t="shared" ca="1" si="20"/>
        <v>#N/A</v>
      </c>
    </row>
    <row r="93" spans="1:11" x14ac:dyDescent="0.25">
      <c r="A93" s="254" t="str">
        <f t="shared" ca="1" si="21"/>
        <v/>
      </c>
      <c r="B93" s="255" t="str">
        <f t="shared" ca="1" si="22"/>
        <v/>
      </c>
      <c r="C93" s="256" t="str">
        <f t="shared" ca="1" si="23"/>
        <v/>
      </c>
      <c r="D93" s="257" t="str">
        <f t="shared" ca="1" si="24"/>
        <v/>
      </c>
      <c r="E93" s="808" t="str">
        <f t="shared" ca="1" si="25"/>
        <v/>
      </c>
      <c r="F93" s="253" t="str">
        <f t="shared" ca="1" si="26"/>
        <v/>
      </c>
      <c r="G93" s="257" t="str">
        <f t="shared" ca="1" si="27"/>
        <v/>
      </c>
      <c r="H93" s="257" t="str">
        <f t="shared" ca="1" si="28"/>
        <v/>
      </c>
      <c r="I93" s="220" t="str">
        <f t="shared" ca="1" si="29"/>
        <v/>
      </c>
      <c r="K93" s="260" t="e">
        <f t="shared" ca="1" si="20"/>
        <v>#N/A</v>
      </c>
    </row>
    <row r="94" spans="1:11" x14ac:dyDescent="0.25">
      <c r="A94" s="254" t="str">
        <f t="shared" ca="1" si="21"/>
        <v/>
      </c>
      <c r="B94" s="255" t="str">
        <f t="shared" ca="1" si="22"/>
        <v/>
      </c>
      <c r="C94" s="256" t="str">
        <f t="shared" ca="1" si="23"/>
        <v/>
      </c>
      <c r="D94" s="257" t="str">
        <f t="shared" ca="1" si="24"/>
        <v/>
      </c>
      <c r="E94" s="808" t="str">
        <f t="shared" ca="1" si="25"/>
        <v/>
      </c>
      <c r="F94" s="253" t="str">
        <f t="shared" ca="1" si="26"/>
        <v/>
      </c>
      <c r="G94" s="257" t="str">
        <f t="shared" ca="1" si="27"/>
        <v/>
      </c>
      <c r="H94" s="257" t="str">
        <f t="shared" ca="1" si="28"/>
        <v/>
      </c>
      <c r="I94" s="220" t="str">
        <f t="shared" ca="1" si="29"/>
        <v/>
      </c>
      <c r="K94" s="260" t="e">
        <f t="shared" ca="1" si="20"/>
        <v>#N/A</v>
      </c>
    </row>
    <row r="95" spans="1:11" x14ac:dyDescent="0.25">
      <c r="A95" s="254" t="str">
        <f t="shared" ca="1" si="21"/>
        <v/>
      </c>
      <c r="B95" s="255" t="str">
        <f t="shared" ca="1" si="22"/>
        <v/>
      </c>
      <c r="C95" s="256" t="str">
        <f t="shared" ca="1" si="23"/>
        <v/>
      </c>
      <c r="D95" s="257" t="str">
        <f t="shared" ca="1" si="24"/>
        <v/>
      </c>
      <c r="E95" s="808" t="str">
        <f t="shared" ca="1" si="25"/>
        <v/>
      </c>
      <c r="F95" s="253" t="str">
        <f t="shared" ca="1" si="26"/>
        <v/>
      </c>
      <c r="G95" s="257" t="str">
        <f t="shared" ca="1" si="27"/>
        <v/>
      </c>
      <c r="H95" s="257" t="str">
        <f t="shared" ca="1" si="28"/>
        <v/>
      </c>
      <c r="I95" s="220" t="str">
        <f t="shared" ca="1" si="29"/>
        <v/>
      </c>
      <c r="K95" s="260" t="e">
        <f t="shared" ca="1" si="20"/>
        <v>#N/A</v>
      </c>
    </row>
    <row r="96" spans="1:11" x14ac:dyDescent="0.25">
      <c r="A96" s="254" t="str">
        <f t="shared" ca="1" si="21"/>
        <v/>
      </c>
      <c r="B96" s="255" t="str">
        <f t="shared" ca="1" si="22"/>
        <v/>
      </c>
      <c r="C96" s="256" t="str">
        <f t="shared" ca="1" si="23"/>
        <v/>
      </c>
      <c r="D96" s="257" t="str">
        <f t="shared" ca="1" si="24"/>
        <v/>
      </c>
      <c r="E96" s="808" t="str">
        <f t="shared" ca="1" si="25"/>
        <v/>
      </c>
      <c r="F96" s="253" t="str">
        <f t="shared" ca="1" si="26"/>
        <v/>
      </c>
      <c r="G96" s="257" t="str">
        <f t="shared" ca="1" si="27"/>
        <v/>
      </c>
      <c r="H96" s="257" t="str">
        <f t="shared" ca="1" si="28"/>
        <v/>
      </c>
      <c r="I96" s="220" t="str">
        <f t="shared" ca="1" si="29"/>
        <v/>
      </c>
      <c r="K96" s="260" t="e">
        <f t="shared" ca="1" si="20"/>
        <v>#N/A</v>
      </c>
    </row>
    <row r="97" spans="1:11" x14ac:dyDescent="0.25">
      <c r="A97" s="254" t="str">
        <f t="shared" ca="1" si="21"/>
        <v/>
      </c>
      <c r="B97" s="255" t="str">
        <f t="shared" ca="1" si="22"/>
        <v/>
      </c>
      <c r="C97" s="256" t="str">
        <f t="shared" ca="1" si="23"/>
        <v/>
      </c>
      <c r="D97" s="257" t="str">
        <f t="shared" ca="1" si="24"/>
        <v/>
      </c>
      <c r="E97" s="808" t="str">
        <f t="shared" ca="1" si="25"/>
        <v/>
      </c>
      <c r="F97" s="253" t="str">
        <f t="shared" ca="1" si="26"/>
        <v/>
      </c>
      <c r="G97" s="257" t="str">
        <f t="shared" ca="1" si="27"/>
        <v/>
      </c>
      <c r="H97" s="257" t="str">
        <f t="shared" ca="1" si="28"/>
        <v/>
      </c>
      <c r="I97" s="220" t="str">
        <f t="shared" ca="1" si="29"/>
        <v/>
      </c>
      <c r="K97" s="260" t="e">
        <f t="shared" ca="1" si="20"/>
        <v>#N/A</v>
      </c>
    </row>
    <row r="98" spans="1:11" x14ac:dyDescent="0.25">
      <c r="A98" s="254" t="str">
        <f t="shared" ca="1" si="21"/>
        <v/>
      </c>
      <c r="B98" s="255" t="str">
        <f t="shared" ca="1" si="22"/>
        <v/>
      </c>
      <c r="C98" s="256" t="str">
        <f t="shared" ca="1" si="23"/>
        <v/>
      </c>
      <c r="D98" s="257" t="str">
        <f t="shared" ca="1" si="24"/>
        <v/>
      </c>
      <c r="E98" s="808" t="str">
        <f t="shared" ca="1" si="25"/>
        <v/>
      </c>
      <c r="F98" s="253" t="str">
        <f t="shared" ca="1" si="26"/>
        <v/>
      </c>
      <c r="G98" s="257" t="str">
        <f t="shared" ca="1" si="27"/>
        <v/>
      </c>
      <c r="H98" s="257" t="str">
        <f t="shared" ca="1" si="28"/>
        <v/>
      </c>
      <c r="I98" s="220" t="str">
        <f t="shared" ca="1" si="29"/>
        <v/>
      </c>
      <c r="K98" s="260" t="e">
        <f t="shared" ca="1" si="20"/>
        <v>#N/A</v>
      </c>
    </row>
    <row r="99" spans="1:11" x14ac:dyDescent="0.25">
      <c r="A99" s="254" t="str">
        <f t="shared" ca="1" si="21"/>
        <v/>
      </c>
      <c r="B99" s="255" t="str">
        <f t="shared" ca="1" si="22"/>
        <v/>
      </c>
      <c r="C99" s="256" t="str">
        <f t="shared" ca="1" si="23"/>
        <v/>
      </c>
      <c r="D99" s="257" t="str">
        <f t="shared" ca="1" si="24"/>
        <v/>
      </c>
      <c r="E99" s="808" t="str">
        <f t="shared" ca="1" si="25"/>
        <v/>
      </c>
      <c r="F99" s="253" t="str">
        <f t="shared" ca="1" si="26"/>
        <v/>
      </c>
      <c r="G99" s="257" t="str">
        <f t="shared" ca="1" si="27"/>
        <v/>
      </c>
      <c r="H99" s="257" t="str">
        <f t="shared" ca="1" si="28"/>
        <v/>
      </c>
      <c r="I99" s="220" t="str">
        <f t="shared" ca="1" si="29"/>
        <v/>
      </c>
      <c r="K99" s="260" t="e">
        <f t="shared" ca="1" si="20"/>
        <v>#N/A</v>
      </c>
    </row>
    <row r="100" spans="1:11" x14ac:dyDescent="0.25">
      <c r="A100" s="254" t="str">
        <f t="shared" ca="1" si="21"/>
        <v/>
      </c>
      <c r="B100" s="255" t="str">
        <f t="shared" ca="1" si="22"/>
        <v/>
      </c>
      <c r="C100" s="256" t="str">
        <f t="shared" ca="1" si="23"/>
        <v/>
      </c>
      <c r="D100" s="257" t="str">
        <f t="shared" ca="1" si="24"/>
        <v/>
      </c>
      <c r="E100" s="808" t="str">
        <f t="shared" ca="1" si="25"/>
        <v/>
      </c>
      <c r="F100" s="253" t="str">
        <f t="shared" ca="1" si="26"/>
        <v/>
      </c>
      <c r="G100" s="257" t="str">
        <f t="shared" ca="1" si="27"/>
        <v/>
      </c>
      <c r="H100" s="257" t="str">
        <f t="shared" ca="1" si="28"/>
        <v/>
      </c>
      <c r="I100" s="220" t="str">
        <f t="shared" ca="1" si="29"/>
        <v/>
      </c>
      <c r="K100" s="260" t="e">
        <f t="shared" ca="1" si="20"/>
        <v>#N/A</v>
      </c>
    </row>
    <row r="101" spans="1:11" x14ac:dyDescent="0.25">
      <c r="A101" s="254" t="str">
        <f t="shared" ca="1" si="21"/>
        <v/>
      </c>
      <c r="B101" s="255" t="str">
        <f t="shared" ca="1" si="22"/>
        <v/>
      </c>
      <c r="C101" s="256" t="str">
        <f t="shared" ca="1" si="23"/>
        <v/>
      </c>
      <c r="D101" s="257" t="str">
        <f t="shared" ca="1" si="24"/>
        <v/>
      </c>
      <c r="E101" s="808" t="str">
        <f t="shared" ca="1" si="25"/>
        <v/>
      </c>
      <c r="F101" s="253" t="str">
        <f t="shared" ca="1" si="26"/>
        <v/>
      </c>
      <c r="G101" s="257" t="str">
        <f t="shared" ca="1" si="27"/>
        <v/>
      </c>
      <c r="H101" s="257" t="str">
        <f t="shared" ca="1" si="28"/>
        <v/>
      </c>
      <c r="I101" s="220" t="str">
        <f t="shared" ca="1" si="29"/>
        <v/>
      </c>
      <c r="K101" s="260" t="e">
        <f t="shared" ca="1" si="20"/>
        <v>#N/A</v>
      </c>
    </row>
    <row r="102" spans="1:11" x14ac:dyDescent="0.25">
      <c r="A102" s="254" t="str">
        <f t="shared" ca="1" si="21"/>
        <v/>
      </c>
      <c r="B102" s="255" t="str">
        <f t="shared" ca="1" si="22"/>
        <v/>
      </c>
      <c r="C102" s="256" t="str">
        <f t="shared" ca="1" si="23"/>
        <v/>
      </c>
      <c r="D102" s="257" t="str">
        <f t="shared" ca="1" si="24"/>
        <v/>
      </c>
      <c r="E102" s="808" t="str">
        <f t="shared" ca="1" si="25"/>
        <v/>
      </c>
      <c r="F102" s="253" t="str">
        <f t="shared" ca="1" si="26"/>
        <v/>
      </c>
      <c r="G102" s="257" t="str">
        <f t="shared" ca="1" si="27"/>
        <v/>
      </c>
      <c r="H102" s="257" t="str">
        <f t="shared" ca="1" si="28"/>
        <v/>
      </c>
      <c r="I102" s="220" t="str">
        <f t="shared" ca="1" si="29"/>
        <v/>
      </c>
      <c r="K102" s="260" t="e">
        <f t="shared" ca="1" si="20"/>
        <v>#N/A</v>
      </c>
    </row>
    <row r="103" spans="1:11" x14ac:dyDescent="0.25">
      <c r="A103" s="254" t="str">
        <f t="shared" ca="1" si="21"/>
        <v/>
      </c>
      <c r="B103" s="255" t="str">
        <f t="shared" ca="1" si="22"/>
        <v/>
      </c>
      <c r="C103" s="256" t="str">
        <f t="shared" ca="1" si="23"/>
        <v/>
      </c>
      <c r="D103" s="257" t="str">
        <f t="shared" ca="1" si="24"/>
        <v/>
      </c>
      <c r="E103" s="808" t="str">
        <f t="shared" ca="1" si="25"/>
        <v/>
      </c>
      <c r="F103" s="253" t="str">
        <f t="shared" ca="1" si="26"/>
        <v/>
      </c>
      <c r="G103" s="257" t="str">
        <f t="shared" ca="1" si="27"/>
        <v/>
      </c>
      <c r="H103" s="257" t="str">
        <f t="shared" ca="1" si="28"/>
        <v/>
      </c>
      <c r="I103" s="220" t="str">
        <f t="shared" ca="1" si="29"/>
        <v/>
      </c>
      <c r="K103" s="260" t="e">
        <f t="shared" ca="1" si="20"/>
        <v>#N/A</v>
      </c>
    </row>
    <row r="104" spans="1:11" x14ac:dyDescent="0.25">
      <c r="A104" s="254" t="str">
        <f t="shared" ca="1" si="21"/>
        <v/>
      </c>
      <c r="B104" s="255" t="str">
        <f t="shared" ca="1" si="22"/>
        <v/>
      </c>
      <c r="C104" s="256" t="str">
        <f t="shared" ca="1" si="23"/>
        <v/>
      </c>
      <c r="D104" s="257" t="str">
        <f t="shared" ca="1" si="24"/>
        <v/>
      </c>
      <c r="E104" s="808" t="str">
        <f t="shared" ca="1" si="25"/>
        <v/>
      </c>
      <c r="F104" s="253" t="str">
        <f t="shared" ca="1" si="26"/>
        <v/>
      </c>
      <c r="G104" s="257" t="str">
        <f t="shared" ca="1" si="27"/>
        <v/>
      </c>
      <c r="H104" s="257" t="str">
        <f t="shared" ca="1" si="28"/>
        <v/>
      </c>
      <c r="I104" s="220" t="str">
        <f t="shared" ca="1" si="29"/>
        <v/>
      </c>
      <c r="K104" s="260" t="e">
        <f t="shared" ca="1" si="20"/>
        <v>#N/A</v>
      </c>
    </row>
    <row r="105" spans="1:11" x14ac:dyDescent="0.25">
      <c r="A105" s="254" t="str">
        <f t="shared" ca="1" si="21"/>
        <v/>
      </c>
      <c r="B105" s="255" t="str">
        <f t="shared" ca="1" si="22"/>
        <v/>
      </c>
      <c r="C105" s="256" t="str">
        <f t="shared" ca="1" si="23"/>
        <v/>
      </c>
      <c r="D105" s="257" t="str">
        <f t="shared" ca="1" si="24"/>
        <v/>
      </c>
      <c r="E105" s="808" t="str">
        <f t="shared" ca="1" si="25"/>
        <v/>
      </c>
      <c r="F105" s="253" t="str">
        <f t="shared" ca="1" si="26"/>
        <v/>
      </c>
      <c r="G105" s="257" t="str">
        <f t="shared" ca="1" si="27"/>
        <v/>
      </c>
      <c r="H105" s="257" t="str">
        <f t="shared" ca="1" si="28"/>
        <v/>
      </c>
      <c r="I105" s="220" t="str">
        <f t="shared" ca="1" si="29"/>
        <v/>
      </c>
      <c r="K105" s="260" t="e">
        <f t="shared" ca="1" si="20"/>
        <v>#N/A</v>
      </c>
    </row>
    <row r="106" spans="1:11" x14ac:dyDescent="0.25">
      <c r="A106" s="254" t="str">
        <f t="shared" ca="1" si="21"/>
        <v/>
      </c>
      <c r="B106" s="255" t="str">
        <f t="shared" ca="1" si="22"/>
        <v/>
      </c>
      <c r="C106" s="256" t="str">
        <f t="shared" ca="1" si="23"/>
        <v/>
      </c>
      <c r="D106" s="257" t="str">
        <f t="shared" ca="1" si="24"/>
        <v/>
      </c>
      <c r="E106" s="808" t="str">
        <f t="shared" ca="1" si="25"/>
        <v/>
      </c>
      <c r="F106" s="253" t="str">
        <f t="shared" ca="1" si="26"/>
        <v/>
      </c>
      <c r="G106" s="257" t="str">
        <f t="shared" ca="1" si="27"/>
        <v/>
      </c>
      <c r="H106" s="257" t="str">
        <f t="shared" ca="1" si="28"/>
        <v/>
      </c>
      <c r="I106" s="220" t="str">
        <f t="shared" ca="1" si="29"/>
        <v/>
      </c>
      <c r="K106" s="260" t="e">
        <f t="shared" ca="1" si="20"/>
        <v>#N/A</v>
      </c>
    </row>
    <row r="107" spans="1:11" x14ac:dyDescent="0.25">
      <c r="A107" s="254" t="str">
        <f t="shared" ca="1" si="21"/>
        <v/>
      </c>
      <c r="B107" s="255" t="str">
        <f t="shared" ca="1" si="22"/>
        <v/>
      </c>
      <c r="C107" s="256" t="str">
        <f t="shared" ca="1" si="23"/>
        <v/>
      </c>
      <c r="D107" s="257" t="str">
        <f t="shared" ca="1" si="24"/>
        <v/>
      </c>
      <c r="E107" s="808" t="str">
        <f t="shared" ca="1" si="25"/>
        <v/>
      </c>
      <c r="F107" s="253" t="str">
        <f t="shared" ca="1" si="26"/>
        <v/>
      </c>
      <c r="G107" s="257" t="str">
        <f t="shared" ca="1" si="27"/>
        <v/>
      </c>
      <c r="H107" s="257" t="str">
        <f t="shared" ca="1" si="28"/>
        <v/>
      </c>
      <c r="I107" s="220" t="str">
        <f t="shared" ca="1" si="29"/>
        <v/>
      </c>
      <c r="K107" s="260" t="e">
        <f t="shared" ca="1" si="20"/>
        <v>#N/A</v>
      </c>
    </row>
    <row r="108" spans="1:11" x14ac:dyDescent="0.25">
      <c r="A108" s="254" t="str">
        <f t="shared" ca="1" si="21"/>
        <v/>
      </c>
      <c r="B108" s="255" t="str">
        <f t="shared" ca="1" si="22"/>
        <v/>
      </c>
      <c r="C108" s="256" t="str">
        <f t="shared" ca="1" si="23"/>
        <v/>
      </c>
      <c r="D108" s="257" t="str">
        <f t="shared" ca="1" si="24"/>
        <v/>
      </c>
      <c r="E108" s="808" t="str">
        <f t="shared" ca="1" si="25"/>
        <v/>
      </c>
      <c r="F108" s="253" t="str">
        <f t="shared" ca="1" si="26"/>
        <v/>
      </c>
      <c r="G108" s="257" t="str">
        <f t="shared" ca="1" si="27"/>
        <v/>
      </c>
      <c r="H108" s="257" t="str">
        <f t="shared" ca="1" si="28"/>
        <v/>
      </c>
      <c r="I108" s="220" t="str">
        <f t="shared" ca="1" si="29"/>
        <v/>
      </c>
      <c r="K108" s="260" t="e">
        <f t="shared" ca="1" si="20"/>
        <v>#N/A</v>
      </c>
    </row>
    <row r="109" spans="1:11" x14ac:dyDescent="0.25">
      <c r="A109" s="254" t="str">
        <f t="shared" ca="1" si="21"/>
        <v/>
      </c>
      <c r="B109" s="255" t="str">
        <f t="shared" ca="1" si="22"/>
        <v/>
      </c>
      <c r="C109" s="256" t="str">
        <f t="shared" ca="1" si="23"/>
        <v/>
      </c>
      <c r="D109" s="257" t="str">
        <f t="shared" ca="1" si="24"/>
        <v/>
      </c>
      <c r="E109" s="808" t="str">
        <f t="shared" ca="1" si="25"/>
        <v/>
      </c>
      <c r="F109" s="253" t="str">
        <f t="shared" ca="1" si="26"/>
        <v/>
      </c>
      <c r="G109" s="257" t="str">
        <f t="shared" ca="1" si="27"/>
        <v/>
      </c>
      <c r="H109" s="257" t="str">
        <f t="shared" ca="1" si="28"/>
        <v/>
      </c>
      <c r="I109" s="220" t="str">
        <f t="shared" ca="1" si="29"/>
        <v/>
      </c>
      <c r="K109" s="260" t="e">
        <f t="shared" ca="1" si="20"/>
        <v>#N/A</v>
      </c>
    </row>
    <row r="110" spans="1:11" x14ac:dyDescent="0.25">
      <c r="A110" s="254" t="str">
        <f t="shared" ca="1" si="21"/>
        <v/>
      </c>
      <c r="B110" s="255" t="str">
        <f t="shared" ca="1" si="22"/>
        <v/>
      </c>
      <c r="C110" s="256" t="str">
        <f t="shared" ca="1" si="23"/>
        <v/>
      </c>
      <c r="D110" s="257" t="str">
        <f t="shared" ca="1" si="24"/>
        <v/>
      </c>
      <c r="E110" s="808" t="str">
        <f t="shared" ca="1" si="25"/>
        <v/>
      </c>
      <c r="F110" s="253" t="str">
        <f t="shared" ca="1" si="26"/>
        <v/>
      </c>
      <c r="G110" s="257" t="str">
        <f t="shared" ca="1" si="27"/>
        <v/>
      </c>
      <c r="H110" s="257" t="str">
        <f t="shared" ca="1" si="28"/>
        <v/>
      </c>
      <c r="I110" s="220" t="str">
        <f t="shared" ca="1" si="29"/>
        <v/>
      </c>
      <c r="K110" s="260" t="e">
        <f t="shared" ca="1" si="20"/>
        <v>#N/A</v>
      </c>
    </row>
    <row r="111" spans="1:11" x14ac:dyDescent="0.25">
      <c r="A111" s="254" t="str">
        <f t="shared" ca="1" si="21"/>
        <v/>
      </c>
      <c r="B111" s="255" t="str">
        <f t="shared" ca="1" si="22"/>
        <v/>
      </c>
      <c r="C111" s="256" t="str">
        <f t="shared" ca="1" si="23"/>
        <v/>
      </c>
      <c r="D111" s="257" t="str">
        <f t="shared" ca="1" si="24"/>
        <v/>
      </c>
      <c r="E111" s="808" t="str">
        <f t="shared" ca="1" si="25"/>
        <v/>
      </c>
      <c r="F111" s="253" t="str">
        <f t="shared" ca="1" si="26"/>
        <v/>
      </c>
      <c r="G111" s="257" t="str">
        <f t="shared" ca="1" si="27"/>
        <v/>
      </c>
      <c r="H111" s="257" t="str">
        <f t="shared" ca="1" si="28"/>
        <v/>
      </c>
      <c r="I111" s="220" t="str">
        <f t="shared" ca="1" si="29"/>
        <v/>
      </c>
      <c r="K111" s="260" t="e">
        <f t="shared" ca="1" si="20"/>
        <v>#N/A</v>
      </c>
    </row>
    <row r="112" spans="1:11" x14ac:dyDescent="0.25">
      <c r="A112" s="254" t="str">
        <f t="shared" ca="1" si="21"/>
        <v/>
      </c>
      <c r="B112" s="255" t="str">
        <f t="shared" ca="1" si="22"/>
        <v/>
      </c>
      <c r="C112" s="256" t="str">
        <f t="shared" ca="1" si="23"/>
        <v/>
      </c>
      <c r="D112" s="257" t="str">
        <f t="shared" ca="1" si="24"/>
        <v/>
      </c>
      <c r="E112" s="808" t="str">
        <f t="shared" ca="1" si="25"/>
        <v/>
      </c>
      <c r="F112" s="253" t="str">
        <f t="shared" ca="1" si="26"/>
        <v/>
      </c>
      <c r="G112" s="257" t="str">
        <f t="shared" ca="1" si="27"/>
        <v/>
      </c>
      <c r="H112" s="257" t="str">
        <f t="shared" ca="1" si="28"/>
        <v/>
      </c>
      <c r="I112" s="220" t="str">
        <f t="shared" ca="1" si="29"/>
        <v/>
      </c>
      <c r="K112" s="260" t="e">
        <f t="shared" ca="1" si="20"/>
        <v>#N/A</v>
      </c>
    </row>
    <row r="113" spans="1:11" x14ac:dyDescent="0.25">
      <c r="A113" s="254" t="str">
        <f t="shared" ca="1" si="21"/>
        <v/>
      </c>
      <c r="B113" s="255" t="str">
        <f t="shared" ca="1" si="22"/>
        <v/>
      </c>
      <c r="C113" s="256" t="str">
        <f t="shared" ca="1" si="23"/>
        <v/>
      </c>
      <c r="D113" s="257" t="str">
        <f t="shared" ca="1" si="24"/>
        <v/>
      </c>
      <c r="E113" s="808" t="str">
        <f t="shared" ca="1" si="25"/>
        <v/>
      </c>
      <c r="F113" s="253" t="str">
        <f t="shared" ca="1" si="26"/>
        <v/>
      </c>
      <c r="G113" s="257" t="str">
        <f t="shared" ca="1" si="27"/>
        <v/>
      </c>
      <c r="H113" s="257" t="str">
        <f t="shared" ca="1" si="28"/>
        <v/>
      </c>
      <c r="I113" s="220" t="str">
        <f t="shared" ca="1" si="29"/>
        <v/>
      </c>
      <c r="K113" s="260" t="e">
        <f t="shared" ca="1" si="20"/>
        <v>#N/A</v>
      </c>
    </row>
    <row r="114" spans="1:11" x14ac:dyDescent="0.25">
      <c r="A114" s="254" t="str">
        <f t="shared" ca="1" si="21"/>
        <v/>
      </c>
      <c r="B114" s="255" t="str">
        <f t="shared" ca="1" si="22"/>
        <v/>
      </c>
      <c r="C114" s="256" t="str">
        <f t="shared" ca="1" si="23"/>
        <v/>
      </c>
      <c r="D114" s="257" t="str">
        <f t="shared" ca="1" si="24"/>
        <v/>
      </c>
      <c r="E114" s="808" t="str">
        <f t="shared" ca="1" si="25"/>
        <v/>
      </c>
      <c r="F114" s="253" t="str">
        <f t="shared" ca="1" si="26"/>
        <v/>
      </c>
      <c r="G114" s="257" t="str">
        <f t="shared" ca="1" si="27"/>
        <v/>
      </c>
      <c r="H114" s="257" t="str">
        <f t="shared" ca="1" si="28"/>
        <v/>
      </c>
      <c r="I114" s="220" t="str">
        <f t="shared" ca="1" si="29"/>
        <v/>
      </c>
      <c r="K114" s="260" t="e">
        <f t="shared" ca="1" si="20"/>
        <v>#N/A</v>
      </c>
    </row>
    <row r="115" spans="1:11" x14ac:dyDescent="0.25">
      <c r="A115" s="254" t="str">
        <f t="shared" ca="1" si="21"/>
        <v/>
      </c>
      <c r="B115" s="255" t="str">
        <f t="shared" ca="1" si="22"/>
        <v/>
      </c>
      <c r="C115" s="256" t="str">
        <f t="shared" ca="1" si="23"/>
        <v/>
      </c>
      <c r="D115" s="257" t="str">
        <f t="shared" ca="1" si="24"/>
        <v/>
      </c>
      <c r="E115" s="808" t="str">
        <f t="shared" ca="1" si="25"/>
        <v/>
      </c>
      <c r="F115" s="253" t="str">
        <f t="shared" ca="1" si="26"/>
        <v/>
      </c>
      <c r="G115" s="257" t="str">
        <f t="shared" ca="1" si="27"/>
        <v/>
      </c>
      <c r="H115" s="257" t="str">
        <f t="shared" ca="1" si="28"/>
        <v/>
      </c>
      <c r="I115" s="220" t="str">
        <f t="shared" ca="1" si="29"/>
        <v/>
      </c>
      <c r="K115" s="260" t="e">
        <f t="shared" ca="1" si="20"/>
        <v>#N/A</v>
      </c>
    </row>
    <row r="116" spans="1:11" x14ac:dyDescent="0.25">
      <c r="A116" s="254" t="str">
        <f t="shared" ca="1" si="21"/>
        <v/>
      </c>
      <c r="B116" s="255" t="str">
        <f t="shared" ca="1" si="22"/>
        <v/>
      </c>
      <c r="C116" s="256" t="str">
        <f t="shared" ca="1" si="23"/>
        <v/>
      </c>
      <c r="D116" s="257" t="str">
        <f t="shared" ca="1" si="24"/>
        <v/>
      </c>
      <c r="E116" s="808" t="str">
        <f t="shared" ca="1" si="25"/>
        <v/>
      </c>
      <c r="F116" s="253" t="str">
        <f t="shared" ca="1" si="26"/>
        <v/>
      </c>
      <c r="G116" s="257" t="str">
        <f t="shared" ca="1" si="27"/>
        <v/>
      </c>
      <c r="H116" s="257" t="str">
        <f t="shared" ca="1" si="28"/>
        <v/>
      </c>
      <c r="I116" s="220" t="str">
        <f t="shared" ca="1" si="29"/>
        <v/>
      </c>
      <c r="K116" s="260" t="e">
        <f t="shared" ca="1" si="20"/>
        <v>#N/A</v>
      </c>
    </row>
    <row r="117" spans="1:11" x14ac:dyDescent="0.25">
      <c r="A117" s="254" t="str">
        <f t="shared" ca="1" si="21"/>
        <v/>
      </c>
      <c r="B117" s="255" t="str">
        <f t="shared" ca="1" si="22"/>
        <v/>
      </c>
      <c r="C117" s="256" t="str">
        <f t="shared" ca="1" si="23"/>
        <v/>
      </c>
      <c r="D117" s="257" t="str">
        <f t="shared" ca="1" si="24"/>
        <v/>
      </c>
      <c r="E117" s="808" t="str">
        <f t="shared" ca="1" si="25"/>
        <v/>
      </c>
      <c r="F117" s="253" t="str">
        <f t="shared" ca="1" si="26"/>
        <v/>
      </c>
      <c r="G117" s="257" t="str">
        <f t="shared" ca="1" si="27"/>
        <v/>
      </c>
      <c r="H117" s="257" t="str">
        <f t="shared" ca="1" si="28"/>
        <v/>
      </c>
      <c r="I117" s="220" t="str">
        <f t="shared" ca="1" si="29"/>
        <v/>
      </c>
      <c r="K117" s="260" t="e">
        <f t="shared" ca="1" si="20"/>
        <v>#N/A</v>
      </c>
    </row>
    <row r="118" spans="1:11" x14ac:dyDescent="0.25">
      <c r="A118" s="254" t="str">
        <f t="shared" ca="1" si="21"/>
        <v/>
      </c>
      <c r="B118" s="255" t="str">
        <f t="shared" ca="1" si="22"/>
        <v/>
      </c>
      <c r="C118" s="256" t="str">
        <f t="shared" ca="1" si="23"/>
        <v/>
      </c>
      <c r="D118" s="257" t="str">
        <f t="shared" ca="1" si="24"/>
        <v/>
      </c>
      <c r="E118" s="808" t="str">
        <f t="shared" ca="1" si="25"/>
        <v/>
      </c>
      <c r="F118" s="253" t="str">
        <f t="shared" ca="1" si="26"/>
        <v/>
      </c>
      <c r="G118" s="257" t="str">
        <f t="shared" ca="1" si="27"/>
        <v/>
      </c>
      <c r="H118" s="257" t="str">
        <f t="shared" ca="1" si="28"/>
        <v/>
      </c>
      <c r="I118" s="220" t="str">
        <f t="shared" ca="1" si="29"/>
        <v/>
      </c>
      <c r="K118" s="260" t="e">
        <f t="shared" ca="1" si="20"/>
        <v>#N/A</v>
      </c>
    </row>
    <row r="119" spans="1:11" x14ac:dyDescent="0.25">
      <c r="A119" s="254" t="str">
        <f t="shared" ca="1" si="21"/>
        <v/>
      </c>
      <c r="B119" s="255" t="str">
        <f t="shared" ca="1" si="22"/>
        <v/>
      </c>
      <c r="C119" s="256" t="str">
        <f t="shared" ca="1" si="23"/>
        <v/>
      </c>
      <c r="D119" s="257" t="str">
        <f t="shared" ca="1" si="24"/>
        <v/>
      </c>
      <c r="E119" s="808" t="str">
        <f t="shared" ca="1" si="25"/>
        <v/>
      </c>
      <c r="F119" s="253" t="str">
        <f t="shared" ca="1" si="26"/>
        <v/>
      </c>
      <c r="G119" s="257" t="str">
        <f t="shared" ca="1" si="27"/>
        <v/>
      </c>
      <c r="H119" s="257" t="str">
        <f t="shared" ca="1" si="28"/>
        <v/>
      </c>
      <c r="I119" s="220" t="str">
        <f t="shared" ca="1" si="29"/>
        <v/>
      </c>
      <c r="K119" s="260" t="e">
        <f t="shared" ca="1" si="20"/>
        <v>#N/A</v>
      </c>
    </row>
    <row r="120" spans="1:11" x14ac:dyDescent="0.25">
      <c r="A120" s="254" t="str">
        <f t="shared" ca="1" si="21"/>
        <v/>
      </c>
      <c r="B120" s="255" t="str">
        <f t="shared" ca="1" si="22"/>
        <v/>
      </c>
      <c r="C120" s="256" t="str">
        <f t="shared" ca="1" si="23"/>
        <v/>
      </c>
      <c r="D120" s="257" t="str">
        <f t="shared" ca="1" si="24"/>
        <v/>
      </c>
      <c r="E120" s="808" t="str">
        <f t="shared" ca="1" si="25"/>
        <v/>
      </c>
      <c r="F120" s="253" t="str">
        <f t="shared" ca="1" si="26"/>
        <v/>
      </c>
      <c r="G120" s="257" t="str">
        <f t="shared" ca="1" si="27"/>
        <v/>
      </c>
      <c r="H120" s="257" t="str">
        <f t="shared" ca="1" si="28"/>
        <v/>
      </c>
      <c r="I120" s="220" t="str">
        <f t="shared" ca="1" si="29"/>
        <v/>
      </c>
      <c r="K120" s="260" t="e">
        <f t="shared" ca="1" si="20"/>
        <v>#N/A</v>
      </c>
    </row>
    <row r="121" spans="1:11" x14ac:dyDescent="0.25">
      <c r="A121" s="254" t="str">
        <f t="shared" ca="1" si="21"/>
        <v/>
      </c>
      <c r="B121" s="255" t="str">
        <f t="shared" ca="1" si="22"/>
        <v/>
      </c>
      <c r="C121" s="256" t="str">
        <f t="shared" ca="1" si="23"/>
        <v/>
      </c>
      <c r="D121" s="257" t="str">
        <f t="shared" ca="1" si="24"/>
        <v/>
      </c>
      <c r="E121" s="808" t="str">
        <f t="shared" ca="1" si="25"/>
        <v/>
      </c>
      <c r="F121" s="253" t="str">
        <f t="shared" ca="1" si="26"/>
        <v/>
      </c>
      <c r="G121" s="257" t="str">
        <f t="shared" ca="1" si="27"/>
        <v/>
      </c>
      <c r="H121" s="257" t="str">
        <f t="shared" ca="1" si="28"/>
        <v/>
      </c>
      <c r="I121" s="220" t="str">
        <f t="shared" ca="1" si="29"/>
        <v/>
      </c>
      <c r="K121" s="260" t="e">
        <f t="shared" ca="1" si="20"/>
        <v>#N/A</v>
      </c>
    </row>
    <row r="122" spans="1:11" x14ac:dyDescent="0.25">
      <c r="A122" s="254" t="str">
        <f t="shared" ca="1" si="21"/>
        <v/>
      </c>
      <c r="B122" s="255" t="str">
        <f t="shared" ca="1" si="22"/>
        <v/>
      </c>
      <c r="C122" s="256" t="str">
        <f t="shared" ca="1" si="23"/>
        <v/>
      </c>
      <c r="D122" s="257" t="str">
        <f t="shared" ca="1" si="24"/>
        <v/>
      </c>
      <c r="E122" s="808" t="str">
        <f t="shared" ca="1" si="25"/>
        <v/>
      </c>
      <c r="F122" s="253" t="str">
        <f t="shared" ca="1" si="26"/>
        <v/>
      </c>
      <c r="G122" s="257" t="str">
        <f t="shared" ca="1" si="27"/>
        <v/>
      </c>
      <c r="H122" s="257" t="str">
        <f t="shared" ca="1" si="28"/>
        <v/>
      </c>
      <c r="I122" s="220" t="str">
        <f t="shared" ca="1" si="29"/>
        <v/>
      </c>
      <c r="K122" s="260" t="e">
        <f t="shared" ca="1" si="20"/>
        <v>#N/A</v>
      </c>
    </row>
    <row r="123" spans="1:11" x14ac:dyDescent="0.25">
      <c r="A123" s="254" t="str">
        <f t="shared" ca="1" si="21"/>
        <v/>
      </c>
      <c r="B123" s="255" t="str">
        <f t="shared" ca="1" si="22"/>
        <v/>
      </c>
      <c r="C123" s="256" t="str">
        <f t="shared" ca="1" si="23"/>
        <v/>
      </c>
      <c r="D123" s="257" t="str">
        <f t="shared" ca="1" si="24"/>
        <v/>
      </c>
      <c r="E123" s="808" t="str">
        <f t="shared" ca="1" si="25"/>
        <v/>
      </c>
      <c r="F123" s="253" t="str">
        <f t="shared" ca="1" si="26"/>
        <v/>
      </c>
      <c r="G123" s="257" t="str">
        <f t="shared" ca="1" si="27"/>
        <v/>
      </c>
      <c r="H123" s="257" t="str">
        <f t="shared" ca="1" si="28"/>
        <v/>
      </c>
      <c r="I123" s="220" t="str">
        <f t="shared" ca="1" si="29"/>
        <v/>
      </c>
      <c r="K123" s="260" t="e">
        <f t="shared" ca="1" si="20"/>
        <v>#N/A</v>
      </c>
    </row>
    <row r="124" spans="1:11" x14ac:dyDescent="0.25">
      <c r="A124" s="254" t="str">
        <f t="shared" ca="1" si="21"/>
        <v/>
      </c>
      <c r="B124" s="255" t="str">
        <f t="shared" ca="1" si="22"/>
        <v/>
      </c>
      <c r="C124" s="256" t="str">
        <f t="shared" ca="1" si="23"/>
        <v/>
      </c>
      <c r="D124" s="257" t="str">
        <f t="shared" ca="1" si="24"/>
        <v/>
      </c>
      <c r="E124" s="808" t="str">
        <f t="shared" ca="1" si="25"/>
        <v/>
      </c>
      <c r="F124" s="253" t="str">
        <f t="shared" ca="1" si="26"/>
        <v/>
      </c>
      <c r="G124" s="257" t="str">
        <f t="shared" ca="1" si="27"/>
        <v/>
      </c>
      <c r="H124" s="257" t="str">
        <f t="shared" ca="1" si="28"/>
        <v/>
      </c>
      <c r="I124" s="220" t="str">
        <f t="shared" ca="1" si="29"/>
        <v/>
      </c>
      <c r="K124" s="260" t="e">
        <f t="shared" ca="1" si="20"/>
        <v>#N/A</v>
      </c>
    </row>
    <row r="125" spans="1:11" x14ac:dyDescent="0.25">
      <c r="A125" s="254" t="str">
        <f t="shared" ca="1" si="21"/>
        <v/>
      </c>
      <c r="B125" s="255" t="str">
        <f t="shared" ca="1" si="22"/>
        <v/>
      </c>
      <c r="C125" s="256" t="str">
        <f t="shared" ca="1" si="23"/>
        <v/>
      </c>
      <c r="D125" s="257" t="str">
        <f t="shared" ca="1" si="24"/>
        <v/>
      </c>
      <c r="E125" s="808" t="str">
        <f t="shared" ca="1" si="25"/>
        <v/>
      </c>
      <c r="F125" s="253" t="str">
        <f t="shared" ca="1" si="26"/>
        <v/>
      </c>
      <c r="G125" s="257" t="str">
        <f t="shared" ca="1" si="27"/>
        <v/>
      </c>
      <c r="H125" s="257" t="str">
        <f t="shared" ca="1" si="28"/>
        <v/>
      </c>
      <c r="I125" s="220" t="str">
        <f t="shared" ca="1" si="29"/>
        <v/>
      </c>
      <c r="K125" s="260" t="e">
        <f t="shared" ca="1" si="20"/>
        <v>#N/A</v>
      </c>
    </row>
    <row r="126" spans="1:11" x14ac:dyDescent="0.25">
      <c r="A126" s="254" t="str">
        <f t="shared" ca="1" si="21"/>
        <v/>
      </c>
      <c r="B126" s="255" t="str">
        <f t="shared" ca="1" si="22"/>
        <v/>
      </c>
      <c r="C126" s="256" t="str">
        <f t="shared" ca="1" si="23"/>
        <v/>
      </c>
      <c r="D126" s="257" t="str">
        <f t="shared" ca="1" si="24"/>
        <v/>
      </c>
      <c r="E126" s="808" t="str">
        <f t="shared" ca="1" si="25"/>
        <v/>
      </c>
      <c r="F126" s="253" t="str">
        <f t="shared" ca="1" si="26"/>
        <v/>
      </c>
      <c r="G126" s="257" t="str">
        <f t="shared" ca="1" si="27"/>
        <v/>
      </c>
      <c r="H126" s="257" t="str">
        <f t="shared" ca="1" si="28"/>
        <v/>
      </c>
      <c r="I126" s="220" t="str">
        <f t="shared" ca="1" si="29"/>
        <v/>
      </c>
      <c r="K126" s="260" t="e">
        <f t="shared" ca="1" si="20"/>
        <v>#N/A</v>
      </c>
    </row>
    <row r="127" spans="1:11" x14ac:dyDescent="0.25">
      <c r="A127" s="254" t="str">
        <f t="shared" ca="1" si="21"/>
        <v/>
      </c>
      <c r="B127" s="255" t="str">
        <f t="shared" ca="1" si="22"/>
        <v/>
      </c>
      <c r="C127" s="256" t="str">
        <f t="shared" ca="1" si="23"/>
        <v/>
      </c>
      <c r="D127" s="257" t="str">
        <f t="shared" ca="1" si="24"/>
        <v/>
      </c>
      <c r="E127" s="808" t="str">
        <f t="shared" ca="1" si="25"/>
        <v/>
      </c>
      <c r="F127" s="253" t="str">
        <f t="shared" ca="1" si="26"/>
        <v/>
      </c>
      <c r="G127" s="257" t="str">
        <f t="shared" ca="1" si="27"/>
        <v/>
      </c>
      <c r="H127" s="257" t="str">
        <f t="shared" ca="1" si="28"/>
        <v/>
      </c>
      <c r="I127" s="220" t="str">
        <f t="shared" ca="1" si="29"/>
        <v/>
      </c>
      <c r="K127" s="260" t="e">
        <f t="shared" ca="1" si="20"/>
        <v>#N/A</v>
      </c>
    </row>
    <row r="128" spans="1:11" x14ac:dyDescent="0.25">
      <c r="A128" s="254" t="str">
        <f t="shared" ca="1" si="21"/>
        <v/>
      </c>
      <c r="B128" s="255" t="str">
        <f t="shared" ca="1" si="22"/>
        <v/>
      </c>
      <c r="C128" s="256" t="str">
        <f t="shared" ca="1" si="23"/>
        <v/>
      </c>
      <c r="D128" s="257" t="str">
        <f t="shared" ca="1" si="24"/>
        <v/>
      </c>
      <c r="E128" s="808" t="str">
        <f t="shared" ca="1" si="25"/>
        <v/>
      </c>
      <c r="F128" s="253" t="str">
        <f t="shared" ca="1" si="26"/>
        <v/>
      </c>
      <c r="G128" s="257" t="str">
        <f t="shared" ca="1" si="27"/>
        <v/>
      </c>
      <c r="H128" s="257" t="str">
        <f t="shared" ca="1" si="28"/>
        <v/>
      </c>
      <c r="I128" s="220" t="str">
        <f t="shared" ca="1" si="29"/>
        <v/>
      </c>
      <c r="K128" s="260" t="e">
        <f t="shared" ca="1" si="20"/>
        <v>#N/A</v>
      </c>
    </row>
    <row r="129" spans="1:11" x14ac:dyDescent="0.25">
      <c r="A129" s="254" t="str">
        <f t="shared" ca="1" si="21"/>
        <v/>
      </c>
      <c r="B129" s="255" t="str">
        <f t="shared" ca="1" si="22"/>
        <v/>
      </c>
      <c r="C129" s="256" t="str">
        <f t="shared" ca="1" si="23"/>
        <v/>
      </c>
      <c r="D129" s="257" t="str">
        <f t="shared" ca="1" si="24"/>
        <v/>
      </c>
      <c r="E129" s="808" t="str">
        <f t="shared" ca="1" si="25"/>
        <v/>
      </c>
      <c r="F129" s="253" t="str">
        <f t="shared" ca="1" si="26"/>
        <v/>
      </c>
      <c r="G129" s="257" t="str">
        <f t="shared" ca="1" si="27"/>
        <v/>
      </c>
      <c r="H129" s="257" t="str">
        <f t="shared" ca="1" si="28"/>
        <v/>
      </c>
      <c r="I129" s="220" t="str">
        <f t="shared" ca="1" si="29"/>
        <v/>
      </c>
      <c r="K129" s="260" t="e">
        <f t="shared" ref="K129:K139" ca="1" si="30">HLOOKUP(I128,$L$18:$W$25,7,0)/12</f>
        <v>#N/A</v>
      </c>
    </row>
    <row r="130" spans="1:11" x14ac:dyDescent="0.25">
      <c r="A130" s="254" t="str">
        <f t="shared" ref="A130:A193" ca="1" si="31">IF(OR(H129&lt;=0,H129=""),"",OFFSET(A130,-1,0,1,1)+1)</f>
        <v/>
      </c>
      <c r="B130" s="255" t="str">
        <f t="shared" ref="B130:B193" ca="1" si="32">IF(A130&lt;$H$11+1,DATE(YEAR(B129),MONTH(B129)+3,1),"")</f>
        <v/>
      </c>
      <c r="C130" s="256" t="str">
        <f t="shared" ref="C130:C193" ca="1" si="33">IF(OR(A130=$H$11,A130=$H$14),G129+D130+E130,IF(B130="","",-$D$14))</f>
        <v/>
      </c>
      <c r="D130" s="257" t="str">
        <f t="shared" ref="D130:D193" ca="1" si="34">IF(B130="","",ROUND((B130-B129)*(E130/$D$13+$H$10*($I$10))*G129,2))</f>
        <v/>
      </c>
      <c r="E130" s="808" t="str">
        <f t="shared" ref="E130:E193" ca="1" si="35">IF(B130="","",ROUND((B130-B129)*($H$10*(1-$I$10))*G129,2))</f>
        <v/>
      </c>
      <c r="F130" s="253" t="str">
        <f t="shared" ref="F130:F193" ca="1" si="36">IF(B130="","",MAX(C130-D130,0))</f>
        <v/>
      </c>
      <c r="G130" s="257" t="str">
        <f t="shared" ref="G130:G193" ca="1" si="37">IF(B130="","",-(C130-D130)+G129)</f>
        <v/>
      </c>
      <c r="H130" s="257" t="str">
        <f t="shared" ref="H130:H193" ca="1" si="38">IF(B130="","",G130)</f>
        <v/>
      </c>
      <c r="I130" s="220" t="str">
        <f t="shared" ref="I130:I193" ca="1" si="39">IF(B130="","",YEAR(B130))</f>
        <v/>
      </c>
      <c r="K130" s="260" t="e">
        <f t="shared" ca="1" si="30"/>
        <v>#N/A</v>
      </c>
    </row>
    <row r="131" spans="1:11" x14ac:dyDescent="0.25">
      <c r="A131" s="254" t="str">
        <f t="shared" ca="1" si="31"/>
        <v/>
      </c>
      <c r="B131" s="255" t="str">
        <f t="shared" ca="1" si="32"/>
        <v/>
      </c>
      <c r="C131" s="256" t="str">
        <f t="shared" ca="1" si="33"/>
        <v/>
      </c>
      <c r="D131" s="257" t="str">
        <f t="shared" ca="1" si="34"/>
        <v/>
      </c>
      <c r="E131" s="808" t="str">
        <f t="shared" ca="1" si="35"/>
        <v/>
      </c>
      <c r="F131" s="253" t="str">
        <f t="shared" ca="1" si="36"/>
        <v/>
      </c>
      <c r="G131" s="257" t="str">
        <f t="shared" ca="1" si="37"/>
        <v/>
      </c>
      <c r="H131" s="257" t="str">
        <f t="shared" ca="1" si="38"/>
        <v/>
      </c>
      <c r="I131" s="220" t="str">
        <f t="shared" ca="1" si="39"/>
        <v/>
      </c>
      <c r="K131" s="260" t="e">
        <f t="shared" ca="1" si="30"/>
        <v>#N/A</v>
      </c>
    </row>
    <row r="132" spans="1:11" x14ac:dyDescent="0.25">
      <c r="A132" s="254" t="str">
        <f t="shared" ca="1" si="31"/>
        <v/>
      </c>
      <c r="B132" s="255" t="str">
        <f t="shared" ca="1" si="32"/>
        <v/>
      </c>
      <c r="C132" s="256" t="str">
        <f t="shared" ca="1" si="33"/>
        <v/>
      </c>
      <c r="D132" s="257" t="str">
        <f t="shared" ca="1" si="34"/>
        <v/>
      </c>
      <c r="E132" s="808" t="str">
        <f t="shared" ca="1" si="35"/>
        <v/>
      </c>
      <c r="F132" s="253" t="str">
        <f t="shared" ca="1" si="36"/>
        <v/>
      </c>
      <c r="G132" s="257" t="str">
        <f t="shared" ca="1" si="37"/>
        <v/>
      </c>
      <c r="H132" s="257" t="str">
        <f t="shared" ca="1" si="38"/>
        <v/>
      </c>
      <c r="I132" s="220" t="str">
        <f t="shared" ca="1" si="39"/>
        <v/>
      </c>
      <c r="K132" s="260" t="e">
        <f t="shared" ca="1" si="30"/>
        <v>#N/A</v>
      </c>
    </row>
    <row r="133" spans="1:11" x14ac:dyDescent="0.25">
      <c r="A133" s="254" t="str">
        <f t="shared" ca="1" si="31"/>
        <v/>
      </c>
      <c r="B133" s="255" t="str">
        <f t="shared" ca="1" si="32"/>
        <v/>
      </c>
      <c r="C133" s="256" t="str">
        <f t="shared" ca="1" si="33"/>
        <v/>
      </c>
      <c r="D133" s="257" t="str">
        <f t="shared" ca="1" si="34"/>
        <v/>
      </c>
      <c r="E133" s="808" t="str">
        <f t="shared" ca="1" si="35"/>
        <v/>
      </c>
      <c r="F133" s="253" t="str">
        <f t="shared" ca="1" si="36"/>
        <v/>
      </c>
      <c r="G133" s="257" t="str">
        <f t="shared" ca="1" si="37"/>
        <v/>
      </c>
      <c r="H133" s="257" t="str">
        <f t="shared" ca="1" si="38"/>
        <v/>
      </c>
      <c r="I133" s="220" t="str">
        <f t="shared" ca="1" si="39"/>
        <v/>
      </c>
      <c r="K133" s="260" t="e">
        <f t="shared" ca="1" si="30"/>
        <v>#N/A</v>
      </c>
    </row>
    <row r="134" spans="1:11" x14ac:dyDescent="0.25">
      <c r="A134" s="254" t="str">
        <f t="shared" ca="1" si="31"/>
        <v/>
      </c>
      <c r="B134" s="255" t="str">
        <f t="shared" ca="1" si="32"/>
        <v/>
      </c>
      <c r="C134" s="256" t="str">
        <f t="shared" ca="1" si="33"/>
        <v/>
      </c>
      <c r="D134" s="257" t="str">
        <f t="shared" ca="1" si="34"/>
        <v/>
      </c>
      <c r="E134" s="808" t="str">
        <f t="shared" ca="1" si="35"/>
        <v/>
      </c>
      <c r="F134" s="253" t="str">
        <f t="shared" ca="1" si="36"/>
        <v/>
      </c>
      <c r="G134" s="257" t="str">
        <f t="shared" ca="1" si="37"/>
        <v/>
      </c>
      <c r="H134" s="257" t="str">
        <f t="shared" ca="1" si="38"/>
        <v/>
      </c>
      <c r="I134" s="220" t="str">
        <f t="shared" ca="1" si="39"/>
        <v/>
      </c>
      <c r="K134" s="260" t="e">
        <f t="shared" ca="1" si="30"/>
        <v>#N/A</v>
      </c>
    </row>
    <row r="135" spans="1:11" x14ac:dyDescent="0.25">
      <c r="A135" s="254" t="str">
        <f t="shared" ca="1" si="31"/>
        <v/>
      </c>
      <c r="B135" s="255" t="str">
        <f t="shared" ca="1" si="32"/>
        <v/>
      </c>
      <c r="C135" s="256" t="str">
        <f t="shared" ca="1" si="33"/>
        <v/>
      </c>
      <c r="D135" s="257" t="str">
        <f t="shared" ca="1" si="34"/>
        <v/>
      </c>
      <c r="E135" s="808" t="str">
        <f t="shared" ca="1" si="35"/>
        <v/>
      </c>
      <c r="F135" s="253" t="str">
        <f t="shared" ca="1" si="36"/>
        <v/>
      </c>
      <c r="G135" s="257" t="str">
        <f t="shared" ca="1" si="37"/>
        <v/>
      </c>
      <c r="H135" s="257" t="str">
        <f t="shared" ca="1" si="38"/>
        <v/>
      </c>
      <c r="I135" s="220" t="str">
        <f t="shared" ca="1" si="39"/>
        <v/>
      </c>
      <c r="K135" s="260" t="e">
        <f t="shared" ca="1" si="30"/>
        <v>#N/A</v>
      </c>
    </row>
    <row r="136" spans="1:11" x14ac:dyDescent="0.25">
      <c r="A136" s="254" t="str">
        <f t="shared" ca="1" si="31"/>
        <v/>
      </c>
      <c r="B136" s="255" t="str">
        <f t="shared" ca="1" si="32"/>
        <v/>
      </c>
      <c r="C136" s="256" t="str">
        <f t="shared" ca="1" si="33"/>
        <v/>
      </c>
      <c r="D136" s="257" t="str">
        <f t="shared" ca="1" si="34"/>
        <v/>
      </c>
      <c r="E136" s="808" t="str">
        <f t="shared" ca="1" si="35"/>
        <v/>
      </c>
      <c r="F136" s="253" t="str">
        <f t="shared" ca="1" si="36"/>
        <v/>
      </c>
      <c r="G136" s="257" t="str">
        <f t="shared" ca="1" si="37"/>
        <v/>
      </c>
      <c r="H136" s="257" t="str">
        <f t="shared" ca="1" si="38"/>
        <v/>
      </c>
      <c r="I136" s="220" t="str">
        <f t="shared" ca="1" si="39"/>
        <v/>
      </c>
      <c r="K136" s="260" t="e">
        <f t="shared" ca="1" si="30"/>
        <v>#N/A</v>
      </c>
    </row>
    <row r="137" spans="1:11" x14ac:dyDescent="0.25">
      <c r="A137" s="254" t="str">
        <f t="shared" ca="1" si="31"/>
        <v/>
      </c>
      <c r="B137" s="255" t="str">
        <f t="shared" ca="1" si="32"/>
        <v/>
      </c>
      <c r="C137" s="256" t="str">
        <f t="shared" ca="1" si="33"/>
        <v/>
      </c>
      <c r="D137" s="257" t="str">
        <f t="shared" ca="1" si="34"/>
        <v/>
      </c>
      <c r="E137" s="808" t="str">
        <f t="shared" ca="1" si="35"/>
        <v/>
      </c>
      <c r="F137" s="253" t="str">
        <f t="shared" ca="1" si="36"/>
        <v/>
      </c>
      <c r="G137" s="257" t="str">
        <f t="shared" ca="1" si="37"/>
        <v/>
      </c>
      <c r="H137" s="257" t="str">
        <f t="shared" ca="1" si="38"/>
        <v/>
      </c>
      <c r="I137" s="220" t="str">
        <f t="shared" ca="1" si="39"/>
        <v/>
      </c>
      <c r="K137" s="260" t="e">
        <f t="shared" ca="1" si="30"/>
        <v>#N/A</v>
      </c>
    </row>
    <row r="138" spans="1:11" x14ac:dyDescent="0.25">
      <c r="A138" s="254" t="str">
        <f t="shared" ca="1" si="31"/>
        <v/>
      </c>
      <c r="B138" s="255" t="str">
        <f t="shared" ca="1" si="32"/>
        <v/>
      </c>
      <c r="C138" s="256" t="str">
        <f t="shared" ca="1" si="33"/>
        <v/>
      </c>
      <c r="D138" s="257" t="str">
        <f t="shared" ca="1" si="34"/>
        <v/>
      </c>
      <c r="E138" s="808" t="str">
        <f t="shared" ca="1" si="35"/>
        <v/>
      </c>
      <c r="F138" s="253" t="str">
        <f t="shared" ca="1" si="36"/>
        <v/>
      </c>
      <c r="G138" s="257" t="str">
        <f t="shared" ca="1" si="37"/>
        <v/>
      </c>
      <c r="H138" s="257" t="str">
        <f t="shared" ca="1" si="38"/>
        <v/>
      </c>
      <c r="I138" s="220" t="str">
        <f t="shared" ca="1" si="39"/>
        <v/>
      </c>
      <c r="K138" s="260" t="e">
        <f t="shared" ca="1" si="30"/>
        <v>#N/A</v>
      </c>
    </row>
    <row r="139" spans="1:11" x14ac:dyDescent="0.25">
      <c r="A139" s="254" t="str">
        <f t="shared" ca="1" si="31"/>
        <v/>
      </c>
      <c r="B139" s="255" t="str">
        <f t="shared" ca="1" si="32"/>
        <v/>
      </c>
      <c r="C139" s="256" t="str">
        <f t="shared" ca="1" si="33"/>
        <v/>
      </c>
      <c r="D139" s="257" t="str">
        <f t="shared" ca="1" si="34"/>
        <v/>
      </c>
      <c r="E139" s="808" t="str">
        <f t="shared" ca="1" si="35"/>
        <v/>
      </c>
      <c r="F139" s="253" t="str">
        <f t="shared" ca="1" si="36"/>
        <v/>
      </c>
      <c r="G139" s="257" t="str">
        <f t="shared" ca="1" si="37"/>
        <v/>
      </c>
      <c r="H139" s="257" t="str">
        <f t="shared" ca="1" si="38"/>
        <v/>
      </c>
      <c r="I139" s="220" t="str">
        <f t="shared" ca="1" si="39"/>
        <v/>
      </c>
      <c r="K139" s="260" t="e">
        <f t="shared" ca="1" si="30"/>
        <v>#N/A</v>
      </c>
    </row>
    <row r="140" spans="1:11" x14ac:dyDescent="0.25">
      <c r="A140" s="254" t="str">
        <f t="shared" ca="1" si="31"/>
        <v/>
      </c>
      <c r="B140" s="255" t="str">
        <f t="shared" ca="1" si="32"/>
        <v/>
      </c>
      <c r="C140" s="256" t="str">
        <f t="shared" ca="1" si="33"/>
        <v/>
      </c>
      <c r="D140" s="257" t="str">
        <f t="shared" ca="1" si="34"/>
        <v/>
      </c>
      <c r="E140" s="808" t="str">
        <f t="shared" ca="1" si="35"/>
        <v/>
      </c>
      <c r="F140" s="253" t="str">
        <f t="shared" ca="1" si="36"/>
        <v/>
      </c>
      <c r="G140" s="257" t="str">
        <f t="shared" ca="1" si="37"/>
        <v/>
      </c>
      <c r="H140" s="257" t="str">
        <f t="shared" ca="1" si="38"/>
        <v/>
      </c>
      <c r="I140" s="220" t="str">
        <f t="shared" ca="1" si="39"/>
        <v/>
      </c>
    </row>
    <row r="141" spans="1:11" x14ac:dyDescent="0.25">
      <c r="A141" s="254" t="str">
        <f t="shared" ca="1" si="31"/>
        <v/>
      </c>
      <c r="B141" s="255" t="str">
        <f t="shared" ca="1" si="32"/>
        <v/>
      </c>
      <c r="C141" s="256" t="str">
        <f t="shared" ca="1" si="33"/>
        <v/>
      </c>
      <c r="D141" s="257" t="str">
        <f t="shared" ca="1" si="34"/>
        <v/>
      </c>
      <c r="E141" s="808" t="str">
        <f t="shared" ca="1" si="35"/>
        <v/>
      </c>
      <c r="F141" s="253" t="str">
        <f t="shared" ca="1" si="36"/>
        <v/>
      </c>
      <c r="G141" s="257" t="str">
        <f t="shared" ca="1" si="37"/>
        <v/>
      </c>
      <c r="H141" s="257" t="str">
        <f t="shared" ca="1" si="38"/>
        <v/>
      </c>
      <c r="I141" s="220" t="str">
        <f t="shared" ca="1" si="39"/>
        <v/>
      </c>
    </row>
    <row r="142" spans="1:11" x14ac:dyDescent="0.25">
      <c r="A142" s="254" t="str">
        <f t="shared" ca="1" si="31"/>
        <v/>
      </c>
      <c r="B142" s="255" t="str">
        <f t="shared" ca="1" si="32"/>
        <v/>
      </c>
      <c r="C142" s="256" t="str">
        <f t="shared" ca="1" si="33"/>
        <v/>
      </c>
      <c r="D142" s="257" t="str">
        <f t="shared" ca="1" si="34"/>
        <v/>
      </c>
      <c r="E142" s="808" t="str">
        <f t="shared" ca="1" si="35"/>
        <v/>
      </c>
      <c r="F142" s="253" t="str">
        <f t="shared" ca="1" si="36"/>
        <v/>
      </c>
      <c r="G142" s="257" t="str">
        <f t="shared" ca="1" si="37"/>
        <v/>
      </c>
      <c r="H142" s="257" t="str">
        <f t="shared" ca="1" si="38"/>
        <v/>
      </c>
      <c r="I142" s="220" t="str">
        <f t="shared" ca="1" si="39"/>
        <v/>
      </c>
    </row>
    <row r="143" spans="1:11" x14ac:dyDescent="0.25">
      <c r="A143" s="254" t="str">
        <f t="shared" ca="1" si="31"/>
        <v/>
      </c>
      <c r="B143" s="255" t="str">
        <f t="shared" ca="1" si="32"/>
        <v/>
      </c>
      <c r="C143" s="256" t="str">
        <f t="shared" ca="1" si="33"/>
        <v/>
      </c>
      <c r="D143" s="257" t="str">
        <f t="shared" ca="1" si="34"/>
        <v/>
      </c>
      <c r="E143" s="808" t="str">
        <f t="shared" ca="1" si="35"/>
        <v/>
      </c>
      <c r="F143" s="253" t="str">
        <f t="shared" ca="1" si="36"/>
        <v/>
      </c>
      <c r="G143" s="257" t="str">
        <f t="shared" ca="1" si="37"/>
        <v/>
      </c>
      <c r="H143" s="257" t="str">
        <f t="shared" ca="1" si="38"/>
        <v/>
      </c>
      <c r="I143" s="220" t="str">
        <f t="shared" ca="1" si="39"/>
        <v/>
      </c>
    </row>
    <row r="144" spans="1:11" x14ac:dyDescent="0.25">
      <c r="A144" s="254" t="str">
        <f t="shared" ca="1" si="31"/>
        <v/>
      </c>
      <c r="B144" s="255" t="str">
        <f t="shared" ca="1" si="32"/>
        <v/>
      </c>
      <c r="C144" s="256" t="str">
        <f t="shared" ca="1" si="33"/>
        <v/>
      </c>
      <c r="D144" s="257" t="str">
        <f t="shared" ca="1" si="34"/>
        <v/>
      </c>
      <c r="E144" s="808" t="str">
        <f t="shared" ca="1" si="35"/>
        <v/>
      </c>
      <c r="F144" s="253" t="str">
        <f t="shared" ca="1" si="36"/>
        <v/>
      </c>
      <c r="G144" s="257" t="str">
        <f t="shared" ca="1" si="37"/>
        <v/>
      </c>
      <c r="H144" s="257" t="str">
        <f t="shared" ca="1" si="38"/>
        <v/>
      </c>
      <c r="I144" s="220" t="str">
        <f t="shared" ca="1" si="39"/>
        <v/>
      </c>
    </row>
    <row r="145" spans="1:9" x14ac:dyDescent="0.25">
      <c r="A145" s="254" t="str">
        <f t="shared" ca="1" si="31"/>
        <v/>
      </c>
      <c r="B145" s="255" t="str">
        <f t="shared" ca="1" si="32"/>
        <v/>
      </c>
      <c r="C145" s="256" t="str">
        <f t="shared" ca="1" si="33"/>
        <v/>
      </c>
      <c r="D145" s="257" t="str">
        <f t="shared" ca="1" si="34"/>
        <v/>
      </c>
      <c r="E145" s="808" t="str">
        <f t="shared" ca="1" si="35"/>
        <v/>
      </c>
      <c r="F145" s="253" t="str">
        <f t="shared" ca="1" si="36"/>
        <v/>
      </c>
      <c r="G145" s="257" t="str">
        <f t="shared" ca="1" si="37"/>
        <v/>
      </c>
      <c r="H145" s="257" t="str">
        <f t="shared" ca="1" si="38"/>
        <v/>
      </c>
      <c r="I145" s="220" t="str">
        <f t="shared" ca="1" si="39"/>
        <v/>
      </c>
    </row>
    <row r="146" spans="1:9" x14ac:dyDescent="0.25">
      <c r="A146" s="254" t="str">
        <f t="shared" ca="1" si="31"/>
        <v/>
      </c>
      <c r="B146" s="255" t="str">
        <f t="shared" ca="1" si="32"/>
        <v/>
      </c>
      <c r="C146" s="256" t="str">
        <f t="shared" ca="1" si="33"/>
        <v/>
      </c>
      <c r="D146" s="257" t="str">
        <f t="shared" ca="1" si="34"/>
        <v/>
      </c>
      <c r="E146" s="808" t="str">
        <f t="shared" ca="1" si="35"/>
        <v/>
      </c>
      <c r="F146" s="253" t="str">
        <f t="shared" ca="1" si="36"/>
        <v/>
      </c>
      <c r="G146" s="257" t="str">
        <f t="shared" ca="1" si="37"/>
        <v/>
      </c>
      <c r="H146" s="257" t="str">
        <f t="shared" ca="1" si="38"/>
        <v/>
      </c>
      <c r="I146" s="220" t="str">
        <f t="shared" ca="1" si="39"/>
        <v/>
      </c>
    </row>
    <row r="147" spans="1:9" x14ac:dyDescent="0.25">
      <c r="A147" s="254" t="str">
        <f t="shared" ca="1" si="31"/>
        <v/>
      </c>
      <c r="B147" s="255" t="str">
        <f t="shared" ca="1" si="32"/>
        <v/>
      </c>
      <c r="C147" s="256" t="str">
        <f t="shared" ca="1" si="33"/>
        <v/>
      </c>
      <c r="D147" s="257" t="str">
        <f t="shared" ca="1" si="34"/>
        <v/>
      </c>
      <c r="E147" s="808" t="str">
        <f t="shared" ca="1" si="35"/>
        <v/>
      </c>
      <c r="F147" s="253" t="str">
        <f t="shared" ca="1" si="36"/>
        <v/>
      </c>
      <c r="G147" s="257" t="str">
        <f t="shared" ca="1" si="37"/>
        <v/>
      </c>
      <c r="H147" s="257" t="str">
        <f t="shared" ca="1" si="38"/>
        <v/>
      </c>
      <c r="I147" s="220" t="str">
        <f t="shared" ca="1" si="39"/>
        <v/>
      </c>
    </row>
    <row r="148" spans="1:9" x14ac:dyDescent="0.25">
      <c r="A148" s="254" t="str">
        <f t="shared" ca="1" si="31"/>
        <v/>
      </c>
      <c r="B148" s="255" t="str">
        <f t="shared" ca="1" si="32"/>
        <v/>
      </c>
      <c r="C148" s="256" t="str">
        <f t="shared" ca="1" si="33"/>
        <v/>
      </c>
      <c r="D148" s="257" t="str">
        <f t="shared" ca="1" si="34"/>
        <v/>
      </c>
      <c r="E148" s="808" t="str">
        <f t="shared" ca="1" si="35"/>
        <v/>
      </c>
      <c r="F148" s="253" t="str">
        <f t="shared" ca="1" si="36"/>
        <v/>
      </c>
      <c r="G148" s="257" t="str">
        <f t="shared" ca="1" si="37"/>
        <v/>
      </c>
      <c r="H148" s="257" t="str">
        <f t="shared" ca="1" si="38"/>
        <v/>
      </c>
      <c r="I148" s="220" t="str">
        <f t="shared" ca="1" si="39"/>
        <v/>
      </c>
    </row>
    <row r="149" spans="1:9" x14ac:dyDescent="0.25">
      <c r="A149" s="254" t="str">
        <f t="shared" ca="1" si="31"/>
        <v/>
      </c>
      <c r="B149" s="255" t="str">
        <f t="shared" ca="1" si="32"/>
        <v/>
      </c>
      <c r="C149" s="256" t="str">
        <f t="shared" ca="1" si="33"/>
        <v/>
      </c>
      <c r="D149" s="257" t="str">
        <f t="shared" ca="1" si="34"/>
        <v/>
      </c>
      <c r="E149" s="808" t="str">
        <f t="shared" ca="1" si="35"/>
        <v/>
      </c>
      <c r="F149" s="253" t="str">
        <f t="shared" ca="1" si="36"/>
        <v/>
      </c>
      <c r="G149" s="257" t="str">
        <f t="shared" ca="1" si="37"/>
        <v/>
      </c>
      <c r="H149" s="257" t="str">
        <f t="shared" ca="1" si="38"/>
        <v/>
      </c>
      <c r="I149" s="220" t="str">
        <f t="shared" ca="1" si="39"/>
        <v/>
      </c>
    </row>
    <row r="150" spans="1:9" x14ac:dyDescent="0.25">
      <c r="A150" s="254" t="str">
        <f t="shared" ca="1" si="31"/>
        <v/>
      </c>
      <c r="B150" s="255" t="str">
        <f t="shared" ca="1" si="32"/>
        <v/>
      </c>
      <c r="C150" s="256" t="str">
        <f t="shared" ca="1" si="33"/>
        <v/>
      </c>
      <c r="D150" s="257" t="str">
        <f t="shared" ca="1" si="34"/>
        <v/>
      </c>
      <c r="E150" s="808" t="str">
        <f t="shared" ca="1" si="35"/>
        <v/>
      </c>
      <c r="F150" s="253" t="str">
        <f t="shared" ca="1" si="36"/>
        <v/>
      </c>
      <c r="G150" s="257" t="str">
        <f t="shared" ca="1" si="37"/>
        <v/>
      </c>
      <c r="H150" s="257" t="str">
        <f t="shared" ca="1" si="38"/>
        <v/>
      </c>
      <c r="I150" s="220" t="str">
        <f t="shared" ca="1" si="39"/>
        <v/>
      </c>
    </row>
    <row r="151" spans="1:9" x14ac:dyDescent="0.25">
      <c r="A151" s="254" t="str">
        <f t="shared" ca="1" si="31"/>
        <v/>
      </c>
      <c r="B151" s="255" t="str">
        <f t="shared" ca="1" si="32"/>
        <v/>
      </c>
      <c r="C151" s="256" t="str">
        <f t="shared" ca="1" si="33"/>
        <v/>
      </c>
      <c r="D151" s="257" t="str">
        <f t="shared" ca="1" si="34"/>
        <v/>
      </c>
      <c r="E151" s="808" t="str">
        <f t="shared" ca="1" si="35"/>
        <v/>
      </c>
      <c r="F151" s="253" t="str">
        <f t="shared" ca="1" si="36"/>
        <v/>
      </c>
      <c r="G151" s="257" t="str">
        <f t="shared" ca="1" si="37"/>
        <v/>
      </c>
      <c r="H151" s="257" t="str">
        <f t="shared" ca="1" si="38"/>
        <v/>
      </c>
      <c r="I151" s="220" t="str">
        <f t="shared" ca="1" si="39"/>
        <v/>
      </c>
    </row>
    <row r="152" spans="1:9" x14ac:dyDescent="0.25">
      <c r="A152" s="254" t="str">
        <f t="shared" ca="1" si="31"/>
        <v/>
      </c>
      <c r="B152" s="255" t="str">
        <f t="shared" ca="1" si="32"/>
        <v/>
      </c>
      <c r="C152" s="256" t="str">
        <f t="shared" ca="1" si="33"/>
        <v/>
      </c>
      <c r="D152" s="257" t="str">
        <f t="shared" ca="1" si="34"/>
        <v/>
      </c>
      <c r="E152" s="808" t="str">
        <f t="shared" ca="1" si="35"/>
        <v/>
      </c>
      <c r="F152" s="253" t="str">
        <f t="shared" ca="1" si="36"/>
        <v/>
      </c>
      <c r="G152" s="257" t="str">
        <f t="shared" ca="1" si="37"/>
        <v/>
      </c>
      <c r="H152" s="257" t="str">
        <f t="shared" ca="1" si="38"/>
        <v/>
      </c>
      <c r="I152" s="220" t="str">
        <f t="shared" ca="1" si="39"/>
        <v/>
      </c>
    </row>
    <row r="153" spans="1:9" x14ac:dyDescent="0.25">
      <c r="A153" s="254" t="str">
        <f t="shared" ca="1" si="31"/>
        <v/>
      </c>
      <c r="B153" s="255" t="str">
        <f t="shared" ca="1" si="32"/>
        <v/>
      </c>
      <c r="C153" s="256" t="str">
        <f t="shared" ca="1" si="33"/>
        <v/>
      </c>
      <c r="D153" s="257" t="str">
        <f t="shared" ca="1" si="34"/>
        <v/>
      </c>
      <c r="E153" s="808" t="str">
        <f t="shared" ca="1" si="35"/>
        <v/>
      </c>
      <c r="F153" s="253" t="str">
        <f t="shared" ca="1" si="36"/>
        <v/>
      </c>
      <c r="G153" s="257" t="str">
        <f t="shared" ca="1" si="37"/>
        <v/>
      </c>
      <c r="H153" s="257" t="str">
        <f t="shared" ca="1" si="38"/>
        <v/>
      </c>
      <c r="I153" s="220" t="str">
        <f t="shared" ca="1" si="39"/>
        <v/>
      </c>
    </row>
    <row r="154" spans="1:9" x14ac:dyDescent="0.25">
      <c r="A154" s="254" t="str">
        <f t="shared" ca="1" si="31"/>
        <v/>
      </c>
      <c r="B154" s="255" t="str">
        <f t="shared" ca="1" si="32"/>
        <v/>
      </c>
      <c r="C154" s="256" t="str">
        <f t="shared" ca="1" si="33"/>
        <v/>
      </c>
      <c r="D154" s="257" t="str">
        <f t="shared" ca="1" si="34"/>
        <v/>
      </c>
      <c r="E154" s="808" t="str">
        <f t="shared" ca="1" si="35"/>
        <v/>
      </c>
      <c r="F154" s="253" t="str">
        <f t="shared" ca="1" si="36"/>
        <v/>
      </c>
      <c r="G154" s="257" t="str">
        <f t="shared" ca="1" si="37"/>
        <v/>
      </c>
      <c r="H154" s="257" t="str">
        <f t="shared" ca="1" si="38"/>
        <v/>
      </c>
      <c r="I154" s="220" t="str">
        <f t="shared" ca="1" si="39"/>
        <v/>
      </c>
    </row>
    <row r="155" spans="1:9" x14ac:dyDescent="0.25">
      <c r="A155" s="254" t="str">
        <f t="shared" ca="1" si="31"/>
        <v/>
      </c>
      <c r="B155" s="255" t="str">
        <f t="shared" ca="1" si="32"/>
        <v/>
      </c>
      <c r="C155" s="256" t="str">
        <f t="shared" ca="1" si="33"/>
        <v/>
      </c>
      <c r="D155" s="257" t="str">
        <f t="shared" ca="1" si="34"/>
        <v/>
      </c>
      <c r="E155" s="808" t="str">
        <f t="shared" ca="1" si="35"/>
        <v/>
      </c>
      <c r="F155" s="253" t="str">
        <f t="shared" ca="1" si="36"/>
        <v/>
      </c>
      <c r="G155" s="257" t="str">
        <f t="shared" ca="1" si="37"/>
        <v/>
      </c>
      <c r="H155" s="257" t="str">
        <f t="shared" ca="1" si="38"/>
        <v/>
      </c>
      <c r="I155" s="220" t="str">
        <f t="shared" ca="1" si="39"/>
        <v/>
      </c>
    </row>
    <row r="156" spans="1:9" x14ac:dyDescent="0.25">
      <c r="A156" s="254" t="str">
        <f t="shared" ca="1" si="31"/>
        <v/>
      </c>
      <c r="B156" s="255" t="str">
        <f t="shared" ca="1" si="32"/>
        <v/>
      </c>
      <c r="C156" s="256" t="str">
        <f t="shared" ca="1" si="33"/>
        <v/>
      </c>
      <c r="D156" s="257" t="str">
        <f t="shared" ca="1" si="34"/>
        <v/>
      </c>
      <c r="E156" s="808" t="str">
        <f t="shared" ca="1" si="35"/>
        <v/>
      </c>
      <c r="F156" s="253" t="str">
        <f t="shared" ca="1" si="36"/>
        <v/>
      </c>
      <c r="G156" s="257" t="str">
        <f t="shared" ca="1" si="37"/>
        <v/>
      </c>
      <c r="H156" s="257" t="str">
        <f t="shared" ca="1" si="38"/>
        <v/>
      </c>
      <c r="I156" s="220" t="str">
        <f t="shared" ca="1" si="39"/>
        <v/>
      </c>
    </row>
    <row r="157" spans="1:9" x14ac:dyDescent="0.25">
      <c r="A157" s="254" t="str">
        <f t="shared" ca="1" si="31"/>
        <v/>
      </c>
      <c r="B157" s="255" t="str">
        <f t="shared" ca="1" si="32"/>
        <v/>
      </c>
      <c r="C157" s="256" t="str">
        <f t="shared" ca="1" si="33"/>
        <v/>
      </c>
      <c r="D157" s="257" t="str">
        <f t="shared" ca="1" si="34"/>
        <v/>
      </c>
      <c r="E157" s="808" t="str">
        <f t="shared" ca="1" si="35"/>
        <v/>
      </c>
      <c r="F157" s="253" t="str">
        <f t="shared" ca="1" si="36"/>
        <v/>
      </c>
      <c r="G157" s="257" t="str">
        <f t="shared" ca="1" si="37"/>
        <v/>
      </c>
      <c r="H157" s="257" t="str">
        <f t="shared" ca="1" si="38"/>
        <v/>
      </c>
      <c r="I157" s="220" t="str">
        <f t="shared" ca="1" si="39"/>
        <v/>
      </c>
    </row>
    <row r="158" spans="1:9" x14ac:dyDescent="0.25">
      <c r="A158" s="254" t="str">
        <f t="shared" ca="1" si="31"/>
        <v/>
      </c>
      <c r="B158" s="255" t="str">
        <f t="shared" ca="1" si="32"/>
        <v/>
      </c>
      <c r="C158" s="256" t="str">
        <f t="shared" ca="1" si="33"/>
        <v/>
      </c>
      <c r="D158" s="257" t="str">
        <f t="shared" ca="1" si="34"/>
        <v/>
      </c>
      <c r="E158" s="808" t="str">
        <f t="shared" ca="1" si="35"/>
        <v/>
      </c>
      <c r="F158" s="253" t="str">
        <f t="shared" ca="1" si="36"/>
        <v/>
      </c>
      <c r="G158" s="257" t="str">
        <f t="shared" ca="1" si="37"/>
        <v/>
      </c>
      <c r="H158" s="257" t="str">
        <f t="shared" ca="1" si="38"/>
        <v/>
      </c>
      <c r="I158" s="220" t="str">
        <f t="shared" ca="1" si="39"/>
        <v/>
      </c>
    </row>
    <row r="159" spans="1:9" x14ac:dyDescent="0.25">
      <c r="A159" s="254" t="str">
        <f t="shared" ca="1" si="31"/>
        <v/>
      </c>
      <c r="B159" s="255" t="str">
        <f t="shared" ca="1" si="32"/>
        <v/>
      </c>
      <c r="C159" s="256" t="str">
        <f t="shared" ca="1" si="33"/>
        <v/>
      </c>
      <c r="D159" s="257" t="str">
        <f t="shared" ca="1" si="34"/>
        <v/>
      </c>
      <c r="E159" s="808" t="str">
        <f t="shared" ca="1" si="35"/>
        <v/>
      </c>
      <c r="F159" s="253" t="str">
        <f t="shared" ca="1" si="36"/>
        <v/>
      </c>
      <c r="G159" s="257" t="str">
        <f t="shared" ca="1" si="37"/>
        <v/>
      </c>
      <c r="H159" s="257" t="str">
        <f t="shared" ca="1" si="38"/>
        <v/>
      </c>
      <c r="I159" s="220" t="str">
        <f t="shared" ca="1" si="39"/>
        <v/>
      </c>
    </row>
    <row r="160" spans="1:9" x14ac:dyDescent="0.25">
      <c r="A160" s="254" t="str">
        <f t="shared" ca="1" si="31"/>
        <v/>
      </c>
      <c r="B160" s="255" t="str">
        <f t="shared" ca="1" si="32"/>
        <v/>
      </c>
      <c r="C160" s="256" t="str">
        <f t="shared" ca="1" si="33"/>
        <v/>
      </c>
      <c r="D160" s="257" t="str">
        <f t="shared" ca="1" si="34"/>
        <v/>
      </c>
      <c r="E160" s="808" t="str">
        <f t="shared" ca="1" si="35"/>
        <v/>
      </c>
      <c r="F160" s="253" t="str">
        <f t="shared" ca="1" si="36"/>
        <v/>
      </c>
      <c r="G160" s="257" t="str">
        <f t="shared" ca="1" si="37"/>
        <v/>
      </c>
      <c r="H160" s="257" t="str">
        <f t="shared" ca="1" si="38"/>
        <v/>
      </c>
      <c r="I160" s="220" t="str">
        <f t="shared" ca="1" si="39"/>
        <v/>
      </c>
    </row>
    <row r="161" spans="1:9" x14ac:dyDescent="0.25">
      <c r="A161" s="254" t="str">
        <f t="shared" ca="1" si="31"/>
        <v/>
      </c>
      <c r="B161" s="255" t="str">
        <f t="shared" ca="1" si="32"/>
        <v/>
      </c>
      <c r="C161" s="256" t="str">
        <f t="shared" ca="1" si="33"/>
        <v/>
      </c>
      <c r="D161" s="257" t="str">
        <f t="shared" ca="1" si="34"/>
        <v/>
      </c>
      <c r="E161" s="808" t="str">
        <f t="shared" ca="1" si="35"/>
        <v/>
      </c>
      <c r="F161" s="253" t="str">
        <f t="shared" ca="1" si="36"/>
        <v/>
      </c>
      <c r="G161" s="257" t="str">
        <f t="shared" ca="1" si="37"/>
        <v/>
      </c>
      <c r="H161" s="257" t="str">
        <f t="shared" ca="1" si="38"/>
        <v/>
      </c>
      <c r="I161" s="220" t="str">
        <f t="shared" ca="1" si="39"/>
        <v/>
      </c>
    </row>
    <row r="162" spans="1:9" x14ac:dyDescent="0.25">
      <c r="A162" s="254" t="str">
        <f t="shared" ca="1" si="31"/>
        <v/>
      </c>
      <c r="B162" s="255" t="str">
        <f t="shared" ca="1" si="32"/>
        <v/>
      </c>
      <c r="C162" s="256" t="str">
        <f t="shared" ca="1" si="33"/>
        <v/>
      </c>
      <c r="D162" s="257" t="str">
        <f t="shared" ca="1" si="34"/>
        <v/>
      </c>
      <c r="E162" s="808" t="str">
        <f t="shared" ca="1" si="35"/>
        <v/>
      </c>
      <c r="F162" s="253" t="str">
        <f t="shared" ca="1" si="36"/>
        <v/>
      </c>
      <c r="G162" s="257" t="str">
        <f t="shared" ca="1" si="37"/>
        <v/>
      </c>
      <c r="H162" s="257" t="str">
        <f t="shared" ca="1" si="38"/>
        <v/>
      </c>
      <c r="I162" s="220" t="str">
        <f t="shared" ca="1" si="39"/>
        <v/>
      </c>
    </row>
    <row r="163" spans="1:9" x14ac:dyDescent="0.25">
      <c r="A163" s="254" t="str">
        <f t="shared" ca="1" si="31"/>
        <v/>
      </c>
      <c r="B163" s="255" t="str">
        <f t="shared" ca="1" si="32"/>
        <v/>
      </c>
      <c r="C163" s="256" t="str">
        <f t="shared" ca="1" si="33"/>
        <v/>
      </c>
      <c r="D163" s="257" t="str">
        <f t="shared" ca="1" si="34"/>
        <v/>
      </c>
      <c r="E163" s="808" t="str">
        <f t="shared" ca="1" si="35"/>
        <v/>
      </c>
      <c r="F163" s="253" t="str">
        <f t="shared" ca="1" si="36"/>
        <v/>
      </c>
      <c r="G163" s="257" t="str">
        <f t="shared" ca="1" si="37"/>
        <v/>
      </c>
      <c r="H163" s="257" t="str">
        <f t="shared" ca="1" si="38"/>
        <v/>
      </c>
      <c r="I163" s="220" t="str">
        <f t="shared" ca="1" si="39"/>
        <v/>
      </c>
    </row>
    <row r="164" spans="1:9" x14ac:dyDescent="0.25">
      <c r="A164" s="254" t="str">
        <f t="shared" ca="1" si="31"/>
        <v/>
      </c>
      <c r="B164" s="255" t="str">
        <f t="shared" ca="1" si="32"/>
        <v/>
      </c>
      <c r="C164" s="256" t="str">
        <f t="shared" ca="1" si="33"/>
        <v/>
      </c>
      <c r="D164" s="257" t="str">
        <f t="shared" ca="1" si="34"/>
        <v/>
      </c>
      <c r="E164" s="808" t="str">
        <f t="shared" ca="1" si="35"/>
        <v/>
      </c>
      <c r="F164" s="253" t="str">
        <f t="shared" ca="1" si="36"/>
        <v/>
      </c>
      <c r="G164" s="257" t="str">
        <f t="shared" ca="1" si="37"/>
        <v/>
      </c>
      <c r="H164" s="257" t="str">
        <f t="shared" ca="1" si="38"/>
        <v/>
      </c>
      <c r="I164" s="220" t="str">
        <f t="shared" ca="1" si="39"/>
        <v/>
      </c>
    </row>
    <row r="165" spans="1:9" x14ac:dyDescent="0.25">
      <c r="A165" s="254" t="str">
        <f t="shared" ca="1" si="31"/>
        <v/>
      </c>
      <c r="B165" s="255" t="str">
        <f t="shared" ca="1" si="32"/>
        <v/>
      </c>
      <c r="C165" s="256" t="str">
        <f t="shared" ca="1" si="33"/>
        <v/>
      </c>
      <c r="D165" s="257" t="str">
        <f t="shared" ca="1" si="34"/>
        <v/>
      </c>
      <c r="E165" s="808" t="str">
        <f t="shared" ca="1" si="35"/>
        <v/>
      </c>
      <c r="F165" s="253" t="str">
        <f t="shared" ca="1" si="36"/>
        <v/>
      </c>
      <c r="G165" s="257" t="str">
        <f t="shared" ca="1" si="37"/>
        <v/>
      </c>
      <c r="H165" s="257" t="str">
        <f t="shared" ca="1" si="38"/>
        <v/>
      </c>
      <c r="I165" s="220" t="str">
        <f t="shared" ca="1" si="39"/>
        <v/>
      </c>
    </row>
    <row r="166" spans="1:9" x14ac:dyDescent="0.25">
      <c r="A166" s="254" t="str">
        <f t="shared" ca="1" si="31"/>
        <v/>
      </c>
      <c r="B166" s="255" t="str">
        <f t="shared" ca="1" si="32"/>
        <v/>
      </c>
      <c r="C166" s="256" t="str">
        <f t="shared" ca="1" si="33"/>
        <v/>
      </c>
      <c r="D166" s="257" t="str">
        <f t="shared" ca="1" si="34"/>
        <v/>
      </c>
      <c r="E166" s="808" t="str">
        <f t="shared" ca="1" si="35"/>
        <v/>
      </c>
      <c r="F166" s="253" t="str">
        <f t="shared" ca="1" si="36"/>
        <v/>
      </c>
      <c r="G166" s="257" t="str">
        <f t="shared" ca="1" si="37"/>
        <v/>
      </c>
      <c r="H166" s="257" t="str">
        <f t="shared" ca="1" si="38"/>
        <v/>
      </c>
      <c r="I166" s="220" t="str">
        <f t="shared" ca="1" si="39"/>
        <v/>
      </c>
    </row>
    <row r="167" spans="1:9" x14ac:dyDescent="0.25">
      <c r="A167" s="254" t="str">
        <f t="shared" ca="1" si="31"/>
        <v/>
      </c>
      <c r="B167" s="255" t="str">
        <f t="shared" ca="1" si="32"/>
        <v/>
      </c>
      <c r="C167" s="256" t="str">
        <f t="shared" ca="1" si="33"/>
        <v/>
      </c>
      <c r="D167" s="257" t="str">
        <f t="shared" ca="1" si="34"/>
        <v/>
      </c>
      <c r="E167" s="808" t="str">
        <f t="shared" ca="1" si="35"/>
        <v/>
      </c>
      <c r="F167" s="253" t="str">
        <f t="shared" ca="1" si="36"/>
        <v/>
      </c>
      <c r="G167" s="257" t="str">
        <f t="shared" ca="1" si="37"/>
        <v/>
      </c>
      <c r="H167" s="257" t="str">
        <f t="shared" ca="1" si="38"/>
        <v/>
      </c>
      <c r="I167" s="220" t="str">
        <f t="shared" ca="1" si="39"/>
        <v/>
      </c>
    </row>
    <row r="168" spans="1:9" x14ac:dyDescent="0.25">
      <c r="A168" s="254" t="str">
        <f t="shared" ca="1" si="31"/>
        <v/>
      </c>
      <c r="B168" s="255" t="str">
        <f t="shared" ca="1" si="32"/>
        <v/>
      </c>
      <c r="C168" s="256" t="str">
        <f t="shared" ca="1" si="33"/>
        <v/>
      </c>
      <c r="D168" s="257" t="str">
        <f t="shared" ca="1" si="34"/>
        <v/>
      </c>
      <c r="E168" s="808" t="str">
        <f t="shared" ca="1" si="35"/>
        <v/>
      </c>
      <c r="F168" s="253" t="str">
        <f t="shared" ca="1" si="36"/>
        <v/>
      </c>
      <c r="G168" s="257" t="str">
        <f t="shared" ca="1" si="37"/>
        <v/>
      </c>
      <c r="H168" s="257" t="str">
        <f t="shared" ca="1" si="38"/>
        <v/>
      </c>
      <c r="I168" s="220" t="str">
        <f t="shared" ca="1" si="39"/>
        <v/>
      </c>
    </row>
    <row r="169" spans="1:9" x14ac:dyDescent="0.25">
      <c r="A169" s="254" t="str">
        <f t="shared" ca="1" si="31"/>
        <v/>
      </c>
      <c r="B169" s="255" t="str">
        <f t="shared" ca="1" si="32"/>
        <v/>
      </c>
      <c r="C169" s="256" t="str">
        <f t="shared" ca="1" si="33"/>
        <v/>
      </c>
      <c r="D169" s="257" t="str">
        <f t="shared" ca="1" si="34"/>
        <v/>
      </c>
      <c r="E169" s="808" t="str">
        <f t="shared" ca="1" si="35"/>
        <v/>
      </c>
      <c r="F169" s="253" t="str">
        <f t="shared" ca="1" si="36"/>
        <v/>
      </c>
      <c r="G169" s="257" t="str">
        <f t="shared" ca="1" si="37"/>
        <v/>
      </c>
      <c r="H169" s="257" t="str">
        <f t="shared" ca="1" si="38"/>
        <v/>
      </c>
      <c r="I169" s="220" t="str">
        <f t="shared" ca="1" si="39"/>
        <v/>
      </c>
    </row>
    <row r="170" spans="1:9" x14ac:dyDescent="0.25">
      <c r="A170" s="254" t="str">
        <f t="shared" ca="1" si="31"/>
        <v/>
      </c>
      <c r="B170" s="255" t="str">
        <f t="shared" ca="1" si="32"/>
        <v/>
      </c>
      <c r="C170" s="256" t="str">
        <f t="shared" ca="1" si="33"/>
        <v/>
      </c>
      <c r="D170" s="257" t="str">
        <f t="shared" ca="1" si="34"/>
        <v/>
      </c>
      <c r="E170" s="808" t="str">
        <f t="shared" ca="1" si="35"/>
        <v/>
      </c>
      <c r="F170" s="253" t="str">
        <f t="shared" ca="1" si="36"/>
        <v/>
      </c>
      <c r="G170" s="257" t="str">
        <f t="shared" ca="1" si="37"/>
        <v/>
      </c>
      <c r="H170" s="257" t="str">
        <f t="shared" ca="1" si="38"/>
        <v/>
      </c>
      <c r="I170" s="220" t="str">
        <f t="shared" ca="1" si="39"/>
        <v/>
      </c>
    </row>
    <row r="171" spans="1:9" x14ac:dyDescent="0.25">
      <c r="A171" s="254" t="str">
        <f t="shared" ca="1" si="31"/>
        <v/>
      </c>
      <c r="B171" s="255" t="str">
        <f t="shared" ca="1" si="32"/>
        <v/>
      </c>
      <c r="C171" s="256" t="str">
        <f t="shared" ca="1" si="33"/>
        <v/>
      </c>
      <c r="D171" s="257" t="str">
        <f t="shared" ca="1" si="34"/>
        <v/>
      </c>
      <c r="E171" s="808" t="str">
        <f t="shared" ca="1" si="35"/>
        <v/>
      </c>
      <c r="F171" s="253" t="str">
        <f t="shared" ca="1" si="36"/>
        <v/>
      </c>
      <c r="G171" s="257" t="str">
        <f t="shared" ca="1" si="37"/>
        <v/>
      </c>
      <c r="H171" s="257" t="str">
        <f t="shared" ca="1" si="38"/>
        <v/>
      </c>
      <c r="I171" s="220" t="str">
        <f t="shared" ca="1" si="39"/>
        <v/>
      </c>
    </row>
    <row r="172" spans="1:9" x14ac:dyDescent="0.25">
      <c r="A172" s="254" t="str">
        <f t="shared" ca="1" si="31"/>
        <v/>
      </c>
      <c r="B172" s="255" t="str">
        <f t="shared" ca="1" si="32"/>
        <v/>
      </c>
      <c r="C172" s="256" t="str">
        <f t="shared" ca="1" si="33"/>
        <v/>
      </c>
      <c r="D172" s="257" t="str">
        <f t="shared" ca="1" si="34"/>
        <v/>
      </c>
      <c r="E172" s="808" t="str">
        <f t="shared" ca="1" si="35"/>
        <v/>
      </c>
      <c r="F172" s="253" t="str">
        <f t="shared" ca="1" si="36"/>
        <v/>
      </c>
      <c r="G172" s="257" t="str">
        <f t="shared" ca="1" si="37"/>
        <v/>
      </c>
      <c r="H172" s="257" t="str">
        <f t="shared" ca="1" si="38"/>
        <v/>
      </c>
      <c r="I172" s="220" t="str">
        <f t="shared" ca="1" si="39"/>
        <v/>
      </c>
    </row>
    <row r="173" spans="1:9" x14ac:dyDescent="0.25">
      <c r="A173" s="254" t="str">
        <f t="shared" ca="1" si="31"/>
        <v/>
      </c>
      <c r="B173" s="255" t="str">
        <f t="shared" ca="1" si="32"/>
        <v/>
      </c>
      <c r="C173" s="256" t="str">
        <f t="shared" ca="1" si="33"/>
        <v/>
      </c>
      <c r="D173" s="257" t="str">
        <f t="shared" ca="1" si="34"/>
        <v/>
      </c>
      <c r="E173" s="808" t="str">
        <f t="shared" ca="1" si="35"/>
        <v/>
      </c>
      <c r="F173" s="253" t="str">
        <f t="shared" ca="1" si="36"/>
        <v/>
      </c>
      <c r="G173" s="257" t="str">
        <f t="shared" ca="1" si="37"/>
        <v/>
      </c>
      <c r="H173" s="257" t="str">
        <f t="shared" ca="1" si="38"/>
        <v/>
      </c>
      <c r="I173" s="220" t="str">
        <f t="shared" ca="1" si="39"/>
        <v/>
      </c>
    </row>
    <row r="174" spans="1:9" x14ac:dyDescent="0.25">
      <c r="A174" s="254" t="str">
        <f t="shared" ca="1" si="31"/>
        <v/>
      </c>
      <c r="B174" s="255" t="str">
        <f t="shared" ca="1" si="32"/>
        <v/>
      </c>
      <c r="C174" s="256" t="str">
        <f t="shared" ca="1" si="33"/>
        <v/>
      </c>
      <c r="D174" s="257" t="str">
        <f t="shared" ca="1" si="34"/>
        <v/>
      </c>
      <c r="E174" s="808" t="str">
        <f t="shared" ca="1" si="35"/>
        <v/>
      </c>
      <c r="F174" s="253" t="str">
        <f t="shared" ca="1" si="36"/>
        <v/>
      </c>
      <c r="G174" s="257" t="str">
        <f t="shared" ca="1" si="37"/>
        <v/>
      </c>
      <c r="H174" s="257" t="str">
        <f t="shared" ca="1" si="38"/>
        <v/>
      </c>
      <c r="I174" s="220" t="str">
        <f t="shared" ca="1" si="39"/>
        <v/>
      </c>
    </row>
    <row r="175" spans="1:9" x14ac:dyDescent="0.25">
      <c r="A175" s="254" t="str">
        <f t="shared" ca="1" si="31"/>
        <v/>
      </c>
      <c r="B175" s="255" t="str">
        <f t="shared" ca="1" si="32"/>
        <v/>
      </c>
      <c r="C175" s="256" t="str">
        <f t="shared" ca="1" si="33"/>
        <v/>
      </c>
      <c r="D175" s="257" t="str">
        <f t="shared" ca="1" si="34"/>
        <v/>
      </c>
      <c r="E175" s="808" t="str">
        <f t="shared" ca="1" si="35"/>
        <v/>
      </c>
      <c r="F175" s="253" t="str">
        <f t="shared" ca="1" si="36"/>
        <v/>
      </c>
      <c r="G175" s="257" t="str">
        <f t="shared" ca="1" si="37"/>
        <v/>
      </c>
      <c r="H175" s="257" t="str">
        <f t="shared" ca="1" si="38"/>
        <v/>
      </c>
      <c r="I175" s="220" t="str">
        <f t="shared" ca="1" si="39"/>
        <v/>
      </c>
    </row>
    <row r="176" spans="1:9" x14ac:dyDescent="0.25">
      <c r="A176" s="254" t="str">
        <f t="shared" ca="1" si="31"/>
        <v/>
      </c>
      <c r="B176" s="255" t="str">
        <f t="shared" ca="1" si="32"/>
        <v/>
      </c>
      <c r="C176" s="256" t="str">
        <f t="shared" ca="1" si="33"/>
        <v/>
      </c>
      <c r="D176" s="257" t="str">
        <f t="shared" ca="1" si="34"/>
        <v/>
      </c>
      <c r="E176" s="808" t="str">
        <f t="shared" ca="1" si="35"/>
        <v/>
      </c>
      <c r="F176" s="253" t="str">
        <f t="shared" ca="1" si="36"/>
        <v/>
      </c>
      <c r="G176" s="257" t="str">
        <f t="shared" ca="1" si="37"/>
        <v/>
      </c>
      <c r="H176" s="257" t="str">
        <f t="shared" ca="1" si="38"/>
        <v/>
      </c>
      <c r="I176" s="220" t="str">
        <f t="shared" ca="1" si="39"/>
        <v/>
      </c>
    </row>
    <row r="177" spans="1:9" x14ac:dyDescent="0.25">
      <c r="A177" s="254" t="str">
        <f t="shared" ca="1" si="31"/>
        <v/>
      </c>
      <c r="B177" s="255" t="str">
        <f t="shared" ca="1" si="32"/>
        <v/>
      </c>
      <c r="C177" s="256" t="str">
        <f t="shared" ca="1" si="33"/>
        <v/>
      </c>
      <c r="D177" s="257" t="str">
        <f t="shared" ca="1" si="34"/>
        <v/>
      </c>
      <c r="E177" s="808" t="str">
        <f t="shared" ca="1" si="35"/>
        <v/>
      </c>
      <c r="F177" s="253" t="str">
        <f t="shared" ca="1" si="36"/>
        <v/>
      </c>
      <c r="G177" s="257" t="str">
        <f t="shared" ca="1" si="37"/>
        <v/>
      </c>
      <c r="H177" s="257" t="str">
        <f t="shared" ca="1" si="38"/>
        <v/>
      </c>
      <c r="I177" s="220" t="str">
        <f t="shared" ca="1" si="39"/>
        <v/>
      </c>
    </row>
    <row r="178" spans="1:9" x14ac:dyDescent="0.25">
      <c r="A178" s="254" t="str">
        <f t="shared" ca="1" si="31"/>
        <v/>
      </c>
      <c r="B178" s="255" t="str">
        <f t="shared" ca="1" si="32"/>
        <v/>
      </c>
      <c r="C178" s="256" t="str">
        <f t="shared" ca="1" si="33"/>
        <v/>
      </c>
      <c r="D178" s="257" t="str">
        <f t="shared" ca="1" si="34"/>
        <v/>
      </c>
      <c r="E178" s="808" t="str">
        <f t="shared" ca="1" si="35"/>
        <v/>
      </c>
      <c r="F178" s="253" t="str">
        <f t="shared" ca="1" si="36"/>
        <v/>
      </c>
      <c r="G178" s="257" t="str">
        <f t="shared" ca="1" si="37"/>
        <v/>
      </c>
      <c r="H178" s="257" t="str">
        <f t="shared" ca="1" si="38"/>
        <v/>
      </c>
      <c r="I178" s="220" t="str">
        <f t="shared" ca="1" si="39"/>
        <v/>
      </c>
    </row>
    <row r="179" spans="1:9" x14ac:dyDescent="0.25">
      <c r="A179" s="254" t="str">
        <f t="shared" ca="1" si="31"/>
        <v/>
      </c>
      <c r="B179" s="255" t="str">
        <f t="shared" ca="1" si="32"/>
        <v/>
      </c>
      <c r="C179" s="256" t="str">
        <f t="shared" ca="1" si="33"/>
        <v/>
      </c>
      <c r="D179" s="257" t="str">
        <f t="shared" ca="1" si="34"/>
        <v/>
      </c>
      <c r="E179" s="808" t="str">
        <f t="shared" ca="1" si="35"/>
        <v/>
      </c>
      <c r="F179" s="253" t="str">
        <f t="shared" ca="1" si="36"/>
        <v/>
      </c>
      <c r="G179" s="257" t="str">
        <f t="shared" ca="1" si="37"/>
        <v/>
      </c>
      <c r="H179" s="257" t="str">
        <f t="shared" ca="1" si="38"/>
        <v/>
      </c>
      <c r="I179" s="220" t="str">
        <f t="shared" ca="1" si="39"/>
        <v/>
      </c>
    </row>
    <row r="180" spans="1:9" x14ac:dyDescent="0.25">
      <c r="A180" s="254" t="str">
        <f t="shared" ca="1" si="31"/>
        <v/>
      </c>
      <c r="B180" s="255" t="str">
        <f t="shared" ca="1" si="32"/>
        <v/>
      </c>
      <c r="C180" s="256" t="str">
        <f t="shared" ca="1" si="33"/>
        <v/>
      </c>
      <c r="D180" s="257" t="str">
        <f t="shared" ca="1" si="34"/>
        <v/>
      </c>
      <c r="E180" s="808" t="str">
        <f t="shared" ca="1" si="35"/>
        <v/>
      </c>
      <c r="F180" s="253" t="str">
        <f t="shared" ca="1" si="36"/>
        <v/>
      </c>
      <c r="G180" s="257" t="str">
        <f t="shared" ca="1" si="37"/>
        <v/>
      </c>
      <c r="H180" s="257" t="str">
        <f t="shared" ca="1" si="38"/>
        <v/>
      </c>
      <c r="I180" s="220" t="str">
        <f t="shared" ca="1" si="39"/>
        <v/>
      </c>
    </row>
    <row r="181" spans="1:9" x14ac:dyDescent="0.25">
      <c r="A181" s="254" t="str">
        <f t="shared" ca="1" si="31"/>
        <v/>
      </c>
      <c r="B181" s="255" t="str">
        <f t="shared" ca="1" si="32"/>
        <v/>
      </c>
      <c r="C181" s="256" t="str">
        <f t="shared" ca="1" si="33"/>
        <v/>
      </c>
      <c r="D181" s="257" t="str">
        <f t="shared" ca="1" si="34"/>
        <v/>
      </c>
      <c r="E181" s="808" t="str">
        <f t="shared" ca="1" si="35"/>
        <v/>
      </c>
      <c r="F181" s="253" t="str">
        <f t="shared" ca="1" si="36"/>
        <v/>
      </c>
      <c r="G181" s="257" t="str">
        <f t="shared" ca="1" si="37"/>
        <v/>
      </c>
      <c r="H181" s="257" t="str">
        <f t="shared" ca="1" si="38"/>
        <v/>
      </c>
      <c r="I181" s="220" t="str">
        <f t="shared" ca="1" si="39"/>
        <v/>
      </c>
    </row>
    <row r="182" spans="1:9" x14ac:dyDescent="0.25">
      <c r="A182" s="254" t="str">
        <f t="shared" ca="1" si="31"/>
        <v/>
      </c>
      <c r="B182" s="255" t="str">
        <f t="shared" ca="1" si="32"/>
        <v/>
      </c>
      <c r="C182" s="256" t="str">
        <f t="shared" ca="1" si="33"/>
        <v/>
      </c>
      <c r="D182" s="257" t="str">
        <f t="shared" ca="1" si="34"/>
        <v/>
      </c>
      <c r="E182" s="808" t="str">
        <f t="shared" ca="1" si="35"/>
        <v/>
      </c>
      <c r="F182" s="253" t="str">
        <f t="shared" ca="1" si="36"/>
        <v/>
      </c>
      <c r="G182" s="257" t="str">
        <f t="shared" ca="1" si="37"/>
        <v/>
      </c>
      <c r="H182" s="257" t="str">
        <f t="shared" ca="1" si="38"/>
        <v/>
      </c>
      <c r="I182" s="220" t="str">
        <f t="shared" ca="1" si="39"/>
        <v/>
      </c>
    </row>
    <row r="183" spans="1:9" x14ac:dyDescent="0.25">
      <c r="A183" s="254" t="str">
        <f t="shared" ca="1" si="31"/>
        <v/>
      </c>
      <c r="B183" s="255" t="str">
        <f t="shared" ca="1" si="32"/>
        <v/>
      </c>
      <c r="C183" s="256" t="str">
        <f t="shared" ca="1" si="33"/>
        <v/>
      </c>
      <c r="D183" s="257" t="str">
        <f t="shared" ca="1" si="34"/>
        <v/>
      </c>
      <c r="E183" s="808" t="str">
        <f t="shared" ca="1" si="35"/>
        <v/>
      </c>
      <c r="F183" s="253" t="str">
        <f t="shared" ca="1" si="36"/>
        <v/>
      </c>
      <c r="G183" s="257" t="str">
        <f t="shared" ca="1" si="37"/>
        <v/>
      </c>
      <c r="H183" s="257" t="str">
        <f t="shared" ca="1" si="38"/>
        <v/>
      </c>
      <c r="I183" s="220" t="str">
        <f t="shared" ca="1" si="39"/>
        <v/>
      </c>
    </row>
    <row r="184" spans="1:9" x14ac:dyDescent="0.25">
      <c r="A184" s="254" t="str">
        <f t="shared" ca="1" si="31"/>
        <v/>
      </c>
      <c r="B184" s="255" t="str">
        <f t="shared" ca="1" si="32"/>
        <v/>
      </c>
      <c r="C184" s="256" t="str">
        <f t="shared" ca="1" si="33"/>
        <v/>
      </c>
      <c r="D184" s="257" t="str">
        <f t="shared" ca="1" si="34"/>
        <v/>
      </c>
      <c r="E184" s="808" t="str">
        <f t="shared" ca="1" si="35"/>
        <v/>
      </c>
      <c r="F184" s="253" t="str">
        <f t="shared" ca="1" si="36"/>
        <v/>
      </c>
      <c r="G184" s="257" t="str">
        <f t="shared" ca="1" si="37"/>
        <v/>
      </c>
      <c r="H184" s="257" t="str">
        <f t="shared" ca="1" si="38"/>
        <v/>
      </c>
      <c r="I184" s="220" t="str">
        <f t="shared" ca="1" si="39"/>
        <v/>
      </c>
    </row>
    <row r="185" spans="1:9" x14ac:dyDescent="0.25">
      <c r="A185" s="254" t="str">
        <f t="shared" ca="1" si="31"/>
        <v/>
      </c>
      <c r="B185" s="255" t="str">
        <f t="shared" ca="1" si="32"/>
        <v/>
      </c>
      <c r="C185" s="256" t="str">
        <f t="shared" ca="1" si="33"/>
        <v/>
      </c>
      <c r="D185" s="257" t="str">
        <f t="shared" ca="1" si="34"/>
        <v/>
      </c>
      <c r="E185" s="808" t="str">
        <f t="shared" ca="1" si="35"/>
        <v/>
      </c>
      <c r="F185" s="253" t="str">
        <f t="shared" ca="1" si="36"/>
        <v/>
      </c>
      <c r="G185" s="257" t="str">
        <f t="shared" ca="1" si="37"/>
        <v/>
      </c>
      <c r="H185" s="257" t="str">
        <f t="shared" ca="1" si="38"/>
        <v/>
      </c>
      <c r="I185" s="220" t="str">
        <f t="shared" ca="1" si="39"/>
        <v/>
      </c>
    </row>
    <row r="186" spans="1:9" x14ac:dyDescent="0.25">
      <c r="A186" s="254" t="str">
        <f t="shared" ca="1" si="31"/>
        <v/>
      </c>
      <c r="B186" s="255" t="str">
        <f t="shared" ca="1" si="32"/>
        <v/>
      </c>
      <c r="C186" s="256" t="str">
        <f t="shared" ca="1" si="33"/>
        <v/>
      </c>
      <c r="D186" s="257" t="str">
        <f t="shared" ca="1" si="34"/>
        <v/>
      </c>
      <c r="E186" s="808" t="str">
        <f t="shared" ca="1" si="35"/>
        <v/>
      </c>
      <c r="F186" s="253" t="str">
        <f t="shared" ca="1" si="36"/>
        <v/>
      </c>
      <c r="G186" s="257" t="str">
        <f t="shared" ca="1" si="37"/>
        <v/>
      </c>
      <c r="H186" s="257" t="str">
        <f t="shared" ca="1" si="38"/>
        <v/>
      </c>
      <c r="I186" s="220" t="str">
        <f t="shared" ca="1" si="39"/>
        <v/>
      </c>
    </row>
    <row r="187" spans="1:9" x14ac:dyDescent="0.25">
      <c r="A187" s="254" t="str">
        <f t="shared" ca="1" si="31"/>
        <v/>
      </c>
      <c r="B187" s="255" t="str">
        <f t="shared" ca="1" si="32"/>
        <v/>
      </c>
      <c r="C187" s="256" t="str">
        <f t="shared" ca="1" si="33"/>
        <v/>
      </c>
      <c r="D187" s="257" t="str">
        <f t="shared" ca="1" si="34"/>
        <v/>
      </c>
      <c r="E187" s="808" t="str">
        <f t="shared" ca="1" si="35"/>
        <v/>
      </c>
      <c r="F187" s="253" t="str">
        <f t="shared" ca="1" si="36"/>
        <v/>
      </c>
      <c r="G187" s="257" t="str">
        <f t="shared" ca="1" si="37"/>
        <v/>
      </c>
      <c r="H187" s="257" t="str">
        <f t="shared" ca="1" si="38"/>
        <v/>
      </c>
      <c r="I187" s="220" t="str">
        <f t="shared" ca="1" si="39"/>
        <v/>
      </c>
    </row>
    <row r="188" spans="1:9" x14ac:dyDescent="0.25">
      <c r="A188" s="254" t="str">
        <f t="shared" ca="1" si="31"/>
        <v/>
      </c>
      <c r="B188" s="255" t="str">
        <f t="shared" ca="1" si="32"/>
        <v/>
      </c>
      <c r="C188" s="256" t="str">
        <f t="shared" ca="1" si="33"/>
        <v/>
      </c>
      <c r="D188" s="257" t="str">
        <f t="shared" ca="1" si="34"/>
        <v/>
      </c>
      <c r="E188" s="808" t="str">
        <f t="shared" ca="1" si="35"/>
        <v/>
      </c>
      <c r="F188" s="253" t="str">
        <f t="shared" ca="1" si="36"/>
        <v/>
      </c>
      <c r="G188" s="257" t="str">
        <f t="shared" ca="1" si="37"/>
        <v/>
      </c>
      <c r="H188" s="257" t="str">
        <f t="shared" ca="1" si="38"/>
        <v/>
      </c>
      <c r="I188" s="220" t="str">
        <f t="shared" ca="1" si="39"/>
        <v/>
      </c>
    </row>
    <row r="189" spans="1:9" x14ac:dyDescent="0.25">
      <c r="A189" s="254" t="str">
        <f t="shared" ca="1" si="31"/>
        <v/>
      </c>
      <c r="B189" s="255" t="str">
        <f t="shared" ca="1" si="32"/>
        <v/>
      </c>
      <c r="C189" s="256" t="str">
        <f t="shared" ca="1" si="33"/>
        <v/>
      </c>
      <c r="D189" s="257" t="str">
        <f t="shared" ca="1" si="34"/>
        <v/>
      </c>
      <c r="E189" s="808" t="str">
        <f t="shared" ca="1" si="35"/>
        <v/>
      </c>
      <c r="F189" s="253" t="str">
        <f t="shared" ca="1" si="36"/>
        <v/>
      </c>
      <c r="G189" s="257" t="str">
        <f t="shared" ca="1" si="37"/>
        <v/>
      </c>
      <c r="H189" s="257" t="str">
        <f t="shared" ca="1" si="38"/>
        <v/>
      </c>
      <c r="I189" s="220" t="str">
        <f t="shared" ca="1" si="39"/>
        <v/>
      </c>
    </row>
    <row r="190" spans="1:9" x14ac:dyDescent="0.25">
      <c r="A190" s="254" t="str">
        <f t="shared" ca="1" si="31"/>
        <v/>
      </c>
      <c r="B190" s="255" t="str">
        <f t="shared" ca="1" si="32"/>
        <v/>
      </c>
      <c r="C190" s="256" t="str">
        <f t="shared" ca="1" si="33"/>
        <v/>
      </c>
      <c r="D190" s="257" t="str">
        <f t="shared" ca="1" si="34"/>
        <v/>
      </c>
      <c r="E190" s="808" t="str">
        <f t="shared" ca="1" si="35"/>
        <v/>
      </c>
      <c r="F190" s="253" t="str">
        <f t="shared" ca="1" si="36"/>
        <v/>
      </c>
      <c r="G190" s="257" t="str">
        <f t="shared" ca="1" si="37"/>
        <v/>
      </c>
      <c r="H190" s="257" t="str">
        <f t="shared" ca="1" si="38"/>
        <v/>
      </c>
      <c r="I190" s="220" t="str">
        <f t="shared" ca="1" si="39"/>
        <v/>
      </c>
    </row>
    <row r="191" spans="1:9" x14ac:dyDescent="0.25">
      <c r="A191" s="254" t="str">
        <f t="shared" ca="1" si="31"/>
        <v/>
      </c>
      <c r="B191" s="255" t="str">
        <f t="shared" ca="1" si="32"/>
        <v/>
      </c>
      <c r="C191" s="256" t="str">
        <f t="shared" ca="1" si="33"/>
        <v/>
      </c>
      <c r="D191" s="257" t="str">
        <f t="shared" ca="1" si="34"/>
        <v/>
      </c>
      <c r="E191" s="808" t="str">
        <f t="shared" ca="1" si="35"/>
        <v/>
      </c>
      <c r="F191" s="253" t="str">
        <f t="shared" ca="1" si="36"/>
        <v/>
      </c>
      <c r="G191" s="257" t="str">
        <f t="shared" ca="1" si="37"/>
        <v/>
      </c>
      <c r="H191" s="257" t="str">
        <f t="shared" ca="1" si="38"/>
        <v/>
      </c>
      <c r="I191" s="220" t="str">
        <f t="shared" ca="1" si="39"/>
        <v/>
      </c>
    </row>
    <row r="192" spans="1:9" x14ac:dyDescent="0.25">
      <c r="A192" s="254" t="str">
        <f t="shared" ca="1" si="31"/>
        <v/>
      </c>
      <c r="B192" s="255" t="str">
        <f t="shared" ca="1" si="32"/>
        <v/>
      </c>
      <c r="C192" s="256" t="str">
        <f t="shared" ca="1" si="33"/>
        <v/>
      </c>
      <c r="D192" s="257" t="str">
        <f t="shared" ca="1" si="34"/>
        <v/>
      </c>
      <c r="E192" s="808" t="str">
        <f t="shared" ca="1" si="35"/>
        <v/>
      </c>
      <c r="F192" s="253" t="str">
        <f t="shared" ca="1" si="36"/>
        <v/>
      </c>
      <c r="G192" s="257" t="str">
        <f t="shared" ca="1" si="37"/>
        <v/>
      </c>
      <c r="H192" s="257" t="str">
        <f t="shared" ca="1" si="38"/>
        <v/>
      </c>
      <c r="I192" s="220" t="str">
        <f t="shared" ca="1" si="39"/>
        <v/>
      </c>
    </row>
    <row r="193" spans="1:9" x14ac:dyDescent="0.25">
      <c r="A193" s="254" t="str">
        <f t="shared" ca="1" si="31"/>
        <v/>
      </c>
      <c r="B193" s="255" t="str">
        <f t="shared" ca="1" si="32"/>
        <v/>
      </c>
      <c r="C193" s="256" t="str">
        <f t="shared" ca="1" si="33"/>
        <v/>
      </c>
      <c r="D193" s="257" t="str">
        <f t="shared" ca="1" si="34"/>
        <v/>
      </c>
      <c r="E193" s="808" t="str">
        <f t="shared" ca="1" si="35"/>
        <v/>
      </c>
      <c r="F193" s="253" t="str">
        <f t="shared" ca="1" si="36"/>
        <v/>
      </c>
      <c r="G193" s="257" t="str">
        <f t="shared" ca="1" si="37"/>
        <v/>
      </c>
      <c r="H193" s="257" t="str">
        <f t="shared" ca="1" si="38"/>
        <v/>
      </c>
      <c r="I193" s="220" t="str">
        <f t="shared" ca="1" si="39"/>
        <v/>
      </c>
    </row>
    <row r="194" spans="1:9" x14ac:dyDescent="0.25">
      <c r="A194" s="254" t="str">
        <f t="shared" ref="A194:A257" ca="1" si="40">IF(OR(H193&lt;=0,H193=""),"",OFFSET(A194,-1,0,1,1)+1)</f>
        <v/>
      </c>
      <c r="B194" s="255" t="str">
        <f t="shared" ref="B194:B257" ca="1" si="41">IF(A194&lt;$H$11+1,DATE(YEAR(B193),MONTH(B193)+3,1),"")</f>
        <v/>
      </c>
      <c r="C194" s="256" t="str">
        <f t="shared" ref="C194:C257" ca="1" si="42">IF(OR(A194=$H$11,A194=$H$14),G193+D194+E194,IF(B194="","",-$D$14))</f>
        <v/>
      </c>
      <c r="D194" s="257" t="str">
        <f t="shared" ref="D194:D257" ca="1" si="43">IF(B194="","",ROUND((B194-B193)*(E194/$D$13+$H$10*($I$10))*G193,2))</f>
        <v/>
      </c>
      <c r="E194" s="808" t="str">
        <f t="shared" ref="E194:E257" ca="1" si="44">IF(B194="","",ROUND((B194-B193)*($H$10*(1-$I$10))*G193,2))</f>
        <v/>
      </c>
      <c r="F194" s="253" t="str">
        <f t="shared" ref="F194:F257" ca="1" si="45">IF(B194="","",MAX(C194-D194,0))</f>
        <v/>
      </c>
      <c r="G194" s="257" t="str">
        <f t="shared" ref="G194:G257" ca="1" si="46">IF(B194="","",-(C194-D194)+G193)</f>
        <v/>
      </c>
      <c r="H194" s="257" t="str">
        <f t="shared" ref="H194:H257" ca="1" si="47">IF(B194="","",G194)</f>
        <v/>
      </c>
      <c r="I194" s="220" t="str">
        <f t="shared" ref="I194:I257" ca="1" si="48">IF(B194="","",YEAR(B194))</f>
        <v/>
      </c>
    </row>
    <row r="195" spans="1:9" x14ac:dyDescent="0.25">
      <c r="A195" s="254" t="str">
        <f t="shared" ca="1" si="40"/>
        <v/>
      </c>
      <c r="B195" s="255" t="str">
        <f t="shared" ca="1" si="41"/>
        <v/>
      </c>
      <c r="C195" s="256" t="str">
        <f t="shared" ca="1" si="42"/>
        <v/>
      </c>
      <c r="D195" s="257" t="str">
        <f t="shared" ca="1" si="43"/>
        <v/>
      </c>
      <c r="E195" s="808" t="str">
        <f t="shared" ca="1" si="44"/>
        <v/>
      </c>
      <c r="F195" s="253" t="str">
        <f t="shared" ca="1" si="45"/>
        <v/>
      </c>
      <c r="G195" s="257" t="str">
        <f t="shared" ca="1" si="46"/>
        <v/>
      </c>
      <c r="H195" s="257" t="str">
        <f t="shared" ca="1" si="47"/>
        <v/>
      </c>
      <c r="I195" s="220" t="str">
        <f t="shared" ca="1" si="48"/>
        <v/>
      </c>
    </row>
    <row r="196" spans="1:9" x14ac:dyDescent="0.25">
      <c r="A196" s="254" t="str">
        <f t="shared" ca="1" si="40"/>
        <v/>
      </c>
      <c r="B196" s="255" t="str">
        <f t="shared" ca="1" si="41"/>
        <v/>
      </c>
      <c r="C196" s="256" t="str">
        <f t="shared" ca="1" si="42"/>
        <v/>
      </c>
      <c r="D196" s="257" t="str">
        <f t="shared" ca="1" si="43"/>
        <v/>
      </c>
      <c r="E196" s="808" t="str">
        <f t="shared" ca="1" si="44"/>
        <v/>
      </c>
      <c r="F196" s="253" t="str">
        <f t="shared" ca="1" si="45"/>
        <v/>
      </c>
      <c r="G196" s="257" t="str">
        <f t="shared" ca="1" si="46"/>
        <v/>
      </c>
      <c r="H196" s="257" t="str">
        <f t="shared" ca="1" si="47"/>
        <v/>
      </c>
      <c r="I196" s="220" t="str">
        <f t="shared" ca="1" si="48"/>
        <v/>
      </c>
    </row>
    <row r="197" spans="1:9" x14ac:dyDescent="0.25">
      <c r="A197" s="254" t="str">
        <f t="shared" ca="1" si="40"/>
        <v/>
      </c>
      <c r="B197" s="255" t="str">
        <f t="shared" ca="1" si="41"/>
        <v/>
      </c>
      <c r="C197" s="256" t="str">
        <f t="shared" ca="1" si="42"/>
        <v/>
      </c>
      <c r="D197" s="257" t="str">
        <f t="shared" ca="1" si="43"/>
        <v/>
      </c>
      <c r="E197" s="808" t="str">
        <f t="shared" ca="1" si="44"/>
        <v/>
      </c>
      <c r="F197" s="253" t="str">
        <f t="shared" ca="1" si="45"/>
        <v/>
      </c>
      <c r="G197" s="257" t="str">
        <f t="shared" ca="1" si="46"/>
        <v/>
      </c>
      <c r="H197" s="257" t="str">
        <f t="shared" ca="1" si="47"/>
        <v/>
      </c>
      <c r="I197" s="220" t="str">
        <f t="shared" ca="1" si="48"/>
        <v/>
      </c>
    </row>
    <row r="198" spans="1:9" x14ac:dyDescent="0.25">
      <c r="A198" s="254" t="str">
        <f t="shared" ca="1" si="40"/>
        <v/>
      </c>
      <c r="B198" s="255" t="str">
        <f t="shared" ca="1" si="41"/>
        <v/>
      </c>
      <c r="C198" s="256" t="str">
        <f t="shared" ca="1" si="42"/>
        <v/>
      </c>
      <c r="D198" s="257" t="str">
        <f t="shared" ca="1" si="43"/>
        <v/>
      </c>
      <c r="E198" s="808" t="str">
        <f t="shared" ca="1" si="44"/>
        <v/>
      </c>
      <c r="F198" s="253" t="str">
        <f t="shared" ca="1" si="45"/>
        <v/>
      </c>
      <c r="G198" s="257" t="str">
        <f t="shared" ca="1" si="46"/>
        <v/>
      </c>
      <c r="H198" s="257" t="str">
        <f t="shared" ca="1" si="47"/>
        <v/>
      </c>
      <c r="I198" s="220" t="str">
        <f t="shared" ca="1" si="48"/>
        <v/>
      </c>
    </row>
    <row r="199" spans="1:9" x14ac:dyDescent="0.25">
      <c r="A199" s="254" t="str">
        <f t="shared" ca="1" si="40"/>
        <v/>
      </c>
      <c r="B199" s="255" t="str">
        <f t="shared" ca="1" si="41"/>
        <v/>
      </c>
      <c r="C199" s="256" t="str">
        <f t="shared" ca="1" si="42"/>
        <v/>
      </c>
      <c r="D199" s="257" t="str">
        <f t="shared" ca="1" si="43"/>
        <v/>
      </c>
      <c r="E199" s="808" t="str">
        <f t="shared" ca="1" si="44"/>
        <v/>
      </c>
      <c r="F199" s="253" t="str">
        <f t="shared" ca="1" si="45"/>
        <v/>
      </c>
      <c r="G199" s="257" t="str">
        <f t="shared" ca="1" si="46"/>
        <v/>
      </c>
      <c r="H199" s="257" t="str">
        <f t="shared" ca="1" si="47"/>
        <v/>
      </c>
      <c r="I199" s="220" t="str">
        <f t="shared" ca="1" si="48"/>
        <v/>
      </c>
    </row>
    <row r="200" spans="1:9" x14ac:dyDescent="0.25">
      <c r="A200" s="254" t="str">
        <f t="shared" ca="1" si="40"/>
        <v/>
      </c>
      <c r="B200" s="255" t="str">
        <f t="shared" ca="1" si="41"/>
        <v/>
      </c>
      <c r="C200" s="256" t="str">
        <f t="shared" ca="1" si="42"/>
        <v/>
      </c>
      <c r="D200" s="257" t="str">
        <f t="shared" ca="1" si="43"/>
        <v/>
      </c>
      <c r="E200" s="808" t="str">
        <f t="shared" ca="1" si="44"/>
        <v/>
      </c>
      <c r="F200" s="253" t="str">
        <f t="shared" ca="1" si="45"/>
        <v/>
      </c>
      <c r="G200" s="257" t="str">
        <f t="shared" ca="1" si="46"/>
        <v/>
      </c>
      <c r="H200" s="257" t="str">
        <f t="shared" ca="1" si="47"/>
        <v/>
      </c>
      <c r="I200" s="220" t="str">
        <f t="shared" ca="1" si="48"/>
        <v/>
      </c>
    </row>
    <row r="201" spans="1:9" x14ac:dyDescent="0.25">
      <c r="A201" s="254" t="str">
        <f t="shared" ca="1" si="40"/>
        <v/>
      </c>
      <c r="B201" s="255" t="str">
        <f t="shared" ca="1" si="41"/>
        <v/>
      </c>
      <c r="C201" s="256" t="str">
        <f t="shared" ca="1" si="42"/>
        <v/>
      </c>
      <c r="D201" s="257" t="str">
        <f t="shared" ca="1" si="43"/>
        <v/>
      </c>
      <c r="E201" s="808" t="str">
        <f t="shared" ca="1" si="44"/>
        <v/>
      </c>
      <c r="F201" s="253" t="str">
        <f t="shared" ca="1" si="45"/>
        <v/>
      </c>
      <c r="G201" s="257" t="str">
        <f t="shared" ca="1" si="46"/>
        <v/>
      </c>
      <c r="H201" s="257" t="str">
        <f t="shared" ca="1" si="47"/>
        <v/>
      </c>
      <c r="I201" s="220" t="str">
        <f t="shared" ca="1" si="48"/>
        <v/>
      </c>
    </row>
    <row r="202" spans="1:9" x14ac:dyDescent="0.25">
      <c r="A202" s="254" t="str">
        <f t="shared" ca="1" si="40"/>
        <v/>
      </c>
      <c r="B202" s="255" t="str">
        <f t="shared" ca="1" si="41"/>
        <v/>
      </c>
      <c r="C202" s="256" t="str">
        <f t="shared" ca="1" si="42"/>
        <v/>
      </c>
      <c r="D202" s="257" t="str">
        <f t="shared" ca="1" si="43"/>
        <v/>
      </c>
      <c r="E202" s="808" t="str">
        <f t="shared" ca="1" si="44"/>
        <v/>
      </c>
      <c r="F202" s="253" t="str">
        <f t="shared" ca="1" si="45"/>
        <v/>
      </c>
      <c r="G202" s="257" t="str">
        <f t="shared" ca="1" si="46"/>
        <v/>
      </c>
      <c r="H202" s="257" t="str">
        <f t="shared" ca="1" si="47"/>
        <v/>
      </c>
      <c r="I202" s="220" t="str">
        <f t="shared" ca="1" si="48"/>
        <v/>
      </c>
    </row>
    <row r="203" spans="1:9" x14ac:dyDescent="0.25">
      <c r="A203" s="254" t="str">
        <f t="shared" ca="1" si="40"/>
        <v/>
      </c>
      <c r="B203" s="255" t="str">
        <f t="shared" ca="1" si="41"/>
        <v/>
      </c>
      <c r="C203" s="256" t="str">
        <f t="shared" ca="1" si="42"/>
        <v/>
      </c>
      <c r="D203" s="257" t="str">
        <f t="shared" ca="1" si="43"/>
        <v/>
      </c>
      <c r="E203" s="808" t="str">
        <f t="shared" ca="1" si="44"/>
        <v/>
      </c>
      <c r="F203" s="253" t="str">
        <f t="shared" ca="1" si="45"/>
        <v/>
      </c>
      <c r="G203" s="257" t="str">
        <f t="shared" ca="1" si="46"/>
        <v/>
      </c>
      <c r="H203" s="257" t="str">
        <f t="shared" ca="1" si="47"/>
        <v/>
      </c>
      <c r="I203" s="220" t="str">
        <f t="shared" ca="1" si="48"/>
        <v/>
      </c>
    </row>
    <row r="204" spans="1:9" x14ac:dyDescent="0.25">
      <c r="A204" s="254" t="str">
        <f t="shared" ca="1" si="40"/>
        <v/>
      </c>
      <c r="B204" s="255" t="str">
        <f t="shared" ca="1" si="41"/>
        <v/>
      </c>
      <c r="C204" s="256" t="str">
        <f t="shared" ca="1" si="42"/>
        <v/>
      </c>
      <c r="D204" s="257" t="str">
        <f t="shared" ca="1" si="43"/>
        <v/>
      </c>
      <c r="E204" s="808" t="str">
        <f t="shared" ca="1" si="44"/>
        <v/>
      </c>
      <c r="F204" s="253" t="str">
        <f t="shared" ca="1" si="45"/>
        <v/>
      </c>
      <c r="G204" s="257" t="str">
        <f t="shared" ca="1" si="46"/>
        <v/>
      </c>
      <c r="H204" s="257" t="str">
        <f t="shared" ca="1" si="47"/>
        <v/>
      </c>
      <c r="I204" s="220" t="str">
        <f t="shared" ca="1" si="48"/>
        <v/>
      </c>
    </row>
    <row r="205" spans="1:9" x14ac:dyDescent="0.25">
      <c r="A205" s="254" t="str">
        <f t="shared" ca="1" si="40"/>
        <v/>
      </c>
      <c r="B205" s="255" t="str">
        <f t="shared" ca="1" si="41"/>
        <v/>
      </c>
      <c r="C205" s="256" t="str">
        <f t="shared" ca="1" si="42"/>
        <v/>
      </c>
      <c r="D205" s="257" t="str">
        <f t="shared" ca="1" si="43"/>
        <v/>
      </c>
      <c r="E205" s="808" t="str">
        <f t="shared" ca="1" si="44"/>
        <v/>
      </c>
      <c r="F205" s="253" t="str">
        <f t="shared" ca="1" si="45"/>
        <v/>
      </c>
      <c r="G205" s="257" t="str">
        <f t="shared" ca="1" si="46"/>
        <v/>
      </c>
      <c r="H205" s="257" t="str">
        <f t="shared" ca="1" si="47"/>
        <v/>
      </c>
      <c r="I205" s="220" t="str">
        <f t="shared" ca="1" si="48"/>
        <v/>
      </c>
    </row>
    <row r="206" spans="1:9" x14ac:dyDescent="0.25">
      <c r="A206" s="254" t="str">
        <f t="shared" ca="1" si="40"/>
        <v/>
      </c>
      <c r="B206" s="255" t="str">
        <f t="shared" ca="1" si="41"/>
        <v/>
      </c>
      <c r="C206" s="256" t="str">
        <f t="shared" ca="1" si="42"/>
        <v/>
      </c>
      <c r="D206" s="257" t="str">
        <f t="shared" ca="1" si="43"/>
        <v/>
      </c>
      <c r="E206" s="808" t="str">
        <f t="shared" ca="1" si="44"/>
        <v/>
      </c>
      <c r="F206" s="253" t="str">
        <f t="shared" ca="1" si="45"/>
        <v/>
      </c>
      <c r="G206" s="257" t="str">
        <f t="shared" ca="1" si="46"/>
        <v/>
      </c>
      <c r="H206" s="257" t="str">
        <f t="shared" ca="1" si="47"/>
        <v/>
      </c>
      <c r="I206" s="220" t="str">
        <f t="shared" ca="1" si="48"/>
        <v/>
      </c>
    </row>
    <row r="207" spans="1:9" x14ac:dyDescent="0.25">
      <c r="A207" s="254" t="str">
        <f t="shared" ca="1" si="40"/>
        <v/>
      </c>
      <c r="B207" s="255" t="str">
        <f t="shared" ca="1" si="41"/>
        <v/>
      </c>
      <c r="C207" s="256" t="str">
        <f t="shared" ca="1" si="42"/>
        <v/>
      </c>
      <c r="D207" s="257" t="str">
        <f t="shared" ca="1" si="43"/>
        <v/>
      </c>
      <c r="E207" s="808" t="str">
        <f t="shared" ca="1" si="44"/>
        <v/>
      </c>
      <c r="F207" s="253" t="str">
        <f t="shared" ca="1" si="45"/>
        <v/>
      </c>
      <c r="G207" s="257" t="str">
        <f t="shared" ca="1" si="46"/>
        <v/>
      </c>
      <c r="H207" s="257" t="str">
        <f t="shared" ca="1" si="47"/>
        <v/>
      </c>
      <c r="I207" s="220" t="str">
        <f t="shared" ca="1" si="48"/>
        <v/>
      </c>
    </row>
    <row r="208" spans="1:9" x14ac:dyDescent="0.25">
      <c r="A208" s="254" t="str">
        <f t="shared" ca="1" si="40"/>
        <v/>
      </c>
      <c r="B208" s="255" t="str">
        <f t="shared" ca="1" si="41"/>
        <v/>
      </c>
      <c r="C208" s="256" t="str">
        <f t="shared" ca="1" si="42"/>
        <v/>
      </c>
      <c r="D208" s="257" t="str">
        <f t="shared" ca="1" si="43"/>
        <v/>
      </c>
      <c r="E208" s="808" t="str">
        <f t="shared" ca="1" si="44"/>
        <v/>
      </c>
      <c r="F208" s="253" t="str">
        <f t="shared" ca="1" si="45"/>
        <v/>
      </c>
      <c r="G208" s="257" t="str">
        <f t="shared" ca="1" si="46"/>
        <v/>
      </c>
      <c r="H208" s="257" t="str">
        <f t="shared" ca="1" si="47"/>
        <v/>
      </c>
      <c r="I208" s="220" t="str">
        <f t="shared" ca="1" si="48"/>
        <v/>
      </c>
    </row>
    <row r="209" spans="1:9" x14ac:dyDescent="0.25">
      <c r="A209" s="254" t="str">
        <f t="shared" ca="1" si="40"/>
        <v/>
      </c>
      <c r="B209" s="255" t="str">
        <f t="shared" ca="1" si="41"/>
        <v/>
      </c>
      <c r="C209" s="256" t="str">
        <f t="shared" ca="1" si="42"/>
        <v/>
      </c>
      <c r="D209" s="257" t="str">
        <f t="shared" ca="1" si="43"/>
        <v/>
      </c>
      <c r="E209" s="808" t="str">
        <f t="shared" ca="1" si="44"/>
        <v/>
      </c>
      <c r="F209" s="253" t="str">
        <f t="shared" ca="1" si="45"/>
        <v/>
      </c>
      <c r="G209" s="257" t="str">
        <f t="shared" ca="1" si="46"/>
        <v/>
      </c>
      <c r="H209" s="257" t="str">
        <f t="shared" ca="1" si="47"/>
        <v/>
      </c>
      <c r="I209" s="220" t="str">
        <f t="shared" ca="1" si="48"/>
        <v/>
      </c>
    </row>
    <row r="210" spans="1:9" x14ac:dyDescent="0.25">
      <c r="A210" s="254" t="str">
        <f t="shared" ca="1" si="40"/>
        <v/>
      </c>
      <c r="B210" s="255" t="str">
        <f t="shared" ca="1" si="41"/>
        <v/>
      </c>
      <c r="C210" s="256" t="str">
        <f t="shared" ca="1" si="42"/>
        <v/>
      </c>
      <c r="D210" s="257" t="str">
        <f t="shared" ca="1" si="43"/>
        <v/>
      </c>
      <c r="E210" s="808" t="str">
        <f t="shared" ca="1" si="44"/>
        <v/>
      </c>
      <c r="F210" s="253" t="str">
        <f t="shared" ca="1" si="45"/>
        <v/>
      </c>
      <c r="G210" s="257" t="str">
        <f t="shared" ca="1" si="46"/>
        <v/>
      </c>
      <c r="H210" s="257" t="str">
        <f t="shared" ca="1" si="47"/>
        <v/>
      </c>
      <c r="I210" s="220" t="str">
        <f t="shared" ca="1" si="48"/>
        <v/>
      </c>
    </row>
    <row r="211" spans="1:9" x14ac:dyDescent="0.25">
      <c r="A211" s="254" t="str">
        <f t="shared" ca="1" si="40"/>
        <v/>
      </c>
      <c r="B211" s="255" t="str">
        <f t="shared" ca="1" si="41"/>
        <v/>
      </c>
      <c r="C211" s="256" t="str">
        <f t="shared" ca="1" si="42"/>
        <v/>
      </c>
      <c r="D211" s="257" t="str">
        <f t="shared" ca="1" si="43"/>
        <v/>
      </c>
      <c r="E211" s="808" t="str">
        <f t="shared" ca="1" si="44"/>
        <v/>
      </c>
      <c r="F211" s="253" t="str">
        <f t="shared" ca="1" si="45"/>
        <v/>
      </c>
      <c r="G211" s="257" t="str">
        <f t="shared" ca="1" si="46"/>
        <v/>
      </c>
      <c r="H211" s="257" t="str">
        <f t="shared" ca="1" si="47"/>
        <v/>
      </c>
      <c r="I211" s="220" t="str">
        <f t="shared" ca="1" si="48"/>
        <v/>
      </c>
    </row>
    <row r="212" spans="1:9" x14ac:dyDescent="0.25">
      <c r="A212" s="254" t="str">
        <f t="shared" ca="1" si="40"/>
        <v/>
      </c>
      <c r="B212" s="255" t="str">
        <f t="shared" ca="1" si="41"/>
        <v/>
      </c>
      <c r="C212" s="256" t="str">
        <f t="shared" ca="1" si="42"/>
        <v/>
      </c>
      <c r="D212" s="257" t="str">
        <f t="shared" ca="1" si="43"/>
        <v/>
      </c>
      <c r="E212" s="808" t="str">
        <f t="shared" ca="1" si="44"/>
        <v/>
      </c>
      <c r="F212" s="253" t="str">
        <f t="shared" ca="1" si="45"/>
        <v/>
      </c>
      <c r="G212" s="257" t="str">
        <f t="shared" ca="1" si="46"/>
        <v/>
      </c>
      <c r="H212" s="257" t="str">
        <f t="shared" ca="1" si="47"/>
        <v/>
      </c>
      <c r="I212" s="220" t="str">
        <f t="shared" ca="1" si="48"/>
        <v/>
      </c>
    </row>
    <row r="213" spans="1:9" x14ac:dyDescent="0.25">
      <c r="A213" s="254" t="str">
        <f t="shared" ca="1" si="40"/>
        <v/>
      </c>
      <c r="B213" s="255" t="str">
        <f t="shared" ca="1" si="41"/>
        <v/>
      </c>
      <c r="C213" s="256" t="str">
        <f t="shared" ca="1" si="42"/>
        <v/>
      </c>
      <c r="D213" s="257" t="str">
        <f t="shared" ca="1" si="43"/>
        <v/>
      </c>
      <c r="E213" s="808" t="str">
        <f t="shared" ca="1" si="44"/>
        <v/>
      </c>
      <c r="F213" s="253" t="str">
        <f t="shared" ca="1" si="45"/>
        <v/>
      </c>
      <c r="G213" s="257" t="str">
        <f t="shared" ca="1" si="46"/>
        <v/>
      </c>
      <c r="H213" s="257" t="str">
        <f t="shared" ca="1" si="47"/>
        <v/>
      </c>
      <c r="I213" s="220" t="str">
        <f t="shared" ca="1" si="48"/>
        <v/>
      </c>
    </row>
    <row r="214" spans="1:9" x14ac:dyDescent="0.25">
      <c r="A214" s="254" t="str">
        <f t="shared" ca="1" si="40"/>
        <v/>
      </c>
      <c r="B214" s="255" t="str">
        <f t="shared" ca="1" si="41"/>
        <v/>
      </c>
      <c r="C214" s="256" t="str">
        <f t="shared" ca="1" si="42"/>
        <v/>
      </c>
      <c r="D214" s="257" t="str">
        <f t="shared" ca="1" si="43"/>
        <v/>
      </c>
      <c r="E214" s="808" t="str">
        <f t="shared" ca="1" si="44"/>
        <v/>
      </c>
      <c r="F214" s="253" t="str">
        <f t="shared" ca="1" si="45"/>
        <v/>
      </c>
      <c r="G214" s="257" t="str">
        <f t="shared" ca="1" si="46"/>
        <v/>
      </c>
      <c r="H214" s="257" t="str">
        <f t="shared" ca="1" si="47"/>
        <v/>
      </c>
      <c r="I214" s="220" t="str">
        <f t="shared" ca="1" si="48"/>
        <v/>
      </c>
    </row>
    <row r="215" spans="1:9" x14ac:dyDescent="0.25">
      <c r="A215" s="254" t="str">
        <f t="shared" ca="1" si="40"/>
        <v/>
      </c>
      <c r="B215" s="255" t="str">
        <f t="shared" ca="1" si="41"/>
        <v/>
      </c>
      <c r="C215" s="256" t="str">
        <f t="shared" ca="1" si="42"/>
        <v/>
      </c>
      <c r="D215" s="257" t="str">
        <f t="shared" ca="1" si="43"/>
        <v/>
      </c>
      <c r="E215" s="808" t="str">
        <f t="shared" ca="1" si="44"/>
        <v/>
      </c>
      <c r="F215" s="253" t="str">
        <f t="shared" ca="1" si="45"/>
        <v/>
      </c>
      <c r="G215" s="257" t="str">
        <f t="shared" ca="1" si="46"/>
        <v/>
      </c>
      <c r="H215" s="257" t="str">
        <f t="shared" ca="1" si="47"/>
        <v/>
      </c>
      <c r="I215" s="220" t="str">
        <f t="shared" ca="1" si="48"/>
        <v/>
      </c>
    </row>
    <row r="216" spans="1:9" x14ac:dyDescent="0.25">
      <c r="A216" s="254" t="str">
        <f t="shared" ca="1" si="40"/>
        <v/>
      </c>
      <c r="B216" s="255" t="str">
        <f t="shared" ca="1" si="41"/>
        <v/>
      </c>
      <c r="C216" s="256" t="str">
        <f t="shared" ca="1" si="42"/>
        <v/>
      </c>
      <c r="D216" s="257" t="str">
        <f t="shared" ca="1" si="43"/>
        <v/>
      </c>
      <c r="E216" s="808" t="str">
        <f t="shared" ca="1" si="44"/>
        <v/>
      </c>
      <c r="F216" s="253" t="str">
        <f t="shared" ca="1" si="45"/>
        <v/>
      </c>
      <c r="G216" s="257" t="str">
        <f t="shared" ca="1" si="46"/>
        <v/>
      </c>
      <c r="H216" s="257" t="str">
        <f t="shared" ca="1" si="47"/>
        <v/>
      </c>
      <c r="I216" s="220" t="str">
        <f t="shared" ca="1" si="48"/>
        <v/>
      </c>
    </row>
    <row r="217" spans="1:9" x14ac:dyDescent="0.25">
      <c r="A217" s="254" t="str">
        <f t="shared" ca="1" si="40"/>
        <v/>
      </c>
      <c r="B217" s="255" t="str">
        <f t="shared" ca="1" si="41"/>
        <v/>
      </c>
      <c r="C217" s="256" t="str">
        <f t="shared" ca="1" si="42"/>
        <v/>
      </c>
      <c r="D217" s="257" t="str">
        <f t="shared" ca="1" si="43"/>
        <v/>
      </c>
      <c r="E217" s="808" t="str">
        <f t="shared" ca="1" si="44"/>
        <v/>
      </c>
      <c r="F217" s="253" t="str">
        <f t="shared" ca="1" si="45"/>
        <v/>
      </c>
      <c r="G217" s="257" t="str">
        <f t="shared" ca="1" si="46"/>
        <v/>
      </c>
      <c r="H217" s="257" t="str">
        <f t="shared" ca="1" si="47"/>
        <v/>
      </c>
      <c r="I217" s="220" t="str">
        <f t="shared" ca="1" si="48"/>
        <v/>
      </c>
    </row>
    <row r="218" spans="1:9" x14ac:dyDescent="0.25">
      <c r="A218" s="254" t="str">
        <f t="shared" ca="1" si="40"/>
        <v/>
      </c>
      <c r="B218" s="255" t="str">
        <f t="shared" ca="1" si="41"/>
        <v/>
      </c>
      <c r="C218" s="256" t="str">
        <f t="shared" ca="1" si="42"/>
        <v/>
      </c>
      <c r="D218" s="257" t="str">
        <f t="shared" ca="1" si="43"/>
        <v/>
      </c>
      <c r="E218" s="808" t="str">
        <f t="shared" ca="1" si="44"/>
        <v/>
      </c>
      <c r="F218" s="253" t="str">
        <f t="shared" ca="1" si="45"/>
        <v/>
      </c>
      <c r="G218" s="257" t="str">
        <f t="shared" ca="1" si="46"/>
        <v/>
      </c>
      <c r="H218" s="257" t="str">
        <f t="shared" ca="1" si="47"/>
        <v/>
      </c>
      <c r="I218" s="220" t="str">
        <f t="shared" ca="1" si="48"/>
        <v/>
      </c>
    </row>
    <row r="219" spans="1:9" x14ac:dyDescent="0.25">
      <c r="A219" s="254" t="str">
        <f t="shared" ca="1" si="40"/>
        <v/>
      </c>
      <c r="B219" s="255" t="str">
        <f t="shared" ca="1" si="41"/>
        <v/>
      </c>
      <c r="C219" s="256" t="str">
        <f t="shared" ca="1" si="42"/>
        <v/>
      </c>
      <c r="D219" s="257" t="str">
        <f t="shared" ca="1" si="43"/>
        <v/>
      </c>
      <c r="E219" s="808" t="str">
        <f t="shared" ca="1" si="44"/>
        <v/>
      </c>
      <c r="F219" s="253" t="str">
        <f t="shared" ca="1" si="45"/>
        <v/>
      </c>
      <c r="G219" s="257" t="str">
        <f t="shared" ca="1" si="46"/>
        <v/>
      </c>
      <c r="H219" s="257" t="str">
        <f t="shared" ca="1" si="47"/>
        <v/>
      </c>
      <c r="I219" s="220" t="str">
        <f t="shared" ca="1" si="48"/>
        <v/>
      </c>
    </row>
    <row r="220" spans="1:9" x14ac:dyDescent="0.25">
      <c r="A220" s="254" t="str">
        <f t="shared" ca="1" si="40"/>
        <v/>
      </c>
      <c r="B220" s="255" t="str">
        <f t="shared" ca="1" si="41"/>
        <v/>
      </c>
      <c r="C220" s="256" t="str">
        <f t="shared" ca="1" si="42"/>
        <v/>
      </c>
      <c r="D220" s="257" t="str">
        <f t="shared" ca="1" si="43"/>
        <v/>
      </c>
      <c r="E220" s="808" t="str">
        <f t="shared" ca="1" si="44"/>
        <v/>
      </c>
      <c r="F220" s="253" t="str">
        <f t="shared" ca="1" si="45"/>
        <v/>
      </c>
      <c r="G220" s="257" t="str">
        <f t="shared" ca="1" si="46"/>
        <v/>
      </c>
      <c r="H220" s="257" t="str">
        <f t="shared" ca="1" si="47"/>
        <v/>
      </c>
      <c r="I220" s="220" t="str">
        <f t="shared" ca="1" si="48"/>
        <v/>
      </c>
    </row>
    <row r="221" spans="1:9" x14ac:dyDescent="0.25">
      <c r="A221" s="254" t="str">
        <f t="shared" ca="1" si="40"/>
        <v/>
      </c>
      <c r="B221" s="255" t="str">
        <f t="shared" ca="1" si="41"/>
        <v/>
      </c>
      <c r="C221" s="256" t="str">
        <f t="shared" ca="1" si="42"/>
        <v/>
      </c>
      <c r="D221" s="257" t="str">
        <f t="shared" ca="1" si="43"/>
        <v/>
      </c>
      <c r="E221" s="808" t="str">
        <f t="shared" ca="1" si="44"/>
        <v/>
      </c>
      <c r="F221" s="253" t="str">
        <f t="shared" ca="1" si="45"/>
        <v/>
      </c>
      <c r="G221" s="257" t="str">
        <f t="shared" ca="1" si="46"/>
        <v/>
      </c>
      <c r="H221" s="257" t="str">
        <f t="shared" ca="1" si="47"/>
        <v/>
      </c>
      <c r="I221" s="220" t="str">
        <f t="shared" ca="1" si="48"/>
        <v/>
      </c>
    </row>
    <row r="222" spans="1:9" x14ac:dyDescent="0.25">
      <c r="A222" s="254" t="str">
        <f t="shared" ca="1" si="40"/>
        <v/>
      </c>
      <c r="B222" s="255" t="str">
        <f t="shared" ca="1" si="41"/>
        <v/>
      </c>
      <c r="C222" s="256" t="str">
        <f t="shared" ca="1" si="42"/>
        <v/>
      </c>
      <c r="D222" s="257" t="str">
        <f t="shared" ca="1" si="43"/>
        <v/>
      </c>
      <c r="E222" s="808" t="str">
        <f t="shared" ca="1" si="44"/>
        <v/>
      </c>
      <c r="F222" s="253" t="str">
        <f t="shared" ca="1" si="45"/>
        <v/>
      </c>
      <c r="G222" s="257" t="str">
        <f t="shared" ca="1" si="46"/>
        <v/>
      </c>
      <c r="H222" s="257" t="str">
        <f t="shared" ca="1" si="47"/>
        <v/>
      </c>
      <c r="I222" s="220" t="str">
        <f t="shared" ca="1" si="48"/>
        <v/>
      </c>
    </row>
    <row r="223" spans="1:9" x14ac:dyDescent="0.25">
      <c r="A223" s="254" t="str">
        <f t="shared" ca="1" si="40"/>
        <v/>
      </c>
      <c r="B223" s="255" t="str">
        <f t="shared" ca="1" si="41"/>
        <v/>
      </c>
      <c r="C223" s="256" t="str">
        <f t="shared" ca="1" si="42"/>
        <v/>
      </c>
      <c r="D223" s="257" t="str">
        <f t="shared" ca="1" si="43"/>
        <v/>
      </c>
      <c r="E223" s="808" t="str">
        <f t="shared" ca="1" si="44"/>
        <v/>
      </c>
      <c r="F223" s="253" t="str">
        <f t="shared" ca="1" si="45"/>
        <v/>
      </c>
      <c r="G223" s="257" t="str">
        <f t="shared" ca="1" si="46"/>
        <v/>
      </c>
      <c r="H223" s="257" t="str">
        <f t="shared" ca="1" si="47"/>
        <v/>
      </c>
      <c r="I223" s="220" t="str">
        <f t="shared" ca="1" si="48"/>
        <v/>
      </c>
    </row>
    <row r="224" spans="1:9" x14ac:dyDescent="0.25">
      <c r="A224" s="254" t="str">
        <f t="shared" ca="1" si="40"/>
        <v/>
      </c>
      <c r="B224" s="255" t="str">
        <f t="shared" ca="1" si="41"/>
        <v/>
      </c>
      <c r="C224" s="256" t="str">
        <f t="shared" ca="1" si="42"/>
        <v/>
      </c>
      <c r="D224" s="257" t="str">
        <f t="shared" ca="1" si="43"/>
        <v/>
      </c>
      <c r="E224" s="808" t="str">
        <f t="shared" ca="1" si="44"/>
        <v/>
      </c>
      <c r="F224" s="253" t="str">
        <f t="shared" ca="1" si="45"/>
        <v/>
      </c>
      <c r="G224" s="257" t="str">
        <f t="shared" ca="1" si="46"/>
        <v/>
      </c>
      <c r="H224" s="257" t="str">
        <f t="shared" ca="1" si="47"/>
        <v/>
      </c>
      <c r="I224" s="220" t="str">
        <f t="shared" ca="1" si="48"/>
        <v/>
      </c>
    </row>
    <row r="225" spans="1:9" x14ac:dyDescent="0.25">
      <c r="A225" s="254" t="str">
        <f t="shared" ca="1" si="40"/>
        <v/>
      </c>
      <c r="B225" s="255" t="str">
        <f t="shared" ca="1" si="41"/>
        <v/>
      </c>
      <c r="C225" s="256" t="str">
        <f t="shared" ca="1" si="42"/>
        <v/>
      </c>
      <c r="D225" s="257" t="str">
        <f t="shared" ca="1" si="43"/>
        <v/>
      </c>
      <c r="E225" s="808" t="str">
        <f t="shared" ca="1" si="44"/>
        <v/>
      </c>
      <c r="F225" s="253" t="str">
        <f t="shared" ca="1" si="45"/>
        <v/>
      </c>
      <c r="G225" s="257" t="str">
        <f t="shared" ca="1" si="46"/>
        <v/>
      </c>
      <c r="H225" s="257" t="str">
        <f t="shared" ca="1" si="47"/>
        <v/>
      </c>
      <c r="I225" s="220" t="str">
        <f t="shared" ca="1" si="48"/>
        <v/>
      </c>
    </row>
    <row r="226" spans="1:9" x14ac:dyDescent="0.25">
      <c r="A226" s="254" t="str">
        <f t="shared" ca="1" si="40"/>
        <v/>
      </c>
      <c r="B226" s="255" t="str">
        <f t="shared" ca="1" si="41"/>
        <v/>
      </c>
      <c r="C226" s="256" t="str">
        <f t="shared" ca="1" si="42"/>
        <v/>
      </c>
      <c r="D226" s="257" t="str">
        <f t="shared" ca="1" si="43"/>
        <v/>
      </c>
      <c r="E226" s="808" t="str">
        <f t="shared" ca="1" si="44"/>
        <v/>
      </c>
      <c r="F226" s="253" t="str">
        <f t="shared" ca="1" si="45"/>
        <v/>
      </c>
      <c r="G226" s="257" t="str">
        <f t="shared" ca="1" si="46"/>
        <v/>
      </c>
      <c r="H226" s="257" t="str">
        <f t="shared" ca="1" si="47"/>
        <v/>
      </c>
      <c r="I226" s="220" t="str">
        <f t="shared" ca="1" si="48"/>
        <v/>
      </c>
    </row>
    <row r="227" spans="1:9" x14ac:dyDescent="0.25">
      <c r="A227" s="254" t="str">
        <f t="shared" ca="1" si="40"/>
        <v/>
      </c>
      <c r="B227" s="255" t="str">
        <f t="shared" ca="1" si="41"/>
        <v/>
      </c>
      <c r="C227" s="256" t="str">
        <f t="shared" ca="1" si="42"/>
        <v/>
      </c>
      <c r="D227" s="257" t="str">
        <f t="shared" ca="1" si="43"/>
        <v/>
      </c>
      <c r="E227" s="808" t="str">
        <f t="shared" ca="1" si="44"/>
        <v/>
      </c>
      <c r="F227" s="253" t="str">
        <f t="shared" ca="1" si="45"/>
        <v/>
      </c>
      <c r="G227" s="257" t="str">
        <f t="shared" ca="1" si="46"/>
        <v/>
      </c>
      <c r="H227" s="257" t="str">
        <f t="shared" ca="1" si="47"/>
        <v/>
      </c>
      <c r="I227" s="220" t="str">
        <f t="shared" ca="1" si="48"/>
        <v/>
      </c>
    </row>
    <row r="228" spans="1:9" x14ac:dyDescent="0.25">
      <c r="A228" s="254" t="str">
        <f t="shared" ca="1" si="40"/>
        <v/>
      </c>
      <c r="B228" s="255" t="str">
        <f t="shared" ca="1" si="41"/>
        <v/>
      </c>
      <c r="C228" s="256" t="str">
        <f t="shared" ca="1" si="42"/>
        <v/>
      </c>
      <c r="D228" s="257" t="str">
        <f t="shared" ca="1" si="43"/>
        <v/>
      </c>
      <c r="E228" s="808" t="str">
        <f t="shared" ca="1" si="44"/>
        <v/>
      </c>
      <c r="F228" s="253" t="str">
        <f t="shared" ca="1" si="45"/>
        <v/>
      </c>
      <c r="G228" s="257" t="str">
        <f t="shared" ca="1" si="46"/>
        <v/>
      </c>
      <c r="H228" s="257" t="str">
        <f t="shared" ca="1" si="47"/>
        <v/>
      </c>
      <c r="I228" s="220" t="str">
        <f t="shared" ca="1" si="48"/>
        <v/>
      </c>
    </row>
    <row r="229" spans="1:9" x14ac:dyDescent="0.25">
      <c r="A229" s="254" t="str">
        <f t="shared" ca="1" si="40"/>
        <v/>
      </c>
      <c r="B229" s="255" t="str">
        <f t="shared" ca="1" si="41"/>
        <v/>
      </c>
      <c r="C229" s="256" t="str">
        <f t="shared" ca="1" si="42"/>
        <v/>
      </c>
      <c r="D229" s="257" t="str">
        <f t="shared" ca="1" si="43"/>
        <v/>
      </c>
      <c r="E229" s="808" t="str">
        <f t="shared" ca="1" si="44"/>
        <v/>
      </c>
      <c r="F229" s="253" t="str">
        <f t="shared" ca="1" si="45"/>
        <v/>
      </c>
      <c r="G229" s="257" t="str">
        <f t="shared" ca="1" si="46"/>
        <v/>
      </c>
      <c r="H229" s="257" t="str">
        <f t="shared" ca="1" si="47"/>
        <v/>
      </c>
      <c r="I229" s="220" t="str">
        <f t="shared" ca="1" si="48"/>
        <v/>
      </c>
    </row>
    <row r="230" spans="1:9" x14ac:dyDescent="0.25">
      <c r="A230" s="254" t="str">
        <f t="shared" ca="1" si="40"/>
        <v/>
      </c>
      <c r="B230" s="255" t="str">
        <f t="shared" ca="1" si="41"/>
        <v/>
      </c>
      <c r="C230" s="256" t="str">
        <f t="shared" ca="1" si="42"/>
        <v/>
      </c>
      <c r="D230" s="257" t="str">
        <f t="shared" ca="1" si="43"/>
        <v/>
      </c>
      <c r="E230" s="808" t="str">
        <f t="shared" ca="1" si="44"/>
        <v/>
      </c>
      <c r="F230" s="253" t="str">
        <f t="shared" ca="1" si="45"/>
        <v/>
      </c>
      <c r="G230" s="257" t="str">
        <f t="shared" ca="1" si="46"/>
        <v/>
      </c>
      <c r="H230" s="257" t="str">
        <f t="shared" ca="1" si="47"/>
        <v/>
      </c>
      <c r="I230" s="220" t="str">
        <f t="shared" ca="1" si="48"/>
        <v/>
      </c>
    </row>
    <row r="231" spans="1:9" x14ac:dyDescent="0.25">
      <c r="A231" s="254" t="str">
        <f t="shared" ca="1" si="40"/>
        <v/>
      </c>
      <c r="B231" s="255" t="str">
        <f t="shared" ca="1" si="41"/>
        <v/>
      </c>
      <c r="C231" s="256" t="str">
        <f t="shared" ca="1" si="42"/>
        <v/>
      </c>
      <c r="D231" s="257" t="str">
        <f t="shared" ca="1" si="43"/>
        <v/>
      </c>
      <c r="E231" s="808" t="str">
        <f t="shared" ca="1" si="44"/>
        <v/>
      </c>
      <c r="F231" s="253" t="str">
        <f t="shared" ca="1" si="45"/>
        <v/>
      </c>
      <c r="G231" s="257" t="str">
        <f t="shared" ca="1" si="46"/>
        <v/>
      </c>
      <c r="H231" s="257" t="str">
        <f t="shared" ca="1" si="47"/>
        <v/>
      </c>
      <c r="I231" s="220" t="str">
        <f t="shared" ca="1" si="48"/>
        <v/>
      </c>
    </row>
    <row r="232" spans="1:9" x14ac:dyDescent="0.25">
      <c r="A232" s="254" t="str">
        <f t="shared" ca="1" si="40"/>
        <v/>
      </c>
      <c r="B232" s="255" t="str">
        <f t="shared" ca="1" si="41"/>
        <v/>
      </c>
      <c r="C232" s="256" t="str">
        <f t="shared" ca="1" si="42"/>
        <v/>
      </c>
      <c r="D232" s="257" t="str">
        <f t="shared" ca="1" si="43"/>
        <v/>
      </c>
      <c r="E232" s="808" t="str">
        <f t="shared" ca="1" si="44"/>
        <v/>
      </c>
      <c r="F232" s="253" t="str">
        <f t="shared" ca="1" si="45"/>
        <v/>
      </c>
      <c r="G232" s="257" t="str">
        <f t="shared" ca="1" si="46"/>
        <v/>
      </c>
      <c r="H232" s="257" t="str">
        <f t="shared" ca="1" si="47"/>
        <v/>
      </c>
      <c r="I232" s="220" t="str">
        <f t="shared" ca="1" si="48"/>
        <v/>
      </c>
    </row>
    <row r="233" spans="1:9" x14ac:dyDescent="0.25">
      <c r="A233" s="254" t="str">
        <f t="shared" ca="1" si="40"/>
        <v/>
      </c>
      <c r="B233" s="255" t="str">
        <f t="shared" ca="1" si="41"/>
        <v/>
      </c>
      <c r="C233" s="256" t="str">
        <f t="shared" ca="1" si="42"/>
        <v/>
      </c>
      <c r="D233" s="257" t="str">
        <f t="shared" ca="1" si="43"/>
        <v/>
      </c>
      <c r="E233" s="808" t="str">
        <f t="shared" ca="1" si="44"/>
        <v/>
      </c>
      <c r="F233" s="253" t="str">
        <f t="shared" ca="1" si="45"/>
        <v/>
      </c>
      <c r="G233" s="257" t="str">
        <f t="shared" ca="1" si="46"/>
        <v/>
      </c>
      <c r="H233" s="257" t="str">
        <f t="shared" ca="1" si="47"/>
        <v/>
      </c>
      <c r="I233" s="220" t="str">
        <f t="shared" ca="1" si="48"/>
        <v/>
      </c>
    </row>
    <row r="234" spans="1:9" x14ac:dyDescent="0.25">
      <c r="A234" s="254" t="str">
        <f t="shared" ca="1" si="40"/>
        <v/>
      </c>
      <c r="B234" s="255" t="str">
        <f t="shared" ca="1" si="41"/>
        <v/>
      </c>
      <c r="C234" s="256" t="str">
        <f t="shared" ca="1" si="42"/>
        <v/>
      </c>
      <c r="D234" s="257" t="str">
        <f t="shared" ca="1" si="43"/>
        <v/>
      </c>
      <c r="E234" s="808" t="str">
        <f t="shared" ca="1" si="44"/>
        <v/>
      </c>
      <c r="F234" s="253" t="str">
        <f t="shared" ca="1" si="45"/>
        <v/>
      </c>
      <c r="G234" s="257" t="str">
        <f t="shared" ca="1" si="46"/>
        <v/>
      </c>
      <c r="H234" s="257" t="str">
        <f t="shared" ca="1" si="47"/>
        <v/>
      </c>
      <c r="I234" s="220" t="str">
        <f t="shared" ca="1" si="48"/>
        <v/>
      </c>
    </row>
    <row r="235" spans="1:9" x14ac:dyDescent="0.25">
      <c r="A235" s="254" t="str">
        <f t="shared" ca="1" si="40"/>
        <v/>
      </c>
      <c r="B235" s="255" t="str">
        <f t="shared" ca="1" si="41"/>
        <v/>
      </c>
      <c r="C235" s="256" t="str">
        <f t="shared" ca="1" si="42"/>
        <v/>
      </c>
      <c r="D235" s="257" t="str">
        <f t="shared" ca="1" si="43"/>
        <v/>
      </c>
      <c r="E235" s="808" t="str">
        <f t="shared" ca="1" si="44"/>
        <v/>
      </c>
      <c r="F235" s="253" t="str">
        <f t="shared" ca="1" si="45"/>
        <v/>
      </c>
      <c r="G235" s="257" t="str">
        <f t="shared" ca="1" si="46"/>
        <v/>
      </c>
      <c r="H235" s="257" t="str">
        <f t="shared" ca="1" si="47"/>
        <v/>
      </c>
      <c r="I235" s="220" t="str">
        <f t="shared" ca="1" si="48"/>
        <v/>
      </c>
    </row>
    <row r="236" spans="1:9" x14ac:dyDescent="0.25">
      <c r="A236" s="254" t="str">
        <f t="shared" ca="1" si="40"/>
        <v/>
      </c>
      <c r="B236" s="255" t="str">
        <f t="shared" ca="1" si="41"/>
        <v/>
      </c>
      <c r="C236" s="256" t="str">
        <f t="shared" ca="1" si="42"/>
        <v/>
      </c>
      <c r="D236" s="257" t="str">
        <f t="shared" ca="1" si="43"/>
        <v/>
      </c>
      <c r="E236" s="808" t="str">
        <f t="shared" ca="1" si="44"/>
        <v/>
      </c>
      <c r="F236" s="253" t="str">
        <f t="shared" ca="1" si="45"/>
        <v/>
      </c>
      <c r="G236" s="257" t="str">
        <f t="shared" ca="1" si="46"/>
        <v/>
      </c>
      <c r="H236" s="257" t="str">
        <f t="shared" ca="1" si="47"/>
        <v/>
      </c>
      <c r="I236" s="220" t="str">
        <f t="shared" ca="1" si="48"/>
        <v/>
      </c>
    </row>
    <row r="237" spans="1:9" x14ac:dyDescent="0.25">
      <c r="A237" s="254" t="str">
        <f t="shared" ca="1" si="40"/>
        <v/>
      </c>
      <c r="B237" s="255" t="str">
        <f t="shared" ca="1" si="41"/>
        <v/>
      </c>
      <c r="C237" s="256" t="str">
        <f t="shared" ca="1" si="42"/>
        <v/>
      </c>
      <c r="D237" s="257" t="str">
        <f t="shared" ca="1" si="43"/>
        <v/>
      </c>
      <c r="E237" s="808" t="str">
        <f t="shared" ca="1" si="44"/>
        <v/>
      </c>
      <c r="F237" s="253" t="str">
        <f t="shared" ca="1" si="45"/>
        <v/>
      </c>
      <c r="G237" s="257" t="str">
        <f t="shared" ca="1" si="46"/>
        <v/>
      </c>
      <c r="H237" s="257" t="str">
        <f t="shared" ca="1" si="47"/>
        <v/>
      </c>
      <c r="I237" s="220" t="str">
        <f t="shared" ca="1" si="48"/>
        <v/>
      </c>
    </row>
    <row r="238" spans="1:9" x14ac:dyDescent="0.25">
      <c r="A238" s="254" t="str">
        <f t="shared" ca="1" si="40"/>
        <v/>
      </c>
      <c r="B238" s="255" t="str">
        <f t="shared" ca="1" si="41"/>
        <v/>
      </c>
      <c r="C238" s="256" t="str">
        <f t="shared" ca="1" si="42"/>
        <v/>
      </c>
      <c r="D238" s="257" t="str">
        <f t="shared" ca="1" si="43"/>
        <v/>
      </c>
      <c r="E238" s="808" t="str">
        <f t="shared" ca="1" si="44"/>
        <v/>
      </c>
      <c r="F238" s="253" t="str">
        <f t="shared" ca="1" si="45"/>
        <v/>
      </c>
      <c r="G238" s="257" t="str">
        <f t="shared" ca="1" si="46"/>
        <v/>
      </c>
      <c r="H238" s="257" t="str">
        <f t="shared" ca="1" si="47"/>
        <v/>
      </c>
      <c r="I238" s="220" t="str">
        <f t="shared" ca="1" si="48"/>
        <v/>
      </c>
    </row>
    <row r="239" spans="1:9" x14ac:dyDescent="0.25">
      <c r="A239" s="254" t="str">
        <f t="shared" ca="1" si="40"/>
        <v/>
      </c>
      <c r="B239" s="255" t="str">
        <f t="shared" ca="1" si="41"/>
        <v/>
      </c>
      <c r="C239" s="256" t="str">
        <f t="shared" ca="1" si="42"/>
        <v/>
      </c>
      <c r="D239" s="257" t="str">
        <f t="shared" ca="1" si="43"/>
        <v/>
      </c>
      <c r="E239" s="808" t="str">
        <f t="shared" ca="1" si="44"/>
        <v/>
      </c>
      <c r="F239" s="253" t="str">
        <f t="shared" ca="1" si="45"/>
        <v/>
      </c>
      <c r="G239" s="257" t="str">
        <f t="shared" ca="1" si="46"/>
        <v/>
      </c>
      <c r="H239" s="257" t="str">
        <f t="shared" ca="1" si="47"/>
        <v/>
      </c>
      <c r="I239" s="220" t="str">
        <f t="shared" ca="1" si="48"/>
        <v/>
      </c>
    </row>
    <row r="240" spans="1:9" x14ac:dyDescent="0.25">
      <c r="A240" s="254" t="str">
        <f t="shared" ca="1" si="40"/>
        <v/>
      </c>
      <c r="B240" s="255" t="str">
        <f t="shared" ca="1" si="41"/>
        <v/>
      </c>
      <c r="C240" s="256" t="str">
        <f t="shared" ca="1" si="42"/>
        <v/>
      </c>
      <c r="D240" s="257" t="str">
        <f t="shared" ca="1" si="43"/>
        <v/>
      </c>
      <c r="E240" s="808" t="str">
        <f t="shared" ca="1" si="44"/>
        <v/>
      </c>
      <c r="F240" s="253" t="str">
        <f t="shared" ca="1" si="45"/>
        <v/>
      </c>
      <c r="G240" s="257" t="str">
        <f t="shared" ca="1" si="46"/>
        <v/>
      </c>
      <c r="H240" s="257" t="str">
        <f t="shared" ca="1" si="47"/>
        <v/>
      </c>
      <c r="I240" s="220" t="str">
        <f t="shared" ca="1" si="48"/>
        <v/>
      </c>
    </row>
    <row r="241" spans="1:9" x14ac:dyDescent="0.25">
      <c r="A241" s="254" t="str">
        <f t="shared" ca="1" si="40"/>
        <v/>
      </c>
      <c r="B241" s="255" t="str">
        <f t="shared" ca="1" si="41"/>
        <v/>
      </c>
      <c r="C241" s="256" t="str">
        <f t="shared" ca="1" si="42"/>
        <v/>
      </c>
      <c r="D241" s="257" t="str">
        <f t="shared" ca="1" si="43"/>
        <v/>
      </c>
      <c r="E241" s="808" t="str">
        <f t="shared" ca="1" si="44"/>
        <v/>
      </c>
      <c r="F241" s="253" t="str">
        <f t="shared" ca="1" si="45"/>
        <v/>
      </c>
      <c r="G241" s="257" t="str">
        <f t="shared" ca="1" si="46"/>
        <v/>
      </c>
      <c r="H241" s="257" t="str">
        <f t="shared" ca="1" si="47"/>
        <v/>
      </c>
      <c r="I241" s="220" t="str">
        <f t="shared" ca="1" si="48"/>
        <v/>
      </c>
    </row>
    <row r="242" spans="1:9" x14ac:dyDescent="0.25">
      <c r="A242" s="254" t="str">
        <f t="shared" ca="1" si="40"/>
        <v/>
      </c>
      <c r="B242" s="255" t="str">
        <f t="shared" ca="1" si="41"/>
        <v/>
      </c>
      <c r="C242" s="256" t="str">
        <f t="shared" ca="1" si="42"/>
        <v/>
      </c>
      <c r="D242" s="257" t="str">
        <f t="shared" ca="1" si="43"/>
        <v/>
      </c>
      <c r="E242" s="808" t="str">
        <f t="shared" ca="1" si="44"/>
        <v/>
      </c>
      <c r="F242" s="253" t="str">
        <f t="shared" ca="1" si="45"/>
        <v/>
      </c>
      <c r="G242" s="257" t="str">
        <f t="shared" ca="1" si="46"/>
        <v/>
      </c>
      <c r="H242" s="257" t="str">
        <f t="shared" ca="1" si="47"/>
        <v/>
      </c>
      <c r="I242" s="220" t="str">
        <f t="shared" ca="1" si="48"/>
        <v/>
      </c>
    </row>
    <row r="243" spans="1:9" x14ac:dyDescent="0.25">
      <c r="A243" s="254" t="str">
        <f t="shared" ca="1" si="40"/>
        <v/>
      </c>
      <c r="B243" s="255" t="str">
        <f t="shared" ca="1" si="41"/>
        <v/>
      </c>
      <c r="C243" s="256" t="str">
        <f t="shared" ca="1" si="42"/>
        <v/>
      </c>
      <c r="D243" s="257" t="str">
        <f t="shared" ca="1" si="43"/>
        <v/>
      </c>
      <c r="E243" s="808" t="str">
        <f t="shared" ca="1" si="44"/>
        <v/>
      </c>
      <c r="F243" s="253" t="str">
        <f t="shared" ca="1" si="45"/>
        <v/>
      </c>
      <c r="G243" s="257" t="str">
        <f t="shared" ca="1" si="46"/>
        <v/>
      </c>
      <c r="H243" s="257" t="str">
        <f t="shared" ca="1" si="47"/>
        <v/>
      </c>
      <c r="I243" s="220" t="str">
        <f t="shared" ca="1" si="48"/>
        <v/>
      </c>
    </row>
    <row r="244" spans="1:9" x14ac:dyDescent="0.25">
      <c r="A244" s="254" t="str">
        <f t="shared" ca="1" si="40"/>
        <v/>
      </c>
      <c r="B244" s="255" t="str">
        <f t="shared" ca="1" si="41"/>
        <v/>
      </c>
      <c r="C244" s="256" t="str">
        <f t="shared" ca="1" si="42"/>
        <v/>
      </c>
      <c r="D244" s="257" t="str">
        <f t="shared" ca="1" si="43"/>
        <v/>
      </c>
      <c r="E244" s="808" t="str">
        <f t="shared" ca="1" si="44"/>
        <v/>
      </c>
      <c r="F244" s="253" t="str">
        <f t="shared" ca="1" si="45"/>
        <v/>
      </c>
      <c r="G244" s="257" t="str">
        <f t="shared" ca="1" si="46"/>
        <v/>
      </c>
      <c r="H244" s="257" t="str">
        <f t="shared" ca="1" si="47"/>
        <v/>
      </c>
      <c r="I244" s="220" t="str">
        <f t="shared" ca="1" si="48"/>
        <v/>
      </c>
    </row>
    <row r="245" spans="1:9" x14ac:dyDescent="0.25">
      <c r="A245" s="254" t="str">
        <f t="shared" ca="1" si="40"/>
        <v/>
      </c>
      <c r="B245" s="255" t="str">
        <f t="shared" ca="1" si="41"/>
        <v/>
      </c>
      <c r="C245" s="256" t="str">
        <f t="shared" ca="1" si="42"/>
        <v/>
      </c>
      <c r="D245" s="257" t="str">
        <f t="shared" ca="1" si="43"/>
        <v/>
      </c>
      <c r="E245" s="808" t="str">
        <f t="shared" ca="1" si="44"/>
        <v/>
      </c>
      <c r="F245" s="253" t="str">
        <f t="shared" ca="1" si="45"/>
        <v/>
      </c>
      <c r="G245" s="257" t="str">
        <f t="shared" ca="1" si="46"/>
        <v/>
      </c>
      <c r="H245" s="257" t="str">
        <f t="shared" ca="1" si="47"/>
        <v/>
      </c>
      <c r="I245" s="220" t="str">
        <f t="shared" ca="1" si="48"/>
        <v/>
      </c>
    </row>
    <row r="246" spans="1:9" x14ac:dyDescent="0.25">
      <c r="A246" s="254" t="str">
        <f t="shared" ca="1" si="40"/>
        <v/>
      </c>
      <c r="B246" s="255" t="str">
        <f t="shared" ca="1" si="41"/>
        <v/>
      </c>
      <c r="C246" s="256" t="str">
        <f t="shared" ca="1" si="42"/>
        <v/>
      </c>
      <c r="D246" s="257" t="str">
        <f t="shared" ca="1" si="43"/>
        <v/>
      </c>
      <c r="E246" s="808" t="str">
        <f t="shared" ca="1" si="44"/>
        <v/>
      </c>
      <c r="F246" s="253" t="str">
        <f t="shared" ca="1" si="45"/>
        <v/>
      </c>
      <c r="G246" s="257" t="str">
        <f t="shared" ca="1" si="46"/>
        <v/>
      </c>
      <c r="H246" s="257" t="str">
        <f t="shared" ca="1" si="47"/>
        <v/>
      </c>
      <c r="I246" s="220" t="str">
        <f t="shared" ca="1" si="48"/>
        <v/>
      </c>
    </row>
    <row r="247" spans="1:9" x14ac:dyDescent="0.25">
      <c r="A247" s="254" t="str">
        <f t="shared" ca="1" si="40"/>
        <v/>
      </c>
      <c r="B247" s="255" t="str">
        <f t="shared" ca="1" si="41"/>
        <v/>
      </c>
      <c r="C247" s="256" t="str">
        <f t="shared" ca="1" si="42"/>
        <v/>
      </c>
      <c r="D247" s="257" t="str">
        <f t="shared" ca="1" si="43"/>
        <v/>
      </c>
      <c r="E247" s="808" t="str">
        <f t="shared" ca="1" si="44"/>
        <v/>
      </c>
      <c r="F247" s="253" t="str">
        <f t="shared" ca="1" si="45"/>
        <v/>
      </c>
      <c r="G247" s="257" t="str">
        <f t="shared" ca="1" si="46"/>
        <v/>
      </c>
      <c r="H247" s="257" t="str">
        <f t="shared" ca="1" si="47"/>
        <v/>
      </c>
      <c r="I247" s="220" t="str">
        <f t="shared" ca="1" si="48"/>
        <v/>
      </c>
    </row>
    <row r="248" spans="1:9" x14ac:dyDescent="0.25">
      <c r="A248" s="254" t="str">
        <f t="shared" ca="1" si="40"/>
        <v/>
      </c>
      <c r="B248" s="255" t="str">
        <f t="shared" ca="1" si="41"/>
        <v/>
      </c>
      <c r="C248" s="256" t="str">
        <f t="shared" ca="1" si="42"/>
        <v/>
      </c>
      <c r="D248" s="257" t="str">
        <f t="shared" ca="1" si="43"/>
        <v/>
      </c>
      <c r="E248" s="808" t="str">
        <f t="shared" ca="1" si="44"/>
        <v/>
      </c>
      <c r="F248" s="253" t="str">
        <f t="shared" ca="1" si="45"/>
        <v/>
      </c>
      <c r="G248" s="257" t="str">
        <f t="shared" ca="1" si="46"/>
        <v/>
      </c>
      <c r="H248" s="257" t="str">
        <f t="shared" ca="1" si="47"/>
        <v/>
      </c>
      <c r="I248" s="220" t="str">
        <f t="shared" ca="1" si="48"/>
        <v/>
      </c>
    </row>
    <row r="249" spans="1:9" x14ac:dyDescent="0.25">
      <c r="A249" s="254" t="str">
        <f t="shared" ca="1" si="40"/>
        <v/>
      </c>
      <c r="B249" s="255" t="str">
        <f t="shared" ca="1" si="41"/>
        <v/>
      </c>
      <c r="C249" s="256" t="str">
        <f t="shared" ca="1" si="42"/>
        <v/>
      </c>
      <c r="D249" s="257" t="str">
        <f t="shared" ca="1" si="43"/>
        <v/>
      </c>
      <c r="E249" s="808" t="str">
        <f t="shared" ca="1" si="44"/>
        <v/>
      </c>
      <c r="F249" s="253" t="str">
        <f t="shared" ca="1" si="45"/>
        <v/>
      </c>
      <c r="G249" s="257" t="str">
        <f t="shared" ca="1" si="46"/>
        <v/>
      </c>
      <c r="H249" s="257" t="str">
        <f t="shared" ca="1" si="47"/>
        <v/>
      </c>
      <c r="I249" s="220" t="str">
        <f t="shared" ca="1" si="48"/>
        <v/>
      </c>
    </row>
    <row r="250" spans="1:9" x14ac:dyDescent="0.25">
      <c r="A250" s="254" t="str">
        <f t="shared" ca="1" si="40"/>
        <v/>
      </c>
      <c r="B250" s="255" t="str">
        <f t="shared" ca="1" si="41"/>
        <v/>
      </c>
      <c r="C250" s="256" t="str">
        <f t="shared" ca="1" si="42"/>
        <v/>
      </c>
      <c r="D250" s="257" t="str">
        <f t="shared" ca="1" si="43"/>
        <v/>
      </c>
      <c r="E250" s="808" t="str">
        <f t="shared" ca="1" si="44"/>
        <v/>
      </c>
      <c r="F250" s="253" t="str">
        <f t="shared" ca="1" si="45"/>
        <v/>
      </c>
      <c r="G250" s="257" t="str">
        <f t="shared" ca="1" si="46"/>
        <v/>
      </c>
      <c r="H250" s="257" t="str">
        <f t="shared" ca="1" si="47"/>
        <v/>
      </c>
      <c r="I250" s="220" t="str">
        <f t="shared" ca="1" si="48"/>
        <v/>
      </c>
    </row>
    <row r="251" spans="1:9" x14ac:dyDescent="0.25">
      <c r="A251" s="254" t="str">
        <f t="shared" ca="1" si="40"/>
        <v/>
      </c>
      <c r="B251" s="255" t="str">
        <f t="shared" ca="1" si="41"/>
        <v/>
      </c>
      <c r="C251" s="256" t="str">
        <f t="shared" ca="1" si="42"/>
        <v/>
      </c>
      <c r="D251" s="257" t="str">
        <f t="shared" ca="1" si="43"/>
        <v/>
      </c>
      <c r="E251" s="808" t="str">
        <f t="shared" ca="1" si="44"/>
        <v/>
      </c>
      <c r="F251" s="253" t="str">
        <f t="shared" ca="1" si="45"/>
        <v/>
      </c>
      <c r="G251" s="257" t="str">
        <f t="shared" ca="1" si="46"/>
        <v/>
      </c>
      <c r="H251" s="257" t="str">
        <f t="shared" ca="1" si="47"/>
        <v/>
      </c>
      <c r="I251" s="220" t="str">
        <f t="shared" ca="1" si="48"/>
        <v/>
      </c>
    </row>
    <row r="252" spans="1:9" x14ac:dyDescent="0.25">
      <c r="A252" s="254" t="str">
        <f t="shared" ca="1" si="40"/>
        <v/>
      </c>
      <c r="B252" s="255" t="str">
        <f t="shared" ca="1" si="41"/>
        <v/>
      </c>
      <c r="C252" s="256" t="str">
        <f t="shared" ca="1" si="42"/>
        <v/>
      </c>
      <c r="D252" s="257" t="str">
        <f t="shared" ca="1" si="43"/>
        <v/>
      </c>
      <c r="E252" s="808" t="str">
        <f t="shared" ca="1" si="44"/>
        <v/>
      </c>
      <c r="F252" s="253" t="str">
        <f t="shared" ca="1" si="45"/>
        <v/>
      </c>
      <c r="G252" s="257" t="str">
        <f t="shared" ca="1" si="46"/>
        <v/>
      </c>
      <c r="H252" s="257" t="str">
        <f t="shared" ca="1" si="47"/>
        <v/>
      </c>
      <c r="I252" s="220" t="str">
        <f t="shared" ca="1" si="48"/>
        <v/>
      </c>
    </row>
    <row r="253" spans="1:9" x14ac:dyDescent="0.25">
      <c r="A253" s="254" t="str">
        <f t="shared" ca="1" si="40"/>
        <v/>
      </c>
      <c r="B253" s="255" t="str">
        <f t="shared" ca="1" si="41"/>
        <v/>
      </c>
      <c r="C253" s="256" t="str">
        <f t="shared" ca="1" si="42"/>
        <v/>
      </c>
      <c r="D253" s="257" t="str">
        <f t="shared" ca="1" si="43"/>
        <v/>
      </c>
      <c r="E253" s="808" t="str">
        <f t="shared" ca="1" si="44"/>
        <v/>
      </c>
      <c r="F253" s="253" t="str">
        <f t="shared" ca="1" si="45"/>
        <v/>
      </c>
      <c r="G253" s="257" t="str">
        <f t="shared" ca="1" si="46"/>
        <v/>
      </c>
      <c r="H253" s="257" t="str">
        <f t="shared" ca="1" si="47"/>
        <v/>
      </c>
      <c r="I253" s="220" t="str">
        <f t="shared" ca="1" si="48"/>
        <v/>
      </c>
    </row>
    <row r="254" spans="1:9" x14ac:dyDescent="0.25">
      <c r="A254" s="254" t="str">
        <f t="shared" ca="1" si="40"/>
        <v/>
      </c>
      <c r="B254" s="255" t="str">
        <f t="shared" ca="1" si="41"/>
        <v/>
      </c>
      <c r="C254" s="256" t="str">
        <f t="shared" ca="1" si="42"/>
        <v/>
      </c>
      <c r="D254" s="257" t="str">
        <f t="shared" ca="1" si="43"/>
        <v/>
      </c>
      <c r="E254" s="808" t="str">
        <f t="shared" ca="1" si="44"/>
        <v/>
      </c>
      <c r="F254" s="253" t="str">
        <f t="shared" ca="1" si="45"/>
        <v/>
      </c>
      <c r="G254" s="257" t="str">
        <f t="shared" ca="1" si="46"/>
        <v/>
      </c>
      <c r="H254" s="257" t="str">
        <f t="shared" ca="1" si="47"/>
        <v/>
      </c>
      <c r="I254" s="220" t="str">
        <f t="shared" ca="1" si="48"/>
        <v/>
      </c>
    </row>
    <row r="255" spans="1:9" x14ac:dyDescent="0.25">
      <c r="A255" s="254" t="str">
        <f t="shared" ca="1" si="40"/>
        <v/>
      </c>
      <c r="B255" s="255" t="str">
        <f t="shared" ca="1" si="41"/>
        <v/>
      </c>
      <c r="C255" s="256" t="str">
        <f t="shared" ca="1" si="42"/>
        <v/>
      </c>
      <c r="D255" s="257" t="str">
        <f t="shared" ca="1" si="43"/>
        <v/>
      </c>
      <c r="E255" s="808" t="str">
        <f t="shared" ca="1" si="44"/>
        <v/>
      </c>
      <c r="F255" s="253" t="str">
        <f t="shared" ca="1" si="45"/>
        <v/>
      </c>
      <c r="G255" s="257" t="str">
        <f t="shared" ca="1" si="46"/>
        <v/>
      </c>
      <c r="H255" s="257" t="str">
        <f t="shared" ca="1" si="47"/>
        <v/>
      </c>
      <c r="I255" s="220" t="str">
        <f t="shared" ca="1" si="48"/>
        <v/>
      </c>
    </row>
    <row r="256" spans="1:9" x14ac:dyDescent="0.25">
      <c r="A256" s="254" t="str">
        <f t="shared" ca="1" si="40"/>
        <v/>
      </c>
      <c r="B256" s="255" t="str">
        <f t="shared" ca="1" si="41"/>
        <v/>
      </c>
      <c r="C256" s="256" t="str">
        <f t="shared" ca="1" si="42"/>
        <v/>
      </c>
      <c r="D256" s="257" t="str">
        <f t="shared" ca="1" si="43"/>
        <v/>
      </c>
      <c r="E256" s="808" t="str">
        <f t="shared" ca="1" si="44"/>
        <v/>
      </c>
      <c r="F256" s="253" t="str">
        <f t="shared" ca="1" si="45"/>
        <v/>
      </c>
      <c r="G256" s="257" t="str">
        <f t="shared" ca="1" si="46"/>
        <v/>
      </c>
      <c r="H256" s="257" t="str">
        <f t="shared" ca="1" si="47"/>
        <v/>
      </c>
      <c r="I256" s="220" t="str">
        <f t="shared" ca="1" si="48"/>
        <v/>
      </c>
    </row>
    <row r="257" spans="1:9" x14ac:dyDescent="0.25">
      <c r="A257" s="254" t="str">
        <f t="shared" ca="1" si="40"/>
        <v/>
      </c>
      <c r="B257" s="255" t="str">
        <f t="shared" ca="1" si="41"/>
        <v/>
      </c>
      <c r="C257" s="256" t="str">
        <f t="shared" ca="1" si="42"/>
        <v/>
      </c>
      <c r="D257" s="257" t="str">
        <f t="shared" ca="1" si="43"/>
        <v/>
      </c>
      <c r="E257" s="808" t="str">
        <f t="shared" ca="1" si="44"/>
        <v/>
      </c>
      <c r="F257" s="253" t="str">
        <f t="shared" ca="1" si="45"/>
        <v/>
      </c>
      <c r="G257" s="257" t="str">
        <f t="shared" ca="1" si="46"/>
        <v/>
      </c>
      <c r="H257" s="257" t="str">
        <f t="shared" ca="1" si="47"/>
        <v/>
      </c>
      <c r="I257" s="220" t="str">
        <f t="shared" ca="1" si="48"/>
        <v/>
      </c>
    </row>
    <row r="258" spans="1:9" x14ac:dyDescent="0.25">
      <c r="A258" s="254" t="str">
        <f t="shared" ref="A258:A321" ca="1" si="49">IF(OR(H257&lt;=0,H257=""),"",OFFSET(A258,-1,0,1,1)+1)</f>
        <v/>
      </c>
      <c r="B258" s="255" t="str">
        <f t="shared" ref="B258:B321" ca="1" si="50">IF(A258&lt;$H$11+1,DATE(YEAR(B257),MONTH(B257)+3,1),"")</f>
        <v/>
      </c>
      <c r="C258" s="256" t="str">
        <f t="shared" ref="C258:C321" ca="1" si="51">IF(OR(A258=$H$11,A258=$H$14),G257+D258+E258,IF(B258="","",-$D$14))</f>
        <v/>
      </c>
      <c r="D258" s="257" t="str">
        <f t="shared" ref="D258:D321" ca="1" si="52">IF(B258="","",ROUND((B258-B257)*(E258/$D$13+$H$10*($I$10))*G257,2))</f>
        <v/>
      </c>
      <c r="E258" s="808" t="str">
        <f t="shared" ref="E258:E321" ca="1" si="53">IF(B258="","",ROUND((B258-B257)*($H$10*(1-$I$10))*G257,2))</f>
        <v/>
      </c>
      <c r="F258" s="253" t="str">
        <f t="shared" ref="F258:F321" ca="1" si="54">IF(B258="","",MAX(C258-D258,0))</f>
        <v/>
      </c>
      <c r="G258" s="257" t="str">
        <f t="shared" ref="G258:G321" ca="1" si="55">IF(B258="","",-(C258-D258)+G257)</f>
        <v/>
      </c>
      <c r="H258" s="257" t="str">
        <f t="shared" ref="H258:H321" ca="1" si="56">IF(B258="","",G258)</f>
        <v/>
      </c>
      <c r="I258" s="220" t="str">
        <f t="shared" ref="I258:I321" ca="1" si="57">IF(B258="","",YEAR(B258))</f>
        <v/>
      </c>
    </row>
    <row r="259" spans="1:9" x14ac:dyDescent="0.25">
      <c r="A259" s="254" t="str">
        <f t="shared" ca="1" si="49"/>
        <v/>
      </c>
      <c r="B259" s="255" t="str">
        <f t="shared" ca="1" si="50"/>
        <v/>
      </c>
      <c r="C259" s="256" t="str">
        <f t="shared" ca="1" si="51"/>
        <v/>
      </c>
      <c r="D259" s="257" t="str">
        <f t="shared" ca="1" si="52"/>
        <v/>
      </c>
      <c r="E259" s="808" t="str">
        <f t="shared" ca="1" si="53"/>
        <v/>
      </c>
      <c r="F259" s="253" t="str">
        <f t="shared" ca="1" si="54"/>
        <v/>
      </c>
      <c r="G259" s="257" t="str">
        <f t="shared" ca="1" si="55"/>
        <v/>
      </c>
      <c r="H259" s="257" t="str">
        <f t="shared" ca="1" si="56"/>
        <v/>
      </c>
      <c r="I259" s="220" t="str">
        <f t="shared" ca="1" si="57"/>
        <v/>
      </c>
    </row>
    <row r="260" spans="1:9" x14ac:dyDescent="0.25">
      <c r="A260" s="254" t="str">
        <f t="shared" ca="1" si="49"/>
        <v/>
      </c>
      <c r="B260" s="255" t="str">
        <f t="shared" ca="1" si="50"/>
        <v/>
      </c>
      <c r="C260" s="256" t="str">
        <f t="shared" ca="1" si="51"/>
        <v/>
      </c>
      <c r="D260" s="257" t="str">
        <f t="shared" ca="1" si="52"/>
        <v/>
      </c>
      <c r="E260" s="808" t="str">
        <f t="shared" ca="1" si="53"/>
        <v/>
      </c>
      <c r="F260" s="253" t="str">
        <f t="shared" ca="1" si="54"/>
        <v/>
      </c>
      <c r="G260" s="257" t="str">
        <f t="shared" ca="1" si="55"/>
        <v/>
      </c>
      <c r="H260" s="257" t="str">
        <f t="shared" ca="1" si="56"/>
        <v/>
      </c>
      <c r="I260" s="220" t="str">
        <f t="shared" ca="1" si="57"/>
        <v/>
      </c>
    </row>
    <row r="261" spans="1:9" x14ac:dyDescent="0.25">
      <c r="A261" s="254" t="str">
        <f t="shared" ca="1" si="49"/>
        <v/>
      </c>
      <c r="B261" s="255" t="str">
        <f t="shared" ca="1" si="50"/>
        <v/>
      </c>
      <c r="C261" s="256" t="str">
        <f t="shared" ca="1" si="51"/>
        <v/>
      </c>
      <c r="D261" s="257" t="str">
        <f t="shared" ca="1" si="52"/>
        <v/>
      </c>
      <c r="E261" s="808" t="str">
        <f t="shared" ca="1" si="53"/>
        <v/>
      </c>
      <c r="F261" s="253" t="str">
        <f t="shared" ca="1" si="54"/>
        <v/>
      </c>
      <c r="G261" s="257" t="str">
        <f t="shared" ca="1" si="55"/>
        <v/>
      </c>
      <c r="H261" s="257" t="str">
        <f t="shared" ca="1" si="56"/>
        <v/>
      </c>
      <c r="I261" s="220" t="str">
        <f t="shared" ca="1" si="57"/>
        <v/>
      </c>
    </row>
    <row r="262" spans="1:9" x14ac:dyDescent="0.25">
      <c r="A262" s="254" t="str">
        <f t="shared" ca="1" si="49"/>
        <v/>
      </c>
      <c r="B262" s="255" t="str">
        <f t="shared" ca="1" si="50"/>
        <v/>
      </c>
      <c r="C262" s="256" t="str">
        <f t="shared" ca="1" si="51"/>
        <v/>
      </c>
      <c r="D262" s="257" t="str">
        <f t="shared" ca="1" si="52"/>
        <v/>
      </c>
      <c r="E262" s="808" t="str">
        <f t="shared" ca="1" si="53"/>
        <v/>
      </c>
      <c r="F262" s="253" t="str">
        <f t="shared" ca="1" si="54"/>
        <v/>
      </c>
      <c r="G262" s="257" t="str">
        <f t="shared" ca="1" si="55"/>
        <v/>
      </c>
      <c r="H262" s="257" t="str">
        <f t="shared" ca="1" si="56"/>
        <v/>
      </c>
      <c r="I262" s="220" t="str">
        <f t="shared" ca="1" si="57"/>
        <v/>
      </c>
    </row>
    <row r="263" spans="1:9" x14ac:dyDescent="0.25">
      <c r="A263" s="254" t="str">
        <f t="shared" ca="1" si="49"/>
        <v/>
      </c>
      <c r="B263" s="255" t="str">
        <f t="shared" ca="1" si="50"/>
        <v/>
      </c>
      <c r="C263" s="256" t="str">
        <f t="shared" ca="1" si="51"/>
        <v/>
      </c>
      <c r="D263" s="257" t="str">
        <f t="shared" ca="1" si="52"/>
        <v/>
      </c>
      <c r="E263" s="808" t="str">
        <f t="shared" ca="1" si="53"/>
        <v/>
      </c>
      <c r="F263" s="253" t="str">
        <f t="shared" ca="1" si="54"/>
        <v/>
      </c>
      <c r="G263" s="257" t="str">
        <f t="shared" ca="1" si="55"/>
        <v/>
      </c>
      <c r="H263" s="257" t="str">
        <f t="shared" ca="1" si="56"/>
        <v/>
      </c>
      <c r="I263" s="220" t="str">
        <f t="shared" ca="1" si="57"/>
        <v/>
      </c>
    </row>
    <row r="264" spans="1:9" x14ac:dyDescent="0.25">
      <c r="A264" s="254" t="str">
        <f t="shared" ca="1" si="49"/>
        <v/>
      </c>
      <c r="B264" s="255" t="str">
        <f t="shared" ca="1" si="50"/>
        <v/>
      </c>
      <c r="C264" s="256" t="str">
        <f t="shared" ca="1" si="51"/>
        <v/>
      </c>
      <c r="D264" s="257" t="str">
        <f t="shared" ca="1" si="52"/>
        <v/>
      </c>
      <c r="E264" s="808" t="str">
        <f t="shared" ca="1" si="53"/>
        <v/>
      </c>
      <c r="F264" s="253" t="str">
        <f t="shared" ca="1" si="54"/>
        <v/>
      </c>
      <c r="G264" s="257" t="str">
        <f t="shared" ca="1" si="55"/>
        <v/>
      </c>
      <c r="H264" s="257" t="str">
        <f t="shared" ca="1" si="56"/>
        <v/>
      </c>
      <c r="I264" s="220" t="str">
        <f t="shared" ca="1" si="57"/>
        <v/>
      </c>
    </row>
    <row r="265" spans="1:9" x14ac:dyDescent="0.25">
      <c r="A265" s="254" t="str">
        <f t="shared" ca="1" si="49"/>
        <v/>
      </c>
      <c r="B265" s="255" t="str">
        <f t="shared" ca="1" si="50"/>
        <v/>
      </c>
      <c r="C265" s="256" t="str">
        <f t="shared" ca="1" si="51"/>
        <v/>
      </c>
      <c r="D265" s="257" t="str">
        <f t="shared" ca="1" si="52"/>
        <v/>
      </c>
      <c r="E265" s="808" t="str">
        <f t="shared" ca="1" si="53"/>
        <v/>
      </c>
      <c r="F265" s="253" t="str">
        <f t="shared" ca="1" si="54"/>
        <v/>
      </c>
      <c r="G265" s="257" t="str">
        <f t="shared" ca="1" si="55"/>
        <v/>
      </c>
      <c r="H265" s="257" t="str">
        <f t="shared" ca="1" si="56"/>
        <v/>
      </c>
      <c r="I265" s="220" t="str">
        <f t="shared" ca="1" si="57"/>
        <v/>
      </c>
    </row>
    <row r="266" spans="1:9" x14ac:dyDescent="0.25">
      <c r="A266" s="254" t="str">
        <f t="shared" ca="1" si="49"/>
        <v/>
      </c>
      <c r="B266" s="255" t="str">
        <f t="shared" ca="1" si="50"/>
        <v/>
      </c>
      <c r="C266" s="256" t="str">
        <f t="shared" ca="1" si="51"/>
        <v/>
      </c>
      <c r="D266" s="257" t="str">
        <f t="shared" ca="1" si="52"/>
        <v/>
      </c>
      <c r="E266" s="808" t="str">
        <f t="shared" ca="1" si="53"/>
        <v/>
      </c>
      <c r="F266" s="253" t="str">
        <f t="shared" ca="1" si="54"/>
        <v/>
      </c>
      <c r="G266" s="257" t="str">
        <f t="shared" ca="1" si="55"/>
        <v/>
      </c>
      <c r="H266" s="257" t="str">
        <f t="shared" ca="1" si="56"/>
        <v/>
      </c>
      <c r="I266" s="220" t="str">
        <f t="shared" ca="1" si="57"/>
        <v/>
      </c>
    </row>
    <row r="267" spans="1:9" x14ac:dyDescent="0.25">
      <c r="A267" s="254" t="str">
        <f t="shared" ca="1" si="49"/>
        <v/>
      </c>
      <c r="B267" s="255" t="str">
        <f t="shared" ca="1" si="50"/>
        <v/>
      </c>
      <c r="C267" s="256" t="str">
        <f t="shared" ca="1" si="51"/>
        <v/>
      </c>
      <c r="D267" s="257" t="str">
        <f t="shared" ca="1" si="52"/>
        <v/>
      </c>
      <c r="E267" s="808" t="str">
        <f t="shared" ca="1" si="53"/>
        <v/>
      </c>
      <c r="F267" s="253" t="str">
        <f t="shared" ca="1" si="54"/>
        <v/>
      </c>
      <c r="G267" s="257" t="str">
        <f t="shared" ca="1" si="55"/>
        <v/>
      </c>
      <c r="H267" s="257" t="str">
        <f t="shared" ca="1" si="56"/>
        <v/>
      </c>
      <c r="I267" s="220" t="str">
        <f t="shared" ca="1" si="57"/>
        <v/>
      </c>
    </row>
    <row r="268" spans="1:9" x14ac:dyDescent="0.25">
      <c r="A268" s="254" t="str">
        <f t="shared" ca="1" si="49"/>
        <v/>
      </c>
      <c r="B268" s="255" t="str">
        <f t="shared" ca="1" si="50"/>
        <v/>
      </c>
      <c r="C268" s="256" t="str">
        <f t="shared" ca="1" si="51"/>
        <v/>
      </c>
      <c r="D268" s="257" t="str">
        <f t="shared" ca="1" si="52"/>
        <v/>
      </c>
      <c r="E268" s="808" t="str">
        <f t="shared" ca="1" si="53"/>
        <v/>
      </c>
      <c r="F268" s="253" t="str">
        <f t="shared" ca="1" si="54"/>
        <v/>
      </c>
      <c r="G268" s="257" t="str">
        <f t="shared" ca="1" si="55"/>
        <v/>
      </c>
      <c r="H268" s="257" t="str">
        <f t="shared" ca="1" si="56"/>
        <v/>
      </c>
      <c r="I268" s="220" t="str">
        <f t="shared" ca="1" si="57"/>
        <v/>
      </c>
    </row>
    <row r="269" spans="1:9" x14ac:dyDescent="0.25">
      <c r="A269" s="254" t="str">
        <f t="shared" ca="1" si="49"/>
        <v/>
      </c>
      <c r="B269" s="255" t="str">
        <f t="shared" ca="1" si="50"/>
        <v/>
      </c>
      <c r="C269" s="256" t="str">
        <f t="shared" ca="1" si="51"/>
        <v/>
      </c>
      <c r="D269" s="257" t="str">
        <f t="shared" ca="1" si="52"/>
        <v/>
      </c>
      <c r="E269" s="808" t="str">
        <f t="shared" ca="1" si="53"/>
        <v/>
      </c>
      <c r="F269" s="253" t="str">
        <f t="shared" ca="1" si="54"/>
        <v/>
      </c>
      <c r="G269" s="257" t="str">
        <f t="shared" ca="1" si="55"/>
        <v/>
      </c>
      <c r="H269" s="257" t="str">
        <f t="shared" ca="1" si="56"/>
        <v/>
      </c>
      <c r="I269" s="220" t="str">
        <f t="shared" ca="1" si="57"/>
        <v/>
      </c>
    </row>
    <row r="270" spans="1:9" x14ac:dyDescent="0.25">
      <c r="A270" s="254" t="str">
        <f t="shared" ca="1" si="49"/>
        <v/>
      </c>
      <c r="B270" s="255" t="str">
        <f t="shared" ca="1" si="50"/>
        <v/>
      </c>
      <c r="C270" s="256" t="str">
        <f t="shared" ca="1" si="51"/>
        <v/>
      </c>
      <c r="D270" s="257" t="str">
        <f t="shared" ca="1" si="52"/>
        <v/>
      </c>
      <c r="E270" s="808" t="str">
        <f t="shared" ca="1" si="53"/>
        <v/>
      </c>
      <c r="F270" s="253" t="str">
        <f t="shared" ca="1" si="54"/>
        <v/>
      </c>
      <c r="G270" s="257" t="str">
        <f t="shared" ca="1" si="55"/>
        <v/>
      </c>
      <c r="H270" s="257" t="str">
        <f t="shared" ca="1" si="56"/>
        <v/>
      </c>
      <c r="I270" s="220" t="str">
        <f t="shared" ca="1" si="57"/>
        <v/>
      </c>
    </row>
    <row r="271" spans="1:9" x14ac:dyDescent="0.25">
      <c r="A271" s="254" t="str">
        <f t="shared" ca="1" si="49"/>
        <v/>
      </c>
      <c r="B271" s="255" t="str">
        <f t="shared" ca="1" si="50"/>
        <v/>
      </c>
      <c r="C271" s="256" t="str">
        <f t="shared" ca="1" si="51"/>
        <v/>
      </c>
      <c r="D271" s="257" t="str">
        <f t="shared" ca="1" si="52"/>
        <v/>
      </c>
      <c r="E271" s="808" t="str">
        <f t="shared" ca="1" si="53"/>
        <v/>
      </c>
      <c r="F271" s="253" t="str">
        <f t="shared" ca="1" si="54"/>
        <v/>
      </c>
      <c r="G271" s="257" t="str">
        <f t="shared" ca="1" si="55"/>
        <v/>
      </c>
      <c r="H271" s="257" t="str">
        <f t="shared" ca="1" si="56"/>
        <v/>
      </c>
      <c r="I271" s="220" t="str">
        <f t="shared" ca="1" si="57"/>
        <v/>
      </c>
    </row>
    <row r="272" spans="1:9" x14ac:dyDescent="0.25">
      <c r="A272" s="254" t="str">
        <f t="shared" ca="1" si="49"/>
        <v/>
      </c>
      <c r="B272" s="255" t="str">
        <f t="shared" ca="1" si="50"/>
        <v/>
      </c>
      <c r="C272" s="256" t="str">
        <f t="shared" ca="1" si="51"/>
        <v/>
      </c>
      <c r="D272" s="257" t="str">
        <f t="shared" ca="1" si="52"/>
        <v/>
      </c>
      <c r="E272" s="808" t="str">
        <f t="shared" ca="1" si="53"/>
        <v/>
      </c>
      <c r="F272" s="253" t="str">
        <f t="shared" ca="1" si="54"/>
        <v/>
      </c>
      <c r="G272" s="257" t="str">
        <f t="shared" ca="1" si="55"/>
        <v/>
      </c>
      <c r="H272" s="257" t="str">
        <f t="shared" ca="1" si="56"/>
        <v/>
      </c>
      <c r="I272" s="220" t="str">
        <f t="shared" ca="1" si="57"/>
        <v/>
      </c>
    </row>
    <row r="273" spans="1:9" x14ac:dyDescent="0.25">
      <c r="A273" s="254" t="str">
        <f t="shared" ca="1" si="49"/>
        <v/>
      </c>
      <c r="B273" s="255" t="str">
        <f t="shared" ca="1" si="50"/>
        <v/>
      </c>
      <c r="C273" s="256" t="str">
        <f t="shared" ca="1" si="51"/>
        <v/>
      </c>
      <c r="D273" s="257" t="str">
        <f t="shared" ca="1" si="52"/>
        <v/>
      </c>
      <c r="E273" s="808" t="str">
        <f t="shared" ca="1" si="53"/>
        <v/>
      </c>
      <c r="F273" s="253" t="str">
        <f t="shared" ca="1" si="54"/>
        <v/>
      </c>
      <c r="G273" s="257" t="str">
        <f t="shared" ca="1" si="55"/>
        <v/>
      </c>
      <c r="H273" s="257" t="str">
        <f t="shared" ca="1" si="56"/>
        <v/>
      </c>
      <c r="I273" s="220" t="str">
        <f t="shared" ca="1" si="57"/>
        <v/>
      </c>
    </row>
    <row r="274" spans="1:9" x14ac:dyDescent="0.25">
      <c r="A274" s="254" t="str">
        <f t="shared" ca="1" si="49"/>
        <v/>
      </c>
      <c r="B274" s="255" t="str">
        <f t="shared" ca="1" si="50"/>
        <v/>
      </c>
      <c r="C274" s="256" t="str">
        <f t="shared" ca="1" si="51"/>
        <v/>
      </c>
      <c r="D274" s="257" t="str">
        <f t="shared" ca="1" si="52"/>
        <v/>
      </c>
      <c r="E274" s="808" t="str">
        <f t="shared" ca="1" si="53"/>
        <v/>
      </c>
      <c r="F274" s="253" t="str">
        <f t="shared" ca="1" si="54"/>
        <v/>
      </c>
      <c r="G274" s="257" t="str">
        <f t="shared" ca="1" si="55"/>
        <v/>
      </c>
      <c r="H274" s="257" t="str">
        <f t="shared" ca="1" si="56"/>
        <v/>
      </c>
      <c r="I274" s="220" t="str">
        <f t="shared" ca="1" si="57"/>
        <v/>
      </c>
    </row>
    <row r="275" spans="1:9" x14ac:dyDescent="0.25">
      <c r="A275" s="254" t="str">
        <f t="shared" ca="1" si="49"/>
        <v/>
      </c>
      <c r="B275" s="255" t="str">
        <f t="shared" ca="1" si="50"/>
        <v/>
      </c>
      <c r="C275" s="256" t="str">
        <f t="shared" ca="1" si="51"/>
        <v/>
      </c>
      <c r="D275" s="257" t="str">
        <f t="shared" ca="1" si="52"/>
        <v/>
      </c>
      <c r="E275" s="808" t="str">
        <f t="shared" ca="1" si="53"/>
        <v/>
      </c>
      <c r="F275" s="253" t="str">
        <f t="shared" ca="1" si="54"/>
        <v/>
      </c>
      <c r="G275" s="257" t="str">
        <f t="shared" ca="1" si="55"/>
        <v/>
      </c>
      <c r="H275" s="257" t="str">
        <f t="shared" ca="1" si="56"/>
        <v/>
      </c>
      <c r="I275" s="220" t="str">
        <f t="shared" ca="1" si="57"/>
        <v/>
      </c>
    </row>
    <row r="276" spans="1:9" x14ac:dyDescent="0.25">
      <c r="A276" s="254" t="str">
        <f t="shared" ca="1" si="49"/>
        <v/>
      </c>
      <c r="B276" s="255" t="str">
        <f t="shared" ca="1" si="50"/>
        <v/>
      </c>
      <c r="C276" s="256" t="str">
        <f t="shared" ca="1" si="51"/>
        <v/>
      </c>
      <c r="D276" s="257" t="str">
        <f t="shared" ca="1" si="52"/>
        <v/>
      </c>
      <c r="E276" s="808" t="str">
        <f t="shared" ca="1" si="53"/>
        <v/>
      </c>
      <c r="F276" s="253" t="str">
        <f t="shared" ca="1" si="54"/>
        <v/>
      </c>
      <c r="G276" s="257" t="str">
        <f t="shared" ca="1" si="55"/>
        <v/>
      </c>
      <c r="H276" s="257" t="str">
        <f t="shared" ca="1" si="56"/>
        <v/>
      </c>
      <c r="I276" s="220" t="str">
        <f t="shared" ca="1" si="57"/>
        <v/>
      </c>
    </row>
    <row r="277" spans="1:9" x14ac:dyDescent="0.25">
      <c r="A277" s="254" t="str">
        <f t="shared" ca="1" si="49"/>
        <v/>
      </c>
      <c r="B277" s="255" t="str">
        <f t="shared" ca="1" si="50"/>
        <v/>
      </c>
      <c r="C277" s="256" t="str">
        <f t="shared" ca="1" si="51"/>
        <v/>
      </c>
      <c r="D277" s="257" t="str">
        <f t="shared" ca="1" si="52"/>
        <v/>
      </c>
      <c r="E277" s="808" t="str">
        <f t="shared" ca="1" si="53"/>
        <v/>
      </c>
      <c r="F277" s="253" t="str">
        <f t="shared" ca="1" si="54"/>
        <v/>
      </c>
      <c r="G277" s="257" t="str">
        <f t="shared" ca="1" si="55"/>
        <v/>
      </c>
      <c r="H277" s="257" t="str">
        <f t="shared" ca="1" si="56"/>
        <v/>
      </c>
      <c r="I277" s="220" t="str">
        <f t="shared" ca="1" si="57"/>
        <v/>
      </c>
    </row>
    <row r="278" spans="1:9" x14ac:dyDescent="0.25">
      <c r="A278" s="254" t="str">
        <f t="shared" ca="1" si="49"/>
        <v/>
      </c>
      <c r="B278" s="255" t="str">
        <f t="shared" ca="1" si="50"/>
        <v/>
      </c>
      <c r="C278" s="256" t="str">
        <f t="shared" ca="1" si="51"/>
        <v/>
      </c>
      <c r="D278" s="257" t="str">
        <f t="shared" ca="1" si="52"/>
        <v/>
      </c>
      <c r="E278" s="808" t="str">
        <f t="shared" ca="1" si="53"/>
        <v/>
      </c>
      <c r="F278" s="253" t="str">
        <f t="shared" ca="1" si="54"/>
        <v/>
      </c>
      <c r="G278" s="257" t="str">
        <f t="shared" ca="1" si="55"/>
        <v/>
      </c>
      <c r="H278" s="257" t="str">
        <f t="shared" ca="1" si="56"/>
        <v/>
      </c>
      <c r="I278" s="220" t="str">
        <f t="shared" ca="1" si="57"/>
        <v/>
      </c>
    </row>
    <row r="279" spans="1:9" x14ac:dyDescent="0.25">
      <c r="A279" s="254" t="str">
        <f t="shared" ca="1" si="49"/>
        <v/>
      </c>
      <c r="B279" s="255" t="str">
        <f t="shared" ca="1" si="50"/>
        <v/>
      </c>
      <c r="C279" s="256" t="str">
        <f t="shared" ca="1" si="51"/>
        <v/>
      </c>
      <c r="D279" s="257" t="str">
        <f t="shared" ca="1" si="52"/>
        <v/>
      </c>
      <c r="E279" s="808" t="str">
        <f t="shared" ca="1" si="53"/>
        <v/>
      </c>
      <c r="F279" s="253" t="str">
        <f t="shared" ca="1" si="54"/>
        <v/>
      </c>
      <c r="G279" s="257" t="str">
        <f t="shared" ca="1" si="55"/>
        <v/>
      </c>
      <c r="H279" s="257" t="str">
        <f t="shared" ca="1" si="56"/>
        <v/>
      </c>
      <c r="I279" s="220" t="str">
        <f t="shared" ca="1" si="57"/>
        <v/>
      </c>
    </row>
    <row r="280" spans="1:9" x14ac:dyDescent="0.25">
      <c r="A280" s="254" t="str">
        <f t="shared" ca="1" si="49"/>
        <v/>
      </c>
      <c r="B280" s="255" t="str">
        <f t="shared" ca="1" si="50"/>
        <v/>
      </c>
      <c r="C280" s="256" t="str">
        <f t="shared" ca="1" si="51"/>
        <v/>
      </c>
      <c r="D280" s="257" t="str">
        <f t="shared" ca="1" si="52"/>
        <v/>
      </c>
      <c r="E280" s="808" t="str">
        <f t="shared" ca="1" si="53"/>
        <v/>
      </c>
      <c r="F280" s="253" t="str">
        <f t="shared" ca="1" si="54"/>
        <v/>
      </c>
      <c r="G280" s="257" t="str">
        <f t="shared" ca="1" si="55"/>
        <v/>
      </c>
      <c r="H280" s="257" t="str">
        <f t="shared" ca="1" si="56"/>
        <v/>
      </c>
      <c r="I280" s="220" t="str">
        <f t="shared" ca="1" si="57"/>
        <v/>
      </c>
    </row>
    <row r="281" spans="1:9" x14ac:dyDescent="0.25">
      <c r="A281" s="254" t="str">
        <f t="shared" ca="1" si="49"/>
        <v/>
      </c>
      <c r="B281" s="255" t="str">
        <f t="shared" ca="1" si="50"/>
        <v/>
      </c>
      <c r="C281" s="256" t="str">
        <f t="shared" ca="1" si="51"/>
        <v/>
      </c>
      <c r="D281" s="257" t="str">
        <f t="shared" ca="1" si="52"/>
        <v/>
      </c>
      <c r="E281" s="808" t="str">
        <f t="shared" ca="1" si="53"/>
        <v/>
      </c>
      <c r="F281" s="253" t="str">
        <f t="shared" ca="1" si="54"/>
        <v/>
      </c>
      <c r="G281" s="257" t="str">
        <f t="shared" ca="1" si="55"/>
        <v/>
      </c>
      <c r="H281" s="257" t="str">
        <f t="shared" ca="1" si="56"/>
        <v/>
      </c>
      <c r="I281" s="220" t="str">
        <f t="shared" ca="1" si="57"/>
        <v/>
      </c>
    </row>
    <row r="282" spans="1:9" x14ac:dyDescent="0.25">
      <c r="A282" s="254" t="str">
        <f t="shared" ca="1" si="49"/>
        <v/>
      </c>
      <c r="B282" s="255" t="str">
        <f t="shared" ca="1" si="50"/>
        <v/>
      </c>
      <c r="C282" s="256" t="str">
        <f t="shared" ca="1" si="51"/>
        <v/>
      </c>
      <c r="D282" s="257" t="str">
        <f t="shared" ca="1" si="52"/>
        <v/>
      </c>
      <c r="E282" s="808" t="str">
        <f t="shared" ca="1" si="53"/>
        <v/>
      </c>
      <c r="F282" s="253" t="str">
        <f t="shared" ca="1" si="54"/>
        <v/>
      </c>
      <c r="G282" s="257" t="str">
        <f t="shared" ca="1" si="55"/>
        <v/>
      </c>
      <c r="H282" s="257" t="str">
        <f t="shared" ca="1" si="56"/>
        <v/>
      </c>
      <c r="I282" s="220" t="str">
        <f t="shared" ca="1" si="57"/>
        <v/>
      </c>
    </row>
    <row r="283" spans="1:9" x14ac:dyDescent="0.25">
      <c r="A283" s="254" t="str">
        <f t="shared" ca="1" si="49"/>
        <v/>
      </c>
      <c r="B283" s="255" t="str">
        <f t="shared" ca="1" si="50"/>
        <v/>
      </c>
      <c r="C283" s="256" t="str">
        <f t="shared" ca="1" si="51"/>
        <v/>
      </c>
      <c r="D283" s="257" t="str">
        <f t="shared" ca="1" si="52"/>
        <v/>
      </c>
      <c r="E283" s="808" t="str">
        <f t="shared" ca="1" si="53"/>
        <v/>
      </c>
      <c r="F283" s="253" t="str">
        <f t="shared" ca="1" si="54"/>
        <v/>
      </c>
      <c r="G283" s="257" t="str">
        <f t="shared" ca="1" si="55"/>
        <v/>
      </c>
      <c r="H283" s="257" t="str">
        <f t="shared" ca="1" si="56"/>
        <v/>
      </c>
      <c r="I283" s="220" t="str">
        <f t="shared" ca="1" si="57"/>
        <v/>
      </c>
    </row>
    <row r="284" spans="1:9" x14ac:dyDescent="0.25">
      <c r="A284" s="254" t="str">
        <f t="shared" ca="1" si="49"/>
        <v/>
      </c>
      <c r="B284" s="255" t="str">
        <f t="shared" ca="1" si="50"/>
        <v/>
      </c>
      <c r="C284" s="256" t="str">
        <f t="shared" ca="1" si="51"/>
        <v/>
      </c>
      <c r="D284" s="257" t="str">
        <f t="shared" ca="1" si="52"/>
        <v/>
      </c>
      <c r="E284" s="808" t="str">
        <f t="shared" ca="1" si="53"/>
        <v/>
      </c>
      <c r="F284" s="253" t="str">
        <f t="shared" ca="1" si="54"/>
        <v/>
      </c>
      <c r="G284" s="257" t="str">
        <f t="shared" ca="1" si="55"/>
        <v/>
      </c>
      <c r="H284" s="257" t="str">
        <f t="shared" ca="1" si="56"/>
        <v/>
      </c>
      <c r="I284" s="220" t="str">
        <f t="shared" ca="1" si="57"/>
        <v/>
      </c>
    </row>
    <row r="285" spans="1:9" x14ac:dyDescent="0.25">
      <c r="A285" s="254" t="str">
        <f t="shared" ca="1" si="49"/>
        <v/>
      </c>
      <c r="B285" s="255" t="str">
        <f t="shared" ca="1" si="50"/>
        <v/>
      </c>
      <c r="C285" s="256" t="str">
        <f t="shared" ca="1" si="51"/>
        <v/>
      </c>
      <c r="D285" s="257" t="str">
        <f t="shared" ca="1" si="52"/>
        <v/>
      </c>
      <c r="E285" s="808" t="str">
        <f t="shared" ca="1" si="53"/>
        <v/>
      </c>
      <c r="F285" s="253" t="str">
        <f t="shared" ca="1" si="54"/>
        <v/>
      </c>
      <c r="G285" s="257" t="str">
        <f t="shared" ca="1" si="55"/>
        <v/>
      </c>
      <c r="H285" s="257" t="str">
        <f t="shared" ca="1" si="56"/>
        <v/>
      </c>
      <c r="I285" s="220" t="str">
        <f t="shared" ca="1" si="57"/>
        <v/>
      </c>
    </row>
    <row r="286" spans="1:9" x14ac:dyDescent="0.25">
      <c r="A286" s="254" t="str">
        <f t="shared" ca="1" si="49"/>
        <v/>
      </c>
      <c r="B286" s="255" t="str">
        <f t="shared" ca="1" si="50"/>
        <v/>
      </c>
      <c r="C286" s="256" t="str">
        <f t="shared" ca="1" si="51"/>
        <v/>
      </c>
      <c r="D286" s="257" t="str">
        <f t="shared" ca="1" si="52"/>
        <v/>
      </c>
      <c r="E286" s="808" t="str">
        <f t="shared" ca="1" si="53"/>
        <v/>
      </c>
      <c r="F286" s="253" t="str">
        <f t="shared" ca="1" si="54"/>
        <v/>
      </c>
      <c r="G286" s="257" t="str">
        <f t="shared" ca="1" si="55"/>
        <v/>
      </c>
      <c r="H286" s="257" t="str">
        <f t="shared" ca="1" si="56"/>
        <v/>
      </c>
      <c r="I286" s="220" t="str">
        <f t="shared" ca="1" si="57"/>
        <v/>
      </c>
    </row>
    <row r="287" spans="1:9" x14ac:dyDescent="0.25">
      <c r="A287" s="254" t="str">
        <f t="shared" ca="1" si="49"/>
        <v/>
      </c>
      <c r="B287" s="255" t="str">
        <f t="shared" ca="1" si="50"/>
        <v/>
      </c>
      <c r="C287" s="256" t="str">
        <f t="shared" ca="1" si="51"/>
        <v/>
      </c>
      <c r="D287" s="257" t="str">
        <f t="shared" ca="1" si="52"/>
        <v/>
      </c>
      <c r="E287" s="808" t="str">
        <f t="shared" ca="1" si="53"/>
        <v/>
      </c>
      <c r="F287" s="253" t="str">
        <f t="shared" ca="1" si="54"/>
        <v/>
      </c>
      <c r="G287" s="257" t="str">
        <f t="shared" ca="1" si="55"/>
        <v/>
      </c>
      <c r="H287" s="257" t="str">
        <f t="shared" ca="1" si="56"/>
        <v/>
      </c>
      <c r="I287" s="220" t="str">
        <f t="shared" ca="1" si="57"/>
        <v/>
      </c>
    </row>
    <row r="288" spans="1:9" x14ac:dyDescent="0.25">
      <c r="A288" s="254" t="str">
        <f t="shared" ca="1" si="49"/>
        <v/>
      </c>
      <c r="B288" s="255" t="str">
        <f t="shared" ca="1" si="50"/>
        <v/>
      </c>
      <c r="C288" s="256" t="str">
        <f t="shared" ca="1" si="51"/>
        <v/>
      </c>
      <c r="D288" s="257" t="str">
        <f t="shared" ca="1" si="52"/>
        <v/>
      </c>
      <c r="E288" s="808" t="str">
        <f t="shared" ca="1" si="53"/>
        <v/>
      </c>
      <c r="F288" s="253" t="str">
        <f t="shared" ca="1" si="54"/>
        <v/>
      </c>
      <c r="G288" s="257" t="str">
        <f t="shared" ca="1" si="55"/>
        <v/>
      </c>
      <c r="H288" s="257" t="str">
        <f t="shared" ca="1" si="56"/>
        <v/>
      </c>
      <c r="I288" s="220" t="str">
        <f t="shared" ca="1" si="57"/>
        <v/>
      </c>
    </row>
    <row r="289" spans="1:9" x14ac:dyDescent="0.25">
      <c r="A289" s="254" t="str">
        <f t="shared" ca="1" si="49"/>
        <v/>
      </c>
      <c r="B289" s="255" t="str">
        <f t="shared" ca="1" si="50"/>
        <v/>
      </c>
      <c r="C289" s="256" t="str">
        <f t="shared" ca="1" si="51"/>
        <v/>
      </c>
      <c r="D289" s="257" t="str">
        <f t="shared" ca="1" si="52"/>
        <v/>
      </c>
      <c r="E289" s="808" t="str">
        <f t="shared" ca="1" si="53"/>
        <v/>
      </c>
      <c r="F289" s="253" t="str">
        <f t="shared" ca="1" si="54"/>
        <v/>
      </c>
      <c r="G289" s="257" t="str">
        <f t="shared" ca="1" si="55"/>
        <v/>
      </c>
      <c r="H289" s="257" t="str">
        <f t="shared" ca="1" si="56"/>
        <v/>
      </c>
      <c r="I289" s="220" t="str">
        <f t="shared" ca="1" si="57"/>
        <v/>
      </c>
    </row>
    <row r="290" spans="1:9" x14ac:dyDescent="0.25">
      <c r="A290" s="254" t="str">
        <f t="shared" ca="1" si="49"/>
        <v/>
      </c>
      <c r="B290" s="255" t="str">
        <f t="shared" ca="1" si="50"/>
        <v/>
      </c>
      <c r="C290" s="256" t="str">
        <f t="shared" ca="1" si="51"/>
        <v/>
      </c>
      <c r="D290" s="257" t="str">
        <f t="shared" ca="1" si="52"/>
        <v/>
      </c>
      <c r="E290" s="808" t="str">
        <f t="shared" ca="1" si="53"/>
        <v/>
      </c>
      <c r="F290" s="253" t="str">
        <f t="shared" ca="1" si="54"/>
        <v/>
      </c>
      <c r="G290" s="257" t="str">
        <f t="shared" ca="1" si="55"/>
        <v/>
      </c>
      <c r="H290" s="257" t="str">
        <f t="shared" ca="1" si="56"/>
        <v/>
      </c>
      <c r="I290" s="220" t="str">
        <f t="shared" ca="1" si="57"/>
        <v/>
      </c>
    </row>
    <row r="291" spans="1:9" x14ac:dyDescent="0.25">
      <c r="A291" s="254" t="str">
        <f t="shared" ca="1" si="49"/>
        <v/>
      </c>
      <c r="B291" s="255" t="str">
        <f t="shared" ca="1" si="50"/>
        <v/>
      </c>
      <c r="C291" s="256" t="str">
        <f t="shared" ca="1" si="51"/>
        <v/>
      </c>
      <c r="D291" s="257" t="str">
        <f t="shared" ca="1" si="52"/>
        <v/>
      </c>
      <c r="E291" s="808" t="str">
        <f t="shared" ca="1" si="53"/>
        <v/>
      </c>
      <c r="F291" s="253" t="str">
        <f t="shared" ca="1" si="54"/>
        <v/>
      </c>
      <c r="G291" s="257" t="str">
        <f t="shared" ca="1" si="55"/>
        <v/>
      </c>
      <c r="H291" s="257" t="str">
        <f t="shared" ca="1" si="56"/>
        <v/>
      </c>
      <c r="I291" s="220" t="str">
        <f t="shared" ca="1" si="57"/>
        <v/>
      </c>
    </row>
    <row r="292" spans="1:9" x14ac:dyDescent="0.25">
      <c r="A292" s="254" t="str">
        <f t="shared" ca="1" si="49"/>
        <v/>
      </c>
      <c r="B292" s="255" t="str">
        <f t="shared" ca="1" si="50"/>
        <v/>
      </c>
      <c r="C292" s="256" t="str">
        <f t="shared" ca="1" si="51"/>
        <v/>
      </c>
      <c r="D292" s="257" t="str">
        <f t="shared" ca="1" si="52"/>
        <v/>
      </c>
      <c r="E292" s="808" t="str">
        <f t="shared" ca="1" si="53"/>
        <v/>
      </c>
      <c r="F292" s="253" t="str">
        <f t="shared" ca="1" si="54"/>
        <v/>
      </c>
      <c r="G292" s="257" t="str">
        <f t="shared" ca="1" si="55"/>
        <v/>
      </c>
      <c r="H292" s="257" t="str">
        <f t="shared" ca="1" si="56"/>
        <v/>
      </c>
      <c r="I292" s="220" t="str">
        <f t="shared" ca="1" si="57"/>
        <v/>
      </c>
    </row>
    <row r="293" spans="1:9" x14ac:dyDescent="0.25">
      <c r="A293" s="254" t="str">
        <f t="shared" ca="1" si="49"/>
        <v/>
      </c>
      <c r="B293" s="255" t="str">
        <f t="shared" ca="1" si="50"/>
        <v/>
      </c>
      <c r="C293" s="256" t="str">
        <f t="shared" ca="1" si="51"/>
        <v/>
      </c>
      <c r="D293" s="257" t="str">
        <f t="shared" ca="1" si="52"/>
        <v/>
      </c>
      <c r="E293" s="808" t="str">
        <f t="shared" ca="1" si="53"/>
        <v/>
      </c>
      <c r="F293" s="253" t="str">
        <f t="shared" ca="1" si="54"/>
        <v/>
      </c>
      <c r="G293" s="257" t="str">
        <f t="shared" ca="1" si="55"/>
        <v/>
      </c>
      <c r="H293" s="257" t="str">
        <f t="shared" ca="1" si="56"/>
        <v/>
      </c>
      <c r="I293" s="220" t="str">
        <f t="shared" ca="1" si="57"/>
        <v/>
      </c>
    </row>
    <row r="294" spans="1:9" x14ac:dyDescent="0.25">
      <c r="A294" s="254" t="str">
        <f t="shared" ca="1" si="49"/>
        <v/>
      </c>
      <c r="B294" s="255" t="str">
        <f t="shared" ca="1" si="50"/>
        <v/>
      </c>
      <c r="C294" s="256" t="str">
        <f t="shared" ca="1" si="51"/>
        <v/>
      </c>
      <c r="D294" s="257" t="str">
        <f t="shared" ca="1" si="52"/>
        <v/>
      </c>
      <c r="E294" s="808" t="str">
        <f t="shared" ca="1" si="53"/>
        <v/>
      </c>
      <c r="F294" s="253" t="str">
        <f t="shared" ca="1" si="54"/>
        <v/>
      </c>
      <c r="G294" s="257" t="str">
        <f t="shared" ca="1" si="55"/>
        <v/>
      </c>
      <c r="H294" s="257" t="str">
        <f t="shared" ca="1" si="56"/>
        <v/>
      </c>
      <c r="I294" s="220" t="str">
        <f t="shared" ca="1" si="57"/>
        <v/>
      </c>
    </row>
    <row r="295" spans="1:9" x14ac:dyDescent="0.25">
      <c r="A295" s="254" t="str">
        <f t="shared" ca="1" si="49"/>
        <v/>
      </c>
      <c r="B295" s="255" t="str">
        <f t="shared" ca="1" si="50"/>
        <v/>
      </c>
      <c r="C295" s="256" t="str">
        <f t="shared" ca="1" si="51"/>
        <v/>
      </c>
      <c r="D295" s="257" t="str">
        <f t="shared" ca="1" si="52"/>
        <v/>
      </c>
      <c r="E295" s="808" t="str">
        <f t="shared" ca="1" si="53"/>
        <v/>
      </c>
      <c r="F295" s="253" t="str">
        <f t="shared" ca="1" si="54"/>
        <v/>
      </c>
      <c r="G295" s="257" t="str">
        <f t="shared" ca="1" si="55"/>
        <v/>
      </c>
      <c r="H295" s="257" t="str">
        <f t="shared" ca="1" si="56"/>
        <v/>
      </c>
      <c r="I295" s="220" t="str">
        <f t="shared" ca="1" si="57"/>
        <v/>
      </c>
    </row>
    <row r="296" spans="1:9" x14ac:dyDescent="0.25">
      <c r="A296" s="254" t="str">
        <f t="shared" ca="1" si="49"/>
        <v/>
      </c>
      <c r="B296" s="255" t="str">
        <f t="shared" ca="1" si="50"/>
        <v/>
      </c>
      <c r="C296" s="256" t="str">
        <f t="shared" ca="1" si="51"/>
        <v/>
      </c>
      <c r="D296" s="257" t="str">
        <f t="shared" ca="1" si="52"/>
        <v/>
      </c>
      <c r="E296" s="808" t="str">
        <f t="shared" ca="1" si="53"/>
        <v/>
      </c>
      <c r="F296" s="253" t="str">
        <f t="shared" ca="1" si="54"/>
        <v/>
      </c>
      <c r="G296" s="257" t="str">
        <f t="shared" ca="1" si="55"/>
        <v/>
      </c>
      <c r="H296" s="257" t="str">
        <f t="shared" ca="1" si="56"/>
        <v/>
      </c>
      <c r="I296" s="220" t="str">
        <f t="shared" ca="1" si="57"/>
        <v/>
      </c>
    </row>
    <row r="297" spans="1:9" x14ac:dyDescent="0.25">
      <c r="A297" s="254" t="str">
        <f t="shared" ca="1" si="49"/>
        <v/>
      </c>
      <c r="B297" s="255" t="str">
        <f t="shared" ca="1" si="50"/>
        <v/>
      </c>
      <c r="C297" s="256" t="str">
        <f t="shared" ca="1" si="51"/>
        <v/>
      </c>
      <c r="D297" s="257" t="str">
        <f t="shared" ca="1" si="52"/>
        <v/>
      </c>
      <c r="E297" s="808" t="str">
        <f t="shared" ca="1" si="53"/>
        <v/>
      </c>
      <c r="F297" s="253" t="str">
        <f t="shared" ca="1" si="54"/>
        <v/>
      </c>
      <c r="G297" s="257" t="str">
        <f t="shared" ca="1" si="55"/>
        <v/>
      </c>
      <c r="H297" s="257" t="str">
        <f t="shared" ca="1" si="56"/>
        <v/>
      </c>
      <c r="I297" s="220" t="str">
        <f t="shared" ca="1" si="57"/>
        <v/>
      </c>
    </row>
    <row r="298" spans="1:9" x14ac:dyDescent="0.25">
      <c r="A298" s="254" t="str">
        <f t="shared" ca="1" si="49"/>
        <v/>
      </c>
      <c r="B298" s="255" t="str">
        <f t="shared" ca="1" si="50"/>
        <v/>
      </c>
      <c r="C298" s="256" t="str">
        <f t="shared" ca="1" si="51"/>
        <v/>
      </c>
      <c r="D298" s="257" t="str">
        <f t="shared" ca="1" si="52"/>
        <v/>
      </c>
      <c r="E298" s="808" t="str">
        <f t="shared" ca="1" si="53"/>
        <v/>
      </c>
      <c r="F298" s="253" t="str">
        <f t="shared" ca="1" si="54"/>
        <v/>
      </c>
      <c r="G298" s="257" t="str">
        <f t="shared" ca="1" si="55"/>
        <v/>
      </c>
      <c r="H298" s="257" t="str">
        <f t="shared" ca="1" si="56"/>
        <v/>
      </c>
      <c r="I298" s="220" t="str">
        <f t="shared" ca="1" si="57"/>
        <v/>
      </c>
    </row>
    <row r="299" spans="1:9" x14ac:dyDescent="0.25">
      <c r="A299" s="254" t="str">
        <f t="shared" ca="1" si="49"/>
        <v/>
      </c>
      <c r="B299" s="255" t="str">
        <f t="shared" ca="1" si="50"/>
        <v/>
      </c>
      <c r="C299" s="256" t="str">
        <f t="shared" ca="1" si="51"/>
        <v/>
      </c>
      <c r="D299" s="257" t="str">
        <f t="shared" ca="1" si="52"/>
        <v/>
      </c>
      <c r="E299" s="808" t="str">
        <f t="shared" ca="1" si="53"/>
        <v/>
      </c>
      <c r="F299" s="253" t="str">
        <f t="shared" ca="1" si="54"/>
        <v/>
      </c>
      <c r="G299" s="257" t="str">
        <f t="shared" ca="1" si="55"/>
        <v/>
      </c>
      <c r="H299" s="257" t="str">
        <f t="shared" ca="1" si="56"/>
        <v/>
      </c>
      <c r="I299" s="220" t="str">
        <f t="shared" ca="1" si="57"/>
        <v/>
      </c>
    </row>
    <row r="300" spans="1:9" x14ac:dyDescent="0.25">
      <c r="A300" s="254" t="str">
        <f t="shared" ca="1" si="49"/>
        <v/>
      </c>
      <c r="B300" s="255" t="str">
        <f t="shared" ca="1" si="50"/>
        <v/>
      </c>
      <c r="C300" s="256" t="str">
        <f t="shared" ca="1" si="51"/>
        <v/>
      </c>
      <c r="D300" s="257" t="str">
        <f t="shared" ca="1" si="52"/>
        <v/>
      </c>
      <c r="E300" s="808" t="str">
        <f t="shared" ca="1" si="53"/>
        <v/>
      </c>
      <c r="F300" s="253" t="str">
        <f t="shared" ca="1" si="54"/>
        <v/>
      </c>
      <c r="G300" s="257" t="str">
        <f t="shared" ca="1" si="55"/>
        <v/>
      </c>
      <c r="H300" s="257" t="str">
        <f t="shared" ca="1" si="56"/>
        <v/>
      </c>
      <c r="I300" s="220" t="str">
        <f t="shared" ca="1" si="57"/>
        <v/>
      </c>
    </row>
    <row r="301" spans="1:9" x14ac:dyDescent="0.25">
      <c r="A301" s="254" t="str">
        <f t="shared" ca="1" si="49"/>
        <v/>
      </c>
      <c r="B301" s="255" t="str">
        <f t="shared" ca="1" si="50"/>
        <v/>
      </c>
      <c r="C301" s="256" t="str">
        <f t="shared" ca="1" si="51"/>
        <v/>
      </c>
      <c r="D301" s="257" t="str">
        <f t="shared" ca="1" si="52"/>
        <v/>
      </c>
      <c r="E301" s="808" t="str">
        <f t="shared" ca="1" si="53"/>
        <v/>
      </c>
      <c r="F301" s="253" t="str">
        <f t="shared" ca="1" si="54"/>
        <v/>
      </c>
      <c r="G301" s="257" t="str">
        <f t="shared" ca="1" si="55"/>
        <v/>
      </c>
      <c r="H301" s="257" t="str">
        <f t="shared" ca="1" si="56"/>
        <v/>
      </c>
      <c r="I301" s="220" t="str">
        <f t="shared" ca="1" si="57"/>
        <v/>
      </c>
    </row>
    <row r="302" spans="1:9" x14ac:dyDescent="0.25">
      <c r="A302" s="254" t="str">
        <f t="shared" ca="1" si="49"/>
        <v/>
      </c>
      <c r="B302" s="255" t="str">
        <f t="shared" ca="1" si="50"/>
        <v/>
      </c>
      <c r="C302" s="256" t="str">
        <f t="shared" ca="1" si="51"/>
        <v/>
      </c>
      <c r="D302" s="257" t="str">
        <f t="shared" ca="1" si="52"/>
        <v/>
      </c>
      <c r="E302" s="808" t="str">
        <f t="shared" ca="1" si="53"/>
        <v/>
      </c>
      <c r="F302" s="253" t="str">
        <f t="shared" ca="1" si="54"/>
        <v/>
      </c>
      <c r="G302" s="257" t="str">
        <f t="shared" ca="1" si="55"/>
        <v/>
      </c>
      <c r="H302" s="257" t="str">
        <f t="shared" ca="1" si="56"/>
        <v/>
      </c>
      <c r="I302" s="220" t="str">
        <f t="shared" ca="1" si="57"/>
        <v/>
      </c>
    </row>
    <row r="303" spans="1:9" x14ac:dyDescent="0.25">
      <c r="A303" s="254" t="str">
        <f t="shared" ca="1" si="49"/>
        <v/>
      </c>
      <c r="B303" s="255" t="str">
        <f t="shared" ca="1" si="50"/>
        <v/>
      </c>
      <c r="C303" s="256" t="str">
        <f t="shared" ca="1" si="51"/>
        <v/>
      </c>
      <c r="D303" s="257" t="str">
        <f t="shared" ca="1" si="52"/>
        <v/>
      </c>
      <c r="E303" s="808" t="str">
        <f t="shared" ca="1" si="53"/>
        <v/>
      </c>
      <c r="F303" s="253" t="str">
        <f t="shared" ca="1" si="54"/>
        <v/>
      </c>
      <c r="G303" s="257" t="str">
        <f t="shared" ca="1" si="55"/>
        <v/>
      </c>
      <c r="H303" s="257" t="str">
        <f t="shared" ca="1" si="56"/>
        <v/>
      </c>
      <c r="I303" s="220" t="str">
        <f t="shared" ca="1" si="57"/>
        <v/>
      </c>
    </row>
    <row r="304" spans="1:9" x14ac:dyDescent="0.25">
      <c r="A304" s="254" t="str">
        <f t="shared" ca="1" si="49"/>
        <v/>
      </c>
      <c r="B304" s="255" t="str">
        <f t="shared" ca="1" si="50"/>
        <v/>
      </c>
      <c r="C304" s="256" t="str">
        <f t="shared" ca="1" si="51"/>
        <v/>
      </c>
      <c r="D304" s="257" t="str">
        <f t="shared" ca="1" si="52"/>
        <v/>
      </c>
      <c r="E304" s="808" t="str">
        <f t="shared" ca="1" si="53"/>
        <v/>
      </c>
      <c r="F304" s="253" t="str">
        <f t="shared" ca="1" si="54"/>
        <v/>
      </c>
      <c r="G304" s="257" t="str">
        <f t="shared" ca="1" si="55"/>
        <v/>
      </c>
      <c r="H304" s="257" t="str">
        <f t="shared" ca="1" si="56"/>
        <v/>
      </c>
      <c r="I304" s="220" t="str">
        <f t="shared" ca="1" si="57"/>
        <v/>
      </c>
    </row>
    <row r="305" spans="1:9" x14ac:dyDescent="0.25">
      <c r="A305" s="254" t="str">
        <f t="shared" ca="1" si="49"/>
        <v/>
      </c>
      <c r="B305" s="255" t="str">
        <f t="shared" ca="1" si="50"/>
        <v/>
      </c>
      <c r="C305" s="256" t="str">
        <f t="shared" ca="1" si="51"/>
        <v/>
      </c>
      <c r="D305" s="257" t="str">
        <f t="shared" ca="1" si="52"/>
        <v/>
      </c>
      <c r="E305" s="808" t="str">
        <f t="shared" ca="1" si="53"/>
        <v/>
      </c>
      <c r="F305" s="253" t="str">
        <f t="shared" ca="1" si="54"/>
        <v/>
      </c>
      <c r="G305" s="257" t="str">
        <f t="shared" ca="1" si="55"/>
        <v/>
      </c>
      <c r="H305" s="257" t="str">
        <f t="shared" ca="1" si="56"/>
        <v/>
      </c>
      <c r="I305" s="220" t="str">
        <f t="shared" ca="1" si="57"/>
        <v/>
      </c>
    </row>
    <row r="306" spans="1:9" x14ac:dyDescent="0.25">
      <c r="A306" s="254" t="str">
        <f t="shared" ca="1" si="49"/>
        <v/>
      </c>
      <c r="B306" s="255" t="str">
        <f t="shared" ca="1" si="50"/>
        <v/>
      </c>
      <c r="C306" s="256" t="str">
        <f t="shared" ca="1" si="51"/>
        <v/>
      </c>
      <c r="D306" s="257" t="str">
        <f t="shared" ca="1" si="52"/>
        <v/>
      </c>
      <c r="E306" s="808" t="str">
        <f t="shared" ca="1" si="53"/>
        <v/>
      </c>
      <c r="F306" s="253" t="str">
        <f t="shared" ca="1" si="54"/>
        <v/>
      </c>
      <c r="G306" s="257" t="str">
        <f t="shared" ca="1" si="55"/>
        <v/>
      </c>
      <c r="H306" s="257" t="str">
        <f t="shared" ca="1" si="56"/>
        <v/>
      </c>
      <c r="I306" s="220" t="str">
        <f t="shared" ca="1" si="57"/>
        <v/>
      </c>
    </row>
    <row r="307" spans="1:9" x14ac:dyDescent="0.25">
      <c r="A307" s="254" t="str">
        <f t="shared" ca="1" si="49"/>
        <v/>
      </c>
      <c r="B307" s="255" t="str">
        <f t="shared" ca="1" si="50"/>
        <v/>
      </c>
      <c r="C307" s="256" t="str">
        <f t="shared" ca="1" si="51"/>
        <v/>
      </c>
      <c r="D307" s="257" t="str">
        <f t="shared" ca="1" si="52"/>
        <v/>
      </c>
      <c r="E307" s="808" t="str">
        <f t="shared" ca="1" si="53"/>
        <v/>
      </c>
      <c r="F307" s="253" t="str">
        <f t="shared" ca="1" si="54"/>
        <v/>
      </c>
      <c r="G307" s="257" t="str">
        <f t="shared" ca="1" si="55"/>
        <v/>
      </c>
      <c r="H307" s="257" t="str">
        <f t="shared" ca="1" si="56"/>
        <v/>
      </c>
      <c r="I307" s="220" t="str">
        <f t="shared" ca="1" si="57"/>
        <v/>
      </c>
    </row>
    <row r="308" spans="1:9" x14ac:dyDescent="0.25">
      <c r="A308" s="254" t="str">
        <f t="shared" ca="1" si="49"/>
        <v/>
      </c>
      <c r="B308" s="255" t="str">
        <f t="shared" ca="1" si="50"/>
        <v/>
      </c>
      <c r="C308" s="256" t="str">
        <f t="shared" ca="1" si="51"/>
        <v/>
      </c>
      <c r="D308" s="257" t="str">
        <f t="shared" ca="1" si="52"/>
        <v/>
      </c>
      <c r="E308" s="808" t="str">
        <f t="shared" ca="1" si="53"/>
        <v/>
      </c>
      <c r="F308" s="253" t="str">
        <f t="shared" ca="1" si="54"/>
        <v/>
      </c>
      <c r="G308" s="257" t="str">
        <f t="shared" ca="1" si="55"/>
        <v/>
      </c>
      <c r="H308" s="257" t="str">
        <f t="shared" ca="1" si="56"/>
        <v/>
      </c>
      <c r="I308" s="220" t="str">
        <f t="shared" ca="1" si="57"/>
        <v/>
      </c>
    </row>
    <row r="309" spans="1:9" x14ac:dyDescent="0.25">
      <c r="A309" s="254" t="str">
        <f t="shared" ca="1" si="49"/>
        <v/>
      </c>
      <c r="B309" s="255" t="str">
        <f t="shared" ca="1" si="50"/>
        <v/>
      </c>
      <c r="C309" s="256" t="str">
        <f t="shared" ca="1" si="51"/>
        <v/>
      </c>
      <c r="D309" s="257" t="str">
        <f t="shared" ca="1" si="52"/>
        <v/>
      </c>
      <c r="E309" s="808" t="str">
        <f t="shared" ca="1" si="53"/>
        <v/>
      </c>
      <c r="F309" s="253" t="str">
        <f t="shared" ca="1" si="54"/>
        <v/>
      </c>
      <c r="G309" s="257" t="str">
        <f t="shared" ca="1" si="55"/>
        <v/>
      </c>
      <c r="H309" s="257" t="str">
        <f t="shared" ca="1" si="56"/>
        <v/>
      </c>
      <c r="I309" s="220" t="str">
        <f t="shared" ca="1" si="57"/>
        <v/>
      </c>
    </row>
    <row r="310" spans="1:9" x14ac:dyDescent="0.25">
      <c r="A310" s="254" t="str">
        <f t="shared" ca="1" si="49"/>
        <v/>
      </c>
      <c r="B310" s="255" t="str">
        <f t="shared" ca="1" si="50"/>
        <v/>
      </c>
      <c r="C310" s="256" t="str">
        <f t="shared" ca="1" si="51"/>
        <v/>
      </c>
      <c r="D310" s="257" t="str">
        <f t="shared" ca="1" si="52"/>
        <v/>
      </c>
      <c r="E310" s="808" t="str">
        <f t="shared" ca="1" si="53"/>
        <v/>
      </c>
      <c r="F310" s="253" t="str">
        <f t="shared" ca="1" si="54"/>
        <v/>
      </c>
      <c r="G310" s="257" t="str">
        <f t="shared" ca="1" si="55"/>
        <v/>
      </c>
      <c r="H310" s="257" t="str">
        <f t="shared" ca="1" si="56"/>
        <v/>
      </c>
      <c r="I310" s="220" t="str">
        <f t="shared" ca="1" si="57"/>
        <v/>
      </c>
    </row>
    <row r="311" spans="1:9" x14ac:dyDescent="0.25">
      <c r="A311" s="254" t="str">
        <f t="shared" ca="1" si="49"/>
        <v/>
      </c>
      <c r="B311" s="255" t="str">
        <f t="shared" ca="1" si="50"/>
        <v/>
      </c>
      <c r="C311" s="256" t="str">
        <f t="shared" ca="1" si="51"/>
        <v/>
      </c>
      <c r="D311" s="257" t="str">
        <f t="shared" ca="1" si="52"/>
        <v/>
      </c>
      <c r="E311" s="808" t="str">
        <f t="shared" ca="1" si="53"/>
        <v/>
      </c>
      <c r="F311" s="253" t="str">
        <f t="shared" ca="1" si="54"/>
        <v/>
      </c>
      <c r="G311" s="257" t="str">
        <f t="shared" ca="1" si="55"/>
        <v/>
      </c>
      <c r="H311" s="257" t="str">
        <f t="shared" ca="1" si="56"/>
        <v/>
      </c>
      <c r="I311" s="220" t="str">
        <f t="shared" ca="1" si="57"/>
        <v/>
      </c>
    </row>
    <row r="312" spans="1:9" x14ac:dyDescent="0.25">
      <c r="A312" s="254" t="str">
        <f t="shared" ca="1" si="49"/>
        <v/>
      </c>
      <c r="B312" s="255" t="str">
        <f t="shared" ca="1" si="50"/>
        <v/>
      </c>
      <c r="C312" s="256" t="str">
        <f t="shared" ca="1" si="51"/>
        <v/>
      </c>
      <c r="D312" s="257" t="str">
        <f t="shared" ca="1" si="52"/>
        <v/>
      </c>
      <c r="E312" s="808" t="str">
        <f t="shared" ca="1" si="53"/>
        <v/>
      </c>
      <c r="F312" s="253" t="str">
        <f t="shared" ca="1" si="54"/>
        <v/>
      </c>
      <c r="G312" s="257" t="str">
        <f t="shared" ca="1" si="55"/>
        <v/>
      </c>
      <c r="H312" s="257" t="str">
        <f t="shared" ca="1" si="56"/>
        <v/>
      </c>
      <c r="I312" s="220" t="str">
        <f t="shared" ca="1" si="57"/>
        <v/>
      </c>
    </row>
    <row r="313" spans="1:9" x14ac:dyDescent="0.25">
      <c r="A313" s="254" t="str">
        <f t="shared" ca="1" si="49"/>
        <v/>
      </c>
      <c r="B313" s="255" t="str">
        <f t="shared" ca="1" si="50"/>
        <v/>
      </c>
      <c r="C313" s="256" t="str">
        <f t="shared" ca="1" si="51"/>
        <v/>
      </c>
      <c r="D313" s="257" t="str">
        <f t="shared" ca="1" si="52"/>
        <v/>
      </c>
      <c r="E313" s="808" t="str">
        <f t="shared" ca="1" si="53"/>
        <v/>
      </c>
      <c r="F313" s="253" t="str">
        <f t="shared" ca="1" si="54"/>
        <v/>
      </c>
      <c r="G313" s="257" t="str">
        <f t="shared" ca="1" si="55"/>
        <v/>
      </c>
      <c r="H313" s="257" t="str">
        <f t="shared" ca="1" si="56"/>
        <v/>
      </c>
      <c r="I313" s="220" t="str">
        <f t="shared" ca="1" si="57"/>
        <v/>
      </c>
    </row>
    <row r="314" spans="1:9" x14ac:dyDescent="0.25">
      <c r="A314" s="254" t="str">
        <f t="shared" ca="1" si="49"/>
        <v/>
      </c>
      <c r="B314" s="255" t="str">
        <f t="shared" ca="1" si="50"/>
        <v/>
      </c>
      <c r="C314" s="256" t="str">
        <f t="shared" ca="1" si="51"/>
        <v/>
      </c>
      <c r="D314" s="257" t="str">
        <f t="shared" ca="1" si="52"/>
        <v/>
      </c>
      <c r="E314" s="808" t="str">
        <f t="shared" ca="1" si="53"/>
        <v/>
      </c>
      <c r="F314" s="253" t="str">
        <f t="shared" ca="1" si="54"/>
        <v/>
      </c>
      <c r="G314" s="257" t="str">
        <f t="shared" ca="1" si="55"/>
        <v/>
      </c>
      <c r="H314" s="257" t="str">
        <f t="shared" ca="1" si="56"/>
        <v/>
      </c>
      <c r="I314" s="220" t="str">
        <f t="shared" ca="1" si="57"/>
        <v/>
      </c>
    </row>
    <row r="315" spans="1:9" x14ac:dyDescent="0.25">
      <c r="A315" s="254" t="str">
        <f t="shared" ca="1" si="49"/>
        <v/>
      </c>
      <c r="B315" s="255" t="str">
        <f t="shared" ca="1" si="50"/>
        <v/>
      </c>
      <c r="C315" s="256" t="str">
        <f t="shared" ca="1" si="51"/>
        <v/>
      </c>
      <c r="D315" s="257" t="str">
        <f t="shared" ca="1" si="52"/>
        <v/>
      </c>
      <c r="E315" s="808" t="str">
        <f t="shared" ca="1" si="53"/>
        <v/>
      </c>
      <c r="F315" s="253" t="str">
        <f t="shared" ca="1" si="54"/>
        <v/>
      </c>
      <c r="G315" s="257" t="str">
        <f t="shared" ca="1" si="55"/>
        <v/>
      </c>
      <c r="H315" s="257" t="str">
        <f t="shared" ca="1" si="56"/>
        <v/>
      </c>
      <c r="I315" s="220" t="str">
        <f t="shared" ca="1" si="57"/>
        <v/>
      </c>
    </row>
    <row r="316" spans="1:9" x14ac:dyDescent="0.25">
      <c r="A316" s="254" t="str">
        <f t="shared" ca="1" si="49"/>
        <v/>
      </c>
      <c r="B316" s="255" t="str">
        <f t="shared" ca="1" si="50"/>
        <v/>
      </c>
      <c r="C316" s="256" t="str">
        <f t="shared" ca="1" si="51"/>
        <v/>
      </c>
      <c r="D316" s="257" t="str">
        <f t="shared" ca="1" si="52"/>
        <v/>
      </c>
      <c r="E316" s="808" t="str">
        <f t="shared" ca="1" si="53"/>
        <v/>
      </c>
      <c r="F316" s="253" t="str">
        <f t="shared" ca="1" si="54"/>
        <v/>
      </c>
      <c r="G316" s="257" t="str">
        <f t="shared" ca="1" si="55"/>
        <v/>
      </c>
      <c r="H316" s="257" t="str">
        <f t="shared" ca="1" si="56"/>
        <v/>
      </c>
      <c r="I316" s="220" t="str">
        <f t="shared" ca="1" si="57"/>
        <v/>
      </c>
    </row>
    <row r="317" spans="1:9" x14ac:dyDescent="0.25">
      <c r="A317" s="254" t="str">
        <f t="shared" ca="1" si="49"/>
        <v/>
      </c>
      <c r="B317" s="255" t="str">
        <f t="shared" ca="1" si="50"/>
        <v/>
      </c>
      <c r="C317" s="256" t="str">
        <f t="shared" ca="1" si="51"/>
        <v/>
      </c>
      <c r="D317" s="257" t="str">
        <f t="shared" ca="1" si="52"/>
        <v/>
      </c>
      <c r="E317" s="808" t="str">
        <f t="shared" ca="1" si="53"/>
        <v/>
      </c>
      <c r="F317" s="253" t="str">
        <f t="shared" ca="1" si="54"/>
        <v/>
      </c>
      <c r="G317" s="257" t="str">
        <f t="shared" ca="1" si="55"/>
        <v/>
      </c>
      <c r="H317" s="257" t="str">
        <f t="shared" ca="1" si="56"/>
        <v/>
      </c>
      <c r="I317" s="220" t="str">
        <f t="shared" ca="1" si="57"/>
        <v/>
      </c>
    </row>
    <row r="318" spans="1:9" x14ac:dyDescent="0.25">
      <c r="A318" s="254" t="str">
        <f t="shared" ca="1" si="49"/>
        <v/>
      </c>
      <c r="B318" s="255" t="str">
        <f t="shared" ca="1" si="50"/>
        <v/>
      </c>
      <c r="C318" s="256" t="str">
        <f t="shared" ca="1" si="51"/>
        <v/>
      </c>
      <c r="D318" s="257" t="str">
        <f t="shared" ca="1" si="52"/>
        <v/>
      </c>
      <c r="E318" s="808" t="str">
        <f t="shared" ca="1" si="53"/>
        <v/>
      </c>
      <c r="F318" s="253" t="str">
        <f t="shared" ca="1" si="54"/>
        <v/>
      </c>
      <c r="G318" s="257" t="str">
        <f t="shared" ca="1" si="55"/>
        <v/>
      </c>
      <c r="H318" s="257" t="str">
        <f t="shared" ca="1" si="56"/>
        <v/>
      </c>
      <c r="I318" s="220" t="str">
        <f t="shared" ca="1" si="57"/>
        <v/>
      </c>
    </row>
    <row r="319" spans="1:9" x14ac:dyDescent="0.25">
      <c r="A319" s="254" t="str">
        <f t="shared" ca="1" si="49"/>
        <v/>
      </c>
      <c r="B319" s="255" t="str">
        <f t="shared" ca="1" si="50"/>
        <v/>
      </c>
      <c r="C319" s="256" t="str">
        <f t="shared" ca="1" si="51"/>
        <v/>
      </c>
      <c r="D319" s="257" t="str">
        <f t="shared" ca="1" si="52"/>
        <v/>
      </c>
      <c r="E319" s="808" t="str">
        <f t="shared" ca="1" si="53"/>
        <v/>
      </c>
      <c r="F319" s="253" t="str">
        <f t="shared" ca="1" si="54"/>
        <v/>
      </c>
      <c r="G319" s="257" t="str">
        <f t="shared" ca="1" si="55"/>
        <v/>
      </c>
      <c r="H319" s="257" t="str">
        <f t="shared" ca="1" si="56"/>
        <v/>
      </c>
      <c r="I319" s="220" t="str">
        <f t="shared" ca="1" si="57"/>
        <v/>
      </c>
    </row>
    <row r="320" spans="1:9" x14ac:dyDescent="0.25">
      <c r="A320" s="254" t="str">
        <f t="shared" ca="1" si="49"/>
        <v/>
      </c>
      <c r="B320" s="255" t="str">
        <f t="shared" ca="1" si="50"/>
        <v/>
      </c>
      <c r="C320" s="256" t="str">
        <f t="shared" ca="1" si="51"/>
        <v/>
      </c>
      <c r="D320" s="257" t="str">
        <f t="shared" ca="1" si="52"/>
        <v/>
      </c>
      <c r="E320" s="808" t="str">
        <f t="shared" ca="1" si="53"/>
        <v/>
      </c>
      <c r="F320" s="253" t="str">
        <f t="shared" ca="1" si="54"/>
        <v/>
      </c>
      <c r="G320" s="257" t="str">
        <f t="shared" ca="1" si="55"/>
        <v/>
      </c>
      <c r="H320" s="257" t="str">
        <f t="shared" ca="1" si="56"/>
        <v/>
      </c>
      <c r="I320" s="220" t="str">
        <f t="shared" ca="1" si="57"/>
        <v/>
      </c>
    </row>
    <row r="321" spans="1:9" x14ac:dyDescent="0.25">
      <c r="A321" s="254" t="str">
        <f t="shared" ca="1" si="49"/>
        <v/>
      </c>
      <c r="B321" s="255" t="str">
        <f t="shared" ca="1" si="50"/>
        <v/>
      </c>
      <c r="C321" s="256" t="str">
        <f t="shared" ca="1" si="51"/>
        <v/>
      </c>
      <c r="D321" s="257" t="str">
        <f t="shared" ca="1" si="52"/>
        <v/>
      </c>
      <c r="E321" s="808" t="str">
        <f t="shared" ca="1" si="53"/>
        <v/>
      </c>
      <c r="F321" s="253" t="str">
        <f t="shared" ca="1" si="54"/>
        <v/>
      </c>
      <c r="G321" s="257" t="str">
        <f t="shared" ca="1" si="55"/>
        <v/>
      </c>
      <c r="H321" s="257" t="str">
        <f t="shared" ca="1" si="56"/>
        <v/>
      </c>
      <c r="I321" s="220" t="str">
        <f t="shared" ca="1" si="57"/>
        <v/>
      </c>
    </row>
    <row r="322" spans="1:9" x14ac:dyDescent="0.25">
      <c r="A322" s="254" t="str">
        <f t="shared" ref="A322:A385" ca="1" si="58">IF(OR(H321&lt;=0,H321=""),"",OFFSET(A322,-1,0,1,1)+1)</f>
        <v/>
      </c>
      <c r="B322" s="255" t="str">
        <f t="shared" ref="B322:B385" ca="1" si="59">IF(A322&lt;$H$11+1,DATE(YEAR(B321),MONTH(B321)+3,1),"")</f>
        <v/>
      </c>
      <c r="C322" s="256" t="str">
        <f t="shared" ref="C322:C385" ca="1" si="60">IF(OR(A322=$H$11,A322=$H$14),G321+D322+E322,IF(B322="","",-$D$14))</f>
        <v/>
      </c>
      <c r="D322" s="257" t="str">
        <f t="shared" ref="D322:D385" ca="1" si="61">IF(B322="","",ROUND((B322-B321)*(E322/$D$13+$H$10*($I$10))*G321,2))</f>
        <v/>
      </c>
      <c r="E322" s="808" t="str">
        <f t="shared" ref="E322:E385" ca="1" si="62">IF(B322="","",ROUND((B322-B321)*($H$10*(1-$I$10))*G321,2))</f>
        <v/>
      </c>
      <c r="F322" s="253" t="str">
        <f t="shared" ref="F322:F385" ca="1" si="63">IF(B322="","",MAX(C322-D322,0))</f>
        <v/>
      </c>
      <c r="G322" s="257" t="str">
        <f t="shared" ref="G322:G385" ca="1" si="64">IF(B322="","",-(C322-D322)+G321)</f>
        <v/>
      </c>
      <c r="H322" s="257" t="str">
        <f t="shared" ref="H322:H385" ca="1" si="65">IF(B322="","",G322)</f>
        <v/>
      </c>
      <c r="I322" s="220" t="str">
        <f t="shared" ref="I322:I385" ca="1" si="66">IF(B322="","",YEAR(B322))</f>
        <v/>
      </c>
    </row>
    <row r="323" spans="1:9" x14ac:dyDescent="0.25">
      <c r="A323" s="254" t="str">
        <f t="shared" ca="1" si="58"/>
        <v/>
      </c>
      <c r="B323" s="255" t="str">
        <f t="shared" ca="1" si="59"/>
        <v/>
      </c>
      <c r="C323" s="256" t="str">
        <f t="shared" ca="1" si="60"/>
        <v/>
      </c>
      <c r="D323" s="257" t="str">
        <f t="shared" ca="1" si="61"/>
        <v/>
      </c>
      <c r="E323" s="808" t="str">
        <f t="shared" ca="1" si="62"/>
        <v/>
      </c>
      <c r="F323" s="253" t="str">
        <f t="shared" ca="1" si="63"/>
        <v/>
      </c>
      <c r="G323" s="257" t="str">
        <f t="shared" ca="1" si="64"/>
        <v/>
      </c>
      <c r="H323" s="257" t="str">
        <f t="shared" ca="1" si="65"/>
        <v/>
      </c>
      <c r="I323" s="220" t="str">
        <f t="shared" ca="1" si="66"/>
        <v/>
      </c>
    </row>
    <row r="324" spans="1:9" x14ac:dyDescent="0.25">
      <c r="A324" s="254" t="str">
        <f t="shared" ca="1" si="58"/>
        <v/>
      </c>
      <c r="B324" s="255" t="str">
        <f t="shared" ca="1" si="59"/>
        <v/>
      </c>
      <c r="C324" s="256" t="str">
        <f t="shared" ca="1" si="60"/>
        <v/>
      </c>
      <c r="D324" s="257" t="str">
        <f t="shared" ca="1" si="61"/>
        <v/>
      </c>
      <c r="E324" s="808" t="str">
        <f t="shared" ca="1" si="62"/>
        <v/>
      </c>
      <c r="F324" s="253" t="str">
        <f t="shared" ca="1" si="63"/>
        <v/>
      </c>
      <c r="G324" s="257" t="str">
        <f t="shared" ca="1" si="64"/>
        <v/>
      </c>
      <c r="H324" s="257" t="str">
        <f t="shared" ca="1" si="65"/>
        <v/>
      </c>
      <c r="I324" s="220" t="str">
        <f t="shared" ca="1" si="66"/>
        <v/>
      </c>
    </row>
    <row r="325" spans="1:9" x14ac:dyDescent="0.25">
      <c r="A325" s="254" t="str">
        <f t="shared" ca="1" si="58"/>
        <v/>
      </c>
      <c r="B325" s="255" t="str">
        <f t="shared" ca="1" si="59"/>
        <v/>
      </c>
      <c r="C325" s="256" t="str">
        <f t="shared" ca="1" si="60"/>
        <v/>
      </c>
      <c r="D325" s="257" t="str">
        <f t="shared" ca="1" si="61"/>
        <v/>
      </c>
      <c r="E325" s="808" t="str">
        <f t="shared" ca="1" si="62"/>
        <v/>
      </c>
      <c r="F325" s="253" t="str">
        <f t="shared" ca="1" si="63"/>
        <v/>
      </c>
      <c r="G325" s="257" t="str">
        <f t="shared" ca="1" si="64"/>
        <v/>
      </c>
      <c r="H325" s="257" t="str">
        <f t="shared" ca="1" si="65"/>
        <v/>
      </c>
      <c r="I325" s="220" t="str">
        <f t="shared" ca="1" si="66"/>
        <v/>
      </c>
    </row>
    <row r="326" spans="1:9" x14ac:dyDescent="0.25">
      <c r="A326" s="254" t="str">
        <f t="shared" ca="1" si="58"/>
        <v/>
      </c>
      <c r="B326" s="255" t="str">
        <f t="shared" ca="1" si="59"/>
        <v/>
      </c>
      <c r="C326" s="256" t="str">
        <f t="shared" ca="1" si="60"/>
        <v/>
      </c>
      <c r="D326" s="257" t="str">
        <f t="shared" ca="1" si="61"/>
        <v/>
      </c>
      <c r="E326" s="808" t="str">
        <f t="shared" ca="1" si="62"/>
        <v/>
      </c>
      <c r="F326" s="253" t="str">
        <f t="shared" ca="1" si="63"/>
        <v/>
      </c>
      <c r="G326" s="257" t="str">
        <f t="shared" ca="1" si="64"/>
        <v/>
      </c>
      <c r="H326" s="257" t="str">
        <f t="shared" ca="1" si="65"/>
        <v/>
      </c>
      <c r="I326" s="220" t="str">
        <f t="shared" ca="1" si="66"/>
        <v/>
      </c>
    </row>
    <row r="327" spans="1:9" x14ac:dyDescent="0.25">
      <c r="A327" s="254" t="str">
        <f t="shared" ca="1" si="58"/>
        <v/>
      </c>
      <c r="B327" s="255" t="str">
        <f t="shared" ca="1" si="59"/>
        <v/>
      </c>
      <c r="C327" s="256" t="str">
        <f t="shared" ca="1" si="60"/>
        <v/>
      </c>
      <c r="D327" s="257" t="str">
        <f t="shared" ca="1" si="61"/>
        <v/>
      </c>
      <c r="E327" s="808" t="str">
        <f t="shared" ca="1" si="62"/>
        <v/>
      </c>
      <c r="F327" s="253" t="str">
        <f t="shared" ca="1" si="63"/>
        <v/>
      </c>
      <c r="G327" s="257" t="str">
        <f t="shared" ca="1" si="64"/>
        <v/>
      </c>
      <c r="H327" s="257" t="str">
        <f t="shared" ca="1" si="65"/>
        <v/>
      </c>
      <c r="I327" s="220" t="str">
        <f t="shared" ca="1" si="66"/>
        <v/>
      </c>
    </row>
    <row r="328" spans="1:9" x14ac:dyDescent="0.25">
      <c r="A328" s="254" t="str">
        <f t="shared" ca="1" si="58"/>
        <v/>
      </c>
      <c r="B328" s="255" t="str">
        <f t="shared" ca="1" si="59"/>
        <v/>
      </c>
      <c r="C328" s="256" t="str">
        <f t="shared" ca="1" si="60"/>
        <v/>
      </c>
      <c r="D328" s="257" t="str">
        <f t="shared" ca="1" si="61"/>
        <v/>
      </c>
      <c r="E328" s="808" t="str">
        <f t="shared" ca="1" si="62"/>
        <v/>
      </c>
      <c r="F328" s="253" t="str">
        <f t="shared" ca="1" si="63"/>
        <v/>
      </c>
      <c r="G328" s="257" t="str">
        <f t="shared" ca="1" si="64"/>
        <v/>
      </c>
      <c r="H328" s="257" t="str">
        <f t="shared" ca="1" si="65"/>
        <v/>
      </c>
      <c r="I328" s="220" t="str">
        <f t="shared" ca="1" si="66"/>
        <v/>
      </c>
    </row>
    <row r="329" spans="1:9" x14ac:dyDescent="0.25">
      <c r="A329" s="254" t="str">
        <f t="shared" ca="1" si="58"/>
        <v/>
      </c>
      <c r="B329" s="255" t="str">
        <f t="shared" ca="1" si="59"/>
        <v/>
      </c>
      <c r="C329" s="256" t="str">
        <f t="shared" ca="1" si="60"/>
        <v/>
      </c>
      <c r="D329" s="257" t="str">
        <f t="shared" ca="1" si="61"/>
        <v/>
      </c>
      <c r="E329" s="808" t="str">
        <f t="shared" ca="1" si="62"/>
        <v/>
      </c>
      <c r="F329" s="253" t="str">
        <f t="shared" ca="1" si="63"/>
        <v/>
      </c>
      <c r="G329" s="257" t="str">
        <f t="shared" ca="1" si="64"/>
        <v/>
      </c>
      <c r="H329" s="257" t="str">
        <f t="shared" ca="1" si="65"/>
        <v/>
      </c>
      <c r="I329" s="220" t="str">
        <f t="shared" ca="1" si="66"/>
        <v/>
      </c>
    </row>
    <row r="330" spans="1:9" x14ac:dyDescent="0.25">
      <c r="A330" s="254" t="str">
        <f t="shared" ca="1" si="58"/>
        <v/>
      </c>
      <c r="B330" s="255" t="str">
        <f t="shared" ca="1" si="59"/>
        <v/>
      </c>
      <c r="C330" s="256" t="str">
        <f t="shared" ca="1" si="60"/>
        <v/>
      </c>
      <c r="D330" s="257" t="str">
        <f t="shared" ca="1" si="61"/>
        <v/>
      </c>
      <c r="E330" s="808" t="str">
        <f t="shared" ca="1" si="62"/>
        <v/>
      </c>
      <c r="F330" s="253" t="str">
        <f t="shared" ca="1" si="63"/>
        <v/>
      </c>
      <c r="G330" s="257" t="str">
        <f t="shared" ca="1" si="64"/>
        <v/>
      </c>
      <c r="H330" s="257" t="str">
        <f t="shared" ca="1" si="65"/>
        <v/>
      </c>
      <c r="I330" s="220" t="str">
        <f t="shared" ca="1" si="66"/>
        <v/>
      </c>
    </row>
    <row r="331" spans="1:9" x14ac:dyDescent="0.25">
      <c r="A331" s="254" t="str">
        <f t="shared" ca="1" si="58"/>
        <v/>
      </c>
      <c r="B331" s="255" t="str">
        <f t="shared" ca="1" si="59"/>
        <v/>
      </c>
      <c r="C331" s="256" t="str">
        <f t="shared" ca="1" si="60"/>
        <v/>
      </c>
      <c r="D331" s="257" t="str">
        <f t="shared" ca="1" si="61"/>
        <v/>
      </c>
      <c r="E331" s="808" t="str">
        <f t="shared" ca="1" si="62"/>
        <v/>
      </c>
      <c r="F331" s="253" t="str">
        <f t="shared" ca="1" si="63"/>
        <v/>
      </c>
      <c r="G331" s="257" t="str">
        <f t="shared" ca="1" si="64"/>
        <v/>
      </c>
      <c r="H331" s="257" t="str">
        <f t="shared" ca="1" si="65"/>
        <v/>
      </c>
      <c r="I331" s="220" t="str">
        <f t="shared" ca="1" si="66"/>
        <v/>
      </c>
    </row>
    <row r="332" spans="1:9" x14ac:dyDescent="0.25">
      <c r="A332" s="254" t="str">
        <f t="shared" ca="1" si="58"/>
        <v/>
      </c>
      <c r="B332" s="255" t="str">
        <f t="shared" ca="1" si="59"/>
        <v/>
      </c>
      <c r="C332" s="256" t="str">
        <f t="shared" ca="1" si="60"/>
        <v/>
      </c>
      <c r="D332" s="257" t="str">
        <f t="shared" ca="1" si="61"/>
        <v/>
      </c>
      <c r="E332" s="808" t="str">
        <f t="shared" ca="1" si="62"/>
        <v/>
      </c>
      <c r="F332" s="253" t="str">
        <f t="shared" ca="1" si="63"/>
        <v/>
      </c>
      <c r="G332" s="257" t="str">
        <f t="shared" ca="1" si="64"/>
        <v/>
      </c>
      <c r="H332" s="257" t="str">
        <f t="shared" ca="1" si="65"/>
        <v/>
      </c>
      <c r="I332" s="220" t="str">
        <f t="shared" ca="1" si="66"/>
        <v/>
      </c>
    </row>
    <row r="333" spans="1:9" x14ac:dyDescent="0.25">
      <c r="A333" s="254" t="str">
        <f t="shared" ca="1" si="58"/>
        <v/>
      </c>
      <c r="B333" s="255" t="str">
        <f t="shared" ca="1" si="59"/>
        <v/>
      </c>
      <c r="C333" s="256" t="str">
        <f t="shared" ca="1" si="60"/>
        <v/>
      </c>
      <c r="D333" s="257" t="str">
        <f t="shared" ca="1" si="61"/>
        <v/>
      </c>
      <c r="E333" s="808" t="str">
        <f t="shared" ca="1" si="62"/>
        <v/>
      </c>
      <c r="F333" s="253" t="str">
        <f t="shared" ca="1" si="63"/>
        <v/>
      </c>
      <c r="G333" s="257" t="str">
        <f t="shared" ca="1" si="64"/>
        <v/>
      </c>
      <c r="H333" s="257" t="str">
        <f t="shared" ca="1" si="65"/>
        <v/>
      </c>
      <c r="I333" s="220" t="str">
        <f t="shared" ca="1" si="66"/>
        <v/>
      </c>
    </row>
    <row r="334" spans="1:9" x14ac:dyDescent="0.25">
      <c r="A334" s="254" t="str">
        <f t="shared" ca="1" si="58"/>
        <v/>
      </c>
      <c r="B334" s="255" t="str">
        <f t="shared" ca="1" si="59"/>
        <v/>
      </c>
      <c r="C334" s="256" t="str">
        <f t="shared" ca="1" si="60"/>
        <v/>
      </c>
      <c r="D334" s="257" t="str">
        <f t="shared" ca="1" si="61"/>
        <v/>
      </c>
      <c r="E334" s="808" t="str">
        <f t="shared" ca="1" si="62"/>
        <v/>
      </c>
      <c r="F334" s="253" t="str">
        <f t="shared" ca="1" si="63"/>
        <v/>
      </c>
      <c r="G334" s="257" t="str">
        <f t="shared" ca="1" si="64"/>
        <v/>
      </c>
      <c r="H334" s="257" t="str">
        <f t="shared" ca="1" si="65"/>
        <v/>
      </c>
      <c r="I334" s="220" t="str">
        <f t="shared" ca="1" si="66"/>
        <v/>
      </c>
    </row>
    <row r="335" spans="1:9" x14ac:dyDescent="0.25">
      <c r="A335" s="254" t="str">
        <f t="shared" ca="1" si="58"/>
        <v/>
      </c>
      <c r="B335" s="255" t="str">
        <f t="shared" ca="1" si="59"/>
        <v/>
      </c>
      <c r="C335" s="256" t="str">
        <f t="shared" ca="1" si="60"/>
        <v/>
      </c>
      <c r="D335" s="257" t="str">
        <f t="shared" ca="1" si="61"/>
        <v/>
      </c>
      <c r="E335" s="808" t="str">
        <f t="shared" ca="1" si="62"/>
        <v/>
      </c>
      <c r="F335" s="253" t="str">
        <f t="shared" ca="1" si="63"/>
        <v/>
      </c>
      <c r="G335" s="257" t="str">
        <f t="shared" ca="1" si="64"/>
        <v/>
      </c>
      <c r="H335" s="257" t="str">
        <f t="shared" ca="1" si="65"/>
        <v/>
      </c>
      <c r="I335" s="220" t="str">
        <f t="shared" ca="1" si="66"/>
        <v/>
      </c>
    </row>
    <row r="336" spans="1:9" x14ac:dyDescent="0.25">
      <c r="A336" s="254" t="str">
        <f t="shared" ca="1" si="58"/>
        <v/>
      </c>
      <c r="B336" s="255" t="str">
        <f t="shared" ca="1" si="59"/>
        <v/>
      </c>
      <c r="C336" s="256" t="str">
        <f t="shared" ca="1" si="60"/>
        <v/>
      </c>
      <c r="D336" s="257" t="str">
        <f t="shared" ca="1" si="61"/>
        <v/>
      </c>
      <c r="E336" s="808" t="str">
        <f t="shared" ca="1" si="62"/>
        <v/>
      </c>
      <c r="F336" s="253" t="str">
        <f t="shared" ca="1" si="63"/>
        <v/>
      </c>
      <c r="G336" s="257" t="str">
        <f t="shared" ca="1" si="64"/>
        <v/>
      </c>
      <c r="H336" s="257" t="str">
        <f t="shared" ca="1" si="65"/>
        <v/>
      </c>
      <c r="I336" s="220" t="str">
        <f t="shared" ca="1" si="66"/>
        <v/>
      </c>
    </row>
    <row r="337" spans="1:9" x14ac:dyDescent="0.25">
      <c r="A337" s="254" t="str">
        <f t="shared" ca="1" si="58"/>
        <v/>
      </c>
      <c r="B337" s="255" t="str">
        <f t="shared" ca="1" si="59"/>
        <v/>
      </c>
      <c r="C337" s="256" t="str">
        <f t="shared" ca="1" si="60"/>
        <v/>
      </c>
      <c r="D337" s="257" t="str">
        <f t="shared" ca="1" si="61"/>
        <v/>
      </c>
      <c r="E337" s="808" t="str">
        <f t="shared" ca="1" si="62"/>
        <v/>
      </c>
      <c r="F337" s="253" t="str">
        <f t="shared" ca="1" si="63"/>
        <v/>
      </c>
      <c r="G337" s="257" t="str">
        <f t="shared" ca="1" si="64"/>
        <v/>
      </c>
      <c r="H337" s="257" t="str">
        <f t="shared" ca="1" si="65"/>
        <v/>
      </c>
      <c r="I337" s="220" t="str">
        <f t="shared" ca="1" si="66"/>
        <v/>
      </c>
    </row>
    <row r="338" spans="1:9" x14ac:dyDescent="0.25">
      <c r="A338" s="254" t="str">
        <f t="shared" ca="1" si="58"/>
        <v/>
      </c>
      <c r="B338" s="255" t="str">
        <f t="shared" ca="1" si="59"/>
        <v/>
      </c>
      <c r="C338" s="256" t="str">
        <f t="shared" ca="1" si="60"/>
        <v/>
      </c>
      <c r="D338" s="257" t="str">
        <f t="shared" ca="1" si="61"/>
        <v/>
      </c>
      <c r="E338" s="808" t="str">
        <f t="shared" ca="1" si="62"/>
        <v/>
      </c>
      <c r="F338" s="253" t="str">
        <f t="shared" ca="1" si="63"/>
        <v/>
      </c>
      <c r="G338" s="257" t="str">
        <f t="shared" ca="1" si="64"/>
        <v/>
      </c>
      <c r="H338" s="257" t="str">
        <f t="shared" ca="1" si="65"/>
        <v/>
      </c>
      <c r="I338" s="220" t="str">
        <f t="shared" ca="1" si="66"/>
        <v/>
      </c>
    </row>
    <row r="339" spans="1:9" x14ac:dyDescent="0.25">
      <c r="A339" s="254" t="str">
        <f t="shared" ca="1" si="58"/>
        <v/>
      </c>
      <c r="B339" s="255" t="str">
        <f t="shared" ca="1" si="59"/>
        <v/>
      </c>
      <c r="C339" s="256" t="str">
        <f t="shared" ca="1" si="60"/>
        <v/>
      </c>
      <c r="D339" s="257" t="str">
        <f t="shared" ca="1" si="61"/>
        <v/>
      </c>
      <c r="E339" s="808" t="str">
        <f t="shared" ca="1" si="62"/>
        <v/>
      </c>
      <c r="F339" s="253" t="str">
        <f t="shared" ca="1" si="63"/>
        <v/>
      </c>
      <c r="G339" s="257" t="str">
        <f t="shared" ca="1" si="64"/>
        <v/>
      </c>
      <c r="H339" s="257" t="str">
        <f t="shared" ca="1" si="65"/>
        <v/>
      </c>
      <c r="I339" s="220" t="str">
        <f t="shared" ca="1" si="66"/>
        <v/>
      </c>
    </row>
    <row r="340" spans="1:9" x14ac:dyDescent="0.25">
      <c r="A340" s="254" t="str">
        <f t="shared" ca="1" si="58"/>
        <v/>
      </c>
      <c r="B340" s="255" t="str">
        <f t="shared" ca="1" si="59"/>
        <v/>
      </c>
      <c r="C340" s="256" t="str">
        <f t="shared" ca="1" si="60"/>
        <v/>
      </c>
      <c r="D340" s="257" t="str">
        <f t="shared" ca="1" si="61"/>
        <v/>
      </c>
      <c r="E340" s="808" t="str">
        <f t="shared" ca="1" si="62"/>
        <v/>
      </c>
      <c r="F340" s="253" t="str">
        <f t="shared" ca="1" si="63"/>
        <v/>
      </c>
      <c r="G340" s="257" t="str">
        <f t="shared" ca="1" si="64"/>
        <v/>
      </c>
      <c r="H340" s="257" t="str">
        <f t="shared" ca="1" si="65"/>
        <v/>
      </c>
      <c r="I340" s="220" t="str">
        <f t="shared" ca="1" si="66"/>
        <v/>
      </c>
    </row>
    <row r="341" spans="1:9" x14ac:dyDescent="0.25">
      <c r="A341" s="254" t="str">
        <f t="shared" ca="1" si="58"/>
        <v/>
      </c>
      <c r="B341" s="255" t="str">
        <f t="shared" ca="1" si="59"/>
        <v/>
      </c>
      <c r="C341" s="256" t="str">
        <f t="shared" ca="1" si="60"/>
        <v/>
      </c>
      <c r="D341" s="257" t="str">
        <f t="shared" ca="1" si="61"/>
        <v/>
      </c>
      <c r="E341" s="808" t="str">
        <f t="shared" ca="1" si="62"/>
        <v/>
      </c>
      <c r="F341" s="253" t="str">
        <f t="shared" ca="1" si="63"/>
        <v/>
      </c>
      <c r="G341" s="257" t="str">
        <f t="shared" ca="1" si="64"/>
        <v/>
      </c>
      <c r="H341" s="257" t="str">
        <f t="shared" ca="1" si="65"/>
        <v/>
      </c>
      <c r="I341" s="220" t="str">
        <f t="shared" ca="1" si="66"/>
        <v/>
      </c>
    </row>
    <row r="342" spans="1:9" x14ac:dyDescent="0.25">
      <c r="A342" s="254" t="str">
        <f t="shared" ca="1" si="58"/>
        <v/>
      </c>
      <c r="B342" s="255" t="str">
        <f t="shared" ca="1" si="59"/>
        <v/>
      </c>
      <c r="C342" s="256" t="str">
        <f t="shared" ca="1" si="60"/>
        <v/>
      </c>
      <c r="D342" s="257" t="str">
        <f t="shared" ca="1" si="61"/>
        <v/>
      </c>
      <c r="E342" s="808" t="str">
        <f t="shared" ca="1" si="62"/>
        <v/>
      </c>
      <c r="F342" s="253" t="str">
        <f t="shared" ca="1" si="63"/>
        <v/>
      </c>
      <c r="G342" s="257" t="str">
        <f t="shared" ca="1" si="64"/>
        <v/>
      </c>
      <c r="H342" s="257" t="str">
        <f t="shared" ca="1" si="65"/>
        <v/>
      </c>
      <c r="I342" s="220" t="str">
        <f t="shared" ca="1" si="66"/>
        <v/>
      </c>
    </row>
    <row r="343" spans="1:9" x14ac:dyDescent="0.25">
      <c r="A343" s="254" t="str">
        <f t="shared" ca="1" si="58"/>
        <v/>
      </c>
      <c r="B343" s="255" t="str">
        <f t="shared" ca="1" si="59"/>
        <v/>
      </c>
      <c r="C343" s="256" t="str">
        <f t="shared" ca="1" si="60"/>
        <v/>
      </c>
      <c r="D343" s="257" t="str">
        <f t="shared" ca="1" si="61"/>
        <v/>
      </c>
      <c r="E343" s="808" t="str">
        <f t="shared" ca="1" si="62"/>
        <v/>
      </c>
      <c r="F343" s="253" t="str">
        <f t="shared" ca="1" si="63"/>
        <v/>
      </c>
      <c r="G343" s="257" t="str">
        <f t="shared" ca="1" si="64"/>
        <v/>
      </c>
      <c r="H343" s="257" t="str">
        <f t="shared" ca="1" si="65"/>
        <v/>
      </c>
      <c r="I343" s="220" t="str">
        <f t="shared" ca="1" si="66"/>
        <v/>
      </c>
    </row>
    <row r="344" spans="1:9" x14ac:dyDescent="0.25">
      <c r="A344" s="254" t="str">
        <f t="shared" ca="1" si="58"/>
        <v/>
      </c>
      <c r="B344" s="255" t="str">
        <f t="shared" ca="1" si="59"/>
        <v/>
      </c>
      <c r="C344" s="256" t="str">
        <f t="shared" ca="1" si="60"/>
        <v/>
      </c>
      <c r="D344" s="257" t="str">
        <f t="shared" ca="1" si="61"/>
        <v/>
      </c>
      <c r="E344" s="808" t="str">
        <f t="shared" ca="1" si="62"/>
        <v/>
      </c>
      <c r="F344" s="253" t="str">
        <f t="shared" ca="1" si="63"/>
        <v/>
      </c>
      <c r="G344" s="257" t="str">
        <f t="shared" ca="1" si="64"/>
        <v/>
      </c>
      <c r="H344" s="257" t="str">
        <f t="shared" ca="1" si="65"/>
        <v/>
      </c>
      <c r="I344" s="220" t="str">
        <f t="shared" ca="1" si="66"/>
        <v/>
      </c>
    </row>
    <row r="345" spans="1:9" x14ac:dyDescent="0.25">
      <c r="A345" s="254" t="str">
        <f t="shared" ca="1" si="58"/>
        <v/>
      </c>
      <c r="B345" s="255" t="str">
        <f t="shared" ca="1" si="59"/>
        <v/>
      </c>
      <c r="C345" s="256" t="str">
        <f t="shared" ca="1" si="60"/>
        <v/>
      </c>
      <c r="D345" s="257" t="str">
        <f t="shared" ca="1" si="61"/>
        <v/>
      </c>
      <c r="E345" s="808" t="str">
        <f t="shared" ca="1" si="62"/>
        <v/>
      </c>
      <c r="F345" s="253" t="str">
        <f t="shared" ca="1" si="63"/>
        <v/>
      </c>
      <c r="G345" s="257" t="str">
        <f t="shared" ca="1" si="64"/>
        <v/>
      </c>
      <c r="H345" s="257" t="str">
        <f t="shared" ca="1" si="65"/>
        <v/>
      </c>
      <c r="I345" s="220" t="str">
        <f t="shared" ca="1" si="66"/>
        <v/>
      </c>
    </row>
    <row r="346" spans="1:9" x14ac:dyDescent="0.25">
      <c r="A346" s="254" t="str">
        <f t="shared" ca="1" si="58"/>
        <v/>
      </c>
      <c r="B346" s="255" t="str">
        <f t="shared" ca="1" si="59"/>
        <v/>
      </c>
      <c r="C346" s="256" t="str">
        <f t="shared" ca="1" si="60"/>
        <v/>
      </c>
      <c r="D346" s="257" t="str">
        <f t="shared" ca="1" si="61"/>
        <v/>
      </c>
      <c r="E346" s="808" t="str">
        <f t="shared" ca="1" si="62"/>
        <v/>
      </c>
      <c r="F346" s="253" t="str">
        <f t="shared" ca="1" si="63"/>
        <v/>
      </c>
      <c r="G346" s="257" t="str">
        <f t="shared" ca="1" si="64"/>
        <v/>
      </c>
      <c r="H346" s="257" t="str">
        <f t="shared" ca="1" si="65"/>
        <v/>
      </c>
      <c r="I346" s="220" t="str">
        <f t="shared" ca="1" si="66"/>
        <v/>
      </c>
    </row>
    <row r="347" spans="1:9" x14ac:dyDescent="0.25">
      <c r="A347" s="254" t="str">
        <f t="shared" ca="1" si="58"/>
        <v/>
      </c>
      <c r="B347" s="255" t="str">
        <f t="shared" ca="1" si="59"/>
        <v/>
      </c>
      <c r="C347" s="256" t="str">
        <f t="shared" ca="1" si="60"/>
        <v/>
      </c>
      <c r="D347" s="257" t="str">
        <f t="shared" ca="1" si="61"/>
        <v/>
      </c>
      <c r="E347" s="808" t="str">
        <f t="shared" ca="1" si="62"/>
        <v/>
      </c>
      <c r="F347" s="253" t="str">
        <f t="shared" ca="1" si="63"/>
        <v/>
      </c>
      <c r="G347" s="257" t="str">
        <f t="shared" ca="1" si="64"/>
        <v/>
      </c>
      <c r="H347" s="257" t="str">
        <f t="shared" ca="1" si="65"/>
        <v/>
      </c>
      <c r="I347" s="220" t="str">
        <f t="shared" ca="1" si="66"/>
        <v/>
      </c>
    </row>
    <row r="348" spans="1:9" x14ac:dyDescent="0.25">
      <c r="A348" s="254" t="str">
        <f t="shared" ca="1" si="58"/>
        <v/>
      </c>
      <c r="B348" s="255" t="str">
        <f t="shared" ca="1" si="59"/>
        <v/>
      </c>
      <c r="C348" s="256" t="str">
        <f t="shared" ca="1" si="60"/>
        <v/>
      </c>
      <c r="D348" s="257" t="str">
        <f t="shared" ca="1" si="61"/>
        <v/>
      </c>
      <c r="E348" s="808" t="str">
        <f t="shared" ca="1" si="62"/>
        <v/>
      </c>
      <c r="F348" s="253" t="str">
        <f t="shared" ca="1" si="63"/>
        <v/>
      </c>
      <c r="G348" s="257" t="str">
        <f t="shared" ca="1" si="64"/>
        <v/>
      </c>
      <c r="H348" s="257" t="str">
        <f t="shared" ca="1" si="65"/>
        <v/>
      </c>
      <c r="I348" s="220" t="str">
        <f t="shared" ca="1" si="66"/>
        <v/>
      </c>
    </row>
    <row r="349" spans="1:9" x14ac:dyDescent="0.25">
      <c r="A349" s="254" t="str">
        <f t="shared" ca="1" si="58"/>
        <v/>
      </c>
      <c r="B349" s="255" t="str">
        <f t="shared" ca="1" si="59"/>
        <v/>
      </c>
      <c r="C349" s="256" t="str">
        <f t="shared" ca="1" si="60"/>
        <v/>
      </c>
      <c r="D349" s="257" t="str">
        <f t="shared" ca="1" si="61"/>
        <v/>
      </c>
      <c r="E349" s="808" t="str">
        <f t="shared" ca="1" si="62"/>
        <v/>
      </c>
      <c r="F349" s="253" t="str">
        <f t="shared" ca="1" si="63"/>
        <v/>
      </c>
      <c r="G349" s="257" t="str">
        <f t="shared" ca="1" si="64"/>
        <v/>
      </c>
      <c r="H349" s="257" t="str">
        <f t="shared" ca="1" si="65"/>
        <v/>
      </c>
      <c r="I349" s="220" t="str">
        <f t="shared" ca="1" si="66"/>
        <v/>
      </c>
    </row>
    <row r="350" spans="1:9" x14ac:dyDescent="0.25">
      <c r="A350" s="254" t="str">
        <f t="shared" ca="1" si="58"/>
        <v/>
      </c>
      <c r="B350" s="255" t="str">
        <f t="shared" ca="1" si="59"/>
        <v/>
      </c>
      <c r="C350" s="256" t="str">
        <f t="shared" ca="1" si="60"/>
        <v/>
      </c>
      <c r="D350" s="257" t="str">
        <f t="shared" ca="1" si="61"/>
        <v/>
      </c>
      <c r="E350" s="808" t="str">
        <f t="shared" ca="1" si="62"/>
        <v/>
      </c>
      <c r="F350" s="253" t="str">
        <f t="shared" ca="1" si="63"/>
        <v/>
      </c>
      <c r="G350" s="257" t="str">
        <f t="shared" ca="1" si="64"/>
        <v/>
      </c>
      <c r="H350" s="257" t="str">
        <f t="shared" ca="1" si="65"/>
        <v/>
      </c>
      <c r="I350" s="220" t="str">
        <f t="shared" ca="1" si="66"/>
        <v/>
      </c>
    </row>
    <row r="351" spans="1:9" x14ac:dyDescent="0.25">
      <c r="A351" s="254" t="str">
        <f t="shared" ca="1" si="58"/>
        <v/>
      </c>
      <c r="B351" s="255" t="str">
        <f t="shared" ca="1" si="59"/>
        <v/>
      </c>
      <c r="C351" s="256" t="str">
        <f t="shared" ca="1" si="60"/>
        <v/>
      </c>
      <c r="D351" s="257" t="str">
        <f t="shared" ca="1" si="61"/>
        <v/>
      </c>
      <c r="E351" s="808" t="str">
        <f t="shared" ca="1" si="62"/>
        <v/>
      </c>
      <c r="F351" s="253" t="str">
        <f t="shared" ca="1" si="63"/>
        <v/>
      </c>
      <c r="G351" s="257" t="str">
        <f t="shared" ca="1" si="64"/>
        <v/>
      </c>
      <c r="H351" s="257" t="str">
        <f t="shared" ca="1" si="65"/>
        <v/>
      </c>
      <c r="I351" s="220" t="str">
        <f t="shared" ca="1" si="66"/>
        <v/>
      </c>
    </row>
    <row r="352" spans="1:9" x14ac:dyDescent="0.25">
      <c r="A352" s="254" t="str">
        <f t="shared" ca="1" si="58"/>
        <v/>
      </c>
      <c r="B352" s="255" t="str">
        <f t="shared" ca="1" si="59"/>
        <v/>
      </c>
      <c r="C352" s="256" t="str">
        <f t="shared" ca="1" si="60"/>
        <v/>
      </c>
      <c r="D352" s="257" t="str">
        <f t="shared" ca="1" si="61"/>
        <v/>
      </c>
      <c r="E352" s="808" t="str">
        <f t="shared" ca="1" si="62"/>
        <v/>
      </c>
      <c r="F352" s="253" t="str">
        <f t="shared" ca="1" si="63"/>
        <v/>
      </c>
      <c r="G352" s="257" t="str">
        <f t="shared" ca="1" si="64"/>
        <v/>
      </c>
      <c r="H352" s="257" t="str">
        <f t="shared" ca="1" si="65"/>
        <v/>
      </c>
      <c r="I352" s="220" t="str">
        <f t="shared" ca="1" si="66"/>
        <v/>
      </c>
    </row>
    <row r="353" spans="1:9" x14ac:dyDescent="0.25">
      <c r="A353" s="254" t="str">
        <f t="shared" ca="1" si="58"/>
        <v/>
      </c>
      <c r="B353" s="255" t="str">
        <f t="shared" ca="1" si="59"/>
        <v/>
      </c>
      <c r="C353" s="256" t="str">
        <f t="shared" ca="1" si="60"/>
        <v/>
      </c>
      <c r="D353" s="257" t="str">
        <f t="shared" ca="1" si="61"/>
        <v/>
      </c>
      <c r="E353" s="808" t="str">
        <f t="shared" ca="1" si="62"/>
        <v/>
      </c>
      <c r="F353" s="253" t="str">
        <f t="shared" ca="1" si="63"/>
        <v/>
      </c>
      <c r="G353" s="257" t="str">
        <f t="shared" ca="1" si="64"/>
        <v/>
      </c>
      <c r="H353" s="257" t="str">
        <f t="shared" ca="1" si="65"/>
        <v/>
      </c>
      <c r="I353" s="220" t="str">
        <f t="shared" ca="1" si="66"/>
        <v/>
      </c>
    </row>
    <row r="354" spans="1:9" x14ac:dyDescent="0.25">
      <c r="A354" s="254" t="str">
        <f t="shared" ca="1" si="58"/>
        <v/>
      </c>
      <c r="B354" s="255" t="str">
        <f t="shared" ca="1" si="59"/>
        <v/>
      </c>
      <c r="C354" s="256" t="str">
        <f t="shared" ca="1" si="60"/>
        <v/>
      </c>
      <c r="D354" s="257" t="str">
        <f t="shared" ca="1" si="61"/>
        <v/>
      </c>
      <c r="E354" s="808" t="str">
        <f t="shared" ca="1" si="62"/>
        <v/>
      </c>
      <c r="F354" s="253" t="str">
        <f t="shared" ca="1" si="63"/>
        <v/>
      </c>
      <c r="G354" s="257" t="str">
        <f t="shared" ca="1" si="64"/>
        <v/>
      </c>
      <c r="H354" s="257" t="str">
        <f t="shared" ca="1" si="65"/>
        <v/>
      </c>
      <c r="I354" s="220" t="str">
        <f t="shared" ca="1" si="66"/>
        <v/>
      </c>
    </row>
    <row r="355" spans="1:9" x14ac:dyDescent="0.25">
      <c r="A355" s="254" t="str">
        <f t="shared" ca="1" si="58"/>
        <v/>
      </c>
      <c r="B355" s="255" t="str">
        <f t="shared" ca="1" si="59"/>
        <v/>
      </c>
      <c r="C355" s="256" t="str">
        <f t="shared" ca="1" si="60"/>
        <v/>
      </c>
      <c r="D355" s="257" t="str">
        <f t="shared" ca="1" si="61"/>
        <v/>
      </c>
      <c r="E355" s="808" t="str">
        <f t="shared" ca="1" si="62"/>
        <v/>
      </c>
      <c r="F355" s="253" t="str">
        <f t="shared" ca="1" si="63"/>
        <v/>
      </c>
      <c r="G355" s="257" t="str">
        <f t="shared" ca="1" si="64"/>
        <v/>
      </c>
      <c r="H355" s="257" t="str">
        <f t="shared" ca="1" si="65"/>
        <v/>
      </c>
      <c r="I355" s="220" t="str">
        <f t="shared" ca="1" si="66"/>
        <v/>
      </c>
    </row>
    <row r="356" spans="1:9" x14ac:dyDescent="0.25">
      <c r="A356" s="254" t="str">
        <f t="shared" ca="1" si="58"/>
        <v/>
      </c>
      <c r="B356" s="255" t="str">
        <f t="shared" ca="1" si="59"/>
        <v/>
      </c>
      <c r="C356" s="256" t="str">
        <f t="shared" ca="1" si="60"/>
        <v/>
      </c>
      <c r="D356" s="257" t="str">
        <f t="shared" ca="1" si="61"/>
        <v/>
      </c>
      <c r="E356" s="808" t="str">
        <f t="shared" ca="1" si="62"/>
        <v/>
      </c>
      <c r="F356" s="253" t="str">
        <f t="shared" ca="1" si="63"/>
        <v/>
      </c>
      <c r="G356" s="257" t="str">
        <f t="shared" ca="1" si="64"/>
        <v/>
      </c>
      <c r="H356" s="257" t="str">
        <f t="shared" ca="1" si="65"/>
        <v/>
      </c>
      <c r="I356" s="220" t="str">
        <f t="shared" ca="1" si="66"/>
        <v/>
      </c>
    </row>
    <row r="357" spans="1:9" x14ac:dyDescent="0.25">
      <c r="A357" s="254" t="str">
        <f t="shared" ca="1" si="58"/>
        <v/>
      </c>
      <c r="B357" s="255" t="str">
        <f t="shared" ca="1" si="59"/>
        <v/>
      </c>
      <c r="C357" s="256" t="str">
        <f t="shared" ca="1" si="60"/>
        <v/>
      </c>
      <c r="D357" s="257" t="str">
        <f t="shared" ca="1" si="61"/>
        <v/>
      </c>
      <c r="E357" s="808" t="str">
        <f t="shared" ca="1" si="62"/>
        <v/>
      </c>
      <c r="F357" s="253" t="str">
        <f t="shared" ca="1" si="63"/>
        <v/>
      </c>
      <c r="G357" s="257" t="str">
        <f t="shared" ca="1" si="64"/>
        <v/>
      </c>
      <c r="H357" s="257" t="str">
        <f t="shared" ca="1" si="65"/>
        <v/>
      </c>
      <c r="I357" s="220" t="str">
        <f t="shared" ca="1" si="66"/>
        <v/>
      </c>
    </row>
    <row r="358" spans="1:9" x14ac:dyDescent="0.25">
      <c r="A358" s="254" t="str">
        <f t="shared" ca="1" si="58"/>
        <v/>
      </c>
      <c r="B358" s="255" t="str">
        <f t="shared" ca="1" si="59"/>
        <v/>
      </c>
      <c r="C358" s="256" t="str">
        <f t="shared" ca="1" si="60"/>
        <v/>
      </c>
      <c r="D358" s="257" t="str">
        <f t="shared" ca="1" si="61"/>
        <v/>
      </c>
      <c r="E358" s="808" t="str">
        <f t="shared" ca="1" si="62"/>
        <v/>
      </c>
      <c r="F358" s="253" t="str">
        <f t="shared" ca="1" si="63"/>
        <v/>
      </c>
      <c r="G358" s="257" t="str">
        <f t="shared" ca="1" si="64"/>
        <v/>
      </c>
      <c r="H358" s="257" t="str">
        <f t="shared" ca="1" si="65"/>
        <v/>
      </c>
      <c r="I358" s="220" t="str">
        <f t="shared" ca="1" si="66"/>
        <v/>
      </c>
    </row>
    <row r="359" spans="1:9" x14ac:dyDescent="0.25">
      <c r="A359" s="254" t="str">
        <f t="shared" ca="1" si="58"/>
        <v/>
      </c>
      <c r="B359" s="255" t="str">
        <f t="shared" ca="1" si="59"/>
        <v/>
      </c>
      <c r="C359" s="256" t="str">
        <f t="shared" ca="1" si="60"/>
        <v/>
      </c>
      <c r="D359" s="257" t="str">
        <f t="shared" ca="1" si="61"/>
        <v/>
      </c>
      <c r="E359" s="808" t="str">
        <f t="shared" ca="1" si="62"/>
        <v/>
      </c>
      <c r="F359" s="253" t="str">
        <f t="shared" ca="1" si="63"/>
        <v/>
      </c>
      <c r="G359" s="257" t="str">
        <f t="shared" ca="1" si="64"/>
        <v/>
      </c>
      <c r="H359" s="257" t="str">
        <f t="shared" ca="1" si="65"/>
        <v/>
      </c>
      <c r="I359" s="220" t="str">
        <f t="shared" ca="1" si="66"/>
        <v/>
      </c>
    </row>
    <row r="360" spans="1:9" x14ac:dyDescent="0.25">
      <c r="A360" s="254" t="str">
        <f t="shared" ca="1" si="58"/>
        <v/>
      </c>
      <c r="B360" s="255" t="str">
        <f t="shared" ca="1" si="59"/>
        <v/>
      </c>
      <c r="C360" s="256" t="str">
        <f t="shared" ca="1" si="60"/>
        <v/>
      </c>
      <c r="D360" s="257" t="str">
        <f t="shared" ca="1" si="61"/>
        <v/>
      </c>
      <c r="E360" s="808" t="str">
        <f t="shared" ca="1" si="62"/>
        <v/>
      </c>
      <c r="F360" s="253" t="str">
        <f t="shared" ca="1" si="63"/>
        <v/>
      </c>
      <c r="G360" s="257" t="str">
        <f t="shared" ca="1" si="64"/>
        <v/>
      </c>
      <c r="H360" s="257" t="str">
        <f t="shared" ca="1" si="65"/>
        <v/>
      </c>
      <c r="I360" s="220" t="str">
        <f t="shared" ca="1" si="66"/>
        <v/>
      </c>
    </row>
    <row r="361" spans="1:9" x14ac:dyDescent="0.25">
      <c r="A361" s="254" t="str">
        <f t="shared" ca="1" si="58"/>
        <v/>
      </c>
      <c r="B361" s="255" t="str">
        <f t="shared" ca="1" si="59"/>
        <v/>
      </c>
      <c r="C361" s="256" t="str">
        <f t="shared" ca="1" si="60"/>
        <v/>
      </c>
      <c r="D361" s="257" t="str">
        <f t="shared" ca="1" si="61"/>
        <v/>
      </c>
      <c r="E361" s="808" t="str">
        <f t="shared" ca="1" si="62"/>
        <v/>
      </c>
      <c r="F361" s="253" t="str">
        <f t="shared" ca="1" si="63"/>
        <v/>
      </c>
      <c r="G361" s="257" t="str">
        <f t="shared" ca="1" si="64"/>
        <v/>
      </c>
      <c r="H361" s="257" t="str">
        <f t="shared" ca="1" si="65"/>
        <v/>
      </c>
      <c r="I361" s="220" t="str">
        <f t="shared" ca="1" si="66"/>
        <v/>
      </c>
    </row>
    <row r="362" spans="1:9" x14ac:dyDescent="0.25">
      <c r="A362" s="254" t="str">
        <f t="shared" ca="1" si="58"/>
        <v/>
      </c>
      <c r="B362" s="255" t="str">
        <f t="shared" ca="1" si="59"/>
        <v/>
      </c>
      <c r="C362" s="256" t="str">
        <f t="shared" ca="1" si="60"/>
        <v/>
      </c>
      <c r="D362" s="257" t="str">
        <f t="shared" ca="1" si="61"/>
        <v/>
      </c>
      <c r="E362" s="808" t="str">
        <f t="shared" ca="1" si="62"/>
        <v/>
      </c>
      <c r="F362" s="253" t="str">
        <f t="shared" ca="1" si="63"/>
        <v/>
      </c>
      <c r="G362" s="257" t="str">
        <f t="shared" ca="1" si="64"/>
        <v/>
      </c>
      <c r="H362" s="257" t="str">
        <f t="shared" ca="1" si="65"/>
        <v/>
      </c>
      <c r="I362" s="220" t="str">
        <f t="shared" ca="1" si="66"/>
        <v/>
      </c>
    </row>
    <row r="363" spans="1:9" x14ac:dyDescent="0.25">
      <c r="A363" s="254" t="str">
        <f t="shared" ca="1" si="58"/>
        <v/>
      </c>
      <c r="B363" s="255" t="str">
        <f t="shared" ca="1" si="59"/>
        <v/>
      </c>
      <c r="C363" s="256" t="str">
        <f t="shared" ca="1" si="60"/>
        <v/>
      </c>
      <c r="D363" s="257" t="str">
        <f t="shared" ca="1" si="61"/>
        <v/>
      </c>
      <c r="E363" s="808" t="str">
        <f t="shared" ca="1" si="62"/>
        <v/>
      </c>
      <c r="F363" s="253" t="str">
        <f t="shared" ca="1" si="63"/>
        <v/>
      </c>
      <c r="G363" s="257" t="str">
        <f t="shared" ca="1" si="64"/>
        <v/>
      </c>
      <c r="H363" s="257" t="str">
        <f t="shared" ca="1" si="65"/>
        <v/>
      </c>
      <c r="I363" s="220" t="str">
        <f t="shared" ca="1" si="66"/>
        <v/>
      </c>
    </row>
    <row r="364" spans="1:9" x14ac:dyDescent="0.25">
      <c r="A364" s="254" t="str">
        <f t="shared" ca="1" si="58"/>
        <v/>
      </c>
      <c r="B364" s="255" t="str">
        <f t="shared" ca="1" si="59"/>
        <v/>
      </c>
      <c r="C364" s="256" t="str">
        <f t="shared" ca="1" si="60"/>
        <v/>
      </c>
      <c r="D364" s="257" t="str">
        <f t="shared" ca="1" si="61"/>
        <v/>
      </c>
      <c r="E364" s="808" t="str">
        <f t="shared" ca="1" si="62"/>
        <v/>
      </c>
      <c r="F364" s="253" t="str">
        <f t="shared" ca="1" si="63"/>
        <v/>
      </c>
      <c r="G364" s="257" t="str">
        <f t="shared" ca="1" si="64"/>
        <v/>
      </c>
      <c r="H364" s="257" t="str">
        <f t="shared" ca="1" si="65"/>
        <v/>
      </c>
      <c r="I364" s="220" t="str">
        <f t="shared" ca="1" si="66"/>
        <v/>
      </c>
    </row>
    <row r="365" spans="1:9" x14ac:dyDescent="0.25">
      <c r="A365" s="254" t="str">
        <f t="shared" ca="1" si="58"/>
        <v/>
      </c>
      <c r="B365" s="255" t="str">
        <f t="shared" ca="1" si="59"/>
        <v/>
      </c>
      <c r="C365" s="256" t="str">
        <f t="shared" ca="1" si="60"/>
        <v/>
      </c>
      <c r="D365" s="257" t="str">
        <f t="shared" ca="1" si="61"/>
        <v/>
      </c>
      <c r="E365" s="808" t="str">
        <f t="shared" ca="1" si="62"/>
        <v/>
      </c>
      <c r="F365" s="253" t="str">
        <f t="shared" ca="1" si="63"/>
        <v/>
      </c>
      <c r="G365" s="257" t="str">
        <f t="shared" ca="1" si="64"/>
        <v/>
      </c>
      <c r="H365" s="257" t="str">
        <f t="shared" ca="1" si="65"/>
        <v/>
      </c>
      <c r="I365" s="220" t="str">
        <f t="shared" ca="1" si="66"/>
        <v/>
      </c>
    </row>
    <row r="366" spans="1:9" x14ac:dyDescent="0.25">
      <c r="A366" s="254" t="str">
        <f t="shared" ca="1" si="58"/>
        <v/>
      </c>
      <c r="B366" s="255" t="str">
        <f t="shared" ca="1" si="59"/>
        <v/>
      </c>
      <c r="C366" s="256" t="str">
        <f t="shared" ca="1" si="60"/>
        <v/>
      </c>
      <c r="D366" s="257" t="str">
        <f t="shared" ca="1" si="61"/>
        <v/>
      </c>
      <c r="E366" s="808" t="str">
        <f t="shared" ca="1" si="62"/>
        <v/>
      </c>
      <c r="F366" s="253" t="str">
        <f t="shared" ca="1" si="63"/>
        <v/>
      </c>
      <c r="G366" s="257" t="str">
        <f t="shared" ca="1" si="64"/>
        <v/>
      </c>
      <c r="H366" s="257" t="str">
        <f t="shared" ca="1" si="65"/>
        <v/>
      </c>
      <c r="I366" s="220" t="str">
        <f t="shared" ca="1" si="66"/>
        <v/>
      </c>
    </row>
    <row r="367" spans="1:9" x14ac:dyDescent="0.25">
      <c r="A367" s="254" t="str">
        <f t="shared" ca="1" si="58"/>
        <v/>
      </c>
      <c r="B367" s="255" t="str">
        <f t="shared" ca="1" si="59"/>
        <v/>
      </c>
      <c r="C367" s="256" t="str">
        <f t="shared" ca="1" si="60"/>
        <v/>
      </c>
      <c r="D367" s="257" t="str">
        <f t="shared" ca="1" si="61"/>
        <v/>
      </c>
      <c r="E367" s="808" t="str">
        <f t="shared" ca="1" si="62"/>
        <v/>
      </c>
      <c r="F367" s="253" t="str">
        <f t="shared" ca="1" si="63"/>
        <v/>
      </c>
      <c r="G367" s="257" t="str">
        <f t="shared" ca="1" si="64"/>
        <v/>
      </c>
      <c r="H367" s="257" t="str">
        <f t="shared" ca="1" si="65"/>
        <v/>
      </c>
      <c r="I367" s="220" t="str">
        <f t="shared" ca="1" si="66"/>
        <v/>
      </c>
    </row>
    <row r="368" spans="1:9" x14ac:dyDescent="0.25">
      <c r="A368" s="254" t="str">
        <f t="shared" ca="1" si="58"/>
        <v/>
      </c>
      <c r="B368" s="255" t="str">
        <f t="shared" ca="1" si="59"/>
        <v/>
      </c>
      <c r="C368" s="256" t="str">
        <f t="shared" ca="1" si="60"/>
        <v/>
      </c>
      <c r="D368" s="257" t="str">
        <f t="shared" ca="1" si="61"/>
        <v/>
      </c>
      <c r="E368" s="808" t="str">
        <f t="shared" ca="1" si="62"/>
        <v/>
      </c>
      <c r="F368" s="253" t="str">
        <f t="shared" ca="1" si="63"/>
        <v/>
      </c>
      <c r="G368" s="257" t="str">
        <f t="shared" ca="1" si="64"/>
        <v/>
      </c>
      <c r="H368" s="257" t="str">
        <f t="shared" ca="1" si="65"/>
        <v/>
      </c>
      <c r="I368" s="220" t="str">
        <f t="shared" ca="1" si="66"/>
        <v/>
      </c>
    </row>
    <row r="369" spans="1:9" x14ac:dyDescent="0.25">
      <c r="A369" s="254" t="str">
        <f t="shared" ca="1" si="58"/>
        <v/>
      </c>
      <c r="B369" s="255" t="str">
        <f t="shared" ca="1" si="59"/>
        <v/>
      </c>
      <c r="C369" s="256" t="str">
        <f t="shared" ca="1" si="60"/>
        <v/>
      </c>
      <c r="D369" s="257" t="str">
        <f t="shared" ca="1" si="61"/>
        <v/>
      </c>
      <c r="E369" s="808" t="str">
        <f t="shared" ca="1" si="62"/>
        <v/>
      </c>
      <c r="F369" s="253" t="str">
        <f t="shared" ca="1" si="63"/>
        <v/>
      </c>
      <c r="G369" s="257" t="str">
        <f t="shared" ca="1" si="64"/>
        <v/>
      </c>
      <c r="H369" s="257" t="str">
        <f t="shared" ca="1" si="65"/>
        <v/>
      </c>
      <c r="I369" s="220" t="str">
        <f t="shared" ca="1" si="66"/>
        <v/>
      </c>
    </row>
    <row r="370" spans="1:9" x14ac:dyDescent="0.25">
      <c r="A370" s="254" t="str">
        <f t="shared" ca="1" si="58"/>
        <v/>
      </c>
      <c r="B370" s="255" t="str">
        <f t="shared" ca="1" si="59"/>
        <v/>
      </c>
      <c r="C370" s="256" t="str">
        <f t="shared" ca="1" si="60"/>
        <v/>
      </c>
      <c r="D370" s="257" t="str">
        <f t="shared" ca="1" si="61"/>
        <v/>
      </c>
      <c r="E370" s="808" t="str">
        <f t="shared" ca="1" si="62"/>
        <v/>
      </c>
      <c r="F370" s="253" t="str">
        <f t="shared" ca="1" si="63"/>
        <v/>
      </c>
      <c r="G370" s="257" t="str">
        <f t="shared" ca="1" si="64"/>
        <v/>
      </c>
      <c r="H370" s="257" t="str">
        <f t="shared" ca="1" si="65"/>
        <v/>
      </c>
      <c r="I370" s="220" t="str">
        <f t="shared" ca="1" si="66"/>
        <v/>
      </c>
    </row>
    <row r="371" spans="1:9" x14ac:dyDescent="0.25">
      <c r="A371" s="254" t="str">
        <f t="shared" ca="1" si="58"/>
        <v/>
      </c>
      <c r="B371" s="255" t="str">
        <f t="shared" ca="1" si="59"/>
        <v/>
      </c>
      <c r="C371" s="256" t="str">
        <f t="shared" ca="1" si="60"/>
        <v/>
      </c>
      <c r="D371" s="257" t="str">
        <f t="shared" ca="1" si="61"/>
        <v/>
      </c>
      <c r="E371" s="808" t="str">
        <f t="shared" ca="1" si="62"/>
        <v/>
      </c>
      <c r="F371" s="253" t="str">
        <f t="shared" ca="1" si="63"/>
        <v/>
      </c>
      <c r="G371" s="257" t="str">
        <f t="shared" ca="1" si="64"/>
        <v/>
      </c>
      <c r="H371" s="257" t="str">
        <f t="shared" ca="1" si="65"/>
        <v/>
      </c>
      <c r="I371" s="220" t="str">
        <f t="shared" ca="1" si="66"/>
        <v/>
      </c>
    </row>
    <row r="372" spans="1:9" x14ac:dyDescent="0.25">
      <c r="A372" s="254" t="str">
        <f t="shared" ca="1" si="58"/>
        <v/>
      </c>
      <c r="B372" s="255" t="str">
        <f t="shared" ca="1" si="59"/>
        <v/>
      </c>
      <c r="C372" s="256" t="str">
        <f t="shared" ca="1" si="60"/>
        <v/>
      </c>
      <c r="D372" s="257" t="str">
        <f t="shared" ca="1" si="61"/>
        <v/>
      </c>
      <c r="E372" s="808" t="str">
        <f t="shared" ca="1" si="62"/>
        <v/>
      </c>
      <c r="F372" s="253" t="str">
        <f t="shared" ca="1" si="63"/>
        <v/>
      </c>
      <c r="G372" s="257" t="str">
        <f t="shared" ca="1" si="64"/>
        <v/>
      </c>
      <c r="H372" s="257" t="str">
        <f t="shared" ca="1" si="65"/>
        <v/>
      </c>
      <c r="I372" s="220" t="str">
        <f t="shared" ca="1" si="66"/>
        <v/>
      </c>
    </row>
    <row r="373" spans="1:9" x14ac:dyDescent="0.25">
      <c r="A373" s="254" t="str">
        <f t="shared" ca="1" si="58"/>
        <v/>
      </c>
      <c r="B373" s="255" t="str">
        <f t="shared" ca="1" si="59"/>
        <v/>
      </c>
      <c r="C373" s="256" t="str">
        <f t="shared" ca="1" si="60"/>
        <v/>
      </c>
      <c r="D373" s="257" t="str">
        <f t="shared" ca="1" si="61"/>
        <v/>
      </c>
      <c r="E373" s="808" t="str">
        <f t="shared" ca="1" si="62"/>
        <v/>
      </c>
      <c r="F373" s="253" t="str">
        <f t="shared" ca="1" si="63"/>
        <v/>
      </c>
      <c r="G373" s="257" t="str">
        <f t="shared" ca="1" si="64"/>
        <v/>
      </c>
      <c r="H373" s="257" t="str">
        <f t="shared" ca="1" si="65"/>
        <v/>
      </c>
      <c r="I373" s="220" t="str">
        <f t="shared" ca="1" si="66"/>
        <v/>
      </c>
    </row>
    <row r="374" spans="1:9" x14ac:dyDescent="0.25">
      <c r="A374" s="254" t="str">
        <f t="shared" ca="1" si="58"/>
        <v/>
      </c>
      <c r="B374" s="255" t="str">
        <f t="shared" ca="1" si="59"/>
        <v/>
      </c>
      <c r="C374" s="256" t="str">
        <f t="shared" ca="1" si="60"/>
        <v/>
      </c>
      <c r="D374" s="257" t="str">
        <f t="shared" ca="1" si="61"/>
        <v/>
      </c>
      <c r="E374" s="808" t="str">
        <f t="shared" ca="1" si="62"/>
        <v/>
      </c>
      <c r="F374" s="253" t="str">
        <f t="shared" ca="1" si="63"/>
        <v/>
      </c>
      <c r="G374" s="257" t="str">
        <f t="shared" ca="1" si="64"/>
        <v/>
      </c>
      <c r="H374" s="257" t="str">
        <f t="shared" ca="1" si="65"/>
        <v/>
      </c>
      <c r="I374" s="220" t="str">
        <f t="shared" ca="1" si="66"/>
        <v/>
      </c>
    </row>
    <row r="375" spans="1:9" x14ac:dyDescent="0.25">
      <c r="A375" s="254" t="str">
        <f t="shared" ca="1" si="58"/>
        <v/>
      </c>
      <c r="B375" s="255" t="str">
        <f t="shared" ca="1" si="59"/>
        <v/>
      </c>
      <c r="C375" s="256" t="str">
        <f t="shared" ca="1" si="60"/>
        <v/>
      </c>
      <c r="D375" s="257" t="str">
        <f t="shared" ca="1" si="61"/>
        <v/>
      </c>
      <c r="E375" s="808" t="str">
        <f t="shared" ca="1" si="62"/>
        <v/>
      </c>
      <c r="F375" s="253" t="str">
        <f t="shared" ca="1" si="63"/>
        <v/>
      </c>
      <c r="G375" s="257" t="str">
        <f t="shared" ca="1" si="64"/>
        <v/>
      </c>
      <c r="H375" s="257" t="str">
        <f t="shared" ca="1" si="65"/>
        <v/>
      </c>
      <c r="I375" s="220" t="str">
        <f t="shared" ca="1" si="66"/>
        <v/>
      </c>
    </row>
    <row r="376" spans="1:9" x14ac:dyDescent="0.25">
      <c r="A376" s="254" t="str">
        <f t="shared" ca="1" si="58"/>
        <v/>
      </c>
      <c r="B376" s="255" t="str">
        <f t="shared" ca="1" si="59"/>
        <v/>
      </c>
      <c r="C376" s="256" t="str">
        <f t="shared" ca="1" si="60"/>
        <v/>
      </c>
      <c r="D376" s="257" t="str">
        <f t="shared" ca="1" si="61"/>
        <v/>
      </c>
      <c r="E376" s="808" t="str">
        <f t="shared" ca="1" si="62"/>
        <v/>
      </c>
      <c r="F376" s="253" t="str">
        <f t="shared" ca="1" si="63"/>
        <v/>
      </c>
      <c r="G376" s="257" t="str">
        <f t="shared" ca="1" si="64"/>
        <v/>
      </c>
      <c r="H376" s="257" t="str">
        <f t="shared" ca="1" si="65"/>
        <v/>
      </c>
      <c r="I376" s="220" t="str">
        <f t="shared" ca="1" si="66"/>
        <v/>
      </c>
    </row>
    <row r="377" spans="1:9" x14ac:dyDescent="0.25">
      <c r="A377" s="254" t="str">
        <f t="shared" ca="1" si="58"/>
        <v/>
      </c>
      <c r="B377" s="255" t="str">
        <f t="shared" ca="1" si="59"/>
        <v/>
      </c>
      <c r="C377" s="256" t="str">
        <f t="shared" ca="1" si="60"/>
        <v/>
      </c>
      <c r="D377" s="257" t="str">
        <f t="shared" ca="1" si="61"/>
        <v/>
      </c>
      <c r="E377" s="808" t="str">
        <f t="shared" ca="1" si="62"/>
        <v/>
      </c>
      <c r="F377" s="253" t="str">
        <f t="shared" ca="1" si="63"/>
        <v/>
      </c>
      <c r="G377" s="257" t="str">
        <f t="shared" ca="1" si="64"/>
        <v/>
      </c>
      <c r="H377" s="257" t="str">
        <f t="shared" ca="1" si="65"/>
        <v/>
      </c>
      <c r="I377" s="220" t="str">
        <f t="shared" ca="1" si="66"/>
        <v/>
      </c>
    </row>
    <row r="378" spans="1:9" x14ac:dyDescent="0.25">
      <c r="A378" s="254" t="str">
        <f t="shared" ca="1" si="58"/>
        <v/>
      </c>
      <c r="B378" s="255" t="str">
        <f t="shared" ca="1" si="59"/>
        <v/>
      </c>
      <c r="C378" s="256" t="str">
        <f t="shared" ca="1" si="60"/>
        <v/>
      </c>
      <c r="D378" s="257" t="str">
        <f t="shared" ca="1" si="61"/>
        <v/>
      </c>
      <c r="E378" s="808" t="str">
        <f t="shared" ca="1" si="62"/>
        <v/>
      </c>
      <c r="F378" s="253" t="str">
        <f t="shared" ca="1" si="63"/>
        <v/>
      </c>
      <c r="G378" s="257" t="str">
        <f t="shared" ca="1" si="64"/>
        <v/>
      </c>
      <c r="H378" s="257" t="str">
        <f t="shared" ca="1" si="65"/>
        <v/>
      </c>
      <c r="I378" s="220" t="str">
        <f t="shared" ca="1" si="66"/>
        <v/>
      </c>
    </row>
    <row r="379" spans="1:9" x14ac:dyDescent="0.25">
      <c r="A379" s="254" t="str">
        <f t="shared" ca="1" si="58"/>
        <v/>
      </c>
      <c r="B379" s="255" t="str">
        <f t="shared" ca="1" si="59"/>
        <v/>
      </c>
      <c r="C379" s="256" t="str">
        <f t="shared" ca="1" si="60"/>
        <v/>
      </c>
      <c r="D379" s="257" t="str">
        <f t="shared" ca="1" si="61"/>
        <v/>
      </c>
      <c r="E379" s="808" t="str">
        <f t="shared" ca="1" si="62"/>
        <v/>
      </c>
      <c r="F379" s="253" t="str">
        <f t="shared" ca="1" si="63"/>
        <v/>
      </c>
      <c r="G379" s="257" t="str">
        <f t="shared" ca="1" si="64"/>
        <v/>
      </c>
      <c r="H379" s="257" t="str">
        <f t="shared" ca="1" si="65"/>
        <v/>
      </c>
      <c r="I379" s="220" t="str">
        <f t="shared" ca="1" si="66"/>
        <v/>
      </c>
    </row>
    <row r="380" spans="1:9" x14ac:dyDescent="0.25">
      <c r="A380" s="254" t="str">
        <f t="shared" ca="1" si="58"/>
        <v/>
      </c>
      <c r="B380" s="255" t="str">
        <f t="shared" ca="1" si="59"/>
        <v/>
      </c>
      <c r="C380" s="256" t="str">
        <f t="shared" ca="1" si="60"/>
        <v/>
      </c>
      <c r="D380" s="257" t="str">
        <f t="shared" ca="1" si="61"/>
        <v/>
      </c>
      <c r="E380" s="808" t="str">
        <f t="shared" ca="1" si="62"/>
        <v/>
      </c>
      <c r="F380" s="253" t="str">
        <f t="shared" ca="1" si="63"/>
        <v/>
      </c>
      <c r="G380" s="257" t="str">
        <f t="shared" ca="1" si="64"/>
        <v/>
      </c>
      <c r="H380" s="257" t="str">
        <f t="shared" ca="1" si="65"/>
        <v/>
      </c>
      <c r="I380" s="220" t="str">
        <f t="shared" ca="1" si="66"/>
        <v/>
      </c>
    </row>
    <row r="381" spans="1:9" x14ac:dyDescent="0.25">
      <c r="A381" s="254" t="str">
        <f t="shared" ca="1" si="58"/>
        <v/>
      </c>
      <c r="B381" s="255" t="str">
        <f t="shared" ca="1" si="59"/>
        <v/>
      </c>
      <c r="C381" s="256" t="str">
        <f t="shared" ca="1" si="60"/>
        <v/>
      </c>
      <c r="D381" s="257" t="str">
        <f t="shared" ca="1" si="61"/>
        <v/>
      </c>
      <c r="E381" s="808" t="str">
        <f t="shared" ca="1" si="62"/>
        <v/>
      </c>
      <c r="F381" s="253" t="str">
        <f t="shared" ca="1" si="63"/>
        <v/>
      </c>
      <c r="G381" s="257" t="str">
        <f t="shared" ca="1" si="64"/>
        <v/>
      </c>
      <c r="H381" s="257" t="str">
        <f t="shared" ca="1" si="65"/>
        <v/>
      </c>
      <c r="I381" s="220" t="str">
        <f t="shared" ca="1" si="66"/>
        <v/>
      </c>
    </row>
    <row r="382" spans="1:9" x14ac:dyDescent="0.25">
      <c r="A382" s="254" t="str">
        <f t="shared" ca="1" si="58"/>
        <v/>
      </c>
      <c r="B382" s="255" t="str">
        <f t="shared" ca="1" si="59"/>
        <v/>
      </c>
      <c r="C382" s="256" t="str">
        <f t="shared" ca="1" si="60"/>
        <v/>
      </c>
      <c r="D382" s="257" t="str">
        <f t="shared" ca="1" si="61"/>
        <v/>
      </c>
      <c r="E382" s="808" t="str">
        <f t="shared" ca="1" si="62"/>
        <v/>
      </c>
      <c r="F382" s="253" t="str">
        <f t="shared" ca="1" si="63"/>
        <v/>
      </c>
      <c r="G382" s="257" t="str">
        <f t="shared" ca="1" si="64"/>
        <v/>
      </c>
      <c r="H382" s="257" t="str">
        <f t="shared" ca="1" si="65"/>
        <v/>
      </c>
      <c r="I382" s="220" t="str">
        <f t="shared" ca="1" si="66"/>
        <v/>
      </c>
    </row>
    <row r="383" spans="1:9" x14ac:dyDescent="0.25">
      <c r="A383" s="254" t="str">
        <f t="shared" ca="1" si="58"/>
        <v/>
      </c>
      <c r="B383" s="255" t="str">
        <f t="shared" ca="1" si="59"/>
        <v/>
      </c>
      <c r="C383" s="256" t="str">
        <f t="shared" ca="1" si="60"/>
        <v/>
      </c>
      <c r="D383" s="257" t="str">
        <f t="shared" ca="1" si="61"/>
        <v/>
      </c>
      <c r="E383" s="808" t="str">
        <f t="shared" ca="1" si="62"/>
        <v/>
      </c>
      <c r="F383" s="253" t="str">
        <f t="shared" ca="1" si="63"/>
        <v/>
      </c>
      <c r="G383" s="257" t="str">
        <f t="shared" ca="1" si="64"/>
        <v/>
      </c>
      <c r="H383" s="257" t="str">
        <f t="shared" ca="1" si="65"/>
        <v/>
      </c>
      <c r="I383" s="220" t="str">
        <f t="shared" ca="1" si="66"/>
        <v/>
      </c>
    </row>
    <row r="384" spans="1:9" x14ac:dyDescent="0.25">
      <c r="A384" s="254" t="str">
        <f t="shared" ca="1" si="58"/>
        <v/>
      </c>
      <c r="B384" s="255" t="str">
        <f t="shared" ca="1" si="59"/>
        <v/>
      </c>
      <c r="C384" s="256" t="str">
        <f t="shared" ca="1" si="60"/>
        <v/>
      </c>
      <c r="D384" s="257" t="str">
        <f t="shared" ca="1" si="61"/>
        <v/>
      </c>
      <c r="E384" s="808" t="str">
        <f t="shared" ca="1" si="62"/>
        <v/>
      </c>
      <c r="F384" s="253" t="str">
        <f t="shared" ca="1" si="63"/>
        <v/>
      </c>
      <c r="G384" s="257" t="str">
        <f t="shared" ca="1" si="64"/>
        <v/>
      </c>
      <c r="H384" s="257" t="str">
        <f t="shared" ca="1" si="65"/>
        <v/>
      </c>
      <c r="I384" s="220" t="str">
        <f t="shared" ca="1" si="66"/>
        <v/>
      </c>
    </row>
    <row r="385" spans="1:9" x14ac:dyDescent="0.25">
      <c r="A385" s="254" t="str">
        <f t="shared" ca="1" si="58"/>
        <v/>
      </c>
      <c r="B385" s="255" t="str">
        <f t="shared" ca="1" si="59"/>
        <v/>
      </c>
      <c r="C385" s="256" t="str">
        <f t="shared" ca="1" si="60"/>
        <v/>
      </c>
      <c r="D385" s="257" t="str">
        <f t="shared" ca="1" si="61"/>
        <v/>
      </c>
      <c r="E385" s="808" t="str">
        <f t="shared" ca="1" si="62"/>
        <v/>
      </c>
      <c r="F385" s="253" t="str">
        <f t="shared" ca="1" si="63"/>
        <v/>
      </c>
      <c r="G385" s="257" t="str">
        <f t="shared" ca="1" si="64"/>
        <v/>
      </c>
      <c r="H385" s="257" t="str">
        <f t="shared" ca="1" si="65"/>
        <v/>
      </c>
      <c r="I385" s="220" t="str">
        <f t="shared" ca="1" si="66"/>
        <v/>
      </c>
    </row>
    <row r="386" spans="1:9" x14ac:dyDescent="0.25">
      <c r="A386" s="254" t="str">
        <f t="shared" ref="A386:A449" ca="1" si="67">IF(OR(H385&lt;=0,H385=""),"",OFFSET(A386,-1,0,1,1)+1)</f>
        <v/>
      </c>
      <c r="B386" s="255" t="str">
        <f t="shared" ref="B386:B449" ca="1" si="68">IF(A386&lt;$H$11+1,DATE(YEAR(B385),MONTH(B385)+3,1),"")</f>
        <v/>
      </c>
      <c r="C386" s="256" t="str">
        <f t="shared" ref="C386:C449" ca="1" si="69">IF(OR(A386=$H$11,A386=$H$14),G385+D386+E386,IF(B386="","",-$D$14))</f>
        <v/>
      </c>
      <c r="D386" s="257" t="str">
        <f t="shared" ref="D386:D449" ca="1" si="70">IF(B386="","",ROUND((B386-B385)*(E386/$D$13+$H$10*($I$10))*G385,2))</f>
        <v/>
      </c>
      <c r="E386" s="808" t="str">
        <f t="shared" ref="E386:E449" ca="1" si="71">IF(B386="","",ROUND((B386-B385)*($H$10*(1-$I$10))*G385,2))</f>
        <v/>
      </c>
      <c r="F386" s="253" t="str">
        <f t="shared" ref="F386:F449" ca="1" si="72">IF(B386="","",MAX(C386-D386,0))</f>
        <v/>
      </c>
      <c r="G386" s="257" t="str">
        <f t="shared" ref="G386:G449" ca="1" si="73">IF(B386="","",-(C386-D386)+G385)</f>
        <v/>
      </c>
      <c r="H386" s="257" t="str">
        <f t="shared" ref="H386:H449" ca="1" si="74">IF(B386="","",G386)</f>
        <v/>
      </c>
      <c r="I386" s="220" t="str">
        <f t="shared" ref="I386:I449" ca="1" si="75">IF(B386="","",YEAR(B386))</f>
        <v/>
      </c>
    </row>
    <row r="387" spans="1:9" x14ac:dyDescent="0.25">
      <c r="A387" s="254" t="str">
        <f t="shared" ca="1" si="67"/>
        <v/>
      </c>
      <c r="B387" s="255" t="str">
        <f t="shared" ca="1" si="68"/>
        <v/>
      </c>
      <c r="C387" s="256" t="str">
        <f t="shared" ca="1" si="69"/>
        <v/>
      </c>
      <c r="D387" s="257" t="str">
        <f t="shared" ca="1" si="70"/>
        <v/>
      </c>
      <c r="E387" s="808" t="str">
        <f t="shared" ca="1" si="71"/>
        <v/>
      </c>
      <c r="F387" s="253" t="str">
        <f t="shared" ca="1" si="72"/>
        <v/>
      </c>
      <c r="G387" s="257" t="str">
        <f t="shared" ca="1" si="73"/>
        <v/>
      </c>
      <c r="H387" s="257" t="str">
        <f t="shared" ca="1" si="74"/>
        <v/>
      </c>
      <c r="I387" s="220" t="str">
        <f t="shared" ca="1" si="75"/>
        <v/>
      </c>
    </row>
    <row r="388" spans="1:9" x14ac:dyDescent="0.25">
      <c r="A388" s="254" t="str">
        <f t="shared" ca="1" si="67"/>
        <v/>
      </c>
      <c r="B388" s="255" t="str">
        <f t="shared" ca="1" si="68"/>
        <v/>
      </c>
      <c r="C388" s="256" t="str">
        <f t="shared" ca="1" si="69"/>
        <v/>
      </c>
      <c r="D388" s="257" t="str">
        <f t="shared" ca="1" si="70"/>
        <v/>
      </c>
      <c r="E388" s="808" t="str">
        <f t="shared" ca="1" si="71"/>
        <v/>
      </c>
      <c r="F388" s="253" t="str">
        <f t="shared" ca="1" si="72"/>
        <v/>
      </c>
      <c r="G388" s="257" t="str">
        <f t="shared" ca="1" si="73"/>
        <v/>
      </c>
      <c r="H388" s="257" t="str">
        <f t="shared" ca="1" si="74"/>
        <v/>
      </c>
      <c r="I388" s="220" t="str">
        <f t="shared" ca="1" si="75"/>
        <v/>
      </c>
    </row>
    <row r="389" spans="1:9" x14ac:dyDescent="0.25">
      <c r="A389" s="254" t="str">
        <f t="shared" ca="1" si="67"/>
        <v/>
      </c>
      <c r="B389" s="255" t="str">
        <f t="shared" ca="1" si="68"/>
        <v/>
      </c>
      <c r="C389" s="256" t="str">
        <f t="shared" ca="1" si="69"/>
        <v/>
      </c>
      <c r="D389" s="257" t="str">
        <f t="shared" ca="1" si="70"/>
        <v/>
      </c>
      <c r="E389" s="808" t="str">
        <f t="shared" ca="1" si="71"/>
        <v/>
      </c>
      <c r="F389" s="253" t="str">
        <f t="shared" ca="1" si="72"/>
        <v/>
      </c>
      <c r="G389" s="257" t="str">
        <f t="shared" ca="1" si="73"/>
        <v/>
      </c>
      <c r="H389" s="257" t="str">
        <f t="shared" ca="1" si="74"/>
        <v/>
      </c>
      <c r="I389" s="220" t="str">
        <f t="shared" ca="1" si="75"/>
        <v/>
      </c>
    </row>
    <row r="390" spans="1:9" x14ac:dyDescent="0.25">
      <c r="A390" s="254" t="str">
        <f t="shared" ca="1" si="67"/>
        <v/>
      </c>
      <c r="B390" s="255" t="str">
        <f t="shared" ca="1" si="68"/>
        <v/>
      </c>
      <c r="C390" s="256" t="str">
        <f t="shared" ca="1" si="69"/>
        <v/>
      </c>
      <c r="D390" s="257" t="str">
        <f t="shared" ca="1" si="70"/>
        <v/>
      </c>
      <c r="E390" s="808" t="str">
        <f t="shared" ca="1" si="71"/>
        <v/>
      </c>
      <c r="F390" s="253" t="str">
        <f t="shared" ca="1" si="72"/>
        <v/>
      </c>
      <c r="G390" s="257" t="str">
        <f t="shared" ca="1" si="73"/>
        <v/>
      </c>
      <c r="H390" s="257" t="str">
        <f t="shared" ca="1" si="74"/>
        <v/>
      </c>
      <c r="I390" s="220" t="str">
        <f t="shared" ca="1" si="75"/>
        <v/>
      </c>
    </row>
    <row r="391" spans="1:9" x14ac:dyDescent="0.25">
      <c r="A391" s="254" t="str">
        <f t="shared" ca="1" si="67"/>
        <v/>
      </c>
      <c r="B391" s="255" t="str">
        <f t="shared" ca="1" si="68"/>
        <v/>
      </c>
      <c r="C391" s="256" t="str">
        <f t="shared" ca="1" si="69"/>
        <v/>
      </c>
      <c r="D391" s="257" t="str">
        <f t="shared" ca="1" si="70"/>
        <v/>
      </c>
      <c r="E391" s="808" t="str">
        <f t="shared" ca="1" si="71"/>
        <v/>
      </c>
      <c r="F391" s="253" t="str">
        <f t="shared" ca="1" si="72"/>
        <v/>
      </c>
      <c r="G391" s="257" t="str">
        <f t="shared" ca="1" si="73"/>
        <v/>
      </c>
      <c r="H391" s="257" t="str">
        <f t="shared" ca="1" si="74"/>
        <v/>
      </c>
      <c r="I391" s="220" t="str">
        <f t="shared" ca="1" si="75"/>
        <v/>
      </c>
    </row>
    <row r="392" spans="1:9" x14ac:dyDescent="0.25">
      <c r="A392" s="254" t="str">
        <f t="shared" ca="1" si="67"/>
        <v/>
      </c>
      <c r="B392" s="255" t="str">
        <f t="shared" ca="1" si="68"/>
        <v/>
      </c>
      <c r="C392" s="256" t="str">
        <f t="shared" ca="1" si="69"/>
        <v/>
      </c>
      <c r="D392" s="257" t="str">
        <f t="shared" ca="1" si="70"/>
        <v/>
      </c>
      <c r="E392" s="808" t="str">
        <f t="shared" ca="1" si="71"/>
        <v/>
      </c>
      <c r="F392" s="253" t="str">
        <f t="shared" ca="1" si="72"/>
        <v/>
      </c>
      <c r="G392" s="257" t="str">
        <f t="shared" ca="1" si="73"/>
        <v/>
      </c>
      <c r="H392" s="257" t="str">
        <f t="shared" ca="1" si="74"/>
        <v/>
      </c>
      <c r="I392" s="220" t="str">
        <f t="shared" ca="1" si="75"/>
        <v/>
      </c>
    </row>
    <row r="393" spans="1:9" x14ac:dyDescent="0.25">
      <c r="A393" s="254" t="str">
        <f t="shared" ca="1" si="67"/>
        <v/>
      </c>
      <c r="B393" s="255" t="str">
        <f t="shared" ca="1" si="68"/>
        <v/>
      </c>
      <c r="C393" s="256" t="str">
        <f t="shared" ca="1" si="69"/>
        <v/>
      </c>
      <c r="D393" s="257" t="str">
        <f t="shared" ca="1" si="70"/>
        <v/>
      </c>
      <c r="E393" s="808" t="str">
        <f t="shared" ca="1" si="71"/>
        <v/>
      </c>
      <c r="F393" s="253" t="str">
        <f t="shared" ca="1" si="72"/>
        <v/>
      </c>
      <c r="G393" s="257" t="str">
        <f t="shared" ca="1" si="73"/>
        <v/>
      </c>
      <c r="H393" s="257" t="str">
        <f t="shared" ca="1" si="74"/>
        <v/>
      </c>
      <c r="I393" s="220" t="str">
        <f t="shared" ca="1" si="75"/>
        <v/>
      </c>
    </row>
    <row r="394" spans="1:9" x14ac:dyDescent="0.25">
      <c r="A394" s="254" t="str">
        <f t="shared" ca="1" si="67"/>
        <v/>
      </c>
      <c r="B394" s="255" t="str">
        <f t="shared" ca="1" si="68"/>
        <v/>
      </c>
      <c r="C394" s="256" t="str">
        <f t="shared" ca="1" si="69"/>
        <v/>
      </c>
      <c r="D394" s="257" t="str">
        <f t="shared" ca="1" si="70"/>
        <v/>
      </c>
      <c r="E394" s="808" t="str">
        <f t="shared" ca="1" si="71"/>
        <v/>
      </c>
      <c r="F394" s="253" t="str">
        <f t="shared" ca="1" si="72"/>
        <v/>
      </c>
      <c r="G394" s="257" t="str">
        <f t="shared" ca="1" si="73"/>
        <v/>
      </c>
      <c r="H394" s="257" t="str">
        <f t="shared" ca="1" si="74"/>
        <v/>
      </c>
      <c r="I394" s="220" t="str">
        <f t="shared" ca="1" si="75"/>
        <v/>
      </c>
    </row>
    <row r="395" spans="1:9" x14ac:dyDescent="0.25">
      <c r="A395" s="254" t="str">
        <f t="shared" ca="1" si="67"/>
        <v/>
      </c>
      <c r="B395" s="255" t="str">
        <f t="shared" ca="1" si="68"/>
        <v/>
      </c>
      <c r="C395" s="256" t="str">
        <f t="shared" ca="1" si="69"/>
        <v/>
      </c>
      <c r="D395" s="257" t="str">
        <f t="shared" ca="1" si="70"/>
        <v/>
      </c>
      <c r="E395" s="808" t="str">
        <f t="shared" ca="1" si="71"/>
        <v/>
      </c>
      <c r="F395" s="253" t="str">
        <f t="shared" ca="1" si="72"/>
        <v/>
      </c>
      <c r="G395" s="257" t="str">
        <f t="shared" ca="1" si="73"/>
        <v/>
      </c>
      <c r="H395" s="257" t="str">
        <f t="shared" ca="1" si="74"/>
        <v/>
      </c>
      <c r="I395" s="220" t="str">
        <f t="shared" ca="1" si="75"/>
        <v/>
      </c>
    </row>
    <row r="396" spans="1:9" x14ac:dyDescent="0.25">
      <c r="A396" s="254" t="str">
        <f t="shared" ca="1" si="67"/>
        <v/>
      </c>
      <c r="B396" s="255" t="str">
        <f t="shared" ca="1" si="68"/>
        <v/>
      </c>
      <c r="C396" s="256" t="str">
        <f t="shared" ca="1" si="69"/>
        <v/>
      </c>
      <c r="D396" s="257" t="str">
        <f t="shared" ca="1" si="70"/>
        <v/>
      </c>
      <c r="E396" s="808" t="str">
        <f t="shared" ca="1" si="71"/>
        <v/>
      </c>
      <c r="F396" s="253" t="str">
        <f t="shared" ca="1" si="72"/>
        <v/>
      </c>
      <c r="G396" s="257" t="str">
        <f t="shared" ca="1" si="73"/>
        <v/>
      </c>
      <c r="H396" s="257" t="str">
        <f t="shared" ca="1" si="74"/>
        <v/>
      </c>
      <c r="I396" s="220" t="str">
        <f t="shared" ca="1" si="75"/>
        <v/>
      </c>
    </row>
    <row r="397" spans="1:9" x14ac:dyDescent="0.25">
      <c r="A397" s="254" t="str">
        <f t="shared" ca="1" si="67"/>
        <v/>
      </c>
      <c r="B397" s="255" t="str">
        <f t="shared" ca="1" si="68"/>
        <v/>
      </c>
      <c r="C397" s="256" t="str">
        <f t="shared" ca="1" si="69"/>
        <v/>
      </c>
      <c r="D397" s="257" t="str">
        <f t="shared" ca="1" si="70"/>
        <v/>
      </c>
      <c r="E397" s="808" t="str">
        <f t="shared" ca="1" si="71"/>
        <v/>
      </c>
      <c r="F397" s="253" t="str">
        <f t="shared" ca="1" si="72"/>
        <v/>
      </c>
      <c r="G397" s="257" t="str">
        <f t="shared" ca="1" si="73"/>
        <v/>
      </c>
      <c r="H397" s="257" t="str">
        <f t="shared" ca="1" si="74"/>
        <v/>
      </c>
      <c r="I397" s="220" t="str">
        <f t="shared" ca="1" si="75"/>
        <v/>
      </c>
    </row>
    <row r="398" spans="1:9" x14ac:dyDescent="0.25">
      <c r="A398" s="254" t="str">
        <f t="shared" ca="1" si="67"/>
        <v/>
      </c>
      <c r="B398" s="255" t="str">
        <f t="shared" ca="1" si="68"/>
        <v/>
      </c>
      <c r="C398" s="256" t="str">
        <f t="shared" ca="1" si="69"/>
        <v/>
      </c>
      <c r="D398" s="257" t="str">
        <f t="shared" ca="1" si="70"/>
        <v/>
      </c>
      <c r="E398" s="808" t="str">
        <f t="shared" ca="1" si="71"/>
        <v/>
      </c>
      <c r="F398" s="253" t="str">
        <f t="shared" ca="1" si="72"/>
        <v/>
      </c>
      <c r="G398" s="257" t="str">
        <f t="shared" ca="1" si="73"/>
        <v/>
      </c>
      <c r="H398" s="257" t="str">
        <f t="shared" ca="1" si="74"/>
        <v/>
      </c>
      <c r="I398" s="220" t="str">
        <f t="shared" ca="1" si="75"/>
        <v/>
      </c>
    </row>
    <row r="399" spans="1:9" x14ac:dyDescent="0.25">
      <c r="A399" s="254" t="str">
        <f t="shared" ca="1" si="67"/>
        <v/>
      </c>
      <c r="B399" s="255" t="str">
        <f t="shared" ca="1" si="68"/>
        <v/>
      </c>
      <c r="C399" s="256" t="str">
        <f t="shared" ca="1" si="69"/>
        <v/>
      </c>
      <c r="D399" s="257" t="str">
        <f t="shared" ca="1" si="70"/>
        <v/>
      </c>
      <c r="E399" s="808" t="str">
        <f t="shared" ca="1" si="71"/>
        <v/>
      </c>
      <c r="F399" s="253" t="str">
        <f t="shared" ca="1" si="72"/>
        <v/>
      </c>
      <c r="G399" s="257" t="str">
        <f t="shared" ca="1" si="73"/>
        <v/>
      </c>
      <c r="H399" s="257" t="str">
        <f t="shared" ca="1" si="74"/>
        <v/>
      </c>
      <c r="I399" s="220" t="str">
        <f t="shared" ca="1" si="75"/>
        <v/>
      </c>
    </row>
    <row r="400" spans="1:9" x14ac:dyDescent="0.25">
      <c r="A400" s="254" t="str">
        <f t="shared" ca="1" si="67"/>
        <v/>
      </c>
      <c r="B400" s="255" t="str">
        <f t="shared" ca="1" si="68"/>
        <v/>
      </c>
      <c r="C400" s="256" t="str">
        <f t="shared" ca="1" si="69"/>
        <v/>
      </c>
      <c r="D400" s="257" t="str">
        <f t="shared" ca="1" si="70"/>
        <v/>
      </c>
      <c r="E400" s="808" t="str">
        <f t="shared" ca="1" si="71"/>
        <v/>
      </c>
      <c r="F400" s="253" t="str">
        <f t="shared" ca="1" si="72"/>
        <v/>
      </c>
      <c r="G400" s="257" t="str">
        <f t="shared" ca="1" si="73"/>
        <v/>
      </c>
      <c r="H400" s="257" t="str">
        <f t="shared" ca="1" si="74"/>
        <v/>
      </c>
      <c r="I400" s="220" t="str">
        <f t="shared" ca="1" si="75"/>
        <v/>
      </c>
    </row>
    <row r="401" spans="1:9" x14ac:dyDescent="0.25">
      <c r="A401" s="254" t="str">
        <f t="shared" ca="1" si="67"/>
        <v/>
      </c>
      <c r="B401" s="255" t="str">
        <f t="shared" ca="1" si="68"/>
        <v/>
      </c>
      <c r="C401" s="256" t="str">
        <f t="shared" ca="1" si="69"/>
        <v/>
      </c>
      <c r="D401" s="257" t="str">
        <f t="shared" ca="1" si="70"/>
        <v/>
      </c>
      <c r="E401" s="808" t="str">
        <f t="shared" ca="1" si="71"/>
        <v/>
      </c>
      <c r="F401" s="253" t="str">
        <f t="shared" ca="1" si="72"/>
        <v/>
      </c>
      <c r="G401" s="257" t="str">
        <f t="shared" ca="1" si="73"/>
        <v/>
      </c>
      <c r="H401" s="257" t="str">
        <f t="shared" ca="1" si="74"/>
        <v/>
      </c>
      <c r="I401" s="220" t="str">
        <f t="shared" ca="1" si="75"/>
        <v/>
      </c>
    </row>
    <row r="402" spans="1:9" x14ac:dyDescent="0.25">
      <c r="A402" s="254" t="str">
        <f t="shared" ca="1" si="67"/>
        <v/>
      </c>
      <c r="B402" s="255" t="str">
        <f t="shared" ca="1" si="68"/>
        <v/>
      </c>
      <c r="C402" s="256" t="str">
        <f t="shared" ca="1" si="69"/>
        <v/>
      </c>
      <c r="D402" s="257" t="str">
        <f t="shared" ca="1" si="70"/>
        <v/>
      </c>
      <c r="E402" s="808" t="str">
        <f t="shared" ca="1" si="71"/>
        <v/>
      </c>
      <c r="F402" s="253" t="str">
        <f t="shared" ca="1" si="72"/>
        <v/>
      </c>
      <c r="G402" s="257" t="str">
        <f t="shared" ca="1" si="73"/>
        <v/>
      </c>
      <c r="H402" s="257" t="str">
        <f t="shared" ca="1" si="74"/>
        <v/>
      </c>
      <c r="I402" s="220" t="str">
        <f t="shared" ca="1" si="75"/>
        <v/>
      </c>
    </row>
    <row r="403" spans="1:9" x14ac:dyDescent="0.25">
      <c r="A403" s="254" t="str">
        <f t="shared" ca="1" si="67"/>
        <v/>
      </c>
      <c r="B403" s="255" t="str">
        <f t="shared" ca="1" si="68"/>
        <v/>
      </c>
      <c r="C403" s="256" t="str">
        <f t="shared" ca="1" si="69"/>
        <v/>
      </c>
      <c r="D403" s="257" t="str">
        <f t="shared" ca="1" si="70"/>
        <v/>
      </c>
      <c r="E403" s="808" t="str">
        <f t="shared" ca="1" si="71"/>
        <v/>
      </c>
      <c r="F403" s="253" t="str">
        <f t="shared" ca="1" si="72"/>
        <v/>
      </c>
      <c r="G403" s="257" t="str">
        <f t="shared" ca="1" si="73"/>
        <v/>
      </c>
      <c r="H403" s="257" t="str">
        <f t="shared" ca="1" si="74"/>
        <v/>
      </c>
      <c r="I403" s="220" t="str">
        <f t="shared" ca="1" si="75"/>
        <v/>
      </c>
    </row>
    <row r="404" spans="1:9" x14ac:dyDescent="0.25">
      <c r="A404" s="254" t="str">
        <f t="shared" ca="1" si="67"/>
        <v/>
      </c>
      <c r="B404" s="255" t="str">
        <f t="shared" ca="1" si="68"/>
        <v/>
      </c>
      <c r="C404" s="256" t="str">
        <f t="shared" ca="1" si="69"/>
        <v/>
      </c>
      <c r="D404" s="257" t="str">
        <f t="shared" ca="1" si="70"/>
        <v/>
      </c>
      <c r="E404" s="808" t="str">
        <f t="shared" ca="1" si="71"/>
        <v/>
      </c>
      <c r="F404" s="253" t="str">
        <f t="shared" ca="1" si="72"/>
        <v/>
      </c>
      <c r="G404" s="257" t="str">
        <f t="shared" ca="1" si="73"/>
        <v/>
      </c>
      <c r="H404" s="257" t="str">
        <f t="shared" ca="1" si="74"/>
        <v/>
      </c>
      <c r="I404" s="220" t="str">
        <f t="shared" ca="1" si="75"/>
        <v/>
      </c>
    </row>
    <row r="405" spans="1:9" x14ac:dyDescent="0.25">
      <c r="A405" s="254" t="str">
        <f t="shared" ca="1" si="67"/>
        <v/>
      </c>
      <c r="B405" s="255" t="str">
        <f t="shared" ca="1" si="68"/>
        <v/>
      </c>
      <c r="C405" s="256" t="str">
        <f t="shared" ca="1" si="69"/>
        <v/>
      </c>
      <c r="D405" s="257" t="str">
        <f t="shared" ca="1" si="70"/>
        <v/>
      </c>
      <c r="E405" s="808" t="str">
        <f t="shared" ca="1" si="71"/>
        <v/>
      </c>
      <c r="F405" s="253" t="str">
        <f t="shared" ca="1" si="72"/>
        <v/>
      </c>
      <c r="G405" s="257" t="str">
        <f t="shared" ca="1" si="73"/>
        <v/>
      </c>
      <c r="H405" s="257" t="str">
        <f t="shared" ca="1" si="74"/>
        <v/>
      </c>
      <c r="I405" s="220" t="str">
        <f t="shared" ca="1" si="75"/>
        <v/>
      </c>
    </row>
    <row r="406" spans="1:9" x14ac:dyDescent="0.25">
      <c r="A406" s="254" t="str">
        <f t="shared" ca="1" si="67"/>
        <v/>
      </c>
      <c r="B406" s="255" t="str">
        <f t="shared" ca="1" si="68"/>
        <v/>
      </c>
      <c r="C406" s="256" t="str">
        <f t="shared" ca="1" si="69"/>
        <v/>
      </c>
      <c r="D406" s="257" t="str">
        <f t="shared" ca="1" si="70"/>
        <v/>
      </c>
      <c r="E406" s="808" t="str">
        <f t="shared" ca="1" si="71"/>
        <v/>
      </c>
      <c r="F406" s="253" t="str">
        <f t="shared" ca="1" si="72"/>
        <v/>
      </c>
      <c r="G406" s="257" t="str">
        <f t="shared" ca="1" si="73"/>
        <v/>
      </c>
      <c r="H406" s="257" t="str">
        <f t="shared" ca="1" si="74"/>
        <v/>
      </c>
      <c r="I406" s="220" t="str">
        <f t="shared" ca="1" si="75"/>
        <v/>
      </c>
    </row>
    <row r="407" spans="1:9" x14ac:dyDescent="0.25">
      <c r="A407" s="254" t="str">
        <f t="shared" ca="1" si="67"/>
        <v/>
      </c>
      <c r="B407" s="255" t="str">
        <f t="shared" ca="1" si="68"/>
        <v/>
      </c>
      <c r="C407" s="256" t="str">
        <f t="shared" ca="1" si="69"/>
        <v/>
      </c>
      <c r="D407" s="257" t="str">
        <f t="shared" ca="1" si="70"/>
        <v/>
      </c>
      <c r="E407" s="808" t="str">
        <f t="shared" ca="1" si="71"/>
        <v/>
      </c>
      <c r="F407" s="253" t="str">
        <f t="shared" ca="1" si="72"/>
        <v/>
      </c>
      <c r="G407" s="257" t="str">
        <f t="shared" ca="1" si="73"/>
        <v/>
      </c>
      <c r="H407" s="257" t="str">
        <f t="shared" ca="1" si="74"/>
        <v/>
      </c>
      <c r="I407" s="220" t="str">
        <f t="shared" ca="1" si="75"/>
        <v/>
      </c>
    </row>
    <row r="408" spans="1:9" x14ac:dyDescent="0.25">
      <c r="A408" s="254" t="str">
        <f t="shared" ca="1" si="67"/>
        <v/>
      </c>
      <c r="B408" s="255" t="str">
        <f t="shared" ca="1" si="68"/>
        <v/>
      </c>
      <c r="C408" s="256" t="str">
        <f t="shared" ca="1" si="69"/>
        <v/>
      </c>
      <c r="D408" s="257" t="str">
        <f t="shared" ca="1" si="70"/>
        <v/>
      </c>
      <c r="E408" s="808" t="str">
        <f t="shared" ca="1" si="71"/>
        <v/>
      </c>
      <c r="F408" s="253" t="str">
        <f t="shared" ca="1" si="72"/>
        <v/>
      </c>
      <c r="G408" s="257" t="str">
        <f t="shared" ca="1" si="73"/>
        <v/>
      </c>
      <c r="H408" s="257" t="str">
        <f t="shared" ca="1" si="74"/>
        <v/>
      </c>
      <c r="I408" s="220" t="str">
        <f t="shared" ca="1" si="75"/>
        <v/>
      </c>
    </row>
    <row r="409" spans="1:9" x14ac:dyDescent="0.25">
      <c r="A409" s="254" t="str">
        <f t="shared" ca="1" si="67"/>
        <v/>
      </c>
      <c r="B409" s="255" t="str">
        <f t="shared" ca="1" si="68"/>
        <v/>
      </c>
      <c r="C409" s="256" t="str">
        <f t="shared" ca="1" si="69"/>
        <v/>
      </c>
      <c r="D409" s="257" t="str">
        <f t="shared" ca="1" si="70"/>
        <v/>
      </c>
      <c r="E409" s="808" t="str">
        <f t="shared" ca="1" si="71"/>
        <v/>
      </c>
      <c r="F409" s="253" t="str">
        <f t="shared" ca="1" si="72"/>
        <v/>
      </c>
      <c r="G409" s="257" t="str">
        <f t="shared" ca="1" si="73"/>
        <v/>
      </c>
      <c r="H409" s="257" t="str">
        <f t="shared" ca="1" si="74"/>
        <v/>
      </c>
      <c r="I409" s="220" t="str">
        <f t="shared" ca="1" si="75"/>
        <v/>
      </c>
    </row>
    <row r="410" spans="1:9" x14ac:dyDescent="0.25">
      <c r="A410" s="254" t="str">
        <f t="shared" ca="1" si="67"/>
        <v/>
      </c>
      <c r="B410" s="255" t="str">
        <f t="shared" ca="1" si="68"/>
        <v/>
      </c>
      <c r="C410" s="256" t="str">
        <f t="shared" ca="1" si="69"/>
        <v/>
      </c>
      <c r="D410" s="257" t="str">
        <f t="shared" ca="1" si="70"/>
        <v/>
      </c>
      <c r="E410" s="808" t="str">
        <f t="shared" ca="1" si="71"/>
        <v/>
      </c>
      <c r="F410" s="253" t="str">
        <f t="shared" ca="1" si="72"/>
        <v/>
      </c>
      <c r="G410" s="257" t="str">
        <f t="shared" ca="1" si="73"/>
        <v/>
      </c>
      <c r="H410" s="257" t="str">
        <f t="shared" ca="1" si="74"/>
        <v/>
      </c>
      <c r="I410" s="220" t="str">
        <f t="shared" ca="1" si="75"/>
        <v/>
      </c>
    </row>
    <row r="411" spans="1:9" x14ac:dyDescent="0.25">
      <c r="A411" s="254" t="str">
        <f t="shared" ca="1" si="67"/>
        <v/>
      </c>
      <c r="B411" s="255" t="str">
        <f t="shared" ca="1" si="68"/>
        <v/>
      </c>
      <c r="C411" s="256" t="str">
        <f t="shared" ca="1" si="69"/>
        <v/>
      </c>
      <c r="D411" s="257" t="str">
        <f t="shared" ca="1" si="70"/>
        <v/>
      </c>
      <c r="E411" s="808" t="str">
        <f t="shared" ca="1" si="71"/>
        <v/>
      </c>
      <c r="F411" s="253" t="str">
        <f t="shared" ca="1" si="72"/>
        <v/>
      </c>
      <c r="G411" s="257" t="str">
        <f t="shared" ca="1" si="73"/>
        <v/>
      </c>
      <c r="H411" s="257" t="str">
        <f t="shared" ca="1" si="74"/>
        <v/>
      </c>
      <c r="I411" s="220" t="str">
        <f t="shared" ca="1" si="75"/>
        <v/>
      </c>
    </row>
    <row r="412" spans="1:9" x14ac:dyDescent="0.25">
      <c r="A412" s="254" t="str">
        <f t="shared" ca="1" si="67"/>
        <v/>
      </c>
      <c r="B412" s="255" t="str">
        <f t="shared" ca="1" si="68"/>
        <v/>
      </c>
      <c r="C412" s="256" t="str">
        <f t="shared" ca="1" si="69"/>
        <v/>
      </c>
      <c r="D412" s="257" t="str">
        <f t="shared" ca="1" si="70"/>
        <v/>
      </c>
      <c r="E412" s="808" t="str">
        <f t="shared" ca="1" si="71"/>
        <v/>
      </c>
      <c r="F412" s="253" t="str">
        <f t="shared" ca="1" si="72"/>
        <v/>
      </c>
      <c r="G412" s="257" t="str">
        <f t="shared" ca="1" si="73"/>
        <v/>
      </c>
      <c r="H412" s="257" t="str">
        <f t="shared" ca="1" si="74"/>
        <v/>
      </c>
      <c r="I412" s="220" t="str">
        <f t="shared" ca="1" si="75"/>
        <v/>
      </c>
    </row>
    <row r="413" spans="1:9" x14ac:dyDescent="0.25">
      <c r="A413" s="254" t="str">
        <f t="shared" ca="1" si="67"/>
        <v/>
      </c>
      <c r="B413" s="255" t="str">
        <f t="shared" ca="1" si="68"/>
        <v/>
      </c>
      <c r="C413" s="256" t="str">
        <f t="shared" ca="1" si="69"/>
        <v/>
      </c>
      <c r="D413" s="257" t="str">
        <f t="shared" ca="1" si="70"/>
        <v/>
      </c>
      <c r="E413" s="808" t="str">
        <f t="shared" ca="1" si="71"/>
        <v/>
      </c>
      <c r="F413" s="253" t="str">
        <f t="shared" ca="1" si="72"/>
        <v/>
      </c>
      <c r="G413" s="257" t="str">
        <f t="shared" ca="1" si="73"/>
        <v/>
      </c>
      <c r="H413" s="257" t="str">
        <f t="shared" ca="1" si="74"/>
        <v/>
      </c>
      <c r="I413" s="220" t="str">
        <f t="shared" ca="1" si="75"/>
        <v/>
      </c>
    </row>
    <row r="414" spans="1:9" x14ac:dyDescent="0.25">
      <c r="A414" s="254" t="str">
        <f t="shared" ca="1" si="67"/>
        <v/>
      </c>
      <c r="B414" s="255" t="str">
        <f t="shared" ca="1" si="68"/>
        <v/>
      </c>
      <c r="C414" s="256" t="str">
        <f t="shared" ca="1" si="69"/>
        <v/>
      </c>
      <c r="D414" s="257" t="str">
        <f t="shared" ca="1" si="70"/>
        <v/>
      </c>
      <c r="E414" s="808" t="str">
        <f t="shared" ca="1" si="71"/>
        <v/>
      </c>
      <c r="F414" s="253" t="str">
        <f t="shared" ca="1" si="72"/>
        <v/>
      </c>
      <c r="G414" s="257" t="str">
        <f t="shared" ca="1" si="73"/>
        <v/>
      </c>
      <c r="H414" s="257" t="str">
        <f t="shared" ca="1" si="74"/>
        <v/>
      </c>
      <c r="I414" s="220" t="str">
        <f t="shared" ca="1" si="75"/>
        <v/>
      </c>
    </row>
    <row r="415" spans="1:9" x14ac:dyDescent="0.25">
      <c r="A415" s="254" t="str">
        <f t="shared" ca="1" si="67"/>
        <v/>
      </c>
      <c r="B415" s="255" t="str">
        <f t="shared" ca="1" si="68"/>
        <v/>
      </c>
      <c r="C415" s="256" t="str">
        <f t="shared" ca="1" si="69"/>
        <v/>
      </c>
      <c r="D415" s="257" t="str">
        <f t="shared" ca="1" si="70"/>
        <v/>
      </c>
      <c r="E415" s="808" t="str">
        <f t="shared" ca="1" si="71"/>
        <v/>
      </c>
      <c r="F415" s="253" t="str">
        <f t="shared" ca="1" si="72"/>
        <v/>
      </c>
      <c r="G415" s="257" t="str">
        <f t="shared" ca="1" si="73"/>
        <v/>
      </c>
      <c r="H415" s="257" t="str">
        <f t="shared" ca="1" si="74"/>
        <v/>
      </c>
      <c r="I415" s="220" t="str">
        <f t="shared" ca="1" si="75"/>
        <v/>
      </c>
    </row>
    <row r="416" spans="1:9" x14ac:dyDescent="0.25">
      <c r="A416" s="254" t="str">
        <f t="shared" ca="1" si="67"/>
        <v/>
      </c>
      <c r="B416" s="255" t="str">
        <f t="shared" ca="1" si="68"/>
        <v/>
      </c>
      <c r="C416" s="256" t="str">
        <f t="shared" ca="1" si="69"/>
        <v/>
      </c>
      <c r="D416" s="257" t="str">
        <f t="shared" ca="1" si="70"/>
        <v/>
      </c>
      <c r="E416" s="808" t="str">
        <f t="shared" ca="1" si="71"/>
        <v/>
      </c>
      <c r="F416" s="253" t="str">
        <f t="shared" ca="1" si="72"/>
        <v/>
      </c>
      <c r="G416" s="257" t="str">
        <f t="shared" ca="1" si="73"/>
        <v/>
      </c>
      <c r="H416" s="257" t="str">
        <f t="shared" ca="1" si="74"/>
        <v/>
      </c>
      <c r="I416" s="220" t="str">
        <f t="shared" ca="1" si="75"/>
        <v/>
      </c>
    </row>
    <row r="417" spans="1:9" x14ac:dyDescent="0.25">
      <c r="A417" s="254" t="str">
        <f t="shared" ca="1" si="67"/>
        <v/>
      </c>
      <c r="B417" s="255" t="str">
        <f t="shared" ca="1" si="68"/>
        <v/>
      </c>
      <c r="C417" s="256" t="str">
        <f t="shared" ca="1" si="69"/>
        <v/>
      </c>
      <c r="D417" s="257" t="str">
        <f t="shared" ca="1" si="70"/>
        <v/>
      </c>
      <c r="E417" s="808" t="str">
        <f t="shared" ca="1" si="71"/>
        <v/>
      </c>
      <c r="F417" s="253" t="str">
        <f t="shared" ca="1" si="72"/>
        <v/>
      </c>
      <c r="G417" s="257" t="str">
        <f t="shared" ca="1" si="73"/>
        <v/>
      </c>
      <c r="H417" s="257" t="str">
        <f t="shared" ca="1" si="74"/>
        <v/>
      </c>
      <c r="I417" s="220" t="str">
        <f t="shared" ca="1" si="75"/>
        <v/>
      </c>
    </row>
    <row r="418" spans="1:9" x14ac:dyDescent="0.25">
      <c r="A418" s="254" t="str">
        <f t="shared" ca="1" si="67"/>
        <v/>
      </c>
      <c r="B418" s="255" t="str">
        <f t="shared" ca="1" si="68"/>
        <v/>
      </c>
      <c r="C418" s="256" t="str">
        <f t="shared" ca="1" si="69"/>
        <v/>
      </c>
      <c r="D418" s="257" t="str">
        <f t="shared" ca="1" si="70"/>
        <v/>
      </c>
      <c r="E418" s="808" t="str">
        <f t="shared" ca="1" si="71"/>
        <v/>
      </c>
      <c r="F418" s="253" t="str">
        <f t="shared" ca="1" si="72"/>
        <v/>
      </c>
      <c r="G418" s="257" t="str">
        <f t="shared" ca="1" si="73"/>
        <v/>
      </c>
      <c r="H418" s="257" t="str">
        <f t="shared" ca="1" si="74"/>
        <v/>
      </c>
      <c r="I418" s="220" t="str">
        <f t="shared" ca="1" si="75"/>
        <v/>
      </c>
    </row>
    <row r="419" spans="1:9" x14ac:dyDescent="0.25">
      <c r="A419" s="254" t="str">
        <f t="shared" ca="1" si="67"/>
        <v/>
      </c>
      <c r="B419" s="255" t="str">
        <f t="shared" ca="1" si="68"/>
        <v/>
      </c>
      <c r="C419" s="256" t="str">
        <f t="shared" ca="1" si="69"/>
        <v/>
      </c>
      <c r="D419" s="257" t="str">
        <f t="shared" ca="1" si="70"/>
        <v/>
      </c>
      <c r="E419" s="808" t="str">
        <f t="shared" ca="1" si="71"/>
        <v/>
      </c>
      <c r="F419" s="253" t="str">
        <f t="shared" ca="1" si="72"/>
        <v/>
      </c>
      <c r="G419" s="257" t="str">
        <f t="shared" ca="1" si="73"/>
        <v/>
      </c>
      <c r="H419" s="257" t="str">
        <f t="shared" ca="1" si="74"/>
        <v/>
      </c>
      <c r="I419" s="220" t="str">
        <f t="shared" ca="1" si="75"/>
        <v/>
      </c>
    </row>
    <row r="420" spans="1:9" x14ac:dyDescent="0.25">
      <c r="A420" s="254" t="str">
        <f t="shared" ca="1" si="67"/>
        <v/>
      </c>
      <c r="B420" s="255" t="str">
        <f t="shared" ca="1" si="68"/>
        <v/>
      </c>
      <c r="C420" s="256" t="str">
        <f t="shared" ca="1" si="69"/>
        <v/>
      </c>
      <c r="D420" s="257" t="str">
        <f t="shared" ca="1" si="70"/>
        <v/>
      </c>
      <c r="E420" s="808" t="str">
        <f t="shared" ca="1" si="71"/>
        <v/>
      </c>
      <c r="F420" s="253" t="str">
        <f t="shared" ca="1" si="72"/>
        <v/>
      </c>
      <c r="G420" s="257" t="str">
        <f t="shared" ca="1" si="73"/>
        <v/>
      </c>
      <c r="H420" s="257" t="str">
        <f t="shared" ca="1" si="74"/>
        <v/>
      </c>
      <c r="I420" s="220" t="str">
        <f t="shared" ca="1" si="75"/>
        <v/>
      </c>
    </row>
    <row r="421" spans="1:9" x14ac:dyDescent="0.25">
      <c r="A421" s="254" t="str">
        <f t="shared" ca="1" si="67"/>
        <v/>
      </c>
      <c r="B421" s="255" t="str">
        <f t="shared" ca="1" si="68"/>
        <v/>
      </c>
      <c r="C421" s="256" t="str">
        <f t="shared" ca="1" si="69"/>
        <v/>
      </c>
      <c r="D421" s="257" t="str">
        <f t="shared" ca="1" si="70"/>
        <v/>
      </c>
      <c r="E421" s="808" t="str">
        <f t="shared" ca="1" si="71"/>
        <v/>
      </c>
      <c r="F421" s="253" t="str">
        <f t="shared" ca="1" si="72"/>
        <v/>
      </c>
      <c r="G421" s="257" t="str">
        <f t="shared" ca="1" si="73"/>
        <v/>
      </c>
      <c r="H421" s="257" t="str">
        <f t="shared" ca="1" si="74"/>
        <v/>
      </c>
      <c r="I421" s="220" t="str">
        <f t="shared" ca="1" si="75"/>
        <v/>
      </c>
    </row>
    <row r="422" spans="1:9" x14ac:dyDescent="0.25">
      <c r="A422" s="254" t="str">
        <f t="shared" ca="1" si="67"/>
        <v/>
      </c>
      <c r="B422" s="255" t="str">
        <f t="shared" ca="1" si="68"/>
        <v/>
      </c>
      <c r="C422" s="256" t="str">
        <f t="shared" ca="1" si="69"/>
        <v/>
      </c>
      <c r="D422" s="257" t="str">
        <f t="shared" ca="1" si="70"/>
        <v/>
      </c>
      <c r="E422" s="808" t="str">
        <f t="shared" ca="1" si="71"/>
        <v/>
      </c>
      <c r="F422" s="253" t="str">
        <f t="shared" ca="1" si="72"/>
        <v/>
      </c>
      <c r="G422" s="257" t="str">
        <f t="shared" ca="1" si="73"/>
        <v/>
      </c>
      <c r="H422" s="257" t="str">
        <f t="shared" ca="1" si="74"/>
        <v/>
      </c>
      <c r="I422" s="220" t="str">
        <f t="shared" ca="1" si="75"/>
        <v/>
      </c>
    </row>
    <row r="423" spans="1:9" x14ac:dyDescent="0.25">
      <c r="A423" s="254" t="str">
        <f t="shared" ca="1" si="67"/>
        <v/>
      </c>
      <c r="B423" s="255" t="str">
        <f t="shared" ca="1" si="68"/>
        <v/>
      </c>
      <c r="C423" s="256" t="str">
        <f t="shared" ca="1" si="69"/>
        <v/>
      </c>
      <c r="D423" s="257" t="str">
        <f t="shared" ca="1" si="70"/>
        <v/>
      </c>
      <c r="E423" s="808" t="str">
        <f t="shared" ca="1" si="71"/>
        <v/>
      </c>
      <c r="F423" s="253" t="str">
        <f t="shared" ca="1" si="72"/>
        <v/>
      </c>
      <c r="G423" s="257" t="str">
        <f t="shared" ca="1" si="73"/>
        <v/>
      </c>
      <c r="H423" s="257" t="str">
        <f t="shared" ca="1" si="74"/>
        <v/>
      </c>
      <c r="I423" s="220" t="str">
        <f t="shared" ca="1" si="75"/>
        <v/>
      </c>
    </row>
    <row r="424" spans="1:9" x14ac:dyDescent="0.25">
      <c r="A424" s="254" t="str">
        <f t="shared" ca="1" si="67"/>
        <v/>
      </c>
      <c r="B424" s="255" t="str">
        <f t="shared" ca="1" si="68"/>
        <v/>
      </c>
      <c r="C424" s="256" t="str">
        <f t="shared" ca="1" si="69"/>
        <v/>
      </c>
      <c r="D424" s="257" t="str">
        <f t="shared" ca="1" si="70"/>
        <v/>
      </c>
      <c r="E424" s="808" t="str">
        <f t="shared" ca="1" si="71"/>
        <v/>
      </c>
      <c r="F424" s="253" t="str">
        <f t="shared" ca="1" si="72"/>
        <v/>
      </c>
      <c r="G424" s="257" t="str">
        <f t="shared" ca="1" si="73"/>
        <v/>
      </c>
      <c r="H424" s="257" t="str">
        <f t="shared" ca="1" si="74"/>
        <v/>
      </c>
      <c r="I424" s="220" t="str">
        <f t="shared" ca="1" si="75"/>
        <v/>
      </c>
    </row>
    <row r="425" spans="1:9" x14ac:dyDescent="0.25">
      <c r="A425" s="254" t="str">
        <f t="shared" ca="1" si="67"/>
        <v/>
      </c>
      <c r="B425" s="255" t="str">
        <f t="shared" ca="1" si="68"/>
        <v/>
      </c>
      <c r="C425" s="256" t="str">
        <f t="shared" ca="1" si="69"/>
        <v/>
      </c>
      <c r="D425" s="257" t="str">
        <f t="shared" ca="1" si="70"/>
        <v/>
      </c>
      <c r="E425" s="808" t="str">
        <f t="shared" ca="1" si="71"/>
        <v/>
      </c>
      <c r="F425" s="253" t="str">
        <f t="shared" ca="1" si="72"/>
        <v/>
      </c>
      <c r="G425" s="257" t="str">
        <f t="shared" ca="1" si="73"/>
        <v/>
      </c>
      <c r="H425" s="257" t="str">
        <f t="shared" ca="1" si="74"/>
        <v/>
      </c>
      <c r="I425" s="220" t="str">
        <f t="shared" ca="1" si="75"/>
        <v/>
      </c>
    </row>
    <row r="426" spans="1:9" x14ac:dyDescent="0.25">
      <c r="A426" s="254" t="str">
        <f t="shared" ca="1" si="67"/>
        <v/>
      </c>
      <c r="B426" s="255" t="str">
        <f t="shared" ca="1" si="68"/>
        <v/>
      </c>
      <c r="C426" s="256" t="str">
        <f t="shared" ca="1" si="69"/>
        <v/>
      </c>
      <c r="D426" s="257" t="str">
        <f t="shared" ca="1" si="70"/>
        <v/>
      </c>
      <c r="E426" s="808" t="str">
        <f t="shared" ca="1" si="71"/>
        <v/>
      </c>
      <c r="F426" s="253" t="str">
        <f t="shared" ca="1" si="72"/>
        <v/>
      </c>
      <c r="G426" s="257" t="str">
        <f t="shared" ca="1" si="73"/>
        <v/>
      </c>
      <c r="H426" s="257" t="str">
        <f t="shared" ca="1" si="74"/>
        <v/>
      </c>
      <c r="I426" s="220" t="str">
        <f t="shared" ca="1" si="75"/>
        <v/>
      </c>
    </row>
    <row r="427" spans="1:9" x14ac:dyDescent="0.25">
      <c r="A427" s="254" t="str">
        <f t="shared" ca="1" si="67"/>
        <v/>
      </c>
      <c r="B427" s="255" t="str">
        <f t="shared" ca="1" si="68"/>
        <v/>
      </c>
      <c r="C427" s="256" t="str">
        <f t="shared" ca="1" si="69"/>
        <v/>
      </c>
      <c r="D427" s="257" t="str">
        <f t="shared" ca="1" si="70"/>
        <v/>
      </c>
      <c r="E427" s="808" t="str">
        <f t="shared" ca="1" si="71"/>
        <v/>
      </c>
      <c r="F427" s="253" t="str">
        <f t="shared" ca="1" si="72"/>
        <v/>
      </c>
      <c r="G427" s="257" t="str">
        <f t="shared" ca="1" si="73"/>
        <v/>
      </c>
      <c r="H427" s="257" t="str">
        <f t="shared" ca="1" si="74"/>
        <v/>
      </c>
      <c r="I427" s="220" t="str">
        <f t="shared" ca="1" si="75"/>
        <v/>
      </c>
    </row>
    <row r="428" spans="1:9" x14ac:dyDescent="0.25">
      <c r="A428" s="254" t="str">
        <f t="shared" ca="1" si="67"/>
        <v/>
      </c>
      <c r="B428" s="255" t="str">
        <f t="shared" ca="1" si="68"/>
        <v/>
      </c>
      <c r="C428" s="256" t="str">
        <f t="shared" ca="1" si="69"/>
        <v/>
      </c>
      <c r="D428" s="257" t="str">
        <f t="shared" ca="1" si="70"/>
        <v/>
      </c>
      <c r="E428" s="808" t="str">
        <f t="shared" ca="1" si="71"/>
        <v/>
      </c>
      <c r="F428" s="253" t="str">
        <f t="shared" ca="1" si="72"/>
        <v/>
      </c>
      <c r="G428" s="257" t="str">
        <f t="shared" ca="1" si="73"/>
        <v/>
      </c>
      <c r="H428" s="257" t="str">
        <f t="shared" ca="1" si="74"/>
        <v/>
      </c>
      <c r="I428" s="220" t="str">
        <f t="shared" ca="1" si="75"/>
        <v/>
      </c>
    </row>
    <row r="429" spans="1:9" x14ac:dyDescent="0.25">
      <c r="A429" s="254" t="str">
        <f t="shared" ca="1" si="67"/>
        <v/>
      </c>
      <c r="B429" s="255" t="str">
        <f t="shared" ca="1" si="68"/>
        <v/>
      </c>
      <c r="C429" s="256" t="str">
        <f t="shared" ca="1" si="69"/>
        <v/>
      </c>
      <c r="D429" s="257" t="str">
        <f t="shared" ca="1" si="70"/>
        <v/>
      </c>
      <c r="E429" s="808" t="str">
        <f t="shared" ca="1" si="71"/>
        <v/>
      </c>
      <c r="F429" s="253" t="str">
        <f t="shared" ca="1" si="72"/>
        <v/>
      </c>
      <c r="G429" s="257" t="str">
        <f t="shared" ca="1" si="73"/>
        <v/>
      </c>
      <c r="H429" s="257" t="str">
        <f t="shared" ca="1" si="74"/>
        <v/>
      </c>
      <c r="I429" s="220" t="str">
        <f t="shared" ca="1" si="75"/>
        <v/>
      </c>
    </row>
    <row r="430" spans="1:9" x14ac:dyDescent="0.25">
      <c r="A430" s="254" t="str">
        <f t="shared" ca="1" si="67"/>
        <v/>
      </c>
      <c r="B430" s="255" t="str">
        <f t="shared" ca="1" si="68"/>
        <v/>
      </c>
      <c r="C430" s="256" t="str">
        <f t="shared" ca="1" si="69"/>
        <v/>
      </c>
      <c r="D430" s="257" t="str">
        <f t="shared" ca="1" si="70"/>
        <v/>
      </c>
      <c r="E430" s="808" t="str">
        <f t="shared" ca="1" si="71"/>
        <v/>
      </c>
      <c r="F430" s="253" t="str">
        <f t="shared" ca="1" si="72"/>
        <v/>
      </c>
      <c r="G430" s="257" t="str">
        <f t="shared" ca="1" si="73"/>
        <v/>
      </c>
      <c r="H430" s="257" t="str">
        <f t="shared" ca="1" si="74"/>
        <v/>
      </c>
      <c r="I430" s="220" t="str">
        <f t="shared" ca="1" si="75"/>
        <v/>
      </c>
    </row>
    <row r="431" spans="1:9" x14ac:dyDescent="0.25">
      <c r="A431" s="254" t="str">
        <f t="shared" ca="1" si="67"/>
        <v/>
      </c>
      <c r="B431" s="255" t="str">
        <f t="shared" ca="1" si="68"/>
        <v/>
      </c>
      <c r="C431" s="256" t="str">
        <f t="shared" ca="1" si="69"/>
        <v/>
      </c>
      <c r="D431" s="257" t="str">
        <f t="shared" ca="1" si="70"/>
        <v/>
      </c>
      <c r="E431" s="808" t="str">
        <f t="shared" ca="1" si="71"/>
        <v/>
      </c>
      <c r="F431" s="253" t="str">
        <f t="shared" ca="1" si="72"/>
        <v/>
      </c>
      <c r="G431" s="257" t="str">
        <f t="shared" ca="1" si="73"/>
        <v/>
      </c>
      <c r="H431" s="257" t="str">
        <f t="shared" ca="1" si="74"/>
        <v/>
      </c>
      <c r="I431" s="220" t="str">
        <f t="shared" ca="1" si="75"/>
        <v/>
      </c>
    </row>
    <row r="432" spans="1:9" x14ac:dyDescent="0.25">
      <c r="A432" s="254" t="str">
        <f t="shared" ca="1" si="67"/>
        <v/>
      </c>
      <c r="B432" s="255" t="str">
        <f t="shared" ca="1" si="68"/>
        <v/>
      </c>
      <c r="C432" s="256" t="str">
        <f t="shared" ca="1" si="69"/>
        <v/>
      </c>
      <c r="D432" s="257" t="str">
        <f t="shared" ca="1" si="70"/>
        <v/>
      </c>
      <c r="E432" s="808" t="str">
        <f t="shared" ca="1" si="71"/>
        <v/>
      </c>
      <c r="F432" s="253" t="str">
        <f t="shared" ca="1" si="72"/>
        <v/>
      </c>
      <c r="G432" s="257" t="str">
        <f t="shared" ca="1" si="73"/>
        <v/>
      </c>
      <c r="H432" s="257" t="str">
        <f t="shared" ca="1" si="74"/>
        <v/>
      </c>
      <c r="I432" s="220" t="str">
        <f t="shared" ca="1" si="75"/>
        <v/>
      </c>
    </row>
    <row r="433" spans="1:9" x14ac:dyDescent="0.25">
      <c r="A433" s="254" t="str">
        <f t="shared" ca="1" si="67"/>
        <v/>
      </c>
      <c r="B433" s="255" t="str">
        <f t="shared" ca="1" si="68"/>
        <v/>
      </c>
      <c r="C433" s="256" t="str">
        <f t="shared" ca="1" si="69"/>
        <v/>
      </c>
      <c r="D433" s="257" t="str">
        <f t="shared" ca="1" si="70"/>
        <v/>
      </c>
      <c r="E433" s="808" t="str">
        <f t="shared" ca="1" si="71"/>
        <v/>
      </c>
      <c r="F433" s="253" t="str">
        <f t="shared" ca="1" si="72"/>
        <v/>
      </c>
      <c r="G433" s="257" t="str">
        <f t="shared" ca="1" si="73"/>
        <v/>
      </c>
      <c r="H433" s="257" t="str">
        <f t="shared" ca="1" si="74"/>
        <v/>
      </c>
      <c r="I433" s="220" t="str">
        <f t="shared" ca="1" si="75"/>
        <v/>
      </c>
    </row>
    <row r="434" spans="1:9" x14ac:dyDescent="0.25">
      <c r="A434" s="254" t="str">
        <f t="shared" ca="1" si="67"/>
        <v/>
      </c>
      <c r="B434" s="255" t="str">
        <f t="shared" ca="1" si="68"/>
        <v/>
      </c>
      <c r="C434" s="256" t="str">
        <f t="shared" ca="1" si="69"/>
        <v/>
      </c>
      <c r="D434" s="257" t="str">
        <f t="shared" ca="1" si="70"/>
        <v/>
      </c>
      <c r="E434" s="808" t="str">
        <f t="shared" ca="1" si="71"/>
        <v/>
      </c>
      <c r="F434" s="253" t="str">
        <f t="shared" ca="1" si="72"/>
        <v/>
      </c>
      <c r="G434" s="257" t="str">
        <f t="shared" ca="1" si="73"/>
        <v/>
      </c>
      <c r="H434" s="257" t="str">
        <f t="shared" ca="1" si="74"/>
        <v/>
      </c>
      <c r="I434" s="220" t="str">
        <f t="shared" ca="1" si="75"/>
        <v/>
      </c>
    </row>
    <row r="435" spans="1:9" x14ac:dyDescent="0.25">
      <c r="A435" s="254" t="str">
        <f t="shared" ca="1" si="67"/>
        <v/>
      </c>
      <c r="B435" s="255" t="str">
        <f t="shared" ca="1" si="68"/>
        <v/>
      </c>
      <c r="C435" s="256" t="str">
        <f t="shared" ca="1" si="69"/>
        <v/>
      </c>
      <c r="D435" s="257" t="str">
        <f t="shared" ca="1" si="70"/>
        <v/>
      </c>
      <c r="E435" s="808" t="str">
        <f t="shared" ca="1" si="71"/>
        <v/>
      </c>
      <c r="F435" s="253" t="str">
        <f t="shared" ca="1" si="72"/>
        <v/>
      </c>
      <c r="G435" s="257" t="str">
        <f t="shared" ca="1" si="73"/>
        <v/>
      </c>
      <c r="H435" s="257" t="str">
        <f t="shared" ca="1" si="74"/>
        <v/>
      </c>
      <c r="I435" s="220" t="str">
        <f t="shared" ca="1" si="75"/>
        <v/>
      </c>
    </row>
    <row r="436" spans="1:9" x14ac:dyDescent="0.25">
      <c r="A436" s="254" t="str">
        <f t="shared" ca="1" si="67"/>
        <v/>
      </c>
      <c r="B436" s="255" t="str">
        <f t="shared" ca="1" si="68"/>
        <v/>
      </c>
      <c r="C436" s="256" t="str">
        <f t="shared" ca="1" si="69"/>
        <v/>
      </c>
      <c r="D436" s="257" t="str">
        <f t="shared" ca="1" si="70"/>
        <v/>
      </c>
      <c r="E436" s="808" t="str">
        <f t="shared" ca="1" si="71"/>
        <v/>
      </c>
      <c r="F436" s="253" t="str">
        <f t="shared" ca="1" si="72"/>
        <v/>
      </c>
      <c r="G436" s="257" t="str">
        <f t="shared" ca="1" si="73"/>
        <v/>
      </c>
      <c r="H436" s="257" t="str">
        <f t="shared" ca="1" si="74"/>
        <v/>
      </c>
      <c r="I436" s="220" t="str">
        <f t="shared" ca="1" si="75"/>
        <v/>
      </c>
    </row>
    <row r="437" spans="1:9" x14ac:dyDescent="0.25">
      <c r="A437" s="254" t="str">
        <f t="shared" ca="1" si="67"/>
        <v/>
      </c>
      <c r="B437" s="255" t="str">
        <f t="shared" ca="1" si="68"/>
        <v/>
      </c>
      <c r="C437" s="256" t="str">
        <f t="shared" ca="1" si="69"/>
        <v/>
      </c>
      <c r="D437" s="257" t="str">
        <f t="shared" ca="1" si="70"/>
        <v/>
      </c>
      <c r="E437" s="808" t="str">
        <f t="shared" ca="1" si="71"/>
        <v/>
      </c>
      <c r="F437" s="253" t="str">
        <f t="shared" ca="1" si="72"/>
        <v/>
      </c>
      <c r="G437" s="257" t="str">
        <f t="shared" ca="1" si="73"/>
        <v/>
      </c>
      <c r="H437" s="257" t="str">
        <f t="shared" ca="1" si="74"/>
        <v/>
      </c>
      <c r="I437" s="220" t="str">
        <f t="shared" ca="1" si="75"/>
        <v/>
      </c>
    </row>
    <row r="438" spans="1:9" x14ac:dyDescent="0.25">
      <c r="A438" s="254" t="str">
        <f t="shared" ca="1" si="67"/>
        <v/>
      </c>
      <c r="B438" s="255" t="str">
        <f t="shared" ca="1" si="68"/>
        <v/>
      </c>
      <c r="C438" s="256" t="str">
        <f t="shared" ca="1" si="69"/>
        <v/>
      </c>
      <c r="D438" s="257" t="str">
        <f t="shared" ca="1" si="70"/>
        <v/>
      </c>
      <c r="E438" s="808" t="str">
        <f t="shared" ca="1" si="71"/>
        <v/>
      </c>
      <c r="F438" s="253" t="str">
        <f t="shared" ca="1" si="72"/>
        <v/>
      </c>
      <c r="G438" s="257" t="str">
        <f t="shared" ca="1" si="73"/>
        <v/>
      </c>
      <c r="H438" s="257" t="str">
        <f t="shared" ca="1" si="74"/>
        <v/>
      </c>
      <c r="I438" s="220" t="str">
        <f t="shared" ca="1" si="75"/>
        <v/>
      </c>
    </row>
    <row r="439" spans="1:9" x14ac:dyDescent="0.25">
      <c r="A439" s="254" t="str">
        <f t="shared" ca="1" si="67"/>
        <v/>
      </c>
      <c r="B439" s="255" t="str">
        <f t="shared" ca="1" si="68"/>
        <v/>
      </c>
      <c r="C439" s="256" t="str">
        <f t="shared" ca="1" si="69"/>
        <v/>
      </c>
      <c r="D439" s="257" t="str">
        <f t="shared" ca="1" si="70"/>
        <v/>
      </c>
      <c r="E439" s="808" t="str">
        <f t="shared" ca="1" si="71"/>
        <v/>
      </c>
      <c r="F439" s="253" t="str">
        <f t="shared" ca="1" si="72"/>
        <v/>
      </c>
      <c r="G439" s="257" t="str">
        <f t="shared" ca="1" si="73"/>
        <v/>
      </c>
      <c r="H439" s="257" t="str">
        <f t="shared" ca="1" si="74"/>
        <v/>
      </c>
      <c r="I439" s="220" t="str">
        <f t="shared" ca="1" si="75"/>
        <v/>
      </c>
    </row>
    <row r="440" spans="1:9" x14ac:dyDescent="0.25">
      <c r="A440" s="254" t="str">
        <f t="shared" ca="1" si="67"/>
        <v/>
      </c>
      <c r="B440" s="255" t="str">
        <f t="shared" ca="1" si="68"/>
        <v/>
      </c>
      <c r="C440" s="256" t="str">
        <f t="shared" ca="1" si="69"/>
        <v/>
      </c>
      <c r="D440" s="257" t="str">
        <f t="shared" ca="1" si="70"/>
        <v/>
      </c>
      <c r="E440" s="808" t="str">
        <f t="shared" ca="1" si="71"/>
        <v/>
      </c>
      <c r="F440" s="253" t="str">
        <f t="shared" ca="1" si="72"/>
        <v/>
      </c>
      <c r="G440" s="257" t="str">
        <f t="shared" ca="1" si="73"/>
        <v/>
      </c>
      <c r="H440" s="257" t="str">
        <f t="shared" ca="1" si="74"/>
        <v/>
      </c>
      <c r="I440" s="220" t="str">
        <f t="shared" ca="1" si="75"/>
        <v/>
      </c>
    </row>
    <row r="441" spans="1:9" x14ac:dyDescent="0.25">
      <c r="A441" s="254" t="str">
        <f t="shared" ca="1" si="67"/>
        <v/>
      </c>
      <c r="B441" s="255" t="str">
        <f t="shared" ca="1" si="68"/>
        <v/>
      </c>
      <c r="C441" s="256" t="str">
        <f t="shared" ca="1" si="69"/>
        <v/>
      </c>
      <c r="D441" s="257" t="str">
        <f t="shared" ca="1" si="70"/>
        <v/>
      </c>
      <c r="E441" s="808" t="str">
        <f t="shared" ca="1" si="71"/>
        <v/>
      </c>
      <c r="F441" s="253" t="str">
        <f t="shared" ca="1" si="72"/>
        <v/>
      </c>
      <c r="G441" s="257" t="str">
        <f t="shared" ca="1" si="73"/>
        <v/>
      </c>
      <c r="H441" s="257" t="str">
        <f t="shared" ca="1" si="74"/>
        <v/>
      </c>
      <c r="I441" s="220" t="str">
        <f t="shared" ca="1" si="75"/>
        <v/>
      </c>
    </row>
    <row r="442" spans="1:9" x14ac:dyDescent="0.25">
      <c r="A442" s="254" t="str">
        <f t="shared" ca="1" si="67"/>
        <v/>
      </c>
      <c r="B442" s="255" t="str">
        <f t="shared" ca="1" si="68"/>
        <v/>
      </c>
      <c r="C442" s="256" t="str">
        <f t="shared" ca="1" si="69"/>
        <v/>
      </c>
      <c r="D442" s="257" t="str">
        <f t="shared" ca="1" si="70"/>
        <v/>
      </c>
      <c r="E442" s="808" t="str">
        <f t="shared" ca="1" si="71"/>
        <v/>
      </c>
      <c r="F442" s="253" t="str">
        <f t="shared" ca="1" si="72"/>
        <v/>
      </c>
      <c r="G442" s="257" t="str">
        <f t="shared" ca="1" si="73"/>
        <v/>
      </c>
      <c r="H442" s="257" t="str">
        <f t="shared" ca="1" si="74"/>
        <v/>
      </c>
      <c r="I442" s="220" t="str">
        <f t="shared" ca="1" si="75"/>
        <v/>
      </c>
    </row>
    <row r="443" spans="1:9" x14ac:dyDescent="0.25">
      <c r="A443" s="254" t="str">
        <f t="shared" ca="1" si="67"/>
        <v/>
      </c>
      <c r="B443" s="255" t="str">
        <f t="shared" ca="1" si="68"/>
        <v/>
      </c>
      <c r="C443" s="256" t="str">
        <f t="shared" ca="1" si="69"/>
        <v/>
      </c>
      <c r="D443" s="257" t="str">
        <f t="shared" ca="1" si="70"/>
        <v/>
      </c>
      <c r="E443" s="808" t="str">
        <f t="shared" ca="1" si="71"/>
        <v/>
      </c>
      <c r="F443" s="253" t="str">
        <f t="shared" ca="1" si="72"/>
        <v/>
      </c>
      <c r="G443" s="257" t="str">
        <f t="shared" ca="1" si="73"/>
        <v/>
      </c>
      <c r="H443" s="257" t="str">
        <f t="shared" ca="1" si="74"/>
        <v/>
      </c>
      <c r="I443" s="220" t="str">
        <f t="shared" ca="1" si="75"/>
        <v/>
      </c>
    </row>
    <row r="444" spans="1:9" x14ac:dyDescent="0.25">
      <c r="A444" s="254" t="str">
        <f t="shared" ca="1" si="67"/>
        <v/>
      </c>
      <c r="B444" s="255" t="str">
        <f t="shared" ca="1" si="68"/>
        <v/>
      </c>
      <c r="C444" s="256" t="str">
        <f t="shared" ca="1" si="69"/>
        <v/>
      </c>
      <c r="D444" s="257" t="str">
        <f t="shared" ca="1" si="70"/>
        <v/>
      </c>
      <c r="E444" s="808" t="str">
        <f t="shared" ca="1" si="71"/>
        <v/>
      </c>
      <c r="F444" s="253" t="str">
        <f t="shared" ca="1" si="72"/>
        <v/>
      </c>
      <c r="G444" s="257" t="str">
        <f t="shared" ca="1" si="73"/>
        <v/>
      </c>
      <c r="H444" s="257" t="str">
        <f t="shared" ca="1" si="74"/>
        <v/>
      </c>
      <c r="I444" s="220" t="str">
        <f t="shared" ca="1" si="75"/>
        <v/>
      </c>
    </row>
    <row r="445" spans="1:9" x14ac:dyDescent="0.25">
      <c r="A445" s="254" t="str">
        <f t="shared" ca="1" si="67"/>
        <v/>
      </c>
      <c r="B445" s="255" t="str">
        <f t="shared" ca="1" si="68"/>
        <v/>
      </c>
      <c r="C445" s="256" t="str">
        <f t="shared" ca="1" si="69"/>
        <v/>
      </c>
      <c r="D445" s="257" t="str">
        <f t="shared" ca="1" si="70"/>
        <v/>
      </c>
      <c r="E445" s="808" t="str">
        <f t="shared" ca="1" si="71"/>
        <v/>
      </c>
      <c r="F445" s="253" t="str">
        <f t="shared" ca="1" si="72"/>
        <v/>
      </c>
      <c r="G445" s="257" t="str">
        <f t="shared" ca="1" si="73"/>
        <v/>
      </c>
      <c r="H445" s="257" t="str">
        <f t="shared" ca="1" si="74"/>
        <v/>
      </c>
      <c r="I445" s="220" t="str">
        <f t="shared" ca="1" si="75"/>
        <v/>
      </c>
    </row>
    <row r="446" spans="1:9" x14ac:dyDescent="0.25">
      <c r="A446" s="254" t="str">
        <f t="shared" ca="1" si="67"/>
        <v/>
      </c>
      <c r="B446" s="255" t="str">
        <f t="shared" ca="1" si="68"/>
        <v/>
      </c>
      <c r="C446" s="256" t="str">
        <f t="shared" ca="1" si="69"/>
        <v/>
      </c>
      <c r="D446" s="257" t="str">
        <f t="shared" ca="1" si="70"/>
        <v/>
      </c>
      <c r="E446" s="808" t="str">
        <f t="shared" ca="1" si="71"/>
        <v/>
      </c>
      <c r="F446" s="253" t="str">
        <f t="shared" ca="1" si="72"/>
        <v/>
      </c>
      <c r="G446" s="257" t="str">
        <f t="shared" ca="1" si="73"/>
        <v/>
      </c>
      <c r="H446" s="257" t="str">
        <f t="shared" ca="1" si="74"/>
        <v/>
      </c>
      <c r="I446" s="220" t="str">
        <f t="shared" ca="1" si="75"/>
        <v/>
      </c>
    </row>
    <row r="447" spans="1:9" x14ac:dyDescent="0.25">
      <c r="A447" s="254" t="str">
        <f t="shared" ca="1" si="67"/>
        <v/>
      </c>
      <c r="B447" s="255" t="str">
        <f t="shared" ca="1" si="68"/>
        <v/>
      </c>
      <c r="C447" s="256" t="str">
        <f t="shared" ca="1" si="69"/>
        <v/>
      </c>
      <c r="D447" s="257" t="str">
        <f t="shared" ca="1" si="70"/>
        <v/>
      </c>
      <c r="E447" s="808" t="str">
        <f t="shared" ca="1" si="71"/>
        <v/>
      </c>
      <c r="F447" s="253" t="str">
        <f t="shared" ca="1" si="72"/>
        <v/>
      </c>
      <c r="G447" s="257" t="str">
        <f t="shared" ca="1" si="73"/>
        <v/>
      </c>
      <c r="H447" s="257" t="str">
        <f t="shared" ca="1" si="74"/>
        <v/>
      </c>
      <c r="I447" s="220" t="str">
        <f t="shared" ca="1" si="75"/>
        <v/>
      </c>
    </row>
    <row r="448" spans="1:9" x14ac:dyDescent="0.25">
      <c r="A448" s="254" t="str">
        <f t="shared" ca="1" si="67"/>
        <v/>
      </c>
      <c r="B448" s="255" t="str">
        <f t="shared" ca="1" si="68"/>
        <v/>
      </c>
      <c r="C448" s="256" t="str">
        <f t="shared" ca="1" si="69"/>
        <v/>
      </c>
      <c r="D448" s="257" t="str">
        <f t="shared" ca="1" si="70"/>
        <v/>
      </c>
      <c r="E448" s="808" t="str">
        <f t="shared" ca="1" si="71"/>
        <v/>
      </c>
      <c r="F448" s="253" t="str">
        <f t="shared" ca="1" si="72"/>
        <v/>
      </c>
      <c r="G448" s="257" t="str">
        <f t="shared" ca="1" si="73"/>
        <v/>
      </c>
      <c r="H448" s="257" t="str">
        <f t="shared" ca="1" si="74"/>
        <v/>
      </c>
      <c r="I448" s="220" t="str">
        <f t="shared" ca="1" si="75"/>
        <v/>
      </c>
    </row>
    <row r="449" spans="1:9" x14ac:dyDescent="0.25">
      <c r="A449" s="254" t="str">
        <f t="shared" ca="1" si="67"/>
        <v/>
      </c>
      <c r="B449" s="255" t="str">
        <f t="shared" ca="1" si="68"/>
        <v/>
      </c>
      <c r="C449" s="256" t="str">
        <f t="shared" ca="1" si="69"/>
        <v/>
      </c>
      <c r="D449" s="257" t="str">
        <f t="shared" ca="1" si="70"/>
        <v/>
      </c>
      <c r="E449" s="808" t="str">
        <f t="shared" ca="1" si="71"/>
        <v/>
      </c>
      <c r="F449" s="253" t="str">
        <f t="shared" ca="1" si="72"/>
        <v/>
      </c>
      <c r="G449" s="257" t="str">
        <f t="shared" ca="1" si="73"/>
        <v/>
      </c>
      <c r="H449" s="257" t="str">
        <f t="shared" ca="1" si="74"/>
        <v/>
      </c>
      <c r="I449" s="220" t="str">
        <f t="shared" ca="1" si="75"/>
        <v/>
      </c>
    </row>
    <row r="450" spans="1:9" x14ac:dyDescent="0.25">
      <c r="A450" s="254" t="str">
        <f t="shared" ref="A450:A513" ca="1" si="76">IF(OR(H449&lt;=0,H449=""),"",OFFSET(A450,-1,0,1,1)+1)</f>
        <v/>
      </c>
      <c r="B450" s="255" t="str">
        <f t="shared" ref="B450:B513" ca="1" si="77">IF(A450&lt;$H$11+1,DATE(YEAR(B449),MONTH(B449)+3,1),"")</f>
        <v/>
      </c>
      <c r="C450" s="256" t="str">
        <f t="shared" ref="C450:C513" ca="1" si="78">IF(OR(A450=$H$11,A450=$H$14),G449+D450+E450,IF(B450="","",-$D$14))</f>
        <v/>
      </c>
      <c r="D450" s="257" t="str">
        <f t="shared" ref="D450:D513" ca="1" si="79">IF(B450="","",ROUND((B450-B449)*(E450/$D$13+$H$10*($I$10))*G449,2))</f>
        <v/>
      </c>
      <c r="E450" s="808" t="str">
        <f t="shared" ref="E450:E513" ca="1" si="80">IF(B450="","",ROUND((B450-B449)*($H$10*(1-$I$10))*G449,2))</f>
        <v/>
      </c>
      <c r="F450" s="253" t="str">
        <f t="shared" ref="F450:F513" ca="1" si="81">IF(B450="","",MAX(C450-D450,0))</f>
        <v/>
      </c>
      <c r="G450" s="257" t="str">
        <f t="shared" ref="G450:G513" ca="1" si="82">IF(B450="","",-(C450-D450)+G449)</f>
        <v/>
      </c>
      <c r="H450" s="257" t="str">
        <f t="shared" ref="H450:H513" ca="1" si="83">IF(B450="","",G450)</f>
        <v/>
      </c>
      <c r="I450" s="220" t="str">
        <f t="shared" ref="I450:I513" ca="1" si="84">IF(B450="","",YEAR(B450))</f>
        <v/>
      </c>
    </row>
    <row r="451" spans="1:9" x14ac:dyDescent="0.25">
      <c r="A451" s="254" t="str">
        <f t="shared" ca="1" si="76"/>
        <v/>
      </c>
      <c r="B451" s="255" t="str">
        <f t="shared" ca="1" si="77"/>
        <v/>
      </c>
      <c r="C451" s="256" t="str">
        <f t="shared" ca="1" si="78"/>
        <v/>
      </c>
      <c r="D451" s="257" t="str">
        <f t="shared" ca="1" si="79"/>
        <v/>
      </c>
      <c r="E451" s="808" t="str">
        <f t="shared" ca="1" si="80"/>
        <v/>
      </c>
      <c r="F451" s="253" t="str">
        <f t="shared" ca="1" si="81"/>
        <v/>
      </c>
      <c r="G451" s="257" t="str">
        <f t="shared" ca="1" si="82"/>
        <v/>
      </c>
      <c r="H451" s="257" t="str">
        <f t="shared" ca="1" si="83"/>
        <v/>
      </c>
      <c r="I451" s="220" t="str">
        <f t="shared" ca="1" si="84"/>
        <v/>
      </c>
    </row>
    <row r="452" spans="1:9" x14ac:dyDescent="0.25">
      <c r="A452" s="254" t="str">
        <f t="shared" ca="1" si="76"/>
        <v/>
      </c>
      <c r="B452" s="255" t="str">
        <f t="shared" ca="1" si="77"/>
        <v/>
      </c>
      <c r="C452" s="256" t="str">
        <f t="shared" ca="1" si="78"/>
        <v/>
      </c>
      <c r="D452" s="257" t="str">
        <f t="shared" ca="1" si="79"/>
        <v/>
      </c>
      <c r="E452" s="808" t="str">
        <f t="shared" ca="1" si="80"/>
        <v/>
      </c>
      <c r="F452" s="253" t="str">
        <f t="shared" ca="1" si="81"/>
        <v/>
      </c>
      <c r="G452" s="257" t="str">
        <f t="shared" ca="1" si="82"/>
        <v/>
      </c>
      <c r="H452" s="257" t="str">
        <f t="shared" ca="1" si="83"/>
        <v/>
      </c>
      <c r="I452" s="220" t="str">
        <f t="shared" ca="1" si="84"/>
        <v/>
      </c>
    </row>
    <row r="453" spans="1:9" x14ac:dyDescent="0.25">
      <c r="A453" s="254" t="str">
        <f t="shared" ca="1" si="76"/>
        <v/>
      </c>
      <c r="B453" s="255" t="str">
        <f t="shared" ca="1" si="77"/>
        <v/>
      </c>
      <c r="C453" s="256" t="str">
        <f t="shared" ca="1" si="78"/>
        <v/>
      </c>
      <c r="D453" s="257" t="str">
        <f t="shared" ca="1" si="79"/>
        <v/>
      </c>
      <c r="E453" s="808" t="str">
        <f t="shared" ca="1" si="80"/>
        <v/>
      </c>
      <c r="F453" s="253" t="str">
        <f t="shared" ca="1" si="81"/>
        <v/>
      </c>
      <c r="G453" s="257" t="str">
        <f t="shared" ca="1" si="82"/>
        <v/>
      </c>
      <c r="H453" s="257" t="str">
        <f t="shared" ca="1" si="83"/>
        <v/>
      </c>
      <c r="I453" s="220" t="str">
        <f t="shared" ca="1" si="84"/>
        <v/>
      </c>
    </row>
    <row r="454" spans="1:9" x14ac:dyDescent="0.25">
      <c r="A454" s="254" t="str">
        <f t="shared" ca="1" si="76"/>
        <v/>
      </c>
      <c r="B454" s="255" t="str">
        <f t="shared" ca="1" si="77"/>
        <v/>
      </c>
      <c r="C454" s="256" t="str">
        <f t="shared" ca="1" si="78"/>
        <v/>
      </c>
      <c r="D454" s="257" t="str">
        <f t="shared" ca="1" si="79"/>
        <v/>
      </c>
      <c r="E454" s="808" t="str">
        <f t="shared" ca="1" si="80"/>
        <v/>
      </c>
      <c r="F454" s="253" t="str">
        <f t="shared" ca="1" si="81"/>
        <v/>
      </c>
      <c r="G454" s="257" t="str">
        <f t="shared" ca="1" si="82"/>
        <v/>
      </c>
      <c r="H454" s="257" t="str">
        <f t="shared" ca="1" si="83"/>
        <v/>
      </c>
      <c r="I454" s="220" t="str">
        <f t="shared" ca="1" si="84"/>
        <v/>
      </c>
    </row>
    <row r="455" spans="1:9" x14ac:dyDescent="0.25">
      <c r="A455" s="254" t="str">
        <f t="shared" ca="1" si="76"/>
        <v/>
      </c>
      <c r="B455" s="255" t="str">
        <f t="shared" ca="1" si="77"/>
        <v/>
      </c>
      <c r="C455" s="256" t="str">
        <f t="shared" ca="1" si="78"/>
        <v/>
      </c>
      <c r="D455" s="257" t="str">
        <f t="shared" ca="1" si="79"/>
        <v/>
      </c>
      <c r="E455" s="808" t="str">
        <f t="shared" ca="1" si="80"/>
        <v/>
      </c>
      <c r="F455" s="253" t="str">
        <f t="shared" ca="1" si="81"/>
        <v/>
      </c>
      <c r="G455" s="257" t="str">
        <f t="shared" ca="1" si="82"/>
        <v/>
      </c>
      <c r="H455" s="257" t="str">
        <f t="shared" ca="1" si="83"/>
        <v/>
      </c>
      <c r="I455" s="220" t="str">
        <f t="shared" ca="1" si="84"/>
        <v/>
      </c>
    </row>
    <row r="456" spans="1:9" x14ac:dyDescent="0.25">
      <c r="A456" s="254" t="str">
        <f t="shared" ca="1" si="76"/>
        <v/>
      </c>
      <c r="B456" s="255" t="str">
        <f t="shared" ca="1" si="77"/>
        <v/>
      </c>
      <c r="C456" s="256" t="str">
        <f t="shared" ca="1" si="78"/>
        <v/>
      </c>
      <c r="D456" s="257" t="str">
        <f t="shared" ca="1" si="79"/>
        <v/>
      </c>
      <c r="E456" s="808" t="str">
        <f t="shared" ca="1" si="80"/>
        <v/>
      </c>
      <c r="F456" s="253" t="str">
        <f t="shared" ca="1" si="81"/>
        <v/>
      </c>
      <c r="G456" s="257" t="str">
        <f t="shared" ca="1" si="82"/>
        <v/>
      </c>
      <c r="H456" s="257" t="str">
        <f t="shared" ca="1" si="83"/>
        <v/>
      </c>
      <c r="I456" s="220" t="str">
        <f t="shared" ca="1" si="84"/>
        <v/>
      </c>
    </row>
    <row r="457" spans="1:9" x14ac:dyDescent="0.25">
      <c r="A457" s="254" t="str">
        <f t="shared" ca="1" si="76"/>
        <v/>
      </c>
      <c r="B457" s="255" t="str">
        <f t="shared" ca="1" si="77"/>
        <v/>
      </c>
      <c r="C457" s="256" t="str">
        <f t="shared" ca="1" si="78"/>
        <v/>
      </c>
      <c r="D457" s="257" t="str">
        <f t="shared" ca="1" si="79"/>
        <v/>
      </c>
      <c r="E457" s="808" t="str">
        <f t="shared" ca="1" si="80"/>
        <v/>
      </c>
      <c r="F457" s="253" t="str">
        <f t="shared" ca="1" si="81"/>
        <v/>
      </c>
      <c r="G457" s="257" t="str">
        <f t="shared" ca="1" si="82"/>
        <v/>
      </c>
      <c r="H457" s="257" t="str">
        <f t="shared" ca="1" si="83"/>
        <v/>
      </c>
      <c r="I457" s="220" t="str">
        <f t="shared" ca="1" si="84"/>
        <v/>
      </c>
    </row>
    <row r="458" spans="1:9" x14ac:dyDescent="0.25">
      <c r="A458" s="254" t="str">
        <f t="shared" ca="1" si="76"/>
        <v/>
      </c>
      <c r="B458" s="255" t="str">
        <f t="shared" ca="1" si="77"/>
        <v/>
      </c>
      <c r="C458" s="256" t="str">
        <f t="shared" ca="1" si="78"/>
        <v/>
      </c>
      <c r="D458" s="257" t="str">
        <f t="shared" ca="1" si="79"/>
        <v/>
      </c>
      <c r="E458" s="808" t="str">
        <f t="shared" ca="1" si="80"/>
        <v/>
      </c>
      <c r="F458" s="253" t="str">
        <f t="shared" ca="1" si="81"/>
        <v/>
      </c>
      <c r="G458" s="257" t="str">
        <f t="shared" ca="1" si="82"/>
        <v/>
      </c>
      <c r="H458" s="257" t="str">
        <f t="shared" ca="1" si="83"/>
        <v/>
      </c>
      <c r="I458" s="220" t="str">
        <f t="shared" ca="1" si="84"/>
        <v/>
      </c>
    </row>
    <row r="459" spans="1:9" x14ac:dyDescent="0.25">
      <c r="A459" s="254" t="str">
        <f t="shared" ca="1" si="76"/>
        <v/>
      </c>
      <c r="B459" s="255" t="str">
        <f t="shared" ca="1" si="77"/>
        <v/>
      </c>
      <c r="C459" s="256" t="str">
        <f t="shared" ca="1" si="78"/>
        <v/>
      </c>
      <c r="D459" s="257" t="str">
        <f t="shared" ca="1" si="79"/>
        <v/>
      </c>
      <c r="E459" s="808" t="str">
        <f t="shared" ca="1" si="80"/>
        <v/>
      </c>
      <c r="F459" s="253" t="str">
        <f t="shared" ca="1" si="81"/>
        <v/>
      </c>
      <c r="G459" s="257" t="str">
        <f t="shared" ca="1" si="82"/>
        <v/>
      </c>
      <c r="H459" s="257" t="str">
        <f t="shared" ca="1" si="83"/>
        <v/>
      </c>
      <c r="I459" s="220" t="str">
        <f t="shared" ca="1" si="84"/>
        <v/>
      </c>
    </row>
    <row r="460" spans="1:9" x14ac:dyDescent="0.25">
      <c r="A460" s="254" t="str">
        <f t="shared" ca="1" si="76"/>
        <v/>
      </c>
      <c r="B460" s="255" t="str">
        <f t="shared" ca="1" si="77"/>
        <v/>
      </c>
      <c r="C460" s="256" t="str">
        <f t="shared" ca="1" si="78"/>
        <v/>
      </c>
      <c r="D460" s="257" t="str">
        <f t="shared" ca="1" si="79"/>
        <v/>
      </c>
      <c r="E460" s="808" t="str">
        <f t="shared" ca="1" si="80"/>
        <v/>
      </c>
      <c r="F460" s="253" t="str">
        <f t="shared" ca="1" si="81"/>
        <v/>
      </c>
      <c r="G460" s="257" t="str">
        <f t="shared" ca="1" si="82"/>
        <v/>
      </c>
      <c r="H460" s="257" t="str">
        <f t="shared" ca="1" si="83"/>
        <v/>
      </c>
      <c r="I460" s="220" t="str">
        <f t="shared" ca="1" si="84"/>
        <v/>
      </c>
    </row>
    <row r="461" spans="1:9" x14ac:dyDescent="0.25">
      <c r="A461" s="254" t="str">
        <f t="shared" ca="1" si="76"/>
        <v/>
      </c>
      <c r="B461" s="255" t="str">
        <f t="shared" ca="1" si="77"/>
        <v/>
      </c>
      <c r="C461" s="256" t="str">
        <f t="shared" ca="1" si="78"/>
        <v/>
      </c>
      <c r="D461" s="257" t="str">
        <f t="shared" ca="1" si="79"/>
        <v/>
      </c>
      <c r="E461" s="808" t="str">
        <f t="shared" ca="1" si="80"/>
        <v/>
      </c>
      <c r="F461" s="253" t="str">
        <f t="shared" ca="1" si="81"/>
        <v/>
      </c>
      <c r="G461" s="257" t="str">
        <f t="shared" ca="1" si="82"/>
        <v/>
      </c>
      <c r="H461" s="257" t="str">
        <f t="shared" ca="1" si="83"/>
        <v/>
      </c>
      <c r="I461" s="220" t="str">
        <f t="shared" ca="1" si="84"/>
        <v/>
      </c>
    </row>
    <row r="462" spans="1:9" x14ac:dyDescent="0.25">
      <c r="A462" s="254" t="str">
        <f t="shared" ca="1" si="76"/>
        <v/>
      </c>
      <c r="B462" s="255" t="str">
        <f t="shared" ca="1" si="77"/>
        <v/>
      </c>
      <c r="C462" s="256" t="str">
        <f t="shared" ca="1" si="78"/>
        <v/>
      </c>
      <c r="D462" s="257" t="str">
        <f t="shared" ca="1" si="79"/>
        <v/>
      </c>
      <c r="E462" s="808" t="str">
        <f t="shared" ca="1" si="80"/>
        <v/>
      </c>
      <c r="F462" s="253" t="str">
        <f t="shared" ca="1" si="81"/>
        <v/>
      </c>
      <c r="G462" s="257" t="str">
        <f t="shared" ca="1" si="82"/>
        <v/>
      </c>
      <c r="H462" s="257" t="str">
        <f t="shared" ca="1" si="83"/>
        <v/>
      </c>
      <c r="I462" s="220" t="str">
        <f t="shared" ca="1" si="84"/>
        <v/>
      </c>
    </row>
    <row r="463" spans="1:9" x14ac:dyDescent="0.25">
      <c r="A463" s="254" t="str">
        <f t="shared" ca="1" si="76"/>
        <v/>
      </c>
      <c r="B463" s="255" t="str">
        <f t="shared" ca="1" si="77"/>
        <v/>
      </c>
      <c r="C463" s="256" t="str">
        <f t="shared" ca="1" si="78"/>
        <v/>
      </c>
      <c r="D463" s="257" t="str">
        <f t="shared" ca="1" si="79"/>
        <v/>
      </c>
      <c r="E463" s="808" t="str">
        <f t="shared" ca="1" si="80"/>
        <v/>
      </c>
      <c r="F463" s="253" t="str">
        <f t="shared" ca="1" si="81"/>
        <v/>
      </c>
      <c r="G463" s="257" t="str">
        <f t="shared" ca="1" si="82"/>
        <v/>
      </c>
      <c r="H463" s="257" t="str">
        <f t="shared" ca="1" si="83"/>
        <v/>
      </c>
      <c r="I463" s="220" t="str">
        <f t="shared" ca="1" si="84"/>
        <v/>
      </c>
    </row>
    <row r="464" spans="1:9" x14ac:dyDescent="0.25">
      <c r="A464" s="254" t="str">
        <f t="shared" ca="1" si="76"/>
        <v/>
      </c>
      <c r="B464" s="255" t="str">
        <f t="shared" ca="1" si="77"/>
        <v/>
      </c>
      <c r="C464" s="256" t="str">
        <f t="shared" ca="1" si="78"/>
        <v/>
      </c>
      <c r="D464" s="257" t="str">
        <f t="shared" ca="1" si="79"/>
        <v/>
      </c>
      <c r="E464" s="808" t="str">
        <f t="shared" ca="1" si="80"/>
        <v/>
      </c>
      <c r="F464" s="253" t="str">
        <f t="shared" ca="1" si="81"/>
        <v/>
      </c>
      <c r="G464" s="257" t="str">
        <f t="shared" ca="1" si="82"/>
        <v/>
      </c>
      <c r="H464" s="257" t="str">
        <f t="shared" ca="1" si="83"/>
        <v/>
      </c>
      <c r="I464" s="220" t="str">
        <f t="shared" ca="1" si="84"/>
        <v/>
      </c>
    </row>
    <row r="465" spans="1:9" x14ac:dyDescent="0.25">
      <c r="A465" s="254" t="str">
        <f t="shared" ca="1" si="76"/>
        <v/>
      </c>
      <c r="B465" s="255" t="str">
        <f t="shared" ca="1" si="77"/>
        <v/>
      </c>
      <c r="C465" s="256" t="str">
        <f t="shared" ca="1" si="78"/>
        <v/>
      </c>
      <c r="D465" s="257" t="str">
        <f t="shared" ca="1" si="79"/>
        <v/>
      </c>
      <c r="E465" s="808" t="str">
        <f t="shared" ca="1" si="80"/>
        <v/>
      </c>
      <c r="F465" s="253" t="str">
        <f t="shared" ca="1" si="81"/>
        <v/>
      </c>
      <c r="G465" s="257" t="str">
        <f t="shared" ca="1" si="82"/>
        <v/>
      </c>
      <c r="H465" s="257" t="str">
        <f t="shared" ca="1" si="83"/>
        <v/>
      </c>
      <c r="I465" s="220" t="str">
        <f t="shared" ca="1" si="84"/>
        <v/>
      </c>
    </row>
    <row r="466" spans="1:9" x14ac:dyDescent="0.25">
      <c r="A466" s="254" t="str">
        <f t="shared" ca="1" si="76"/>
        <v/>
      </c>
      <c r="B466" s="255" t="str">
        <f t="shared" ca="1" si="77"/>
        <v/>
      </c>
      <c r="C466" s="256" t="str">
        <f t="shared" ca="1" si="78"/>
        <v/>
      </c>
      <c r="D466" s="257" t="str">
        <f t="shared" ca="1" si="79"/>
        <v/>
      </c>
      <c r="E466" s="808" t="str">
        <f t="shared" ca="1" si="80"/>
        <v/>
      </c>
      <c r="F466" s="253" t="str">
        <f t="shared" ca="1" si="81"/>
        <v/>
      </c>
      <c r="G466" s="257" t="str">
        <f t="shared" ca="1" si="82"/>
        <v/>
      </c>
      <c r="H466" s="257" t="str">
        <f t="shared" ca="1" si="83"/>
        <v/>
      </c>
      <c r="I466" s="220" t="str">
        <f t="shared" ca="1" si="84"/>
        <v/>
      </c>
    </row>
    <row r="467" spans="1:9" x14ac:dyDescent="0.25">
      <c r="A467" s="254" t="str">
        <f t="shared" ca="1" si="76"/>
        <v/>
      </c>
      <c r="B467" s="255" t="str">
        <f t="shared" ca="1" si="77"/>
        <v/>
      </c>
      <c r="C467" s="256" t="str">
        <f t="shared" ca="1" si="78"/>
        <v/>
      </c>
      <c r="D467" s="257" t="str">
        <f t="shared" ca="1" si="79"/>
        <v/>
      </c>
      <c r="E467" s="808" t="str">
        <f t="shared" ca="1" si="80"/>
        <v/>
      </c>
      <c r="F467" s="253" t="str">
        <f t="shared" ca="1" si="81"/>
        <v/>
      </c>
      <c r="G467" s="257" t="str">
        <f t="shared" ca="1" si="82"/>
        <v/>
      </c>
      <c r="H467" s="257" t="str">
        <f t="shared" ca="1" si="83"/>
        <v/>
      </c>
      <c r="I467" s="220" t="str">
        <f t="shared" ca="1" si="84"/>
        <v/>
      </c>
    </row>
    <row r="468" spans="1:9" x14ac:dyDescent="0.25">
      <c r="A468" s="254" t="str">
        <f t="shared" ca="1" si="76"/>
        <v/>
      </c>
      <c r="B468" s="255" t="str">
        <f t="shared" ca="1" si="77"/>
        <v/>
      </c>
      <c r="C468" s="256" t="str">
        <f t="shared" ca="1" si="78"/>
        <v/>
      </c>
      <c r="D468" s="257" t="str">
        <f t="shared" ca="1" si="79"/>
        <v/>
      </c>
      <c r="E468" s="808" t="str">
        <f t="shared" ca="1" si="80"/>
        <v/>
      </c>
      <c r="F468" s="253" t="str">
        <f t="shared" ca="1" si="81"/>
        <v/>
      </c>
      <c r="G468" s="257" t="str">
        <f t="shared" ca="1" si="82"/>
        <v/>
      </c>
      <c r="H468" s="257" t="str">
        <f t="shared" ca="1" si="83"/>
        <v/>
      </c>
      <c r="I468" s="220" t="str">
        <f t="shared" ca="1" si="84"/>
        <v/>
      </c>
    </row>
    <row r="469" spans="1:9" x14ac:dyDescent="0.25">
      <c r="A469" s="254" t="str">
        <f t="shared" ca="1" si="76"/>
        <v/>
      </c>
      <c r="B469" s="255" t="str">
        <f t="shared" ca="1" si="77"/>
        <v/>
      </c>
      <c r="C469" s="256" t="str">
        <f t="shared" ca="1" si="78"/>
        <v/>
      </c>
      <c r="D469" s="257" t="str">
        <f t="shared" ca="1" si="79"/>
        <v/>
      </c>
      <c r="E469" s="808" t="str">
        <f t="shared" ca="1" si="80"/>
        <v/>
      </c>
      <c r="F469" s="253" t="str">
        <f t="shared" ca="1" si="81"/>
        <v/>
      </c>
      <c r="G469" s="257" t="str">
        <f t="shared" ca="1" si="82"/>
        <v/>
      </c>
      <c r="H469" s="257" t="str">
        <f t="shared" ca="1" si="83"/>
        <v/>
      </c>
      <c r="I469" s="220" t="str">
        <f t="shared" ca="1" si="84"/>
        <v/>
      </c>
    </row>
    <row r="470" spans="1:9" x14ac:dyDescent="0.25">
      <c r="A470" s="254" t="str">
        <f t="shared" ca="1" si="76"/>
        <v/>
      </c>
      <c r="B470" s="255" t="str">
        <f t="shared" ca="1" si="77"/>
        <v/>
      </c>
      <c r="C470" s="256" t="str">
        <f t="shared" ca="1" si="78"/>
        <v/>
      </c>
      <c r="D470" s="257" t="str">
        <f t="shared" ca="1" si="79"/>
        <v/>
      </c>
      <c r="E470" s="808" t="str">
        <f t="shared" ca="1" si="80"/>
        <v/>
      </c>
      <c r="F470" s="253" t="str">
        <f t="shared" ca="1" si="81"/>
        <v/>
      </c>
      <c r="G470" s="257" t="str">
        <f t="shared" ca="1" si="82"/>
        <v/>
      </c>
      <c r="H470" s="257" t="str">
        <f t="shared" ca="1" si="83"/>
        <v/>
      </c>
      <c r="I470" s="220" t="str">
        <f t="shared" ca="1" si="84"/>
        <v/>
      </c>
    </row>
    <row r="471" spans="1:9" x14ac:dyDescent="0.25">
      <c r="A471" s="254" t="str">
        <f t="shared" ca="1" si="76"/>
        <v/>
      </c>
      <c r="B471" s="255" t="str">
        <f t="shared" ca="1" si="77"/>
        <v/>
      </c>
      <c r="C471" s="256" t="str">
        <f t="shared" ca="1" si="78"/>
        <v/>
      </c>
      <c r="D471" s="257" t="str">
        <f t="shared" ca="1" si="79"/>
        <v/>
      </c>
      <c r="E471" s="808" t="str">
        <f t="shared" ca="1" si="80"/>
        <v/>
      </c>
      <c r="F471" s="253" t="str">
        <f t="shared" ca="1" si="81"/>
        <v/>
      </c>
      <c r="G471" s="257" t="str">
        <f t="shared" ca="1" si="82"/>
        <v/>
      </c>
      <c r="H471" s="257" t="str">
        <f t="shared" ca="1" si="83"/>
        <v/>
      </c>
      <c r="I471" s="220" t="str">
        <f t="shared" ca="1" si="84"/>
        <v/>
      </c>
    </row>
    <row r="472" spans="1:9" x14ac:dyDescent="0.25">
      <c r="A472" s="254" t="str">
        <f t="shared" ca="1" si="76"/>
        <v/>
      </c>
      <c r="B472" s="255" t="str">
        <f t="shared" ca="1" si="77"/>
        <v/>
      </c>
      <c r="C472" s="256" t="str">
        <f t="shared" ca="1" si="78"/>
        <v/>
      </c>
      <c r="D472" s="257" t="str">
        <f t="shared" ca="1" si="79"/>
        <v/>
      </c>
      <c r="E472" s="808" t="str">
        <f t="shared" ca="1" si="80"/>
        <v/>
      </c>
      <c r="F472" s="253" t="str">
        <f t="shared" ca="1" si="81"/>
        <v/>
      </c>
      <c r="G472" s="257" t="str">
        <f t="shared" ca="1" si="82"/>
        <v/>
      </c>
      <c r="H472" s="257" t="str">
        <f t="shared" ca="1" si="83"/>
        <v/>
      </c>
      <c r="I472" s="220" t="str">
        <f t="shared" ca="1" si="84"/>
        <v/>
      </c>
    </row>
    <row r="473" spans="1:9" x14ac:dyDescent="0.25">
      <c r="A473" s="254" t="str">
        <f t="shared" ca="1" si="76"/>
        <v/>
      </c>
      <c r="B473" s="255" t="str">
        <f t="shared" ca="1" si="77"/>
        <v/>
      </c>
      <c r="C473" s="256" t="str">
        <f t="shared" ca="1" si="78"/>
        <v/>
      </c>
      <c r="D473" s="257" t="str">
        <f t="shared" ca="1" si="79"/>
        <v/>
      </c>
      <c r="E473" s="808" t="str">
        <f t="shared" ca="1" si="80"/>
        <v/>
      </c>
      <c r="F473" s="253" t="str">
        <f t="shared" ca="1" si="81"/>
        <v/>
      </c>
      <c r="G473" s="257" t="str">
        <f t="shared" ca="1" si="82"/>
        <v/>
      </c>
      <c r="H473" s="257" t="str">
        <f t="shared" ca="1" si="83"/>
        <v/>
      </c>
      <c r="I473" s="220" t="str">
        <f t="shared" ca="1" si="84"/>
        <v/>
      </c>
    </row>
    <row r="474" spans="1:9" x14ac:dyDescent="0.25">
      <c r="A474" s="254" t="str">
        <f t="shared" ca="1" si="76"/>
        <v/>
      </c>
      <c r="B474" s="255" t="str">
        <f t="shared" ca="1" si="77"/>
        <v/>
      </c>
      <c r="C474" s="256" t="str">
        <f t="shared" ca="1" si="78"/>
        <v/>
      </c>
      <c r="D474" s="257" t="str">
        <f t="shared" ca="1" si="79"/>
        <v/>
      </c>
      <c r="E474" s="808" t="str">
        <f t="shared" ca="1" si="80"/>
        <v/>
      </c>
      <c r="F474" s="253" t="str">
        <f t="shared" ca="1" si="81"/>
        <v/>
      </c>
      <c r="G474" s="257" t="str">
        <f t="shared" ca="1" si="82"/>
        <v/>
      </c>
      <c r="H474" s="257" t="str">
        <f t="shared" ca="1" si="83"/>
        <v/>
      </c>
      <c r="I474" s="220" t="str">
        <f t="shared" ca="1" si="84"/>
        <v/>
      </c>
    </row>
    <row r="475" spans="1:9" x14ac:dyDescent="0.25">
      <c r="A475" s="254" t="str">
        <f t="shared" ca="1" si="76"/>
        <v/>
      </c>
      <c r="B475" s="255" t="str">
        <f t="shared" ca="1" si="77"/>
        <v/>
      </c>
      <c r="C475" s="256" t="str">
        <f t="shared" ca="1" si="78"/>
        <v/>
      </c>
      <c r="D475" s="257" t="str">
        <f t="shared" ca="1" si="79"/>
        <v/>
      </c>
      <c r="E475" s="808" t="str">
        <f t="shared" ca="1" si="80"/>
        <v/>
      </c>
      <c r="F475" s="253" t="str">
        <f t="shared" ca="1" si="81"/>
        <v/>
      </c>
      <c r="G475" s="257" t="str">
        <f t="shared" ca="1" si="82"/>
        <v/>
      </c>
      <c r="H475" s="257" t="str">
        <f t="shared" ca="1" si="83"/>
        <v/>
      </c>
      <c r="I475" s="220" t="str">
        <f t="shared" ca="1" si="84"/>
        <v/>
      </c>
    </row>
    <row r="476" spans="1:9" x14ac:dyDescent="0.25">
      <c r="A476" s="254" t="str">
        <f t="shared" ca="1" si="76"/>
        <v/>
      </c>
      <c r="B476" s="255" t="str">
        <f t="shared" ca="1" si="77"/>
        <v/>
      </c>
      <c r="C476" s="256" t="str">
        <f t="shared" ca="1" si="78"/>
        <v/>
      </c>
      <c r="D476" s="257" t="str">
        <f t="shared" ca="1" si="79"/>
        <v/>
      </c>
      <c r="E476" s="808" t="str">
        <f t="shared" ca="1" si="80"/>
        <v/>
      </c>
      <c r="F476" s="253" t="str">
        <f t="shared" ca="1" si="81"/>
        <v/>
      </c>
      <c r="G476" s="257" t="str">
        <f t="shared" ca="1" si="82"/>
        <v/>
      </c>
      <c r="H476" s="257" t="str">
        <f t="shared" ca="1" si="83"/>
        <v/>
      </c>
      <c r="I476" s="220" t="str">
        <f t="shared" ca="1" si="84"/>
        <v/>
      </c>
    </row>
    <row r="477" spans="1:9" x14ac:dyDescent="0.25">
      <c r="A477" s="254" t="str">
        <f t="shared" ca="1" si="76"/>
        <v/>
      </c>
      <c r="B477" s="255" t="str">
        <f t="shared" ca="1" si="77"/>
        <v/>
      </c>
      <c r="C477" s="256" t="str">
        <f t="shared" ca="1" si="78"/>
        <v/>
      </c>
      <c r="D477" s="257" t="str">
        <f t="shared" ca="1" si="79"/>
        <v/>
      </c>
      <c r="E477" s="808" t="str">
        <f t="shared" ca="1" si="80"/>
        <v/>
      </c>
      <c r="F477" s="253" t="str">
        <f t="shared" ca="1" si="81"/>
        <v/>
      </c>
      <c r="G477" s="257" t="str">
        <f t="shared" ca="1" si="82"/>
        <v/>
      </c>
      <c r="H477" s="257" t="str">
        <f t="shared" ca="1" si="83"/>
        <v/>
      </c>
      <c r="I477" s="220" t="str">
        <f t="shared" ca="1" si="84"/>
        <v/>
      </c>
    </row>
    <row r="478" spans="1:9" x14ac:dyDescent="0.25">
      <c r="A478" s="254" t="str">
        <f t="shared" ca="1" si="76"/>
        <v/>
      </c>
      <c r="B478" s="255" t="str">
        <f t="shared" ca="1" si="77"/>
        <v/>
      </c>
      <c r="C478" s="256" t="str">
        <f t="shared" ca="1" si="78"/>
        <v/>
      </c>
      <c r="D478" s="257" t="str">
        <f t="shared" ca="1" si="79"/>
        <v/>
      </c>
      <c r="E478" s="808" t="str">
        <f t="shared" ca="1" si="80"/>
        <v/>
      </c>
      <c r="F478" s="253" t="str">
        <f t="shared" ca="1" si="81"/>
        <v/>
      </c>
      <c r="G478" s="257" t="str">
        <f t="shared" ca="1" si="82"/>
        <v/>
      </c>
      <c r="H478" s="257" t="str">
        <f t="shared" ca="1" si="83"/>
        <v/>
      </c>
      <c r="I478" s="220" t="str">
        <f t="shared" ca="1" si="84"/>
        <v/>
      </c>
    </row>
    <row r="479" spans="1:9" x14ac:dyDescent="0.25">
      <c r="A479" s="254" t="str">
        <f t="shared" ca="1" si="76"/>
        <v/>
      </c>
      <c r="B479" s="255" t="str">
        <f t="shared" ca="1" si="77"/>
        <v/>
      </c>
      <c r="C479" s="256" t="str">
        <f t="shared" ca="1" si="78"/>
        <v/>
      </c>
      <c r="D479" s="257" t="str">
        <f t="shared" ca="1" si="79"/>
        <v/>
      </c>
      <c r="E479" s="808" t="str">
        <f t="shared" ca="1" si="80"/>
        <v/>
      </c>
      <c r="F479" s="253" t="str">
        <f t="shared" ca="1" si="81"/>
        <v/>
      </c>
      <c r="G479" s="257" t="str">
        <f t="shared" ca="1" si="82"/>
        <v/>
      </c>
      <c r="H479" s="257" t="str">
        <f t="shared" ca="1" si="83"/>
        <v/>
      </c>
      <c r="I479" s="220" t="str">
        <f t="shared" ca="1" si="84"/>
        <v/>
      </c>
    </row>
    <row r="480" spans="1:9" x14ac:dyDescent="0.25">
      <c r="A480" s="254" t="str">
        <f t="shared" ca="1" si="76"/>
        <v/>
      </c>
      <c r="B480" s="255" t="str">
        <f t="shared" ca="1" si="77"/>
        <v/>
      </c>
      <c r="C480" s="256" t="str">
        <f t="shared" ca="1" si="78"/>
        <v/>
      </c>
      <c r="D480" s="257" t="str">
        <f t="shared" ca="1" si="79"/>
        <v/>
      </c>
      <c r="E480" s="808" t="str">
        <f t="shared" ca="1" si="80"/>
        <v/>
      </c>
      <c r="F480" s="253" t="str">
        <f t="shared" ca="1" si="81"/>
        <v/>
      </c>
      <c r="G480" s="257" t="str">
        <f t="shared" ca="1" si="82"/>
        <v/>
      </c>
      <c r="H480" s="257" t="str">
        <f t="shared" ca="1" si="83"/>
        <v/>
      </c>
      <c r="I480" s="220" t="str">
        <f t="shared" ca="1" si="84"/>
        <v/>
      </c>
    </row>
    <row r="481" spans="1:9" x14ac:dyDescent="0.25">
      <c r="A481" s="254" t="str">
        <f t="shared" ca="1" si="76"/>
        <v/>
      </c>
      <c r="B481" s="255" t="str">
        <f t="shared" ca="1" si="77"/>
        <v/>
      </c>
      <c r="C481" s="256" t="str">
        <f t="shared" ca="1" si="78"/>
        <v/>
      </c>
      <c r="D481" s="257" t="str">
        <f t="shared" ca="1" si="79"/>
        <v/>
      </c>
      <c r="E481" s="808" t="str">
        <f t="shared" ca="1" si="80"/>
        <v/>
      </c>
      <c r="F481" s="253" t="str">
        <f t="shared" ca="1" si="81"/>
        <v/>
      </c>
      <c r="G481" s="257" t="str">
        <f t="shared" ca="1" si="82"/>
        <v/>
      </c>
      <c r="H481" s="257" t="str">
        <f t="shared" ca="1" si="83"/>
        <v/>
      </c>
      <c r="I481" s="220" t="str">
        <f t="shared" ca="1" si="84"/>
        <v/>
      </c>
    </row>
    <row r="482" spans="1:9" x14ac:dyDescent="0.25">
      <c r="A482" s="254" t="str">
        <f t="shared" ca="1" si="76"/>
        <v/>
      </c>
      <c r="B482" s="255" t="str">
        <f t="shared" ca="1" si="77"/>
        <v/>
      </c>
      <c r="C482" s="256" t="str">
        <f t="shared" ca="1" si="78"/>
        <v/>
      </c>
      <c r="D482" s="257" t="str">
        <f t="shared" ca="1" si="79"/>
        <v/>
      </c>
      <c r="E482" s="808" t="str">
        <f t="shared" ca="1" si="80"/>
        <v/>
      </c>
      <c r="F482" s="253" t="str">
        <f t="shared" ca="1" si="81"/>
        <v/>
      </c>
      <c r="G482" s="257" t="str">
        <f t="shared" ca="1" si="82"/>
        <v/>
      </c>
      <c r="H482" s="257" t="str">
        <f t="shared" ca="1" si="83"/>
        <v/>
      </c>
      <c r="I482" s="220" t="str">
        <f t="shared" ca="1" si="84"/>
        <v/>
      </c>
    </row>
    <row r="483" spans="1:9" x14ac:dyDescent="0.25">
      <c r="A483" s="254" t="str">
        <f t="shared" ca="1" si="76"/>
        <v/>
      </c>
      <c r="B483" s="255" t="str">
        <f t="shared" ca="1" si="77"/>
        <v/>
      </c>
      <c r="C483" s="256" t="str">
        <f t="shared" ca="1" si="78"/>
        <v/>
      </c>
      <c r="D483" s="257" t="str">
        <f t="shared" ca="1" si="79"/>
        <v/>
      </c>
      <c r="E483" s="808" t="str">
        <f t="shared" ca="1" si="80"/>
        <v/>
      </c>
      <c r="F483" s="253" t="str">
        <f t="shared" ca="1" si="81"/>
        <v/>
      </c>
      <c r="G483" s="257" t="str">
        <f t="shared" ca="1" si="82"/>
        <v/>
      </c>
      <c r="H483" s="257" t="str">
        <f t="shared" ca="1" si="83"/>
        <v/>
      </c>
      <c r="I483" s="220" t="str">
        <f t="shared" ca="1" si="84"/>
        <v/>
      </c>
    </row>
    <row r="484" spans="1:9" x14ac:dyDescent="0.25">
      <c r="A484" s="254" t="str">
        <f t="shared" ca="1" si="76"/>
        <v/>
      </c>
      <c r="B484" s="255" t="str">
        <f t="shared" ca="1" si="77"/>
        <v/>
      </c>
      <c r="C484" s="256" t="str">
        <f t="shared" ca="1" si="78"/>
        <v/>
      </c>
      <c r="D484" s="257" t="str">
        <f t="shared" ca="1" si="79"/>
        <v/>
      </c>
      <c r="E484" s="808" t="str">
        <f t="shared" ca="1" si="80"/>
        <v/>
      </c>
      <c r="F484" s="253" t="str">
        <f t="shared" ca="1" si="81"/>
        <v/>
      </c>
      <c r="G484" s="257" t="str">
        <f t="shared" ca="1" si="82"/>
        <v/>
      </c>
      <c r="H484" s="257" t="str">
        <f t="shared" ca="1" si="83"/>
        <v/>
      </c>
      <c r="I484" s="220" t="str">
        <f t="shared" ca="1" si="84"/>
        <v/>
      </c>
    </row>
    <row r="485" spans="1:9" x14ac:dyDescent="0.25">
      <c r="A485" s="254" t="str">
        <f t="shared" ca="1" si="76"/>
        <v/>
      </c>
      <c r="B485" s="255" t="str">
        <f t="shared" ca="1" si="77"/>
        <v/>
      </c>
      <c r="C485" s="256" t="str">
        <f t="shared" ca="1" si="78"/>
        <v/>
      </c>
      <c r="D485" s="257" t="str">
        <f t="shared" ca="1" si="79"/>
        <v/>
      </c>
      <c r="E485" s="808" t="str">
        <f t="shared" ca="1" si="80"/>
        <v/>
      </c>
      <c r="F485" s="253" t="str">
        <f t="shared" ca="1" si="81"/>
        <v/>
      </c>
      <c r="G485" s="257" t="str">
        <f t="shared" ca="1" si="82"/>
        <v/>
      </c>
      <c r="H485" s="257" t="str">
        <f t="shared" ca="1" si="83"/>
        <v/>
      </c>
      <c r="I485" s="220" t="str">
        <f t="shared" ca="1" si="84"/>
        <v/>
      </c>
    </row>
    <row r="486" spans="1:9" x14ac:dyDescent="0.25">
      <c r="A486" s="254" t="str">
        <f t="shared" ca="1" si="76"/>
        <v/>
      </c>
      <c r="B486" s="255" t="str">
        <f t="shared" ca="1" si="77"/>
        <v/>
      </c>
      <c r="C486" s="256" t="str">
        <f t="shared" ca="1" si="78"/>
        <v/>
      </c>
      <c r="D486" s="257" t="str">
        <f t="shared" ca="1" si="79"/>
        <v/>
      </c>
      <c r="E486" s="808" t="str">
        <f t="shared" ca="1" si="80"/>
        <v/>
      </c>
      <c r="F486" s="253" t="str">
        <f t="shared" ca="1" si="81"/>
        <v/>
      </c>
      <c r="G486" s="257" t="str">
        <f t="shared" ca="1" si="82"/>
        <v/>
      </c>
      <c r="H486" s="257" t="str">
        <f t="shared" ca="1" si="83"/>
        <v/>
      </c>
      <c r="I486" s="220" t="str">
        <f t="shared" ca="1" si="84"/>
        <v/>
      </c>
    </row>
    <row r="487" spans="1:9" x14ac:dyDescent="0.25">
      <c r="A487" s="254" t="str">
        <f t="shared" ca="1" si="76"/>
        <v/>
      </c>
      <c r="B487" s="255" t="str">
        <f t="shared" ca="1" si="77"/>
        <v/>
      </c>
      <c r="C487" s="256" t="str">
        <f t="shared" ca="1" si="78"/>
        <v/>
      </c>
      <c r="D487" s="257" t="str">
        <f t="shared" ca="1" si="79"/>
        <v/>
      </c>
      <c r="E487" s="808" t="str">
        <f t="shared" ca="1" si="80"/>
        <v/>
      </c>
      <c r="F487" s="253" t="str">
        <f t="shared" ca="1" si="81"/>
        <v/>
      </c>
      <c r="G487" s="257" t="str">
        <f t="shared" ca="1" si="82"/>
        <v/>
      </c>
      <c r="H487" s="257" t="str">
        <f t="shared" ca="1" si="83"/>
        <v/>
      </c>
      <c r="I487" s="220" t="str">
        <f t="shared" ca="1" si="84"/>
        <v/>
      </c>
    </row>
    <row r="488" spans="1:9" x14ac:dyDescent="0.25">
      <c r="A488" s="254" t="str">
        <f t="shared" ca="1" si="76"/>
        <v/>
      </c>
      <c r="B488" s="255" t="str">
        <f t="shared" ca="1" si="77"/>
        <v/>
      </c>
      <c r="C488" s="256" t="str">
        <f t="shared" ca="1" si="78"/>
        <v/>
      </c>
      <c r="D488" s="257" t="str">
        <f t="shared" ca="1" si="79"/>
        <v/>
      </c>
      <c r="E488" s="808" t="str">
        <f t="shared" ca="1" si="80"/>
        <v/>
      </c>
      <c r="F488" s="253" t="str">
        <f t="shared" ca="1" si="81"/>
        <v/>
      </c>
      <c r="G488" s="257" t="str">
        <f t="shared" ca="1" si="82"/>
        <v/>
      </c>
      <c r="H488" s="257" t="str">
        <f t="shared" ca="1" si="83"/>
        <v/>
      </c>
      <c r="I488" s="220" t="str">
        <f t="shared" ca="1" si="84"/>
        <v/>
      </c>
    </row>
    <row r="489" spans="1:9" x14ac:dyDescent="0.25">
      <c r="A489" s="254" t="str">
        <f t="shared" ca="1" si="76"/>
        <v/>
      </c>
      <c r="B489" s="255" t="str">
        <f t="shared" ca="1" si="77"/>
        <v/>
      </c>
      <c r="C489" s="256" t="str">
        <f t="shared" ca="1" si="78"/>
        <v/>
      </c>
      <c r="D489" s="257" t="str">
        <f t="shared" ca="1" si="79"/>
        <v/>
      </c>
      <c r="E489" s="808" t="str">
        <f t="shared" ca="1" si="80"/>
        <v/>
      </c>
      <c r="F489" s="253" t="str">
        <f t="shared" ca="1" si="81"/>
        <v/>
      </c>
      <c r="G489" s="257" t="str">
        <f t="shared" ca="1" si="82"/>
        <v/>
      </c>
      <c r="H489" s="257" t="str">
        <f t="shared" ca="1" si="83"/>
        <v/>
      </c>
      <c r="I489" s="220" t="str">
        <f t="shared" ca="1" si="84"/>
        <v/>
      </c>
    </row>
    <row r="490" spans="1:9" x14ac:dyDescent="0.25">
      <c r="A490" s="254" t="str">
        <f t="shared" ca="1" si="76"/>
        <v/>
      </c>
      <c r="B490" s="255" t="str">
        <f t="shared" ca="1" si="77"/>
        <v/>
      </c>
      <c r="C490" s="256" t="str">
        <f t="shared" ca="1" si="78"/>
        <v/>
      </c>
      <c r="D490" s="257" t="str">
        <f t="shared" ca="1" si="79"/>
        <v/>
      </c>
      <c r="E490" s="808" t="str">
        <f t="shared" ca="1" si="80"/>
        <v/>
      </c>
      <c r="F490" s="253" t="str">
        <f t="shared" ca="1" si="81"/>
        <v/>
      </c>
      <c r="G490" s="257" t="str">
        <f t="shared" ca="1" si="82"/>
        <v/>
      </c>
      <c r="H490" s="257" t="str">
        <f t="shared" ca="1" si="83"/>
        <v/>
      </c>
      <c r="I490" s="220" t="str">
        <f t="shared" ca="1" si="84"/>
        <v/>
      </c>
    </row>
    <row r="491" spans="1:9" x14ac:dyDescent="0.25">
      <c r="A491" s="254" t="str">
        <f t="shared" ca="1" si="76"/>
        <v/>
      </c>
      <c r="B491" s="255" t="str">
        <f t="shared" ca="1" si="77"/>
        <v/>
      </c>
      <c r="C491" s="256" t="str">
        <f t="shared" ca="1" si="78"/>
        <v/>
      </c>
      <c r="D491" s="257" t="str">
        <f t="shared" ca="1" si="79"/>
        <v/>
      </c>
      <c r="E491" s="808" t="str">
        <f t="shared" ca="1" si="80"/>
        <v/>
      </c>
      <c r="F491" s="253" t="str">
        <f t="shared" ca="1" si="81"/>
        <v/>
      </c>
      <c r="G491" s="257" t="str">
        <f t="shared" ca="1" si="82"/>
        <v/>
      </c>
      <c r="H491" s="257" t="str">
        <f t="shared" ca="1" si="83"/>
        <v/>
      </c>
      <c r="I491" s="220" t="str">
        <f t="shared" ca="1" si="84"/>
        <v/>
      </c>
    </row>
    <row r="492" spans="1:9" x14ac:dyDescent="0.25">
      <c r="A492" s="254" t="str">
        <f t="shared" ca="1" si="76"/>
        <v/>
      </c>
      <c r="B492" s="255" t="str">
        <f t="shared" ca="1" si="77"/>
        <v/>
      </c>
      <c r="C492" s="256" t="str">
        <f t="shared" ca="1" si="78"/>
        <v/>
      </c>
      <c r="D492" s="257" t="str">
        <f t="shared" ca="1" si="79"/>
        <v/>
      </c>
      <c r="E492" s="808" t="str">
        <f t="shared" ca="1" si="80"/>
        <v/>
      </c>
      <c r="F492" s="253" t="str">
        <f t="shared" ca="1" si="81"/>
        <v/>
      </c>
      <c r="G492" s="257" t="str">
        <f t="shared" ca="1" si="82"/>
        <v/>
      </c>
      <c r="H492" s="257" t="str">
        <f t="shared" ca="1" si="83"/>
        <v/>
      </c>
      <c r="I492" s="220" t="str">
        <f t="shared" ca="1" si="84"/>
        <v/>
      </c>
    </row>
    <row r="493" spans="1:9" x14ac:dyDescent="0.25">
      <c r="A493" s="254" t="str">
        <f t="shared" ca="1" si="76"/>
        <v/>
      </c>
      <c r="B493" s="255" t="str">
        <f t="shared" ca="1" si="77"/>
        <v/>
      </c>
      <c r="C493" s="256" t="str">
        <f t="shared" ca="1" si="78"/>
        <v/>
      </c>
      <c r="D493" s="257" t="str">
        <f t="shared" ca="1" si="79"/>
        <v/>
      </c>
      <c r="E493" s="808" t="str">
        <f t="shared" ca="1" si="80"/>
        <v/>
      </c>
      <c r="F493" s="253" t="str">
        <f t="shared" ca="1" si="81"/>
        <v/>
      </c>
      <c r="G493" s="257" t="str">
        <f t="shared" ca="1" si="82"/>
        <v/>
      </c>
      <c r="H493" s="257" t="str">
        <f t="shared" ca="1" si="83"/>
        <v/>
      </c>
      <c r="I493" s="220" t="str">
        <f t="shared" ca="1" si="84"/>
        <v/>
      </c>
    </row>
    <row r="494" spans="1:9" x14ac:dyDescent="0.25">
      <c r="A494" s="254" t="str">
        <f t="shared" ca="1" si="76"/>
        <v/>
      </c>
      <c r="B494" s="255" t="str">
        <f t="shared" ca="1" si="77"/>
        <v/>
      </c>
      <c r="C494" s="256" t="str">
        <f t="shared" ca="1" si="78"/>
        <v/>
      </c>
      <c r="D494" s="257" t="str">
        <f t="shared" ca="1" si="79"/>
        <v/>
      </c>
      <c r="E494" s="808" t="str">
        <f t="shared" ca="1" si="80"/>
        <v/>
      </c>
      <c r="F494" s="253" t="str">
        <f t="shared" ca="1" si="81"/>
        <v/>
      </c>
      <c r="G494" s="257" t="str">
        <f t="shared" ca="1" si="82"/>
        <v/>
      </c>
      <c r="H494" s="257" t="str">
        <f t="shared" ca="1" si="83"/>
        <v/>
      </c>
      <c r="I494" s="220" t="str">
        <f t="shared" ca="1" si="84"/>
        <v/>
      </c>
    </row>
    <row r="495" spans="1:9" x14ac:dyDescent="0.25">
      <c r="A495" s="254" t="str">
        <f t="shared" ca="1" si="76"/>
        <v/>
      </c>
      <c r="B495" s="255" t="str">
        <f t="shared" ca="1" si="77"/>
        <v/>
      </c>
      <c r="C495" s="256" t="str">
        <f t="shared" ca="1" si="78"/>
        <v/>
      </c>
      <c r="D495" s="257" t="str">
        <f t="shared" ca="1" si="79"/>
        <v/>
      </c>
      <c r="E495" s="808" t="str">
        <f t="shared" ca="1" si="80"/>
        <v/>
      </c>
      <c r="F495" s="253" t="str">
        <f t="shared" ca="1" si="81"/>
        <v/>
      </c>
      <c r="G495" s="257" t="str">
        <f t="shared" ca="1" si="82"/>
        <v/>
      </c>
      <c r="H495" s="257" t="str">
        <f t="shared" ca="1" si="83"/>
        <v/>
      </c>
      <c r="I495" s="220" t="str">
        <f t="shared" ca="1" si="84"/>
        <v/>
      </c>
    </row>
    <row r="496" spans="1:9" x14ac:dyDescent="0.25">
      <c r="A496" s="254" t="str">
        <f t="shared" ca="1" si="76"/>
        <v/>
      </c>
      <c r="B496" s="255" t="str">
        <f t="shared" ca="1" si="77"/>
        <v/>
      </c>
      <c r="C496" s="256" t="str">
        <f t="shared" ca="1" si="78"/>
        <v/>
      </c>
      <c r="D496" s="257" t="str">
        <f t="shared" ca="1" si="79"/>
        <v/>
      </c>
      <c r="E496" s="808" t="str">
        <f t="shared" ca="1" si="80"/>
        <v/>
      </c>
      <c r="F496" s="253" t="str">
        <f t="shared" ca="1" si="81"/>
        <v/>
      </c>
      <c r="G496" s="257" t="str">
        <f t="shared" ca="1" si="82"/>
        <v/>
      </c>
      <c r="H496" s="257" t="str">
        <f t="shared" ca="1" si="83"/>
        <v/>
      </c>
      <c r="I496" s="220" t="str">
        <f t="shared" ca="1" si="84"/>
        <v/>
      </c>
    </row>
    <row r="497" spans="1:9" x14ac:dyDescent="0.25">
      <c r="A497" s="254" t="str">
        <f t="shared" ca="1" si="76"/>
        <v/>
      </c>
      <c r="B497" s="255" t="str">
        <f t="shared" ca="1" si="77"/>
        <v/>
      </c>
      <c r="C497" s="256" t="str">
        <f t="shared" ca="1" si="78"/>
        <v/>
      </c>
      <c r="D497" s="257" t="str">
        <f t="shared" ca="1" si="79"/>
        <v/>
      </c>
      <c r="E497" s="808" t="str">
        <f t="shared" ca="1" si="80"/>
        <v/>
      </c>
      <c r="F497" s="253" t="str">
        <f t="shared" ca="1" si="81"/>
        <v/>
      </c>
      <c r="G497" s="257" t="str">
        <f t="shared" ca="1" si="82"/>
        <v/>
      </c>
      <c r="H497" s="257" t="str">
        <f t="shared" ca="1" si="83"/>
        <v/>
      </c>
      <c r="I497" s="220" t="str">
        <f t="shared" ca="1" si="84"/>
        <v/>
      </c>
    </row>
    <row r="498" spans="1:9" x14ac:dyDescent="0.25">
      <c r="A498" s="254" t="str">
        <f t="shared" ca="1" si="76"/>
        <v/>
      </c>
      <c r="B498" s="255" t="str">
        <f t="shared" ca="1" si="77"/>
        <v/>
      </c>
      <c r="C498" s="256" t="str">
        <f t="shared" ca="1" si="78"/>
        <v/>
      </c>
      <c r="D498" s="257" t="str">
        <f t="shared" ca="1" si="79"/>
        <v/>
      </c>
      <c r="E498" s="808" t="str">
        <f t="shared" ca="1" si="80"/>
        <v/>
      </c>
      <c r="F498" s="253" t="str">
        <f t="shared" ca="1" si="81"/>
        <v/>
      </c>
      <c r="G498" s="257" t="str">
        <f t="shared" ca="1" si="82"/>
        <v/>
      </c>
      <c r="H498" s="257" t="str">
        <f t="shared" ca="1" si="83"/>
        <v/>
      </c>
      <c r="I498" s="220" t="str">
        <f t="shared" ca="1" si="84"/>
        <v/>
      </c>
    </row>
    <row r="499" spans="1:9" x14ac:dyDescent="0.25">
      <c r="A499" s="254" t="str">
        <f t="shared" ca="1" si="76"/>
        <v/>
      </c>
      <c r="B499" s="255" t="str">
        <f t="shared" ca="1" si="77"/>
        <v/>
      </c>
      <c r="C499" s="256" t="str">
        <f t="shared" ca="1" si="78"/>
        <v/>
      </c>
      <c r="D499" s="257" t="str">
        <f t="shared" ca="1" si="79"/>
        <v/>
      </c>
      <c r="E499" s="808" t="str">
        <f t="shared" ca="1" si="80"/>
        <v/>
      </c>
      <c r="F499" s="253" t="str">
        <f t="shared" ca="1" si="81"/>
        <v/>
      </c>
      <c r="G499" s="257" t="str">
        <f t="shared" ca="1" si="82"/>
        <v/>
      </c>
      <c r="H499" s="257" t="str">
        <f t="shared" ca="1" si="83"/>
        <v/>
      </c>
      <c r="I499" s="220" t="str">
        <f t="shared" ca="1" si="84"/>
        <v/>
      </c>
    </row>
    <row r="500" spans="1:9" x14ac:dyDescent="0.25">
      <c r="A500" s="254" t="str">
        <f t="shared" ca="1" si="76"/>
        <v/>
      </c>
      <c r="B500" s="255" t="str">
        <f t="shared" ca="1" si="77"/>
        <v/>
      </c>
      <c r="C500" s="256" t="str">
        <f t="shared" ca="1" si="78"/>
        <v/>
      </c>
      <c r="D500" s="257" t="str">
        <f t="shared" ca="1" si="79"/>
        <v/>
      </c>
      <c r="E500" s="808" t="str">
        <f t="shared" ca="1" si="80"/>
        <v/>
      </c>
      <c r="F500" s="253" t="str">
        <f t="shared" ca="1" si="81"/>
        <v/>
      </c>
      <c r="G500" s="257" t="str">
        <f t="shared" ca="1" si="82"/>
        <v/>
      </c>
      <c r="H500" s="257" t="str">
        <f t="shared" ca="1" si="83"/>
        <v/>
      </c>
      <c r="I500" s="220" t="str">
        <f t="shared" ca="1" si="84"/>
        <v/>
      </c>
    </row>
    <row r="501" spans="1:9" x14ac:dyDescent="0.25">
      <c r="A501" s="254" t="str">
        <f t="shared" ca="1" si="76"/>
        <v/>
      </c>
      <c r="B501" s="255" t="str">
        <f t="shared" ca="1" si="77"/>
        <v/>
      </c>
      <c r="C501" s="256" t="str">
        <f t="shared" ca="1" si="78"/>
        <v/>
      </c>
      <c r="D501" s="257" t="str">
        <f t="shared" ca="1" si="79"/>
        <v/>
      </c>
      <c r="E501" s="808" t="str">
        <f t="shared" ca="1" si="80"/>
        <v/>
      </c>
      <c r="F501" s="253" t="str">
        <f t="shared" ca="1" si="81"/>
        <v/>
      </c>
      <c r="G501" s="257" t="str">
        <f t="shared" ca="1" si="82"/>
        <v/>
      </c>
      <c r="H501" s="257" t="str">
        <f t="shared" ca="1" si="83"/>
        <v/>
      </c>
      <c r="I501" s="220" t="str">
        <f t="shared" ca="1" si="84"/>
        <v/>
      </c>
    </row>
    <row r="502" spans="1:9" x14ac:dyDescent="0.25">
      <c r="A502" s="254" t="str">
        <f t="shared" ca="1" si="76"/>
        <v/>
      </c>
      <c r="B502" s="255" t="str">
        <f t="shared" ca="1" si="77"/>
        <v/>
      </c>
      <c r="C502" s="256" t="str">
        <f t="shared" ca="1" si="78"/>
        <v/>
      </c>
      <c r="D502" s="257" t="str">
        <f t="shared" ca="1" si="79"/>
        <v/>
      </c>
      <c r="E502" s="808" t="str">
        <f t="shared" ca="1" si="80"/>
        <v/>
      </c>
      <c r="F502" s="253" t="str">
        <f t="shared" ca="1" si="81"/>
        <v/>
      </c>
      <c r="G502" s="257" t="str">
        <f t="shared" ca="1" si="82"/>
        <v/>
      </c>
      <c r="H502" s="257" t="str">
        <f t="shared" ca="1" si="83"/>
        <v/>
      </c>
      <c r="I502" s="220" t="str">
        <f t="shared" ca="1" si="84"/>
        <v/>
      </c>
    </row>
    <row r="503" spans="1:9" x14ac:dyDescent="0.25">
      <c r="A503" s="254" t="str">
        <f t="shared" ca="1" si="76"/>
        <v/>
      </c>
      <c r="B503" s="255" t="str">
        <f t="shared" ca="1" si="77"/>
        <v/>
      </c>
      <c r="C503" s="256" t="str">
        <f t="shared" ca="1" si="78"/>
        <v/>
      </c>
      <c r="D503" s="257" t="str">
        <f t="shared" ca="1" si="79"/>
        <v/>
      </c>
      <c r="E503" s="808" t="str">
        <f t="shared" ca="1" si="80"/>
        <v/>
      </c>
      <c r="F503" s="253" t="str">
        <f t="shared" ca="1" si="81"/>
        <v/>
      </c>
      <c r="G503" s="257" t="str">
        <f t="shared" ca="1" si="82"/>
        <v/>
      </c>
      <c r="H503" s="257" t="str">
        <f t="shared" ca="1" si="83"/>
        <v/>
      </c>
      <c r="I503" s="220" t="str">
        <f t="shared" ca="1" si="84"/>
        <v/>
      </c>
    </row>
    <row r="504" spans="1:9" x14ac:dyDescent="0.25">
      <c r="A504" s="254" t="str">
        <f t="shared" ca="1" si="76"/>
        <v/>
      </c>
      <c r="B504" s="255" t="str">
        <f t="shared" ca="1" si="77"/>
        <v/>
      </c>
      <c r="C504" s="256" t="str">
        <f t="shared" ca="1" si="78"/>
        <v/>
      </c>
      <c r="D504" s="257" t="str">
        <f t="shared" ca="1" si="79"/>
        <v/>
      </c>
      <c r="E504" s="808" t="str">
        <f t="shared" ca="1" si="80"/>
        <v/>
      </c>
      <c r="F504" s="253" t="str">
        <f t="shared" ca="1" si="81"/>
        <v/>
      </c>
      <c r="G504" s="257" t="str">
        <f t="shared" ca="1" si="82"/>
        <v/>
      </c>
      <c r="H504" s="257" t="str">
        <f t="shared" ca="1" si="83"/>
        <v/>
      </c>
      <c r="I504" s="220" t="str">
        <f t="shared" ca="1" si="84"/>
        <v/>
      </c>
    </row>
    <row r="505" spans="1:9" x14ac:dyDescent="0.25">
      <c r="A505" s="254" t="str">
        <f t="shared" ca="1" si="76"/>
        <v/>
      </c>
      <c r="B505" s="255" t="str">
        <f t="shared" ca="1" si="77"/>
        <v/>
      </c>
      <c r="C505" s="256" t="str">
        <f t="shared" ca="1" si="78"/>
        <v/>
      </c>
      <c r="D505" s="257" t="str">
        <f t="shared" ca="1" si="79"/>
        <v/>
      </c>
      <c r="E505" s="808" t="str">
        <f t="shared" ca="1" si="80"/>
        <v/>
      </c>
      <c r="F505" s="253" t="str">
        <f t="shared" ca="1" si="81"/>
        <v/>
      </c>
      <c r="G505" s="257" t="str">
        <f t="shared" ca="1" si="82"/>
        <v/>
      </c>
      <c r="H505" s="257" t="str">
        <f t="shared" ca="1" si="83"/>
        <v/>
      </c>
      <c r="I505" s="220" t="str">
        <f t="shared" ca="1" si="84"/>
        <v/>
      </c>
    </row>
    <row r="506" spans="1:9" x14ac:dyDescent="0.25">
      <c r="A506" s="254" t="str">
        <f t="shared" ca="1" si="76"/>
        <v/>
      </c>
      <c r="B506" s="255" t="str">
        <f t="shared" ca="1" si="77"/>
        <v/>
      </c>
      <c r="C506" s="256" t="str">
        <f t="shared" ca="1" si="78"/>
        <v/>
      </c>
      <c r="D506" s="257" t="str">
        <f t="shared" ca="1" si="79"/>
        <v/>
      </c>
      <c r="E506" s="808" t="str">
        <f t="shared" ca="1" si="80"/>
        <v/>
      </c>
      <c r="F506" s="253" t="str">
        <f t="shared" ca="1" si="81"/>
        <v/>
      </c>
      <c r="G506" s="257" t="str">
        <f t="shared" ca="1" si="82"/>
        <v/>
      </c>
      <c r="H506" s="257" t="str">
        <f t="shared" ca="1" si="83"/>
        <v/>
      </c>
      <c r="I506" s="220" t="str">
        <f t="shared" ca="1" si="84"/>
        <v/>
      </c>
    </row>
    <row r="507" spans="1:9" x14ac:dyDescent="0.25">
      <c r="A507" s="254" t="str">
        <f t="shared" ca="1" si="76"/>
        <v/>
      </c>
      <c r="B507" s="255" t="str">
        <f t="shared" ca="1" si="77"/>
        <v/>
      </c>
      <c r="C507" s="256" t="str">
        <f t="shared" ca="1" si="78"/>
        <v/>
      </c>
      <c r="D507" s="257" t="str">
        <f t="shared" ca="1" si="79"/>
        <v/>
      </c>
      <c r="E507" s="808" t="str">
        <f t="shared" ca="1" si="80"/>
        <v/>
      </c>
      <c r="F507" s="253" t="str">
        <f t="shared" ca="1" si="81"/>
        <v/>
      </c>
      <c r="G507" s="257" t="str">
        <f t="shared" ca="1" si="82"/>
        <v/>
      </c>
      <c r="H507" s="257" t="str">
        <f t="shared" ca="1" si="83"/>
        <v/>
      </c>
      <c r="I507" s="220" t="str">
        <f t="shared" ca="1" si="84"/>
        <v/>
      </c>
    </row>
    <row r="508" spans="1:9" x14ac:dyDescent="0.25">
      <c r="A508" s="254" t="str">
        <f t="shared" ca="1" si="76"/>
        <v/>
      </c>
      <c r="B508" s="255" t="str">
        <f t="shared" ca="1" si="77"/>
        <v/>
      </c>
      <c r="C508" s="256" t="str">
        <f t="shared" ca="1" si="78"/>
        <v/>
      </c>
      <c r="D508" s="257" t="str">
        <f t="shared" ca="1" si="79"/>
        <v/>
      </c>
      <c r="E508" s="808" t="str">
        <f t="shared" ca="1" si="80"/>
        <v/>
      </c>
      <c r="F508" s="253" t="str">
        <f t="shared" ca="1" si="81"/>
        <v/>
      </c>
      <c r="G508" s="257" t="str">
        <f t="shared" ca="1" si="82"/>
        <v/>
      </c>
      <c r="H508" s="257" t="str">
        <f t="shared" ca="1" si="83"/>
        <v/>
      </c>
      <c r="I508" s="220" t="str">
        <f t="shared" ca="1" si="84"/>
        <v/>
      </c>
    </row>
    <row r="509" spans="1:9" x14ac:dyDescent="0.25">
      <c r="A509" s="254" t="str">
        <f t="shared" ca="1" si="76"/>
        <v/>
      </c>
      <c r="B509" s="255" t="str">
        <f t="shared" ca="1" si="77"/>
        <v/>
      </c>
      <c r="C509" s="256" t="str">
        <f t="shared" ca="1" si="78"/>
        <v/>
      </c>
      <c r="D509" s="257" t="str">
        <f t="shared" ca="1" si="79"/>
        <v/>
      </c>
      <c r="E509" s="808" t="str">
        <f t="shared" ca="1" si="80"/>
        <v/>
      </c>
      <c r="F509" s="253" t="str">
        <f t="shared" ca="1" si="81"/>
        <v/>
      </c>
      <c r="G509" s="257" t="str">
        <f t="shared" ca="1" si="82"/>
        <v/>
      </c>
      <c r="H509" s="257" t="str">
        <f t="shared" ca="1" si="83"/>
        <v/>
      </c>
      <c r="I509" s="220" t="str">
        <f t="shared" ca="1" si="84"/>
        <v/>
      </c>
    </row>
    <row r="510" spans="1:9" x14ac:dyDescent="0.25">
      <c r="A510" s="254" t="str">
        <f t="shared" ca="1" si="76"/>
        <v/>
      </c>
      <c r="B510" s="255" t="str">
        <f t="shared" ca="1" si="77"/>
        <v/>
      </c>
      <c r="C510" s="256" t="str">
        <f t="shared" ca="1" si="78"/>
        <v/>
      </c>
      <c r="D510" s="257" t="str">
        <f t="shared" ca="1" si="79"/>
        <v/>
      </c>
      <c r="E510" s="808" t="str">
        <f t="shared" ca="1" si="80"/>
        <v/>
      </c>
      <c r="F510" s="253" t="str">
        <f t="shared" ca="1" si="81"/>
        <v/>
      </c>
      <c r="G510" s="257" t="str">
        <f t="shared" ca="1" si="82"/>
        <v/>
      </c>
      <c r="H510" s="257" t="str">
        <f t="shared" ca="1" si="83"/>
        <v/>
      </c>
      <c r="I510" s="220" t="str">
        <f t="shared" ca="1" si="84"/>
        <v/>
      </c>
    </row>
    <row r="511" spans="1:9" x14ac:dyDescent="0.25">
      <c r="A511" s="254" t="str">
        <f t="shared" ca="1" si="76"/>
        <v/>
      </c>
      <c r="B511" s="255" t="str">
        <f t="shared" ca="1" si="77"/>
        <v/>
      </c>
      <c r="C511" s="256" t="str">
        <f t="shared" ca="1" si="78"/>
        <v/>
      </c>
      <c r="D511" s="257" t="str">
        <f t="shared" ca="1" si="79"/>
        <v/>
      </c>
      <c r="E511" s="808" t="str">
        <f t="shared" ca="1" si="80"/>
        <v/>
      </c>
      <c r="F511" s="253" t="str">
        <f t="shared" ca="1" si="81"/>
        <v/>
      </c>
      <c r="G511" s="257" t="str">
        <f t="shared" ca="1" si="82"/>
        <v/>
      </c>
      <c r="H511" s="257" t="str">
        <f t="shared" ca="1" si="83"/>
        <v/>
      </c>
      <c r="I511" s="220" t="str">
        <f t="shared" ca="1" si="84"/>
        <v/>
      </c>
    </row>
    <row r="512" spans="1:9" x14ac:dyDescent="0.25">
      <c r="A512" s="254" t="str">
        <f t="shared" ca="1" si="76"/>
        <v/>
      </c>
      <c r="B512" s="255" t="str">
        <f t="shared" ca="1" si="77"/>
        <v/>
      </c>
      <c r="C512" s="256" t="str">
        <f t="shared" ca="1" si="78"/>
        <v/>
      </c>
      <c r="D512" s="257" t="str">
        <f t="shared" ca="1" si="79"/>
        <v/>
      </c>
      <c r="E512" s="808" t="str">
        <f t="shared" ca="1" si="80"/>
        <v/>
      </c>
      <c r="F512" s="253" t="str">
        <f t="shared" ca="1" si="81"/>
        <v/>
      </c>
      <c r="G512" s="257" t="str">
        <f t="shared" ca="1" si="82"/>
        <v/>
      </c>
      <c r="H512" s="257" t="str">
        <f t="shared" ca="1" si="83"/>
        <v/>
      </c>
      <c r="I512" s="220" t="str">
        <f t="shared" ca="1" si="84"/>
        <v/>
      </c>
    </row>
    <row r="513" spans="1:9" x14ac:dyDescent="0.25">
      <c r="A513" s="254" t="str">
        <f t="shared" ca="1" si="76"/>
        <v/>
      </c>
      <c r="B513" s="255" t="str">
        <f t="shared" ca="1" si="77"/>
        <v/>
      </c>
      <c r="C513" s="256" t="str">
        <f t="shared" ca="1" si="78"/>
        <v/>
      </c>
      <c r="D513" s="257" t="str">
        <f t="shared" ca="1" si="79"/>
        <v/>
      </c>
      <c r="E513" s="808" t="str">
        <f t="shared" ca="1" si="80"/>
        <v/>
      </c>
      <c r="F513" s="253" t="str">
        <f t="shared" ca="1" si="81"/>
        <v/>
      </c>
      <c r="G513" s="257" t="str">
        <f t="shared" ca="1" si="82"/>
        <v/>
      </c>
      <c r="H513" s="257" t="str">
        <f t="shared" ca="1" si="83"/>
        <v/>
      </c>
      <c r="I513" s="220" t="str">
        <f t="shared" ca="1" si="84"/>
        <v/>
      </c>
    </row>
    <row r="514" spans="1:9" x14ac:dyDescent="0.25">
      <c r="A514" s="254" t="str">
        <f t="shared" ref="A514:A577" ca="1" si="85">IF(OR(H513&lt;=0,H513=""),"",OFFSET(A514,-1,0,1,1)+1)</f>
        <v/>
      </c>
      <c r="B514" s="255" t="str">
        <f t="shared" ref="B514:B577" ca="1" si="86">IF(A514&lt;$H$11+1,DATE(YEAR(B513),MONTH(B513)+3,1),"")</f>
        <v/>
      </c>
      <c r="C514" s="256" t="str">
        <f t="shared" ref="C514:C577" ca="1" si="87">IF(OR(A514=$H$11,A514=$H$14),G513+D514+E514,IF(B514="","",-$D$14))</f>
        <v/>
      </c>
      <c r="D514" s="257" t="str">
        <f t="shared" ref="D514:D577" ca="1" si="88">IF(B514="","",ROUND((B514-B513)*(E514/$D$13+$H$10*($I$10))*G513,2))</f>
        <v/>
      </c>
      <c r="E514" s="808" t="str">
        <f t="shared" ref="E514:E577" ca="1" si="89">IF(B514="","",ROUND((B514-B513)*($H$10*(1-$I$10))*G513,2))</f>
        <v/>
      </c>
      <c r="F514" s="253" t="str">
        <f t="shared" ref="F514:F577" ca="1" si="90">IF(B514="","",MAX(C514-D514,0))</f>
        <v/>
      </c>
      <c r="G514" s="257" t="str">
        <f t="shared" ref="G514:G577" ca="1" si="91">IF(B514="","",-(C514-D514)+G513)</f>
        <v/>
      </c>
      <c r="H514" s="257" t="str">
        <f t="shared" ref="H514:H577" ca="1" si="92">IF(B514="","",G514)</f>
        <v/>
      </c>
      <c r="I514" s="220" t="str">
        <f t="shared" ref="I514:I577" ca="1" si="93">IF(B514="","",YEAR(B514))</f>
        <v/>
      </c>
    </row>
    <row r="515" spans="1:9" x14ac:dyDescent="0.25">
      <c r="A515" s="254" t="str">
        <f t="shared" ca="1" si="85"/>
        <v/>
      </c>
      <c r="B515" s="255" t="str">
        <f t="shared" ca="1" si="86"/>
        <v/>
      </c>
      <c r="C515" s="256" t="str">
        <f t="shared" ca="1" si="87"/>
        <v/>
      </c>
      <c r="D515" s="257" t="str">
        <f t="shared" ca="1" si="88"/>
        <v/>
      </c>
      <c r="E515" s="808" t="str">
        <f t="shared" ca="1" si="89"/>
        <v/>
      </c>
      <c r="F515" s="253" t="str">
        <f t="shared" ca="1" si="90"/>
        <v/>
      </c>
      <c r="G515" s="257" t="str">
        <f t="shared" ca="1" si="91"/>
        <v/>
      </c>
      <c r="H515" s="257" t="str">
        <f t="shared" ca="1" si="92"/>
        <v/>
      </c>
      <c r="I515" s="220" t="str">
        <f t="shared" ca="1" si="93"/>
        <v/>
      </c>
    </row>
    <row r="516" spans="1:9" x14ac:dyDescent="0.25">
      <c r="A516" s="254" t="str">
        <f t="shared" ca="1" si="85"/>
        <v/>
      </c>
      <c r="B516" s="255" t="str">
        <f t="shared" ca="1" si="86"/>
        <v/>
      </c>
      <c r="C516" s="256" t="str">
        <f t="shared" ca="1" si="87"/>
        <v/>
      </c>
      <c r="D516" s="257" t="str">
        <f t="shared" ca="1" si="88"/>
        <v/>
      </c>
      <c r="E516" s="808" t="str">
        <f t="shared" ca="1" si="89"/>
        <v/>
      </c>
      <c r="F516" s="253" t="str">
        <f t="shared" ca="1" si="90"/>
        <v/>
      </c>
      <c r="G516" s="257" t="str">
        <f t="shared" ca="1" si="91"/>
        <v/>
      </c>
      <c r="H516" s="257" t="str">
        <f t="shared" ca="1" si="92"/>
        <v/>
      </c>
      <c r="I516" s="220" t="str">
        <f t="shared" ca="1" si="93"/>
        <v/>
      </c>
    </row>
    <row r="517" spans="1:9" x14ac:dyDescent="0.25">
      <c r="A517" s="254" t="str">
        <f t="shared" ca="1" si="85"/>
        <v/>
      </c>
      <c r="B517" s="255" t="str">
        <f t="shared" ca="1" si="86"/>
        <v/>
      </c>
      <c r="C517" s="256" t="str">
        <f t="shared" ca="1" si="87"/>
        <v/>
      </c>
      <c r="D517" s="257" t="str">
        <f t="shared" ca="1" si="88"/>
        <v/>
      </c>
      <c r="E517" s="808" t="str">
        <f t="shared" ca="1" si="89"/>
        <v/>
      </c>
      <c r="F517" s="253" t="str">
        <f t="shared" ca="1" si="90"/>
        <v/>
      </c>
      <c r="G517" s="257" t="str">
        <f t="shared" ca="1" si="91"/>
        <v/>
      </c>
      <c r="H517" s="257" t="str">
        <f t="shared" ca="1" si="92"/>
        <v/>
      </c>
      <c r="I517" s="220" t="str">
        <f t="shared" ca="1" si="93"/>
        <v/>
      </c>
    </row>
    <row r="518" spans="1:9" x14ac:dyDescent="0.25">
      <c r="A518" s="254" t="str">
        <f t="shared" ca="1" si="85"/>
        <v/>
      </c>
      <c r="B518" s="255" t="str">
        <f t="shared" ca="1" si="86"/>
        <v/>
      </c>
      <c r="C518" s="256" t="str">
        <f t="shared" ca="1" si="87"/>
        <v/>
      </c>
      <c r="D518" s="257" t="str">
        <f t="shared" ca="1" si="88"/>
        <v/>
      </c>
      <c r="E518" s="808" t="str">
        <f t="shared" ca="1" si="89"/>
        <v/>
      </c>
      <c r="F518" s="253" t="str">
        <f t="shared" ca="1" si="90"/>
        <v/>
      </c>
      <c r="G518" s="257" t="str">
        <f t="shared" ca="1" si="91"/>
        <v/>
      </c>
      <c r="H518" s="257" t="str">
        <f t="shared" ca="1" si="92"/>
        <v/>
      </c>
      <c r="I518" s="220" t="str">
        <f t="shared" ca="1" si="93"/>
        <v/>
      </c>
    </row>
    <row r="519" spans="1:9" x14ac:dyDescent="0.25">
      <c r="A519" s="254" t="str">
        <f t="shared" ca="1" si="85"/>
        <v/>
      </c>
      <c r="B519" s="255" t="str">
        <f t="shared" ca="1" si="86"/>
        <v/>
      </c>
      <c r="C519" s="256" t="str">
        <f t="shared" ca="1" si="87"/>
        <v/>
      </c>
      <c r="D519" s="257" t="str">
        <f t="shared" ca="1" si="88"/>
        <v/>
      </c>
      <c r="E519" s="808" t="str">
        <f t="shared" ca="1" si="89"/>
        <v/>
      </c>
      <c r="F519" s="253" t="str">
        <f t="shared" ca="1" si="90"/>
        <v/>
      </c>
      <c r="G519" s="257" t="str">
        <f t="shared" ca="1" si="91"/>
        <v/>
      </c>
      <c r="H519" s="257" t="str">
        <f t="shared" ca="1" si="92"/>
        <v/>
      </c>
      <c r="I519" s="220" t="str">
        <f t="shared" ca="1" si="93"/>
        <v/>
      </c>
    </row>
    <row r="520" spans="1:9" x14ac:dyDescent="0.25">
      <c r="A520" s="254" t="str">
        <f t="shared" ca="1" si="85"/>
        <v/>
      </c>
      <c r="B520" s="255" t="str">
        <f t="shared" ca="1" si="86"/>
        <v/>
      </c>
      <c r="C520" s="256" t="str">
        <f t="shared" ca="1" si="87"/>
        <v/>
      </c>
      <c r="D520" s="257" t="str">
        <f t="shared" ca="1" si="88"/>
        <v/>
      </c>
      <c r="E520" s="808" t="str">
        <f t="shared" ca="1" si="89"/>
        <v/>
      </c>
      <c r="F520" s="253" t="str">
        <f t="shared" ca="1" si="90"/>
        <v/>
      </c>
      <c r="G520" s="257" t="str">
        <f t="shared" ca="1" si="91"/>
        <v/>
      </c>
      <c r="H520" s="257" t="str">
        <f t="shared" ca="1" si="92"/>
        <v/>
      </c>
      <c r="I520" s="220" t="str">
        <f t="shared" ca="1" si="93"/>
        <v/>
      </c>
    </row>
    <row r="521" spans="1:9" x14ac:dyDescent="0.25">
      <c r="A521" s="254" t="str">
        <f t="shared" ca="1" si="85"/>
        <v/>
      </c>
      <c r="B521" s="255" t="str">
        <f t="shared" ca="1" si="86"/>
        <v/>
      </c>
      <c r="C521" s="256" t="str">
        <f t="shared" ca="1" si="87"/>
        <v/>
      </c>
      <c r="D521" s="257" t="str">
        <f t="shared" ca="1" si="88"/>
        <v/>
      </c>
      <c r="E521" s="808" t="str">
        <f t="shared" ca="1" si="89"/>
        <v/>
      </c>
      <c r="F521" s="253" t="str">
        <f t="shared" ca="1" si="90"/>
        <v/>
      </c>
      <c r="G521" s="257" t="str">
        <f t="shared" ca="1" si="91"/>
        <v/>
      </c>
      <c r="H521" s="257" t="str">
        <f t="shared" ca="1" si="92"/>
        <v/>
      </c>
      <c r="I521" s="220" t="str">
        <f t="shared" ca="1" si="93"/>
        <v/>
      </c>
    </row>
    <row r="522" spans="1:9" x14ac:dyDescent="0.25">
      <c r="A522" s="254" t="str">
        <f t="shared" ca="1" si="85"/>
        <v/>
      </c>
      <c r="B522" s="255" t="str">
        <f t="shared" ca="1" si="86"/>
        <v/>
      </c>
      <c r="C522" s="256" t="str">
        <f t="shared" ca="1" si="87"/>
        <v/>
      </c>
      <c r="D522" s="257" t="str">
        <f t="shared" ca="1" si="88"/>
        <v/>
      </c>
      <c r="E522" s="808" t="str">
        <f t="shared" ca="1" si="89"/>
        <v/>
      </c>
      <c r="F522" s="253" t="str">
        <f t="shared" ca="1" si="90"/>
        <v/>
      </c>
      <c r="G522" s="257" t="str">
        <f t="shared" ca="1" si="91"/>
        <v/>
      </c>
      <c r="H522" s="257" t="str">
        <f t="shared" ca="1" si="92"/>
        <v/>
      </c>
      <c r="I522" s="220" t="str">
        <f t="shared" ca="1" si="93"/>
        <v/>
      </c>
    </row>
    <row r="523" spans="1:9" x14ac:dyDescent="0.25">
      <c r="A523" s="254" t="str">
        <f t="shared" ca="1" si="85"/>
        <v/>
      </c>
      <c r="B523" s="255" t="str">
        <f t="shared" ca="1" si="86"/>
        <v/>
      </c>
      <c r="C523" s="256" t="str">
        <f t="shared" ca="1" si="87"/>
        <v/>
      </c>
      <c r="D523" s="257" t="str">
        <f t="shared" ca="1" si="88"/>
        <v/>
      </c>
      <c r="E523" s="808" t="str">
        <f t="shared" ca="1" si="89"/>
        <v/>
      </c>
      <c r="F523" s="253" t="str">
        <f t="shared" ca="1" si="90"/>
        <v/>
      </c>
      <c r="G523" s="257" t="str">
        <f t="shared" ca="1" si="91"/>
        <v/>
      </c>
      <c r="H523" s="257" t="str">
        <f t="shared" ca="1" si="92"/>
        <v/>
      </c>
      <c r="I523" s="220" t="str">
        <f t="shared" ca="1" si="93"/>
        <v/>
      </c>
    </row>
    <row r="524" spans="1:9" x14ac:dyDescent="0.25">
      <c r="A524" s="254" t="str">
        <f t="shared" ca="1" si="85"/>
        <v/>
      </c>
      <c r="B524" s="255" t="str">
        <f t="shared" ca="1" si="86"/>
        <v/>
      </c>
      <c r="C524" s="256" t="str">
        <f t="shared" ca="1" si="87"/>
        <v/>
      </c>
      <c r="D524" s="257" t="str">
        <f t="shared" ca="1" si="88"/>
        <v/>
      </c>
      <c r="E524" s="808" t="str">
        <f t="shared" ca="1" si="89"/>
        <v/>
      </c>
      <c r="F524" s="253" t="str">
        <f t="shared" ca="1" si="90"/>
        <v/>
      </c>
      <c r="G524" s="257" t="str">
        <f t="shared" ca="1" si="91"/>
        <v/>
      </c>
      <c r="H524" s="257" t="str">
        <f t="shared" ca="1" si="92"/>
        <v/>
      </c>
      <c r="I524" s="220" t="str">
        <f t="shared" ca="1" si="93"/>
        <v/>
      </c>
    </row>
    <row r="525" spans="1:9" x14ac:dyDescent="0.25">
      <c r="A525" s="254" t="str">
        <f t="shared" ca="1" si="85"/>
        <v/>
      </c>
      <c r="B525" s="255" t="str">
        <f t="shared" ca="1" si="86"/>
        <v/>
      </c>
      <c r="C525" s="256" t="str">
        <f t="shared" ca="1" si="87"/>
        <v/>
      </c>
      <c r="D525" s="257" t="str">
        <f t="shared" ca="1" si="88"/>
        <v/>
      </c>
      <c r="E525" s="808" t="str">
        <f t="shared" ca="1" si="89"/>
        <v/>
      </c>
      <c r="F525" s="253" t="str">
        <f t="shared" ca="1" si="90"/>
        <v/>
      </c>
      <c r="G525" s="257" t="str">
        <f t="shared" ca="1" si="91"/>
        <v/>
      </c>
      <c r="H525" s="257" t="str">
        <f t="shared" ca="1" si="92"/>
        <v/>
      </c>
      <c r="I525" s="220" t="str">
        <f t="shared" ca="1" si="93"/>
        <v/>
      </c>
    </row>
    <row r="526" spans="1:9" x14ac:dyDescent="0.25">
      <c r="A526" s="254" t="str">
        <f t="shared" ca="1" si="85"/>
        <v/>
      </c>
      <c r="B526" s="255" t="str">
        <f t="shared" ca="1" si="86"/>
        <v/>
      </c>
      <c r="C526" s="256" t="str">
        <f t="shared" ca="1" si="87"/>
        <v/>
      </c>
      <c r="D526" s="257" t="str">
        <f t="shared" ca="1" si="88"/>
        <v/>
      </c>
      <c r="E526" s="808" t="str">
        <f t="shared" ca="1" si="89"/>
        <v/>
      </c>
      <c r="F526" s="253" t="str">
        <f t="shared" ca="1" si="90"/>
        <v/>
      </c>
      <c r="G526" s="257" t="str">
        <f t="shared" ca="1" si="91"/>
        <v/>
      </c>
      <c r="H526" s="257" t="str">
        <f t="shared" ca="1" si="92"/>
        <v/>
      </c>
      <c r="I526" s="220" t="str">
        <f t="shared" ca="1" si="93"/>
        <v/>
      </c>
    </row>
    <row r="527" spans="1:9" x14ac:dyDescent="0.25">
      <c r="A527" s="254" t="str">
        <f t="shared" ca="1" si="85"/>
        <v/>
      </c>
      <c r="B527" s="255" t="str">
        <f t="shared" ca="1" si="86"/>
        <v/>
      </c>
      <c r="C527" s="256" t="str">
        <f t="shared" ca="1" si="87"/>
        <v/>
      </c>
      <c r="D527" s="257" t="str">
        <f t="shared" ca="1" si="88"/>
        <v/>
      </c>
      <c r="E527" s="808" t="str">
        <f t="shared" ca="1" si="89"/>
        <v/>
      </c>
      <c r="F527" s="253" t="str">
        <f t="shared" ca="1" si="90"/>
        <v/>
      </c>
      <c r="G527" s="257" t="str">
        <f t="shared" ca="1" si="91"/>
        <v/>
      </c>
      <c r="H527" s="257" t="str">
        <f t="shared" ca="1" si="92"/>
        <v/>
      </c>
      <c r="I527" s="220" t="str">
        <f t="shared" ca="1" si="93"/>
        <v/>
      </c>
    </row>
    <row r="528" spans="1:9" x14ac:dyDescent="0.25">
      <c r="A528" s="254" t="str">
        <f t="shared" ca="1" si="85"/>
        <v/>
      </c>
      <c r="B528" s="255" t="str">
        <f t="shared" ca="1" si="86"/>
        <v/>
      </c>
      <c r="C528" s="256" t="str">
        <f t="shared" ca="1" si="87"/>
        <v/>
      </c>
      <c r="D528" s="257" t="str">
        <f t="shared" ca="1" si="88"/>
        <v/>
      </c>
      <c r="E528" s="808" t="str">
        <f t="shared" ca="1" si="89"/>
        <v/>
      </c>
      <c r="F528" s="253" t="str">
        <f t="shared" ca="1" si="90"/>
        <v/>
      </c>
      <c r="G528" s="257" t="str">
        <f t="shared" ca="1" si="91"/>
        <v/>
      </c>
      <c r="H528" s="257" t="str">
        <f t="shared" ca="1" si="92"/>
        <v/>
      </c>
      <c r="I528" s="220" t="str">
        <f t="shared" ca="1" si="93"/>
        <v/>
      </c>
    </row>
    <row r="529" spans="1:9" x14ac:dyDescent="0.25">
      <c r="A529" s="254" t="str">
        <f t="shared" ca="1" si="85"/>
        <v/>
      </c>
      <c r="B529" s="255" t="str">
        <f t="shared" ca="1" si="86"/>
        <v/>
      </c>
      <c r="C529" s="256" t="str">
        <f t="shared" ca="1" si="87"/>
        <v/>
      </c>
      <c r="D529" s="257" t="str">
        <f t="shared" ca="1" si="88"/>
        <v/>
      </c>
      <c r="E529" s="808" t="str">
        <f t="shared" ca="1" si="89"/>
        <v/>
      </c>
      <c r="F529" s="253" t="str">
        <f t="shared" ca="1" si="90"/>
        <v/>
      </c>
      <c r="G529" s="257" t="str">
        <f t="shared" ca="1" si="91"/>
        <v/>
      </c>
      <c r="H529" s="257" t="str">
        <f t="shared" ca="1" si="92"/>
        <v/>
      </c>
      <c r="I529" s="220" t="str">
        <f t="shared" ca="1" si="93"/>
        <v/>
      </c>
    </row>
    <row r="530" spans="1:9" x14ac:dyDescent="0.25">
      <c r="A530" s="254" t="str">
        <f t="shared" ca="1" si="85"/>
        <v/>
      </c>
      <c r="B530" s="255" t="str">
        <f t="shared" ca="1" si="86"/>
        <v/>
      </c>
      <c r="C530" s="256" t="str">
        <f t="shared" ca="1" si="87"/>
        <v/>
      </c>
      <c r="D530" s="257" t="str">
        <f t="shared" ca="1" si="88"/>
        <v/>
      </c>
      <c r="E530" s="808" t="str">
        <f t="shared" ca="1" si="89"/>
        <v/>
      </c>
      <c r="F530" s="253" t="str">
        <f t="shared" ca="1" si="90"/>
        <v/>
      </c>
      <c r="G530" s="257" t="str">
        <f t="shared" ca="1" si="91"/>
        <v/>
      </c>
      <c r="H530" s="257" t="str">
        <f t="shared" ca="1" si="92"/>
        <v/>
      </c>
      <c r="I530" s="220" t="str">
        <f t="shared" ca="1" si="93"/>
        <v/>
      </c>
    </row>
    <row r="531" spans="1:9" x14ac:dyDescent="0.25">
      <c r="A531" s="254" t="str">
        <f t="shared" ca="1" si="85"/>
        <v/>
      </c>
      <c r="B531" s="255" t="str">
        <f t="shared" ca="1" si="86"/>
        <v/>
      </c>
      <c r="C531" s="256" t="str">
        <f t="shared" ca="1" si="87"/>
        <v/>
      </c>
      <c r="D531" s="257" t="str">
        <f t="shared" ca="1" si="88"/>
        <v/>
      </c>
      <c r="E531" s="808" t="str">
        <f t="shared" ca="1" si="89"/>
        <v/>
      </c>
      <c r="F531" s="253" t="str">
        <f t="shared" ca="1" si="90"/>
        <v/>
      </c>
      <c r="G531" s="257" t="str">
        <f t="shared" ca="1" si="91"/>
        <v/>
      </c>
      <c r="H531" s="257" t="str">
        <f t="shared" ca="1" si="92"/>
        <v/>
      </c>
      <c r="I531" s="220" t="str">
        <f t="shared" ca="1" si="93"/>
        <v/>
      </c>
    </row>
    <row r="532" spans="1:9" x14ac:dyDescent="0.25">
      <c r="A532" s="254" t="str">
        <f t="shared" ca="1" si="85"/>
        <v/>
      </c>
      <c r="B532" s="255" t="str">
        <f t="shared" ca="1" si="86"/>
        <v/>
      </c>
      <c r="C532" s="256" t="str">
        <f t="shared" ca="1" si="87"/>
        <v/>
      </c>
      <c r="D532" s="257" t="str">
        <f t="shared" ca="1" si="88"/>
        <v/>
      </c>
      <c r="E532" s="808" t="str">
        <f t="shared" ca="1" si="89"/>
        <v/>
      </c>
      <c r="F532" s="253" t="str">
        <f t="shared" ca="1" si="90"/>
        <v/>
      </c>
      <c r="G532" s="257" t="str">
        <f t="shared" ca="1" si="91"/>
        <v/>
      </c>
      <c r="H532" s="257" t="str">
        <f t="shared" ca="1" si="92"/>
        <v/>
      </c>
      <c r="I532" s="220" t="str">
        <f t="shared" ca="1" si="93"/>
        <v/>
      </c>
    </row>
    <row r="533" spans="1:9" x14ac:dyDescent="0.25">
      <c r="A533" s="254" t="str">
        <f t="shared" ca="1" si="85"/>
        <v/>
      </c>
      <c r="B533" s="255" t="str">
        <f t="shared" ca="1" si="86"/>
        <v/>
      </c>
      <c r="C533" s="256" t="str">
        <f t="shared" ca="1" si="87"/>
        <v/>
      </c>
      <c r="D533" s="257" t="str">
        <f t="shared" ca="1" si="88"/>
        <v/>
      </c>
      <c r="E533" s="808" t="str">
        <f t="shared" ca="1" si="89"/>
        <v/>
      </c>
      <c r="F533" s="253" t="str">
        <f t="shared" ca="1" si="90"/>
        <v/>
      </c>
      <c r="G533" s="257" t="str">
        <f t="shared" ca="1" si="91"/>
        <v/>
      </c>
      <c r="H533" s="257" t="str">
        <f t="shared" ca="1" si="92"/>
        <v/>
      </c>
      <c r="I533" s="220" t="str">
        <f t="shared" ca="1" si="93"/>
        <v/>
      </c>
    </row>
    <row r="534" spans="1:9" x14ac:dyDescent="0.25">
      <c r="A534" s="254" t="str">
        <f t="shared" ca="1" si="85"/>
        <v/>
      </c>
      <c r="B534" s="255" t="str">
        <f t="shared" ca="1" si="86"/>
        <v/>
      </c>
      <c r="C534" s="256" t="str">
        <f t="shared" ca="1" si="87"/>
        <v/>
      </c>
      <c r="D534" s="257" t="str">
        <f t="shared" ca="1" si="88"/>
        <v/>
      </c>
      <c r="E534" s="808" t="str">
        <f t="shared" ca="1" si="89"/>
        <v/>
      </c>
      <c r="F534" s="253" t="str">
        <f t="shared" ca="1" si="90"/>
        <v/>
      </c>
      <c r="G534" s="257" t="str">
        <f t="shared" ca="1" si="91"/>
        <v/>
      </c>
      <c r="H534" s="257" t="str">
        <f t="shared" ca="1" si="92"/>
        <v/>
      </c>
      <c r="I534" s="220" t="str">
        <f t="shared" ca="1" si="93"/>
        <v/>
      </c>
    </row>
    <row r="535" spans="1:9" x14ac:dyDescent="0.25">
      <c r="A535" s="254" t="str">
        <f t="shared" ca="1" si="85"/>
        <v/>
      </c>
      <c r="B535" s="255" t="str">
        <f t="shared" ca="1" si="86"/>
        <v/>
      </c>
      <c r="C535" s="256" t="str">
        <f t="shared" ca="1" si="87"/>
        <v/>
      </c>
      <c r="D535" s="257" t="str">
        <f t="shared" ca="1" si="88"/>
        <v/>
      </c>
      <c r="E535" s="808" t="str">
        <f t="shared" ca="1" si="89"/>
        <v/>
      </c>
      <c r="F535" s="253" t="str">
        <f t="shared" ca="1" si="90"/>
        <v/>
      </c>
      <c r="G535" s="257" t="str">
        <f t="shared" ca="1" si="91"/>
        <v/>
      </c>
      <c r="H535" s="257" t="str">
        <f t="shared" ca="1" si="92"/>
        <v/>
      </c>
      <c r="I535" s="220" t="str">
        <f t="shared" ca="1" si="93"/>
        <v/>
      </c>
    </row>
    <row r="536" spans="1:9" x14ac:dyDescent="0.25">
      <c r="A536" s="254" t="str">
        <f t="shared" ca="1" si="85"/>
        <v/>
      </c>
      <c r="B536" s="255" t="str">
        <f t="shared" ca="1" si="86"/>
        <v/>
      </c>
      <c r="C536" s="256" t="str">
        <f t="shared" ca="1" si="87"/>
        <v/>
      </c>
      <c r="D536" s="257" t="str">
        <f t="shared" ca="1" si="88"/>
        <v/>
      </c>
      <c r="E536" s="808" t="str">
        <f t="shared" ca="1" si="89"/>
        <v/>
      </c>
      <c r="F536" s="253" t="str">
        <f t="shared" ca="1" si="90"/>
        <v/>
      </c>
      <c r="G536" s="257" t="str">
        <f t="shared" ca="1" si="91"/>
        <v/>
      </c>
      <c r="H536" s="257" t="str">
        <f t="shared" ca="1" si="92"/>
        <v/>
      </c>
      <c r="I536" s="220" t="str">
        <f t="shared" ca="1" si="93"/>
        <v/>
      </c>
    </row>
    <row r="537" spans="1:9" x14ac:dyDescent="0.25">
      <c r="A537" s="254" t="str">
        <f t="shared" ca="1" si="85"/>
        <v/>
      </c>
      <c r="B537" s="255" t="str">
        <f t="shared" ca="1" si="86"/>
        <v/>
      </c>
      <c r="C537" s="256" t="str">
        <f t="shared" ca="1" si="87"/>
        <v/>
      </c>
      <c r="D537" s="257" t="str">
        <f t="shared" ca="1" si="88"/>
        <v/>
      </c>
      <c r="E537" s="808" t="str">
        <f t="shared" ca="1" si="89"/>
        <v/>
      </c>
      <c r="F537" s="253" t="str">
        <f t="shared" ca="1" si="90"/>
        <v/>
      </c>
      <c r="G537" s="257" t="str">
        <f t="shared" ca="1" si="91"/>
        <v/>
      </c>
      <c r="H537" s="257" t="str">
        <f t="shared" ca="1" si="92"/>
        <v/>
      </c>
      <c r="I537" s="220" t="str">
        <f t="shared" ca="1" si="93"/>
        <v/>
      </c>
    </row>
    <row r="538" spans="1:9" x14ac:dyDescent="0.25">
      <c r="A538" s="254" t="str">
        <f t="shared" ca="1" si="85"/>
        <v/>
      </c>
      <c r="B538" s="255" t="str">
        <f t="shared" ca="1" si="86"/>
        <v/>
      </c>
      <c r="C538" s="256" t="str">
        <f t="shared" ca="1" si="87"/>
        <v/>
      </c>
      <c r="D538" s="257" t="str">
        <f t="shared" ca="1" si="88"/>
        <v/>
      </c>
      <c r="E538" s="808" t="str">
        <f t="shared" ca="1" si="89"/>
        <v/>
      </c>
      <c r="F538" s="253" t="str">
        <f t="shared" ca="1" si="90"/>
        <v/>
      </c>
      <c r="G538" s="257" t="str">
        <f t="shared" ca="1" si="91"/>
        <v/>
      </c>
      <c r="H538" s="257" t="str">
        <f t="shared" ca="1" si="92"/>
        <v/>
      </c>
      <c r="I538" s="220" t="str">
        <f t="shared" ca="1" si="93"/>
        <v/>
      </c>
    </row>
    <row r="539" spans="1:9" x14ac:dyDescent="0.25">
      <c r="A539" s="254" t="str">
        <f t="shared" ca="1" si="85"/>
        <v/>
      </c>
      <c r="B539" s="255" t="str">
        <f t="shared" ca="1" si="86"/>
        <v/>
      </c>
      <c r="C539" s="256" t="str">
        <f t="shared" ca="1" si="87"/>
        <v/>
      </c>
      <c r="D539" s="257" t="str">
        <f t="shared" ca="1" si="88"/>
        <v/>
      </c>
      <c r="E539" s="808" t="str">
        <f t="shared" ca="1" si="89"/>
        <v/>
      </c>
      <c r="F539" s="253" t="str">
        <f t="shared" ca="1" si="90"/>
        <v/>
      </c>
      <c r="G539" s="257" t="str">
        <f t="shared" ca="1" si="91"/>
        <v/>
      </c>
      <c r="H539" s="257" t="str">
        <f t="shared" ca="1" si="92"/>
        <v/>
      </c>
      <c r="I539" s="220" t="str">
        <f t="shared" ca="1" si="93"/>
        <v/>
      </c>
    </row>
    <row r="540" spans="1:9" x14ac:dyDescent="0.25">
      <c r="A540" s="254" t="str">
        <f t="shared" ca="1" si="85"/>
        <v/>
      </c>
      <c r="B540" s="255" t="str">
        <f t="shared" ca="1" si="86"/>
        <v/>
      </c>
      <c r="C540" s="256" t="str">
        <f t="shared" ca="1" si="87"/>
        <v/>
      </c>
      <c r="D540" s="257" t="str">
        <f t="shared" ca="1" si="88"/>
        <v/>
      </c>
      <c r="E540" s="808" t="str">
        <f t="shared" ca="1" si="89"/>
        <v/>
      </c>
      <c r="F540" s="253" t="str">
        <f t="shared" ca="1" si="90"/>
        <v/>
      </c>
      <c r="G540" s="257" t="str">
        <f t="shared" ca="1" si="91"/>
        <v/>
      </c>
      <c r="H540" s="257" t="str">
        <f t="shared" ca="1" si="92"/>
        <v/>
      </c>
      <c r="I540" s="220" t="str">
        <f t="shared" ca="1" si="93"/>
        <v/>
      </c>
    </row>
    <row r="541" spans="1:9" x14ac:dyDescent="0.25">
      <c r="A541" s="254" t="str">
        <f t="shared" ca="1" si="85"/>
        <v/>
      </c>
      <c r="B541" s="255" t="str">
        <f t="shared" ca="1" si="86"/>
        <v/>
      </c>
      <c r="C541" s="256" t="str">
        <f t="shared" ca="1" si="87"/>
        <v/>
      </c>
      <c r="D541" s="257" t="str">
        <f t="shared" ca="1" si="88"/>
        <v/>
      </c>
      <c r="E541" s="808" t="str">
        <f t="shared" ca="1" si="89"/>
        <v/>
      </c>
      <c r="F541" s="253" t="str">
        <f t="shared" ca="1" si="90"/>
        <v/>
      </c>
      <c r="G541" s="257" t="str">
        <f t="shared" ca="1" si="91"/>
        <v/>
      </c>
      <c r="H541" s="257" t="str">
        <f t="shared" ca="1" si="92"/>
        <v/>
      </c>
      <c r="I541" s="220" t="str">
        <f t="shared" ca="1" si="93"/>
        <v/>
      </c>
    </row>
    <row r="542" spans="1:9" x14ac:dyDescent="0.25">
      <c r="A542" s="254" t="str">
        <f t="shared" ca="1" si="85"/>
        <v/>
      </c>
      <c r="B542" s="255" t="str">
        <f t="shared" ca="1" si="86"/>
        <v/>
      </c>
      <c r="C542" s="256" t="str">
        <f t="shared" ca="1" si="87"/>
        <v/>
      </c>
      <c r="D542" s="257" t="str">
        <f t="shared" ca="1" si="88"/>
        <v/>
      </c>
      <c r="E542" s="808" t="str">
        <f t="shared" ca="1" si="89"/>
        <v/>
      </c>
      <c r="F542" s="253" t="str">
        <f t="shared" ca="1" si="90"/>
        <v/>
      </c>
      <c r="G542" s="257" t="str">
        <f t="shared" ca="1" si="91"/>
        <v/>
      </c>
      <c r="H542" s="257" t="str">
        <f t="shared" ca="1" si="92"/>
        <v/>
      </c>
      <c r="I542" s="220" t="str">
        <f t="shared" ca="1" si="93"/>
        <v/>
      </c>
    </row>
    <row r="543" spans="1:9" x14ac:dyDescent="0.25">
      <c r="A543" s="254" t="str">
        <f t="shared" ca="1" si="85"/>
        <v/>
      </c>
      <c r="B543" s="255" t="str">
        <f t="shared" ca="1" si="86"/>
        <v/>
      </c>
      <c r="C543" s="256" t="str">
        <f t="shared" ca="1" si="87"/>
        <v/>
      </c>
      <c r="D543" s="257" t="str">
        <f t="shared" ca="1" si="88"/>
        <v/>
      </c>
      <c r="E543" s="808" t="str">
        <f t="shared" ca="1" si="89"/>
        <v/>
      </c>
      <c r="F543" s="253" t="str">
        <f t="shared" ca="1" si="90"/>
        <v/>
      </c>
      <c r="G543" s="257" t="str">
        <f t="shared" ca="1" si="91"/>
        <v/>
      </c>
      <c r="H543" s="257" t="str">
        <f t="shared" ca="1" si="92"/>
        <v/>
      </c>
      <c r="I543" s="220" t="str">
        <f t="shared" ca="1" si="93"/>
        <v/>
      </c>
    </row>
    <row r="544" spans="1:9" x14ac:dyDescent="0.25">
      <c r="A544" s="254" t="str">
        <f t="shared" ca="1" si="85"/>
        <v/>
      </c>
      <c r="B544" s="255" t="str">
        <f t="shared" ca="1" si="86"/>
        <v/>
      </c>
      <c r="C544" s="256" t="str">
        <f t="shared" ca="1" si="87"/>
        <v/>
      </c>
      <c r="D544" s="257" t="str">
        <f t="shared" ca="1" si="88"/>
        <v/>
      </c>
      <c r="E544" s="808" t="str">
        <f t="shared" ca="1" si="89"/>
        <v/>
      </c>
      <c r="F544" s="253" t="str">
        <f t="shared" ca="1" si="90"/>
        <v/>
      </c>
      <c r="G544" s="257" t="str">
        <f t="shared" ca="1" si="91"/>
        <v/>
      </c>
      <c r="H544" s="257" t="str">
        <f t="shared" ca="1" si="92"/>
        <v/>
      </c>
      <c r="I544" s="220" t="str">
        <f t="shared" ca="1" si="93"/>
        <v/>
      </c>
    </row>
    <row r="545" spans="1:9" x14ac:dyDescent="0.25">
      <c r="A545" s="254" t="str">
        <f t="shared" ca="1" si="85"/>
        <v/>
      </c>
      <c r="B545" s="255" t="str">
        <f t="shared" ca="1" si="86"/>
        <v/>
      </c>
      <c r="C545" s="256" t="str">
        <f t="shared" ca="1" si="87"/>
        <v/>
      </c>
      <c r="D545" s="257" t="str">
        <f t="shared" ca="1" si="88"/>
        <v/>
      </c>
      <c r="E545" s="808" t="str">
        <f t="shared" ca="1" si="89"/>
        <v/>
      </c>
      <c r="F545" s="253" t="str">
        <f t="shared" ca="1" si="90"/>
        <v/>
      </c>
      <c r="G545" s="257" t="str">
        <f t="shared" ca="1" si="91"/>
        <v/>
      </c>
      <c r="H545" s="257" t="str">
        <f t="shared" ca="1" si="92"/>
        <v/>
      </c>
      <c r="I545" s="220" t="str">
        <f t="shared" ca="1" si="93"/>
        <v/>
      </c>
    </row>
    <row r="546" spans="1:9" x14ac:dyDescent="0.25">
      <c r="A546" s="254" t="str">
        <f t="shared" ca="1" si="85"/>
        <v/>
      </c>
      <c r="B546" s="255" t="str">
        <f t="shared" ca="1" si="86"/>
        <v/>
      </c>
      <c r="C546" s="256" t="str">
        <f t="shared" ca="1" si="87"/>
        <v/>
      </c>
      <c r="D546" s="257" t="str">
        <f t="shared" ca="1" si="88"/>
        <v/>
      </c>
      <c r="E546" s="808" t="str">
        <f t="shared" ca="1" si="89"/>
        <v/>
      </c>
      <c r="F546" s="253" t="str">
        <f t="shared" ca="1" si="90"/>
        <v/>
      </c>
      <c r="G546" s="257" t="str">
        <f t="shared" ca="1" si="91"/>
        <v/>
      </c>
      <c r="H546" s="257" t="str">
        <f t="shared" ca="1" si="92"/>
        <v/>
      </c>
      <c r="I546" s="220" t="str">
        <f t="shared" ca="1" si="93"/>
        <v/>
      </c>
    </row>
    <row r="547" spans="1:9" x14ac:dyDescent="0.25">
      <c r="A547" s="254" t="str">
        <f t="shared" ca="1" si="85"/>
        <v/>
      </c>
      <c r="B547" s="255" t="str">
        <f t="shared" ca="1" si="86"/>
        <v/>
      </c>
      <c r="C547" s="256" t="str">
        <f t="shared" ca="1" si="87"/>
        <v/>
      </c>
      <c r="D547" s="257" t="str">
        <f t="shared" ca="1" si="88"/>
        <v/>
      </c>
      <c r="E547" s="808" t="str">
        <f t="shared" ca="1" si="89"/>
        <v/>
      </c>
      <c r="F547" s="253" t="str">
        <f t="shared" ca="1" si="90"/>
        <v/>
      </c>
      <c r="G547" s="257" t="str">
        <f t="shared" ca="1" si="91"/>
        <v/>
      </c>
      <c r="H547" s="257" t="str">
        <f t="shared" ca="1" si="92"/>
        <v/>
      </c>
      <c r="I547" s="220" t="str">
        <f t="shared" ca="1" si="93"/>
        <v/>
      </c>
    </row>
    <row r="548" spans="1:9" x14ac:dyDescent="0.25">
      <c r="A548" s="254" t="str">
        <f t="shared" ca="1" si="85"/>
        <v/>
      </c>
      <c r="B548" s="255" t="str">
        <f t="shared" ca="1" si="86"/>
        <v/>
      </c>
      <c r="C548" s="256" t="str">
        <f t="shared" ca="1" si="87"/>
        <v/>
      </c>
      <c r="D548" s="257" t="str">
        <f t="shared" ca="1" si="88"/>
        <v/>
      </c>
      <c r="E548" s="808" t="str">
        <f t="shared" ca="1" si="89"/>
        <v/>
      </c>
      <c r="F548" s="253" t="str">
        <f t="shared" ca="1" si="90"/>
        <v/>
      </c>
      <c r="G548" s="257" t="str">
        <f t="shared" ca="1" si="91"/>
        <v/>
      </c>
      <c r="H548" s="257" t="str">
        <f t="shared" ca="1" si="92"/>
        <v/>
      </c>
      <c r="I548" s="220" t="str">
        <f t="shared" ca="1" si="93"/>
        <v/>
      </c>
    </row>
    <row r="549" spans="1:9" x14ac:dyDescent="0.25">
      <c r="A549" s="254" t="str">
        <f t="shared" ca="1" si="85"/>
        <v/>
      </c>
      <c r="B549" s="255" t="str">
        <f t="shared" ca="1" si="86"/>
        <v/>
      </c>
      <c r="C549" s="256" t="str">
        <f t="shared" ca="1" si="87"/>
        <v/>
      </c>
      <c r="D549" s="257" t="str">
        <f t="shared" ca="1" si="88"/>
        <v/>
      </c>
      <c r="E549" s="808" t="str">
        <f t="shared" ca="1" si="89"/>
        <v/>
      </c>
      <c r="F549" s="253" t="str">
        <f t="shared" ca="1" si="90"/>
        <v/>
      </c>
      <c r="G549" s="257" t="str">
        <f t="shared" ca="1" si="91"/>
        <v/>
      </c>
      <c r="H549" s="257" t="str">
        <f t="shared" ca="1" si="92"/>
        <v/>
      </c>
      <c r="I549" s="220" t="str">
        <f t="shared" ca="1" si="93"/>
        <v/>
      </c>
    </row>
    <row r="550" spans="1:9" x14ac:dyDescent="0.25">
      <c r="A550" s="254" t="str">
        <f t="shared" ca="1" si="85"/>
        <v/>
      </c>
      <c r="B550" s="255" t="str">
        <f t="shared" ca="1" si="86"/>
        <v/>
      </c>
      <c r="C550" s="256" t="str">
        <f t="shared" ca="1" si="87"/>
        <v/>
      </c>
      <c r="D550" s="257" t="str">
        <f t="shared" ca="1" si="88"/>
        <v/>
      </c>
      <c r="E550" s="808" t="str">
        <f t="shared" ca="1" si="89"/>
        <v/>
      </c>
      <c r="F550" s="253" t="str">
        <f t="shared" ca="1" si="90"/>
        <v/>
      </c>
      <c r="G550" s="257" t="str">
        <f t="shared" ca="1" si="91"/>
        <v/>
      </c>
      <c r="H550" s="257" t="str">
        <f t="shared" ca="1" si="92"/>
        <v/>
      </c>
      <c r="I550" s="220" t="str">
        <f t="shared" ca="1" si="93"/>
        <v/>
      </c>
    </row>
    <row r="551" spans="1:9" x14ac:dyDescent="0.25">
      <c r="A551" s="254" t="str">
        <f t="shared" ca="1" si="85"/>
        <v/>
      </c>
      <c r="B551" s="255" t="str">
        <f t="shared" ca="1" si="86"/>
        <v/>
      </c>
      <c r="C551" s="256" t="str">
        <f t="shared" ca="1" si="87"/>
        <v/>
      </c>
      <c r="D551" s="257" t="str">
        <f t="shared" ca="1" si="88"/>
        <v/>
      </c>
      <c r="E551" s="808" t="str">
        <f t="shared" ca="1" si="89"/>
        <v/>
      </c>
      <c r="F551" s="253" t="str">
        <f t="shared" ca="1" si="90"/>
        <v/>
      </c>
      <c r="G551" s="257" t="str">
        <f t="shared" ca="1" si="91"/>
        <v/>
      </c>
      <c r="H551" s="257" t="str">
        <f t="shared" ca="1" si="92"/>
        <v/>
      </c>
      <c r="I551" s="220" t="str">
        <f t="shared" ca="1" si="93"/>
        <v/>
      </c>
    </row>
    <row r="552" spans="1:9" x14ac:dyDescent="0.25">
      <c r="A552" s="254" t="str">
        <f t="shared" ca="1" si="85"/>
        <v/>
      </c>
      <c r="B552" s="255" t="str">
        <f t="shared" ca="1" si="86"/>
        <v/>
      </c>
      <c r="C552" s="256" t="str">
        <f t="shared" ca="1" si="87"/>
        <v/>
      </c>
      <c r="D552" s="257" t="str">
        <f t="shared" ca="1" si="88"/>
        <v/>
      </c>
      <c r="E552" s="808" t="str">
        <f t="shared" ca="1" si="89"/>
        <v/>
      </c>
      <c r="F552" s="253" t="str">
        <f t="shared" ca="1" si="90"/>
        <v/>
      </c>
      <c r="G552" s="257" t="str">
        <f t="shared" ca="1" si="91"/>
        <v/>
      </c>
      <c r="H552" s="257" t="str">
        <f t="shared" ca="1" si="92"/>
        <v/>
      </c>
      <c r="I552" s="220" t="str">
        <f t="shared" ca="1" si="93"/>
        <v/>
      </c>
    </row>
    <row r="553" spans="1:9" x14ac:dyDescent="0.25">
      <c r="A553" s="254" t="str">
        <f t="shared" ca="1" si="85"/>
        <v/>
      </c>
      <c r="B553" s="255" t="str">
        <f t="shared" ca="1" si="86"/>
        <v/>
      </c>
      <c r="C553" s="256" t="str">
        <f t="shared" ca="1" si="87"/>
        <v/>
      </c>
      <c r="D553" s="257" t="str">
        <f t="shared" ca="1" si="88"/>
        <v/>
      </c>
      <c r="E553" s="808" t="str">
        <f t="shared" ca="1" si="89"/>
        <v/>
      </c>
      <c r="F553" s="253" t="str">
        <f t="shared" ca="1" si="90"/>
        <v/>
      </c>
      <c r="G553" s="257" t="str">
        <f t="shared" ca="1" si="91"/>
        <v/>
      </c>
      <c r="H553" s="257" t="str">
        <f t="shared" ca="1" si="92"/>
        <v/>
      </c>
      <c r="I553" s="220" t="str">
        <f t="shared" ca="1" si="93"/>
        <v/>
      </c>
    </row>
    <row r="554" spans="1:9" x14ac:dyDescent="0.25">
      <c r="A554" s="254" t="str">
        <f t="shared" ca="1" si="85"/>
        <v/>
      </c>
      <c r="B554" s="255" t="str">
        <f t="shared" ca="1" si="86"/>
        <v/>
      </c>
      <c r="C554" s="256" t="str">
        <f t="shared" ca="1" si="87"/>
        <v/>
      </c>
      <c r="D554" s="257" t="str">
        <f t="shared" ca="1" si="88"/>
        <v/>
      </c>
      <c r="E554" s="808" t="str">
        <f t="shared" ca="1" si="89"/>
        <v/>
      </c>
      <c r="F554" s="253" t="str">
        <f t="shared" ca="1" si="90"/>
        <v/>
      </c>
      <c r="G554" s="257" t="str">
        <f t="shared" ca="1" si="91"/>
        <v/>
      </c>
      <c r="H554" s="257" t="str">
        <f t="shared" ca="1" si="92"/>
        <v/>
      </c>
      <c r="I554" s="220" t="str">
        <f t="shared" ca="1" si="93"/>
        <v/>
      </c>
    </row>
    <row r="555" spans="1:9" x14ac:dyDescent="0.25">
      <c r="A555" s="254" t="str">
        <f t="shared" ca="1" si="85"/>
        <v/>
      </c>
      <c r="B555" s="255" t="str">
        <f t="shared" ca="1" si="86"/>
        <v/>
      </c>
      <c r="C555" s="256" t="str">
        <f t="shared" ca="1" si="87"/>
        <v/>
      </c>
      <c r="D555" s="257" t="str">
        <f t="shared" ca="1" si="88"/>
        <v/>
      </c>
      <c r="E555" s="808" t="str">
        <f t="shared" ca="1" si="89"/>
        <v/>
      </c>
      <c r="F555" s="253" t="str">
        <f t="shared" ca="1" si="90"/>
        <v/>
      </c>
      <c r="G555" s="257" t="str">
        <f t="shared" ca="1" si="91"/>
        <v/>
      </c>
      <c r="H555" s="257" t="str">
        <f t="shared" ca="1" si="92"/>
        <v/>
      </c>
      <c r="I555" s="220" t="str">
        <f t="shared" ca="1" si="93"/>
        <v/>
      </c>
    </row>
    <row r="556" spans="1:9" x14ac:dyDescent="0.25">
      <c r="A556" s="254" t="str">
        <f t="shared" ca="1" si="85"/>
        <v/>
      </c>
      <c r="B556" s="255" t="str">
        <f t="shared" ca="1" si="86"/>
        <v/>
      </c>
      <c r="C556" s="256" t="str">
        <f t="shared" ca="1" si="87"/>
        <v/>
      </c>
      <c r="D556" s="257" t="str">
        <f t="shared" ca="1" si="88"/>
        <v/>
      </c>
      <c r="E556" s="808" t="str">
        <f t="shared" ca="1" si="89"/>
        <v/>
      </c>
      <c r="F556" s="253" t="str">
        <f t="shared" ca="1" si="90"/>
        <v/>
      </c>
      <c r="G556" s="257" t="str">
        <f t="shared" ca="1" si="91"/>
        <v/>
      </c>
      <c r="H556" s="257" t="str">
        <f t="shared" ca="1" si="92"/>
        <v/>
      </c>
      <c r="I556" s="220" t="str">
        <f t="shared" ca="1" si="93"/>
        <v/>
      </c>
    </row>
    <row r="557" spans="1:9" x14ac:dyDescent="0.25">
      <c r="A557" s="254" t="str">
        <f t="shared" ca="1" si="85"/>
        <v/>
      </c>
      <c r="B557" s="255" t="str">
        <f t="shared" ca="1" si="86"/>
        <v/>
      </c>
      <c r="C557" s="256" t="str">
        <f t="shared" ca="1" si="87"/>
        <v/>
      </c>
      <c r="D557" s="257" t="str">
        <f t="shared" ca="1" si="88"/>
        <v/>
      </c>
      <c r="E557" s="808" t="str">
        <f t="shared" ca="1" si="89"/>
        <v/>
      </c>
      <c r="F557" s="253" t="str">
        <f t="shared" ca="1" si="90"/>
        <v/>
      </c>
      <c r="G557" s="257" t="str">
        <f t="shared" ca="1" si="91"/>
        <v/>
      </c>
      <c r="H557" s="257" t="str">
        <f t="shared" ca="1" si="92"/>
        <v/>
      </c>
      <c r="I557" s="220" t="str">
        <f t="shared" ca="1" si="93"/>
        <v/>
      </c>
    </row>
    <row r="558" spans="1:9" x14ac:dyDescent="0.25">
      <c r="A558" s="254" t="str">
        <f t="shared" ca="1" si="85"/>
        <v/>
      </c>
      <c r="B558" s="255" t="str">
        <f t="shared" ca="1" si="86"/>
        <v/>
      </c>
      <c r="C558" s="256" t="str">
        <f t="shared" ca="1" si="87"/>
        <v/>
      </c>
      <c r="D558" s="257" t="str">
        <f t="shared" ca="1" si="88"/>
        <v/>
      </c>
      <c r="E558" s="808" t="str">
        <f t="shared" ca="1" si="89"/>
        <v/>
      </c>
      <c r="F558" s="253" t="str">
        <f t="shared" ca="1" si="90"/>
        <v/>
      </c>
      <c r="G558" s="257" t="str">
        <f t="shared" ca="1" si="91"/>
        <v/>
      </c>
      <c r="H558" s="257" t="str">
        <f t="shared" ca="1" si="92"/>
        <v/>
      </c>
      <c r="I558" s="220" t="str">
        <f t="shared" ca="1" si="93"/>
        <v/>
      </c>
    </row>
    <row r="559" spans="1:9" x14ac:dyDescent="0.25">
      <c r="A559" s="254" t="str">
        <f t="shared" ca="1" si="85"/>
        <v/>
      </c>
      <c r="B559" s="255" t="str">
        <f t="shared" ca="1" si="86"/>
        <v/>
      </c>
      <c r="C559" s="256" t="str">
        <f t="shared" ca="1" si="87"/>
        <v/>
      </c>
      <c r="D559" s="257" t="str">
        <f t="shared" ca="1" si="88"/>
        <v/>
      </c>
      <c r="E559" s="808" t="str">
        <f t="shared" ca="1" si="89"/>
        <v/>
      </c>
      <c r="F559" s="253" t="str">
        <f t="shared" ca="1" si="90"/>
        <v/>
      </c>
      <c r="G559" s="257" t="str">
        <f t="shared" ca="1" si="91"/>
        <v/>
      </c>
      <c r="H559" s="257" t="str">
        <f t="shared" ca="1" si="92"/>
        <v/>
      </c>
      <c r="I559" s="220" t="str">
        <f t="shared" ca="1" si="93"/>
        <v/>
      </c>
    </row>
    <row r="560" spans="1:9" x14ac:dyDescent="0.25">
      <c r="A560" s="254" t="str">
        <f t="shared" ca="1" si="85"/>
        <v/>
      </c>
      <c r="B560" s="255" t="str">
        <f t="shared" ca="1" si="86"/>
        <v/>
      </c>
      <c r="C560" s="256" t="str">
        <f t="shared" ca="1" si="87"/>
        <v/>
      </c>
      <c r="D560" s="257" t="str">
        <f t="shared" ca="1" si="88"/>
        <v/>
      </c>
      <c r="E560" s="808" t="str">
        <f t="shared" ca="1" si="89"/>
        <v/>
      </c>
      <c r="F560" s="253" t="str">
        <f t="shared" ca="1" si="90"/>
        <v/>
      </c>
      <c r="G560" s="257" t="str">
        <f t="shared" ca="1" si="91"/>
        <v/>
      </c>
      <c r="H560" s="257" t="str">
        <f t="shared" ca="1" si="92"/>
        <v/>
      </c>
      <c r="I560" s="220" t="str">
        <f t="shared" ca="1" si="93"/>
        <v/>
      </c>
    </row>
    <row r="561" spans="1:9" x14ac:dyDescent="0.25">
      <c r="A561" s="254" t="str">
        <f t="shared" ca="1" si="85"/>
        <v/>
      </c>
      <c r="B561" s="255" t="str">
        <f t="shared" ca="1" si="86"/>
        <v/>
      </c>
      <c r="C561" s="256" t="str">
        <f t="shared" ca="1" si="87"/>
        <v/>
      </c>
      <c r="D561" s="257" t="str">
        <f t="shared" ca="1" si="88"/>
        <v/>
      </c>
      <c r="E561" s="808" t="str">
        <f t="shared" ca="1" si="89"/>
        <v/>
      </c>
      <c r="F561" s="253" t="str">
        <f t="shared" ca="1" si="90"/>
        <v/>
      </c>
      <c r="G561" s="257" t="str">
        <f t="shared" ca="1" si="91"/>
        <v/>
      </c>
      <c r="H561" s="257" t="str">
        <f t="shared" ca="1" si="92"/>
        <v/>
      </c>
      <c r="I561" s="220" t="str">
        <f t="shared" ca="1" si="93"/>
        <v/>
      </c>
    </row>
    <row r="562" spans="1:9" x14ac:dyDescent="0.25">
      <c r="A562" s="254" t="str">
        <f t="shared" ca="1" si="85"/>
        <v/>
      </c>
      <c r="B562" s="255" t="str">
        <f t="shared" ca="1" si="86"/>
        <v/>
      </c>
      <c r="C562" s="256" t="str">
        <f t="shared" ca="1" si="87"/>
        <v/>
      </c>
      <c r="D562" s="257" t="str">
        <f t="shared" ca="1" si="88"/>
        <v/>
      </c>
      <c r="E562" s="808" t="str">
        <f t="shared" ca="1" si="89"/>
        <v/>
      </c>
      <c r="F562" s="253" t="str">
        <f t="shared" ca="1" si="90"/>
        <v/>
      </c>
      <c r="G562" s="257" t="str">
        <f t="shared" ca="1" si="91"/>
        <v/>
      </c>
      <c r="H562" s="257" t="str">
        <f t="shared" ca="1" si="92"/>
        <v/>
      </c>
      <c r="I562" s="220" t="str">
        <f t="shared" ca="1" si="93"/>
        <v/>
      </c>
    </row>
    <row r="563" spans="1:9" x14ac:dyDescent="0.25">
      <c r="A563" s="254" t="str">
        <f t="shared" ca="1" si="85"/>
        <v/>
      </c>
      <c r="B563" s="255" t="str">
        <f t="shared" ca="1" si="86"/>
        <v/>
      </c>
      <c r="C563" s="256" t="str">
        <f t="shared" ca="1" si="87"/>
        <v/>
      </c>
      <c r="D563" s="257" t="str">
        <f t="shared" ca="1" si="88"/>
        <v/>
      </c>
      <c r="E563" s="808" t="str">
        <f t="shared" ca="1" si="89"/>
        <v/>
      </c>
      <c r="F563" s="253" t="str">
        <f t="shared" ca="1" si="90"/>
        <v/>
      </c>
      <c r="G563" s="257" t="str">
        <f t="shared" ca="1" si="91"/>
        <v/>
      </c>
      <c r="H563" s="257" t="str">
        <f t="shared" ca="1" si="92"/>
        <v/>
      </c>
      <c r="I563" s="220" t="str">
        <f t="shared" ca="1" si="93"/>
        <v/>
      </c>
    </row>
    <row r="564" spans="1:9" x14ac:dyDescent="0.25">
      <c r="A564" s="254" t="str">
        <f t="shared" ca="1" si="85"/>
        <v/>
      </c>
      <c r="B564" s="255" t="str">
        <f t="shared" ca="1" si="86"/>
        <v/>
      </c>
      <c r="C564" s="256" t="str">
        <f t="shared" ca="1" si="87"/>
        <v/>
      </c>
      <c r="D564" s="257" t="str">
        <f t="shared" ca="1" si="88"/>
        <v/>
      </c>
      <c r="E564" s="808" t="str">
        <f t="shared" ca="1" si="89"/>
        <v/>
      </c>
      <c r="F564" s="253" t="str">
        <f t="shared" ca="1" si="90"/>
        <v/>
      </c>
      <c r="G564" s="257" t="str">
        <f t="shared" ca="1" si="91"/>
        <v/>
      </c>
      <c r="H564" s="257" t="str">
        <f t="shared" ca="1" si="92"/>
        <v/>
      </c>
      <c r="I564" s="220" t="str">
        <f t="shared" ca="1" si="93"/>
        <v/>
      </c>
    </row>
    <row r="565" spans="1:9" x14ac:dyDescent="0.25">
      <c r="A565" s="254" t="str">
        <f t="shared" ca="1" si="85"/>
        <v/>
      </c>
      <c r="B565" s="255" t="str">
        <f t="shared" ca="1" si="86"/>
        <v/>
      </c>
      <c r="C565" s="256" t="str">
        <f t="shared" ca="1" si="87"/>
        <v/>
      </c>
      <c r="D565" s="257" t="str">
        <f t="shared" ca="1" si="88"/>
        <v/>
      </c>
      <c r="E565" s="808" t="str">
        <f t="shared" ca="1" si="89"/>
        <v/>
      </c>
      <c r="F565" s="253" t="str">
        <f t="shared" ca="1" si="90"/>
        <v/>
      </c>
      <c r="G565" s="257" t="str">
        <f t="shared" ca="1" si="91"/>
        <v/>
      </c>
      <c r="H565" s="257" t="str">
        <f t="shared" ca="1" si="92"/>
        <v/>
      </c>
      <c r="I565" s="220" t="str">
        <f t="shared" ca="1" si="93"/>
        <v/>
      </c>
    </row>
    <row r="566" spans="1:9" x14ac:dyDescent="0.25">
      <c r="A566" s="254" t="str">
        <f t="shared" ca="1" si="85"/>
        <v/>
      </c>
      <c r="B566" s="255" t="str">
        <f t="shared" ca="1" si="86"/>
        <v/>
      </c>
      <c r="C566" s="256" t="str">
        <f t="shared" ca="1" si="87"/>
        <v/>
      </c>
      <c r="D566" s="257" t="str">
        <f t="shared" ca="1" si="88"/>
        <v/>
      </c>
      <c r="E566" s="808" t="str">
        <f t="shared" ca="1" si="89"/>
        <v/>
      </c>
      <c r="F566" s="253" t="str">
        <f t="shared" ca="1" si="90"/>
        <v/>
      </c>
      <c r="G566" s="257" t="str">
        <f t="shared" ca="1" si="91"/>
        <v/>
      </c>
      <c r="H566" s="257" t="str">
        <f t="shared" ca="1" si="92"/>
        <v/>
      </c>
      <c r="I566" s="220" t="str">
        <f t="shared" ca="1" si="93"/>
        <v/>
      </c>
    </row>
    <row r="567" spans="1:9" x14ac:dyDescent="0.25">
      <c r="A567" s="254" t="str">
        <f t="shared" ca="1" si="85"/>
        <v/>
      </c>
      <c r="B567" s="255" t="str">
        <f t="shared" ca="1" si="86"/>
        <v/>
      </c>
      <c r="C567" s="256" t="str">
        <f t="shared" ca="1" si="87"/>
        <v/>
      </c>
      <c r="D567" s="257" t="str">
        <f t="shared" ca="1" si="88"/>
        <v/>
      </c>
      <c r="E567" s="808" t="str">
        <f t="shared" ca="1" si="89"/>
        <v/>
      </c>
      <c r="F567" s="253" t="str">
        <f t="shared" ca="1" si="90"/>
        <v/>
      </c>
      <c r="G567" s="257" t="str">
        <f t="shared" ca="1" si="91"/>
        <v/>
      </c>
      <c r="H567" s="257" t="str">
        <f t="shared" ca="1" si="92"/>
        <v/>
      </c>
      <c r="I567" s="220" t="str">
        <f t="shared" ca="1" si="93"/>
        <v/>
      </c>
    </row>
    <row r="568" spans="1:9" x14ac:dyDescent="0.25">
      <c r="A568" s="254" t="str">
        <f t="shared" ca="1" si="85"/>
        <v/>
      </c>
      <c r="B568" s="255" t="str">
        <f t="shared" ca="1" si="86"/>
        <v/>
      </c>
      <c r="C568" s="256" t="str">
        <f t="shared" ca="1" si="87"/>
        <v/>
      </c>
      <c r="D568" s="257" t="str">
        <f t="shared" ca="1" si="88"/>
        <v/>
      </c>
      <c r="E568" s="808" t="str">
        <f t="shared" ca="1" si="89"/>
        <v/>
      </c>
      <c r="F568" s="253" t="str">
        <f t="shared" ca="1" si="90"/>
        <v/>
      </c>
      <c r="G568" s="257" t="str">
        <f t="shared" ca="1" si="91"/>
        <v/>
      </c>
      <c r="H568" s="257" t="str">
        <f t="shared" ca="1" si="92"/>
        <v/>
      </c>
      <c r="I568" s="220" t="str">
        <f t="shared" ca="1" si="93"/>
        <v/>
      </c>
    </row>
    <row r="569" spans="1:9" x14ac:dyDescent="0.25">
      <c r="A569" s="254" t="str">
        <f t="shared" ca="1" si="85"/>
        <v/>
      </c>
      <c r="B569" s="255" t="str">
        <f t="shared" ca="1" si="86"/>
        <v/>
      </c>
      <c r="C569" s="256" t="str">
        <f t="shared" ca="1" si="87"/>
        <v/>
      </c>
      <c r="D569" s="257" t="str">
        <f t="shared" ca="1" si="88"/>
        <v/>
      </c>
      <c r="E569" s="808" t="str">
        <f t="shared" ca="1" si="89"/>
        <v/>
      </c>
      <c r="F569" s="253" t="str">
        <f t="shared" ca="1" si="90"/>
        <v/>
      </c>
      <c r="G569" s="257" t="str">
        <f t="shared" ca="1" si="91"/>
        <v/>
      </c>
      <c r="H569" s="257" t="str">
        <f t="shared" ca="1" si="92"/>
        <v/>
      </c>
      <c r="I569" s="220" t="str">
        <f t="shared" ca="1" si="93"/>
        <v/>
      </c>
    </row>
    <row r="570" spans="1:9" x14ac:dyDescent="0.25">
      <c r="A570" s="254" t="str">
        <f t="shared" ca="1" si="85"/>
        <v/>
      </c>
      <c r="B570" s="255" t="str">
        <f t="shared" ca="1" si="86"/>
        <v/>
      </c>
      <c r="C570" s="256" t="str">
        <f t="shared" ca="1" si="87"/>
        <v/>
      </c>
      <c r="D570" s="257" t="str">
        <f t="shared" ca="1" si="88"/>
        <v/>
      </c>
      <c r="E570" s="808" t="str">
        <f t="shared" ca="1" si="89"/>
        <v/>
      </c>
      <c r="F570" s="253" t="str">
        <f t="shared" ca="1" si="90"/>
        <v/>
      </c>
      <c r="G570" s="257" t="str">
        <f t="shared" ca="1" si="91"/>
        <v/>
      </c>
      <c r="H570" s="257" t="str">
        <f t="shared" ca="1" si="92"/>
        <v/>
      </c>
      <c r="I570" s="220" t="str">
        <f t="shared" ca="1" si="93"/>
        <v/>
      </c>
    </row>
    <row r="571" spans="1:9" x14ac:dyDescent="0.25">
      <c r="A571" s="254" t="str">
        <f t="shared" ca="1" si="85"/>
        <v/>
      </c>
      <c r="B571" s="255" t="str">
        <f t="shared" ca="1" si="86"/>
        <v/>
      </c>
      <c r="C571" s="256" t="str">
        <f t="shared" ca="1" si="87"/>
        <v/>
      </c>
      <c r="D571" s="257" t="str">
        <f t="shared" ca="1" si="88"/>
        <v/>
      </c>
      <c r="E571" s="808" t="str">
        <f t="shared" ca="1" si="89"/>
        <v/>
      </c>
      <c r="F571" s="253" t="str">
        <f t="shared" ca="1" si="90"/>
        <v/>
      </c>
      <c r="G571" s="257" t="str">
        <f t="shared" ca="1" si="91"/>
        <v/>
      </c>
      <c r="H571" s="257" t="str">
        <f t="shared" ca="1" si="92"/>
        <v/>
      </c>
      <c r="I571" s="220" t="str">
        <f t="shared" ca="1" si="93"/>
        <v/>
      </c>
    </row>
    <row r="572" spans="1:9" x14ac:dyDescent="0.25">
      <c r="A572" s="254" t="str">
        <f t="shared" ca="1" si="85"/>
        <v/>
      </c>
      <c r="B572" s="255" t="str">
        <f t="shared" ca="1" si="86"/>
        <v/>
      </c>
      <c r="C572" s="256" t="str">
        <f t="shared" ca="1" si="87"/>
        <v/>
      </c>
      <c r="D572" s="257" t="str">
        <f t="shared" ca="1" si="88"/>
        <v/>
      </c>
      <c r="E572" s="808" t="str">
        <f t="shared" ca="1" si="89"/>
        <v/>
      </c>
      <c r="F572" s="253" t="str">
        <f t="shared" ca="1" si="90"/>
        <v/>
      </c>
      <c r="G572" s="257" t="str">
        <f t="shared" ca="1" si="91"/>
        <v/>
      </c>
      <c r="H572" s="257" t="str">
        <f t="shared" ca="1" si="92"/>
        <v/>
      </c>
      <c r="I572" s="220" t="str">
        <f t="shared" ca="1" si="93"/>
        <v/>
      </c>
    </row>
    <row r="573" spans="1:9" x14ac:dyDescent="0.25">
      <c r="A573" s="254" t="str">
        <f t="shared" ca="1" si="85"/>
        <v/>
      </c>
      <c r="B573" s="255" t="str">
        <f t="shared" ca="1" si="86"/>
        <v/>
      </c>
      <c r="C573" s="256" t="str">
        <f t="shared" ca="1" si="87"/>
        <v/>
      </c>
      <c r="D573" s="257" t="str">
        <f t="shared" ca="1" si="88"/>
        <v/>
      </c>
      <c r="E573" s="808" t="str">
        <f t="shared" ca="1" si="89"/>
        <v/>
      </c>
      <c r="F573" s="253" t="str">
        <f t="shared" ca="1" si="90"/>
        <v/>
      </c>
      <c r="G573" s="257" t="str">
        <f t="shared" ca="1" si="91"/>
        <v/>
      </c>
      <c r="H573" s="257" t="str">
        <f t="shared" ca="1" si="92"/>
        <v/>
      </c>
      <c r="I573" s="220" t="str">
        <f t="shared" ca="1" si="93"/>
        <v/>
      </c>
    </row>
    <row r="574" spans="1:9" x14ac:dyDescent="0.25">
      <c r="A574" s="254" t="str">
        <f t="shared" ca="1" si="85"/>
        <v/>
      </c>
      <c r="B574" s="255" t="str">
        <f t="shared" ca="1" si="86"/>
        <v/>
      </c>
      <c r="C574" s="256" t="str">
        <f t="shared" ca="1" si="87"/>
        <v/>
      </c>
      <c r="D574" s="257" t="str">
        <f t="shared" ca="1" si="88"/>
        <v/>
      </c>
      <c r="E574" s="808" t="str">
        <f t="shared" ca="1" si="89"/>
        <v/>
      </c>
      <c r="F574" s="253" t="str">
        <f t="shared" ca="1" si="90"/>
        <v/>
      </c>
      <c r="G574" s="257" t="str">
        <f t="shared" ca="1" si="91"/>
        <v/>
      </c>
      <c r="H574" s="257" t="str">
        <f t="shared" ca="1" si="92"/>
        <v/>
      </c>
      <c r="I574" s="220" t="str">
        <f t="shared" ca="1" si="93"/>
        <v/>
      </c>
    </row>
    <row r="575" spans="1:9" x14ac:dyDescent="0.25">
      <c r="A575" s="254" t="str">
        <f t="shared" ca="1" si="85"/>
        <v/>
      </c>
      <c r="B575" s="255" t="str">
        <f t="shared" ca="1" si="86"/>
        <v/>
      </c>
      <c r="C575" s="256" t="str">
        <f t="shared" ca="1" si="87"/>
        <v/>
      </c>
      <c r="D575" s="257" t="str">
        <f t="shared" ca="1" si="88"/>
        <v/>
      </c>
      <c r="E575" s="808" t="str">
        <f t="shared" ca="1" si="89"/>
        <v/>
      </c>
      <c r="F575" s="253" t="str">
        <f t="shared" ca="1" si="90"/>
        <v/>
      </c>
      <c r="G575" s="257" t="str">
        <f t="shared" ca="1" si="91"/>
        <v/>
      </c>
      <c r="H575" s="257" t="str">
        <f t="shared" ca="1" si="92"/>
        <v/>
      </c>
      <c r="I575" s="220" t="str">
        <f t="shared" ca="1" si="93"/>
        <v/>
      </c>
    </row>
    <row r="576" spans="1:9" x14ac:dyDescent="0.25">
      <c r="A576" s="254" t="str">
        <f t="shared" ca="1" si="85"/>
        <v/>
      </c>
      <c r="B576" s="255" t="str">
        <f t="shared" ca="1" si="86"/>
        <v/>
      </c>
      <c r="C576" s="256" t="str">
        <f t="shared" ca="1" si="87"/>
        <v/>
      </c>
      <c r="D576" s="257" t="str">
        <f t="shared" ca="1" si="88"/>
        <v/>
      </c>
      <c r="E576" s="808" t="str">
        <f t="shared" ca="1" si="89"/>
        <v/>
      </c>
      <c r="F576" s="253" t="str">
        <f t="shared" ca="1" si="90"/>
        <v/>
      </c>
      <c r="G576" s="257" t="str">
        <f t="shared" ca="1" si="91"/>
        <v/>
      </c>
      <c r="H576" s="257" t="str">
        <f t="shared" ca="1" si="92"/>
        <v/>
      </c>
      <c r="I576" s="220" t="str">
        <f t="shared" ca="1" si="93"/>
        <v/>
      </c>
    </row>
    <row r="577" spans="1:9" x14ac:dyDescent="0.25">
      <c r="A577" s="254" t="str">
        <f t="shared" ca="1" si="85"/>
        <v/>
      </c>
      <c r="B577" s="255" t="str">
        <f t="shared" ca="1" si="86"/>
        <v/>
      </c>
      <c r="C577" s="256" t="str">
        <f t="shared" ca="1" si="87"/>
        <v/>
      </c>
      <c r="D577" s="257" t="str">
        <f t="shared" ca="1" si="88"/>
        <v/>
      </c>
      <c r="E577" s="808" t="str">
        <f t="shared" ca="1" si="89"/>
        <v/>
      </c>
      <c r="F577" s="253" t="str">
        <f t="shared" ca="1" si="90"/>
        <v/>
      </c>
      <c r="G577" s="257" t="str">
        <f t="shared" ca="1" si="91"/>
        <v/>
      </c>
      <c r="H577" s="257" t="str">
        <f t="shared" ca="1" si="92"/>
        <v/>
      </c>
      <c r="I577" s="220" t="str">
        <f t="shared" ca="1" si="93"/>
        <v/>
      </c>
    </row>
    <row r="578" spans="1:9" x14ac:dyDescent="0.25">
      <c r="A578" s="254" t="str">
        <f t="shared" ref="A578:A641" ca="1" si="94">IF(OR(H577&lt;=0,H577=""),"",OFFSET(A578,-1,0,1,1)+1)</f>
        <v/>
      </c>
      <c r="B578" s="255" t="str">
        <f t="shared" ref="B578:B641" ca="1" si="95">IF(A578&lt;$H$11+1,DATE(YEAR(B577),MONTH(B577)+3,1),"")</f>
        <v/>
      </c>
      <c r="C578" s="256" t="str">
        <f t="shared" ref="C578:C641" ca="1" si="96">IF(OR(A578=$H$11,A578=$H$14),G577+D578+E578,IF(B578="","",-$D$14))</f>
        <v/>
      </c>
      <c r="D578" s="257" t="str">
        <f t="shared" ref="D578:D641" ca="1" si="97">IF(B578="","",ROUND((B578-B577)*(E578/$D$13+$H$10*($I$10))*G577,2))</f>
        <v/>
      </c>
      <c r="E578" s="808" t="str">
        <f t="shared" ref="E578:E641" ca="1" si="98">IF(B578="","",ROUND((B578-B577)*($H$10*(1-$I$10))*G577,2))</f>
        <v/>
      </c>
      <c r="F578" s="253" t="str">
        <f t="shared" ref="F578:F641" ca="1" si="99">IF(B578="","",MAX(C578-D578,0))</f>
        <v/>
      </c>
      <c r="G578" s="257" t="str">
        <f t="shared" ref="G578:G641" ca="1" si="100">IF(B578="","",-(C578-D578)+G577)</f>
        <v/>
      </c>
      <c r="H578" s="257" t="str">
        <f t="shared" ref="H578:H641" ca="1" si="101">IF(B578="","",G578)</f>
        <v/>
      </c>
      <c r="I578" s="220" t="str">
        <f t="shared" ref="I578:I641" ca="1" si="102">IF(B578="","",YEAR(B578))</f>
        <v/>
      </c>
    </row>
    <row r="579" spans="1:9" x14ac:dyDescent="0.25">
      <c r="A579" s="254" t="str">
        <f t="shared" ca="1" si="94"/>
        <v/>
      </c>
      <c r="B579" s="255" t="str">
        <f t="shared" ca="1" si="95"/>
        <v/>
      </c>
      <c r="C579" s="256" t="str">
        <f t="shared" ca="1" si="96"/>
        <v/>
      </c>
      <c r="D579" s="257" t="str">
        <f t="shared" ca="1" si="97"/>
        <v/>
      </c>
      <c r="E579" s="808" t="str">
        <f t="shared" ca="1" si="98"/>
        <v/>
      </c>
      <c r="F579" s="253" t="str">
        <f t="shared" ca="1" si="99"/>
        <v/>
      </c>
      <c r="G579" s="257" t="str">
        <f t="shared" ca="1" si="100"/>
        <v/>
      </c>
      <c r="H579" s="257" t="str">
        <f t="shared" ca="1" si="101"/>
        <v/>
      </c>
      <c r="I579" s="220" t="str">
        <f t="shared" ca="1" si="102"/>
        <v/>
      </c>
    </row>
    <row r="580" spans="1:9" x14ac:dyDescent="0.25">
      <c r="A580" s="254" t="str">
        <f t="shared" ca="1" si="94"/>
        <v/>
      </c>
      <c r="B580" s="255" t="str">
        <f t="shared" ca="1" si="95"/>
        <v/>
      </c>
      <c r="C580" s="256" t="str">
        <f t="shared" ca="1" si="96"/>
        <v/>
      </c>
      <c r="D580" s="257" t="str">
        <f t="shared" ca="1" si="97"/>
        <v/>
      </c>
      <c r="E580" s="808" t="str">
        <f t="shared" ca="1" si="98"/>
        <v/>
      </c>
      <c r="F580" s="253" t="str">
        <f t="shared" ca="1" si="99"/>
        <v/>
      </c>
      <c r="G580" s="257" t="str">
        <f t="shared" ca="1" si="100"/>
        <v/>
      </c>
      <c r="H580" s="257" t="str">
        <f t="shared" ca="1" si="101"/>
        <v/>
      </c>
      <c r="I580" s="220" t="str">
        <f t="shared" ca="1" si="102"/>
        <v/>
      </c>
    </row>
    <row r="581" spans="1:9" x14ac:dyDescent="0.25">
      <c r="A581" s="254" t="str">
        <f t="shared" ca="1" si="94"/>
        <v/>
      </c>
      <c r="B581" s="255" t="str">
        <f t="shared" ca="1" si="95"/>
        <v/>
      </c>
      <c r="C581" s="256" t="str">
        <f t="shared" ca="1" si="96"/>
        <v/>
      </c>
      <c r="D581" s="257" t="str">
        <f t="shared" ca="1" si="97"/>
        <v/>
      </c>
      <c r="E581" s="808" t="str">
        <f t="shared" ca="1" si="98"/>
        <v/>
      </c>
      <c r="F581" s="253" t="str">
        <f t="shared" ca="1" si="99"/>
        <v/>
      </c>
      <c r="G581" s="257" t="str">
        <f t="shared" ca="1" si="100"/>
        <v/>
      </c>
      <c r="H581" s="257" t="str">
        <f t="shared" ca="1" si="101"/>
        <v/>
      </c>
      <c r="I581" s="220" t="str">
        <f t="shared" ca="1" si="102"/>
        <v/>
      </c>
    </row>
    <row r="582" spans="1:9" x14ac:dyDescent="0.25">
      <c r="A582" s="254" t="str">
        <f t="shared" ca="1" si="94"/>
        <v/>
      </c>
      <c r="B582" s="255" t="str">
        <f t="shared" ca="1" si="95"/>
        <v/>
      </c>
      <c r="C582" s="256" t="str">
        <f t="shared" ca="1" si="96"/>
        <v/>
      </c>
      <c r="D582" s="257" t="str">
        <f t="shared" ca="1" si="97"/>
        <v/>
      </c>
      <c r="E582" s="808" t="str">
        <f t="shared" ca="1" si="98"/>
        <v/>
      </c>
      <c r="F582" s="253" t="str">
        <f t="shared" ca="1" si="99"/>
        <v/>
      </c>
      <c r="G582" s="257" t="str">
        <f t="shared" ca="1" si="100"/>
        <v/>
      </c>
      <c r="H582" s="257" t="str">
        <f t="shared" ca="1" si="101"/>
        <v/>
      </c>
      <c r="I582" s="220" t="str">
        <f t="shared" ca="1" si="102"/>
        <v/>
      </c>
    </row>
    <row r="583" spans="1:9" x14ac:dyDescent="0.25">
      <c r="A583" s="254" t="str">
        <f t="shared" ca="1" si="94"/>
        <v/>
      </c>
      <c r="B583" s="255" t="str">
        <f t="shared" ca="1" si="95"/>
        <v/>
      </c>
      <c r="C583" s="256" t="str">
        <f t="shared" ca="1" si="96"/>
        <v/>
      </c>
      <c r="D583" s="257" t="str">
        <f t="shared" ca="1" si="97"/>
        <v/>
      </c>
      <c r="E583" s="808" t="str">
        <f t="shared" ca="1" si="98"/>
        <v/>
      </c>
      <c r="F583" s="253" t="str">
        <f t="shared" ca="1" si="99"/>
        <v/>
      </c>
      <c r="G583" s="257" t="str">
        <f t="shared" ca="1" si="100"/>
        <v/>
      </c>
      <c r="H583" s="257" t="str">
        <f t="shared" ca="1" si="101"/>
        <v/>
      </c>
      <c r="I583" s="220" t="str">
        <f t="shared" ca="1" si="102"/>
        <v/>
      </c>
    </row>
    <row r="584" spans="1:9" x14ac:dyDescent="0.25">
      <c r="A584" s="254" t="str">
        <f t="shared" ca="1" si="94"/>
        <v/>
      </c>
      <c r="B584" s="255" t="str">
        <f t="shared" ca="1" si="95"/>
        <v/>
      </c>
      <c r="C584" s="256" t="str">
        <f t="shared" ca="1" si="96"/>
        <v/>
      </c>
      <c r="D584" s="257" t="str">
        <f t="shared" ca="1" si="97"/>
        <v/>
      </c>
      <c r="E584" s="808" t="str">
        <f t="shared" ca="1" si="98"/>
        <v/>
      </c>
      <c r="F584" s="253" t="str">
        <f t="shared" ca="1" si="99"/>
        <v/>
      </c>
      <c r="G584" s="257" t="str">
        <f t="shared" ca="1" si="100"/>
        <v/>
      </c>
      <c r="H584" s="257" t="str">
        <f t="shared" ca="1" si="101"/>
        <v/>
      </c>
      <c r="I584" s="220" t="str">
        <f t="shared" ca="1" si="102"/>
        <v/>
      </c>
    </row>
    <row r="585" spans="1:9" x14ac:dyDescent="0.25">
      <c r="A585" s="254" t="str">
        <f t="shared" ca="1" si="94"/>
        <v/>
      </c>
      <c r="B585" s="255" t="str">
        <f t="shared" ca="1" si="95"/>
        <v/>
      </c>
      <c r="C585" s="256" t="str">
        <f t="shared" ca="1" si="96"/>
        <v/>
      </c>
      <c r="D585" s="257" t="str">
        <f t="shared" ca="1" si="97"/>
        <v/>
      </c>
      <c r="E585" s="808" t="str">
        <f t="shared" ca="1" si="98"/>
        <v/>
      </c>
      <c r="F585" s="253" t="str">
        <f t="shared" ca="1" si="99"/>
        <v/>
      </c>
      <c r="G585" s="257" t="str">
        <f t="shared" ca="1" si="100"/>
        <v/>
      </c>
      <c r="H585" s="257" t="str">
        <f t="shared" ca="1" si="101"/>
        <v/>
      </c>
      <c r="I585" s="220" t="str">
        <f t="shared" ca="1" si="102"/>
        <v/>
      </c>
    </row>
    <row r="586" spans="1:9" x14ac:dyDescent="0.25">
      <c r="A586" s="254" t="str">
        <f t="shared" ca="1" si="94"/>
        <v/>
      </c>
      <c r="B586" s="255" t="str">
        <f t="shared" ca="1" si="95"/>
        <v/>
      </c>
      <c r="C586" s="256" t="str">
        <f t="shared" ca="1" si="96"/>
        <v/>
      </c>
      <c r="D586" s="257" t="str">
        <f t="shared" ca="1" si="97"/>
        <v/>
      </c>
      <c r="E586" s="808" t="str">
        <f t="shared" ca="1" si="98"/>
        <v/>
      </c>
      <c r="F586" s="253" t="str">
        <f t="shared" ca="1" si="99"/>
        <v/>
      </c>
      <c r="G586" s="257" t="str">
        <f t="shared" ca="1" si="100"/>
        <v/>
      </c>
      <c r="H586" s="257" t="str">
        <f t="shared" ca="1" si="101"/>
        <v/>
      </c>
      <c r="I586" s="220" t="str">
        <f t="shared" ca="1" si="102"/>
        <v/>
      </c>
    </row>
    <row r="587" spans="1:9" x14ac:dyDescent="0.25">
      <c r="A587" s="254" t="str">
        <f t="shared" ca="1" si="94"/>
        <v/>
      </c>
      <c r="B587" s="255" t="str">
        <f t="shared" ca="1" si="95"/>
        <v/>
      </c>
      <c r="C587" s="256" t="str">
        <f t="shared" ca="1" si="96"/>
        <v/>
      </c>
      <c r="D587" s="257" t="str">
        <f t="shared" ca="1" si="97"/>
        <v/>
      </c>
      <c r="E587" s="808" t="str">
        <f t="shared" ca="1" si="98"/>
        <v/>
      </c>
      <c r="F587" s="253" t="str">
        <f t="shared" ca="1" si="99"/>
        <v/>
      </c>
      <c r="G587" s="257" t="str">
        <f t="shared" ca="1" si="100"/>
        <v/>
      </c>
      <c r="H587" s="257" t="str">
        <f t="shared" ca="1" si="101"/>
        <v/>
      </c>
      <c r="I587" s="220" t="str">
        <f t="shared" ca="1" si="102"/>
        <v/>
      </c>
    </row>
    <row r="588" spans="1:9" x14ac:dyDescent="0.25">
      <c r="A588" s="254" t="str">
        <f t="shared" ca="1" si="94"/>
        <v/>
      </c>
      <c r="B588" s="255" t="str">
        <f t="shared" ca="1" si="95"/>
        <v/>
      </c>
      <c r="C588" s="256" t="str">
        <f t="shared" ca="1" si="96"/>
        <v/>
      </c>
      <c r="D588" s="257" t="str">
        <f t="shared" ca="1" si="97"/>
        <v/>
      </c>
      <c r="E588" s="808" t="str">
        <f t="shared" ca="1" si="98"/>
        <v/>
      </c>
      <c r="F588" s="253" t="str">
        <f t="shared" ca="1" si="99"/>
        <v/>
      </c>
      <c r="G588" s="257" t="str">
        <f t="shared" ca="1" si="100"/>
        <v/>
      </c>
      <c r="H588" s="257" t="str">
        <f t="shared" ca="1" si="101"/>
        <v/>
      </c>
      <c r="I588" s="220" t="str">
        <f t="shared" ca="1" si="102"/>
        <v/>
      </c>
    </row>
    <row r="589" spans="1:9" x14ac:dyDescent="0.25">
      <c r="A589" s="254" t="str">
        <f t="shared" ca="1" si="94"/>
        <v/>
      </c>
      <c r="B589" s="255" t="str">
        <f t="shared" ca="1" si="95"/>
        <v/>
      </c>
      <c r="C589" s="256" t="str">
        <f t="shared" ca="1" si="96"/>
        <v/>
      </c>
      <c r="D589" s="257" t="str">
        <f t="shared" ca="1" si="97"/>
        <v/>
      </c>
      <c r="E589" s="808" t="str">
        <f t="shared" ca="1" si="98"/>
        <v/>
      </c>
      <c r="F589" s="253" t="str">
        <f t="shared" ca="1" si="99"/>
        <v/>
      </c>
      <c r="G589" s="257" t="str">
        <f t="shared" ca="1" si="100"/>
        <v/>
      </c>
      <c r="H589" s="257" t="str">
        <f t="shared" ca="1" si="101"/>
        <v/>
      </c>
      <c r="I589" s="220" t="str">
        <f t="shared" ca="1" si="102"/>
        <v/>
      </c>
    </row>
    <row r="590" spans="1:9" x14ac:dyDescent="0.25">
      <c r="A590" s="254" t="str">
        <f t="shared" ca="1" si="94"/>
        <v/>
      </c>
      <c r="B590" s="255" t="str">
        <f t="shared" ca="1" si="95"/>
        <v/>
      </c>
      <c r="C590" s="256" t="str">
        <f t="shared" ca="1" si="96"/>
        <v/>
      </c>
      <c r="D590" s="257" t="str">
        <f t="shared" ca="1" si="97"/>
        <v/>
      </c>
      <c r="E590" s="808" t="str">
        <f t="shared" ca="1" si="98"/>
        <v/>
      </c>
      <c r="F590" s="253" t="str">
        <f t="shared" ca="1" si="99"/>
        <v/>
      </c>
      <c r="G590" s="257" t="str">
        <f t="shared" ca="1" si="100"/>
        <v/>
      </c>
      <c r="H590" s="257" t="str">
        <f t="shared" ca="1" si="101"/>
        <v/>
      </c>
      <c r="I590" s="220" t="str">
        <f t="shared" ca="1" si="102"/>
        <v/>
      </c>
    </row>
    <row r="591" spans="1:9" x14ac:dyDescent="0.25">
      <c r="A591" s="254" t="str">
        <f t="shared" ca="1" si="94"/>
        <v/>
      </c>
      <c r="B591" s="255" t="str">
        <f t="shared" ca="1" si="95"/>
        <v/>
      </c>
      <c r="C591" s="256" t="str">
        <f t="shared" ca="1" si="96"/>
        <v/>
      </c>
      <c r="D591" s="257" t="str">
        <f t="shared" ca="1" si="97"/>
        <v/>
      </c>
      <c r="E591" s="808" t="str">
        <f t="shared" ca="1" si="98"/>
        <v/>
      </c>
      <c r="F591" s="253" t="str">
        <f t="shared" ca="1" si="99"/>
        <v/>
      </c>
      <c r="G591" s="257" t="str">
        <f t="shared" ca="1" si="100"/>
        <v/>
      </c>
      <c r="H591" s="257" t="str">
        <f t="shared" ca="1" si="101"/>
        <v/>
      </c>
      <c r="I591" s="220" t="str">
        <f t="shared" ca="1" si="102"/>
        <v/>
      </c>
    </row>
    <row r="592" spans="1:9" x14ac:dyDescent="0.25">
      <c r="A592" s="254" t="str">
        <f t="shared" ca="1" si="94"/>
        <v/>
      </c>
      <c r="B592" s="255" t="str">
        <f t="shared" ca="1" si="95"/>
        <v/>
      </c>
      <c r="C592" s="256" t="str">
        <f t="shared" ca="1" si="96"/>
        <v/>
      </c>
      <c r="D592" s="257" t="str">
        <f t="shared" ca="1" si="97"/>
        <v/>
      </c>
      <c r="E592" s="808" t="str">
        <f t="shared" ca="1" si="98"/>
        <v/>
      </c>
      <c r="F592" s="253" t="str">
        <f t="shared" ca="1" si="99"/>
        <v/>
      </c>
      <c r="G592" s="257" t="str">
        <f t="shared" ca="1" si="100"/>
        <v/>
      </c>
      <c r="H592" s="257" t="str">
        <f t="shared" ca="1" si="101"/>
        <v/>
      </c>
      <c r="I592" s="220" t="str">
        <f t="shared" ca="1" si="102"/>
        <v/>
      </c>
    </row>
    <row r="593" spans="1:9" x14ac:dyDescent="0.25">
      <c r="A593" s="254" t="str">
        <f t="shared" ca="1" si="94"/>
        <v/>
      </c>
      <c r="B593" s="255" t="str">
        <f t="shared" ca="1" si="95"/>
        <v/>
      </c>
      <c r="C593" s="256" t="str">
        <f t="shared" ca="1" si="96"/>
        <v/>
      </c>
      <c r="D593" s="257" t="str">
        <f t="shared" ca="1" si="97"/>
        <v/>
      </c>
      <c r="E593" s="808" t="str">
        <f t="shared" ca="1" si="98"/>
        <v/>
      </c>
      <c r="F593" s="253" t="str">
        <f t="shared" ca="1" si="99"/>
        <v/>
      </c>
      <c r="G593" s="257" t="str">
        <f t="shared" ca="1" si="100"/>
        <v/>
      </c>
      <c r="H593" s="257" t="str">
        <f t="shared" ca="1" si="101"/>
        <v/>
      </c>
      <c r="I593" s="220" t="str">
        <f t="shared" ca="1" si="102"/>
        <v/>
      </c>
    </row>
    <row r="594" spans="1:9" x14ac:dyDescent="0.25">
      <c r="A594" s="254" t="str">
        <f t="shared" ca="1" si="94"/>
        <v/>
      </c>
      <c r="B594" s="255" t="str">
        <f t="shared" ca="1" si="95"/>
        <v/>
      </c>
      <c r="C594" s="256" t="str">
        <f t="shared" ca="1" si="96"/>
        <v/>
      </c>
      <c r="D594" s="257" t="str">
        <f t="shared" ca="1" si="97"/>
        <v/>
      </c>
      <c r="E594" s="808" t="str">
        <f t="shared" ca="1" si="98"/>
        <v/>
      </c>
      <c r="F594" s="253" t="str">
        <f t="shared" ca="1" si="99"/>
        <v/>
      </c>
      <c r="G594" s="257" t="str">
        <f t="shared" ca="1" si="100"/>
        <v/>
      </c>
      <c r="H594" s="257" t="str">
        <f t="shared" ca="1" si="101"/>
        <v/>
      </c>
      <c r="I594" s="220" t="str">
        <f t="shared" ca="1" si="102"/>
        <v/>
      </c>
    </row>
    <row r="595" spans="1:9" x14ac:dyDescent="0.25">
      <c r="A595" s="254" t="str">
        <f t="shared" ca="1" si="94"/>
        <v/>
      </c>
      <c r="B595" s="255" t="str">
        <f t="shared" ca="1" si="95"/>
        <v/>
      </c>
      <c r="C595" s="256" t="str">
        <f t="shared" ca="1" si="96"/>
        <v/>
      </c>
      <c r="D595" s="257" t="str">
        <f t="shared" ca="1" si="97"/>
        <v/>
      </c>
      <c r="E595" s="808" t="str">
        <f t="shared" ca="1" si="98"/>
        <v/>
      </c>
      <c r="F595" s="253" t="str">
        <f t="shared" ca="1" si="99"/>
        <v/>
      </c>
      <c r="G595" s="257" t="str">
        <f t="shared" ca="1" si="100"/>
        <v/>
      </c>
      <c r="H595" s="257" t="str">
        <f t="shared" ca="1" si="101"/>
        <v/>
      </c>
      <c r="I595" s="220" t="str">
        <f t="shared" ca="1" si="102"/>
        <v/>
      </c>
    </row>
    <row r="596" spans="1:9" x14ac:dyDescent="0.25">
      <c r="A596" s="254" t="str">
        <f t="shared" ca="1" si="94"/>
        <v/>
      </c>
      <c r="B596" s="255" t="str">
        <f t="shared" ca="1" si="95"/>
        <v/>
      </c>
      <c r="C596" s="256" t="str">
        <f t="shared" ca="1" si="96"/>
        <v/>
      </c>
      <c r="D596" s="257" t="str">
        <f t="shared" ca="1" si="97"/>
        <v/>
      </c>
      <c r="E596" s="808" t="str">
        <f t="shared" ca="1" si="98"/>
        <v/>
      </c>
      <c r="F596" s="253" t="str">
        <f t="shared" ca="1" si="99"/>
        <v/>
      </c>
      <c r="G596" s="257" t="str">
        <f t="shared" ca="1" si="100"/>
        <v/>
      </c>
      <c r="H596" s="257" t="str">
        <f t="shared" ca="1" si="101"/>
        <v/>
      </c>
      <c r="I596" s="220" t="str">
        <f t="shared" ca="1" si="102"/>
        <v/>
      </c>
    </row>
    <row r="597" spans="1:9" x14ac:dyDescent="0.25">
      <c r="A597" s="254" t="str">
        <f t="shared" ca="1" si="94"/>
        <v/>
      </c>
      <c r="B597" s="255" t="str">
        <f t="shared" ca="1" si="95"/>
        <v/>
      </c>
      <c r="C597" s="256" t="str">
        <f t="shared" ca="1" si="96"/>
        <v/>
      </c>
      <c r="D597" s="257" t="str">
        <f t="shared" ca="1" si="97"/>
        <v/>
      </c>
      <c r="E597" s="808" t="str">
        <f t="shared" ca="1" si="98"/>
        <v/>
      </c>
      <c r="F597" s="253" t="str">
        <f t="shared" ca="1" si="99"/>
        <v/>
      </c>
      <c r="G597" s="257" t="str">
        <f t="shared" ca="1" si="100"/>
        <v/>
      </c>
      <c r="H597" s="257" t="str">
        <f t="shared" ca="1" si="101"/>
        <v/>
      </c>
      <c r="I597" s="220" t="str">
        <f t="shared" ca="1" si="102"/>
        <v/>
      </c>
    </row>
    <row r="598" spans="1:9" x14ac:dyDescent="0.25">
      <c r="A598" s="254" t="str">
        <f t="shared" ca="1" si="94"/>
        <v/>
      </c>
      <c r="B598" s="255" t="str">
        <f t="shared" ca="1" si="95"/>
        <v/>
      </c>
      <c r="C598" s="256" t="str">
        <f t="shared" ca="1" si="96"/>
        <v/>
      </c>
      <c r="D598" s="257" t="str">
        <f t="shared" ca="1" si="97"/>
        <v/>
      </c>
      <c r="E598" s="808" t="str">
        <f t="shared" ca="1" si="98"/>
        <v/>
      </c>
      <c r="F598" s="253" t="str">
        <f t="shared" ca="1" si="99"/>
        <v/>
      </c>
      <c r="G598" s="257" t="str">
        <f t="shared" ca="1" si="100"/>
        <v/>
      </c>
      <c r="H598" s="257" t="str">
        <f t="shared" ca="1" si="101"/>
        <v/>
      </c>
      <c r="I598" s="220" t="str">
        <f t="shared" ca="1" si="102"/>
        <v/>
      </c>
    </row>
    <row r="599" spans="1:9" x14ac:dyDescent="0.25">
      <c r="A599" s="254" t="str">
        <f t="shared" ca="1" si="94"/>
        <v/>
      </c>
      <c r="B599" s="255" t="str">
        <f t="shared" ca="1" si="95"/>
        <v/>
      </c>
      <c r="C599" s="256" t="str">
        <f t="shared" ca="1" si="96"/>
        <v/>
      </c>
      <c r="D599" s="257" t="str">
        <f t="shared" ca="1" si="97"/>
        <v/>
      </c>
      <c r="E599" s="808" t="str">
        <f t="shared" ca="1" si="98"/>
        <v/>
      </c>
      <c r="F599" s="253" t="str">
        <f t="shared" ca="1" si="99"/>
        <v/>
      </c>
      <c r="G599" s="257" t="str">
        <f t="shared" ca="1" si="100"/>
        <v/>
      </c>
      <c r="H599" s="257" t="str">
        <f t="shared" ca="1" si="101"/>
        <v/>
      </c>
      <c r="I599" s="220" t="str">
        <f t="shared" ca="1" si="102"/>
        <v/>
      </c>
    </row>
    <row r="600" spans="1:9" x14ac:dyDescent="0.25">
      <c r="A600" s="254" t="str">
        <f t="shared" ca="1" si="94"/>
        <v/>
      </c>
      <c r="B600" s="255" t="str">
        <f t="shared" ca="1" si="95"/>
        <v/>
      </c>
      <c r="C600" s="256" t="str">
        <f t="shared" ca="1" si="96"/>
        <v/>
      </c>
      <c r="D600" s="257" t="str">
        <f t="shared" ca="1" si="97"/>
        <v/>
      </c>
      <c r="E600" s="808" t="str">
        <f t="shared" ca="1" si="98"/>
        <v/>
      </c>
      <c r="F600" s="253" t="str">
        <f t="shared" ca="1" si="99"/>
        <v/>
      </c>
      <c r="G600" s="257" t="str">
        <f t="shared" ca="1" si="100"/>
        <v/>
      </c>
      <c r="H600" s="257" t="str">
        <f t="shared" ca="1" si="101"/>
        <v/>
      </c>
      <c r="I600" s="220" t="str">
        <f t="shared" ca="1" si="102"/>
        <v/>
      </c>
    </row>
    <row r="601" spans="1:9" x14ac:dyDescent="0.25">
      <c r="A601" s="254" t="str">
        <f t="shared" ca="1" si="94"/>
        <v/>
      </c>
      <c r="B601" s="255" t="str">
        <f t="shared" ca="1" si="95"/>
        <v/>
      </c>
      <c r="C601" s="256" t="str">
        <f t="shared" ca="1" si="96"/>
        <v/>
      </c>
      <c r="D601" s="257" t="str">
        <f t="shared" ca="1" si="97"/>
        <v/>
      </c>
      <c r="E601" s="808" t="str">
        <f t="shared" ca="1" si="98"/>
        <v/>
      </c>
      <c r="F601" s="253" t="str">
        <f t="shared" ca="1" si="99"/>
        <v/>
      </c>
      <c r="G601" s="257" t="str">
        <f t="shared" ca="1" si="100"/>
        <v/>
      </c>
      <c r="H601" s="257" t="str">
        <f t="shared" ca="1" si="101"/>
        <v/>
      </c>
      <c r="I601" s="220" t="str">
        <f t="shared" ca="1" si="102"/>
        <v/>
      </c>
    </row>
    <row r="602" spans="1:9" x14ac:dyDescent="0.25">
      <c r="A602" s="254" t="str">
        <f t="shared" ca="1" si="94"/>
        <v/>
      </c>
      <c r="B602" s="255" t="str">
        <f t="shared" ca="1" si="95"/>
        <v/>
      </c>
      <c r="C602" s="256" t="str">
        <f t="shared" ca="1" si="96"/>
        <v/>
      </c>
      <c r="D602" s="257" t="str">
        <f t="shared" ca="1" si="97"/>
        <v/>
      </c>
      <c r="E602" s="808" t="str">
        <f t="shared" ca="1" si="98"/>
        <v/>
      </c>
      <c r="F602" s="253" t="str">
        <f t="shared" ca="1" si="99"/>
        <v/>
      </c>
      <c r="G602" s="257" t="str">
        <f t="shared" ca="1" si="100"/>
        <v/>
      </c>
      <c r="H602" s="257" t="str">
        <f t="shared" ca="1" si="101"/>
        <v/>
      </c>
      <c r="I602" s="220" t="str">
        <f t="shared" ca="1" si="102"/>
        <v/>
      </c>
    </row>
    <row r="603" spans="1:9" x14ac:dyDescent="0.25">
      <c r="A603" s="254" t="str">
        <f t="shared" ca="1" si="94"/>
        <v/>
      </c>
      <c r="B603" s="255" t="str">
        <f t="shared" ca="1" si="95"/>
        <v/>
      </c>
      <c r="C603" s="256" t="str">
        <f t="shared" ca="1" si="96"/>
        <v/>
      </c>
      <c r="D603" s="257" t="str">
        <f t="shared" ca="1" si="97"/>
        <v/>
      </c>
      <c r="E603" s="808" t="str">
        <f t="shared" ca="1" si="98"/>
        <v/>
      </c>
      <c r="F603" s="253" t="str">
        <f t="shared" ca="1" si="99"/>
        <v/>
      </c>
      <c r="G603" s="257" t="str">
        <f t="shared" ca="1" si="100"/>
        <v/>
      </c>
      <c r="H603" s="257" t="str">
        <f t="shared" ca="1" si="101"/>
        <v/>
      </c>
      <c r="I603" s="220" t="str">
        <f t="shared" ca="1" si="102"/>
        <v/>
      </c>
    </row>
    <row r="604" spans="1:9" x14ac:dyDescent="0.25">
      <c r="A604" s="254" t="str">
        <f t="shared" ca="1" si="94"/>
        <v/>
      </c>
      <c r="B604" s="255" t="str">
        <f t="shared" ca="1" si="95"/>
        <v/>
      </c>
      <c r="C604" s="256" t="str">
        <f t="shared" ca="1" si="96"/>
        <v/>
      </c>
      <c r="D604" s="257" t="str">
        <f t="shared" ca="1" si="97"/>
        <v/>
      </c>
      <c r="E604" s="808" t="str">
        <f t="shared" ca="1" si="98"/>
        <v/>
      </c>
      <c r="F604" s="253" t="str">
        <f t="shared" ca="1" si="99"/>
        <v/>
      </c>
      <c r="G604" s="257" t="str">
        <f t="shared" ca="1" si="100"/>
        <v/>
      </c>
      <c r="H604" s="257" t="str">
        <f t="shared" ca="1" si="101"/>
        <v/>
      </c>
      <c r="I604" s="220" t="str">
        <f t="shared" ca="1" si="102"/>
        <v/>
      </c>
    </row>
    <row r="605" spans="1:9" x14ac:dyDescent="0.25">
      <c r="A605" s="254" t="str">
        <f t="shared" ca="1" si="94"/>
        <v/>
      </c>
      <c r="B605" s="255" t="str">
        <f t="shared" ca="1" si="95"/>
        <v/>
      </c>
      <c r="C605" s="256" t="str">
        <f t="shared" ca="1" si="96"/>
        <v/>
      </c>
      <c r="D605" s="257" t="str">
        <f t="shared" ca="1" si="97"/>
        <v/>
      </c>
      <c r="E605" s="808" t="str">
        <f t="shared" ca="1" si="98"/>
        <v/>
      </c>
      <c r="F605" s="253" t="str">
        <f t="shared" ca="1" si="99"/>
        <v/>
      </c>
      <c r="G605" s="257" t="str">
        <f t="shared" ca="1" si="100"/>
        <v/>
      </c>
      <c r="H605" s="257" t="str">
        <f t="shared" ca="1" si="101"/>
        <v/>
      </c>
      <c r="I605" s="220" t="str">
        <f t="shared" ca="1" si="102"/>
        <v/>
      </c>
    </row>
    <row r="606" spans="1:9" x14ac:dyDescent="0.25">
      <c r="A606" s="254" t="str">
        <f t="shared" ca="1" si="94"/>
        <v/>
      </c>
      <c r="B606" s="255" t="str">
        <f t="shared" ca="1" si="95"/>
        <v/>
      </c>
      <c r="C606" s="256" t="str">
        <f t="shared" ca="1" si="96"/>
        <v/>
      </c>
      <c r="D606" s="257" t="str">
        <f t="shared" ca="1" si="97"/>
        <v/>
      </c>
      <c r="E606" s="808" t="str">
        <f t="shared" ca="1" si="98"/>
        <v/>
      </c>
      <c r="F606" s="253" t="str">
        <f t="shared" ca="1" si="99"/>
        <v/>
      </c>
      <c r="G606" s="257" t="str">
        <f t="shared" ca="1" si="100"/>
        <v/>
      </c>
      <c r="H606" s="257" t="str">
        <f t="shared" ca="1" si="101"/>
        <v/>
      </c>
      <c r="I606" s="220" t="str">
        <f t="shared" ca="1" si="102"/>
        <v/>
      </c>
    </row>
    <row r="607" spans="1:9" x14ac:dyDescent="0.25">
      <c r="A607" s="254" t="str">
        <f t="shared" ca="1" si="94"/>
        <v/>
      </c>
      <c r="B607" s="255" t="str">
        <f t="shared" ca="1" si="95"/>
        <v/>
      </c>
      <c r="C607" s="256" t="str">
        <f t="shared" ca="1" si="96"/>
        <v/>
      </c>
      <c r="D607" s="257" t="str">
        <f t="shared" ca="1" si="97"/>
        <v/>
      </c>
      <c r="E607" s="808" t="str">
        <f t="shared" ca="1" si="98"/>
        <v/>
      </c>
      <c r="F607" s="253" t="str">
        <f t="shared" ca="1" si="99"/>
        <v/>
      </c>
      <c r="G607" s="257" t="str">
        <f t="shared" ca="1" si="100"/>
        <v/>
      </c>
      <c r="H607" s="257" t="str">
        <f t="shared" ca="1" si="101"/>
        <v/>
      </c>
      <c r="I607" s="220" t="str">
        <f t="shared" ca="1" si="102"/>
        <v/>
      </c>
    </row>
    <row r="608" spans="1:9" x14ac:dyDescent="0.25">
      <c r="A608" s="254" t="str">
        <f t="shared" ca="1" si="94"/>
        <v/>
      </c>
      <c r="B608" s="255" t="str">
        <f t="shared" ca="1" si="95"/>
        <v/>
      </c>
      <c r="C608" s="256" t="str">
        <f t="shared" ca="1" si="96"/>
        <v/>
      </c>
      <c r="D608" s="257" t="str">
        <f t="shared" ca="1" si="97"/>
        <v/>
      </c>
      <c r="E608" s="808" t="str">
        <f t="shared" ca="1" si="98"/>
        <v/>
      </c>
      <c r="F608" s="253" t="str">
        <f t="shared" ca="1" si="99"/>
        <v/>
      </c>
      <c r="G608" s="257" t="str">
        <f t="shared" ca="1" si="100"/>
        <v/>
      </c>
      <c r="H608" s="257" t="str">
        <f t="shared" ca="1" si="101"/>
        <v/>
      </c>
      <c r="I608" s="220" t="str">
        <f t="shared" ca="1" si="102"/>
        <v/>
      </c>
    </row>
    <row r="609" spans="1:9" x14ac:dyDescent="0.25">
      <c r="A609" s="254" t="str">
        <f t="shared" ca="1" si="94"/>
        <v/>
      </c>
      <c r="B609" s="255" t="str">
        <f t="shared" ca="1" si="95"/>
        <v/>
      </c>
      <c r="C609" s="256" t="str">
        <f t="shared" ca="1" si="96"/>
        <v/>
      </c>
      <c r="D609" s="257" t="str">
        <f t="shared" ca="1" si="97"/>
        <v/>
      </c>
      <c r="E609" s="808" t="str">
        <f t="shared" ca="1" si="98"/>
        <v/>
      </c>
      <c r="F609" s="253" t="str">
        <f t="shared" ca="1" si="99"/>
        <v/>
      </c>
      <c r="G609" s="257" t="str">
        <f t="shared" ca="1" si="100"/>
        <v/>
      </c>
      <c r="H609" s="257" t="str">
        <f t="shared" ca="1" si="101"/>
        <v/>
      </c>
      <c r="I609" s="220" t="str">
        <f t="shared" ca="1" si="102"/>
        <v/>
      </c>
    </row>
    <row r="610" spans="1:9" x14ac:dyDescent="0.25">
      <c r="A610" s="254" t="str">
        <f t="shared" ca="1" si="94"/>
        <v/>
      </c>
      <c r="B610" s="255" t="str">
        <f t="shared" ca="1" si="95"/>
        <v/>
      </c>
      <c r="C610" s="256" t="str">
        <f t="shared" ca="1" si="96"/>
        <v/>
      </c>
      <c r="D610" s="257" t="str">
        <f t="shared" ca="1" si="97"/>
        <v/>
      </c>
      <c r="E610" s="808" t="str">
        <f t="shared" ca="1" si="98"/>
        <v/>
      </c>
      <c r="F610" s="253" t="str">
        <f t="shared" ca="1" si="99"/>
        <v/>
      </c>
      <c r="G610" s="257" t="str">
        <f t="shared" ca="1" si="100"/>
        <v/>
      </c>
      <c r="H610" s="257" t="str">
        <f t="shared" ca="1" si="101"/>
        <v/>
      </c>
      <c r="I610" s="220" t="str">
        <f t="shared" ca="1" si="102"/>
        <v/>
      </c>
    </row>
    <row r="611" spans="1:9" x14ac:dyDescent="0.25">
      <c r="A611" s="254" t="str">
        <f t="shared" ca="1" si="94"/>
        <v/>
      </c>
      <c r="B611" s="255" t="str">
        <f t="shared" ca="1" si="95"/>
        <v/>
      </c>
      <c r="C611" s="256" t="str">
        <f t="shared" ca="1" si="96"/>
        <v/>
      </c>
      <c r="D611" s="257" t="str">
        <f t="shared" ca="1" si="97"/>
        <v/>
      </c>
      <c r="E611" s="808" t="str">
        <f t="shared" ca="1" si="98"/>
        <v/>
      </c>
      <c r="F611" s="253" t="str">
        <f t="shared" ca="1" si="99"/>
        <v/>
      </c>
      <c r="G611" s="257" t="str">
        <f t="shared" ca="1" si="100"/>
        <v/>
      </c>
      <c r="H611" s="257" t="str">
        <f t="shared" ca="1" si="101"/>
        <v/>
      </c>
      <c r="I611" s="220" t="str">
        <f t="shared" ca="1" si="102"/>
        <v/>
      </c>
    </row>
    <row r="612" spans="1:9" x14ac:dyDescent="0.25">
      <c r="A612" s="254" t="str">
        <f t="shared" ca="1" si="94"/>
        <v/>
      </c>
      <c r="B612" s="255" t="str">
        <f t="shared" ca="1" si="95"/>
        <v/>
      </c>
      <c r="C612" s="256" t="str">
        <f t="shared" ca="1" si="96"/>
        <v/>
      </c>
      <c r="D612" s="257" t="str">
        <f t="shared" ca="1" si="97"/>
        <v/>
      </c>
      <c r="E612" s="808" t="str">
        <f t="shared" ca="1" si="98"/>
        <v/>
      </c>
      <c r="F612" s="253" t="str">
        <f t="shared" ca="1" si="99"/>
        <v/>
      </c>
      <c r="G612" s="257" t="str">
        <f t="shared" ca="1" si="100"/>
        <v/>
      </c>
      <c r="H612" s="257" t="str">
        <f t="shared" ca="1" si="101"/>
        <v/>
      </c>
      <c r="I612" s="220" t="str">
        <f t="shared" ca="1" si="102"/>
        <v/>
      </c>
    </row>
    <row r="613" spans="1:9" x14ac:dyDescent="0.25">
      <c r="A613" s="254" t="str">
        <f t="shared" ca="1" si="94"/>
        <v/>
      </c>
      <c r="B613" s="255" t="str">
        <f t="shared" ca="1" si="95"/>
        <v/>
      </c>
      <c r="C613" s="256" t="str">
        <f t="shared" ca="1" si="96"/>
        <v/>
      </c>
      <c r="D613" s="257" t="str">
        <f t="shared" ca="1" si="97"/>
        <v/>
      </c>
      <c r="E613" s="808" t="str">
        <f t="shared" ca="1" si="98"/>
        <v/>
      </c>
      <c r="F613" s="253" t="str">
        <f t="shared" ca="1" si="99"/>
        <v/>
      </c>
      <c r="G613" s="257" t="str">
        <f t="shared" ca="1" si="100"/>
        <v/>
      </c>
      <c r="H613" s="257" t="str">
        <f t="shared" ca="1" si="101"/>
        <v/>
      </c>
      <c r="I613" s="220" t="str">
        <f t="shared" ca="1" si="102"/>
        <v/>
      </c>
    </row>
    <row r="614" spans="1:9" x14ac:dyDescent="0.25">
      <c r="A614" s="254" t="str">
        <f t="shared" ca="1" si="94"/>
        <v/>
      </c>
      <c r="B614" s="255" t="str">
        <f t="shared" ca="1" si="95"/>
        <v/>
      </c>
      <c r="C614" s="256" t="str">
        <f t="shared" ca="1" si="96"/>
        <v/>
      </c>
      <c r="D614" s="257" t="str">
        <f t="shared" ca="1" si="97"/>
        <v/>
      </c>
      <c r="E614" s="808" t="str">
        <f t="shared" ca="1" si="98"/>
        <v/>
      </c>
      <c r="F614" s="253" t="str">
        <f t="shared" ca="1" si="99"/>
        <v/>
      </c>
      <c r="G614" s="257" t="str">
        <f t="shared" ca="1" si="100"/>
        <v/>
      </c>
      <c r="H614" s="257" t="str">
        <f t="shared" ca="1" si="101"/>
        <v/>
      </c>
      <c r="I614" s="220" t="str">
        <f t="shared" ca="1" si="102"/>
        <v/>
      </c>
    </row>
    <row r="615" spans="1:9" x14ac:dyDescent="0.25">
      <c r="A615" s="254" t="str">
        <f t="shared" ca="1" si="94"/>
        <v/>
      </c>
      <c r="B615" s="255" t="str">
        <f t="shared" ca="1" si="95"/>
        <v/>
      </c>
      <c r="C615" s="256" t="str">
        <f t="shared" ca="1" si="96"/>
        <v/>
      </c>
      <c r="D615" s="257" t="str">
        <f t="shared" ca="1" si="97"/>
        <v/>
      </c>
      <c r="E615" s="808" t="str">
        <f t="shared" ca="1" si="98"/>
        <v/>
      </c>
      <c r="F615" s="253" t="str">
        <f t="shared" ca="1" si="99"/>
        <v/>
      </c>
      <c r="G615" s="257" t="str">
        <f t="shared" ca="1" si="100"/>
        <v/>
      </c>
      <c r="H615" s="257" t="str">
        <f t="shared" ca="1" si="101"/>
        <v/>
      </c>
      <c r="I615" s="220" t="str">
        <f t="shared" ca="1" si="102"/>
        <v/>
      </c>
    </row>
    <row r="616" spans="1:9" x14ac:dyDescent="0.25">
      <c r="A616" s="254" t="str">
        <f t="shared" ca="1" si="94"/>
        <v/>
      </c>
      <c r="B616" s="255" t="str">
        <f t="shared" ca="1" si="95"/>
        <v/>
      </c>
      <c r="C616" s="256" t="str">
        <f t="shared" ca="1" si="96"/>
        <v/>
      </c>
      <c r="D616" s="257" t="str">
        <f t="shared" ca="1" si="97"/>
        <v/>
      </c>
      <c r="E616" s="808" t="str">
        <f t="shared" ca="1" si="98"/>
        <v/>
      </c>
      <c r="F616" s="253" t="str">
        <f t="shared" ca="1" si="99"/>
        <v/>
      </c>
      <c r="G616" s="257" t="str">
        <f t="shared" ca="1" si="100"/>
        <v/>
      </c>
      <c r="H616" s="257" t="str">
        <f t="shared" ca="1" si="101"/>
        <v/>
      </c>
      <c r="I616" s="220" t="str">
        <f t="shared" ca="1" si="102"/>
        <v/>
      </c>
    </row>
    <row r="617" spans="1:9" x14ac:dyDescent="0.25">
      <c r="A617" s="254" t="str">
        <f t="shared" ca="1" si="94"/>
        <v/>
      </c>
      <c r="B617" s="255" t="str">
        <f t="shared" ca="1" si="95"/>
        <v/>
      </c>
      <c r="C617" s="256" t="str">
        <f t="shared" ca="1" si="96"/>
        <v/>
      </c>
      <c r="D617" s="257" t="str">
        <f t="shared" ca="1" si="97"/>
        <v/>
      </c>
      <c r="E617" s="808" t="str">
        <f t="shared" ca="1" si="98"/>
        <v/>
      </c>
      <c r="F617" s="253" t="str">
        <f t="shared" ca="1" si="99"/>
        <v/>
      </c>
      <c r="G617" s="257" t="str">
        <f t="shared" ca="1" si="100"/>
        <v/>
      </c>
      <c r="H617" s="257" t="str">
        <f t="shared" ca="1" si="101"/>
        <v/>
      </c>
      <c r="I617" s="220" t="str">
        <f t="shared" ca="1" si="102"/>
        <v/>
      </c>
    </row>
    <row r="618" spans="1:9" x14ac:dyDescent="0.25">
      <c r="A618" s="254" t="str">
        <f t="shared" ca="1" si="94"/>
        <v/>
      </c>
      <c r="B618" s="255" t="str">
        <f t="shared" ca="1" si="95"/>
        <v/>
      </c>
      <c r="C618" s="256" t="str">
        <f t="shared" ca="1" si="96"/>
        <v/>
      </c>
      <c r="D618" s="257" t="str">
        <f t="shared" ca="1" si="97"/>
        <v/>
      </c>
      <c r="E618" s="808" t="str">
        <f t="shared" ca="1" si="98"/>
        <v/>
      </c>
      <c r="F618" s="253" t="str">
        <f t="shared" ca="1" si="99"/>
        <v/>
      </c>
      <c r="G618" s="257" t="str">
        <f t="shared" ca="1" si="100"/>
        <v/>
      </c>
      <c r="H618" s="257" t="str">
        <f t="shared" ca="1" si="101"/>
        <v/>
      </c>
      <c r="I618" s="220" t="str">
        <f t="shared" ca="1" si="102"/>
        <v/>
      </c>
    </row>
    <row r="619" spans="1:9" x14ac:dyDescent="0.25">
      <c r="A619" s="254" t="str">
        <f t="shared" ca="1" si="94"/>
        <v/>
      </c>
      <c r="B619" s="255" t="str">
        <f t="shared" ca="1" si="95"/>
        <v/>
      </c>
      <c r="C619" s="256" t="str">
        <f t="shared" ca="1" si="96"/>
        <v/>
      </c>
      <c r="D619" s="257" t="str">
        <f t="shared" ca="1" si="97"/>
        <v/>
      </c>
      <c r="E619" s="808" t="str">
        <f t="shared" ca="1" si="98"/>
        <v/>
      </c>
      <c r="F619" s="253" t="str">
        <f t="shared" ca="1" si="99"/>
        <v/>
      </c>
      <c r="G619" s="257" t="str">
        <f t="shared" ca="1" si="100"/>
        <v/>
      </c>
      <c r="H619" s="257" t="str">
        <f t="shared" ca="1" si="101"/>
        <v/>
      </c>
      <c r="I619" s="220" t="str">
        <f t="shared" ca="1" si="102"/>
        <v/>
      </c>
    </row>
    <row r="620" spans="1:9" x14ac:dyDescent="0.25">
      <c r="A620" s="254" t="str">
        <f t="shared" ca="1" si="94"/>
        <v/>
      </c>
      <c r="B620" s="255" t="str">
        <f t="shared" ca="1" si="95"/>
        <v/>
      </c>
      <c r="C620" s="256" t="str">
        <f t="shared" ca="1" si="96"/>
        <v/>
      </c>
      <c r="D620" s="257" t="str">
        <f t="shared" ca="1" si="97"/>
        <v/>
      </c>
      <c r="E620" s="808" t="str">
        <f t="shared" ca="1" si="98"/>
        <v/>
      </c>
      <c r="F620" s="253" t="str">
        <f t="shared" ca="1" si="99"/>
        <v/>
      </c>
      <c r="G620" s="257" t="str">
        <f t="shared" ca="1" si="100"/>
        <v/>
      </c>
      <c r="H620" s="257" t="str">
        <f t="shared" ca="1" si="101"/>
        <v/>
      </c>
      <c r="I620" s="220" t="str">
        <f t="shared" ca="1" si="102"/>
        <v/>
      </c>
    </row>
    <row r="621" spans="1:9" x14ac:dyDescent="0.25">
      <c r="A621" s="254" t="str">
        <f t="shared" ca="1" si="94"/>
        <v/>
      </c>
      <c r="B621" s="255" t="str">
        <f t="shared" ca="1" si="95"/>
        <v/>
      </c>
      <c r="C621" s="256" t="str">
        <f t="shared" ca="1" si="96"/>
        <v/>
      </c>
      <c r="D621" s="257" t="str">
        <f t="shared" ca="1" si="97"/>
        <v/>
      </c>
      <c r="E621" s="808" t="str">
        <f t="shared" ca="1" si="98"/>
        <v/>
      </c>
      <c r="F621" s="253" t="str">
        <f t="shared" ca="1" si="99"/>
        <v/>
      </c>
      <c r="G621" s="257" t="str">
        <f t="shared" ca="1" si="100"/>
        <v/>
      </c>
      <c r="H621" s="257" t="str">
        <f t="shared" ca="1" si="101"/>
        <v/>
      </c>
      <c r="I621" s="220" t="str">
        <f t="shared" ca="1" si="102"/>
        <v/>
      </c>
    </row>
    <row r="622" spans="1:9" x14ac:dyDescent="0.25">
      <c r="A622" s="254" t="str">
        <f t="shared" ca="1" si="94"/>
        <v/>
      </c>
      <c r="B622" s="255" t="str">
        <f t="shared" ca="1" si="95"/>
        <v/>
      </c>
      <c r="C622" s="256" t="str">
        <f t="shared" ca="1" si="96"/>
        <v/>
      </c>
      <c r="D622" s="257" t="str">
        <f t="shared" ca="1" si="97"/>
        <v/>
      </c>
      <c r="E622" s="808" t="str">
        <f t="shared" ca="1" si="98"/>
        <v/>
      </c>
      <c r="F622" s="253" t="str">
        <f t="shared" ca="1" si="99"/>
        <v/>
      </c>
      <c r="G622" s="257" t="str">
        <f t="shared" ca="1" si="100"/>
        <v/>
      </c>
      <c r="H622" s="257" t="str">
        <f t="shared" ca="1" si="101"/>
        <v/>
      </c>
      <c r="I622" s="220" t="str">
        <f t="shared" ca="1" si="102"/>
        <v/>
      </c>
    </row>
    <row r="623" spans="1:9" x14ac:dyDescent="0.25">
      <c r="A623" s="254" t="str">
        <f t="shared" ca="1" si="94"/>
        <v/>
      </c>
      <c r="B623" s="255" t="str">
        <f t="shared" ca="1" si="95"/>
        <v/>
      </c>
      <c r="C623" s="256" t="str">
        <f t="shared" ca="1" si="96"/>
        <v/>
      </c>
      <c r="D623" s="257" t="str">
        <f t="shared" ca="1" si="97"/>
        <v/>
      </c>
      <c r="E623" s="808" t="str">
        <f t="shared" ca="1" si="98"/>
        <v/>
      </c>
      <c r="F623" s="253" t="str">
        <f t="shared" ca="1" si="99"/>
        <v/>
      </c>
      <c r="G623" s="257" t="str">
        <f t="shared" ca="1" si="100"/>
        <v/>
      </c>
      <c r="H623" s="257" t="str">
        <f t="shared" ca="1" si="101"/>
        <v/>
      </c>
      <c r="I623" s="220" t="str">
        <f t="shared" ca="1" si="102"/>
        <v/>
      </c>
    </row>
    <row r="624" spans="1:9" x14ac:dyDescent="0.25">
      <c r="A624" s="254" t="str">
        <f t="shared" ca="1" si="94"/>
        <v/>
      </c>
      <c r="B624" s="255" t="str">
        <f t="shared" ca="1" si="95"/>
        <v/>
      </c>
      <c r="C624" s="256" t="str">
        <f t="shared" ca="1" si="96"/>
        <v/>
      </c>
      <c r="D624" s="257" t="str">
        <f t="shared" ca="1" si="97"/>
        <v/>
      </c>
      <c r="E624" s="808" t="str">
        <f t="shared" ca="1" si="98"/>
        <v/>
      </c>
      <c r="F624" s="253" t="str">
        <f t="shared" ca="1" si="99"/>
        <v/>
      </c>
      <c r="G624" s="257" t="str">
        <f t="shared" ca="1" si="100"/>
        <v/>
      </c>
      <c r="H624" s="257" t="str">
        <f t="shared" ca="1" si="101"/>
        <v/>
      </c>
      <c r="I624" s="220" t="str">
        <f t="shared" ca="1" si="102"/>
        <v/>
      </c>
    </row>
    <row r="625" spans="1:9" x14ac:dyDescent="0.25">
      <c r="A625" s="254" t="str">
        <f t="shared" ca="1" si="94"/>
        <v/>
      </c>
      <c r="B625" s="255" t="str">
        <f t="shared" ca="1" si="95"/>
        <v/>
      </c>
      <c r="C625" s="256" t="str">
        <f t="shared" ca="1" si="96"/>
        <v/>
      </c>
      <c r="D625" s="257" t="str">
        <f t="shared" ca="1" si="97"/>
        <v/>
      </c>
      <c r="E625" s="808" t="str">
        <f t="shared" ca="1" si="98"/>
        <v/>
      </c>
      <c r="F625" s="253" t="str">
        <f t="shared" ca="1" si="99"/>
        <v/>
      </c>
      <c r="G625" s="257" t="str">
        <f t="shared" ca="1" si="100"/>
        <v/>
      </c>
      <c r="H625" s="257" t="str">
        <f t="shared" ca="1" si="101"/>
        <v/>
      </c>
      <c r="I625" s="220" t="str">
        <f t="shared" ca="1" si="102"/>
        <v/>
      </c>
    </row>
    <row r="626" spans="1:9" x14ac:dyDescent="0.25">
      <c r="A626" s="254" t="str">
        <f t="shared" ca="1" si="94"/>
        <v/>
      </c>
      <c r="B626" s="255" t="str">
        <f t="shared" ca="1" si="95"/>
        <v/>
      </c>
      <c r="C626" s="256" t="str">
        <f t="shared" ca="1" si="96"/>
        <v/>
      </c>
      <c r="D626" s="257" t="str">
        <f t="shared" ca="1" si="97"/>
        <v/>
      </c>
      <c r="E626" s="808" t="str">
        <f t="shared" ca="1" si="98"/>
        <v/>
      </c>
      <c r="F626" s="253" t="str">
        <f t="shared" ca="1" si="99"/>
        <v/>
      </c>
      <c r="G626" s="257" t="str">
        <f t="shared" ca="1" si="100"/>
        <v/>
      </c>
      <c r="H626" s="257" t="str">
        <f t="shared" ca="1" si="101"/>
        <v/>
      </c>
      <c r="I626" s="220" t="str">
        <f t="shared" ca="1" si="102"/>
        <v/>
      </c>
    </row>
    <row r="627" spans="1:9" x14ac:dyDescent="0.25">
      <c r="A627" s="254" t="str">
        <f t="shared" ca="1" si="94"/>
        <v/>
      </c>
      <c r="B627" s="255" t="str">
        <f t="shared" ca="1" si="95"/>
        <v/>
      </c>
      <c r="C627" s="256" t="str">
        <f t="shared" ca="1" si="96"/>
        <v/>
      </c>
      <c r="D627" s="257" t="str">
        <f t="shared" ca="1" si="97"/>
        <v/>
      </c>
      <c r="E627" s="808" t="str">
        <f t="shared" ca="1" si="98"/>
        <v/>
      </c>
      <c r="F627" s="253" t="str">
        <f t="shared" ca="1" si="99"/>
        <v/>
      </c>
      <c r="G627" s="257" t="str">
        <f t="shared" ca="1" si="100"/>
        <v/>
      </c>
      <c r="H627" s="257" t="str">
        <f t="shared" ca="1" si="101"/>
        <v/>
      </c>
      <c r="I627" s="220" t="str">
        <f t="shared" ca="1" si="102"/>
        <v/>
      </c>
    </row>
    <row r="628" spans="1:9" x14ac:dyDescent="0.25">
      <c r="A628" s="254" t="str">
        <f t="shared" ca="1" si="94"/>
        <v/>
      </c>
      <c r="B628" s="255" t="str">
        <f t="shared" ca="1" si="95"/>
        <v/>
      </c>
      <c r="C628" s="256" t="str">
        <f t="shared" ca="1" si="96"/>
        <v/>
      </c>
      <c r="D628" s="257" t="str">
        <f t="shared" ca="1" si="97"/>
        <v/>
      </c>
      <c r="E628" s="808" t="str">
        <f t="shared" ca="1" si="98"/>
        <v/>
      </c>
      <c r="F628" s="253" t="str">
        <f t="shared" ca="1" si="99"/>
        <v/>
      </c>
      <c r="G628" s="257" t="str">
        <f t="shared" ca="1" si="100"/>
        <v/>
      </c>
      <c r="H628" s="257" t="str">
        <f t="shared" ca="1" si="101"/>
        <v/>
      </c>
      <c r="I628" s="220" t="str">
        <f t="shared" ca="1" si="102"/>
        <v/>
      </c>
    </row>
    <row r="629" spans="1:9" x14ac:dyDescent="0.25">
      <c r="A629" s="254" t="str">
        <f t="shared" ca="1" si="94"/>
        <v/>
      </c>
      <c r="B629" s="255" t="str">
        <f t="shared" ca="1" si="95"/>
        <v/>
      </c>
      <c r="C629" s="256" t="str">
        <f t="shared" ca="1" si="96"/>
        <v/>
      </c>
      <c r="D629" s="257" t="str">
        <f t="shared" ca="1" si="97"/>
        <v/>
      </c>
      <c r="E629" s="808" t="str">
        <f t="shared" ca="1" si="98"/>
        <v/>
      </c>
      <c r="F629" s="253" t="str">
        <f t="shared" ca="1" si="99"/>
        <v/>
      </c>
      <c r="G629" s="257" t="str">
        <f t="shared" ca="1" si="100"/>
        <v/>
      </c>
      <c r="H629" s="257" t="str">
        <f t="shared" ca="1" si="101"/>
        <v/>
      </c>
      <c r="I629" s="220" t="str">
        <f t="shared" ca="1" si="102"/>
        <v/>
      </c>
    </row>
    <row r="630" spans="1:9" x14ac:dyDescent="0.25">
      <c r="A630" s="254" t="str">
        <f t="shared" ca="1" si="94"/>
        <v/>
      </c>
      <c r="B630" s="255" t="str">
        <f t="shared" ca="1" si="95"/>
        <v/>
      </c>
      <c r="C630" s="256" t="str">
        <f t="shared" ca="1" si="96"/>
        <v/>
      </c>
      <c r="D630" s="257" t="str">
        <f t="shared" ca="1" si="97"/>
        <v/>
      </c>
      <c r="E630" s="808" t="str">
        <f t="shared" ca="1" si="98"/>
        <v/>
      </c>
      <c r="F630" s="253" t="str">
        <f t="shared" ca="1" si="99"/>
        <v/>
      </c>
      <c r="G630" s="257" t="str">
        <f t="shared" ca="1" si="100"/>
        <v/>
      </c>
      <c r="H630" s="257" t="str">
        <f t="shared" ca="1" si="101"/>
        <v/>
      </c>
      <c r="I630" s="220" t="str">
        <f t="shared" ca="1" si="102"/>
        <v/>
      </c>
    </row>
    <row r="631" spans="1:9" x14ac:dyDescent="0.25">
      <c r="A631" s="254" t="str">
        <f t="shared" ca="1" si="94"/>
        <v/>
      </c>
      <c r="B631" s="255" t="str">
        <f t="shared" ca="1" si="95"/>
        <v/>
      </c>
      <c r="C631" s="256" t="str">
        <f t="shared" ca="1" si="96"/>
        <v/>
      </c>
      <c r="D631" s="257" t="str">
        <f t="shared" ca="1" si="97"/>
        <v/>
      </c>
      <c r="E631" s="808" t="str">
        <f t="shared" ca="1" si="98"/>
        <v/>
      </c>
      <c r="F631" s="253" t="str">
        <f t="shared" ca="1" si="99"/>
        <v/>
      </c>
      <c r="G631" s="257" t="str">
        <f t="shared" ca="1" si="100"/>
        <v/>
      </c>
      <c r="H631" s="257" t="str">
        <f t="shared" ca="1" si="101"/>
        <v/>
      </c>
      <c r="I631" s="220" t="str">
        <f t="shared" ca="1" si="102"/>
        <v/>
      </c>
    </row>
    <row r="632" spans="1:9" x14ac:dyDescent="0.25">
      <c r="A632" s="254" t="str">
        <f t="shared" ca="1" si="94"/>
        <v/>
      </c>
      <c r="B632" s="255" t="str">
        <f t="shared" ca="1" si="95"/>
        <v/>
      </c>
      <c r="C632" s="256" t="str">
        <f t="shared" ca="1" si="96"/>
        <v/>
      </c>
      <c r="D632" s="257" t="str">
        <f t="shared" ca="1" si="97"/>
        <v/>
      </c>
      <c r="E632" s="808" t="str">
        <f t="shared" ca="1" si="98"/>
        <v/>
      </c>
      <c r="F632" s="253" t="str">
        <f t="shared" ca="1" si="99"/>
        <v/>
      </c>
      <c r="G632" s="257" t="str">
        <f t="shared" ca="1" si="100"/>
        <v/>
      </c>
      <c r="H632" s="257" t="str">
        <f t="shared" ca="1" si="101"/>
        <v/>
      </c>
      <c r="I632" s="220" t="str">
        <f t="shared" ca="1" si="102"/>
        <v/>
      </c>
    </row>
    <row r="633" spans="1:9" x14ac:dyDescent="0.25">
      <c r="A633" s="254" t="str">
        <f t="shared" ca="1" si="94"/>
        <v/>
      </c>
      <c r="B633" s="255" t="str">
        <f t="shared" ca="1" si="95"/>
        <v/>
      </c>
      <c r="C633" s="256" t="str">
        <f t="shared" ca="1" si="96"/>
        <v/>
      </c>
      <c r="D633" s="257" t="str">
        <f t="shared" ca="1" si="97"/>
        <v/>
      </c>
      <c r="E633" s="808" t="str">
        <f t="shared" ca="1" si="98"/>
        <v/>
      </c>
      <c r="F633" s="253" t="str">
        <f t="shared" ca="1" si="99"/>
        <v/>
      </c>
      <c r="G633" s="257" t="str">
        <f t="shared" ca="1" si="100"/>
        <v/>
      </c>
      <c r="H633" s="257" t="str">
        <f t="shared" ca="1" si="101"/>
        <v/>
      </c>
      <c r="I633" s="220" t="str">
        <f t="shared" ca="1" si="102"/>
        <v/>
      </c>
    </row>
    <row r="634" spans="1:9" x14ac:dyDescent="0.25">
      <c r="A634" s="254" t="str">
        <f t="shared" ca="1" si="94"/>
        <v/>
      </c>
      <c r="B634" s="255" t="str">
        <f t="shared" ca="1" si="95"/>
        <v/>
      </c>
      <c r="C634" s="256" t="str">
        <f t="shared" ca="1" si="96"/>
        <v/>
      </c>
      <c r="D634" s="257" t="str">
        <f t="shared" ca="1" si="97"/>
        <v/>
      </c>
      <c r="E634" s="808" t="str">
        <f t="shared" ca="1" si="98"/>
        <v/>
      </c>
      <c r="F634" s="253" t="str">
        <f t="shared" ca="1" si="99"/>
        <v/>
      </c>
      <c r="G634" s="257" t="str">
        <f t="shared" ca="1" si="100"/>
        <v/>
      </c>
      <c r="H634" s="257" t="str">
        <f t="shared" ca="1" si="101"/>
        <v/>
      </c>
      <c r="I634" s="220" t="str">
        <f t="shared" ca="1" si="102"/>
        <v/>
      </c>
    </row>
    <row r="635" spans="1:9" x14ac:dyDescent="0.25">
      <c r="A635" s="254" t="str">
        <f t="shared" ca="1" si="94"/>
        <v/>
      </c>
      <c r="B635" s="255" t="str">
        <f t="shared" ca="1" si="95"/>
        <v/>
      </c>
      <c r="C635" s="256" t="str">
        <f t="shared" ca="1" si="96"/>
        <v/>
      </c>
      <c r="D635" s="257" t="str">
        <f t="shared" ca="1" si="97"/>
        <v/>
      </c>
      <c r="E635" s="808" t="str">
        <f t="shared" ca="1" si="98"/>
        <v/>
      </c>
      <c r="F635" s="253" t="str">
        <f t="shared" ca="1" si="99"/>
        <v/>
      </c>
      <c r="G635" s="257" t="str">
        <f t="shared" ca="1" si="100"/>
        <v/>
      </c>
      <c r="H635" s="257" t="str">
        <f t="shared" ca="1" si="101"/>
        <v/>
      </c>
      <c r="I635" s="220" t="str">
        <f t="shared" ca="1" si="102"/>
        <v/>
      </c>
    </row>
    <row r="636" spans="1:9" x14ac:dyDescent="0.25">
      <c r="A636" s="254" t="str">
        <f t="shared" ca="1" si="94"/>
        <v/>
      </c>
      <c r="B636" s="255" t="str">
        <f t="shared" ca="1" si="95"/>
        <v/>
      </c>
      <c r="C636" s="256" t="str">
        <f t="shared" ca="1" si="96"/>
        <v/>
      </c>
      <c r="D636" s="257" t="str">
        <f t="shared" ca="1" si="97"/>
        <v/>
      </c>
      <c r="E636" s="808" t="str">
        <f t="shared" ca="1" si="98"/>
        <v/>
      </c>
      <c r="F636" s="253" t="str">
        <f t="shared" ca="1" si="99"/>
        <v/>
      </c>
      <c r="G636" s="257" t="str">
        <f t="shared" ca="1" si="100"/>
        <v/>
      </c>
      <c r="H636" s="257" t="str">
        <f t="shared" ca="1" si="101"/>
        <v/>
      </c>
      <c r="I636" s="220" t="str">
        <f t="shared" ca="1" si="102"/>
        <v/>
      </c>
    </row>
    <row r="637" spans="1:9" x14ac:dyDescent="0.25">
      <c r="A637" s="254" t="str">
        <f t="shared" ca="1" si="94"/>
        <v/>
      </c>
      <c r="B637" s="255" t="str">
        <f t="shared" ca="1" si="95"/>
        <v/>
      </c>
      <c r="C637" s="256" t="str">
        <f t="shared" ca="1" si="96"/>
        <v/>
      </c>
      <c r="D637" s="257" t="str">
        <f t="shared" ca="1" si="97"/>
        <v/>
      </c>
      <c r="E637" s="808" t="str">
        <f t="shared" ca="1" si="98"/>
        <v/>
      </c>
      <c r="F637" s="253" t="str">
        <f t="shared" ca="1" si="99"/>
        <v/>
      </c>
      <c r="G637" s="257" t="str">
        <f t="shared" ca="1" si="100"/>
        <v/>
      </c>
      <c r="H637" s="257" t="str">
        <f t="shared" ca="1" si="101"/>
        <v/>
      </c>
      <c r="I637" s="220" t="str">
        <f t="shared" ca="1" si="102"/>
        <v/>
      </c>
    </row>
    <row r="638" spans="1:9" x14ac:dyDescent="0.25">
      <c r="A638" s="254" t="str">
        <f t="shared" ca="1" si="94"/>
        <v/>
      </c>
      <c r="B638" s="255" t="str">
        <f t="shared" ca="1" si="95"/>
        <v/>
      </c>
      <c r="C638" s="256" t="str">
        <f t="shared" ca="1" si="96"/>
        <v/>
      </c>
      <c r="D638" s="257" t="str">
        <f t="shared" ca="1" si="97"/>
        <v/>
      </c>
      <c r="E638" s="808" t="str">
        <f t="shared" ca="1" si="98"/>
        <v/>
      </c>
      <c r="F638" s="253" t="str">
        <f t="shared" ca="1" si="99"/>
        <v/>
      </c>
      <c r="G638" s="257" t="str">
        <f t="shared" ca="1" si="100"/>
        <v/>
      </c>
      <c r="H638" s="257" t="str">
        <f t="shared" ca="1" si="101"/>
        <v/>
      </c>
      <c r="I638" s="220" t="str">
        <f t="shared" ca="1" si="102"/>
        <v/>
      </c>
    </row>
    <row r="639" spans="1:9" x14ac:dyDescent="0.25">
      <c r="A639" s="254" t="str">
        <f t="shared" ca="1" si="94"/>
        <v/>
      </c>
      <c r="B639" s="255" t="str">
        <f t="shared" ca="1" si="95"/>
        <v/>
      </c>
      <c r="C639" s="256" t="str">
        <f t="shared" ca="1" si="96"/>
        <v/>
      </c>
      <c r="D639" s="257" t="str">
        <f t="shared" ca="1" si="97"/>
        <v/>
      </c>
      <c r="E639" s="808" t="str">
        <f t="shared" ca="1" si="98"/>
        <v/>
      </c>
      <c r="F639" s="253" t="str">
        <f t="shared" ca="1" si="99"/>
        <v/>
      </c>
      <c r="G639" s="257" t="str">
        <f t="shared" ca="1" si="100"/>
        <v/>
      </c>
      <c r="H639" s="257" t="str">
        <f t="shared" ca="1" si="101"/>
        <v/>
      </c>
      <c r="I639" s="220" t="str">
        <f t="shared" ca="1" si="102"/>
        <v/>
      </c>
    </row>
    <row r="640" spans="1:9" x14ac:dyDescent="0.25">
      <c r="A640" s="254" t="str">
        <f t="shared" ca="1" si="94"/>
        <v/>
      </c>
      <c r="B640" s="255" t="str">
        <f t="shared" ca="1" si="95"/>
        <v/>
      </c>
      <c r="C640" s="256" t="str">
        <f t="shared" ca="1" si="96"/>
        <v/>
      </c>
      <c r="D640" s="257" t="str">
        <f t="shared" ca="1" si="97"/>
        <v/>
      </c>
      <c r="E640" s="808" t="str">
        <f t="shared" ca="1" si="98"/>
        <v/>
      </c>
      <c r="F640" s="253" t="str">
        <f t="shared" ca="1" si="99"/>
        <v/>
      </c>
      <c r="G640" s="257" t="str">
        <f t="shared" ca="1" si="100"/>
        <v/>
      </c>
      <c r="H640" s="257" t="str">
        <f t="shared" ca="1" si="101"/>
        <v/>
      </c>
      <c r="I640" s="220" t="str">
        <f t="shared" ca="1" si="102"/>
        <v/>
      </c>
    </row>
    <row r="641" spans="1:9" x14ac:dyDescent="0.25">
      <c r="A641" s="254" t="str">
        <f t="shared" ca="1" si="94"/>
        <v/>
      </c>
      <c r="B641" s="255" t="str">
        <f t="shared" ca="1" si="95"/>
        <v/>
      </c>
      <c r="C641" s="256" t="str">
        <f t="shared" ca="1" si="96"/>
        <v/>
      </c>
      <c r="D641" s="257" t="str">
        <f t="shared" ca="1" si="97"/>
        <v/>
      </c>
      <c r="E641" s="808" t="str">
        <f t="shared" ca="1" si="98"/>
        <v/>
      </c>
      <c r="F641" s="253" t="str">
        <f t="shared" ca="1" si="99"/>
        <v/>
      </c>
      <c r="G641" s="257" t="str">
        <f t="shared" ca="1" si="100"/>
        <v/>
      </c>
      <c r="H641" s="257" t="str">
        <f t="shared" ca="1" si="101"/>
        <v/>
      </c>
      <c r="I641" s="220" t="str">
        <f t="shared" ca="1" si="102"/>
        <v/>
      </c>
    </row>
    <row r="642" spans="1:9" x14ac:dyDescent="0.25">
      <c r="A642" s="254" t="str">
        <f t="shared" ref="A642:A705" ca="1" si="103">IF(OR(H641&lt;=0,H641=""),"",OFFSET(A642,-1,0,1,1)+1)</f>
        <v/>
      </c>
      <c r="B642" s="255" t="str">
        <f t="shared" ref="B642:B705" ca="1" si="104">IF(A642&lt;$H$11+1,DATE(YEAR(B641),MONTH(B641)+3,1),"")</f>
        <v/>
      </c>
      <c r="C642" s="256" t="str">
        <f t="shared" ref="C642:C705" ca="1" si="105">IF(OR(A642=$H$11,A642=$H$14),G641+D642+E642,IF(B642="","",-$D$14))</f>
        <v/>
      </c>
      <c r="D642" s="257" t="str">
        <f t="shared" ref="D642:D705" ca="1" si="106">IF(B642="","",ROUND((B642-B641)*(E642/$D$13+$H$10*($I$10))*G641,2))</f>
        <v/>
      </c>
      <c r="E642" s="808" t="str">
        <f t="shared" ref="E642:E705" ca="1" si="107">IF(B642="","",ROUND((B642-B641)*($H$10*(1-$I$10))*G641,2))</f>
        <v/>
      </c>
      <c r="F642" s="253" t="str">
        <f t="shared" ref="F642:F705" ca="1" si="108">IF(B642="","",MAX(C642-D642,0))</f>
        <v/>
      </c>
      <c r="G642" s="257" t="str">
        <f t="shared" ref="G642:G705" ca="1" si="109">IF(B642="","",-(C642-D642)+G641)</f>
        <v/>
      </c>
      <c r="H642" s="257" t="str">
        <f t="shared" ref="H642:H705" ca="1" si="110">IF(B642="","",G642)</f>
        <v/>
      </c>
      <c r="I642" s="220" t="str">
        <f t="shared" ref="I642:I705" ca="1" si="111">IF(B642="","",YEAR(B642))</f>
        <v/>
      </c>
    </row>
    <row r="643" spans="1:9" x14ac:dyDescent="0.25">
      <c r="A643" s="254" t="str">
        <f t="shared" ca="1" si="103"/>
        <v/>
      </c>
      <c r="B643" s="255" t="str">
        <f t="shared" ca="1" si="104"/>
        <v/>
      </c>
      <c r="C643" s="256" t="str">
        <f t="shared" ca="1" si="105"/>
        <v/>
      </c>
      <c r="D643" s="257" t="str">
        <f t="shared" ca="1" si="106"/>
        <v/>
      </c>
      <c r="E643" s="808" t="str">
        <f t="shared" ca="1" si="107"/>
        <v/>
      </c>
      <c r="F643" s="253" t="str">
        <f t="shared" ca="1" si="108"/>
        <v/>
      </c>
      <c r="G643" s="257" t="str">
        <f t="shared" ca="1" si="109"/>
        <v/>
      </c>
      <c r="H643" s="257" t="str">
        <f t="shared" ca="1" si="110"/>
        <v/>
      </c>
      <c r="I643" s="220" t="str">
        <f t="shared" ca="1" si="111"/>
        <v/>
      </c>
    </row>
    <row r="644" spans="1:9" x14ac:dyDescent="0.25">
      <c r="A644" s="254" t="str">
        <f t="shared" ca="1" si="103"/>
        <v/>
      </c>
      <c r="B644" s="255" t="str">
        <f t="shared" ca="1" si="104"/>
        <v/>
      </c>
      <c r="C644" s="256" t="str">
        <f t="shared" ca="1" si="105"/>
        <v/>
      </c>
      <c r="D644" s="257" t="str">
        <f t="shared" ca="1" si="106"/>
        <v/>
      </c>
      <c r="E644" s="808" t="str">
        <f t="shared" ca="1" si="107"/>
        <v/>
      </c>
      <c r="F644" s="253" t="str">
        <f t="shared" ca="1" si="108"/>
        <v/>
      </c>
      <c r="G644" s="257" t="str">
        <f t="shared" ca="1" si="109"/>
        <v/>
      </c>
      <c r="H644" s="257" t="str">
        <f t="shared" ca="1" si="110"/>
        <v/>
      </c>
      <c r="I644" s="220" t="str">
        <f t="shared" ca="1" si="111"/>
        <v/>
      </c>
    </row>
    <row r="645" spans="1:9" x14ac:dyDescent="0.25">
      <c r="A645" s="254" t="str">
        <f t="shared" ca="1" si="103"/>
        <v/>
      </c>
      <c r="B645" s="255" t="str">
        <f t="shared" ca="1" si="104"/>
        <v/>
      </c>
      <c r="C645" s="256" t="str">
        <f t="shared" ca="1" si="105"/>
        <v/>
      </c>
      <c r="D645" s="257" t="str">
        <f t="shared" ca="1" si="106"/>
        <v/>
      </c>
      <c r="E645" s="808" t="str">
        <f t="shared" ca="1" si="107"/>
        <v/>
      </c>
      <c r="F645" s="253" t="str">
        <f t="shared" ca="1" si="108"/>
        <v/>
      </c>
      <c r="G645" s="257" t="str">
        <f t="shared" ca="1" si="109"/>
        <v/>
      </c>
      <c r="H645" s="257" t="str">
        <f t="shared" ca="1" si="110"/>
        <v/>
      </c>
      <c r="I645" s="220" t="str">
        <f t="shared" ca="1" si="111"/>
        <v/>
      </c>
    </row>
    <row r="646" spans="1:9" x14ac:dyDescent="0.25">
      <c r="A646" s="254" t="str">
        <f t="shared" ca="1" si="103"/>
        <v/>
      </c>
      <c r="B646" s="255" t="str">
        <f t="shared" ca="1" si="104"/>
        <v/>
      </c>
      <c r="C646" s="256" t="str">
        <f t="shared" ca="1" si="105"/>
        <v/>
      </c>
      <c r="D646" s="257" t="str">
        <f t="shared" ca="1" si="106"/>
        <v/>
      </c>
      <c r="E646" s="808" t="str">
        <f t="shared" ca="1" si="107"/>
        <v/>
      </c>
      <c r="F646" s="253" t="str">
        <f t="shared" ca="1" si="108"/>
        <v/>
      </c>
      <c r="G646" s="257" t="str">
        <f t="shared" ca="1" si="109"/>
        <v/>
      </c>
      <c r="H646" s="257" t="str">
        <f t="shared" ca="1" si="110"/>
        <v/>
      </c>
      <c r="I646" s="220" t="str">
        <f t="shared" ca="1" si="111"/>
        <v/>
      </c>
    </row>
    <row r="647" spans="1:9" x14ac:dyDescent="0.25">
      <c r="A647" s="254" t="str">
        <f t="shared" ca="1" si="103"/>
        <v/>
      </c>
      <c r="B647" s="255" t="str">
        <f t="shared" ca="1" si="104"/>
        <v/>
      </c>
      <c r="C647" s="256" t="str">
        <f t="shared" ca="1" si="105"/>
        <v/>
      </c>
      <c r="D647" s="257" t="str">
        <f t="shared" ca="1" si="106"/>
        <v/>
      </c>
      <c r="E647" s="808" t="str">
        <f t="shared" ca="1" si="107"/>
        <v/>
      </c>
      <c r="F647" s="253" t="str">
        <f t="shared" ca="1" si="108"/>
        <v/>
      </c>
      <c r="G647" s="257" t="str">
        <f t="shared" ca="1" si="109"/>
        <v/>
      </c>
      <c r="H647" s="257" t="str">
        <f t="shared" ca="1" si="110"/>
        <v/>
      </c>
      <c r="I647" s="220" t="str">
        <f t="shared" ca="1" si="111"/>
        <v/>
      </c>
    </row>
    <row r="648" spans="1:9" x14ac:dyDescent="0.25">
      <c r="A648" s="254" t="str">
        <f t="shared" ca="1" si="103"/>
        <v/>
      </c>
      <c r="B648" s="255" t="str">
        <f t="shared" ca="1" si="104"/>
        <v/>
      </c>
      <c r="C648" s="256" t="str">
        <f t="shared" ca="1" si="105"/>
        <v/>
      </c>
      <c r="D648" s="257" t="str">
        <f t="shared" ca="1" si="106"/>
        <v/>
      </c>
      <c r="E648" s="808" t="str">
        <f t="shared" ca="1" si="107"/>
        <v/>
      </c>
      <c r="F648" s="253" t="str">
        <f t="shared" ca="1" si="108"/>
        <v/>
      </c>
      <c r="G648" s="257" t="str">
        <f t="shared" ca="1" si="109"/>
        <v/>
      </c>
      <c r="H648" s="257" t="str">
        <f t="shared" ca="1" si="110"/>
        <v/>
      </c>
      <c r="I648" s="220" t="str">
        <f t="shared" ca="1" si="111"/>
        <v/>
      </c>
    </row>
    <row r="649" spans="1:9" x14ac:dyDescent="0.25">
      <c r="A649" s="254" t="str">
        <f t="shared" ca="1" si="103"/>
        <v/>
      </c>
      <c r="B649" s="255" t="str">
        <f t="shared" ca="1" si="104"/>
        <v/>
      </c>
      <c r="C649" s="256" t="str">
        <f t="shared" ca="1" si="105"/>
        <v/>
      </c>
      <c r="D649" s="257" t="str">
        <f t="shared" ca="1" si="106"/>
        <v/>
      </c>
      <c r="E649" s="808" t="str">
        <f t="shared" ca="1" si="107"/>
        <v/>
      </c>
      <c r="F649" s="253" t="str">
        <f t="shared" ca="1" si="108"/>
        <v/>
      </c>
      <c r="G649" s="257" t="str">
        <f t="shared" ca="1" si="109"/>
        <v/>
      </c>
      <c r="H649" s="257" t="str">
        <f t="shared" ca="1" si="110"/>
        <v/>
      </c>
      <c r="I649" s="220" t="str">
        <f t="shared" ca="1" si="111"/>
        <v/>
      </c>
    </row>
    <row r="650" spans="1:9" x14ac:dyDescent="0.25">
      <c r="A650" s="254" t="str">
        <f t="shared" ca="1" si="103"/>
        <v/>
      </c>
      <c r="B650" s="255" t="str">
        <f t="shared" ca="1" si="104"/>
        <v/>
      </c>
      <c r="C650" s="256" t="str">
        <f t="shared" ca="1" si="105"/>
        <v/>
      </c>
      <c r="D650" s="257" t="str">
        <f t="shared" ca="1" si="106"/>
        <v/>
      </c>
      <c r="E650" s="808" t="str">
        <f t="shared" ca="1" si="107"/>
        <v/>
      </c>
      <c r="F650" s="253" t="str">
        <f t="shared" ca="1" si="108"/>
        <v/>
      </c>
      <c r="G650" s="257" t="str">
        <f t="shared" ca="1" si="109"/>
        <v/>
      </c>
      <c r="H650" s="257" t="str">
        <f t="shared" ca="1" si="110"/>
        <v/>
      </c>
      <c r="I650" s="220" t="str">
        <f t="shared" ca="1" si="111"/>
        <v/>
      </c>
    </row>
    <row r="651" spans="1:9" x14ac:dyDescent="0.25">
      <c r="A651" s="254" t="str">
        <f t="shared" ca="1" si="103"/>
        <v/>
      </c>
      <c r="B651" s="255" t="str">
        <f t="shared" ca="1" si="104"/>
        <v/>
      </c>
      <c r="C651" s="256" t="str">
        <f t="shared" ca="1" si="105"/>
        <v/>
      </c>
      <c r="D651" s="257" t="str">
        <f t="shared" ca="1" si="106"/>
        <v/>
      </c>
      <c r="E651" s="808" t="str">
        <f t="shared" ca="1" si="107"/>
        <v/>
      </c>
      <c r="F651" s="253" t="str">
        <f t="shared" ca="1" si="108"/>
        <v/>
      </c>
      <c r="G651" s="257" t="str">
        <f t="shared" ca="1" si="109"/>
        <v/>
      </c>
      <c r="H651" s="257" t="str">
        <f t="shared" ca="1" si="110"/>
        <v/>
      </c>
      <c r="I651" s="220" t="str">
        <f t="shared" ca="1" si="111"/>
        <v/>
      </c>
    </row>
    <row r="652" spans="1:9" x14ac:dyDescent="0.25">
      <c r="A652" s="254" t="str">
        <f t="shared" ca="1" si="103"/>
        <v/>
      </c>
      <c r="B652" s="255" t="str">
        <f t="shared" ca="1" si="104"/>
        <v/>
      </c>
      <c r="C652" s="256" t="str">
        <f t="shared" ca="1" si="105"/>
        <v/>
      </c>
      <c r="D652" s="257" t="str">
        <f t="shared" ca="1" si="106"/>
        <v/>
      </c>
      <c r="E652" s="808" t="str">
        <f t="shared" ca="1" si="107"/>
        <v/>
      </c>
      <c r="F652" s="253" t="str">
        <f t="shared" ca="1" si="108"/>
        <v/>
      </c>
      <c r="G652" s="257" t="str">
        <f t="shared" ca="1" si="109"/>
        <v/>
      </c>
      <c r="H652" s="257" t="str">
        <f t="shared" ca="1" si="110"/>
        <v/>
      </c>
      <c r="I652" s="220" t="str">
        <f t="shared" ca="1" si="111"/>
        <v/>
      </c>
    </row>
    <row r="653" spans="1:9" x14ac:dyDescent="0.25">
      <c r="A653" s="254" t="str">
        <f t="shared" ca="1" si="103"/>
        <v/>
      </c>
      <c r="B653" s="255" t="str">
        <f t="shared" ca="1" si="104"/>
        <v/>
      </c>
      <c r="C653" s="256" t="str">
        <f t="shared" ca="1" si="105"/>
        <v/>
      </c>
      <c r="D653" s="257" t="str">
        <f t="shared" ca="1" si="106"/>
        <v/>
      </c>
      <c r="E653" s="808" t="str">
        <f t="shared" ca="1" si="107"/>
        <v/>
      </c>
      <c r="F653" s="253" t="str">
        <f t="shared" ca="1" si="108"/>
        <v/>
      </c>
      <c r="G653" s="257" t="str">
        <f t="shared" ca="1" si="109"/>
        <v/>
      </c>
      <c r="H653" s="257" t="str">
        <f t="shared" ca="1" si="110"/>
        <v/>
      </c>
      <c r="I653" s="220" t="str">
        <f t="shared" ca="1" si="111"/>
        <v/>
      </c>
    </row>
    <row r="654" spans="1:9" x14ac:dyDescent="0.25">
      <c r="A654" s="254" t="str">
        <f t="shared" ca="1" si="103"/>
        <v/>
      </c>
      <c r="B654" s="255" t="str">
        <f t="shared" ca="1" si="104"/>
        <v/>
      </c>
      <c r="C654" s="256" t="str">
        <f t="shared" ca="1" si="105"/>
        <v/>
      </c>
      <c r="D654" s="257" t="str">
        <f t="shared" ca="1" si="106"/>
        <v/>
      </c>
      <c r="E654" s="808" t="str">
        <f t="shared" ca="1" si="107"/>
        <v/>
      </c>
      <c r="F654" s="253" t="str">
        <f t="shared" ca="1" si="108"/>
        <v/>
      </c>
      <c r="G654" s="257" t="str">
        <f t="shared" ca="1" si="109"/>
        <v/>
      </c>
      <c r="H654" s="257" t="str">
        <f t="shared" ca="1" si="110"/>
        <v/>
      </c>
      <c r="I654" s="220" t="str">
        <f t="shared" ca="1" si="111"/>
        <v/>
      </c>
    </row>
    <row r="655" spans="1:9" x14ac:dyDescent="0.25">
      <c r="A655" s="254" t="str">
        <f t="shared" ca="1" si="103"/>
        <v/>
      </c>
      <c r="B655" s="255" t="str">
        <f t="shared" ca="1" si="104"/>
        <v/>
      </c>
      <c r="C655" s="256" t="str">
        <f t="shared" ca="1" si="105"/>
        <v/>
      </c>
      <c r="D655" s="257" t="str">
        <f t="shared" ca="1" si="106"/>
        <v/>
      </c>
      <c r="E655" s="808" t="str">
        <f t="shared" ca="1" si="107"/>
        <v/>
      </c>
      <c r="F655" s="253" t="str">
        <f t="shared" ca="1" si="108"/>
        <v/>
      </c>
      <c r="G655" s="257" t="str">
        <f t="shared" ca="1" si="109"/>
        <v/>
      </c>
      <c r="H655" s="257" t="str">
        <f t="shared" ca="1" si="110"/>
        <v/>
      </c>
      <c r="I655" s="220" t="str">
        <f t="shared" ca="1" si="111"/>
        <v/>
      </c>
    </row>
    <row r="656" spans="1:9" x14ac:dyDescent="0.25">
      <c r="A656" s="254" t="str">
        <f t="shared" ca="1" si="103"/>
        <v/>
      </c>
      <c r="B656" s="255" t="str">
        <f t="shared" ca="1" si="104"/>
        <v/>
      </c>
      <c r="C656" s="256" t="str">
        <f t="shared" ca="1" si="105"/>
        <v/>
      </c>
      <c r="D656" s="257" t="str">
        <f t="shared" ca="1" si="106"/>
        <v/>
      </c>
      <c r="E656" s="808" t="str">
        <f t="shared" ca="1" si="107"/>
        <v/>
      </c>
      <c r="F656" s="253" t="str">
        <f t="shared" ca="1" si="108"/>
        <v/>
      </c>
      <c r="G656" s="257" t="str">
        <f t="shared" ca="1" si="109"/>
        <v/>
      </c>
      <c r="H656" s="257" t="str">
        <f t="shared" ca="1" si="110"/>
        <v/>
      </c>
      <c r="I656" s="220" t="str">
        <f t="shared" ca="1" si="111"/>
        <v/>
      </c>
    </row>
    <row r="657" spans="1:9" x14ac:dyDescent="0.25">
      <c r="A657" s="254" t="str">
        <f t="shared" ca="1" si="103"/>
        <v/>
      </c>
      <c r="B657" s="255" t="str">
        <f t="shared" ca="1" si="104"/>
        <v/>
      </c>
      <c r="C657" s="256" t="str">
        <f t="shared" ca="1" si="105"/>
        <v/>
      </c>
      <c r="D657" s="257" t="str">
        <f t="shared" ca="1" si="106"/>
        <v/>
      </c>
      <c r="E657" s="808" t="str">
        <f t="shared" ca="1" si="107"/>
        <v/>
      </c>
      <c r="F657" s="253" t="str">
        <f t="shared" ca="1" si="108"/>
        <v/>
      </c>
      <c r="G657" s="257" t="str">
        <f t="shared" ca="1" si="109"/>
        <v/>
      </c>
      <c r="H657" s="257" t="str">
        <f t="shared" ca="1" si="110"/>
        <v/>
      </c>
      <c r="I657" s="220" t="str">
        <f t="shared" ca="1" si="111"/>
        <v/>
      </c>
    </row>
    <row r="658" spans="1:9" x14ac:dyDescent="0.25">
      <c r="A658" s="254" t="str">
        <f t="shared" ca="1" si="103"/>
        <v/>
      </c>
      <c r="B658" s="255" t="str">
        <f t="shared" ca="1" si="104"/>
        <v/>
      </c>
      <c r="C658" s="256" t="str">
        <f t="shared" ca="1" si="105"/>
        <v/>
      </c>
      <c r="D658" s="257" t="str">
        <f t="shared" ca="1" si="106"/>
        <v/>
      </c>
      <c r="E658" s="808" t="str">
        <f t="shared" ca="1" si="107"/>
        <v/>
      </c>
      <c r="F658" s="253" t="str">
        <f t="shared" ca="1" si="108"/>
        <v/>
      </c>
      <c r="G658" s="257" t="str">
        <f t="shared" ca="1" si="109"/>
        <v/>
      </c>
      <c r="H658" s="257" t="str">
        <f t="shared" ca="1" si="110"/>
        <v/>
      </c>
      <c r="I658" s="220" t="str">
        <f t="shared" ca="1" si="111"/>
        <v/>
      </c>
    </row>
    <row r="659" spans="1:9" x14ac:dyDescent="0.25">
      <c r="A659" s="254" t="str">
        <f t="shared" ca="1" si="103"/>
        <v/>
      </c>
      <c r="B659" s="255" t="str">
        <f t="shared" ca="1" si="104"/>
        <v/>
      </c>
      <c r="C659" s="256" t="str">
        <f t="shared" ca="1" si="105"/>
        <v/>
      </c>
      <c r="D659" s="257" t="str">
        <f t="shared" ca="1" si="106"/>
        <v/>
      </c>
      <c r="E659" s="808" t="str">
        <f t="shared" ca="1" si="107"/>
        <v/>
      </c>
      <c r="F659" s="253" t="str">
        <f t="shared" ca="1" si="108"/>
        <v/>
      </c>
      <c r="G659" s="257" t="str">
        <f t="shared" ca="1" si="109"/>
        <v/>
      </c>
      <c r="H659" s="257" t="str">
        <f t="shared" ca="1" si="110"/>
        <v/>
      </c>
      <c r="I659" s="220" t="str">
        <f t="shared" ca="1" si="111"/>
        <v/>
      </c>
    </row>
    <row r="660" spans="1:9" x14ac:dyDescent="0.25">
      <c r="A660" s="254" t="str">
        <f t="shared" ca="1" si="103"/>
        <v/>
      </c>
      <c r="B660" s="255" t="str">
        <f t="shared" ca="1" si="104"/>
        <v/>
      </c>
      <c r="C660" s="256" t="str">
        <f t="shared" ca="1" si="105"/>
        <v/>
      </c>
      <c r="D660" s="257" t="str">
        <f t="shared" ca="1" si="106"/>
        <v/>
      </c>
      <c r="E660" s="808" t="str">
        <f t="shared" ca="1" si="107"/>
        <v/>
      </c>
      <c r="F660" s="253" t="str">
        <f t="shared" ca="1" si="108"/>
        <v/>
      </c>
      <c r="G660" s="257" t="str">
        <f t="shared" ca="1" si="109"/>
        <v/>
      </c>
      <c r="H660" s="257" t="str">
        <f t="shared" ca="1" si="110"/>
        <v/>
      </c>
      <c r="I660" s="220" t="str">
        <f t="shared" ca="1" si="111"/>
        <v/>
      </c>
    </row>
    <row r="661" spans="1:9" x14ac:dyDescent="0.25">
      <c r="A661" s="254" t="str">
        <f t="shared" ca="1" si="103"/>
        <v/>
      </c>
      <c r="B661" s="255" t="str">
        <f t="shared" ca="1" si="104"/>
        <v/>
      </c>
      <c r="C661" s="256" t="str">
        <f t="shared" ca="1" si="105"/>
        <v/>
      </c>
      <c r="D661" s="257" t="str">
        <f t="shared" ca="1" si="106"/>
        <v/>
      </c>
      <c r="E661" s="808" t="str">
        <f t="shared" ca="1" si="107"/>
        <v/>
      </c>
      <c r="F661" s="253" t="str">
        <f t="shared" ca="1" si="108"/>
        <v/>
      </c>
      <c r="G661" s="257" t="str">
        <f t="shared" ca="1" si="109"/>
        <v/>
      </c>
      <c r="H661" s="257" t="str">
        <f t="shared" ca="1" si="110"/>
        <v/>
      </c>
      <c r="I661" s="220" t="str">
        <f t="shared" ca="1" si="111"/>
        <v/>
      </c>
    </row>
    <row r="662" spans="1:9" x14ac:dyDescent="0.25">
      <c r="A662" s="254" t="str">
        <f t="shared" ca="1" si="103"/>
        <v/>
      </c>
      <c r="B662" s="255" t="str">
        <f t="shared" ca="1" si="104"/>
        <v/>
      </c>
      <c r="C662" s="256" t="str">
        <f t="shared" ca="1" si="105"/>
        <v/>
      </c>
      <c r="D662" s="257" t="str">
        <f t="shared" ca="1" si="106"/>
        <v/>
      </c>
      <c r="E662" s="808" t="str">
        <f t="shared" ca="1" si="107"/>
        <v/>
      </c>
      <c r="F662" s="253" t="str">
        <f t="shared" ca="1" si="108"/>
        <v/>
      </c>
      <c r="G662" s="257" t="str">
        <f t="shared" ca="1" si="109"/>
        <v/>
      </c>
      <c r="H662" s="257" t="str">
        <f t="shared" ca="1" si="110"/>
        <v/>
      </c>
      <c r="I662" s="220" t="str">
        <f t="shared" ca="1" si="111"/>
        <v/>
      </c>
    </row>
    <row r="663" spans="1:9" x14ac:dyDescent="0.25">
      <c r="A663" s="254" t="str">
        <f t="shared" ca="1" si="103"/>
        <v/>
      </c>
      <c r="B663" s="255" t="str">
        <f t="shared" ca="1" si="104"/>
        <v/>
      </c>
      <c r="C663" s="256" t="str">
        <f t="shared" ca="1" si="105"/>
        <v/>
      </c>
      <c r="D663" s="257" t="str">
        <f t="shared" ca="1" si="106"/>
        <v/>
      </c>
      <c r="E663" s="808" t="str">
        <f t="shared" ca="1" si="107"/>
        <v/>
      </c>
      <c r="F663" s="253" t="str">
        <f t="shared" ca="1" si="108"/>
        <v/>
      </c>
      <c r="G663" s="257" t="str">
        <f t="shared" ca="1" si="109"/>
        <v/>
      </c>
      <c r="H663" s="257" t="str">
        <f t="shared" ca="1" si="110"/>
        <v/>
      </c>
      <c r="I663" s="220" t="str">
        <f t="shared" ca="1" si="111"/>
        <v/>
      </c>
    </row>
    <row r="664" spans="1:9" x14ac:dyDescent="0.25">
      <c r="A664" s="254" t="str">
        <f t="shared" ca="1" si="103"/>
        <v/>
      </c>
      <c r="B664" s="255" t="str">
        <f t="shared" ca="1" si="104"/>
        <v/>
      </c>
      <c r="C664" s="256" t="str">
        <f t="shared" ca="1" si="105"/>
        <v/>
      </c>
      <c r="D664" s="257" t="str">
        <f t="shared" ca="1" si="106"/>
        <v/>
      </c>
      <c r="E664" s="808" t="str">
        <f t="shared" ca="1" si="107"/>
        <v/>
      </c>
      <c r="F664" s="253" t="str">
        <f t="shared" ca="1" si="108"/>
        <v/>
      </c>
      <c r="G664" s="257" t="str">
        <f t="shared" ca="1" si="109"/>
        <v/>
      </c>
      <c r="H664" s="257" t="str">
        <f t="shared" ca="1" si="110"/>
        <v/>
      </c>
      <c r="I664" s="220" t="str">
        <f t="shared" ca="1" si="111"/>
        <v/>
      </c>
    </row>
    <row r="665" spans="1:9" x14ac:dyDescent="0.25">
      <c r="A665" s="254" t="str">
        <f t="shared" ca="1" si="103"/>
        <v/>
      </c>
      <c r="B665" s="255" t="str">
        <f t="shared" ca="1" si="104"/>
        <v/>
      </c>
      <c r="C665" s="256" t="str">
        <f t="shared" ca="1" si="105"/>
        <v/>
      </c>
      <c r="D665" s="257" t="str">
        <f t="shared" ca="1" si="106"/>
        <v/>
      </c>
      <c r="E665" s="808" t="str">
        <f t="shared" ca="1" si="107"/>
        <v/>
      </c>
      <c r="F665" s="253" t="str">
        <f t="shared" ca="1" si="108"/>
        <v/>
      </c>
      <c r="G665" s="257" t="str">
        <f t="shared" ca="1" si="109"/>
        <v/>
      </c>
      <c r="H665" s="257" t="str">
        <f t="shared" ca="1" si="110"/>
        <v/>
      </c>
      <c r="I665" s="220" t="str">
        <f t="shared" ca="1" si="111"/>
        <v/>
      </c>
    </row>
    <row r="666" spans="1:9" x14ac:dyDescent="0.25">
      <c r="A666" s="254" t="str">
        <f t="shared" ca="1" si="103"/>
        <v/>
      </c>
      <c r="B666" s="255" t="str">
        <f t="shared" ca="1" si="104"/>
        <v/>
      </c>
      <c r="C666" s="256" t="str">
        <f t="shared" ca="1" si="105"/>
        <v/>
      </c>
      <c r="D666" s="257" t="str">
        <f t="shared" ca="1" si="106"/>
        <v/>
      </c>
      <c r="E666" s="808" t="str">
        <f t="shared" ca="1" si="107"/>
        <v/>
      </c>
      <c r="F666" s="253" t="str">
        <f t="shared" ca="1" si="108"/>
        <v/>
      </c>
      <c r="G666" s="257" t="str">
        <f t="shared" ca="1" si="109"/>
        <v/>
      </c>
      <c r="H666" s="257" t="str">
        <f t="shared" ca="1" si="110"/>
        <v/>
      </c>
      <c r="I666" s="220" t="str">
        <f t="shared" ca="1" si="111"/>
        <v/>
      </c>
    </row>
    <row r="667" spans="1:9" x14ac:dyDescent="0.25">
      <c r="A667" s="254" t="str">
        <f t="shared" ca="1" si="103"/>
        <v/>
      </c>
      <c r="B667" s="255" t="str">
        <f t="shared" ca="1" si="104"/>
        <v/>
      </c>
      <c r="C667" s="256" t="str">
        <f t="shared" ca="1" si="105"/>
        <v/>
      </c>
      <c r="D667" s="257" t="str">
        <f t="shared" ca="1" si="106"/>
        <v/>
      </c>
      <c r="E667" s="808" t="str">
        <f t="shared" ca="1" si="107"/>
        <v/>
      </c>
      <c r="F667" s="253" t="str">
        <f t="shared" ca="1" si="108"/>
        <v/>
      </c>
      <c r="G667" s="257" t="str">
        <f t="shared" ca="1" si="109"/>
        <v/>
      </c>
      <c r="H667" s="257" t="str">
        <f t="shared" ca="1" si="110"/>
        <v/>
      </c>
      <c r="I667" s="220" t="str">
        <f t="shared" ca="1" si="111"/>
        <v/>
      </c>
    </row>
    <row r="668" spans="1:9" x14ac:dyDescent="0.25">
      <c r="A668" s="254" t="str">
        <f t="shared" ca="1" si="103"/>
        <v/>
      </c>
      <c r="B668" s="255" t="str">
        <f t="shared" ca="1" si="104"/>
        <v/>
      </c>
      <c r="C668" s="256" t="str">
        <f t="shared" ca="1" si="105"/>
        <v/>
      </c>
      <c r="D668" s="257" t="str">
        <f t="shared" ca="1" si="106"/>
        <v/>
      </c>
      <c r="E668" s="808" t="str">
        <f t="shared" ca="1" si="107"/>
        <v/>
      </c>
      <c r="F668" s="253" t="str">
        <f t="shared" ca="1" si="108"/>
        <v/>
      </c>
      <c r="G668" s="257" t="str">
        <f t="shared" ca="1" si="109"/>
        <v/>
      </c>
      <c r="H668" s="257" t="str">
        <f t="shared" ca="1" si="110"/>
        <v/>
      </c>
      <c r="I668" s="220" t="str">
        <f t="shared" ca="1" si="111"/>
        <v/>
      </c>
    </row>
    <row r="669" spans="1:9" x14ac:dyDescent="0.25">
      <c r="A669" s="254" t="str">
        <f t="shared" ca="1" si="103"/>
        <v/>
      </c>
      <c r="B669" s="255" t="str">
        <f t="shared" ca="1" si="104"/>
        <v/>
      </c>
      <c r="C669" s="256" t="str">
        <f t="shared" ca="1" si="105"/>
        <v/>
      </c>
      <c r="D669" s="257" t="str">
        <f t="shared" ca="1" si="106"/>
        <v/>
      </c>
      <c r="E669" s="808" t="str">
        <f t="shared" ca="1" si="107"/>
        <v/>
      </c>
      <c r="F669" s="253" t="str">
        <f t="shared" ca="1" si="108"/>
        <v/>
      </c>
      <c r="G669" s="257" t="str">
        <f t="shared" ca="1" si="109"/>
        <v/>
      </c>
      <c r="H669" s="257" t="str">
        <f t="shared" ca="1" si="110"/>
        <v/>
      </c>
      <c r="I669" s="220" t="str">
        <f t="shared" ca="1" si="111"/>
        <v/>
      </c>
    </row>
    <row r="670" spans="1:9" x14ac:dyDescent="0.25">
      <c r="A670" s="254" t="str">
        <f t="shared" ca="1" si="103"/>
        <v/>
      </c>
      <c r="B670" s="255" t="str">
        <f t="shared" ca="1" si="104"/>
        <v/>
      </c>
      <c r="C670" s="256" t="str">
        <f t="shared" ca="1" si="105"/>
        <v/>
      </c>
      <c r="D670" s="257" t="str">
        <f t="shared" ca="1" si="106"/>
        <v/>
      </c>
      <c r="E670" s="808" t="str">
        <f t="shared" ca="1" si="107"/>
        <v/>
      </c>
      <c r="F670" s="253" t="str">
        <f t="shared" ca="1" si="108"/>
        <v/>
      </c>
      <c r="G670" s="257" t="str">
        <f t="shared" ca="1" si="109"/>
        <v/>
      </c>
      <c r="H670" s="257" t="str">
        <f t="shared" ca="1" si="110"/>
        <v/>
      </c>
      <c r="I670" s="220" t="str">
        <f t="shared" ca="1" si="111"/>
        <v/>
      </c>
    </row>
    <row r="671" spans="1:9" x14ac:dyDescent="0.25">
      <c r="A671" s="254" t="str">
        <f t="shared" ca="1" si="103"/>
        <v/>
      </c>
      <c r="B671" s="255" t="str">
        <f t="shared" ca="1" si="104"/>
        <v/>
      </c>
      <c r="C671" s="256" t="str">
        <f t="shared" ca="1" si="105"/>
        <v/>
      </c>
      <c r="D671" s="257" t="str">
        <f t="shared" ca="1" si="106"/>
        <v/>
      </c>
      <c r="E671" s="808" t="str">
        <f t="shared" ca="1" si="107"/>
        <v/>
      </c>
      <c r="F671" s="253" t="str">
        <f t="shared" ca="1" si="108"/>
        <v/>
      </c>
      <c r="G671" s="257" t="str">
        <f t="shared" ca="1" si="109"/>
        <v/>
      </c>
      <c r="H671" s="257" t="str">
        <f t="shared" ca="1" si="110"/>
        <v/>
      </c>
      <c r="I671" s="220" t="str">
        <f t="shared" ca="1" si="111"/>
        <v/>
      </c>
    </row>
    <row r="672" spans="1:9" x14ac:dyDescent="0.25">
      <c r="A672" s="254" t="str">
        <f t="shared" ca="1" si="103"/>
        <v/>
      </c>
      <c r="B672" s="255" t="str">
        <f t="shared" ca="1" si="104"/>
        <v/>
      </c>
      <c r="C672" s="256" t="str">
        <f t="shared" ca="1" si="105"/>
        <v/>
      </c>
      <c r="D672" s="257" t="str">
        <f t="shared" ca="1" si="106"/>
        <v/>
      </c>
      <c r="E672" s="808" t="str">
        <f t="shared" ca="1" si="107"/>
        <v/>
      </c>
      <c r="F672" s="253" t="str">
        <f t="shared" ca="1" si="108"/>
        <v/>
      </c>
      <c r="G672" s="257" t="str">
        <f t="shared" ca="1" si="109"/>
        <v/>
      </c>
      <c r="H672" s="257" t="str">
        <f t="shared" ca="1" si="110"/>
        <v/>
      </c>
      <c r="I672" s="220" t="str">
        <f t="shared" ca="1" si="111"/>
        <v/>
      </c>
    </row>
    <row r="673" spans="1:9" x14ac:dyDescent="0.25">
      <c r="A673" s="254" t="str">
        <f t="shared" ca="1" si="103"/>
        <v/>
      </c>
      <c r="B673" s="255" t="str">
        <f t="shared" ca="1" si="104"/>
        <v/>
      </c>
      <c r="C673" s="256" t="str">
        <f t="shared" ca="1" si="105"/>
        <v/>
      </c>
      <c r="D673" s="257" t="str">
        <f t="shared" ca="1" si="106"/>
        <v/>
      </c>
      <c r="E673" s="808" t="str">
        <f t="shared" ca="1" si="107"/>
        <v/>
      </c>
      <c r="F673" s="253" t="str">
        <f t="shared" ca="1" si="108"/>
        <v/>
      </c>
      <c r="G673" s="257" t="str">
        <f t="shared" ca="1" si="109"/>
        <v/>
      </c>
      <c r="H673" s="257" t="str">
        <f t="shared" ca="1" si="110"/>
        <v/>
      </c>
      <c r="I673" s="220" t="str">
        <f t="shared" ca="1" si="111"/>
        <v/>
      </c>
    </row>
    <row r="674" spans="1:9" x14ac:dyDescent="0.25">
      <c r="A674" s="254" t="str">
        <f t="shared" ca="1" si="103"/>
        <v/>
      </c>
      <c r="B674" s="255" t="str">
        <f t="shared" ca="1" si="104"/>
        <v/>
      </c>
      <c r="C674" s="256" t="str">
        <f t="shared" ca="1" si="105"/>
        <v/>
      </c>
      <c r="D674" s="257" t="str">
        <f t="shared" ca="1" si="106"/>
        <v/>
      </c>
      <c r="E674" s="808" t="str">
        <f t="shared" ca="1" si="107"/>
        <v/>
      </c>
      <c r="F674" s="253" t="str">
        <f t="shared" ca="1" si="108"/>
        <v/>
      </c>
      <c r="G674" s="257" t="str">
        <f t="shared" ca="1" si="109"/>
        <v/>
      </c>
      <c r="H674" s="257" t="str">
        <f t="shared" ca="1" si="110"/>
        <v/>
      </c>
      <c r="I674" s="220" t="str">
        <f t="shared" ca="1" si="111"/>
        <v/>
      </c>
    </row>
    <row r="675" spans="1:9" x14ac:dyDescent="0.25">
      <c r="A675" s="254" t="str">
        <f t="shared" ca="1" si="103"/>
        <v/>
      </c>
      <c r="B675" s="255" t="str">
        <f t="shared" ca="1" si="104"/>
        <v/>
      </c>
      <c r="C675" s="256" t="str">
        <f t="shared" ca="1" si="105"/>
        <v/>
      </c>
      <c r="D675" s="257" t="str">
        <f t="shared" ca="1" si="106"/>
        <v/>
      </c>
      <c r="E675" s="808" t="str">
        <f t="shared" ca="1" si="107"/>
        <v/>
      </c>
      <c r="F675" s="253" t="str">
        <f t="shared" ca="1" si="108"/>
        <v/>
      </c>
      <c r="G675" s="257" t="str">
        <f t="shared" ca="1" si="109"/>
        <v/>
      </c>
      <c r="H675" s="257" t="str">
        <f t="shared" ca="1" si="110"/>
        <v/>
      </c>
      <c r="I675" s="220" t="str">
        <f t="shared" ca="1" si="111"/>
        <v/>
      </c>
    </row>
    <row r="676" spans="1:9" x14ac:dyDescent="0.25">
      <c r="A676" s="254" t="str">
        <f t="shared" ca="1" si="103"/>
        <v/>
      </c>
      <c r="B676" s="255" t="str">
        <f t="shared" ca="1" si="104"/>
        <v/>
      </c>
      <c r="C676" s="256" t="str">
        <f t="shared" ca="1" si="105"/>
        <v/>
      </c>
      <c r="D676" s="257" t="str">
        <f t="shared" ca="1" si="106"/>
        <v/>
      </c>
      <c r="E676" s="808" t="str">
        <f t="shared" ca="1" si="107"/>
        <v/>
      </c>
      <c r="F676" s="253" t="str">
        <f t="shared" ca="1" si="108"/>
        <v/>
      </c>
      <c r="G676" s="257" t="str">
        <f t="shared" ca="1" si="109"/>
        <v/>
      </c>
      <c r="H676" s="257" t="str">
        <f t="shared" ca="1" si="110"/>
        <v/>
      </c>
      <c r="I676" s="220" t="str">
        <f t="shared" ca="1" si="111"/>
        <v/>
      </c>
    </row>
    <row r="677" spans="1:9" x14ac:dyDescent="0.25">
      <c r="A677" s="254" t="str">
        <f t="shared" ca="1" si="103"/>
        <v/>
      </c>
      <c r="B677" s="255" t="str">
        <f t="shared" ca="1" si="104"/>
        <v/>
      </c>
      <c r="C677" s="256" t="str">
        <f t="shared" ca="1" si="105"/>
        <v/>
      </c>
      <c r="D677" s="257" t="str">
        <f t="shared" ca="1" si="106"/>
        <v/>
      </c>
      <c r="E677" s="808" t="str">
        <f t="shared" ca="1" si="107"/>
        <v/>
      </c>
      <c r="F677" s="253" t="str">
        <f t="shared" ca="1" si="108"/>
        <v/>
      </c>
      <c r="G677" s="257" t="str">
        <f t="shared" ca="1" si="109"/>
        <v/>
      </c>
      <c r="H677" s="257" t="str">
        <f t="shared" ca="1" si="110"/>
        <v/>
      </c>
      <c r="I677" s="220" t="str">
        <f t="shared" ca="1" si="111"/>
        <v/>
      </c>
    </row>
    <row r="678" spans="1:9" x14ac:dyDescent="0.25">
      <c r="A678" s="254" t="str">
        <f t="shared" ca="1" si="103"/>
        <v/>
      </c>
      <c r="B678" s="255" t="str">
        <f t="shared" ca="1" si="104"/>
        <v/>
      </c>
      <c r="C678" s="256" t="str">
        <f t="shared" ca="1" si="105"/>
        <v/>
      </c>
      <c r="D678" s="257" t="str">
        <f t="shared" ca="1" si="106"/>
        <v/>
      </c>
      <c r="E678" s="808" t="str">
        <f t="shared" ca="1" si="107"/>
        <v/>
      </c>
      <c r="F678" s="253" t="str">
        <f t="shared" ca="1" si="108"/>
        <v/>
      </c>
      <c r="G678" s="257" t="str">
        <f t="shared" ca="1" si="109"/>
        <v/>
      </c>
      <c r="H678" s="257" t="str">
        <f t="shared" ca="1" si="110"/>
        <v/>
      </c>
      <c r="I678" s="220" t="str">
        <f t="shared" ca="1" si="111"/>
        <v/>
      </c>
    </row>
    <row r="679" spans="1:9" x14ac:dyDescent="0.25">
      <c r="A679" s="254" t="str">
        <f t="shared" ca="1" si="103"/>
        <v/>
      </c>
      <c r="B679" s="255" t="str">
        <f t="shared" ca="1" si="104"/>
        <v/>
      </c>
      <c r="C679" s="256" t="str">
        <f t="shared" ca="1" si="105"/>
        <v/>
      </c>
      <c r="D679" s="257" t="str">
        <f t="shared" ca="1" si="106"/>
        <v/>
      </c>
      <c r="E679" s="808" t="str">
        <f t="shared" ca="1" si="107"/>
        <v/>
      </c>
      <c r="F679" s="253" t="str">
        <f t="shared" ca="1" si="108"/>
        <v/>
      </c>
      <c r="G679" s="257" t="str">
        <f t="shared" ca="1" si="109"/>
        <v/>
      </c>
      <c r="H679" s="257" t="str">
        <f t="shared" ca="1" si="110"/>
        <v/>
      </c>
      <c r="I679" s="220" t="str">
        <f t="shared" ca="1" si="111"/>
        <v/>
      </c>
    </row>
    <row r="680" spans="1:9" x14ac:dyDescent="0.25">
      <c r="A680" s="254" t="str">
        <f t="shared" ca="1" si="103"/>
        <v/>
      </c>
      <c r="B680" s="255" t="str">
        <f t="shared" ca="1" si="104"/>
        <v/>
      </c>
      <c r="C680" s="256" t="str">
        <f t="shared" ca="1" si="105"/>
        <v/>
      </c>
      <c r="D680" s="257" t="str">
        <f t="shared" ca="1" si="106"/>
        <v/>
      </c>
      <c r="E680" s="808" t="str">
        <f t="shared" ca="1" si="107"/>
        <v/>
      </c>
      <c r="F680" s="253" t="str">
        <f t="shared" ca="1" si="108"/>
        <v/>
      </c>
      <c r="G680" s="257" t="str">
        <f t="shared" ca="1" si="109"/>
        <v/>
      </c>
      <c r="H680" s="257" t="str">
        <f t="shared" ca="1" si="110"/>
        <v/>
      </c>
      <c r="I680" s="220" t="str">
        <f t="shared" ca="1" si="111"/>
        <v/>
      </c>
    </row>
    <row r="681" spans="1:9" x14ac:dyDescent="0.25">
      <c r="A681" s="254" t="str">
        <f t="shared" ca="1" si="103"/>
        <v/>
      </c>
      <c r="B681" s="255" t="str">
        <f t="shared" ca="1" si="104"/>
        <v/>
      </c>
      <c r="C681" s="256" t="str">
        <f t="shared" ca="1" si="105"/>
        <v/>
      </c>
      <c r="D681" s="257" t="str">
        <f t="shared" ca="1" si="106"/>
        <v/>
      </c>
      <c r="E681" s="808" t="str">
        <f t="shared" ca="1" si="107"/>
        <v/>
      </c>
      <c r="F681" s="253" t="str">
        <f t="shared" ca="1" si="108"/>
        <v/>
      </c>
      <c r="G681" s="257" t="str">
        <f t="shared" ca="1" si="109"/>
        <v/>
      </c>
      <c r="H681" s="257" t="str">
        <f t="shared" ca="1" si="110"/>
        <v/>
      </c>
      <c r="I681" s="220" t="str">
        <f t="shared" ca="1" si="111"/>
        <v/>
      </c>
    </row>
    <row r="682" spans="1:9" x14ac:dyDescent="0.25">
      <c r="A682" s="254" t="str">
        <f t="shared" ca="1" si="103"/>
        <v/>
      </c>
      <c r="B682" s="255" t="str">
        <f t="shared" ca="1" si="104"/>
        <v/>
      </c>
      <c r="C682" s="256" t="str">
        <f t="shared" ca="1" si="105"/>
        <v/>
      </c>
      <c r="D682" s="257" t="str">
        <f t="shared" ca="1" si="106"/>
        <v/>
      </c>
      <c r="E682" s="808" t="str">
        <f t="shared" ca="1" si="107"/>
        <v/>
      </c>
      <c r="F682" s="253" t="str">
        <f t="shared" ca="1" si="108"/>
        <v/>
      </c>
      <c r="G682" s="257" t="str">
        <f t="shared" ca="1" si="109"/>
        <v/>
      </c>
      <c r="H682" s="257" t="str">
        <f t="shared" ca="1" si="110"/>
        <v/>
      </c>
      <c r="I682" s="220" t="str">
        <f t="shared" ca="1" si="111"/>
        <v/>
      </c>
    </row>
    <row r="683" spans="1:9" x14ac:dyDescent="0.25">
      <c r="A683" s="254" t="str">
        <f t="shared" ca="1" si="103"/>
        <v/>
      </c>
      <c r="B683" s="255" t="str">
        <f t="shared" ca="1" si="104"/>
        <v/>
      </c>
      <c r="C683" s="256" t="str">
        <f t="shared" ca="1" si="105"/>
        <v/>
      </c>
      <c r="D683" s="257" t="str">
        <f t="shared" ca="1" si="106"/>
        <v/>
      </c>
      <c r="E683" s="808" t="str">
        <f t="shared" ca="1" si="107"/>
        <v/>
      </c>
      <c r="F683" s="253" t="str">
        <f t="shared" ca="1" si="108"/>
        <v/>
      </c>
      <c r="G683" s="257" t="str">
        <f t="shared" ca="1" si="109"/>
        <v/>
      </c>
      <c r="H683" s="257" t="str">
        <f t="shared" ca="1" si="110"/>
        <v/>
      </c>
      <c r="I683" s="220" t="str">
        <f t="shared" ca="1" si="111"/>
        <v/>
      </c>
    </row>
    <row r="684" spans="1:9" x14ac:dyDescent="0.25">
      <c r="A684" s="254" t="str">
        <f t="shared" ca="1" si="103"/>
        <v/>
      </c>
      <c r="B684" s="255" t="str">
        <f t="shared" ca="1" si="104"/>
        <v/>
      </c>
      <c r="C684" s="256" t="str">
        <f t="shared" ca="1" si="105"/>
        <v/>
      </c>
      <c r="D684" s="257" t="str">
        <f t="shared" ca="1" si="106"/>
        <v/>
      </c>
      <c r="E684" s="808" t="str">
        <f t="shared" ca="1" si="107"/>
        <v/>
      </c>
      <c r="F684" s="253" t="str">
        <f t="shared" ca="1" si="108"/>
        <v/>
      </c>
      <c r="G684" s="257" t="str">
        <f t="shared" ca="1" si="109"/>
        <v/>
      </c>
      <c r="H684" s="257" t="str">
        <f t="shared" ca="1" si="110"/>
        <v/>
      </c>
      <c r="I684" s="220" t="str">
        <f t="shared" ca="1" si="111"/>
        <v/>
      </c>
    </row>
    <row r="685" spans="1:9" x14ac:dyDescent="0.25">
      <c r="A685" s="254" t="str">
        <f t="shared" ca="1" si="103"/>
        <v/>
      </c>
      <c r="B685" s="255" t="str">
        <f t="shared" ca="1" si="104"/>
        <v/>
      </c>
      <c r="C685" s="256" t="str">
        <f t="shared" ca="1" si="105"/>
        <v/>
      </c>
      <c r="D685" s="257" t="str">
        <f t="shared" ca="1" si="106"/>
        <v/>
      </c>
      <c r="E685" s="808" t="str">
        <f t="shared" ca="1" si="107"/>
        <v/>
      </c>
      <c r="F685" s="253" t="str">
        <f t="shared" ca="1" si="108"/>
        <v/>
      </c>
      <c r="G685" s="257" t="str">
        <f t="shared" ca="1" si="109"/>
        <v/>
      </c>
      <c r="H685" s="257" t="str">
        <f t="shared" ca="1" si="110"/>
        <v/>
      </c>
      <c r="I685" s="220" t="str">
        <f t="shared" ca="1" si="111"/>
        <v/>
      </c>
    </row>
    <row r="686" spans="1:9" x14ac:dyDescent="0.25">
      <c r="A686" s="254" t="str">
        <f t="shared" ca="1" si="103"/>
        <v/>
      </c>
      <c r="B686" s="255" t="str">
        <f t="shared" ca="1" si="104"/>
        <v/>
      </c>
      <c r="C686" s="256" t="str">
        <f t="shared" ca="1" si="105"/>
        <v/>
      </c>
      <c r="D686" s="257" t="str">
        <f t="shared" ca="1" si="106"/>
        <v/>
      </c>
      <c r="E686" s="808" t="str">
        <f t="shared" ca="1" si="107"/>
        <v/>
      </c>
      <c r="F686" s="253" t="str">
        <f t="shared" ca="1" si="108"/>
        <v/>
      </c>
      <c r="G686" s="257" t="str">
        <f t="shared" ca="1" si="109"/>
        <v/>
      </c>
      <c r="H686" s="257" t="str">
        <f t="shared" ca="1" si="110"/>
        <v/>
      </c>
      <c r="I686" s="220" t="str">
        <f t="shared" ca="1" si="111"/>
        <v/>
      </c>
    </row>
    <row r="687" spans="1:9" x14ac:dyDescent="0.25">
      <c r="A687" s="254" t="str">
        <f t="shared" ca="1" si="103"/>
        <v/>
      </c>
      <c r="B687" s="255" t="str">
        <f t="shared" ca="1" si="104"/>
        <v/>
      </c>
      <c r="C687" s="256" t="str">
        <f t="shared" ca="1" si="105"/>
        <v/>
      </c>
      <c r="D687" s="257" t="str">
        <f t="shared" ca="1" si="106"/>
        <v/>
      </c>
      <c r="E687" s="808" t="str">
        <f t="shared" ca="1" si="107"/>
        <v/>
      </c>
      <c r="F687" s="253" t="str">
        <f t="shared" ca="1" si="108"/>
        <v/>
      </c>
      <c r="G687" s="257" t="str">
        <f t="shared" ca="1" si="109"/>
        <v/>
      </c>
      <c r="H687" s="257" t="str">
        <f t="shared" ca="1" si="110"/>
        <v/>
      </c>
      <c r="I687" s="220" t="str">
        <f t="shared" ca="1" si="111"/>
        <v/>
      </c>
    </row>
    <row r="688" spans="1:9" x14ac:dyDescent="0.25">
      <c r="A688" s="254" t="str">
        <f t="shared" ca="1" si="103"/>
        <v/>
      </c>
      <c r="B688" s="255" t="str">
        <f t="shared" ca="1" si="104"/>
        <v/>
      </c>
      <c r="C688" s="256" t="str">
        <f t="shared" ca="1" si="105"/>
        <v/>
      </c>
      <c r="D688" s="257" t="str">
        <f t="shared" ca="1" si="106"/>
        <v/>
      </c>
      <c r="E688" s="808" t="str">
        <f t="shared" ca="1" si="107"/>
        <v/>
      </c>
      <c r="F688" s="253" t="str">
        <f t="shared" ca="1" si="108"/>
        <v/>
      </c>
      <c r="G688" s="257" t="str">
        <f t="shared" ca="1" si="109"/>
        <v/>
      </c>
      <c r="H688" s="257" t="str">
        <f t="shared" ca="1" si="110"/>
        <v/>
      </c>
      <c r="I688" s="220" t="str">
        <f t="shared" ca="1" si="111"/>
        <v/>
      </c>
    </row>
    <row r="689" spans="1:9" x14ac:dyDescent="0.25">
      <c r="A689" s="254" t="str">
        <f t="shared" ca="1" si="103"/>
        <v/>
      </c>
      <c r="B689" s="255" t="str">
        <f t="shared" ca="1" si="104"/>
        <v/>
      </c>
      <c r="C689" s="256" t="str">
        <f t="shared" ca="1" si="105"/>
        <v/>
      </c>
      <c r="D689" s="257" t="str">
        <f t="shared" ca="1" si="106"/>
        <v/>
      </c>
      <c r="E689" s="808" t="str">
        <f t="shared" ca="1" si="107"/>
        <v/>
      </c>
      <c r="F689" s="253" t="str">
        <f t="shared" ca="1" si="108"/>
        <v/>
      </c>
      <c r="G689" s="257" t="str">
        <f t="shared" ca="1" si="109"/>
        <v/>
      </c>
      <c r="H689" s="257" t="str">
        <f t="shared" ca="1" si="110"/>
        <v/>
      </c>
      <c r="I689" s="220" t="str">
        <f t="shared" ca="1" si="111"/>
        <v/>
      </c>
    </row>
    <row r="690" spans="1:9" x14ac:dyDescent="0.25">
      <c r="A690" s="254" t="str">
        <f t="shared" ca="1" si="103"/>
        <v/>
      </c>
      <c r="B690" s="255" t="str">
        <f t="shared" ca="1" si="104"/>
        <v/>
      </c>
      <c r="C690" s="256" t="str">
        <f t="shared" ca="1" si="105"/>
        <v/>
      </c>
      <c r="D690" s="257" t="str">
        <f t="shared" ca="1" si="106"/>
        <v/>
      </c>
      <c r="E690" s="808" t="str">
        <f t="shared" ca="1" si="107"/>
        <v/>
      </c>
      <c r="F690" s="253" t="str">
        <f t="shared" ca="1" si="108"/>
        <v/>
      </c>
      <c r="G690" s="257" t="str">
        <f t="shared" ca="1" si="109"/>
        <v/>
      </c>
      <c r="H690" s="257" t="str">
        <f t="shared" ca="1" si="110"/>
        <v/>
      </c>
      <c r="I690" s="220" t="str">
        <f t="shared" ca="1" si="111"/>
        <v/>
      </c>
    </row>
    <row r="691" spans="1:9" x14ac:dyDescent="0.25">
      <c r="A691" s="254" t="str">
        <f t="shared" ca="1" si="103"/>
        <v/>
      </c>
      <c r="B691" s="255" t="str">
        <f t="shared" ca="1" si="104"/>
        <v/>
      </c>
      <c r="C691" s="256" t="str">
        <f t="shared" ca="1" si="105"/>
        <v/>
      </c>
      <c r="D691" s="257" t="str">
        <f t="shared" ca="1" si="106"/>
        <v/>
      </c>
      <c r="E691" s="808" t="str">
        <f t="shared" ca="1" si="107"/>
        <v/>
      </c>
      <c r="F691" s="253" t="str">
        <f t="shared" ca="1" si="108"/>
        <v/>
      </c>
      <c r="G691" s="257" t="str">
        <f t="shared" ca="1" si="109"/>
        <v/>
      </c>
      <c r="H691" s="257" t="str">
        <f t="shared" ca="1" si="110"/>
        <v/>
      </c>
      <c r="I691" s="220" t="str">
        <f t="shared" ca="1" si="111"/>
        <v/>
      </c>
    </row>
    <row r="692" spans="1:9" x14ac:dyDescent="0.25">
      <c r="A692" s="254" t="str">
        <f t="shared" ca="1" si="103"/>
        <v/>
      </c>
      <c r="B692" s="255" t="str">
        <f t="shared" ca="1" si="104"/>
        <v/>
      </c>
      <c r="C692" s="256" t="str">
        <f t="shared" ca="1" si="105"/>
        <v/>
      </c>
      <c r="D692" s="257" t="str">
        <f t="shared" ca="1" si="106"/>
        <v/>
      </c>
      <c r="E692" s="808" t="str">
        <f t="shared" ca="1" si="107"/>
        <v/>
      </c>
      <c r="F692" s="253" t="str">
        <f t="shared" ca="1" si="108"/>
        <v/>
      </c>
      <c r="G692" s="257" t="str">
        <f t="shared" ca="1" si="109"/>
        <v/>
      </c>
      <c r="H692" s="257" t="str">
        <f t="shared" ca="1" si="110"/>
        <v/>
      </c>
      <c r="I692" s="220" t="str">
        <f t="shared" ca="1" si="111"/>
        <v/>
      </c>
    </row>
    <row r="693" spans="1:9" x14ac:dyDescent="0.25">
      <c r="A693" s="254" t="str">
        <f t="shared" ca="1" si="103"/>
        <v/>
      </c>
      <c r="B693" s="255" t="str">
        <f t="shared" ca="1" si="104"/>
        <v/>
      </c>
      <c r="C693" s="256" t="str">
        <f t="shared" ca="1" si="105"/>
        <v/>
      </c>
      <c r="D693" s="257" t="str">
        <f t="shared" ca="1" si="106"/>
        <v/>
      </c>
      <c r="E693" s="808" t="str">
        <f t="shared" ca="1" si="107"/>
        <v/>
      </c>
      <c r="F693" s="253" t="str">
        <f t="shared" ca="1" si="108"/>
        <v/>
      </c>
      <c r="G693" s="257" t="str">
        <f t="shared" ca="1" si="109"/>
        <v/>
      </c>
      <c r="H693" s="257" t="str">
        <f t="shared" ca="1" si="110"/>
        <v/>
      </c>
      <c r="I693" s="220" t="str">
        <f t="shared" ca="1" si="111"/>
        <v/>
      </c>
    </row>
    <row r="694" spans="1:9" x14ac:dyDescent="0.25">
      <c r="A694" s="254" t="str">
        <f t="shared" ca="1" si="103"/>
        <v/>
      </c>
      <c r="B694" s="255" t="str">
        <f t="shared" ca="1" si="104"/>
        <v/>
      </c>
      <c r="C694" s="256" t="str">
        <f t="shared" ca="1" si="105"/>
        <v/>
      </c>
      <c r="D694" s="257" t="str">
        <f t="shared" ca="1" si="106"/>
        <v/>
      </c>
      <c r="E694" s="808" t="str">
        <f t="shared" ca="1" si="107"/>
        <v/>
      </c>
      <c r="F694" s="253" t="str">
        <f t="shared" ca="1" si="108"/>
        <v/>
      </c>
      <c r="G694" s="257" t="str">
        <f t="shared" ca="1" si="109"/>
        <v/>
      </c>
      <c r="H694" s="257" t="str">
        <f t="shared" ca="1" si="110"/>
        <v/>
      </c>
      <c r="I694" s="220" t="str">
        <f t="shared" ca="1" si="111"/>
        <v/>
      </c>
    </row>
    <row r="695" spans="1:9" x14ac:dyDescent="0.25">
      <c r="A695" s="254" t="str">
        <f t="shared" ca="1" si="103"/>
        <v/>
      </c>
      <c r="B695" s="255" t="str">
        <f t="shared" ca="1" si="104"/>
        <v/>
      </c>
      <c r="C695" s="256" t="str">
        <f t="shared" ca="1" si="105"/>
        <v/>
      </c>
      <c r="D695" s="257" t="str">
        <f t="shared" ca="1" si="106"/>
        <v/>
      </c>
      <c r="E695" s="808" t="str">
        <f t="shared" ca="1" si="107"/>
        <v/>
      </c>
      <c r="F695" s="253" t="str">
        <f t="shared" ca="1" si="108"/>
        <v/>
      </c>
      <c r="G695" s="257" t="str">
        <f t="shared" ca="1" si="109"/>
        <v/>
      </c>
      <c r="H695" s="257" t="str">
        <f t="shared" ca="1" si="110"/>
        <v/>
      </c>
      <c r="I695" s="220" t="str">
        <f t="shared" ca="1" si="111"/>
        <v/>
      </c>
    </row>
    <row r="696" spans="1:9" x14ac:dyDescent="0.25">
      <c r="A696" s="254" t="str">
        <f t="shared" ca="1" si="103"/>
        <v/>
      </c>
      <c r="B696" s="255" t="str">
        <f t="shared" ca="1" si="104"/>
        <v/>
      </c>
      <c r="C696" s="256" t="str">
        <f t="shared" ca="1" si="105"/>
        <v/>
      </c>
      <c r="D696" s="257" t="str">
        <f t="shared" ca="1" si="106"/>
        <v/>
      </c>
      <c r="E696" s="808" t="str">
        <f t="shared" ca="1" si="107"/>
        <v/>
      </c>
      <c r="F696" s="253" t="str">
        <f t="shared" ca="1" si="108"/>
        <v/>
      </c>
      <c r="G696" s="257" t="str">
        <f t="shared" ca="1" si="109"/>
        <v/>
      </c>
      <c r="H696" s="257" t="str">
        <f t="shared" ca="1" si="110"/>
        <v/>
      </c>
      <c r="I696" s="220" t="str">
        <f t="shared" ca="1" si="111"/>
        <v/>
      </c>
    </row>
    <row r="697" spans="1:9" x14ac:dyDescent="0.25">
      <c r="A697" s="254" t="str">
        <f t="shared" ca="1" si="103"/>
        <v/>
      </c>
      <c r="B697" s="255" t="str">
        <f t="shared" ca="1" si="104"/>
        <v/>
      </c>
      <c r="C697" s="256" t="str">
        <f t="shared" ca="1" si="105"/>
        <v/>
      </c>
      <c r="D697" s="257" t="str">
        <f t="shared" ca="1" si="106"/>
        <v/>
      </c>
      <c r="E697" s="808" t="str">
        <f t="shared" ca="1" si="107"/>
        <v/>
      </c>
      <c r="F697" s="253" t="str">
        <f t="shared" ca="1" si="108"/>
        <v/>
      </c>
      <c r="G697" s="257" t="str">
        <f t="shared" ca="1" si="109"/>
        <v/>
      </c>
      <c r="H697" s="257" t="str">
        <f t="shared" ca="1" si="110"/>
        <v/>
      </c>
      <c r="I697" s="220" t="str">
        <f t="shared" ca="1" si="111"/>
        <v/>
      </c>
    </row>
    <row r="698" spans="1:9" x14ac:dyDescent="0.25">
      <c r="A698" s="254" t="str">
        <f t="shared" ca="1" si="103"/>
        <v/>
      </c>
      <c r="B698" s="255" t="str">
        <f t="shared" ca="1" si="104"/>
        <v/>
      </c>
      <c r="C698" s="256" t="str">
        <f t="shared" ca="1" si="105"/>
        <v/>
      </c>
      <c r="D698" s="257" t="str">
        <f t="shared" ca="1" si="106"/>
        <v/>
      </c>
      <c r="E698" s="808" t="str">
        <f t="shared" ca="1" si="107"/>
        <v/>
      </c>
      <c r="F698" s="253" t="str">
        <f t="shared" ca="1" si="108"/>
        <v/>
      </c>
      <c r="G698" s="257" t="str">
        <f t="shared" ca="1" si="109"/>
        <v/>
      </c>
      <c r="H698" s="257" t="str">
        <f t="shared" ca="1" si="110"/>
        <v/>
      </c>
      <c r="I698" s="220" t="str">
        <f t="shared" ca="1" si="111"/>
        <v/>
      </c>
    </row>
    <row r="699" spans="1:9" x14ac:dyDescent="0.25">
      <c r="A699" s="254" t="str">
        <f t="shared" ca="1" si="103"/>
        <v/>
      </c>
      <c r="B699" s="255" t="str">
        <f t="shared" ca="1" si="104"/>
        <v/>
      </c>
      <c r="C699" s="256" t="str">
        <f t="shared" ca="1" si="105"/>
        <v/>
      </c>
      <c r="D699" s="257" t="str">
        <f t="shared" ca="1" si="106"/>
        <v/>
      </c>
      <c r="E699" s="808" t="str">
        <f t="shared" ca="1" si="107"/>
        <v/>
      </c>
      <c r="F699" s="253" t="str">
        <f t="shared" ca="1" si="108"/>
        <v/>
      </c>
      <c r="G699" s="257" t="str">
        <f t="shared" ca="1" si="109"/>
        <v/>
      </c>
      <c r="H699" s="257" t="str">
        <f t="shared" ca="1" si="110"/>
        <v/>
      </c>
      <c r="I699" s="220" t="str">
        <f t="shared" ca="1" si="111"/>
        <v/>
      </c>
    </row>
    <row r="700" spans="1:9" x14ac:dyDescent="0.25">
      <c r="A700" s="254" t="str">
        <f t="shared" ca="1" si="103"/>
        <v/>
      </c>
      <c r="B700" s="255" t="str">
        <f t="shared" ca="1" si="104"/>
        <v/>
      </c>
      <c r="C700" s="256" t="str">
        <f t="shared" ca="1" si="105"/>
        <v/>
      </c>
      <c r="D700" s="257" t="str">
        <f t="shared" ca="1" si="106"/>
        <v/>
      </c>
      <c r="E700" s="808" t="str">
        <f t="shared" ca="1" si="107"/>
        <v/>
      </c>
      <c r="F700" s="253" t="str">
        <f t="shared" ca="1" si="108"/>
        <v/>
      </c>
      <c r="G700" s="257" t="str">
        <f t="shared" ca="1" si="109"/>
        <v/>
      </c>
      <c r="H700" s="257" t="str">
        <f t="shared" ca="1" si="110"/>
        <v/>
      </c>
      <c r="I700" s="220" t="str">
        <f t="shared" ca="1" si="111"/>
        <v/>
      </c>
    </row>
    <row r="701" spans="1:9" x14ac:dyDescent="0.25">
      <c r="A701" s="254" t="str">
        <f t="shared" ca="1" si="103"/>
        <v/>
      </c>
      <c r="B701" s="255" t="str">
        <f t="shared" ca="1" si="104"/>
        <v/>
      </c>
      <c r="C701" s="256" t="str">
        <f t="shared" ca="1" si="105"/>
        <v/>
      </c>
      <c r="D701" s="257" t="str">
        <f t="shared" ca="1" si="106"/>
        <v/>
      </c>
      <c r="E701" s="808" t="str">
        <f t="shared" ca="1" si="107"/>
        <v/>
      </c>
      <c r="F701" s="253" t="str">
        <f t="shared" ca="1" si="108"/>
        <v/>
      </c>
      <c r="G701" s="257" t="str">
        <f t="shared" ca="1" si="109"/>
        <v/>
      </c>
      <c r="H701" s="257" t="str">
        <f t="shared" ca="1" si="110"/>
        <v/>
      </c>
      <c r="I701" s="220" t="str">
        <f t="shared" ca="1" si="111"/>
        <v/>
      </c>
    </row>
    <row r="702" spans="1:9" x14ac:dyDescent="0.25">
      <c r="A702" s="254" t="str">
        <f t="shared" ca="1" si="103"/>
        <v/>
      </c>
      <c r="B702" s="255" t="str">
        <f t="shared" ca="1" si="104"/>
        <v/>
      </c>
      <c r="C702" s="256" t="str">
        <f t="shared" ca="1" si="105"/>
        <v/>
      </c>
      <c r="D702" s="257" t="str">
        <f t="shared" ca="1" si="106"/>
        <v/>
      </c>
      <c r="E702" s="808" t="str">
        <f t="shared" ca="1" si="107"/>
        <v/>
      </c>
      <c r="F702" s="253" t="str">
        <f t="shared" ca="1" si="108"/>
        <v/>
      </c>
      <c r="G702" s="257" t="str">
        <f t="shared" ca="1" si="109"/>
        <v/>
      </c>
      <c r="H702" s="257" t="str">
        <f t="shared" ca="1" si="110"/>
        <v/>
      </c>
      <c r="I702" s="220" t="str">
        <f t="shared" ca="1" si="111"/>
        <v/>
      </c>
    </row>
    <row r="703" spans="1:9" x14ac:dyDescent="0.25">
      <c r="A703" s="254" t="str">
        <f t="shared" ca="1" si="103"/>
        <v/>
      </c>
      <c r="B703" s="255" t="str">
        <f t="shared" ca="1" si="104"/>
        <v/>
      </c>
      <c r="C703" s="256" t="str">
        <f t="shared" ca="1" si="105"/>
        <v/>
      </c>
      <c r="D703" s="257" t="str">
        <f t="shared" ca="1" si="106"/>
        <v/>
      </c>
      <c r="E703" s="808" t="str">
        <f t="shared" ca="1" si="107"/>
        <v/>
      </c>
      <c r="F703" s="253" t="str">
        <f t="shared" ca="1" si="108"/>
        <v/>
      </c>
      <c r="G703" s="257" t="str">
        <f t="shared" ca="1" si="109"/>
        <v/>
      </c>
      <c r="H703" s="257" t="str">
        <f t="shared" ca="1" si="110"/>
        <v/>
      </c>
      <c r="I703" s="220" t="str">
        <f t="shared" ca="1" si="111"/>
        <v/>
      </c>
    </row>
    <row r="704" spans="1:9" x14ac:dyDescent="0.25">
      <c r="A704" s="254" t="str">
        <f t="shared" ca="1" si="103"/>
        <v/>
      </c>
      <c r="B704" s="255" t="str">
        <f t="shared" ca="1" si="104"/>
        <v/>
      </c>
      <c r="C704" s="256" t="str">
        <f t="shared" ca="1" si="105"/>
        <v/>
      </c>
      <c r="D704" s="257" t="str">
        <f t="shared" ca="1" si="106"/>
        <v/>
      </c>
      <c r="E704" s="808" t="str">
        <f t="shared" ca="1" si="107"/>
        <v/>
      </c>
      <c r="F704" s="253" t="str">
        <f t="shared" ca="1" si="108"/>
        <v/>
      </c>
      <c r="G704" s="257" t="str">
        <f t="shared" ca="1" si="109"/>
        <v/>
      </c>
      <c r="H704" s="257" t="str">
        <f t="shared" ca="1" si="110"/>
        <v/>
      </c>
      <c r="I704" s="220" t="str">
        <f t="shared" ca="1" si="111"/>
        <v/>
      </c>
    </row>
    <row r="705" spans="1:9" x14ac:dyDescent="0.25">
      <c r="A705" s="254" t="str">
        <f t="shared" ca="1" si="103"/>
        <v/>
      </c>
      <c r="B705" s="255" t="str">
        <f t="shared" ca="1" si="104"/>
        <v/>
      </c>
      <c r="C705" s="256" t="str">
        <f t="shared" ca="1" si="105"/>
        <v/>
      </c>
      <c r="D705" s="257" t="str">
        <f t="shared" ca="1" si="106"/>
        <v/>
      </c>
      <c r="E705" s="808" t="str">
        <f t="shared" ca="1" si="107"/>
        <v/>
      </c>
      <c r="F705" s="253" t="str">
        <f t="shared" ca="1" si="108"/>
        <v/>
      </c>
      <c r="G705" s="257" t="str">
        <f t="shared" ca="1" si="109"/>
        <v/>
      </c>
      <c r="H705" s="257" t="str">
        <f t="shared" ca="1" si="110"/>
        <v/>
      </c>
      <c r="I705" s="220" t="str">
        <f t="shared" ca="1" si="111"/>
        <v/>
      </c>
    </row>
    <row r="706" spans="1:9" x14ac:dyDescent="0.25">
      <c r="A706" s="254" t="str">
        <f t="shared" ref="A706:A769" ca="1" si="112">IF(OR(H705&lt;=0,H705=""),"",OFFSET(A706,-1,0,1,1)+1)</f>
        <v/>
      </c>
      <c r="B706" s="255" t="str">
        <f t="shared" ref="B706:B769" ca="1" si="113">IF(A706&lt;$H$11+1,DATE(YEAR(B705),MONTH(B705)+3,1),"")</f>
        <v/>
      </c>
      <c r="C706" s="256" t="str">
        <f t="shared" ref="C706:C769" ca="1" si="114">IF(OR(A706=$H$11,A706=$H$14),G705+D706+E706,IF(B706="","",-$D$14))</f>
        <v/>
      </c>
      <c r="D706" s="257" t="str">
        <f t="shared" ref="D706:D769" ca="1" si="115">IF(B706="","",ROUND((B706-B705)*(E706/$D$13+$H$10*($I$10))*G705,2))</f>
        <v/>
      </c>
      <c r="E706" s="808" t="str">
        <f t="shared" ref="E706:E769" ca="1" si="116">IF(B706="","",ROUND((B706-B705)*($H$10*(1-$I$10))*G705,2))</f>
        <v/>
      </c>
      <c r="F706" s="253" t="str">
        <f t="shared" ref="F706:F769" ca="1" si="117">IF(B706="","",MAX(C706-D706,0))</f>
        <v/>
      </c>
      <c r="G706" s="257" t="str">
        <f t="shared" ref="G706:G769" ca="1" si="118">IF(B706="","",-(C706-D706)+G705)</f>
        <v/>
      </c>
      <c r="H706" s="257" t="str">
        <f t="shared" ref="H706:H769" ca="1" si="119">IF(B706="","",G706)</f>
        <v/>
      </c>
      <c r="I706" s="220" t="str">
        <f t="shared" ref="I706:I769" ca="1" si="120">IF(B706="","",YEAR(B706))</f>
        <v/>
      </c>
    </row>
    <row r="707" spans="1:9" x14ac:dyDescent="0.25">
      <c r="A707" s="254" t="str">
        <f t="shared" ca="1" si="112"/>
        <v/>
      </c>
      <c r="B707" s="255" t="str">
        <f t="shared" ca="1" si="113"/>
        <v/>
      </c>
      <c r="C707" s="256" t="str">
        <f t="shared" ca="1" si="114"/>
        <v/>
      </c>
      <c r="D707" s="257" t="str">
        <f t="shared" ca="1" si="115"/>
        <v/>
      </c>
      <c r="E707" s="808" t="str">
        <f t="shared" ca="1" si="116"/>
        <v/>
      </c>
      <c r="F707" s="253" t="str">
        <f t="shared" ca="1" si="117"/>
        <v/>
      </c>
      <c r="G707" s="257" t="str">
        <f t="shared" ca="1" si="118"/>
        <v/>
      </c>
      <c r="H707" s="257" t="str">
        <f t="shared" ca="1" si="119"/>
        <v/>
      </c>
      <c r="I707" s="220" t="str">
        <f t="shared" ca="1" si="120"/>
        <v/>
      </c>
    </row>
    <row r="708" spans="1:9" x14ac:dyDescent="0.25">
      <c r="A708" s="254" t="str">
        <f t="shared" ca="1" si="112"/>
        <v/>
      </c>
      <c r="B708" s="255" t="str">
        <f t="shared" ca="1" si="113"/>
        <v/>
      </c>
      <c r="C708" s="256" t="str">
        <f t="shared" ca="1" si="114"/>
        <v/>
      </c>
      <c r="D708" s="257" t="str">
        <f t="shared" ca="1" si="115"/>
        <v/>
      </c>
      <c r="E708" s="808" t="str">
        <f t="shared" ca="1" si="116"/>
        <v/>
      </c>
      <c r="F708" s="253" t="str">
        <f t="shared" ca="1" si="117"/>
        <v/>
      </c>
      <c r="G708" s="257" t="str">
        <f t="shared" ca="1" si="118"/>
        <v/>
      </c>
      <c r="H708" s="257" t="str">
        <f t="shared" ca="1" si="119"/>
        <v/>
      </c>
      <c r="I708" s="220" t="str">
        <f t="shared" ca="1" si="120"/>
        <v/>
      </c>
    </row>
    <row r="709" spans="1:9" x14ac:dyDescent="0.25">
      <c r="A709" s="254" t="str">
        <f t="shared" ca="1" si="112"/>
        <v/>
      </c>
      <c r="B709" s="255" t="str">
        <f t="shared" ca="1" si="113"/>
        <v/>
      </c>
      <c r="C709" s="256" t="str">
        <f t="shared" ca="1" si="114"/>
        <v/>
      </c>
      <c r="D709" s="257" t="str">
        <f t="shared" ca="1" si="115"/>
        <v/>
      </c>
      <c r="E709" s="808" t="str">
        <f t="shared" ca="1" si="116"/>
        <v/>
      </c>
      <c r="F709" s="253" t="str">
        <f t="shared" ca="1" si="117"/>
        <v/>
      </c>
      <c r="G709" s="257" t="str">
        <f t="shared" ca="1" si="118"/>
        <v/>
      </c>
      <c r="H709" s="257" t="str">
        <f t="shared" ca="1" si="119"/>
        <v/>
      </c>
      <c r="I709" s="220" t="str">
        <f t="shared" ca="1" si="120"/>
        <v/>
      </c>
    </row>
    <row r="710" spans="1:9" x14ac:dyDescent="0.25">
      <c r="A710" s="254" t="str">
        <f t="shared" ca="1" si="112"/>
        <v/>
      </c>
      <c r="B710" s="255" t="str">
        <f t="shared" ca="1" si="113"/>
        <v/>
      </c>
      <c r="C710" s="256" t="str">
        <f t="shared" ca="1" si="114"/>
        <v/>
      </c>
      <c r="D710" s="257" t="str">
        <f t="shared" ca="1" si="115"/>
        <v/>
      </c>
      <c r="E710" s="808" t="str">
        <f t="shared" ca="1" si="116"/>
        <v/>
      </c>
      <c r="F710" s="253" t="str">
        <f t="shared" ca="1" si="117"/>
        <v/>
      </c>
      <c r="G710" s="257" t="str">
        <f t="shared" ca="1" si="118"/>
        <v/>
      </c>
      <c r="H710" s="257" t="str">
        <f t="shared" ca="1" si="119"/>
        <v/>
      </c>
      <c r="I710" s="220" t="str">
        <f t="shared" ca="1" si="120"/>
        <v/>
      </c>
    </row>
    <row r="711" spans="1:9" x14ac:dyDescent="0.25">
      <c r="A711" s="254" t="str">
        <f t="shared" ca="1" si="112"/>
        <v/>
      </c>
      <c r="B711" s="255" t="str">
        <f t="shared" ca="1" si="113"/>
        <v/>
      </c>
      <c r="C711" s="256" t="str">
        <f t="shared" ca="1" si="114"/>
        <v/>
      </c>
      <c r="D711" s="257" t="str">
        <f t="shared" ca="1" si="115"/>
        <v/>
      </c>
      <c r="E711" s="808" t="str">
        <f t="shared" ca="1" si="116"/>
        <v/>
      </c>
      <c r="F711" s="253" t="str">
        <f t="shared" ca="1" si="117"/>
        <v/>
      </c>
      <c r="G711" s="257" t="str">
        <f t="shared" ca="1" si="118"/>
        <v/>
      </c>
      <c r="H711" s="257" t="str">
        <f t="shared" ca="1" si="119"/>
        <v/>
      </c>
      <c r="I711" s="220" t="str">
        <f t="shared" ca="1" si="120"/>
        <v/>
      </c>
    </row>
    <row r="712" spans="1:9" x14ac:dyDescent="0.25">
      <c r="A712" s="254" t="str">
        <f t="shared" ca="1" si="112"/>
        <v/>
      </c>
      <c r="B712" s="255" t="str">
        <f t="shared" ca="1" si="113"/>
        <v/>
      </c>
      <c r="C712" s="256" t="str">
        <f t="shared" ca="1" si="114"/>
        <v/>
      </c>
      <c r="D712" s="257" t="str">
        <f t="shared" ca="1" si="115"/>
        <v/>
      </c>
      <c r="E712" s="808" t="str">
        <f t="shared" ca="1" si="116"/>
        <v/>
      </c>
      <c r="F712" s="253" t="str">
        <f t="shared" ca="1" si="117"/>
        <v/>
      </c>
      <c r="G712" s="257" t="str">
        <f t="shared" ca="1" si="118"/>
        <v/>
      </c>
      <c r="H712" s="257" t="str">
        <f t="shared" ca="1" si="119"/>
        <v/>
      </c>
      <c r="I712" s="220" t="str">
        <f t="shared" ca="1" si="120"/>
        <v/>
      </c>
    </row>
    <row r="713" spans="1:9" x14ac:dyDescent="0.25">
      <c r="A713" s="254" t="str">
        <f t="shared" ca="1" si="112"/>
        <v/>
      </c>
      <c r="B713" s="255" t="str">
        <f t="shared" ca="1" si="113"/>
        <v/>
      </c>
      <c r="C713" s="256" t="str">
        <f t="shared" ca="1" si="114"/>
        <v/>
      </c>
      <c r="D713" s="257" t="str">
        <f t="shared" ca="1" si="115"/>
        <v/>
      </c>
      <c r="E713" s="808" t="str">
        <f t="shared" ca="1" si="116"/>
        <v/>
      </c>
      <c r="F713" s="253" t="str">
        <f t="shared" ca="1" si="117"/>
        <v/>
      </c>
      <c r="G713" s="257" t="str">
        <f t="shared" ca="1" si="118"/>
        <v/>
      </c>
      <c r="H713" s="257" t="str">
        <f t="shared" ca="1" si="119"/>
        <v/>
      </c>
      <c r="I713" s="220" t="str">
        <f t="shared" ca="1" si="120"/>
        <v/>
      </c>
    </row>
    <row r="714" spans="1:9" x14ac:dyDescent="0.25">
      <c r="A714" s="254" t="str">
        <f t="shared" ca="1" si="112"/>
        <v/>
      </c>
      <c r="B714" s="255" t="str">
        <f t="shared" ca="1" si="113"/>
        <v/>
      </c>
      <c r="C714" s="256" t="str">
        <f t="shared" ca="1" si="114"/>
        <v/>
      </c>
      <c r="D714" s="257" t="str">
        <f t="shared" ca="1" si="115"/>
        <v/>
      </c>
      <c r="E714" s="808" t="str">
        <f t="shared" ca="1" si="116"/>
        <v/>
      </c>
      <c r="F714" s="253" t="str">
        <f t="shared" ca="1" si="117"/>
        <v/>
      </c>
      <c r="G714" s="257" t="str">
        <f t="shared" ca="1" si="118"/>
        <v/>
      </c>
      <c r="H714" s="257" t="str">
        <f t="shared" ca="1" si="119"/>
        <v/>
      </c>
      <c r="I714" s="220" t="str">
        <f t="shared" ca="1" si="120"/>
        <v/>
      </c>
    </row>
    <row r="715" spans="1:9" x14ac:dyDescent="0.25">
      <c r="A715" s="254" t="str">
        <f t="shared" ca="1" si="112"/>
        <v/>
      </c>
      <c r="B715" s="255" t="str">
        <f t="shared" ca="1" si="113"/>
        <v/>
      </c>
      <c r="C715" s="256" t="str">
        <f t="shared" ca="1" si="114"/>
        <v/>
      </c>
      <c r="D715" s="257" t="str">
        <f t="shared" ca="1" si="115"/>
        <v/>
      </c>
      <c r="E715" s="808" t="str">
        <f t="shared" ca="1" si="116"/>
        <v/>
      </c>
      <c r="F715" s="253" t="str">
        <f t="shared" ca="1" si="117"/>
        <v/>
      </c>
      <c r="G715" s="257" t="str">
        <f t="shared" ca="1" si="118"/>
        <v/>
      </c>
      <c r="H715" s="257" t="str">
        <f t="shared" ca="1" si="119"/>
        <v/>
      </c>
      <c r="I715" s="220" t="str">
        <f t="shared" ca="1" si="120"/>
        <v/>
      </c>
    </row>
    <row r="716" spans="1:9" x14ac:dyDescent="0.25">
      <c r="A716" s="254" t="str">
        <f t="shared" ca="1" si="112"/>
        <v/>
      </c>
      <c r="B716" s="255" t="str">
        <f t="shared" ca="1" si="113"/>
        <v/>
      </c>
      <c r="C716" s="256" t="str">
        <f t="shared" ca="1" si="114"/>
        <v/>
      </c>
      <c r="D716" s="257" t="str">
        <f t="shared" ca="1" si="115"/>
        <v/>
      </c>
      <c r="E716" s="808" t="str">
        <f t="shared" ca="1" si="116"/>
        <v/>
      </c>
      <c r="F716" s="253" t="str">
        <f t="shared" ca="1" si="117"/>
        <v/>
      </c>
      <c r="G716" s="257" t="str">
        <f t="shared" ca="1" si="118"/>
        <v/>
      </c>
      <c r="H716" s="257" t="str">
        <f t="shared" ca="1" si="119"/>
        <v/>
      </c>
      <c r="I716" s="220" t="str">
        <f t="shared" ca="1" si="120"/>
        <v/>
      </c>
    </row>
    <row r="717" spans="1:9" x14ac:dyDescent="0.25">
      <c r="A717" s="254" t="str">
        <f t="shared" ca="1" si="112"/>
        <v/>
      </c>
      <c r="B717" s="255" t="str">
        <f t="shared" ca="1" si="113"/>
        <v/>
      </c>
      <c r="C717" s="256" t="str">
        <f t="shared" ca="1" si="114"/>
        <v/>
      </c>
      <c r="D717" s="257" t="str">
        <f t="shared" ca="1" si="115"/>
        <v/>
      </c>
      <c r="E717" s="808" t="str">
        <f t="shared" ca="1" si="116"/>
        <v/>
      </c>
      <c r="F717" s="253" t="str">
        <f t="shared" ca="1" si="117"/>
        <v/>
      </c>
      <c r="G717" s="257" t="str">
        <f t="shared" ca="1" si="118"/>
        <v/>
      </c>
      <c r="H717" s="257" t="str">
        <f t="shared" ca="1" si="119"/>
        <v/>
      </c>
      <c r="I717" s="220" t="str">
        <f t="shared" ca="1" si="120"/>
        <v/>
      </c>
    </row>
    <row r="718" spans="1:9" x14ac:dyDescent="0.25">
      <c r="A718" s="254" t="str">
        <f t="shared" ca="1" si="112"/>
        <v/>
      </c>
      <c r="B718" s="255" t="str">
        <f t="shared" ca="1" si="113"/>
        <v/>
      </c>
      <c r="C718" s="256" t="str">
        <f t="shared" ca="1" si="114"/>
        <v/>
      </c>
      <c r="D718" s="257" t="str">
        <f t="shared" ca="1" si="115"/>
        <v/>
      </c>
      <c r="E718" s="808" t="str">
        <f t="shared" ca="1" si="116"/>
        <v/>
      </c>
      <c r="F718" s="253" t="str">
        <f t="shared" ca="1" si="117"/>
        <v/>
      </c>
      <c r="G718" s="257" t="str">
        <f t="shared" ca="1" si="118"/>
        <v/>
      </c>
      <c r="H718" s="257" t="str">
        <f t="shared" ca="1" si="119"/>
        <v/>
      </c>
      <c r="I718" s="220" t="str">
        <f t="shared" ca="1" si="120"/>
        <v/>
      </c>
    </row>
    <row r="719" spans="1:9" x14ac:dyDescent="0.25">
      <c r="A719" s="254" t="str">
        <f t="shared" ca="1" si="112"/>
        <v/>
      </c>
      <c r="B719" s="255" t="str">
        <f t="shared" ca="1" si="113"/>
        <v/>
      </c>
      <c r="C719" s="256" t="str">
        <f t="shared" ca="1" si="114"/>
        <v/>
      </c>
      <c r="D719" s="257" t="str">
        <f t="shared" ca="1" si="115"/>
        <v/>
      </c>
      <c r="E719" s="808" t="str">
        <f t="shared" ca="1" si="116"/>
        <v/>
      </c>
      <c r="F719" s="253" t="str">
        <f t="shared" ca="1" si="117"/>
        <v/>
      </c>
      <c r="G719" s="257" t="str">
        <f t="shared" ca="1" si="118"/>
        <v/>
      </c>
      <c r="H719" s="257" t="str">
        <f t="shared" ca="1" si="119"/>
        <v/>
      </c>
      <c r="I719" s="220" t="str">
        <f t="shared" ca="1" si="120"/>
        <v/>
      </c>
    </row>
    <row r="720" spans="1:9" x14ac:dyDescent="0.25">
      <c r="A720" s="254" t="str">
        <f t="shared" ca="1" si="112"/>
        <v/>
      </c>
      <c r="B720" s="255" t="str">
        <f t="shared" ca="1" si="113"/>
        <v/>
      </c>
      <c r="C720" s="256" t="str">
        <f t="shared" ca="1" si="114"/>
        <v/>
      </c>
      <c r="D720" s="257" t="str">
        <f t="shared" ca="1" si="115"/>
        <v/>
      </c>
      <c r="E720" s="808" t="str">
        <f t="shared" ca="1" si="116"/>
        <v/>
      </c>
      <c r="F720" s="253" t="str">
        <f t="shared" ca="1" si="117"/>
        <v/>
      </c>
      <c r="G720" s="257" t="str">
        <f t="shared" ca="1" si="118"/>
        <v/>
      </c>
      <c r="H720" s="257" t="str">
        <f t="shared" ca="1" si="119"/>
        <v/>
      </c>
      <c r="I720" s="220" t="str">
        <f t="shared" ca="1" si="120"/>
        <v/>
      </c>
    </row>
    <row r="721" spans="1:9" x14ac:dyDescent="0.25">
      <c r="A721" s="254" t="str">
        <f t="shared" ca="1" si="112"/>
        <v/>
      </c>
      <c r="B721" s="255" t="str">
        <f t="shared" ca="1" si="113"/>
        <v/>
      </c>
      <c r="C721" s="256" t="str">
        <f t="shared" ca="1" si="114"/>
        <v/>
      </c>
      <c r="D721" s="257" t="str">
        <f t="shared" ca="1" si="115"/>
        <v/>
      </c>
      <c r="E721" s="808" t="str">
        <f t="shared" ca="1" si="116"/>
        <v/>
      </c>
      <c r="F721" s="253" t="str">
        <f t="shared" ca="1" si="117"/>
        <v/>
      </c>
      <c r="G721" s="257" t="str">
        <f t="shared" ca="1" si="118"/>
        <v/>
      </c>
      <c r="H721" s="257" t="str">
        <f t="shared" ca="1" si="119"/>
        <v/>
      </c>
      <c r="I721" s="220" t="str">
        <f t="shared" ca="1" si="120"/>
        <v/>
      </c>
    </row>
    <row r="722" spans="1:9" x14ac:dyDescent="0.25">
      <c r="A722" s="254" t="str">
        <f t="shared" ca="1" si="112"/>
        <v/>
      </c>
      <c r="B722" s="255" t="str">
        <f t="shared" ca="1" si="113"/>
        <v/>
      </c>
      <c r="C722" s="256" t="str">
        <f t="shared" ca="1" si="114"/>
        <v/>
      </c>
      <c r="D722" s="257" t="str">
        <f t="shared" ca="1" si="115"/>
        <v/>
      </c>
      <c r="E722" s="808" t="str">
        <f t="shared" ca="1" si="116"/>
        <v/>
      </c>
      <c r="F722" s="253" t="str">
        <f t="shared" ca="1" si="117"/>
        <v/>
      </c>
      <c r="G722" s="257" t="str">
        <f t="shared" ca="1" si="118"/>
        <v/>
      </c>
      <c r="H722" s="257" t="str">
        <f t="shared" ca="1" si="119"/>
        <v/>
      </c>
      <c r="I722" s="220" t="str">
        <f t="shared" ca="1" si="120"/>
        <v/>
      </c>
    </row>
    <row r="723" spans="1:9" x14ac:dyDescent="0.25">
      <c r="A723" s="254" t="str">
        <f t="shared" ca="1" si="112"/>
        <v/>
      </c>
      <c r="B723" s="255" t="str">
        <f t="shared" ca="1" si="113"/>
        <v/>
      </c>
      <c r="C723" s="256" t="str">
        <f t="shared" ca="1" si="114"/>
        <v/>
      </c>
      <c r="D723" s="257" t="str">
        <f t="shared" ca="1" si="115"/>
        <v/>
      </c>
      <c r="E723" s="808" t="str">
        <f t="shared" ca="1" si="116"/>
        <v/>
      </c>
      <c r="F723" s="253" t="str">
        <f t="shared" ca="1" si="117"/>
        <v/>
      </c>
      <c r="G723" s="257" t="str">
        <f t="shared" ca="1" si="118"/>
        <v/>
      </c>
      <c r="H723" s="257" t="str">
        <f t="shared" ca="1" si="119"/>
        <v/>
      </c>
      <c r="I723" s="220" t="str">
        <f t="shared" ca="1" si="120"/>
        <v/>
      </c>
    </row>
    <row r="724" spans="1:9" x14ac:dyDescent="0.25">
      <c r="A724" s="254" t="str">
        <f t="shared" ca="1" si="112"/>
        <v/>
      </c>
      <c r="B724" s="255" t="str">
        <f t="shared" ca="1" si="113"/>
        <v/>
      </c>
      <c r="C724" s="256" t="str">
        <f t="shared" ca="1" si="114"/>
        <v/>
      </c>
      <c r="D724" s="257" t="str">
        <f t="shared" ca="1" si="115"/>
        <v/>
      </c>
      <c r="E724" s="808" t="str">
        <f t="shared" ca="1" si="116"/>
        <v/>
      </c>
      <c r="F724" s="253" t="str">
        <f t="shared" ca="1" si="117"/>
        <v/>
      </c>
      <c r="G724" s="257" t="str">
        <f t="shared" ca="1" si="118"/>
        <v/>
      </c>
      <c r="H724" s="257" t="str">
        <f t="shared" ca="1" si="119"/>
        <v/>
      </c>
      <c r="I724" s="220" t="str">
        <f t="shared" ca="1" si="120"/>
        <v/>
      </c>
    </row>
    <row r="725" spans="1:9" x14ac:dyDescent="0.25">
      <c r="A725" s="254" t="str">
        <f t="shared" ca="1" si="112"/>
        <v/>
      </c>
      <c r="B725" s="255" t="str">
        <f t="shared" ca="1" si="113"/>
        <v/>
      </c>
      <c r="C725" s="256" t="str">
        <f t="shared" ca="1" si="114"/>
        <v/>
      </c>
      <c r="D725" s="257" t="str">
        <f t="shared" ca="1" si="115"/>
        <v/>
      </c>
      <c r="E725" s="808" t="str">
        <f t="shared" ca="1" si="116"/>
        <v/>
      </c>
      <c r="F725" s="253" t="str">
        <f t="shared" ca="1" si="117"/>
        <v/>
      </c>
      <c r="G725" s="257" t="str">
        <f t="shared" ca="1" si="118"/>
        <v/>
      </c>
      <c r="H725" s="257" t="str">
        <f t="shared" ca="1" si="119"/>
        <v/>
      </c>
      <c r="I725" s="220" t="str">
        <f t="shared" ca="1" si="120"/>
        <v/>
      </c>
    </row>
    <row r="726" spans="1:9" x14ac:dyDescent="0.25">
      <c r="A726" s="254" t="str">
        <f t="shared" ca="1" si="112"/>
        <v/>
      </c>
      <c r="B726" s="255" t="str">
        <f t="shared" ca="1" si="113"/>
        <v/>
      </c>
      <c r="C726" s="256" t="str">
        <f t="shared" ca="1" si="114"/>
        <v/>
      </c>
      <c r="D726" s="257" t="str">
        <f t="shared" ca="1" si="115"/>
        <v/>
      </c>
      <c r="E726" s="808" t="str">
        <f t="shared" ca="1" si="116"/>
        <v/>
      </c>
      <c r="F726" s="253" t="str">
        <f t="shared" ca="1" si="117"/>
        <v/>
      </c>
      <c r="G726" s="257" t="str">
        <f t="shared" ca="1" si="118"/>
        <v/>
      </c>
      <c r="H726" s="257" t="str">
        <f t="shared" ca="1" si="119"/>
        <v/>
      </c>
      <c r="I726" s="220" t="str">
        <f t="shared" ca="1" si="120"/>
        <v/>
      </c>
    </row>
    <row r="727" spans="1:9" x14ac:dyDescent="0.25">
      <c r="A727" s="254" t="str">
        <f t="shared" ca="1" si="112"/>
        <v/>
      </c>
      <c r="B727" s="255" t="str">
        <f t="shared" ca="1" si="113"/>
        <v/>
      </c>
      <c r="C727" s="256" t="str">
        <f t="shared" ca="1" si="114"/>
        <v/>
      </c>
      <c r="D727" s="257" t="str">
        <f t="shared" ca="1" si="115"/>
        <v/>
      </c>
      <c r="E727" s="808" t="str">
        <f t="shared" ca="1" si="116"/>
        <v/>
      </c>
      <c r="F727" s="253" t="str">
        <f t="shared" ca="1" si="117"/>
        <v/>
      </c>
      <c r="G727" s="257" t="str">
        <f t="shared" ca="1" si="118"/>
        <v/>
      </c>
      <c r="H727" s="257" t="str">
        <f t="shared" ca="1" si="119"/>
        <v/>
      </c>
      <c r="I727" s="220" t="str">
        <f t="shared" ca="1" si="120"/>
        <v/>
      </c>
    </row>
    <row r="728" spans="1:9" x14ac:dyDescent="0.25">
      <c r="A728" s="254" t="str">
        <f t="shared" ca="1" si="112"/>
        <v/>
      </c>
      <c r="B728" s="255" t="str">
        <f t="shared" ca="1" si="113"/>
        <v/>
      </c>
      <c r="C728" s="256" t="str">
        <f t="shared" ca="1" si="114"/>
        <v/>
      </c>
      <c r="D728" s="257" t="str">
        <f t="shared" ca="1" si="115"/>
        <v/>
      </c>
      <c r="E728" s="808" t="str">
        <f t="shared" ca="1" si="116"/>
        <v/>
      </c>
      <c r="F728" s="253" t="str">
        <f t="shared" ca="1" si="117"/>
        <v/>
      </c>
      <c r="G728" s="257" t="str">
        <f t="shared" ca="1" si="118"/>
        <v/>
      </c>
      <c r="H728" s="257" t="str">
        <f t="shared" ca="1" si="119"/>
        <v/>
      </c>
      <c r="I728" s="220" t="str">
        <f t="shared" ca="1" si="120"/>
        <v/>
      </c>
    </row>
    <row r="729" spans="1:9" x14ac:dyDescent="0.25">
      <c r="A729" s="254" t="str">
        <f t="shared" ca="1" si="112"/>
        <v/>
      </c>
      <c r="B729" s="255" t="str">
        <f t="shared" ca="1" si="113"/>
        <v/>
      </c>
      <c r="C729" s="256" t="str">
        <f t="shared" ca="1" si="114"/>
        <v/>
      </c>
      <c r="D729" s="257" t="str">
        <f t="shared" ca="1" si="115"/>
        <v/>
      </c>
      <c r="E729" s="808" t="str">
        <f t="shared" ca="1" si="116"/>
        <v/>
      </c>
      <c r="F729" s="253" t="str">
        <f t="shared" ca="1" si="117"/>
        <v/>
      </c>
      <c r="G729" s="257" t="str">
        <f t="shared" ca="1" si="118"/>
        <v/>
      </c>
      <c r="H729" s="257" t="str">
        <f t="shared" ca="1" si="119"/>
        <v/>
      </c>
      <c r="I729" s="220" t="str">
        <f t="shared" ca="1" si="120"/>
        <v/>
      </c>
    </row>
    <row r="730" spans="1:9" x14ac:dyDescent="0.25">
      <c r="A730" s="254" t="str">
        <f t="shared" ca="1" si="112"/>
        <v/>
      </c>
      <c r="B730" s="255" t="str">
        <f t="shared" ca="1" si="113"/>
        <v/>
      </c>
      <c r="C730" s="256" t="str">
        <f t="shared" ca="1" si="114"/>
        <v/>
      </c>
      <c r="D730" s="257" t="str">
        <f t="shared" ca="1" si="115"/>
        <v/>
      </c>
      <c r="E730" s="808" t="str">
        <f t="shared" ca="1" si="116"/>
        <v/>
      </c>
      <c r="F730" s="253" t="str">
        <f t="shared" ca="1" si="117"/>
        <v/>
      </c>
      <c r="G730" s="257" t="str">
        <f t="shared" ca="1" si="118"/>
        <v/>
      </c>
      <c r="H730" s="257" t="str">
        <f t="shared" ca="1" si="119"/>
        <v/>
      </c>
      <c r="I730" s="220" t="str">
        <f t="shared" ca="1" si="120"/>
        <v/>
      </c>
    </row>
    <row r="731" spans="1:9" x14ac:dyDescent="0.25">
      <c r="A731" s="254" t="str">
        <f t="shared" ca="1" si="112"/>
        <v/>
      </c>
      <c r="B731" s="255" t="str">
        <f t="shared" ca="1" si="113"/>
        <v/>
      </c>
      <c r="C731" s="256" t="str">
        <f t="shared" ca="1" si="114"/>
        <v/>
      </c>
      <c r="D731" s="257" t="str">
        <f t="shared" ca="1" si="115"/>
        <v/>
      </c>
      <c r="E731" s="808" t="str">
        <f t="shared" ca="1" si="116"/>
        <v/>
      </c>
      <c r="F731" s="253" t="str">
        <f t="shared" ca="1" si="117"/>
        <v/>
      </c>
      <c r="G731" s="257" t="str">
        <f t="shared" ca="1" si="118"/>
        <v/>
      </c>
      <c r="H731" s="257" t="str">
        <f t="shared" ca="1" si="119"/>
        <v/>
      </c>
      <c r="I731" s="220" t="str">
        <f t="shared" ca="1" si="120"/>
        <v/>
      </c>
    </row>
    <row r="732" spans="1:9" x14ac:dyDescent="0.25">
      <c r="A732" s="254" t="str">
        <f t="shared" ca="1" si="112"/>
        <v/>
      </c>
      <c r="B732" s="255" t="str">
        <f t="shared" ca="1" si="113"/>
        <v/>
      </c>
      <c r="C732" s="256" t="str">
        <f t="shared" ca="1" si="114"/>
        <v/>
      </c>
      <c r="D732" s="257" t="str">
        <f t="shared" ca="1" si="115"/>
        <v/>
      </c>
      <c r="E732" s="808" t="str">
        <f t="shared" ca="1" si="116"/>
        <v/>
      </c>
      <c r="F732" s="253" t="str">
        <f t="shared" ca="1" si="117"/>
        <v/>
      </c>
      <c r="G732" s="257" t="str">
        <f t="shared" ca="1" si="118"/>
        <v/>
      </c>
      <c r="H732" s="257" t="str">
        <f t="shared" ca="1" si="119"/>
        <v/>
      </c>
      <c r="I732" s="220" t="str">
        <f t="shared" ca="1" si="120"/>
        <v/>
      </c>
    </row>
    <row r="733" spans="1:9" x14ac:dyDescent="0.25">
      <c r="A733" s="254" t="str">
        <f t="shared" ca="1" si="112"/>
        <v/>
      </c>
      <c r="B733" s="255" t="str">
        <f t="shared" ca="1" si="113"/>
        <v/>
      </c>
      <c r="C733" s="256" t="str">
        <f t="shared" ca="1" si="114"/>
        <v/>
      </c>
      <c r="D733" s="257" t="str">
        <f t="shared" ca="1" si="115"/>
        <v/>
      </c>
      <c r="E733" s="808" t="str">
        <f t="shared" ca="1" si="116"/>
        <v/>
      </c>
      <c r="F733" s="253" t="str">
        <f t="shared" ca="1" si="117"/>
        <v/>
      </c>
      <c r="G733" s="257" t="str">
        <f t="shared" ca="1" si="118"/>
        <v/>
      </c>
      <c r="H733" s="257" t="str">
        <f t="shared" ca="1" si="119"/>
        <v/>
      </c>
      <c r="I733" s="220" t="str">
        <f t="shared" ca="1" si="120"/>
        <v/>
      </c>
    </row>
    <row r="734" spans="1:9" x14ac:dyDescent="0.25">
      <c r="A734" s="254" t="str">
        <f t="shared" ca="1" si="112"/>
        <v/>
      </c>
      <c r="B734" s="255" t="str">
        <f t="shared" ca="1" si="113"/>
        <v/>
      </c>
      <c r="C734" s="256" t="str">
        <f t="shared" ca="1" si="114"/>
        <v/>
      </c>
      <c r="D734" s="257" t="str">
        <f t="shared" ca="1" si="115"/>
        <v/>
      </c>
      <c r="E734" s="808" t="str">
        <f t="shared" ca="1" si="116"/>
        <v/>
      </c>
      <c r="F734" s="253" t="str">
        <f t="shared" ca="1" si="117"/>
        <v/>
      </c>
      <c r="G734" s="257" t="str">
        <f t="shared" ca="1" si="118"/>
        <v/>
      </c>
      <c r="H734" s="257" t="str">
        <f t="shared" ca="1" si="119"/>
        <v/>
      </c>
      <c r="I734" s="220" t="str">
        <f t="shared" ca="1" si="120"/>
        <v/>
      </c>
    </row>
    <row r="735" spans="1:9" x14ac:dyDescent="0.25">
      <c r="A735" s="254" t="str">
        <f t="shared" ca="1" si="112"/>
        <v/>
      </c>
      <c r="B735" s="255" t="str">
        <f t="shared" ca="1" si="113"/>
        <v/>
      </c>
      <c r="C735" s="256" t="str">
        <f t="shared" ca="1" si="114"/>
        <v/>
      </c>
      <c r="D735" s="257" t="str">
        <f t="shared" ca="1" si="115"/>
        <v/>
      </c>
      <c r="E735" s="808" t="str">
        <f t="shared" ca="1" si="116"/>
        <v/>
      </c>
      <c r="F735" s="253" t="str">
        <f t="shared" ca="1" si="117"/>
        <v/>
      </c>
      <c r="G735" s="257" t="str">
        <f t="shared" ca="1" si="118"/>
        <v/>
      </c>
      <c r="H735" s="257" t="str">
        <f t="shared" ca="1" si="119"/>
        <v/>
      </c>
      <c r="I735" s="220" t="str">
        <f t="shared" ca="1" si="120"/>
        <v/>
      </c>
    </row>
    <row r="736" spans="1:9" x14ac:dyDescent="0.25">
      <c r="A736" s="254" t="str">
        <f t="shared" ca="1" si="112"/>
        <v/>
      </c>
      <c r="B736" s="255" t="str">
        <f t="shared" ca="1" si="113"/>
        <v/>
      </c>
      <c r="C736" s="256" t="str">
        <f t="shared" ca="1" si="114"/>
        <v/>
      </c>
      <c r="D736" s="257" t="str">
        <f t="shared" ca="1" si="115"/>
        <v/>
      </c>
      <c r="E736" s="808" t="str">
        <f t="shared" ca="1" si="116"/>
        <v/>
      </c>
      <c r="F736" s="253" t="str">
        <f t="shared" ca="1" si="117"/>
        <v/>
      </c>
      <c r="G736" s="257" t="str">
        <f t="shared" ca="1" si="118"/>
        <v/>
      </c>
      <c r="H736" s="257" t="str">
        <f t="shared" ca="1" si="119"/>
        <v/>
      </c>
      <c r="I736" s="220" t="str">
        <f t="shared" ca="1" si="120"/>
        <v/>
      </c>
    </row>
    <row r="737" spans="1:9" x14ac:dyDescent="0.25">
      <c r="A737" s="254" t="str">
        <f t="shared" ca="1" si="112"/>
        <v/>
      </c>
      <c r="B737" s="255" t="str">
        <f t="shared" ca="1" si="113"/>
        <v/>
      </c>
      <c r="C737" s="256" t="str">
        <f t="shared" ca="1" si="114"/>
        <v/>
      </c>
      <c r="D737" s="257" t="str">
        <f t="shared" ca="1" si="115"/>
        <v/>
      </c>
      <c r="E737" s="808" t="str">
        <f t="shared" ca="1" si="116"/>
        <v/>
      </c>
      <c r="F737" s="253" t="str">
        <f t="shared" ca="1" si="117"/>
        <v/>
      </c>
      <c r="G737" s="257" t="str">
        <f t="shared" ca="1" si="118"/>
        <v/>
      </c>
      <c r="H737" s="257" t="str">
        <f t="shared" ca="1" si="119"/>
        <v/>
      </c>
      <c r="I737" s="220" t="str">
        <f t="shared" ca="1" si="120"/>
        <v/>
      </c>
    </row>
    <row r="738" spans="1:9" x14ac:dyDescent="0.25">
      <c r="A738" s="254" t="str">
        <f t="shared" ca="1" si="112"/>
        <v/>
      </c>
      <c r="B738" s="255" t="str">
        <f t="shared" ca="1" si="113"/>
        <v/>
      </c>
      <c r="C738" s="256" t="str">
        <f t="shared" ca="1" si="114"/>
        <v/>
      </c>
      <c r="D738" s="257" t="str">
        <f t="shared" ca="1" si="115"/>
        <v/>
      </c>
      <c r="E738" s="808" t="str">
        <f t="shared" ca="1" si="116"/>
        <v/>
      </c>
      <c r="F738" s="253" t="str">
        <f t="shared" ca="1" si="117"/>
        <v/>
      </c>
      <c r="G738" s="257" t="str">
        <f t="shared" ca="1" si="118"/>
        <v/>
      </c>
      <c r="H738" s="257" t="str">
        <f t="shared" ca="1" si="119"/>
        <v/>
      </c>
      <c r="I738" s="220" t="str">
        <f t="shared" ca="1" si="120"/>
        <v/>
      </c>
    </row>
    <row r="739" spans="1:9" x14ac:dyDescent="0.25">
      <c r="A739" s="254" t="str">
        <f t="shared" ca="1" si="112"/>
        <v/>
      </c>
      <c r="B739" s="255" t="str">
        <f t="shared" ca="1" si="113"/>
        <v/>
      </c>
      <c r="C739" s="256" t="str">
        <f t="shared" ca="1" si="114"/>
        <v/>
      </c>
      <c r="D739" s="257" t="str">
        <f t="shared" ca="1" si="115"/>
        <v/>
      </c>
      <c r="E739" s="808" t="str">
        <f t="shared" ca="1" si="116"/>
        <v/>
      </c>
      <c r="F739" s="253" t="str">
        <f t="shared" ca="1" si="117"/>
        <v/>
      </c>
      <c r="G739" s="257" t="str">
        <f t="shared" ca="1" si="118"/>
        <v/>
      </c>
      <c r="H739" s="257" t="str">
        <f t="shared" ca="1" si="119"/>
        <v/>
      </c>
      <c r="I739" s="220" t="str">
        <f t="shared" ca="1" si="120"/>
        <v/>
      </c>
    </row>
    <row r="740" spans="1:9" x14ac:dyDescent="0.25">
      <c r="A740" s="254" t="str">
        <f t="shared" ca="1" si="112"/>
        <v/>
      </c>
      <c r="B740" s="255" t="str">
        <f t="shared" ca="1" si="113"/>
        <v/>
      </c>
      <c r="C740" s="256" t="str">
        <f t="shared" ca="1" si="114"/>
        <v/>
      </c>
      <c r="D740" s="257" t="str">
        <f t="shared" ca="1" si="115"/>
        <v/>
      </c>
      <c r="E740" s="808" t="str">
        <f t="shared" ca="1" si="116"/>
        <v/>
      </c>
      <c r="F740" s="253" t="str">
        <f t="shared" ca="1" si="117"/>
        <v/>
      </c>
      <c r="G740" s="257" t="str">
        <f t="shared" ca="1" si="118"/>
        <v/>
      </c>
      <c r="H740" s="257" t="str">
        <f t="shared" ca="1" si="119"/>
        <v/>
      </c>
      <c r="I740" s="220" t="str">
        <f t="shared" ca="1" si="120"/>
        <v/>
      </c>
    </row>
    <row r="741" spans="1:9" x14ac:dyDescent="0.25">
      <c r="A741" s="254" t="str">
        <f t="shared" ca="1" si="112"/>
        <v/>
      </c>
      <c r="B741" s="255" t="str">
        <f t="shared" ca="1" si="113"/>
        <v/>
      </c>
      <c r="C741" s="256" t="str">
        <f t="shared" ca="1" si="114"/>
        <v/>
      </c>
      <c r="D741" s="257" t="str">
        <f t="shared" ca="1" si="115"/>
        <v/>
      </c>
      <c r="E741" s="808" t="str">
        <f t="shared" ca="1" si="116"/>
        <v/>
      </c>
      <c r="F741" s="253" t="str">
        <f t="shared" ca="1" si="117"/>
        <v/>
      </c>
      <c r="G741" s="257" t="str">
        <f t="shared" ca="1" si="118"/>
        <v/>
      </c>
      <c r="H741" s="257" t="str">
        <f t="shared" ca="1" si="119"/>
        <v/>
      </c>
      <c r="I741" s="220" t="str">
        <f t="shared" ca="1" si="120"/>
        <v/>
      </c>
    </row>
    <row r="742" spans="1:9" x14ac:dyDescent="0.25">
      <c r="A742" s="254" t="str">
        <f t="shared" ca="1" si="112"/>
        <v/>
      </c>
      <c r="B742" s="255" t="str">
        <f t="shared" ca="1" si="113"/>
        <v/>
      </c>
      <c r="C742" s="256" t="str">
        <f t="shared" ca="1" si="114"/>
        <v/>
      </c>
      <c r="D742" s="257" t="str">
        <f t="shared" ca="1" si="115"/>
        <v/>
      </c>
      <c r="E742" s="808" t="str">
        <f t="shared" ca="1" si="116"/>
        <v/>
      </c>
      <c r="F742" s="253" t="str">
        <f t="shared" ca="1" si="117"/>
        <v/>
      </c>
      <c r="G742" s="257" t="str">
        <f t="shared" ca="1" si="118"/>
        <v/>
      </c>
      <c r="H742" s="257" t="str">
        <f t="shared" ca="1" si="119"/>
        <v/>
      </c>
      <c r="I742" s="220" t="str">
        <f t="shared" ca="1" si="120"/>
        <v/>
      </c>
    </row>
    <row r="743" spans="1:9" x14ac:dyDescent="0.25">
      <c r="A743" s="254" t="str">
        <f t="shared" ca="1" si="112"/>
        <v/>
      </c>
      <c r="B743" s="255" t="str">
        <f t="shared" ca="1" si="113"/>
        <v/>
      </c>
      <c r="C743" s="256" t="str">
        <f t="shared" ca="1" si="114"/>
        <v/>
      </c>
      <c r="D743" s="257" t="str">
        <f t="shared" ca="1" si="115"/>
        <v/>
      </c>
      <c r="E743" s="808" t="str">
        <f t="shared" ca="1" si="116"/>
        <v/>
      </c>
      <c r="F743" s="253" t="str">
        <f t="shared" ca="1" si="117"/>
        <v/>
      </c>
      <c r="G743" s="257" t="str">
        <f t="shared" ca="1" si="118"/>
        <v/>
      </c>
      <c r="H743" s="257" t="str">
        <f t="shared" ca="1" si="119"/>
        <v/>
      </c>
      <c r="I743" s="220" t="str">
        <f t="shared" ca="1" si="120"/>
        <v/>
      </c>
    </row>
    <row r="744" spans="1:9" x14ac:dyDescent="0.25">
      <c r="A744" s="254" t="str">
        <f t="shared" ca="1" si="112"/>
        <v/>
      </c>
      <c r="B744" s="255" t="str">
        <f t="shared" ca="1" si="113"/>
        <v/>
      </c>
      <c r="C744" s="256" t="str">
        <f t="shared" ca="1" si="114"/>
        <v/>
      </c>
      <c r="D744" s="257" t="str">
        <f t="shared" ca="1" si="115"/>
        <v/>
      </c>
      <c r="E744" s="808" t="str">
        <f t="shared" ca="1" si="116"/>
        <v/>
      </c>
      <c r="F744" s="253" t="str">
        <f t="shared" ca="1" si="117"/>
        <v/>
      </c>
      <c r="G744" s="257" t="str">
        <f t="shared" ca="1" si="118"/>
        <v/>
      </c>
      <c r="H744" s="257" t="str">
        <f t="shared" ca="1" si="119"/>
        <v/>
      </c>
      <c r="I744" s="220" t="str">
        <f t="shared" ca="1" si="120"/>
        <v/>
      </c>
    </row>
    <row r="745" spans="1:9" x14ac:dyDescent="0.25">
      <c r="A745" s="254" t="str">
        <f t="shared" ca="1" si="112"/>
        <v/>
      </c>
      <c r="B745" s="255" t="str">
        <f t="shared" ca="1" si="113"/>
        <v/>
      </c>
      <c r="C745" s="256" t="str">
        <f t="shared" ca="1" si="114"/>
        <v/>
      </c>
      <c r="D745" s="257" t="str">
        <f t="shared" ca="1" si="115"/>
        <v/>
      </c>
      <c r="E745" s="808" t="str">
        <f t="shared" ca="1" si="116"/>
        <v/>
      </c>
      <c r="F745" s="253" t="str">
        <f t="shared" ca="1" si="117"/>
        <v/>
      </c>
      <c r="G745" s="257" t="str">
        <f t="shared" ca="1" si="118"/>
        <v/>
      </c>
      <c r="H745" s="257" t="str">
        <f t="shared" ca="1" si="119"/>
        <v/>
      </c>
      <c r="I745" s="220" t="str">
        <f t="shared" ca="1" si="120"/>
        <v/>
      </c>
    </row>
    <row r="746" spans="1:9" x14ac:dyDescent="0.25">
      <c r="A746" s="254" t="str">
        <f t="shared" ca="1" si="112"/>
        <v/>
      </c>
      <c r="B746" s="255" t="str">
        <f t="shared" ca="1" si="113"/>
        <v/>
      </c>
      <c r="C746" s="256" t="str">
        <f t="shared" ca="1" si="114"/>
        <v/>
      </c>
      <c r="D746" s="257" t="str">
        <f t="shared" ca="1" si="115"/>
        <v/>
      </c>
      <c r="E746" s="808" t="str">
        <f t="shared" ca="1" si="116"/>
        <v/>
      </c>
      <c r="F746" s="253" t="str">
        <f t="shared" ca="1" si="117"/>
        <v/>
      </c>
      <c r="G746" s="257" t="str">
        <f t="shared" ca="1" si="118"/>
        <v/>
      </c>
      <c r="H746" s="257" t="str">
        <f t="shared" ca="1" si="119"/>
        <v/>
      </c>
      <c r="I746" s="220" t="str">
        <f t="shared" ca="1" si="120"/>
        <v/>
      </c>
    </row>
    <row r="747" spans="1:9" x14ac:dyDescent="0.25">
      <c r="A747" s="254" t="str">
        <f t="shared" ca="1" si="112"/>
        <v/>
      </c>
      <c r="B747" s="255" t="str">
        <f t="shared" ca="1" si="113"/>
        <v/>
      </c>
      <c r="C747" s="256" t="str">
        <f t="shared" ca="1" si="114"/>
        <v/>
      </c>
      <c r="D747" s="257" t="str">
        <f t="shared" ca="1" si="115"/>
        <v/>
      </c>
      <c r="E747" s="808" t="str">
        <f t="shared" ca="1" si="116"/>
        <v/>
      </c>
      <c r="F747" s="253" t="str">
        <f t="shared" ca="1" si="117"/>
        <v/>
      </c>
      <c r="G747" s="257" t="str">
        <f t="shared" ca="1" si="118"/>
        <v/>
      </c>
      <c r="H747" s="257" t="str">
        <f t="shared" ca="1" si="119"/>
        <v/>
      </c>
      <c r="I747" s="220" t="str">
        <f t="shared" ca="1" si="120"/>
        <v/>
      </c>
    </row>
    <row r="748" spans="1:9" x14ac:dyDescent="0.25">
      <c r="A748" s="254" t="str">
        <f t="shared" ca="1" si="112"/>
        <v/>
      </c>
      <c r="B748" s="255" t="str">
        <f t="shared" ca="1" si="113"/>
        <v/>
      </c>
      <c r="C748" s="256" t="str">
        <f t="shared" ca="1" si="114"/>
        <v/>
      </c>
      <c r="D748" s="257" t="str">
        <f t="shared" ca="1" si="115"/>
        <v/>
      </c>
      <c r="E748" s="808" t="str">
        <f t="shared" ca="1" si="116"/>
        <v/>
      </c>
      <c r="F748" s="253" t="str">
        <f t="shared" ca="1" si="117"/>
        <v/>
      </c>
      <c r="G748" s="257" t="str">
        <f t="shared" ca="1" si="118"/>
        <v/>
      </c>
      <c r="H748" s="257" t="str">
        <f t="shared" ca="1" si="119"/>
        <v/>
      </c>
      <c r="I748" s="220" t="str">
        <f t="shared" ca="1" si="120"/>
        <v/>
      </c>
    </row>
    <row r="749" spans="1:9" x14ac:dyDescent="0.25">
      <c r="A749" s="254" t="str">
        <f t="shared" ca="1" si="112"/>
        <v/>
      </c>
      <c r="B749" s="255" t="str">
        <f t="shared" ca="1" si="113"/>
        <v/>
      </c>
      <c r="C749" s="256" t="str">
        <f t="shared" ca="1" si="114"/>
        <v/>
      </c>
      <c r="D749" s="257" t="str">
        <f t="shared" ca="1" si="115"/>
        <v/>
      </c>
      <c r="E749" s="808" t="str">
        <f t="shared" ca="1" si="116"/>
        <v/>
      </c>
      <c r="F749" s="253" t="str">
        <f t="shared" ca="1" si="117"/>
        <v/>
      </c>
      <c r="G749" s="257" t="str">
        <f t="shared" ca="1" si="118"/>
        <v/>
      </c>
      <c r="H749" s="257" t="str">
        <f t="shared" ca="1" si="119"/>
        <v/>
      </c>
      <c r="I749" s="220" t="str">
        <f t="shared" ca="1" si="120"/>
        <v/>
      </c>
    </row>
    <row r="750" spans="1:9" x14ac:dyDescent="0.25">
      <c r="A750" s="254" t="str">
        <f t="shared" ca="1" si="112"/>
        <v/>
      </c>
      <c r="B750" s="255" t="str">
        <f t="shared" ca="1" si="113"/>
        <v/>
      </c>
      <c r="C750" s="256" t="str">
        <f t="shared" ca="1" si="114"/>
        <v/>
      </c>
      <c r="D750" s="257" t="str">
        <f t="shared" ca="1" si="115"/>
        <v/>
      </c>
      <c r="E750" s="808" t="str">
        <f t="shared" ca="1" si="116"/>
        <v/>
      </c>
      <c r="F750" s="253" t="str">
        <f t="shared" ca="1" si="117"/>
        <v/>
      </c>
      <c r="G750" s="257" t="str">
        <f t="shared" ca="1" si="118"/>
        <v/>
      </c>
      <c r="H750" s="257" t="str">
        <f t="shared" ca="1" si="119"/>
        <v/>
      </c>
      <c r="I750" s="220" t="str">
        <f t="shared" ca="1" si="120"/>
        <v/>
      </c>
    </row>
    <row r="751" spans="1:9" x14ac:dyDescent="0.25">
      <c r="A751" s="254" t="str">
        <f t="shared" ca="1" si="112"/>
        <v/>
      </c>
      <c r="B751" s="255" t="str">
        <f t="shared" ca="1" si="113"/>
        <v/>
      </c>
      <c r="C751" s="256" t="str">
        <f t="shared" ca="1" si="114"/>
        <v/>
      </c>
      <c r="D751" s="257" t="str">
        <f t="shared" ca="1" si="115"/>
        <v/>
      </c>
      <c r="E751" s="808" t="str">
        <f t="shared" ca="1" si="116"/>
        <v/>
      </c>
      <c r="F751" s="253" t="str">
        <f t="shared" ca="1" si="117"/>
        <v/>
      </c>
      <c r="G751" s="257" t="str">
        <f t="shared" ca="1" si="118"/>
        <v/>
      </c>
      <c r="H751" s="257" t="str">
        <f t="shared" ca="1" si="119"/>
        <v/>
      </c>
      <c r="I751" s="220" t="str">
        <f t="shared" ca="1" si="120"/>
        <v/>
      </c>
    </row>
    <row r="752" spans="1:9" x14ac:dyDescent="0.25">
      <c r="A752" s="254" t="str">
        <f t="shared" ca="1" si="112"/>
        <v/>
      </c>
      <c r="B752" s="255" t="str">
        <f t="shared" ca="1" si="113"/>
        <v/>
      </c>
      <c r="C752" s="256" t="str">
        <f t="shared" ca="1" si="114"/>
        <v/>
      </c>
      <c r="D752" s="257" t="str">
        <f t="shared" ca="1" si="115"/>
        <v/>
      </c>
      <c r="E752" s="808" t="str">
        <f t="shared" ca="1" si="116"/>
        <v/>
      </c>
      <c r="F752" s="253" t="str">
        <f t="shared" ca="1" si="117"/>
        <v/>
      </c>
      <c r="G752" s="257" t="str">
        <f t="shared" ca="1" si="118"/>
        <v/>
      </c>
      <c r="H752" s="257" t="str">
        <f t="shared" ca="1" si="119"/>
        <v/>
      </c>
      <c r="I752" s="220" t="str">
        <f t="shared" ca="1" si="120"/>
        <v/>
      </c>
    </row>
    <row r="753" spans="1:9" x14ac:dyDescent="0.25">
      <c r="A753" s="254" t="str">
        <f t="shared" ca="1" si="112"/>
        <v/>
      </c>
      <c r="B753" s="255" t="str">
        <f t="shared" ca="1" si="113"/>
        <v/>
      </c>
      <c r="C753" s="256" t="str">
        <f t="shared" ca="1" si="114"/>
        <v/>
      </c>
      <c r="D753" s="257" t="str">
        <f t="shared" ca="1" si="115"/>
        <v/>
      </c>
      <c r="E753" s="808" t="str">
        <f t="shared" ca="1" si="116"/>
        <v/>
      </c>
      <c r="F753" s="253" t="str">
        <f t="shared" ca="1" si="117"/>
        <v/>
      </c>
      <c r="G753" s="257" t="str">
        <f t="shared" ca="1" si="118"/>
        <v/>
      </c>
      <c r="H753" s="257" t="str">
        <f t="shared" ca="1" si="119"/>
        <v/>
      </c>
      <c r="I753" s="220" t="str">
        <f t="shared" ca="1" si="120"/>
        <v/>
      </c>
    </row>
    <row r="754" spans="1:9" x14ac:dyDescent="0.25">
      <c r="A754" s="254" t="str">
        <f t="shared" ca="1" si="112"/>
        <v/>
      </c>
      <c r="B754" s="255" t="str">
        <f t="shared" ca="1" si="113"/>
        <v/>
      </c>
      <c r="C754" s="256" t="str">
        <f t="shared" ca="1" si="114"/>
        <v/>
      </c>
      <c r="D754" s="257" t="str">
        <f t="shared" ca="1" si="115"/>
        <v/>
      </c>
      <c r="E754" s="808" t="str">
        <f t="shared" ca="1" si="116"/>
        <v/>
      </c>
      <c r="F754" s="253" t="str">
        <f t="shared" ca="1" si="117"/>
        <v/>
      </c>
      <c r="G754" s="257" t="str">
        <f t="shared" ca="1" si="118"/>
        <v/>
      </c>
      <c r="H754" s="257" t="str">
        <f t="shared" ca="1" si="119"/>
        <v/>
      </c>
      <c r="I754" s="220" t="str">
        <f t="shared" ca="1" si="120"/>
        <v/>
      </c>
    </row>
    <row r="755" spans="1:9" x14ac:dyDescent="0.25">
      <c r="A755" s="254" t="str">
        <f t="shared" ca="1" si="112"/>
        <v/>
      </c>
      <c r="B755" s="255" t="str">
        <f t="shared" ca="1" si="113"/>
        <v/>
      </c>
      <c r="C755" s="256" t="str">
        <f t="shared" ca="1" si="114"/>
        <v/>
      </c>
      <c r="D755" s="257" t="str">
        <f t="shared" ca="1" si="115"/>
        <v/>
      </c>
      <c r="E755" s="808" t="str">
        <f t="shared" ca="1" si="116"/>
        <v/>
      </c>
      <c r="F755" s="253" t="str">
        <f t="shared" ca="1" si="117"/>
        <v/>
      </c>
      <c r="G755" s="257" t="str">
        <f t="shared" ca="1" si="118"/>
        <v/>
      </c>
      <c r="H755" s="257" t="str">
        <f t="shared" ca="1" si="119"/>
        <v/>
      </c>
      <c r="I755" s="220" t="str">
        <f t="shared" ca="1" si="120"/>
        <v/>
      </c>
    </row>
    <row r="756" spans="1:9" x14ac:dyDescent="0.25">
      <c r="A756" s="254" t="str">
        <f t="shared" ca="1" si="112"/>
        <v/>
      </c>
      <c r="B756" s="255" t="str">
        <f t="shared" ca="1" si="113"/>
        <v/>
      </c>
      <c r="C756" s="256" t="str">
        <f t="shared" ca="1" si="114"/>
        <v/>
      </c>
      <c r="D756" s="257" t="str">
        <f t="shared" ca="1" si="115"/>
        <v/>
      </c>
      <c r="E756" s="808" t="str">
        <f t="shared" ca="1" si="116"/>
        <v/>
      </c>
      <c r="F756" s="253" t="str">
        <f t="shared" ca="1" si="117"/>
        <v/>
      </c>
      <c r="G756" s="257" t="str">
        <f t="shared" ca="1" si="118"/>
        <v/>
      </c>
      <c r="H756" s="257" t="str">
        <f t="shared" ca="1" si="119"/>
        <v/>
      </c>
      <c r="I756" s="220" t="str">
        <f t="shared" ca="1" si="120"/>
        <v/>
      </c>
    </row>
    <row r="757" spans="1:9" x14ac:dyDescent="0.25">
      <c r="A757" s="254" t="str">
        <f t="shared" ca="1" si="112"/>
        <v/>
      </c>
      <c r="B757" s="255" t="str">
        <f t="shared" ca="1" si="113"/>
        <v/>
      </c>
      <c r="C757" s="256" t="str">
        <f t="shared" ca="1" si="114"/>
        <v/>
      </c>
      <c r="D757" s="257" t="str">
        <f t="shared" ca="1" si="115"/>
        <v/>
      </c>
      <c r="E757" s="808" t="str">
        <f t="shared" ca="1" si="116"/>
        <v/>
      </c>
      <c r="F757" s="253" t="str">
        <f t="shared" ca="1" si="117"/>
        <v/>
      </c>
      <c r="G757" s="257" t="str">
        <f t="shared" ca="1" si="118"/>
        <v/>
      </c>
      <c r="H757" s="257" t="str">
        <f t="shared" ca="1" si="119"/>
        <v/>
      </c>
      <c r="I757" s="220" t="str">
        <f t="shared" ca="1" si="120"/>
        <v/>
      </c>
    </row>
    <row r="758" spans="1:9" x14ac:dyDescent="0.25">
      <c r="A758" s="254" t="str">
        <f t="shared" ca="1" si="112"/>
        <v/>
      </c>
      <c r="B758" s="255" t="str">
        <f t="shared" ca="1" si="113"/>
        <v/>
      </c>
      <c r="C758" s="256" t="str">
        <f t="shared" ca="1" si="114"/>
        <v/>
      </c>
      <c r="D758" s="257" t="str">
        <f t="shared" ca="1" si="115"/>
        <v/>
      </c>
      <c r="E758" s="808" t="str">
        <f t="shared" ca="1" si="116"/>
        <v/>
      </c>
      <c r="F758" s="253" t="str">
        <f t="shared" ca="1" si="117"/>
        <v/>
      </c>
      <c r="G758" s="257" t="str">
        <f t="shared" ca="1" si="118"/>
        <v/>
      </c>
      <c r="H758" s="257" t="str">
        <f t="shared" ca="1" si="119"/>
        <v/>
      </c>
      <c r="I758" s="220" t="str">
        <f t="shared" ca="1" si="120"/>
        <v/>
      </c>
    </row>
    <row r="759" spans="1:9" x14ac:dyDescent="0.25">
      <c r="A759" s="254" t="str">
        <f t="shared" ca="1" si="112"/>
        <v/>
      </c>
      <c r="B759" s="255" t="str">
        <f t="shared" ca="1" si="113"/>
        <v/>
      </c>
      <c r="C759" s="256" t="str">
        <f t="shared" ca="1" si="114"/>
        <v/>
      </c>
      <c r="D759" s="257" t="str">
        <f t="shared" ca="1" si="115"/>
        <v/>
      </c>
      <c r="E759" s="808" t="str">
        <f t="shared" ca="1" si="116"/>
        <v/>
      </c>
      <c r="F759" s="253" t="str">
        <f t="shared" ca="1" si="117"/>
        <v/>
      </c>
      <c r="G759" s="257" t="str">
        <f t="shared" ca="1" si="118"/>
        <v/>
      </c>
      <c r="H759" s="257" t="str">
        <f t="shared" ca="1" si="119"/>
        <v/>
      </c>
      <c r="I759" s="220" t="str">
        <f t="shared" ca="1" si="120"/>
        <v/>
      </c>
    </row>
    <row r="760" spans="1:9" x14ac:dyDescent="0.25">
      <c r="A760" s="254" t="str">
        <f t="shared" ca="1" si="112"/>
        <v/>
      </c>
      <c r="B760" s="255" t="str">
        <f t="shared" ca="1" si="113"/>
        <v/>
      </c>
      <c r="C760" s="256" t="str">
        <f t="shared" ca="1" si="114"/>
        <v/>
      </c>
      <c r="D760" s="257" t="str">
        <f t="shared" ca="1" si="115"/>
        <v/>
      </c>
      <c r="E760" s="808" t="str">
        <f t="shared" ca="1" si="116"/>
        <v/>
      </c>
      <c r="F760" s="253" t="str">
        <f t="shared" ca="1" si="117"/>
        <v/>
      </c>
      <c r="G760" s="257" t="str">
        <f t="shared" ca="1" si="118"/>
        <v/>
      </c>
      <c r="H760" s="257" t="str">
        <f t="shared" ca="1" si="119"/>
        <v/>
      </c>
      <c r="I760" s="220" t="str">
        <f t="shared" ca="1" si="120"/>
        <v/>
      </c>
    </row>
    <row r="761" spans="1:9" x14ac:dyDescent="0.25">
      <c r="A761" s="254" t="str">
        <f t="shared" ca="1" si="112"/>
        <v/>
      </c>
      <c r="B761" s="255" t="str">
        <f t="shared" ca="1" si="113"/>
        <v/>
      </c>
      <c r="C761" s="256" t="str">
        <f t="shared" ca="1" si="114"/>
        <v/>
      </c>
      <c r="D761" s="257" t="str">
        <f t="shared" ca="1" si="115"/>
        <v/>
      </c>
      <c r="E761" s="808" t="str">
        <f t="shared" ca="1" si="116"/>
        <v/>
      </c>
      <c r="F761" s="253" t="str">
        <f t="shared" ca="1" si="117"/>
        <v/>
      </c>
      <c r="G761" s="257" t="str">
        <f t="shared" ca="1" si="118"/>
        <v/>
      </c>
      <c r="H761" s="257" t="str">
        <f t="shared" ca="1" si="119"/>
        <v/>
      </c>
      <c r="I761" s="220" t="str">
        <f t="shared" ca="1" si="120"/>
        <v/>
      </c>
    </row>
    <row r="762" spans="1:9" x14ac:dyDescent="0.25">
      <c r="A762" s="254" t="str">
        <f t="shared" ca="1" si="112"/>
        <v/>
      </c>
      <c r="B762" s="255" t="str">
        <f t="shared" ca="1" si="113"/>
        <v/>
      </c>
      <c r="C762" s="256" t="str">
        <f t="shared" ca="1" si="114"/>
        <v/>
      </c>
      <c r="D762" s="257" t="str">
        <f t="shared" ca="1" si="115"/>
        <v/>
      </c>
      <c r="E762" s="808" t="str">
        <f t="shared" ca="1" si="116"/>
        <v/>
      </c>
      <c r="F762" s="253" t="str">
        <f t="shared" ca="1" si="117"/>
        <v/>
      </c>
      <c r="G762" s="257" t="str">
        <f t="shared" ca="1" si="118"/>
        <v/>
      </c>
      <c r="H762" s="257" t="str">
        <f t="shared" ca="1" si="119"/>
        <v/>
      </c>
      <c r="I762" s="220" t="str">
        <f t="shared" ca="1" si="120"/>
        <v/>
      </c>
    </row>
    <row r="763" spans="1:9" x14ac:dyDescent="0.25">
      <c r="A763" s="254" t="str">
        <f t="shared" ca="1" si="112"/>
        <v/>
      </c>
      <c r="B763" s="255" t="str">
        <f t="shared" ca="1" si="113"/>
        <v/>
      </c>
      <c r="C763" s="256" t="str">
        <f t="shared" ca="1" si="114"/>
        <v/>
      </c>
      <c r="D763" s="257" t="str">
        <f t="shared" ca="1" si="115"/>
        <v/>
      </c>
      <c r="E763" s="808" t="str">
        <f t="shared" ca="1" si="116"/>
        <v/>
      </c>
      <c r="F763" s="253" t="str">
        <f t="shared" ca="1" si="117"/>
        <v/>
      </c>
      <c r="G763" s="257" t="str">
        <f t="shared" ca="1" si="118"/>
        <v/>
      </c>
      <c r="H763" s="257" t="str">
        <f t="shared" ca="1" si="119"/>
        <v/>
      </c>
      <c r="I763" s="220" t="str">
        <f t="shared" ca="1" si="120"/>
        <v/>
      </c>
    </row>
    <row r="764" spans="1:9" x14ac:dyDescent="0.25">
      <c r="A764" s="254" t="str">
        <f t="shared" ca="1" si="112"/>
        <v/>
      </c>
      <c r="B764" s="255" t="str">
        <f t="shared" ca="1" si="113"/>
        <v/>
      </c>
      <c r="C764" s="256" t="str">
        <f t="shared" ca="1" si="114"/>
        <v/>
      </c>
      <c r="D764" s="257" t="str">
        <f t="shared" ca="1" si="115"/>
        <v/>
      </c>
      <c r="E764" s="808" t="str">
        <f t="shared" ca="1" si="116"/>
        <v/>
      </c>
      <c r="F764" s="253" t="str">
        <f t="shared" ca="1" si="117"/>
        <v/>
      </c>
      <c r="G764" s="257" t="str">
        <f t="shared" ca="1" si="118"/>
        <v/>
      </c>
      <c r="H764" s="257" t="str">
        <f t="shared" ca="1" si="119"/>
        <v/>
      </c>
      <c r="I764" s="220" t="str">
        <f t="shared" ca="1" si="120"/>
        <v/>
      </c>
    </row>
    <row r="765" spans="1:9" x14ac:dyDescent="0.25">
      <c r="A765" s="254" t="str">
        <f t="shared" ca="1" si="112"/>
        <v/>
      </c>
      <c r="B765" s="255" t="str">
        <f t="shared" ca="1" si="113"/>
        <v/>
      </c>
      <c r="C765" s="256" t="str">
        <f t="shared" ca="1" si="114"/>
        <v/>
      </c>
      <c r="D765" s="257" t="str">
        <f t="shared" ca="1" si="115"/>
        <v/>
      </c>
      <c r="E765" s="808" t="str">
        <f t="shared" ca="1" si="116"/>
        <v/>
      </c>
      <c r="F765" s="253" t="str">
        <f t="shared" ca="1" si="117"/>
        <v/>
      </c>
      <c r="G765" s="257" t="str">
        <f t="shared" ca="1" si="118"/>
        <v/>
      </c>
      <c r="H765" s="257" t="str">
        <f t="shared" ca="1" si="119"/>
        <v/>
      </c>
      <c r="I765" s="220" t="str">
        <f t="shared" ca="1" si="120"/>
        <v/>
      </c>
    </row>
    <row r="766" spans="1:9" x14ac:dyDescent="0.25">
      <c r="A766" s="254" t="str">
        <f t="shared" ca="1" si="112"/>
        <v/>
      </c>
      <c r="B766" s="255" t="str">
        <f t="shared" ca="1" si="113"/>
        <v/>
      </c>
      <c r="C766" s="256" t="str">
        <f t="shared" ca="1" si="114"/>
        <v/>
      </c>
      <c r="D766" s="257" t="str">
        <f t="shared" ca="1" si="115"/>
        <v/>
      </c>
      <c r="E766" s="808" t="str">
        <f t="shared" ca="1" si="116"/>
        <v/>
      </c>
      <c r="F766" s="253" t="str">
        <f t="shared" ca="1" si="117"/>
        <v/>
      </c>
      <c r="G766" s="257" t="str">
        <f t="shared" ca="1" si="118"/>
        <v/>
      </c>
      <c r="H766" s="257" t="str">
        <f t="shared" ca="1" si="119"/>
        <v/>
      </c>
      <c r="I766" s="220" t="str">
        <f t="shared" ca="1" si="120"/>
        <v/>
      </c>
    </row>
    <row r="767" spans="1:9" x14ac:dyDescent="0.25">
      <c r="A767" s="254" t="str">
        <f t="shared" ca="1" si="112"/>
        <v/>
      </c>
      <c r="B767" s="255" t="str">
        <f t="shared" ca="1" si="113"/>
        <v/>
      </c>
      <c r="C767" s="256" t="str">
        <f t="shared" ca="1" si="114"/>
        <v/>
      </c>
      <c r="D767" s="257" t="str">
        <f t="shared" ca="1" si="115"/>
        <v/>
      </c>
      <c r="E767" s="808" t="str">
        <f t="shared" ca="1" si="116"/>
        <v/>
      </c>
      <c r="F767" s="253" t="str">
        <f t="shared" ca="1" si="117"/>
        <v/>
      </c>
      <c r="G767" s="257" t="str">
        <f t="shared" ca="1" si="118"/>
        <v/>
      </c>
      <c r="H767" s="257" t="str">
        <f t="shared" ca="1" si="119"/>
        <v/>
      </c>
      <c r="I767" s="220" t="str">
        <f t="shared" ca="1" si="120"/>
        <v/>
      </c>
    </row>
    <row r="768" spans="1:9" x14ac:dyDescent="0.25">
      <c r="A768" s="254" t="str">
        <f t="shared" ca="1" si="112"/>
        <v/>
      </c>
      <c r="B768" s="255" t="str">
        <f t="shared" ca="1" si="113"/>
        <v/>
      </c>
      <c r="C768" s="256" t="str">
        <f t="shared" ca="1" si="114"/>
        <v/>
      </c>
      <c r="D768" s="257" t="str">
        <f t="shared" ca="1" si="115"/>
        <v/>
      </c>
      <c r="E768" s="808" t="str">
        <f t="shared" ca="1" si="116"/>
        <v/>
      </c>
      <c r="F768" s="253" t="str">
        <f t="shared" ca="1" si="117"/>
        <v/>
      </c>
      <c r="G768" s="257" t="str">
        <f t="shared" ca="1" si="118"/>
        <v/>
      </c>
      <c r="H768" s="257" t="str">
        <f t="shared" ca="1" si="119"/>
        <v/>
      </c>
      <c r="I768" s="220" t="str">
        <f t="shared" ca="1" si="120"/>
        <v/>
      </c>
    </row>
    <row r="769" spans="1:9" x14ac:dyDescent="0.25">
      <c r="A769" s="254" t="str">
        <f t="shared" ca="1" si="112"/>
        <v/>
      </c>
      <c r="B769" s="255" t="str">
        <f t="shared" ca="1" si="113"/>
        <v/>
      </c>
      <c r="C769" s="256" t="str">
        <f t="shared" ca="1" si="114"/>
        <v/>
      </c>
      <c r="D769" s="257" t="str">
        <f t="shared" ca="1" si="115"/>
        <v/>
      </c>
      <c r="E769" s="808" t="str">
        <f t="shared" ca="1" si="116"/>
        <v/>
      </c>
      <c r="F769" s="253" t="str">
        <f t="shared" ca="1" si="117"/>
        <v/>
      </c>
      <c r="G769" s="257" t="str">
        <f t="shared" ca="1" si="118"/>
        <v/>
      </c>
      <c r="H769" s="257" t="str">
        <f t="shared" ca="1" si="119"/>
        <v/>
      </c>
      <c r="I769" s="220" t="str">
        <f t="shared" ca="1" si="120"/>
        <v/>
      </c>
    </row>
    <row r="770" spans="1:9" x14ac:dyDescent="0.25">
      <c r="A770" s="254" t="str">
        <f t="shared" ref="A770:A798" ca="1" si="121">IF(OR(H769&lt;=0,H769=""),"",OFFSET(A770,-1,0,1,1)+1)</f>
        <v/>
      </c>
      <c r="B770" s="255" t="str">
        <f t="shared" ref="B770:B798" ca="1" si="122">IF(A770&lt;$H$11+1,DATE(YEAR(B769),MONTH(B769)+3,1),"")</f>
        <v/>
      </c>
      <c r="C770" s="256" t="str">
        <f t="shared" ref="C770:C798" ca="1" si="123">IF(OR(A770=$H$11,A770=$H$14),G769+D770+E770,IF(B770="","",-$D$14))</f>
        <v/>
      </c>
      <c r="D770" s="257" t="str">
        <f t="shared" ref="D770:D798" ca="1" si="124">IF(B770="","",ROUND((B770-B769)*(E770/$D$13+$H$10*($I$10))*G769,2))</f>
        <v/>
      </c>
      <c r="E770" s="808" t="str">
        <f t="shared" ref="E770:E798" ca="1" si="125">IF(B770="","",ROUND((B770-B769)*($H$10*(1-$I$10))*G769,2))</f>
        <v/>
      </c>
      <c r="F770" s="253" t="str">
        <f t="shared" ref="F770:F798" ca="1" si="126">IF(B770="","",MAX(C770-D770,0))</f>
        <v/>
      </c>
      <c r="G770" s="257" t="str">
        <f t="shared" ref="G770:G798" ca="1" si="127">IF(B770="","",-(C770-D770)+G769)</f>
        <v/>
      </c>
      <c r="H770" s="257" t="str">
        <f t="shared" ref="H770:H798" ca="1" si="128">IF(B770="","",G770)</f>
        <v/>
      </c>
      <c r="I770" s="220" t="str">
        <f t="shared" ref="I770:I798" ca="1" si="129">IF(B770="","",YEAR(B770))</f>
        <v/>
      </c>
    </row>
    <row r="771" spans="1:9" x14ac:dyDescent="0.25">
      <c r="A771" s="254" t="str">
        <f t="shared" ca="1" si="121"/>
        <v/>
      </c>
      <c r="B771" s="255" t="str">
        <f t="shared" ca="1" si="122"/>
        <v/>
      </c>
      <c r="C771" s="256" t="str">
        <f t="shared" ca="1" si="123"/>
        <v/>
      </c>
      <c r="D771" s="257" t="str">
        <f t="shared" ca="1" si="124"/>
        <v/>
      </c>
      <c r="E771" s="808" t="str">
        <f t="shared" ca="1" si="125"/>
        <v/>
      </c>
      <c r="F771" s="253" t="str">
        <f t="shared" ca="1" si="126"/>
        <v/>
      </c>
      <c r="G771" s="257" t="str">
        <f t="shared" ca="1" si="127"/>
        <v/>
      </c>
      <c r="H771" s="257" t="str">
        <f t="shared" ca="1" si="128"/>
        <v/>
      </c>
      <c r="I771" s="220" t="str">
        <f t="shared" ca="1" si="129"/>
        <v/>
      </c>
    </row>
    <row r="772" spans="1:9" x14ac:dyDescent="0.25">
      <c r="A772" s="254" t="str">
        <f t="shared" ca="1" si="121"/>
        <v/>
      </c>
      <c r="B772" s="255" t="str">
        <f t="shared" ca="1" si="122"/>
        <v/>
      </c>
      <c r="C772" s="256" t="str">
        <f t="shared" ca="1" si="123"/>
        <v/>
      </c>
      <c r="D772" s="257" t="str">
        <f t="shared" ca="1" si="124"/>
        <v/>
      </c>
      <c r="E772" s="808" t="str">
        <f t="shared" ca="1" si="125"/>
        <v/>
      </c>
      <c r="F772" s="253" t="str">
        <f t="shared" ca="1" si="126"/>
        <v/>
      </c>
      <c r="G772" s="257" t="str">
        <f t="shared" ca="1" si="127"/>
        <v/>
      </c>
      <c r="H772" s="257" t="str">
        <f t="shared" ca="1" si="128"/>
        <v/>
      </c>
      <c r="I772" s="220" t="str">
        <f t="shared" ca="1" si="129"/>
        <v/>
      </c>
    </row>
    <row r="773" spans="1:9" x14ac:dyDescent="0.25">
      <c r="A773" s="254" t="str">
        <f t="shared" ca="1" si="121"/>
        <v/>
      </c>
      <c r="B773" s="255" t="str">
        <f t="shared" ca="1" si="122"/>
        <v/>
      </c>
      <c r="C773" s="256" t="str">
        <f t="shared" ca="1" si="123"/>
        <v/>
      </c>
      <c r="D773" s="257" t="str">
        <f t="shared" ca="1" si="124"/>
        <v/>
      </c>
      <c r="E773" s="808" t="str">
        <f t="shared" ca="1" si="125"/>
        <v/>
      </c>
      <c r="F773" s="253" t="str">
        <f t="shared" ca="1" si="126"/>
        <v/>
      </c>
      <c r="G773" s="257" t="str">
        <f t="shared" ca="1" si="127"/>
        <v/>
      </c>
      <c r="H773" s="257" t="str">
        <f t="shared" ca="1" si="128"/>
        <v/>
      </c>
      <c r="I773" s="220" t="str">
        <f t="shared" ca="1" si="129"/>
        <v/>
      </c>
    </row>
    <row r="774" spans="1:9" x14ac:dyDescent="0.25">
      <c r="A774" s="254" t="str">
        <f t="shared" ca="1" si="121"/>
        <v/>
      </c>
      <c r="B774" s="255" t="str">
        <f t="shared" ca="1" si="122"/>
        <v/>
      </c>
      <c r="C774" s="256" t="str">
        <f t="shared" ca="1" si="123"/>
        <v/>
      </c>
      <c r="D774" s="257" t="str">
        <f t="shared" ca="1" si="124"/>
        <v/>
      </c>
      <c r="E774" s="808" t="str">
        <f t="shared" ca="1" si="125"/>
        <v/>
      </c>
      <c r="F774" s="253" t="str">
        <f t="shared" ca="1" si="126"/>
        <v/>
      </c>
      <c r="G774" s="257" t="str">
        <f t="shared" ca="1" si="127"/>
        <v/>
      </c>
      <c r="H774" s="257" t="str">
        <f t="shared" ca="1" si="128"/>
        <v/>
      </c>
      <c r="I774" s="220" t="str">
        <f t="shared" ca="1" si="129"/>
        <v/>
      </c>
    </row>
    <row r="775" spans="1:9" x14ac:dyDescent="0.25">
      <c r="A775" s="254" t="str">
        <f t="shared" ca="1" si="121"/>
        <v/>
      </c>
      <c r="B775" s="255" t="str">
        <f t="shared" ca="1" si="122"/>
        <v/>
      </c>
      <c r="C775" s="256" t="str">
        <f t="shared" ca="1" si="123"/>
        <v/>
      </c>
      <c r="D775" s="257" t="str">
        <f t="shared" ca="1" si="124"/>
        <v/>
      </c>
      <c r="E775" s="808" t="str">
        <f t="shared" ca="1" si="125"/>
        <v/>
      </c>
      <c r="F775" s="253" t="str">
        <f t="shared" ca="1" si="126"/>
        <v/>
      </c>
      <c r="G775" s="257" t="str">
        <f t="shared" ca="1" si="127"/>
        <v/>
      </c>
      <c r="H775" s="257" t="str">
        <f t="shared" ca="1" si="128"/>
        <v/>
      </c>
      <c r="I775" s="220" t="str">
        <f t="shared" ca="1" si="129"/>
        <v/>
      </c>
    </row>
    <row r="776" spans="1:9" x14ac:dyDescent="0.25">
      <c r="A776" s="254" t="str">
        <f t="shared" ca="1" si="121"/>
        <v/>
      </c>
      <c r="B776" s="255" t="str">
        <f t="shared" ca="1" si="122"/>
        <v/>
      </c>
      <c r="C776" s="256" t="str">
        <f t="shared" ca="1" si="123"/>
        <v/>
      </c>
      <c r="D776" s="257" t="str">
        <f t="shared" ca="1" si="124"/>
        <v/>
      </c>
      <c r="E776" s="808" t="str">
        <f t="shared" ca="1" si="125"/>
        <v/>
      </c>
      <c r="F776" s="253" t="str">
        <f t="shared" ca="1" si="126"/>
        <v/>
      </c>
      <c r="G776" s="257" t="str">
        <f t="shared" ca="1" si="127"/>
        <v/>
      </c>
      <c r="H776" s="257" t="str">
        <f t="shared" ca="1" si="128"/>
        <v/>
      </c>
      <c r="I776" s="220" t="str">
        <f t="shared" ca="1" si="129"/>
        <v/>
      </c>
    </row>
    <row r="777" spans="1:9" x14ac:dyDescent="0.25">
      <c r="A777" s="254" t="str">
        <f t="shared" ca="1" si="121"/>
        <v/>
      </c>
      <c r="B777" s="255" t="str">
        <f t="shared" ca="1" si="122"/>
        <v/>
      </c>
      <c r="C777" s="256" t="str">
        <f t="shared" ca="1" si="123"/>
        <v/>
      </c>
      <c r="D777" s="257" t="str">
        <f t="shared" ca="1" si="124"/>
        <v/>
      </c>
      <c r="E777" s="808" t="str">
        <f t="shared" ca="1" si="125"/>
        <v/>
      </c>
      <c r="F777" s="253" t="str">
        <f t="shared" ca="1" si="126"/>
        <v/>
      </c>
      <c r="G777" s="257" t="str">
        <f t="shared" ca="1" si="127"/>
        <v/>
      </c>
      <c r="H777" s="257" t="str">
        <f t="shared" ca="1" si="128"/>
        <v/>
      </c>
      <c r="I777" s="220" t="str">
        <f t="shared" ca="1" si="129"/>
        <v/>
      </c>
    </row>
    <row r="778" spans="1:9" x14ac:dyDescent="0.25">
      <c r="A778" s="254" t="str">
        <f t="shared" ca="1" si="121"/>
        <v/>
      </c>
      <c r="B778" s="255" t="str">
        <f t="shared" ca="1" si="122"/>
        <v/>
      </c>
      <c r="C778" s="256" t="str">
        <f t="shared" ca="1" si="123"/>
        <v/>
      </c>
      <c r="D778" s="257" t="str">
        <f t="shared" ca="1" si="124"/>
        <v/>
      </c>
      <c r="E778" s="808" t="str">
        <f t="shared" ca="1" si="125"/>
        <v/>
      </c>
      <c r="F778" s="253" t="str">
        <f t="shared" ca="1" si="126"/>
        <v/>
      </c>
      <c r="G778" s="257" t="str">
        <f t="shared" ca="1" si="127"/>
        <v/>
      </c>
      <c r="H778" s="257" t="str">
        <f t="shared" ca="1" si="128"/>
        <v/>
      </c>
      <c r="I778" s="220" t="str">
        <f t="shared" ca="1" si="129"/>
        <v/>
      </c>
    </row>
    <row r="779" spans="1:9" x14ac:dyDescent="0.25">
      <c r="A779" s="254" t="str">
        <f t="shared" ca="1" si="121"/>
        <v/>
      </c>
      <c r="B779" s="255" t="str">
        <f t="shared" ca="1" si="122"/>
        <v/>
      </c>
      <c r="C779" s="256" t="str">
        <f t="shared" ca="1" si="123"/>
        <v/>
      </c>
      <c r="D779" s="257" t="str">
        <f t="shared" ca="1" si="124"/>
        <v/>
      </c>
      <c r="E779" s="808" t="str">
        <f t="shared" ca="1" si="125"/>
        <v/>
      </c>
      <c r="F779" s="253" t="str">
        <f t="shared" ca="1" si="126"/>
        <v/>
      </c>
      <c r="G779" s="257" t="str">
        <f t="shared" ca="1" si="127"/>
        <v/>
      </c>
      <c r="H779" s="257" t="str">
        <f t="shared" ca="1" si="128"/>
        <v/>
      </c>
      <c r="I779" s="220" t="str">
        <f t="shared" ca="1" si="129"/>
        <v/>
      </c>
    </row>
    <row r="780" spans="1:9" x14ac:dyDescent="0.25">
      <c r="A780" s="254" t="str">
        <f t="shared" ca="1" si="121"/>
        <v/>
      </c>
      <c r="B780" s="255" t="str">
        <f t="shared" ca="1" si="122"/>
        <v/>
      </c>
      <c r="C780" s="256" t="str">
        <f t="shared" ca="1" si="123"/>
        <v/>
      </c>
      <c r="D780" s="257" t="str">
        <f t="shared" ca="1" si="124"/>
        <v/>
      </c>
      <c r="E780" s="808" t="str">
        <f t="shared" ca="1" si="125"/>
        <v/>
      </c>
      <c r="F780" s="253" t="str">
        <f t="shared" ca="1" si="126"/>
        <v/>
      </c>
      <c r="G780" s="257" t="str">
        <f t="shared" ca="1" si="127"/>
        <v/>
      </c>
      <c r="H780" s="257" t="str">
        <f t="shared" ca="1" si="128"/>
        <v/>
      </c>
      <c r="I780" s="220" t="str">
        <f t="shared" ca="1" si="129"/>
        <v/>
      </c>
    </row>
    <row r="781" spans="1:9" x14ac:dyDescent="0.25">
      <c r="A781" s="254" t="str">
        <f t="shared" ca="1" si="121"/>
        <v/>
      </c>
      <c r="B781" s="255" t="str">
        <f t="shared" ca="1" si="122"/>
        <v/>
      </c>
      <c r="C781" s="256" t="str">
        <f t="shared" ca="1" si="123"/>
        <v/>
      </c>
      <c r="D781" s="257" t="str">
        <f t="shared" ca="1" si="124"/>
        <v/>
      </c>
      <c r="E781" s="808" t="str">
        <f t="shared" ca="1" si="125"/>
        <v/>
      </c>
      <c r="F781" s="253" t="str">
        <f t="shared" ca="1" si="126"/>
        <v/>
      </c>
      <c r="G781" s="257" t="str">
        <f t="shared" ca="1" si="127"/>
        <v/>
      </c>
      <c r="H781" s="257" t="str">
        <f t="shared" ca="1" si="128"/>
        <v/>
      </c>
      <c r="I781" s="220" t="str">
        <f t="shared" ca="1" si="129"/>
        <v/>
      </c>
    </row>
    <row r="782" spans="1:9" x14ac:dyDescent="0.25">
      <c r="A782" s="254" t="str">
        <f t="shared" ca="1" si="121"/>
        <v/>
      </c>
      <c r="B782" s="255" t="str">
        <f t="shared" ca="1" si="122"/>
        <v/>
      </c>
      <c r="C782" s="256" t="str">
        <f t="shared" ca="1" si="123"/>
        <v/>
      </c>
      <c r="D782" s="257" t="str">
        <f t="shared" ca="1" si="124"/>
        <v/>
      </c>
      <c r="E782" s="808" t="str">
        <f t="shared" ca="1" si="125"/>
        <v/>
      </c>
      <c r="F782" s="253" t="str">
        <f t="shared" ca="1" si="126"/>
        <v/>
      </c>
      <c r="G782" s="257" t="str">
        <f t="shared" ca="1" si="127"/>
        <v/>
      </c>
      <c r="H782" s="257" t="str">
        <f t="shared" ca="1" si="128"/>
        <v/>
      </c>
      <c r="I782" s="220" t="str">
        <f t="shared" ca="1" si="129"/>
        <v/>
      </c>
    </row>
    <row r="783" spans="1:9" x14ac:dyDescent="0.25">
      <c r="A783" s="254" t="str">
        <f t="shared" ca="1" si="121"/>
        <v/>
      </c>
      <c r="B783" s="255" t="str">
        <f t="shared" ca="1" si="122"/>
        <v/>
      </c>
      <c r="C783" s="256" t="str">
        <f t="shared" ca="1" si="123"/>
        <v/>
      </c>
      <c r="D783" s="257" t="str">
        <f t="shared" ca="1" si="124"/>
        <v/>
      </c>
      <c r="E783" s="808" t="str">
        <f t="shared" ca="1" si="125"/>
        <v/>
      </c>
      <c r="F783" s="253" t="str">
        <f t="shared" ca="1" si="126"/>
        <v/>
      </c>
      <c r="G783" s="257" t="str">
        <f t="shared" ca="1" si="127"/>
        <v/>
      </c>
      <c r="H783" s="257" t="str">
        <f t="shared" ca="1" si="128"/>
        <v/>
      </c>
      <c r="I783" s="220" t="str">
        <f t="shared" ca="1" si="129"/>
        <v/>
      </c>
    </row>
    <row r="784" spans="1:9" x14ac:dyDescent="0.25">
      <c r="A784" s="254" t="str">
        <f t="shared" ca="1" si="121"/>
        <v/>
      </c>
      <c r="B784" s="255" t="str">
        <f t="shared" ca="1" si="122"/>
        <v/>
      </c>
      <c r="C784" s="256" t="str">
        <f t="shared" ca="1" si="123"/>
        <v/>
      </c>
      <c r="D784" s="257" t="str">
        <f t="shared" ca="1" si="124"/>
        <v/>
      </c>
      <c r="E784" s="808" t="str">
        <f t="shared" ca="1" si="125"/>
        <v/>
      </c>
      <c r="F784" s="253" t="str">
        <f t="shared" ca="1" si="126"/>
        <v/>
      </c>
      <c r="G784" s="257" t="str">
        <f t="shared" ca="1" si="127"/>
        <v/>
      </c>
      <c r="H784" s="257" t="str">
        <f t="shared" ca="1" si="128"/>
        <v/>
      </c>
      <c r="I784" s="220" t="str">
        <f t="shared" ca="1" si="129"/>
        <v/>
      </c>
    </row>
    <row r="785" spans="1:9" x14ac:dyDescent="0.25">
      <c r="A785" s="254" t="str">
        <f t="shared" ca="1" si="121"/>
        <v/>
      </c>
      <c r="B785" s="255" t="str">
        <f t="shared" ca="1" si="122"/>
        <v/>
      </c>
      <c r="C785" s="256" t="str">
        <f t="shared" ca="1" si="123"/>
        <v/>
      </c>
      <c r="D785" s="257" t="str">
        <f t="shared" ca="1" si="124"/>
        <v/>
      </c>
      <c r="E785" s="808" t="str">
        <f t="shared" ca="1" si="125"/>
        <v/>
      </c>
      <c r="F785" s="253" t="str">
        <f t="shared" ca="1" si="126"/>
        <v/>
      </c>
      <c r="G785" s="257" t="str">
        <f t="shared" ca="1" si="127"/>
        <v/>
      </c>
      <c r="H785" s="257" t="str">
        <f t="shared" ca="1" si="128"/>
        <v/>
      </c>
      <c r="I785" s="220" t="str">
        <f t="shared" ca="1" si="129"/>
        <v/>
      </c>
    </row>
    <row r="786" spans="1:9" x14ac:dyDescent="0.25">
      <c r="A786" s="254" t="str">
        <f t="shared" ca="1" si="121"/>
        <v/>
      </c>
      <c r="B786" s="255" t="str">
        <f t="shared" ca="1" si="122"/>
        <v/>
      </c>
      <c r="C786" s="256" t="str">
        <f t="shared" ca="1" si="123"/>
        <v/>
      </c>
      <c r="D786" s="257" t="str">
        <f t="shared" ca="1" si="124"/>
        <v/>
      </c>
      <c r="E786" s="808" t="str">
        <f t="shared" ca="1" si="125"/>
        <v/>
      </c>
      <c r="F786" s="253" t="str">
        <f t="shared" ca="1" si="126"/>
        <v/>
      </c>
      <c r="G786" s="257" t="str">
        <f t="shared" ca="1" si="127"/>
        <v/>
      </c>
      <c r="H786" s="257" t="str">
        <f t="shared" ca="1" si="128"/>
        <v/>
      </c>
      <c r="I786" s="220" t="str">
        <f t="shared" ca="1" si="129"/>
        <v/>
      </c>
    </row>
    <row r="787" spans="1:9" x14ac:dyDescent="0.25">
      <c r="A787" s="254" t="str">
        <f t="shared" ca="1" si="121"/>
        <v/>
      </c>
      <c r="B787" s="255" t="str">
        <f t="shared" ca="1" si="122"/>
        <v/>
      </c>
      <c r="C787" s="256" t="str">
        <f t="shared" ca="1" si="123"/>
        <v/>
      </c>
      <c r="D787" s="257" t="str">
        <f t="shared" ca="1" si="124"/>
        <v/>
      </c>
      <c r="E787" s="808" t="str">
        <f t="shared" ca="1" si="125"/>
        <v/>
      </c>
      <c r="F787" s="253" t="str">
        <f t="shared" ca="1" si="126"/>
        <v/>
      </c>
      <c r="G787" s="257" t="str">
        <f t="shared" ca="1" si="127"/>
        <v/>
      </c>
      <c r="H787" s="257" t="str">
        <f t="shared" ca="1" si="128"/>
        <v/>
      </c>
      <c r="I787" s="220" t="str">
        <f t="shared" ca="1" si="129"/>
        <v/>
      </c>
    </row>
    <row r="788" spans="1:9" x14ac:dyDescent="0.25">
      <c r="A788" s="254" t="str">
        <f t="shared" ca="1" si="121"/>
        <v/>
      </c>
      <c r="B788" s="255" t="str">
        <f t="shared" ca="1" si="122"/>
        <v/>
      </c>
      <c r="C788" s="256" t="str">
        <f t="shared" ca="1" si="123"/>
        <v/>
      </c>
      <c r="D788" s="257" t="str">
        <f t="shared" ca="1" si="124"/>
        <v/>
      </c>
      <c r="E788" s="808" t="str">
        <f t="shared" ca="1" si="125"/>
        <v/>
      </c>
      <c r="F788" s="253" t="str">
        <f t="shared" ca="1" si="126"/>
        <v/>
      </c>
      <c r="G788" s="257" t="str">
        <f t="shared" ca="1" si="127"/>
        <v/>
      </c>
      <c r="H788" s="257" t="str">
        <f t="shared" ca="1" si="128"/>
        <v/>
      </c>
      <c r="I788" s="220" t="str">
        <f t="shared" ca="1" si="129"/>
        <v/>
      </c>
    </row>
    <row r="789" spans="1:9" x14ac:dyDescent="0.25">
      <c r="A789" s="254" t="str">
        <f t="shared" ca="1" si="121"/>
        <v/>
      </c>
      <c r="B789" s="255" t="str">
        <f t="shared" ca="1" si="122"/>
        <v/>
      </c>
      <c r="C789" s="256" t="str">
        <f t="shared" ca="1" si="123"/>
        <v/>
      </c>
      <c r="D789" s="257" t="str">
        <f t="shared" ca="1" si="124"/>
        <v/>
      </c>
      <c r="E789" s="808" t="str">
        <f t="shared" ca="1" si="125"/>
        <v/>
      </c>
      <c r="F789" s="253" t="str">
        <f t="shared" ca="1" si="126"/>
        <v/>
      </c>
      <c r="G789" s="257" t="str">
        <f t="shared" ca="1" si="127"/>
        <v/>
      </c>
      <c r="H789" s="257" t="str">
        <f t="shared" ca="1" si="128"/>
        <v/>
      </c>
      <c r="I789" s="220" t="str">
        <f t="shared" ca="1" si="129"/>
        <v/>
      </c>
    </row>
    <row r="790" spans="1:9" x14ac:dyDescent="0.25">
      <c r="A790" s="254" t="str">
        <f t="shared" ca="1" si="121"/>
        <v/>
      </c>
      <c r="B790" s="255" t="str">
        <f t="shared" ca="1" si="122"/>
        <v/>
      </c>
      <c r="C790" s="256" t="str">
        <f t="shared" ca="1" si="123"/>
        <v/>
      </c>
      <c r="D790" s="257" t="str">
        <f t="shared" ca="1" si="124"/>
        <v/>
      </c>
      <c r="E790" s="808" t="str">
        <f t="shared" ca="1" si="125"/>
        <v/>
      </c>
      <c r="F790" s="253" t="str">
        <f t="shared" ca="1" si="126"/>
        <v/>
      </c>
      <c r="G790" s="257" t="str">
        <f t="shared" ca="1" si="127"/>
        <v/>
      </c>
      <c r="H790" s="257" t="str">
        <f t="shared" ca="1" si="128"/>
        <v/>
      </c>
      <c r="I790" s="220" t="str">
        <f t="shared" ca="1" si="129"/>
        <v/>
      </c>
    </row>
    <row r="791" spans="1:9" x14ac:dyDescent="0.25">
      <c r="A791" s="254" t="str">
        <f t="shared" ca="1" si="121"/>
        <v/>
      </c>
      <c r="B791" s="255" t="str">
        <f t="shared" ca="1" si="122"/>
        <v/>
      </c>
      <c r="C791" s="256" t="str">
        <f t="shared" ca="1" si="123"/>
        <v/>
      </c>
      <c r="D791" s="257" t="str">
        <f t="shared" ca="1" si="124"/>
        <v/>
      </c>
      <c r="E791" s="808" t="str">
        <f t="shared" ca="1" si="125"/>
        <v/>
      </c>
      <c r="F791" s="253" t="str">
        <f t="shared" ca="1" si="126"/>
        <v/>
      </c>
      <c r="G791" s="257" t="str">
        <f t="shared" ca="1" si="127"/>
        <v/>
      </c>
      <c r="H791" s="257" t="str">
        <f t="shared" ca="1" si="128"/>
        <v/>
      </c>
      <c r="I791" s="220" t="str">
        <f t="shared" ca="1" si="129"/>
        <v/>
      </c>
    </row>
    <row r="792" spans="1:9" x14ac:dyDescent="0.25">
      <c r="A792" s="254" t="str">
        <f t="shared" ca="1" si="121"/>
        <v/>
      </c>
      <c r="B792" s="255" t="str">
        <f t="shared" ca="1" si="122"/>
        <v/>
      </c>
      <c r="C792" s="256" t="str">
        <f t="shared" ca="1" si="123"/>
        <v/>
      </c>
      <c r="D792" s="257" t="str">
        <f t="shared" ca="1" si="124"/>
        <v/>
      </c>
      <c r="E792" s="808" t="str">
        <f t="shared" ca="1" si="125"/>
        <v/>
      </c>
      <c r="F792" s="253" t="str">
        <f t="shared" ca="1" si="126"/>
        <v/>
      </c>
      <c r="G792" s="257" t="str">
        <f t="shared" ca="1" si="127"/>
        <v/>
      </c>
      <c r="H792" s="257" t="str">
        <f t="shared" ca="1" si="128"/>
        <v/>
      </c>
      <c r="I792" s="220" t="str">
        <f t="shared" ca="1" si="129"/>
        <v/>
      </c>
    </row>
    <row r="793" spans="1:9" x14ac:dyDescent="0.25">
      <c r="A793" s="254" t="str">
        <f t="shared" ca="1" si="121"/>
        <v/>
      </c>
      <c r="B793" s="255" t="str">
        <f t="shared" ca="1" si="122"/>
        <v/>
      </c>
      <c r="C793" s="256" t="str">
        <f t="shared" ca="1" si="123"/>
        <v/>
      </c>
      <c r="D793" s="257" t="str">
        <f t="shared" ca="1" si="124"/>
        <v/>
      </c>
      <c r="E793" s="808" t="str">
        <f t="shared" ca="1" si="125"/>
        <v/>
      </c>
      <c r="F793" s="253" t="str">
        <f t="shared" ca="1" si="126"/>
        <v/>
      </c>
      <c r="G793" s="257" t="str">
        <f t="shared" ca="1" si="127"/>
        <v/>
      </c>
      <c r="H793" s="257" t="str">
        <f t="shared" ca="1" si="128"/>
        <v/>
      </c>
      <c r="I793" s="220" t="str">
        <f t="shared" ca="1" si="129"/>
        <v/>
      </c>
    </row>
    <row r="794" spans="1:9" x14ac:dyDescent="0.25">
      <c r="A794" s="254" t="str">
        <f t="shared" ca="1" si="121"/>
        <v/>
      </c>
      <c r="B794" s="255" t="str">
        <f t="shared" ca="1" si="122"/>
        <v/>
      </c>
      <c r="C794" s="256" t="str">
        <f t="shared" ca="1" si="123"/>
        <v/>
      </c>
      <c r="D794" s="257" t="str">
        <f t="shared" ca="1" si="124"/>
        <v/>
      </c>
      <c r="E794" s="808" t="str">
        <f t="shared" ca="1" si="125"/>
        <v/>
      </c>
      <c r="F794" s="253" t="str">
        <f t="shared" ca="1" si="126"/>
        <v/>
      </c>
      <c r="G794" s="257" t="str">
        <f t="shared" ca="1" si="127"/>
        <v/>
      </c>
      <c r="H794" s="257" t="str">
        <f t="shared" ca="1" si="128"/>
        <v/>
      </c>
      <c r="I794" s="220" t="str">
        <f t="shared" ca="1" si="129"/>
        <v/>
      </c>
    </row>
    <row r="795" spans="1:9" x14ac:dyDescent="0.25">
      <c r="A795" s="254" t="str">
        <f t="shared" ca="1" si="121"/>
        <v/>
      </c>
      <c r="B795" s="255" t="str">
        <f t="shared" ca="1" si="122"/>
        <v/>
      </c>
      <c r="C795" s="256" t="str">
        <f t="shared" ca="1" si="123"/>
        <v/>
      </c>
      <c r="D795" s="257" t="str">
        <f t="shared" ca="1" si="124"/>
        <v/>
      </c>
      <c r="E795" s="808" t="str">
        <f t="shared" ca="1" si="125"/>
        <v/>
      </c>
      <c r="F795" s="253" t="str">
        <f t="shared" ca="1" si="126"/>
        <v/>
      </c>
      <c r="G795" s="257" t="str">
        <f t="shared" ca="1" si="127"/>
        <v/>
      </c>
      <c r="H795" s="257" t="str">
        <f t="shared" ca="1" si="128"/>
        <v/>
      </c>
      <c r="I795" s="220" t="str">
        <f t="shared" ca="1" si="129"/>
        <v/>
      </c>
    </row>
    <row r="796" spans="1:9" x14ac:dyDescent="0.25">
      <c r="A796" s="254" t="str">
        <f t="shared" ca="1" si="121"/>
        <v/>
      </c>
      <c r="B796" s="255" t="str">
        <f t="shared" ca="1" si="122"/>
        <v/>
      </c>
      <c r="C796" s="256" t="str">
        <f t="shared" ca="1" si="123"/>
        <v/>
      </c>
      <c r="D796" s="257" t="str">
        <f t="shared" ca="1" si="124"/>
        <v/>
      </c>
      <c r="E796" s="808" t="str">
        <f t="shared" ca="1" si="125"/>
        <v/>
      </c>
      <c r="F796" s="253" t="str">
        <f t="shared" ca="1" si="126"/>
        <v/>
      </c>
      <c r="G796" s="257" t="str">
        <f t="shared" ca="1" si="127"/>
        <v/>
      </c>
      <c r="H796" s="257" t="str">
        <f t="shared" ca="1" si="128"/>
        <v/>
      </c>
      <c r="I796" s="220" t="str">
        <f t="shared" ca="1" si="129"/>
        <v/>
      </c>
    </row>
    <row r="797" spans="1:9" x14ac:dyDescent="0.25">
      <c r="A797" s="254" t="str">
        <f t="shared" ca="1" si="121"/>
        <v/>
      </c>
      <c r="B797" s="255" t="str">
        <f t="shared" ca="1" si="122"/>
        <v/>
      </c>
      <c r="C797" s="256" t="str">
        <f t="shared" ca="1" si="123"/>
        <v/>
      </c>
      <c r="D797" s="257" t="str">
        <f t="shared" ca="1" si="124"/>
        <v/>
      </c>
      <c r="E797" s="808" t="str">
        <f t="shared" ca="1" si="125"/>
        <v/>
      </c>
      <c r="F797" s="253" t="str">
        <f t="shared" ca="1" si="126"/>
        <v/>
      </c>
      <c r="G797" s="257" t="str">
        <f t="shared" ca="1" si="127"/>
        <v/>
      </c>
      <c r="H797" s="257" t="str">
        <f t="shared" ca="1" si="128"/>
        <v/>
      </c>
      <c r="I797" s="220" t="str">
        <f t="shared" ca="1" si="129"/>
        <v/>
      </c>
    </row>
    <row r="798" spans="1:9" x14ac:dyDescent="0.25">
      <c r="A798" s="254" t="str">
        <f t="shared" ca="1" si="121"/>
        <v/>
      </c>
      <c r="B798" s="255" t="str">
        <f t="shared" ca="1" si="122"/>
        <v/>
      </c>
      <c r="C798" s="256" t="str">
        <f t="shared" ca="1" si="123"/>
        <v/>
      </c>
      <c r="D798" s="257" t="str">
        <f t="shared" ca="1" si="124"/>
        <v/>
      </c>
      <c r="E798" s="808" t="str">
        <f t="shared" ca="1" si="125"/>
        <v/>
      </c>
      <c r="F798" s="253" t="str">
        <f t="shared" ca="1" si="126"/>
        <v/>
      </c>
      <c r="G798" s="257" t="str">
        <f t="shared" ca="1" si="127"/>
        <v/>
      </c>
      <c r="H798" s="257" t="str">
        <f t="shared" ca="1" si="128"/>
        <v/>
      </c>
      <c r="I798" s="220" t="str">
        <f t="shared" ca="1" si="129"/>
        <v/>
      </c>
    </row>
    <row r="799" spans="1:9" x14ac:dyDescent="0.25">
      <c r="A799" s="264" t="s">
        <v>355</v>
      </c>
      <c r="B799" s="264"/>
      <c r="C799" s="264"/>
      <c r="D799" s="265"/>
      <c r="E799" s="808" t="str">
        <f>IF(B799="","",MIN(G799-G798,0))</f>
        <v/>
      </c>
      <c r="F799" s="265"/>
      <c r="G799" s="265"/>
      <c r="H799" s="265"/>
    </row>
  </sheetData>
  <mergeCells count="3">
    <mergeCell ref="K2:K15"/>
    <mergeCell ref="C4:D4"/>
    <mergeCell ref="A16:D16"/>
  </mergeCells>
  <hyperlinks>
    <hyperlink ref="A2" r:id="rId1" xr:uid="{A899EA32-7E27-4DB8-B40D-5DAC70AC8F57}"/>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94CC2-0E29-4894-9E6B-8BC7B00BDB12}">
  <sheetPr codeName="Sheet8">
    <tabColor theme="4" tint="-0.499984740745262"/>
    <pageSetUpPr autoPageBreaks="0" fitToPage="1"/>
  </sheetPr>
  <dimension ref="B1:BG113"/>
  <sheetViews>
    <sheetView showGridLines="0" topLeftCell="A2" zoomScale="70" zoomScaleNormal="70" workbookViewId="0">
      <selection activeCell="A2" sqref="A2"/>
    </sheetView>
  </sheetViews>
  <sheetFormatPr defaultColWidth="8.88671875" defaultRowHeight="14.4" x14ac:dyDescent="0.3"/>
  <cols>
    <col min="1" max="1" width="3.5546875" style="269" customWidth="1"/>
    <col min="2" max="10" width="18.109375" style="269" customWidth="1"/>
    <col min="11" max="11" width="19.88671875" style="269" customWidth="1"/>
    <col min="12" max="15" width="17.88671875" style="269" customWidth="1"/>
    <col min="16" max="17" width="8.88671875" style="269"/>
    <col min="18" max="18" width="16.6640625" style="269" bestFit="1" customWidth="1"/>
    <col min="19" max="19" width="21.6640625" style="269" bestFit="1" customWidth="1"/>
    <col min="20" max="24" width="7.6640625" style="269" bestFit="1" customWidth="1"/>
    <col min="25" max="25" width="7.33203125" style="269" bestFit="1" customWidth="1"/>
    <col min="26" max="26" width="7.6640625" style="269" bestFit="1" customWidth="1"/>
    <col min="27" max="28" width="7.33203125" style="269" bestFit="1" customWidth="1"/>
    <col min="29" max="30" width="7.6640625" style="269" bestFit="1" customWidth="1"/>
    <col min="31" max="31" width="13.44140625" style="269" bestFit="1" customWidth="1"/>
    <col min="32" max="32" width="8.88671875" style="269" bestFit="1" customWidth="1"/>
    <col min="33" max="35" width="7.6640625" style="269" bestFit="1" customWidth="1"/>
    <col min="36" max="36" width="7.33203125" style="269" bestFit="1" customWidth="1"/>
    <col min="37" max="39" width="7.6640625" style="269" bestFit="1" customWidth="1"/>
    <col min="40" max="40" width="7.33203125" style="269" bestFit="1" customWidth="1"/>
    <col min="41" max="43" width="7.6640625" style="269" bestFit="1" customWidth="1"/>
    <col min="44" max="44" width="13.88671875" style="269" bestFit="1" customWidth="1"/>
    <col min="45" max="45" width="19.5546875" style="269" bestFit="1" customWidth="1"/>
    <col min="46" max="56" width="20.44140625" style="269" bestFit="1" customWidth="1"/>
    <col min="57" max="57" width="18.88671875" style="269" bestFit="1" customWidth="1"/>
    <col min="58" max="58" width="19.5546875" style="269" bestFit="1" customWidth="1"/>
    <col min="59" max="59" width="25.109375" style="269" bestFit="1" customWidth="1"/>
    <col min="60" max="16384" width="8.88671875" style="269"/>
  </cols>
  <sheetData>
    <row r="1" spans="2:59" s="267" customFormat="1" ht="21" customHeight="1" x14ac:dyDescent="0.3">
      <c r="B1" s="268"/>
      <c r="C1" s="268"/>
      <c r="D1" s="268"/>
      <c r="E1" s="268"/>
      <c r="F1" s="268"/>
      <c r="G1" s="268"/>
      <c r="H1" s="268"/>
      <c r="I1" s="268"/>
      <c r="J1" s="268"/>
      <c r="K1" s="268"/>
      <c r="L1" s="268"/>
      <c r="M1" s="268"/>
      <c r="N1" s="268"/>
      <c r="O1" s="268"/>
    </row>
    <row r="2" spans="2:59" s="267" customFormat="1" ht="68.099999999999994" customHeight="1" x14ac:dyDescent="0.3">
      <c r="B2" s="268"/>
      <c r="C2" s="1809" t="s">
        <v>356</v>
      </c>
      <c r="D2" s="1809"/>
      <c r="E2" s="1809"/>
      <c r="F2" s="1809"/>
      <c r="G2" s="1809"/>
      <c r="H2" s="1809"/>
      <c r="I2" s="1809"/>
      <c r="J2" s="1809"/>
      <c r="K2" s="1809"/>
      <c r="L2" s="294"/>
      <c r="M2" s="294"/>
      <c r="N2" s="294"/>
      <c r="O2" s="294"/>
    </row>
    <row r="3" spans="2:59" s="267" customFormat="1" ht="24" customHeight="1" x14ac:dyDescent="0.3">
      <c r="B3" s="268"/>
      <c r="C3" s="268"/>
      <c r="D3" s="268"/>
      <c r="E3" s="268"/>
      <c r="F3" s="268"/>
      <c r="G3" s="268"/>
      <c r="H3" s="268"/>
      <c r="I3" s="268"/>
      <c r="J3" s="268"/>
      <c r="K3" s="268"/>
      <c r="L3" s="268"/>
      <c r="M3" s="268"/>
      <c r="N3" s="268"/>
      <c r="O3" s="268"/>
    </row>
    <row r="4" spans="2:59" ht="38.1" customHeight="1" x14ac:dyDescent="0.3">
      <c r="B4" s="270" t="s">
        <v>357</v>
      </c>
      <c r="C4" s="271"/>
      <c r="D4" s="272"/>
      <c r="E4" s="273"/>
      <c r="G4" s="274" t="s">
        <v>358</v>
      </c>
      <c r="H4" s="273"/>
      <c r="I4" s="273"/>
      <c r="J4" s="275"/>
    </row>
    <row r="5" spans="2:59" ht="24" customHeight="1" x14ac:dyDescent="0.3">
      <c r="B5" s="1796" t="s">
        <v>359</v>
      </c>
      <c r="C5" s="1796"/>
      <c r="D5" s="1804"/>
      <c r="E5" s="276">
        <v>64527.86</v>
      </c>
      <c r="G5" s="1810" t="s">
        <v>360</v>
      </c>
      <c r="H5" s="1811"/>
      <c r="I5" s="1812">
        <f>IF(LoanIsGood,-PMT(InterestRate/PaymentsPerYear,ScheduledNumberOfPayments,LoanAmount),"")</f>
        <v>1434.5636067371058</v>
      </c>
      <c r="J5" s="1812"/>
      <c r="K5" s="1812"/>
      <c r="L5" s="295"/>
      <c r="M5" s="295"/>
      <c r="N5" s="295"/>
      <c r="O5" s="295"/>
    </row>
    <row r="6" spans="2:59" ht="24" customHeight="1" x14ac:dyDescent="0.3">
      <c r="B6" s="1796" t="s">
        <v>361</v>
      </c>
      <c r="C6" s="1796"/>
      <c r="D6" s="1804"/>
      <c r="E6" s="277">
        <v>3.2199999999999999E-2</v>
      </c>
      <c r="G6" s="1805" t="s">
        <v>362</v>
      </c>
      <c r="H6" s="1806"/>
      <c r="I6" s="1807">
        <f>IF(LoanIsGood,LoanPeriod*PaymentsPerYear,"")</f>
        <v>48</v>
      </c>
      <c r="J6" s="1807"/>
      <c r="K6" s="1807"/>
      <c r="L6" s="296"/>
      <c r="M6" s="296"/>
      <c r="N6" s="296"/>
      <c r="O6" s="296"/>
    </row>
    <row r="7" spans="2:59" ht="24" customHeight="1" x14ac:dyDescent="0.3">
      <c r="B7" s="1796" t="s">
        <v>363</v>
      </c>
      <c r="C7" s="1796"/>
      <c r="D7" s="1804"/>
      <c r="E7" s="278">
        <v>4</v>
      </c>
      <c r="G7" s="1805" t="s">
        <v>364</v>
      </c>
      <c r="H7" s="1806"/>
      <c r="I7" s="1807">
        <f>ActualNumberOfPayments</f>
        <v>48</v>
      </c>
      <c r="J7" s="1807"/>
      <c r="K7" s="1807"/>
      <c r="L7" s="296"/>
      <c r="M7" s="296"/>
      <c r="N7" s="296"/>
      <c r="O7" s="296"/>
    </row>
    <row r="8" spans="2:59" ht="24" customHeight="1" x14ac:dyDescent="0.3">
      <c r="B8" s="1796" t="s">
        <v>365</v>
      </c>
      <c r="C8" s="1796"/>
      <c r="D8" s="1804"/>
      <c r="E8" s="278">
        <v>12</v>
      </c>
      <c r="G8" s="1805" t="s">
        <v>366</v>
      </c>
      <c r="H8" s="1806"/>
      <c r="I8" s="1808">
        <f>TotalEarlyPayments</f>
        <v>0</v>
      </c>
      <c r="J8" s="1808"/>
      <c r="K8" s="1808"/>
      <c r="L8" s="295"/>
      <c r="M8" s="295"/>
      <c r="N8" s="295"/>
      <c r="O8" s="295"/>
    </row>
    <row r="9" spans="2:59" ht="24" customHeight="1" x14ac:dyDescent="0.3">
      <c r="B9" s="1796" t="s">
        <v>367</v>
      </c>
      <c r="C9" s="1796"/>
      <c r="D9" s="279"/>
      <c r="E9" s="280">
        <v>44004</v>
      </c>
      <c r="G9" s="1797" t="s">
        <v>368</v>
      </c>
      <c r="H9" s="1798"/>
      <c r="I9" s="1799">
        <f>TotalInterest</f>
        <v>4331.193123381081</v>
      </c>
      <c r="J9" s="1799"/>
      <c r="K9" s="1799"/>
      <c r="L9" s="295"/>
      <c r="M9" s="295"/>
      <c r="N9" s="295"/>
      <c r="O9" s="295"/>
    </row>
    <row r="10" spans="2:59" ht="12.6" customHeight="1" x14ac:dyDescent="0.3">
      <c r="C10" s="281"/>
      <c r="D10" s="281"/>
      <c r="E10" s="282"/>
      <c r="G10" s="283"/>
      <c r="H10" s="283"/>
      <c r="I10" s="1800"/>
      <c r="J10" s="1800"/>
      <c r="K10" s="1800"/>
      <c r="L10" s="297"/>
      <c r="M10" s="297"/>
      <c r="N10" s="297"/>
      <c r="O10" s="297"/>
    </row>
    <row r="11" spans="2:59" ht="20.85" customHeight="1" x14ac:dyDescent="0.3">
      <c r="B11" s="1801" t="s">
        <v>369</v>
      </c>
      <c r="C11" s="1801"/>
      <c r="D11" s="1801"/>
      <c r="E11" s="284"/>
      <c r="F11" s="285"/>
      <c r="G11" s="1802" t="s">
        <v>370</v>
      </c>
      <c r="H11" s="1802"/>
      <c r="I11" s="1803" t="s">
        <v>371</v>
      </c>
      <c r="J11" s="1803"/>
      <c r="K11" s="1803"/>
      <c r="L11" s="298"/>
      <c r="M11" s="298"/>
      <c r="N11" s="298"/>
      <c r="O11" s="298"/>
      <c r="R11"/>
      <c r="S11"/>
      <c r="U11"/>
      <c r="V11"/>
    </row>
    <row r="12" spans="2:59" ht="32.1" customHeight="1" x14ac:dyDescent="0.3">
      <c r="B12" s="286"/>
    </row>
    <row r="13" spans="2:59" s="287" customFormat="1" ht="48" customHeight="1" x14ac:dyDescent="0.3">
      <c r="B13" s="288" t="s">
        <v>372</v>
      </c>
      <c r="C13" s="288" t="s">
        <v>373</v>
      </c>
      <c r="D13" s="288" t="s">
        <v>374</v>
      </c>
      <c r="E13" s="288" t="s">
        <v>375</v>
      </c>
      <c r="F13" s="288" t="s">
        <v>376</v>
      </c>
      <c r="G13" s="288" t="s">
        <v>377</v>
      </c>
      <c r="H13" s="288" t="s">
        <v>378</v>
      </c>
      <c r="I13" s="288" t="s">
        <v>379</v>
      </c>
      <c r="J13" s="288" t="s">
        <v>380</v>
      </c>
      <c r="K13" s="288" t="s">
        <v>381</v>
      </c>
      <c r="L13" s="288" t="s">
        <v>382</v>
      </c>
      <c r="M13" s="288" t="s">
        <v>383</v>
      </c>
      <c r="N13" s="288"/>
      <c r="O13" s="288"/>
      <c r="R13"/>
      <c r="S13" s="301" t="s">
        <v>384</v>
      </c>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row>
    <row r="14" spans="2:59" ht="15.6" x14ac:dyDescent="0.3">
      <c r="B14" s="289">
        <f>IF(LoanIsGood,IF(ROW()-ROW(PaymentSchedule3[[#Headers],[Payment Number]])&gt;ScheduledNumberOfPayments,"",ROW()-ROW(PaymentSchedule3[[#Headers],[Payment Number]])),"")</f>
        <v>1</v>
      </c>
      <c r="C14" s="290">
        <f>IF(PaymentSchedule3[[#This Row],[Payment Number]]&lt;&gt;"",EOMONTH(LoanStartDate,ROW(PaymentSchedule3[[#This Row],[Payment Number]])-ROW(PaymentSchedule3[[#Headers],[Payment Number]])-2)+DAY(LoanStartDate),"")</f>
        <v>44004</v>
      </c>
      <c r="D14" s="291">
        <f>IF(PaymentSchedule3[[#This Row],[Payment Number]]&lt;&gt;"",IF(ROW()-ROW(PaymentSchedule3[[#Headers],[Beginning
Balance]])=1,LoanAmount,INDEX(PaymentSchedule3[Ending
Balance],ROW()-ROW(PaymentSchedule3[[#Headers],[Beginning
Balance]])-1)),"")</f>
        <v>64527.86</v>
      </c>
      <c r="E14" s="292">
        <f>IF(PaymentSchedule3[[#This Row],[Payment Number]]&lt;&gt;"",ScheduledPayment,"")</f>
        <v>1434.5636067371058</v>
      </c>
      <c r="F14"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14"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14" s="291">
        <f>IF(PaymentSchedule3[[#This Row],[Payment Number]]&lt;&gt;"",PaymentSchedule3[[#This Row],[Total
Payment]]-PaymentSchedule3[[#This Row],[Interest]],"")</f>
        <v>1261.4138490704393</v>
      </c>
      <c r="I14" s="293">
        <f>IF(PaymentSchedule3[[#This Row],[Payment Number]]&lt;&gt;"",PaymentSchedule3[[#This Row],[Beginning
Balance]]*(InterestRate/PaymentsPerYear),"")</f>
        <v>173.14975766666666</v>
      </c>
      <c r="J14" s="291">
        <f>IF(PaymentSchedule3[[#This Row],[Payment Number]]&lt;&gt;"",IF(PaymentSchedule3[[#This Row],[Scheduled Payment]]+PaymentSchedule3[[#This Row],[Extra
Payment]]&lt;=PaymentSchedule3[[#This Row],[Beginning
Balance]],PaymentSchedule3[[#This Row],[Beginning
Balance]]-PaymentSchedule3[[#This Row],[Principal]],0),"")</f>
        <v>63266.446150929558</v>
      </c>
      <c r="K14" s="293">
        <f>IF(PaymentSchedule3[[#This Row],[Payment Number]]&lt;&gt;"",SUM(INDEX(PaymentSchedule3[Interest],1,1):PaymentSchedule3[[#This Row],[Interest]]),"")</f>
        <v>173.14975766666666</v>
      </c>
      <c r="L14" s="299">
        <f>YEAR(PaymentSchedule3[[#This Row],[Payment
Date]])</f>
        <v>2020</v>
      </c>
      <c r="M14" s="299">
        <f>MONTH(PaymentSchedule3[[#This Row],[Payment
Date]])</f>
        <v>6</v>
      </c>
      <c r="N14" s="293"/>
      <c r="O14" s="293"/>
      <c r="R14"/>
      <c r="S14">
        <v>2021</v>
      </c>
      <c r="T14"/>
      <c r="U14"/>
      <c r="V14"/>
      <c r="W14"/>
      <c r="X14"/>
      <c r="Y14"/>
      <c r="Z14"/>
      <c r="AA14"/>
      <c r="AB14"/>
      <c r="AC14"/>
      <c r="AD14"/>
      <c r="AE14" t="s">
        <v>468</v>
      </c>
      <c r="AF14">
        <v>2022</v>
      </c>
      <c r="AG14"/>
      <c r="AH14"/>
      <c r="AI14"/>
      <c r="AJ14"/>
      <c r="AK14"/>
      <c r="AL14"/>
      <c r="AM14"/>
      <c r="AN14"/>
      <c r="AO14"/>
      <c r="AP14"/>
      <c r="AQ14"/>
      <c r="AR14" t="s">
        <v>469</v>
      </c>
      <c r="AS14"/>
      <c r="AT14"/>
      <c r="AU14"/>
      <c r="AV14"/>
      <c r="AW14"/>
      <c r="AX14"/>
      <c r="AY14"/>
      <c r="AZ14"/>
      <c r="BA14"/>
      <c r="BB14"/>
      <c r="BC14"/>
      <c r="BD14"/>
      <c r="BE14"/>
      <c r="BF14"/>
      <c r="BG14"/>
    </row>
    <row r="15" spans="2:59" ht="15.6" x14ac:dyDescent="0.3">
      <c r="B15" s="289">
        <f>IF(LoanIsGood,IF(ROW()-ROW(PaymentSchedule3[[#Headers],[Payment Number]])&gt;ScheduledNumberOfPayments,"",ROW()-ROW(PaymentSchedule3[[#Headers],[Payment Number]])),"")</f>
        <v>2</v>
      </c>
      <c r="C15" s="290">
        <f>IF(PaymentSchedule3[[#This Row],[Payment Number]]&lt;&gt;"",EOMONTH(LoanStartDate,ROW(PaymentSchedule3[[#This Row],[Payment Number]])-ROW(PaymentSchedule3[[#Headers],[Payment Number]])-2)+DAY(LoanStartDate),"")</f>
        <v>44034</v>
      </c>
      <c r="D15" s="291">
        <f>IF(PaymentSchedule3[[#This Row],[Payment Number]]&lt;&gt;"",IF(ROW()-ROW(PaymentSchedule3[[#Headers],[Beginning
Balance]])=1,LoanAmount,INDEX(PaymentSchedule3[Ending
Balance],ROW()-ROW(PaymentSchedule3[[#Headers],[Beginning
Balance]])-1)),"")</f>
        <v>63266.446150929558</v>
      </c>
      <c r="E15" s="292">
        <f>IF(PaymentSchedule3[[#This Row],[Payment Number]]&lt;&gt;"",ScheduledPayment,"")</f>
        <v>1434.5636067371058</v>
      </c>
      <c r="F15"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15"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15" s="291">
        <f>IF(PaymentSchedule3[[#This Row],[Payment Number]]&lt;&gt;"",PaymentSchedule3[[#This Row],[Total
Payment]]-PaymentSchedule3[[#This Row],[Interest]],"")</f>
        <v>1264.7986428987781</v>
      </c>
      <c r="I15" s="293">
        <f>IF(PaymentSchedule3[[#This Row],[Payment Number]]&lt;&gt;"",PaymentSchedule3[[#This Row],[Beginning
Balance]]*(InterestRate/PaymentsPerYear),"")</f>
        <v>169.76496383832765</v>
      </c>
      <c r="J15" s="291">
        <f>IF(PaymentSchedule3[[#This Row],[Payment Number]]&lt;&gt;"",IF(PaymentSchedule3[[#This Row],[Scheduled Payment]]+PaymentSchedule3[[#This Row],[Extra
Payment]]&lt;=PaymentSchedule3[[#This Row],[Beginning
Balance]],PaymentSchedule3[[#This Row],[Beginning
Balance]]-PaymentSchedule3[[#This Row],[Principal]],0),"")</f>
        <v>62001.647508030779</v>
      </c>
      <c r="K15" s="293">
        <f>IF(PaymentSchedule3[[#This Row],[Payment Number]]&lt;&gt;"",SUM(INDEX(PaymentSchedule3[Interest],1,1):PaymentSchedule3[[#This Row],[Interest]]),"")</f>
        <v>342.9147215049943</v>
      </c>
      <c r="L15" s="300">
        <f>YEAR(PaymentSchedule3[[#This Row],[Payment
Date]])</f>
        <v>2020</v>
      </c>
      <c r="M15" s="300">
        <f>MONTH(PaymentSchedule3[[#This Row],[Payment
Date]])</f>
        <v>7</v>
      </c>
      <c r="N15" s="293"/>
      <c r="O15" s="293"/>
      <c r="R15" s="301" t="s">
        <v>387</v>
      </c>
      <c r="S15">
        <v>1</v>
      </c>
      <c r="T15">
        <v>2</v>
      </c>
      <c r="U15">
        <v>3</v>
      </c>
      <c r="V15">
        <v>4</v>
      </c>
      <c r="W15">
        <v>5</v>
      </c>
      <c r="X15">
        <v>6</v>
      </c>
      <c r="Y15">
        <v>7</v>
      </c>
      <c r="Z15">
        <v>8</v>
      </c>
      <c r="AA15">
        <v>9</v>
      </c>
      <c r="AB15">
        <v>10</v>
      </c>
      <c r="AC15">
        <v>11</v>
      </c>
      <c r="AD15">
        <v>12</v>
      </c>
      <c r="AE15"/>
      <c r="AF15">
        <v>1</v>
      </c>
      <c r="AG15">
        <v>2</v>
      </c>
      <c r="AH15">
        <v>3</v>
      </c>
      <c r="AI15">
        <v>4</v>
      </c>
      <c r="AJ15">
        <v>5</v>
      </c>
      <c r="AK15">
        <v>6</v>
      </c>
      <c r="AL15">
        <v>7</v>
      </c>
      <c r="AM15">
        <v>8</v>
      </c>
      <c r="AN15">
        <v>9</v>
      </c>
      <c r="AO15">
        <v>10</v>
      </c>
      <c r="AP15">
        <v>11</v>
      </c>
      <c r="AQ15">
        <v>12</v>
      </c>
      <c r="AR15"/>
      <c r="AS15"/>
      <c r="AT15"/>
      <c r="AU15"/>
      <c r="AV15"/>
      <c r="AW15"/>
      <c r="AX15"/>
      <c r="AY15"/>
      <c r="AZ15"/>
      <c r="BA15"/>
      <c r="BB15"/>
      <c r="BC15"/>
      <c r="BD15"/>
      <c r="BE15"/>
      <c r="BF15"/>
      <c r="BG15"/>
    </row>
    <row r="16" spans="2:59" ht="15.6" x14ac:dyDescent="0.3">
      <c r="B16" s="289">
        <f>IF(LoanIsGood,IF(ROW()-ROW(PaymentSchedule3[[#Headers],[Payment Number]])&gt;ScheduledNumberOfPayments,"",ROW()-ROW(PaymentSchedule3[[#Headers],[Payment Number]])),"")</f>
        <v>3</v>
      </c>
      <c r="C16" s="290">
        <f>IF(PaymentSchedule3[[#This Row],[Payment Number]]&lt;&gt;"",EOMONTH(LoanStartDate,ROW(PaymentSchedule3[[#This Row],[Payment Number]])-ROW(PaymentSchedule3[[#Headers],[Payment Number]])-2)+DAY(LoanStartDate),"")</f>
        <v>44065</v>
      </c>
      <c r="D16" s="291">
        <f>IF(PaymentSchedule3[[#This Row],[Payment Number]]&lt;&gt;"",IF(ROW()-ROW(PaymentSchedule3[[#Headers],[Beginning
Balance]])=1,LoanAmount,INDEX(PaymentSchedule3[Ending
Balance],ROW()-ROW(PaymentSchedule3[[#Headers],[Beginning
Balance]])-1)),"")</f>
        <v>62001.647508030779</v>
      </c>
      <c r="E16" s="292">
        <f>IF(PaymentSchedule3[[#This Row],[Payment Number]]&lt;&gt;"",ScheduledPayment,"")</f>
        <v>1434.5636067371058</v>
      </c>
      <c r="F16"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16"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16" s="291">
        <f>IF(PaymentSchedule3[[#This Row],[Payment Number]]&lt;&gt;"",PaymentSchedule3[[#This Row],[Total
Payment]]-PaymentSchedule3[[#This Row],[Interest]],"")</f>
        <v>1268.1925192572232</v>
      </c>
      <c r="I16" s="293">
        <f>IF(PaymentSchedule3[[#This Row],[Payment Number]]&lt;&gt;"",PaymentSchedule3[[#This Row],[Beginning
Balance]]*(InterestRate/PaymentsPerYear),"")</f>
        <v>166.37108747988259</v>
      </c>
      <c r="J16" s="291">
        <f>IF(PaymentSchedule3[[#This Row],[Payment Number]]&lt;&gt;"",IF(PaymentSchedule3[[#This Row],[Scheduled Payment]]+PaymentSchedule3[[#This Row],[Extra
Payment]]&lt;=PaymentSchedule3[[#This Row],[Beginning
Balance]],PaymentSchedule3[[#This Row],[Beginning
Balance]]-PaymentSchedule3[[#This Row],[Principal]],0),"")</f>
        <v>60733.454988773556</v>
      </c>
      <c r="K16" s="293">
        <f>IF(PaymentSchedule3[[#This Row],[Payment Number]]&lt;&gt;"",SUM(INDEX(PaymentSchedule3[Interest],1,1):PaymentSchedule3[[#This Row],[Interest]]),"")</f>
        <v>509.28580898487689</v>
      </c>
      <c r="L16" s="300">
        <f>YEAR(PaymentSchedule3[[#This Row],[Payment
Date]])</f>
        <v>2020</v>
      </c>
      <c r="M16" s="300">
        <f>MONTH(PaymentSchedule3[[#This Row],[Payment
Date]])</f>
        <v>8</v>
      </c>
      <c r="N16" s="293"/>
      <c r="O16" s="293"/>
      <c r="R16" s="302" t="s">
        <v>385</v>
      </c>
      <c r="S16" s="303">
        <v>149.26461244253991</v>
      </c>
      <c r="T16" s="303">
        <v>145.8157268078495</v>
      </c>
      <c r="U16" s="303">
        <v>142.35758666337264</v>
      </c>
      <c r="V16" s="303">
        <v>138.8901671761748</v>
      </c>
      <c r="W16" s="303">
        <v>135.4134434466863</v>
      </c>
      <c r="X16" s="303">
        <v>131.92739050852367</v>
      </c>
      <c r="Y16" s="303">
        <v>128.43198332831031</v>
      </c>
      <c r="Z16" s="303">
        <v>124.92719680549672</v>
      </c>
      <c r="AA16" s="303">
        <v>121.41300577218023</v>
      </c>
      <c r="AB16" s="303">
        <v>117.88938499292435</v>
      </c>
      <c r="AC16" s="303">
        <v>114.35630916457747</v>
      </c>
      <c r="AD16" s="303">
        <v>110.81375291609118</v>
      </c>
      <c r="AE16" s="303">
        <v>1561.5005600247273</v>
      </c>
      <c r="AF16" s="303">
        <v>107.26169080833813</v>
      </c>
      <c r="AG16" s="303">
        <v>103.70009733392928</v>
      </c>
      <c r="AH16" s="303">
        <v>100.12894691703075</v>
      </c>
      <c r="AI16" s="303">
        <v>96.54821391318022</v>
      </c>
      <c r="AJ16" s="303">
        <v>92.957872609102694</v>
      </c>
      <c r="AK16" s="303">
        <v>89.357897222525892</v>
      </c>
      <c r="AL16" s="303">
        <v>85.748261901995107</v>
      </c>
      <c r="AM16" s="303">
        <v>82.12894072668756</v>
      </c>
      <c r="AN16" s="303">
        <v>78.499907706226267</v>
      </c>
      <c r="AO16" s="303">
        <v>74.86113678049341</v>
      </c>
      <c r="AP16" s="303">
        <v>71.212601819443165</v>
      </c>
      <c r="AQ16" s="303">
        <v>67.554276622914102</v>
      </c>
      <c r="AR16" s="303">
        <v>1049.9598443618665</v>
      </c>
      <c r="AS16"/>
      <c r="AT16"/>
      <c r="AU16"/>
      <c r="AV16"/>
      <c r="AW16"/>
      <c r="AX16"/>
      <c r="AY16"/>
      <c r="AZ16"/>
      <c r="BA16"/>
      <c r="BB16"/>
      <c r="BC16"/>
      <c r="BD16"/>
      <c r="BE16"/>
      <c r="BF16"/>
      <c r="BG16"/>
    </row>
    <row r="17" spans="2:44" ht="15.6" x14ac:dyDescent="0.3">
      <c r="B17" s="289">
        <f>IF(LoanIsGood,IF(ROW()-ROW(PaymentSchedule3[[#Headers],[Payment Number]])&gt;ScheduledNumberOfPayments,"",ROW()-ROW(PaymentSchedule3[[#Headers],[Payment Number]])),"")</f>
        <v>4</v>
      </c>
      <c r="C17" s="290">
        <f>IF(PaymentSchedule3[[#This Row],[Payment Number]]&lt;&gt;"",EOMONTH(LoanStartDate,ROW(PaymentSchedule3[[#This Row],[Payment Number]])-ROW(PaymentSchedule3[[#Headers],[Payment Number]])-2)+DAY(LoanStartDate),"")</f>
        <v>44096</v>
      </c>
      <c r="D17" s="291">
        <f>IF(PaymentSchedule3[[#This Row],[Payment Number]]&lt;&gt;"",IF(ROW()-ROW(PaymentSchedule3[[#Headers],[Beginning
Balance]])=1,LoanAmount,INDEX(PaymentSchedule3[Ending
Balance],ROW()-ROW(PaymentSchedule3[[#Headers],[Beginning
Balance]])-1)),"")</f>
        <v>60733.454988773556</v>
      </c>
      <c r="E17" s="292">
        <f>IF(PaymentSchedule3[[#This Row],[Payment Number]]&lt;&gt;"",ScheduledPayment,"")</f>
        <v>1434.5636067371058</v>
      </c>
      <c r="F17"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17"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17" s="291">
        <f>IF(PaymentSchedule3[[#This Row],[Payment Number]]&lt;&gt;"",PaymentSchedule3[[#This Row],[Total
Payment]]-PaymentSchedule3[[#This Row],[Interest]],"")</f>
        <v>1271.5955025172302</v>
      </c>
      <c r="I17" s="293">
        <f>IF(PaymentSchedule3[[#This Row],[Payment Number]]&lt;&gt;"",PaymentSchedule3[[#This Row],[Beginning
Balance]]*(InterestRate/PaymentsPerYear),"")</f>
        <v>162.9681042198757</v>
      </c>
      <c r="J17" s="291">
        <f>IF(PaymentSchedule3[[#This Row],[Payment Number]]&lt;&gt;"",IF(PaymentSchedule3[[#This Row],[Scheduled Payment]]+PaymentSchedule3[[#This Row],[Extra
Payment]]&lt;=PaymentSchedule3[[#This Row],[Beginning
Balance]],PaymentSchedule3[[#This Row],[Beginning
Balance]]-PaymentSchedule3[[#This Row],[Principal]],0),"")</f>
        <v>59461.859486256326</v>
      </c>
      <c r="K17" s="293">
        <f>IF(PaymentSchedule3[[#This Row],[Payment Number]]&lt;&gt;"",SUM(INDEX(PaymentSchedule3[Interest],1,1):PaymentSchedule3[[#This Row],[Interest]]),"")</f>
        <v>672.25391320475262</v>
      </c>
      <c r="L17" s="300">
        <f>YEAR(PaymentSchedule3[[#This Row],[Payment
Date]])</f>
        <v>2020</v>
      </c>
      <c r="M17" s="300">
        <f>MONTH(PaymentSchedule3[[#This Row],[Payment
Date]])</f>
        <v>9</v>
      </c>
      <c r="N17" s="293"/>
      <c r="O17" s="293"/>
      <c r="R17" s="302" t="s">
        <v>386</v>
      </c>
      <c r="S17" s="303">
        <v>1285.298994294566</v>
      </c>
      <c r="T17" s="303">
        <v>1288.7478799292562</v>
      </c>
      <c r="U17" s="303">
        <v>1292.2060200737333</v>
      </c>
      <c r="V17" s="303">
        <v>1295.673439560931</v>
      </c>
      <c r="W17" s="303">
        <v>1299.1501632904196</v>
      </c>
      <c r="X17" s="303">
        <v>1302.6362162285823</v>
      </c>
      <c r="Y17" s="303">
        <v>1306.1316234087956</v>
      </c>
      <c r="Z17" s="303">
        <v>1309.636409931609</v>
      </c>
      <c r="AA17" s="303">
        <v>1313.1506009649256</v>
      </c>
      <c r="AB17" s="303">
        <v>1316.6742217441815</v>
      </c>
      <c r="AC17" s="303">
        <v>1320.2072975725284</v>
      </c>
      <c r="AD17" s="303">
        <v>1323.7498538210148</v>
      </c>
      <c r="AE17" s="303">
        <v>15653.262720820543</v>
      </c>
      <c r="AF17" s="303">
        <v>1327.3019159287678</v>
      </c>
      <c r="AG17" s="303">
        <v>1330.8635094031765</v>
      </c>
      <c r="AH17" s="303">
        <v>1334.434659820075</v>
      </c>
      <c r="AI17" s="303">
        <v>1338.0153928239256</v>
      </c>
      <c r="AJ17" s="303">
        <v>1341.6057341280032</v>
      </c>
      <c r="AK17" s="303">
        <v>1345.2057095145799</v>
      </c>
      <c r="AL17" s="303">
        <v>1348.8153448351106</v>
      </c>
      <c r="AM17" s="303">
        <v>1352.4346660104184</v>
      </c>
      <c r="AN17" s="303">
        <v>1356.0636990308797</v>
      </c>
      <c r="AO17" s="303">
        <v>1359.7024699566125</v>
      </c>
      <c r="AP17" s="303">
        <v>1363.3510049176627</v>
      </c>
      <c r="AQ17" s="303">
        <v>1367.0093301141917</v>
      </c>
      <c r="AR17" s="303">
        <v>16164.803436483402</v>
      </c>
    </row>
    <row r="18" spans="2:44" ht="15.6" x14ac:dyDescent="0.3">
      <c r="B18" s="289">
        <f>IF(LoanIsGood,IF(ROW()-ROW(PaymentSchedule3[[#Headers],[Payment Number]])&gt;ScheduledNumberOfPayments,"",ROW()-ROW(PaymentSchedule3[[#Headers],[Payment Number]])),"")</f>
        <v>5</v>
      </c>
      <c r="C18" s="290">
        <f>IF(PaymentSchedule3[[#This Row],[Payment Number]]&lt;&gt;"",EOMONTH(LoanStartDate,ROW(PaymentSchedule3[[#This Row],[Payment Number]])-ROW(PaymentSchedule3[[#Headers],[Payment Number]])-2)+DAY(LoanStartDate),"")</f>
        <v>44126</v>
      </c>
      <c r="D18" s="291">
        <f>IF(PaymentSchedule3[[#This Row],[Payment Number]]&lt;&gt;"",IF(ROW()-ROW(PaymentSchedule3[[#Headers],[Beginning
Balance]])=1,LoanAmount,INDEX(PaymentSchedule3[Ending
Balance],ROW()-ROW(PaymentSchedule3[[#Headers],[Beginning
Balance]])-1)),"")</f>
        <v>59461.859486256326</v>
      </c>
      <c r="E18" s="292">
        <f>IF(PaymentSchedule3[[#This Row],[Payment Number]]&lt;&gt;"",ScheduledPayment,"")</f>
        <v>1434.5636067371058</v>
      </c>
      <c r="F18"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18"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18" s="291">
        <f>IF(PaymentSchedule3[[#This Row],[Payment Number]]&lt;&gt;"",PaymentSchedule3[[#This Row],[Total
Payment]]-PaymentSchedule3[[#This Row],[Interest]],"")</f>
        <v>1275.0076171156513</v>
      </c>
      <c r="I18" s="293">
        <f>IF(PaymentSchedule3[[#This Row],[Payment Number]]&lt;&gt;"",PaymentSchedule3[[#This Row],[Beginning
Balance]]*(InterestRate/PaymentsPerYear),"")</f>
        <v>159.55598962145447</v>
      </c>
      <c r="J18" s="291">
        <f>IF(PaymentSchedule3[[#This Row],[Payment Number]]&lt;&gt;"",IF(PaymentSchedule3[[#This Row],[Scheduled Payment]]+PaymentSchedule3[[#This Row],[Extra
Payment]]&lt;=PaymentSchedule3[[#This Row],[Beginning
Balance]],PaymentSchedule3[[#This Row],[Beginning
Balance]]-PaymentSchedule3[[#This Row],[Principal]],0),"")</f>
        <v>58186.851869140672</v>
      </c>
      <c r="K18" s="293">
        <f>IF(PaymentSchedule3[[#This Row],[Payment Number]]&lt;&gt;"",SUM(INDEX(PaymentSchedule3[Interest],1,1):PaymentSchedule3[[#This Row],[Interest]]),"")</f>
        <v>831.80990282620712</v>
      </c>
      <c r="L18" s="300">
        <f>YEAR(PaymentSchedule3[[#This Row],[Payment
Date]])</f>
        <v>2020</v>
      </c>
      <c r="M18" s="300">
        <f>MONTH(PaymentSchedule3[[#This Row],[Payment
Date]])</f>
        <v>10</v>
      </c>
      <c r="N18" s="293"/>
      <c r="O18" s="293"/>
      <c r="R18"/>
      <c r="S18"/>
      <c r="T18"/>
      <c r="U18"/>
      <c r="V18"/>
      <c r="W18"/>
      <c r="X18"/>
      <c r="Y18"/>
      <c r="Z18"/>
      <c r="AA18"/>
      <c r="AB18"/>
      <c r="AC18"/>
      <c r="AD18"/>
      <c r="AE18"/>
      <c r="AF18"/>
      <c r="AG18"/>
      <c r="AH18"/>
      <c r="AI18"/>
      <c r="AJ18"/>
      <c r="AK18"/>
      <c r="AL18"/>
      <c r="AM18"/>
      <c r="AN18"/>
      <c r="AO18"/>
      <c r="AP18"/>
      <c r="AQ18"/>
      <c r="AR18"/>
    </row>
    <row r="19" spans="2:44" ht="15.6" x14ac:dyDescent="0.3">
      <c r="B19" s="289">
        <f>IF(LoanIsGood,IF(ROW()-ROW(PaymentSchedule3[[#Headers],[Payment Number]])&gt;ScheduledNumberOfPayments,"",ROW()-ROW(PaymentSchedule3[[#Headers],[Payment Number]])),"")</f>
        <v>6</v>
      </c>
      <c r="C19" s="290">
        <f>IF(PaymentSchedule3[[#This Row],[Payment Number]]&lt;&gt;"",EOMONTH(LoanStartDate,ROW(PaymentSchedule3[[#This Row],[Payment Number]])-ROW(PaymentSchedule3[[#Headers],[Payment Number]])-2)+DAY(LoanStartDate),"")</f>
        <v>44157</v>
      </c>
      <c r="D19" s="291">
        <f>IF(PaymentSchedule3[[#This Row],[Payment Number]]&lt;&gt;"",IF(ROW()-ROW(PaymentSchedule3[[#Headers],[Beginning
Balance]])=1,LoanAmount,INDEX(PaymentSchedule3[Ending
Balance],ROW()-ROW(PaymentSchedule3[[#Headers],[Beginning
Balance]])-1)),"")</f>
        <v>58186.851869140672</v>
      </c>
      <c r="E19" s="292">
        <f>IF(PaymentSchedule3[[#This Row],[Payment Number]]&lt;&gt;"",ScheduledPayment,"")</f>
        <v>1434.5636067371058</v>
      </c>
      <c r="F19"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19"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19" s="291">
        <f>IF(PaymentSchedule3[[#This Row],[Payment Number]]&lt;&gt;"",PaymentSchedule3[[#This Row],[Total
Payment]]-PaymentSchedule3[[#This Row],[Interest]],"")</f>
        <v>1278.4288875549116</v>
      </c>
      <c r="I19" s="293">
        <f>IF(PaymentSchedule3[[#This Row],[Payment Number]]&lt;&gt;"",PaymentSchedule3[[#This Row],[Beginning
Balance]]*(InterestRate/PaymentsPerYear),"")</f>
        <v>156.13471918219412</v>
      </c>
      <c r="J19" s="291">
        <f>IF(PaymentSchedule3[[#This Row],[Payment Number]]&lt;&gt;"",IF(PaymentSchedule3[[#This Row],[Scheduled Payment]]+PaymentSchedule3[[#This Row],[Extra
Payment]]&lt;=PaymentSchedule3[[#This Row],[Beginning
Balance]],PaymentSchedule3[[#This Row],[Beginning
Balance]]-PaymentSchedule3[[#This Row],[Principal]],0),"")</f>
        <v>56908.422981585762</v>
      </c>
      <c r="K19" s="293">
        <f>IF(PaymentSchedule3[[#This Row],[Payment Number]]&lt;&gt;"",SUM(INDEX(PaymentSchedule3[Interest],1,1):PaymentSchedule3[[#This Row],[Interest]]),"")</f>
        <v>987.94462200840121</v>
      </c>
      <c r="L19" s="300">
        <f>YEAR(PaymentSchedule3[[#This Row],[Payment
Date]])</f>
        <v>2020</v>
      </c>
      <c r="M19" s="300">
        <f>MONTH(PaymentSchedule3[[#This Row],[Payment
Date]])</f>
        <v>11</v>
      </c>
      <c r="N19" s="293"/>
      <c r="O19" s="293"/>
      <c r="R19"/>
      <c r="S19"/>
      <c r="T19"/>
      <c r="U19"/>
      <c r="V19"/>
      <c r="W19"/>
      <c r="X19"/>
      <c r="Y19"/>
      <c r="Z19"/>
      <c r="AA19"/>
      <c r="AB19"/>
      <c r="AC19"/>
      <c r="AD19"/>
      <c r="AE19"/>
      <c r="AF19"/>
      <c r="AG19"/>
      <c r="AH19"/>
      <c r="AI19"/>
      <c r="AJ19"/>
      <c r="AK19"/>
      <c r="AL19"/>
      <c r="AM19"/>
      <c r="AN19"/>
      <c r="AO19"/>
      <c r="AP19"/>
      <c r="AQ19"/>
      <c r="AR19"/>
    </row>
    <row r="20" spans="2:44" ht="15.6" x14ac:dyDescent="0.3">
      <c r="B20" s="289">
        <f>IF(LoanIsGood,IF(ROW()-ROW(PaymentSchedule3[[#Headers],[Payment Number]])&gt;ScheduledNumberOfPayments,"",ROW()-ROW(PaymentSchedule3[[#Headers],[Payment Number]])),"")</f>
        <v>7</v>
      </c>
      <c r="C20" s="290">
        <f>IF(PaymentSchedule3[[#This Row],[Payment Number]]&lt;&gt;"",EOMONTH(LoanStartDate,ROW(PaymentSchedule3[[#This Row],[Payment Number]])-ROW(PaymentSchedule3[[#Headers],[Payment Number]])-2)+DAY(LoanStartDate),"")</f>
        <v>44187</v>
      </c>
      <c r="D20" s="291">
        <f>IF(PaymentSchedule3[[#This Row],[Payment Number]]&lt;&gt;"",IF(ROW()-ROW(PaymentSchedule3[[#Headers],[Beginning
Balance]])=1,LoanAmount,INDEX(PaymentSchedule3[Ending
Balance],ROW()-ROW(PaymentSchedule3[[#Headers],[Beginning
Balance]])-1)),"")</f>
        <v>56908.422981585762</v>
      </c>
      <c r="E20" s="292">
        <f>IF(PaymentSchedule3[[#This Row],[Payment Number]]&lt;&gt;"",ScheduledPayment,"")</f>
        <v>1434.5636067371058</v>
      </c>
      <c r="F20"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0"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0" s="291">
        <f>IF(PaymentSchedule3[[#This Row],[Payment Number]]&lt;&gt;"",PaymentSchedule3[[#This Row],[Total
Payment]]-PaymentSchedule3[[#This Row],[Interest]],"")</f>
        <v>1281.859338403184</v>
      </c>
      <c r="I20" s="293">
        <f>IF(PaymentSchedule3[[#This Row],[Payment Number]]&lt;&gt;"",PaymentSchedule3[[#This Row],[Beginning
Balance]]*(InterestRate/PaymentsPerYear),"")</f>
        <v>152.70426833392179</v>
      </c>
      <c r="J20" s="291">
        <f>IF(PaymentSchedule3[[#This Row],[Payment Number]]&lt;&gt;"",IF(PaymentSchedule3[[#This Row],[Scheduled Payment]]+PaymentSchedule3[[#This Row],[Extra
Payment]]&lt;=PaymentSchedule3[[#This Row],[Beginning
Balance]],PaymentSchedule3[[#This Row],[Beginning
Balance]]-PaymentSchedule3[[#This Row],[Principal]],0),"")</f>
        <v>55626.563643182577</v>
      </c>
      <c r="K20" s="293">
        <f>IF(PaymentSchedule3[[#This Row],[Payment Number]]&lt;&gt;"",SUM(INDEX(PaymentSchedule3[Interest],1,1):PaymentSchedule3[[#This Row],[Interest]]),"")</f>
        <v>1140.6488903423231</v>
      </c>
      <c r="L20" s="300">
        <f>YEAR(PaymentSchedule3[[#This Row],[Payment
Date]])</f>
        <v>2020</v>
      </c>
      <c r="M20" s="300">
        <f>MONTH(PaymentSchedule3[[#This Row],[Payment
Date]])</f>
        <v>12</v>
      </c>
      <c r="N20" s="293"/>
      <c r="O20" s="293"/>
      <c r="R20"/>
      <c r="S20"/>
      <c r="T20"/>
      <c r="U20"/>
      <c r="V20"/>
      <c r="W20"/>
      <c r="X20"/>
      <c r="Y20"/>
      <c r="Z20"/>
      <c r="AA20"/>
      <c r="AB20"/>
      <c r="AC20"/>
      <c r="AD20"/>
      <c r="AE20"/>
      <c r="AF20"/>
      <c r="AG20"/>
      <c r="AH20"/>
      <c r="AI20"/>
      <c r="AJ20"/>
      <c r="AK20"/>
      <c r="AL20"/>
      <c r="AM20"/>
      <c r="AN20"/>
      <c r="AO20"/>
      <c r="AP20"/>
      <c r="AQ20"/>
      <c r="AR20"/>
    </row>
    <row r="21" spans="2:44" ht="15.6" x14ac:dyDescent="0.3">
      <c r="B21" s="289">
        <f>IF(LoanIsGood,IF(ROW()-ROW(PaymentSchedule3[[#Headers],[Payment Number]])&gt;ScheduledNumberOfPayments,"",ROW()-ROW(PaymentSchedule3[[#Headers],[Payment Number]])),"")</f>
        <v>8</v>
      </c>
      <c r="C21" s="290">
        <f>IF(PaymentSchedule3[[#This Row],[Payment Number]]&lt;&gt;"",EOMONTH(LoanStartDate,ROW(PaymentSchedule3[[#This Row],[Payment Number]])-ROW(PaymentSchedule3[[#Headers],[Payment Number]])-2)+DAY(LoanStartDate),"")</f>
        <v>44218</v>
      </c>
      <c r="D21" s="291">
        <f>IF(PaymentSchedule3[[#This Row],[Payment Number]]&lt;&gt;"",IF(ROW()-ROW(PaymentSchedule3[[#Headers],[Beginning
Balance]])=1,LoanAmount,INDEX(PaymentSchedule3[Ending
Balance],ROW()-ROW(PaymentSchedule3[[#Headers],[Beginning
Balance]])-1)),"")</f>
        <v>55626.563643182577</v>
      </c>
      <c r="E21" s="292">
        <f>IF(PaymentSchedule3[[#This Row],[Payment Number]]&lt;&gt;"",ScheduledPayment,"")</f>
        <v>1434.5636067371058</v>
      </c>
      <c r="F21"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1"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1" s="291">
        <f>IF(PaymentSchedule3[[#This Row],[Payment Number]]&lt;&gt;"",PaymentSchedule3[[#This Row],[Total
Payment]]-PaymentSchedule3[[#This Row],[Interest]],"")</f>
        <v>1285.298994294566</v>
      </c>
      <c r="I21" s="293">
        <f>IF(PaymentSchedule3[[#This Row],[Payment Number]]&lt;&gt;"",PaymentSchedule3[[#This Row],[Beginning
Balance]]*(InterestRate/PaymentsPerYear),"")</f>
        <v>149.26461244253991</v>
      </c>
      <c r="J21" s="291">
        <f>IF(PaymentSchedule3[[#This Row],[Payment Number]]&lt;&gt;"",IF(PaymentSchedule3[[#This Row],[Scheduled Payment]]+PaymentSchedule3[[#This Row],[Extra
Payment]]&lt;=PaymentSchedule3[[#This Row],[Beginning
Balance]],PaymentSchedule3[[#This Row],[Beginning
Balance]]-PaymentSchedule3[[#This Row],[Principal]],0),"")</f>
        <v>54341.264648888013</v>
      </c>
      <c r="K21" s="293">
        <f>IF(PaymentSchedule3[[#This Row],[Payment Number]]&lt;&gt;"",SUM(INDEX(PaymentSchedule3[Interest],1,1):PaymentSchedule3[[#This Row],[Interest]]),"")</f>
        <v>1289.9135027848629</v>
      </c>
      <c r="L21" s="300">
        <f>YEAR(PaymentSchedule3[[#This Row],[Payment
Date]])</f>
        <v>2021</v>
      </c>
      <c r="M21" s="300">
        <f>MONTH(PaymentSchedule3[[#This Row],[Payment
Date]])</f>
        <v>1</v>
      </c>
      <c r="N21" s="293"/>
      <c r="O21" s="293"/>
      <c r="R21"/>
      <c r="S21"/>
      <c r="T21"/>
      <c r="U21"/>
      <c r="V21"/>
      <c r="W21"/>
      <c r="X21"/>
      <c r="Y21"/>
      <c r="Z21"/>
      <c r="AA21"/>
      <c r="AB21"/>
      <c r="AC21"/>
      <c r="AD21"/>
      <c r="AE21"/>
      <c r="AF21"/>
      <c r="AG21"/>
      <c r="AH21"/>
      <c r="AI21"/>
      <c r="AJ21"/>
      <c r="AK21"/>
      <c r="AL21"/>
      <c r="AM21"/>
      <c r="AN21"/>
      <c r="AO21"/>
      <c r="AP21"/>
      <c r="AQ21"/>
      <c r="AR21"/>
    </row>
    <row r="22" spans="2:44" ht="15.6" x14ac:dyDescent="0.3">
      <c r="B22" s="289">
        <f>IF(LoanIsGood,IF(ROW()-ROW(PaymentSchedule3[[#Headers],[Payment Number]])&gt;ScheduledNumberOfPayments,"",ROW()-ROW(PaymentSchedule3[[#Headers],[Payment Number]])),"")</f>
        <v>9</v>
      </c>
      <c r="C22" s="290">
        <f>IF(PaymentSchedule3[[#This Row],[Payment Number]]&lt;&gt;"",EOMONTH(LoanStartDate,ROW(PaymentSchedule3[[#This Row],[Payment Number]])-ROW(PaymentSchedule3[[#Headers],[Payment Number]])-2)+DAY(LoanStartDate),"")</f>
        <v>44249</v>
      </c>
      <c r="D22" s="291">
        <f>IF(PaymentSchedule3[[#This Row],[Payment Number]]&lt;&gt;"",IF(ROW()-ROW(PaymentSchedule3[[#Headers],[Beginning
Balance]])=1,LoanAmount,INDEX(PaymentSchedule3[Ending
Balance],ROW()-ROW(PaymentSchedule3[[#Headers],[Beginning
Balance]])-1)),"")</f>
        <v>54341.264648888013</v>
      </c>
      <c r="E22" s="292">
        <f>IF(PaymentSchedule3[[#This Row],[Payment Number]]&lt;&gt;"",ScheduledPayment,"")</f>
        <v>1434.5636067371058</v>
      </c>
      <c r="F22"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2"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2" s="291">
        <f>IF(PaymentSchedule3[[#This Row],[Payment Number]]&lt;&gt;"",PaymentSchedule3[[#This Row],[Total
Payment]]-PaymentSchedule3[[#This Row],[Interest]],"")</f>
        <v>1288.7478799292562</v>
      </c>
      <c r="I22" s="293">
        <f>IF(PaymentSchedule3[[#This Row],[Payment Number]]&lt;&gt;"",PaymentSchedule3[[#This Row],[Beginning
Balance]]*(InterestRate/PaymentsPerYear),"")</f>
        <v>145.8157268078495</v>
      </c>
      <c r="J22" s="291">
        <f>IF(PaymentSchedule3[[#This Row],[Payment Number]]&lt;&gt;"",IF(PaymentSchedule3[[#This Row],[Scheduled Payment]]+PaymentSchedule3[[#This Row],[Extra
Payment]]&lt;=PaymentSchedule3[[#This Row],[Beginning
Balance]],PaymentSchedule3[[#This Row],[Beginning
Balance]]-PaymentSchedule3[[#This Row],[Principal]],0),"")</f>
        <v>53052.516768958754</v>
      </c>
      <c r="K22" s="293">
        <f>IF(PaymentSchedule3[[#This Row],[Payment Number]]&lt;&gt;"",SUM(INDEX(PaymentSchedule3[Interest],1,1):PaymentSchedule3[[#This Row],[Interest]]),"")</f>
        <v>1435.7292295927123</v>
      </c>
      <c r="L22" s="300">
        <f>YEAR(PaymentSchedule3[[#This Row],[Payment
Date]])</f>
        <v>2021</v>
      </c>
      <c r="M22" s="300">
        <f>MONTH(PaymentSchedule3[[#This Row],[Payment
Date]])</f>
        <v>2</v>
      </c>
      <c r="N22" s="293"/>
      <c r="O22" s="293"/>
      <c r="R22"/>
      <c r="S22"/>
      <c r="T22"/>
      <c r="U22"/>
      <c r="V22"/>
      <c r="W22"/>
      <c r="X22"/>
      <c r="Y22"/>
      <c r="Z22"/>
      <c r="AA22"/>
      <c r="AB22"/>
      <c r="AC22"/>
      <c r="AD22"/>
      <c r="AE22"/>
      <c r="AF22"/>
      <c r="AG22"/>
      <c r="AH22"/>
      <c r="AI22"/>
      <c r="AJ22"/>
      <c r="AK22"/>
      <c r="AL22"/>
      <c r="AM22"/>
      <c r="AN22"/>
      <c r="AO22"/>
      <c r="AP22"/>
      <c r="AQ22"/>
      <c r="AR22"/>
    </row>
    <row r="23" spans="2:44" ht="15.6" x14ac:dyDescent="0.3">
      <c r="B23" s="289">
        <f>IF(LoanIsGood,IF(ROW()-ROW(PaymentSchedule3[[#Headers],[Payment Number]])&gt;ScheduledNumberOfPayments,"",ROW()-ROW(PaymentSchedule3[[#Headers],[Payment Number]])),"")</f>
        <v>10</v>
      </c>
      <c r="C23" s="290">
        <f>IF(PaymentSchedule3[[#This Row],[Payment Number]]&lt;&gt;"",EOMONTH(LoanStartDate,ROW(PaymentSchedule3[[#This Row],[Payment Number]])-ROW(PaymentSchedule3[[#Headers],[Payment Number]])-2)+DAY(LoanStartDate),"")</f>
        <v>44277</v>
      </c>
      <c r="D23" s="291">
        <f>IF(PaymentSchedule3[[#This Row],[Payment Number]]&lt;&gt;"",IF(ROW()-ROW(PaymentSchedule3[[#Headers],[Beginning
Balance]])=1,LoanAmount,INDEX(PaymentSchedule3[Ending
Balance],ROW()-ROW(PaymentSchedule3[[#Headers],[Beginning
Balance]])-1)),"")</f>
        <v>53052.516768958754</v>
      </c>
      <c r="E23" s="292">
        <f>IF(PaymentSchedule3[[#This Row],[Payment Number]]&lt;&gt;"",ScheduledPayment,"")</f>
        <v>1434.5636067371058</v>
      </c>
      <c r="F23"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3"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3" s="291">
        <f>IF(PaymentSchedule3[[#This Row],[Payment Number]]&lt;&gt;"",PaymentSchedule3[[#This Row],[Total
Payment]]-PaymentSchedule3[[#This Row],[Interest]],"")</f>
        <v>1292.2060200737333</v>
      </c>
      <c r="I23" s="293">
        <f>IF(PaymentSchedule3[[#This Row],[Payment Number]]&lt;&gt;"",PaymentSchedule3[[#This Row],[Beginning
Balance]]*(InterestRate/PaymentsPerYear),"")</f>
        <v>142.35758666337264</v>
      </c>
      <c r="J23" s="291">
        <f>IF(PaymentSchedule3[[#This Row],[Payment Number]]&lt;&gt;"",IF(PaymentSchedule3[[#This Row],[Scheduled Payment]]+PaymentSchedule3[[#This Row],[Extra
Payment]]&lt;=PaymentSchedule3[[#This Row],[Beginning
Balance]],PaymentSchedule3[[#This Row],[Beginning
Balance]]-PaymentSchedule3[[#This Row],[Principal]],0),"")</f>
        <v>51760.310748885022</v>
      </c>
      <c r="K23" s="293">
        <f>IF(PaymentSchedule3[[#This Row],[Payment Number]]&lt;&gt;"",SUM(INDEX(PaymentSchedule3[Interest],1,1):PaymentSchedule3[[#This Row],[Interest]]),"")</f>
        <v>1578.0868162560848</v>
      </c>
      <c r="L23" s="300">
        <f>YEAR(PaymentSchedule3[[#This Row],[Payment
Date]])</f>
        <v>2021</v>
      </c>
      <c r="M23" s="300">
        <f>MONTH(PaymentSchedule3[[#This Row],[Payment
Date]])</f>
        <v>3</v>
      </c>
      <c r="N23" s="293"/>
      <c r="O23" s="293"/>
      <c r="R23"/>
      <c r="S23"/>
      <c r="T23"/>
      <c r="U23"/>
      <c r="V23"/>
      <c r="W23"/>
      <c r="X23"/>
      <c r="Y23"/>
      <c r="Z23"/>
      <c r="AA23"/>
      <c r="AB23"/>
      <c r="AC23"/>
      <c r="AD23"/>
      <c r="AE23"/>
      <c r="AF23"/>
      <c r="AG23"/>
      <c r="AH23"/>
      <c r="AI23"/>
      <c r="AJ23"/>
      <c r="AK23"/>
      <c r="AL23"/>
      <c r="AM23"/>
      <c r="AN23"/>
      <c r="AO23"/>
      <c r="AP23"/>
      <c r="AQ23"/>
      <c r="AR23"/>
    </row>
    <row r="24" spans="2:44" ht="15.6" x14ac:dyDescent="0.3">
      <c r="B24" s="289">
        <f>IF(LoanIsGood,IF(ROW()-ROW(PaymentSchedule3[[#Headers],[Payment Number]])&gt;ScheduledNumberOfPayments,"",ROW()-ROW(PaymentSchedule3[[#Headers],[Payment Number]])),"")</f>
        <v>11</v>
      </c>
      <c r="C24" s="290">
        <f>IF(PaymentSchedule3[[#This Row],[Payment Number]]&lt;&gt;"",EOMONTH(LoanStartDate,ROW(PaymentSchedule3[[#This Row],[Payment Number]])-ROW(PaymentSchedule3[[#Headers],[Payment Number]])-2)+DAY(LoanStartDate),"")</f>
        <v>44308</v>
      </c>
      <c r="D24" s="291">
        <f>IF(PaymentSchedule3[[#This Row],[Payment Number]]&lt;&gt;"",IF(ROW()-ROW(PaymentSchedule3[[#Headers],[Beginning
Balance]])=1,LoanAmount,INDEX(PaymentSchedule3[Ending
Balance],ROW()-ROW(PaymentSchedule3[[#Headers],[Beginning
Balance]])-1)),"")</f>
        <v>51760.310748885022</v>
      </c>
      <c r="E24" s="292">
        <f>IF(PaymentSchedule3[[#This Row],[Payment Number]]&lt;&gt;"",ScheduledPayment,"")</f>
        <v>1434.5636067371058</v>
      </c>
      <c r="F24"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4"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4" s="291">
        <f>IF(PaymentSchedule3[[#This Row],[Payment Number]]&lt;&gt;"",PaymentSchedule3[[#This Row],[Total
Payment]]-PaymentSchedule3[[#This Row],[Interest]],"")</f>
        <v>1295.673439560931</v>
      </c>
      <c r="I24" s="293">
        <f>IF(PaymentSchedule3[[#This Row],[Payment Number]]&lt;&gt;"",PaymentSchedule3[[#This Row],[Beginning
Balance]]*(InterestRate/PaymentsPerYear),"")</f>
        <v>138.8901671761748</v>
      </c>
      <c r="J24" s="291">
        <f>IF(PaymentSchedule3[[#This Row],[Payment Number]]&lt;&gt;"",IF(PaymentSchedule3[[#This Row],[Scheduled Payment]]+PaymentSchedule3[[#This Row],[Extra
Payment]]&lt;=PaymentSchedule3[[#This Row],[Beginning
Balance]],PaymentSchedule3[[#This Row],[Beginning
Balance]]-PaymentSchedule3[[#This Row],[Principal]],0),"")</f>
        <v>50464.637309324091</v>
      </c>
      <c r="K24" s="293">
        <f>IF(PaymentSchedule3[[#This Row],[Payment Number]]&lt;&gt;"",SUM(INDEX(PaymentSchedule3[Interest],1,1):PaymentSchedule3[[#This Row],[Interest]]),"")</f>
        <v>1716.9769834322597</v>
      </c>
      <c r="L24" s="300">
        <f>YEAR(PaymentSchedule3[[#This Row],[Payment
Date]])</f>
        <v>2021</v>
      </c>
      <c r="M24" s="300">
        <f>MONTH(PaymentSchedule3[[#This Row],[Payment
Date]])</f>
        <v>4</v>
      </c>
      <c r="N24" s="293"/>
      <c r="O24" s="293"/>
      <c r="R24"/>
      <c r="S24"/>
      <c r="T24"/>
      <c r="U24"/>
      <c r="V24"/>
      <c r="W24"/>
      <c r="X24"/>
      <c r="Y24"/>
      <c r="Z24"/>
      <c r="AA24"/>
      <c r="AB24"/>
      <c r="AC24"/>
      <c r="AD24"/>
      <c r="AE24"/>
      <c r="AF24"/>
      <c r="AG24"/>
      <c r="AH24"/>
      <c r="AI24"/>
      <c r="AJ24"/>
      <c r="AK24"/>
      <c r="AL24"/>
      <c r="AM24"/>
      <c r="AN24"/>
      <c r="AO24"/>
      <c r="AP24"/>
      <c r="AQ24"/>
      <c r="AR24"/>
    </row>
    <row r="25" spans="2:44" ht="15.6" x14ac:dyDescent="0.3">
      <c r="B25" s="289">
        <f>IF(LoanIsGood,IF(ROW()-ROW(PaymentSchedule3[[#Headers],[Payment Number]])&gt;ScheduledNumberOfPayments,"",ROW()-ROW(PaymentSchedule3[[#Headers],[Payment Number]])),"")</f>
        <v>12</v>
      </c>
      <c r="C25" s="290">
        <f>IF(PaymentSchedule3[[#This Row],[Payment Number]]&lt;&gt;"",EOMONTH(LoanStartDate,ROW(PaymentSchedule3[[#This Row],[Payment Number]])-ROW(PaymentSchedule3[[#Headers],[Payment Number]])-2)+DAY(LoanStartDate),"")</f>
        <v>44338</v>
      </c>
      <c r="D25" s="291">
        <f>IF(PaymentSchedule3[[#This Row],[Payment Number]]&lt;&gt;"",IF(ROW()-ROW(PaymentSchedule3[[#Headers],[Beginning
Balance]])=1,LoanAmount,INDEX(PaymentSchedule3[Ending
Balance],ROW()-ROW(PaymentSchedule3[[#Headers],[Beginning
Balance]])-1)),"")</f>
        <v>50464.637309324091</v>
      </c>
      <c r="E25" s="292">
        <f>IF(PaymentSchedule3[[#This Row],[Payment Number]]&lt;&gt;"",ScheduledPayment,"")</f>
        <v>1434.5636067371058</v>
      </c>
      <c r="F25"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5"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5" s="291">
        <f>IF(PaymentSchedule3[[#This Row],[Payment Number]]&lt;&gt;"",PaymentSchedule3[[#This Row],[Total
Payment]]-PaymentSchedule3[[#This Row],[Interest]],"")</f>
        <v>1299.1501632904196</v>
      </c>
      <c r="I25" s="293">
        <f>IF(PaymentSchedule3[[#This Row],[Payment Number]]&lt;&gt;"",PaymentSchedule3[[#This Row],[Beginning
Balance]]*(InterestRate/PaymentsPerYear),"")</f>
        <v>135.4134434466863</v>
      </c>
      <c r="J25" s="291">
        <f>IF(PaymentSchedule3[[#This Row],[Payment Number]]&lt;&gt;"",IF(PaymentSchedule3[[#This Row],[Scheduled Payment]]+PaymentSchedule3[[#This Row],[Extra
Payment]]&lt;=PaymentSchedule3[[#This Row],[Beginning
Balance]],PaymentSchedule3[[#This Row],[Beginning
Balance]]-PaymentSchedule3[[#This Row],[Principal]],0),"")</f>
        <v>49165.487146033673</v>
      </c>
      <c r="K25" s="293">
        <f>IF(PaymentSchedule3[[#This Row],[Payment Number]]&lt;&gt;"",SUM(INDEX(PaymentSchedule3[Interest],1,1):PaymentSchedule3[[#This Row],[Interest]]),"")</f>
        <v>1852.3904268789461</v>
      </c>
      <c r="L25" s="300">
        <f>YEAR(PaymentSchedule3[[#This Row],[Payment
Date]])</f>
        <v>2021</v>
      </c>
      <c r="M25" s="300">
        <f>MONTH(PaymentSchedule3[[#This Row],[Payment
Date]])</f>
        <v>5</v>
      </c>
      <c r="N25" s="293"/>
      <c r="O25" s="293"/>
      <c r="R25"/>
      <c r="S25"/>
      <c r="T25"/>
      <c r="U25"/>
      <c r="V25"/>
      <c r="W25"/>
      <c r="X25"/>
      <c r="Y25"/>
      <c r="Z25"/>
      <c r="AA25"/>
      <c r="AB25"/>
      <c r="AC25"/>
      <c r="AD25"/>
      <c r="AE25"/>
      <c r="AF25"/>
      <c r="AG25"/>
      <c r="AH25"/>
      <c r="AI25"/>
      <c r="AJ25"/>
      <c r="AK25"/>
      <c r="AL25"/>
      <c r="AM25"/>
      <c r="AN25"/>
      <c r="AO25"/>
      <c r="AP25"/>
      <c r="AQ25"/>
      <c r="AR25"/>
    </row>
    <row r="26" spans="2:44" ht="15.6" x14ac:dyDescent="0.3">
      <c r="B26" s="289">
        <f>IF(LoanIsGood,IF(ROW()-ROW(PaymentSchedule3[[#Headers],[Payment Number]])&gt;ScheduledNumberOfPayments,"",ROW()-ROW(PaymentSchedule3[[#Headers],[Payment Number]])),"")</f>
        <v>13</v>
      </c>
      <c r="C26" s="290">
        <f>IF(PaymentSchedule3[[#This Row],[Payment Number]]&lt;&gt;"",EOMONTH(LoanStartDate,ROW(PaymentSchedule3[[#This Row],[Payment Number]])-ROW(PaymentSchedule3[[#Headers],[Payment Number]])-2)+DAY(LoanStartDate),"")</f>
        <v>44369</v>
      </c>
      <c r="D26" s="291">
        <f>IF(PaymentSchedule3[[#This Row],[Payment Number]]&lt;&gt;"",IF(ROW()-ROW(PaymentSchedule3[[#Headers],[Beginning
Balance]])=1,LoanAmount,INDEX(PaymentSchedule3[Ending
Balance],ROW()-ROW(PaymentSchedule3[[#Headers],[Beginning
Balance]])-1)),"")</f>
        <v>49165.487146033673</v>
      </c>
      <c r="E26" s="292">
        <f>IF(PaymentSchedule3[[#This Row],[Payment Number]]&lt;&gt;"",ScheduledPayment,"")</f>
        <v>1434.5636067371058</v>
      </c>
      <c r="F26"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6"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6" s="291">
        <f>IF(PaymentSchedule3[[#This Row],[Payment Number]]&lt;&gt;"",PaymentSchedule3[[#This Row],[Total
Payment]]-PaymentSchedule3[[#This Row],[Interest]],"")</f>
        <v>1302.6362162285823</v>
      </c>
      <c r="I26" s="293">
        <f>IF(PaymentSchedule3[[#This Row],[Payment Number]]&lt;&gt;"",PaymentSchedule3[[#This Row],[Beginning
Balance]]*(InterestRate/PaymentsPerYear),"")</f>
        <v>131.92739050852367</v>
      </c>
      <c r="J26" s="291">
        <f>IF(PaymentSchedule3[[#This Row],[Payment Number]]&lt;&gt;"",IF(PaymentSchedule3[[#This Row],[Scheduled Payment]]+PaymentSchedule3[[#This Row],[Extra
Payment]]&lt;=PaymentSchedule3[[#This Row],[Beginning
Balance]],PaymentSchedule3[[#This Row],[Beginning
Balance]]-PaymentSchedule3[[#This Row],[Principal]],0),"")</f>
        <v>47862.850929805092</v>
      </c>
      <c r="K26" s="293">
        <f>IF(PaymentSchedule3[[#This Row],[Payment Number]]&lt;&gt;"",SUM(INDEX(PaymentSchedule3[Interest],1,1):PaymentSchedule3[[#This Row],[Interest]]),"")</f>
        <v>1984.3178173874699</v>
      </c>
      <c r="L26" s="300">
        <f>YEAR(PaymentSchedule3[[#This Row],[Payment
Date]])</f>
        <v>2021</v>
      </c>
      <c r="M26" s="300">
        <f>MONTH(PaymentSchedule3[[#This Row],[Payment
Date]])</f>
        <v>6</v>
      </c>
      <c r="N26" s="293"/>
      <c r="O26" s="293"/>
      <c r="R26"/>
      <c r="S26"/>
      <c r="T26"/>
      <c r="U26"/>
      <c r="V26"/>
      <c r="W26"/>
      <c r="X26"/>
      <c r="Y26"/>
      <c r="Z26"/>
      <c r="AA26"/>
      <c r="AB26"/>
      <c r="AC26"/>
      <c r="AD26"/>
      <c r="AE26"/>
      <c r="AF26"/>
      <c r="AG26"/>
      <c r="AH26"/>
      <c r="AI26"/>
      <c r="AJ26"/>
      <c r="AK26"/>
      <c r="AL26"/>
      <c r="AM26"/>
      <c r="AN26"/>
      <c r="AO26"/>
      <c r="AP26"/>
      <c r="AQ26"/>
      <c r="AR26"/>
    </row>
    <row r="27" spans="2:44" ht="15.6" x14ac:dyDescent="0.3">
      <c r="B27" s="289">
        <f>IF(LoanIsGood,IF(ROW()-ROW(PaymentSchedule3[[#Headers],[Payment Number]])&gt;ScheduledNumberOfPayments,"",ROW()-ROW(PaymentSchedule3[[#Headers],[Payment Number]])),"")</f>
        <v>14</v>
      </c>
      <c r="C27" s="290">
        <f>IF(PaymentSchedule3[[#This Row],[Payment Number]]&lt;&gt;"",EOMONTH(LoanStartDate,ROW(PaymentSchedule3[[#This Row],[Payment Number]])-ROW(PaymentSchedule3[[#Headers],[Payment Number]])-2)+DAY(LoanStartDate),"")</f>
        <v>44399</v>
      </c>
      <c r="D27" s="291">
        <f>IF(PaymentSchedule3[[#This Row],[Payment Number]]&lt;&gt;"",IF(ROW()-ROW(PaymentSchedule3[[#Headers],[Beginning
Balance]])=1,LoanAmount,INDEX(PaymentSchedule3[Ending
Balance],ROW()-ROW(PaymentSchedule3[[#Headers],[Beginning
Balance]])-1)),"")</f>
        <v>47862.850929805092</v>
      </c>
      <c r="E27" s="292">
        <f>IF(PaymentSchedule3[[#This Row],[Payment Number]]&lt;&gt;"",ScheduledPayment,"")</f>
        <v>1434.5636067371058</v>
      </c>
      <c r="F27"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7"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7" s="291">
        <f>IF(PaymentSchedule3[[#This Row],[Payment Number]]&lt;&gt;"",PaymentSchedule3[[#This Row],[Total
Payment]]-PaymentSchedule3[[#This Row],[Interest]],"")</f>
        <v>1306.1316234087956</v>
      </c>
      <c r="I27" s="293">
        <f>IF(PaymentSchedule3[[#This Row],[Payment Number]]&lt;&gt;"",PaymentSchedule3[[#This Row],[Beginning
Balance]]*(InterestRate/PaymentsPerYear),"")</f>
        <v>128.43198332831031</v>
      </c>
      <c r="J27" s="291">
        <f>IF(PaymentSchedule3[[#This Row],[Payment Number]]&lt;&gt;"",IF(PaymentSchedule3[[#This Row],[Scheduled Payment]]+PaymentSchedule3[[#This Row],[Extra
Payment]]&lt;=PaymentSchedule3[[#This Row],[Beginning
Balance]],PaymentSchedule3[[#This Row],[Beginning
Balance]]-PaymentSchedule3[[#This Row],[Principal]],0),"")</f>
        <v>46556.719306396299</v>
      </c>
      <c r="K27" s="293">
        <f>IF(PaymentSchedule3[[#This Row],[Payment Number]]&lt;&gt;"",SUM(INDEX(PaymentSchedule3[Interest],1,1):PaymentSchedule3[[#This Row],[Interest]]),"")</f>
        <v>2112.7498007157801</v>
      </c>
      <c r="L27" s="300">
        <f>YEAR(PaymentSchedule3[[#This Row],[Payment
Date]])</f>
        <v>2021</v>
      </c>
      <c r="M27" s="300">
        <f>MONTH(PaymentSchedule3[[#This Row],[Payment
Date]])</f>
        <v>7</v>
      </c>
      <c r="N27" s="293"/>
      <c r="O27" s="293"/>
      <c r="R27"/>
      <c r="S27"/>
      <c r="T27"/>
      <c r="U27"/>
      <c r="V27"/>
      <c r="W27"/>
      <c r="X27"/>
      <c r="Y27"/>
      <c r="Z27"/>
      <c r="AA27"/>
      <c r="AB27"/>
      <c r="AC27"/>
      <c r="AD27"/>
      <c r="AE27"/>
      <c r="AF27"/>
      <c r="AG27"/>
      <c r="AH27"/>
      <c r="AI27"/>
      <c r="AJ27"/>
      <c r="AK27"/>
      <c r="AL27"/>
      <c r="AM27"/>
      <c r="AN27"/>
      <c r="AO27"/>
      <c r="AP27"/>
      <c r="AQ27"/>
      <c r="AR27"/>
    </row>
    <row r="28" spans="2:44" ht="15.6" x14ac:dyDescent="0.3">
      <c r="B28" s="289">
        <f>IF(LoanIsGood,IF(ROW()-ROW(PaymentSchedule3[[#Headers],[Payment Number]])&gt;ScheduledNumberOfPayments,"",ROW()-ROW(PaymentSchedule3[[#Headers],[Payment Number]])),"")</f>
        <v>15</v>
      </c>
      <c r="C28" s="290">
        <f>IF(PaymentSchedule3[[#This Row],[Payment Number]]&lt;&gt;"",EOMONTH(LoanStartDate,ROW(PaymentSchedule3[[#This Row],[Payment Number]])-ROW(PaymentSchedule3[[#Headers],[Payment Number]])-2)+DAY(LoanStartDate),"")</f>
        <v>44430</v>
      </c>
      <c r="D28" s="291">
        <f>IF(PaymentSchedule3[[#This Row],[Payment Number]]&lt;&gt;"",IF(ROW()-ROW(PaymentSchedule3[[#Headers],[Beginning
Balance]])=1,LoanAmount,INDEX(PaymentSchedule3[Ending
Balance],ROW()-ROW(PaymentSchedule3[[#Headers],[Beginning
Balance]])-1)),"")</f>
        <v>46556.719306396299</v>
      </c>
      <c r="E28" s="292">
        <f>IF(PaymentSchedule3[[#This Row],[Payment Number]]&lt;&gt;"",ScheduledPayment,"")</f>
        <v>1434.5636067371058</v>
      </c>
      <c r="F28"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8"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8" s="291">
        <f>IF(PaymentSchedule3[[#This Row],[Payment Number]]&lt;&gt;"",PaymentSchedule3[[#This Row],[Total
Payment]]-PaymentSchedule3[[#This Row],[Interest]],"")</f>
        <v>1309.636409931609</v>
      </c>
      <c r="I28" s="293">
        <f>IF(PaymentSchedule3[[#This Row],[Payment Number]]&lt;&gt;"",PaymentSchedule3[[#This Row],[Beginning
Balance]]*(InterestRate/PaymentsPerYear),"")</f>
        <v>124.92719680549672</v>
      </c>
      <c r="J28" s="291">
        <f>IF(PaymentSchedule3[[#This Row],[Payment Number]]&lt;&gt;"",IF(PaymentSchedule3[[#This Row],[Scheduled Payment]]+PaymentSchedule3[[#This Row],[Extra
Payment]]&lt;=PaymentSchedule3[[#This Row],[Beginning
Balance]],PaymentSchedule3[[#This Row],[Beginning
Balance]]-PaymentSchedule3[[#This Row],[Principal]],0),"")</f>
        <v>45247.082896464686</v>
      </c>
      <c r="K28" s="293">
        <f>IF(PaymentSchedule3[[#This Row],[Payment Number]]&lt;&gt;"",SUM(INDEX(PaymentSchedule3[Interest],1,1):PaymentSchedule3[[#This Row],[Interest]]),"")</f>
        <v>2237.6769975212769</v>
      </c>
      <c r="L28" s="300">
        <f>YEAR(PaymentSchedule3[[#This Row],[Payment
Date]])</f>
        <v>2021</v>
      </c>
      <c r="M28" s="300">
        <f>MONTH(PaymentSchedule3[[#This Row],[Payment
Date]])</f>
        <v>8</v>
      </c>
      <c r="N28" s="293"/>
      <c r="O28" s="293"/>
      <c r="R28"/>
      <c r="S28"/>
      <c r="T28"/>
      <c r="U28"/>
      <c r="V28"/>
      <c r="W28"/>
      <c r="X28"/>
      <c r="Y28"/>
      <c r="Z28"/>
      <c r="AA28"/>
      <c r="AB28"/>
      <c r="AC28"/>
      <c r="AD28"/>
      <c r="AE28"/>
      <c r="AF28"/>
      <c r="AG28"/>
      <c r="AH28"/>
      <c r="AI28"/>
      <c r="AJ28"/>
      <c r="AK28"/>
      <c r="AL28"/>
      <c r="AM28"/>
      <c r="AN28"/>
      <c r="AO28"/>
      <c r="AP28"/>
      <c r="AQ28"/>
      <c r="AR28"/>
    </row>
    <row r="29" spans="2:44" ht="15.6" x14ac:dyDescent="0.3">
      <c r="B29" s="289">
        <f>IF(LoanIsGood,IF(ROW()-ROW(PaymentSchedule3[[#Headers],[Payment Number]])&gt;ScheduledNumberOfPayments,"",ROW()-ROW(PaymentSchedule3[[#Headers],[Payment Number]])),"")</f>
        <v>16</v>
      </c>
      <c r="C29" s="290">
        <f>IF(PaymentSchedule3[[#This Row],[Payment Number]]&lt;&gt;"",EOMONTH(LoanStartDate,ROW(PaymentSchedule3[[#This Row],[Payment Number]])-ROW(PaymentSchedule3[[#Headers],[Payment Number]])-2)+DAY(LoanStartDate),"")</f>
        <v>44461</v>
      </c>
      <c r="D29" s="291">
        <f>IF(PaymentSchedule3[[#This Row],[Payment Number]]&lt;&gt;"",IF(ROW()-ROW(PaymentSchedule3[[#Headers],[Beginning
Balance]])=1,LoanAmount,INDEX(PaymentSchedule3[Ending
Balance],ROW()-ROW(PaymentSchedule3[[#Headers],[Beginning
Balance]])-1)),"")</f>
        <v>45247.082896464686</v>
      </c>
      <c r="E29" s="292">
        <f>IF(PaymentSchedule3[[#This Row],[Payment Number]]&lt;&gt;"",ScheduledPayment,"")</f>
        <v>1434.5636067371058</v>
      </c>
      <c r="F29"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29"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29" s="291">
        <f>IF(PaymentSchedule3[[#This Row],[Payment Number]]&lt;&gt;"",PaymentSchedule3[[#This Row],[Total
Payment]]-PaymentSchedule3[[#This Row],[Interest]],"")</f>
        <v>1313.1506009649256</v>
      </c>
      <c r="I29" s="293">
        <f>IF(PaymentSchedule3[[#This Row],[Payment Number]]&lt;&gt;"",PaymentSchedule3[[#This Row],[Beginning
Balance]]*(InterestRate/PaymentsPerYear),"")</f>
        <v>121.41300577218023</v>
      </c>
      <c r="J29" s="291">
        <f>IF(PaymentSchedule3[[#This Row],[Payment Number]]&lt;&gt;"",IF(PaymentSchedule3[[#This Row],[Scheduled Payment]]+PaymentSchedule3[[#This Row],[Extra
Payment]]&lt;=PaymentSchedule3[[#This Row],[Beginning
Balance]],PaymentSchedule3[[#This Row],[Beginning
Balance]]-PaymentSchedule3[[#This Row],[Principal]],0),"")</f>
        <v>43933.932295499762</v>
      </c>
      <c r="K29" s="293">
        <f>IF(PaymentSchedule3[[#This Row],[Payment Number]]&lt;&gt;"",SUM(INDEX(PaymentSchedule3[Interest],1,1):PaymentSchedule3[[#This Row],[Interest]]),"")</f>
        <v>2359.0900032934574</v>
      </c>
      <c r="L29" s="300">
        <f>YEAR(PaymentSchedule3[[#This Row],[Payment
Date]])</f>
        <v>2021</v>
      </c>
      <c r="M29" s="300">
        <f>MONTH(PaymentSchedule3[[#This Row],[Payment
Date]])</f>
        <v>9</v>
      </c>
      <c r="N29" s="293"/>
      <c r="O29" s="293"/>
      <c r="R29"/>
      <c r="S29"/>
      <c r="T29"/>
      <c r="U29"/>
      <c r="V29"/>
      <c r="W29"/>
      <c r="X29"/>
      <c r="Y29"/>
      <c r="Z29"/>
      <c r="AA29"/>
      <c r="AB29"/>
      <c r="AC29"/>
      <c r="AD29"/>
      <c r="AE29"/>
      <c r="AF29"/>
      <c r="AG29"/>
      <c r="AH29"/>
      <c r="AI29"/>
      <c r="AJ29"/>
      <c r="AK29"/>
      <c r="AL29"/>
      <c r="AM29"/>
      <c r="AN29"/>
      <c r="AO29"/>
      <c r="AP29"/>
      <c r="AQ29"/>
      <c r="AR29"/>
    </row>
    <row r="30" spans="2:44" ht="15.6" x14ac:dyDescent="0.3">
      <c r="B30" s="289">
        <f>IF(LoanIsGood,IF(ROW()-ROW(PaymentSchedule3[[#Headers],[Payment Number]])&gt;ScheduledNumberOfPayments,"",ROW()-ROW(PaymentSchedule3[[#Headers],[Payment Number]])),"")</f>
        <v>17</v>
      </c>
      <c r="C30" s="290">
        <f>IF(PaymentSchedule3[[#This Row],[Payment Number]]&lt;&gt;"",EOMONTH(LoanStartDate,ROW(PaymentSchedule3[[#This Row],[Payment Number]])-ROW(PaymentSchedule3[[#Headers],[Payment Number]])-2)+DAY(LoanStartDate),"")</f>
        <v>44491</v>
      </c>
      <c r="D30" s="291">
        <f>IF(PaymentSchedule3[[#This Row],[Payment Number]]&lt;&gt;"",IF(ROW()-ROW(PaymentSchedule3[[#Headers],[Beginning
Balance]])=1,LoanAmount,INDEX(PaymentSchedule3[Ending
Balance],ROW()-ROW(PaymentSchedule3[[#Headers],[Beginning
Balance]])-1)),"")</f>
        <v>43933.932295499762</v>
      </c>
      <c r="E30" s="292">
        <f>IF(PaymentSchedule3[[#This Row],[Payment Number]]&lt;&gt;"",ScheduledPayment,"")</f>
        <v>1434.5636067371058</v>
      </c>
      <c r="F30"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0"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0" s="291">
        <f>IF(PaymentSchedule3[[#This Row],[Payment Number]]&lt;&gt;"",PaymentSchedule3[[#This Row],[Total
Payment]]-PaymentSchedule3[[#This Row],[Interest]],"")</f>
        <v>1316.6742217441815</v>
      </c>
      <c r="I30" s="293">
        <f>IF(PaymentSchedule3[[#This Row],[Payment Number]]&lt;&gt;"",PaymentSchedule3[[#This Row],[Beginning
Balance]]*(InterestRate/PaymentsPerYear),"")</f>
        <v>117.88938499292435</v>
      </c>
      <c r="J30" s="291">
        <f>IF(PaymentSchedule3[[#This Row],[Payment Number]]&lt;&gt;"",IF(PaymentSchedule3[[#This Row],[Scheduled Payment]]+PaymentSchedule3[[#This Row],[Extra
Payment]]&lt;=PaymentSchedule3[[#This Row],[Beginning
Balance]],PaymentSchedule3[[#This Row],[Beginning
Balance]]-PaymentSchedule3[[#This Row],[Principal]],0),"")</f>
        <v>42617.258073755584</v>
      </c>
      <c r="K30" s="293">
        <f>IF(PaymentSchedule3[[#This Row],[Payment Number]]&lt;&gt;"",SUM(INDEX(PaymentSchedule3[Interest],1,1):PaymentSchedule3[[#This Row],[Interest]]),"")</f>
        <v>2476.9793882863819</v>
      </c>
      <c r="L30" s="300">
        <f>YEAR(PaymentSchedule3[[#This Row],[Payment
Date]])</f>
        <v>2021</v>
      </c>
      <c r="M30" s="300">
        <f>MONTH(PaymentSchedule3[[#This Row],[Payment
Date]])</f>
        <v>10</v>
      </c>
      <c r="N30" s="293"/>
      <c r="O30" s="293"/>
      <c r="R30"/>
      <c r="S30"/>
      <c r="T30"/>
      <c r="U30"/>
      <c r="V30"/>
      <c r="W30"/>
      <c r="X30"/>
      <c r="Y30"/>
      <c r="Z30"/>
      <c r="AA30"/>
      <c r="AB30"/>
      <c r="AC30"/>
      <c r="AD30"/>
      <c r="AE30"/>
      <c r="AF30"/>
      <c r="AG30"/>
      <c r="AH30"/>
      <c r="AI30"/>
      <c r="AJ30"/>
      <c r="AK30"/>
      <c r="AL30"/>
      <c r="AM30"/>
      <c r="AN30"/>
      <c r="AO30"/>
      <c r="AP30"/>
      <c r="AQ30"/>
      <c r="AR30"/>
    </row>
    <row r="31" spans="2:44" ht="15.6" x14ac:dyDescent="0.3">
      <c r="B31" s="289">
        <f>IF(LoanIsGood,IF(ROW()-ROW(PaymentSchedule3[[#Headers],[Payment Number]])&gt;ScheduledNumberOfPayments,"",ROW()-ROW(PaymentSchedule3[[#Headers],[Payment Number]])),"")</f>
        <v>18</v>
      </c>
      <c r="C31" s="290">
        <f>IF(PaymentSchedule3[[#This Row],[Payment Number]]&lt;&gt;"",EOMONTH(LoanStartDate,ROW(PaymentSchedule3[[#This Row],[Payment Number]])-ROW(PaymentSchedule3[[#Headers],[Payment Number]])-2)+DAY(LoanStartDate),"")</f>
        <v>44522</v>
      </c>
      <c r="D31" s="291">
        <f>IF(PaymentSchedule3[[#This Row],[Payment Number]]&lt;&gt;"",IF(ROW()-ROW(PaymentSchedule3[[#Headers],[Beginning
Balance]])=1,LoanAmount,INDEX(PaymentSchedule3[Ending
Balance],ROW()-ROW(PaymentSchedule3[[#Headers],[Beginning
Balance]])-1)),"")</f>
        <v>42617.258073755584</v>
      </c>
      <c r="E31" s="292">
        <f>IF(PaymentSchedule3[[#This Row],[Payment Number]]&lt;&gt;"",ScheduledPayment,"")</f>
        <v>1434.5636067371058</v>
      </c>
      <c r="F31"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1"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1" s="291">
        <f>IF(PaymentSchedule3[[#This Row],[Payment Number]]&lt;&gt;"",PaymentSchedule3[[#This Row],[Total
Payment]]-PaymentSchedule3[[#This Row],[Interest]],"")</f>
        <v>1320.2072975725284</v>
      </c>
      <c r="I31" s="293">
        <f>IF(PaymentSchedule3[[#This Row],[Payment Number]]&lt;&gt;"",PaymentSchedule3[[#This Row],[Beginning
Balance]]*(InterestRate/PaymentsPerYear),"")</f>
        <v>114.35630916457747</v>
      </c>
      <c r="J31" s="291">
        <f>IF(PaymentSchedule3[[#This Row],[Payment Number]]&lt;&gt;"",IF(PaymentSchedule3[[#This Row],[Scheduled Payment]]+PaymentSchedule3[[#This Row],[Extra
Payment]]&lt;=PaymentSchedule3[[#This Row],[Beginning
Balance]],PaymentSchedule3[[#This Row],[Beginning
Balance]]-PaymentSchedule3[[#This Row],[Principal]],0),"")</f>
        <v>41297.050776183052</v>
      </c>
      <c r="K31" s="293">
        <f>IF(PaymentSchedule3[[#This Row],[Payment Number]]&lt;&gt;"",SUM(INDEX(PaymentSchedule3[Interest],1,1):PaymentSchedule3[[#This Row],[Interest]]),"")</f>
        <v>2591.3356974509593</v>
      </c>
      <c r="L31" s="300">
        <f>YEAR(PaymentSchedule3[[#This Row],[Payment
Date]])</f>
        <v>2021</v>
      </c>
      <c r="M31" s="300">
        <f>MONTH(PaymentSchedule3[[#This Row],[Payment
Date]])</f>
        <v>11</v>
      </c>
      <c r="N31" s="293"/>
      <c r="O31" s="293"/>
      <c r="R31"/>
      <c r="S31"/>
      <c r="T31"/>
      <c r="U31"/>
      <c r="V31"/>
      <c r="W31"/>
      <c r="X31"/>
      <c r="Y31"/>
      <c r="Z31"/>
      <c r="AA31"/>
      <c r="AB31"/>
      <c r="AC31"/>
      <c r="AD31"/>
      <c r="AE31"/>
      <c r="AF31"/>
      <c r="AG31"/>
      <c r="AH31"/>
      <c r="AI31"/>
      <c r="AJ31"/>
      <c r="AK31"/>
      <c r="AL31"/>
      <c r="AM31"/>
      <c r="AN31"/>
      <c r="AO31"/>
      <c r="AP31"/>
      <c r="AQ31"/>
      <c r="AR31"/>
    </row>
    <row r="32" spans="2:44" ht="15.6" x14ac:dyDescent="0.3">
      <c r="B32" s="289">
        <f>IF(LoanIsGood,IF(ROW()-ROW(PaymentSchedule3[[#Headers],[Payment Number]])&gt;ScheduledNumberOfPayments,"",ROW()-ROW(PaymentSchedule3[[#Headers],[Payment Number]])),"")</f>
        <v>19</v>
      </c>
      <c r="C32" s="290">
        <f>IF(PaymentSchedule3[[#This Row],[Payment Number]]&lt;&gt;"",EOMONTH(LoanStartDate,ROW(PaymentSchedule3[[#This Row],[Payment Number]])-ROW(PaymentSchedule3[[#Headers],[Payment Number]])-2)+DAY(LoanStartDate),"")</f>
        <v>44552</v>
      </c>
      <c r="D32" s="291">
        <f>IF(PaymentSchedule3[[#This Row],[Payment Number]]&lt;&gt;"",IF(ROW()-ROW(PaymentSchedule3[[#Headers],[Beginning
Balance]])=1,LoanAmount,INDEX(PaymentSchedule3[Ending
Balance],ROW()-ROW(PaymentSchedule3[[#Headers],[Beginning
Balance]])-1)),"")</f>
        <v>41297.050776183052</v>
      </c>
      <c r="E32" s="292">
        <f>IF(PaymentSchedule3[[#This Row],[Payment Number]]&lt;&gt;"",ScheduledPayment,"")</f>
        <v>1434.5636067371058</v>
      </c>
      <c r="F32"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2"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2" s="291">
        <f>IF(PaymentSchedule3[[#This Row],[Payment Number]]&lt;&gt;"",PaymentSchedule3[[#This Row],[Total
Payment]]-PaymentSchedule3[[#This Row],[Interest]],"")</f>
        <v>1323.7498538210148</v>
      </c>
      <c r="I32" s="293">
        <f>IF(PaymentSchedule3[[#This Row],[Payment Number]]&lt;&gt;"",PaymentSchedule3[[#This Row],[Beginning
Balance]]*(InterestRate/PaymentsPerYear),"")</f>
        <v>110.81375291609118</v>
      </c>
      <c r="J32" s="291">
        <f>IF(PaymentSchedule3[[#This Row],[Payment Number]]&lt;&gt;"",IF(PaymentSchedule3[[#This Row],[Scheduled Payment]]+PaymentSchedule3[[#This Row],[Extra
Payment]]&lt;=PaymentSchedule3[[#This Row],[Beginning
Balance]],PaymentSchedule3[[#This Row],[Beginning
Balance]]-PaymentSchedule3[[#This Row],[Principal]],0),"")</f>
        <v>39973.300922362039</v>
      </c>
      <c r="K32" s="293">
        <f>IF(PaymentSchedule3[[#This Row],[Payment Number]]&lt;&gt;"",SUM(INDEX(PaymentSchedule3[Interest],1,1):PaymentSchedule3[[#This Row],[Interest]]),"")</f>
        <v>2702.1494503670506</v>
      </c>
      <c r="L32" s="300">
        <f>YEAR(PaymentSchedule3[[#This Row],[Payment
Date]])</f>
        <v>2021</v>
      </c>
      <c r="M32" s="300">
        <f>MONTH(PaymentSchedule3[[#This Row],[Payment
Date]])</f>
        <v>12</v>
      </c>
      <c r="N32" s="293"/>
      <c r="O32" s="293"/>
      <c r="R32"/>
      <c r="S32"/>
      <c r="T32"/>
      <c r="U32"/>
      <c r="V32"/>
      <c r="W32"/>
      <c r="X32"/>
      <c r="Y32"/>
      <c r="Z32"/>
      <c r="AA32"/>
      <c r="AB32"/>
      <c r="AC32"/>
      <c r="AD32"/>
      <c r="AE32"/>
      <c r="AF32"/>
      <c r="AG32"/>
      <c r="AH32"/>
      <c r="AI32"/>
      <c r="AJ32"/>
      <c r="AK32"/>
      <c r="AL32"/>
      <c r="AM32"/>
      <c r="AN32"/>
      <c r="AO32"/>
      <c r="AP32"/>
      <c r="AQ32"/>
      <c r="AR32"/>
    </row>
    <row r="33" spans="2:44" ht="15.6" x14ac:dyDescent="0.3">
      <c r="B33" s="289">
        <f>IF(LoanIsGood,IF(ROW()-ROW(PaymentSchedule3[[#Headers],[Payment Number]])&gt;ScheduledNumberOfPayments,"",ROW()-ROW(PaymentSchedule3[[#Headers],[Payment Number]])),"")</f>
        <v>20</v>
      </c>
      <c r="C33" s="290">
        <f>IF(PaymentSchedule3[[#This Row],[Payment Number]]&lt;&gt;"",EOMONTH(LoanStartDate,ROW(PaymentSchedule3[[#This Row],[Payment Number]])-ROW(PaymentSchedule3[[#Headers],[Payment Number]])-2)+DAY(LoanStartDate),"")</f>
        <v>44583</v>
      </c>
      <c r="D33" s="291">
        <f>IF(PaymentSchedule3[[#This Row],[Payment Number]]&lt;&gt;"",IF(ROW()-ROW(PaymentSchedule3[[#Headers],[Beginning
Balance]])=1,LoanAmount,INDEX(PaymentSchedule3[Ending
Balance],ROW()-ROW(PaymentSchedule3[[#Headers],[Beginning
Balance]])-1)),"")</f>
        <v>39973.300922362039</v>
      </c>
      <c r="E33" s="292">
        <f>IF(PaymentSchedule3[[#This Row],[Payment Number]]&lt;&gt;"",ScheduledPayment,"")</f>
        <v>1434.5636067371058</v>
      </c>
      <c r="F33"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3"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3" s="291">
        <f>IF(PaymentSchedule3[[#This Row],[Payment Number]]&lt;&gt;"",PaymentSchedule3[[#This Row],[Total
Payment]]-PaymentSchedule3[[#This Row],[Interest]],"")</f>
        <v>1327.3019159287678</v>
      </c>
      <c r="I33" s="293">
        <f>IF(PaymentSchedule3[[#This Row],[Payment Number]]&lt;&gt;"",PaymentSchedule3[[#This Row],[Beginning
Balance]]*(InterestRate/PaymentsPerYear),"")</f>
        <v>107.26169080833813</v>
      </c>
      <c r="J33" s="291">
        <f>IF(PaymentSchedule3[[#This Row],[Payment Number]]&lt;&gt;"",IF(PaymentSchedule3[[#This Row],[Scheduled Payment]]+PaymentSchedule3[[#This Row],[Extra
Payment]]&lt;=PaymentSchedule3[[#This Row],[Beginning
Balance]],PaymentSchedule3[[#This Row],[Beginning
Balance]]-PaymentSchedule3[[#This Row],[Principal]],0),"")</f>
        <v>38645.999006433274</v>
      </c>
      <c r="K33" s="293">
        <f>IF(PaymentSchedule3[[#This Row],[Payment Number]]&lt;&gt;"",SUM(INDEX(PaymentSchedule3[Interest],1,1):PaymentSchedule3[[#This Row],[Interest]]),"")</f>
        <v>2809.4111411753888</v>
      </c>
      <c r="L33" s="300">
        <f>YEAR(PaymentSchedule3[[#This Row],[Payment
Date]])</f>
        <v>2022</v>
      </c>
      <c r="M33" s="300">
        <f>MONTH(PaymentSchedule3[[#This Row],[Payment
Date]])</f>
        <v>1</v>
      </c>
      <c r="N33" s="293"/>
      <c r="O33" s="293"/>
      <c r="R33"/>
      <c r="S33"/>
      <c r="T33"/>
      <c r="U33"/>
      <c r="V33"/>
      <c r="W33"/>
      <c r="X33"/>
      <c r="Y33"/>
      <c r="Z33"/>
      <c r="AA33"/>
      <c r="AB33"/>
      <c r="AC33"/>
      <c r="AD33"/>
      <c r="AE33"/>
      <c r="AF33"/>
      <c r="AG33"/>
      <c r="AH33"/>
      <c r="AI33"/>
      <c r="AJ33"/>
      <c r="AK33"/>
      <c r="AL33"/>
      <c r="AM33"/>
      <c r="AN33"/>
      <c r="AO33"/>
      <c r="AP33"/>
      <c r="AQ33"/>
      <c r="AR33"/>
    </row>
    <row r="34" spans="2:44" ht="15.6" x14ac:dyDescent="0.3">
      <c r="B34" s="289">
        <f>IF(LoanIsGood,IF(ROW()-ROW(PaymentSchedule3[[#Headers],[Payment Number]])&gt;ScheduledNumberOfPayments,"",ROW()-ROW(PaymentSchedule3[[#Headers],[Payment Number]])),"")</f>
        <v>21</v>
      </c>
      <c r="C34" s="290">
        <f>IF(PaymentSchedule3[[#This Row],[Payment Number]]&lt;&gt;"",EOMONTH(LoanStartDate,ROW(PaymentSchedule3[[#This Row],[Payment Number]])-ROW(PaymentSchedule3[[#Headers],[Payment Number]])-2)+DAY(LoanStartDate),"")</f>
        <v>44614</v>
      </c>
      <c r="D34" s="291">
        <f>IF(PaymentSchedule3[[#This Row],[Payment Number]]&lt;&gt;"",IF(ROW()-ROW(PaymentSchedule3[[#Headers],[Beginning
Balance]])=1,LoanAmount,INDEX(PaymentSchedule3[Ending
Balance],ROW()-ROW(PaymentSchedule3[[#Headers],[Beginning
Balance]])-1)),"")</f>
        <v>38645.999006433274</v>
      </c>
      <c r="E34" s="292">
        <f>IF(PaymentSchedule3[[#This Row],[Payment Number]]&lt;&gt;"",ScheduledPayment,"")</f>
        <v>1434.5636067371058</v>
      </c>
      <c r="F34"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4"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4" s="291">
        <f>IF(PaymentSchedule3[[#This Row],[Payment Number]]&lt;&gt;"",PaymentSchedule3[[#This Row],[Total
Payment]]-PaymentSchedule3[[#This Row],[Interest]],"")</f>
        <v>1330.8635094031765</v>
      </c>
      <c r="I34" s="293">
        <f>IF(PaymentSchedule3[[#This Row],[Payment Number]]&lt;&gt;"",PaymentSchedule3[[#This Row],[Beginning
Balance]]*(InterestRate/PaymentsPerYear),"")</f>
        <v>103.70009733392928</v>
      </c>
      <c r="J34" s="291">
        <f>IF(PaymentSchedule3[[#This Row],[Payment Number]]&lt;&gt;"",IF(PaymentSchedule3[[#This Row],[Scheduled Payment]]+PaymentSchedule3[[#This Row],[Extra
Payment]]&lt;=PaymentSchedule3[[#This Row],[Beginning
Balance]],PaymentSchedule3[[#This Row],[Beginning
Balance]]-PaymentSchedule3[[#This Row],[Principal]],0),"")</f>
        <v>37315.135497030096</v>
      </c>
      <c r="K34" s="293">
        <f>IF(PaymentSchedule3[[#This Row],[Payment Number]]&lt;&gt;"",SUM(INDEX(PaymentSchedule3[Interest],1,1):PaymentSchedule3[[#This Row],[Interest]]),"")</f>
        <v>2913.1112385093179</v>
      </c>
      <c r="L34" s="300">
        <f>YEAR(PaymentSchedule3[[#This Row],[Payment
Date]])</f>
        <v>2022</v>
      </c>
      <c r="M34" s="300">
        <f>MONTH(PaymentSchedule3[[#This Row],[Payment
Date]])</f>
        <v>2</v>
      </c>
      <c r="N34" s="293"/>
      <c r="O34" s="293"/>
      <c r="R34"/>
      <c r="S34"/>
      <c r="T34"/>
      <c r="U34"/>
      <c r="V34"/>
      <c r="W34"/>
      <c r="X34"/>
      <c r="Y34"/>
      <c r="Z34"/>
      <c r="AA34"/>
      <c r="AB34"/>
      <c r="AC34"/>
      <c r="AD34"/>
      <c r="AE34"/>
      <c r="AF34"/>
      <c r="AG34"/>
      <c r="AH34"/>
      <c r="AI34"/>
      <c r="AJ34"/>
      <c r="AK34"/>
      <c r="AL34"/>
      <c r="AM34"/>
      <c r="AN34"/>
      <c r="AO34"/>
      <c r="AP34"/>
      <c r="AQ34"/>
      <c r="AR34"/>
    </row>
    <row r="35" spans="2:44" ht="15.6" x14ac:dyDescent="0.3">
      <c r="B35" s="289">
        <f>IF(LoanIsGood,IF(ROW()-ROW(PaymentSchedule3[[#Headers],[Payment Number]])&gt;ScheduledNumberOfPayments,"",ROW()-ROW(PaymentSchedule3[[#Headers],[Payment Number]])),"")</f>
        <v>22</v>
      </c>
      <c r="C35" s="290">
        <f>IF(PaymentSchedule3[[#This Row],[Payment Number]]&lt;&gt;"",EOMONTH(LoanStartDate,ROW(PaymentSchedule3[[#This Row],[Payment Number]])-ROW(PaymentSchedule3[[#Headers],[Payment Number]])-2)+DAY(LoanStartDate),"")</f>
        <v>44642</v>
      </c>
      <c r="D35" s="291">
        <f>IF(PaymentSchedule3[[#This Row],[Payment Number]]&lt;&gt;"",IF(ROW()-ROW(PaymentSchedule3[[#Headers],[Beginning
Balance]])=1,LoanAmount,INDEX(PaymentSchedule3[Ending
Balance],ROW()-ROW(PaymentSchedule3[[#Headers],[Beginning
Balance]])-1)),"")</f>
        <v>37315.135497030096</v>
      </c>
      <c r="E35" s="292">
        <f>IF(PaymentSchedule3[[#This Row],[Payment Number]]&lt;&gt;"",ScheduledPayment,"")</f>
        <v>1434.5636067371058</v>
      </c>
      <c r="F35"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5"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5" s="291">
        <f>IF(PaymentSchedule3[[#This Row],[Payment Number]]&lt;&gt;"",PaymentSchedule3[[#This Row],[Total
Payment]]-PaymentSchedule3[[#This Row],[Interest]],"")</f>
        <v>1334.434659820075</v>
      </c>
      <c r="I35" s="293">
        <f>IF(PaymentSchedule3[[#This Row],[Payment Number]]&lt;&gt;"",PaymentSchedule3[[#This Row],[Beginning
Balance]]*(InterestRate/PaymentsPerYear),"")</f>
        <v>100.12894691703075</v>
      </c>
      <c r="J35" s="291">
        <f>IF(PaymentSchedule3[[#This Row],[Payment Number]]&lt;&gt;"",IF(PaymentSchedule3[[#This Row],[Scheduled Payment]]+PaymentSchedule3[[#This Row],[Extra
Payment]]&lt;=PaymentSchedule3[[#This Row],[Beginning
Balance]],PaymentSchedule3[[#This Row],[Beginning
Balance]]-PaymentSchedule3[[#This Row],[Principal]],0),"")</f>
        <v>35980.700837210024</v>
      </c>
      <c r="K35" s="293">
        <f>IF(PaymentSchedule3[[#This Row],[Payment Number]]&lt;&gt;"",SUM(INDEX(PaymentSchedule3[Interest],1,1):PaymentSchedule3[[#This Row],[Interest]]),"")</f>
        <v>3013.2401854263485</v>
      </c>
      <c r="L35" s="300">
        <f>YEAR(PaymentSchedule3[[#This Row],[Payment
Date]])</f>
        <v>2022</v>
      </c>
      <c r="M35" s="300">
        <f>MONTH(PaymentSchedule3[[#This Row],[Payment
Date]])</f>
        <v>3</v>
      </c>
      <c r="N35" s="293"/>
      <c r="O35" s="293"/>
      <c r="R35"/>
      <c r="S35"/>
      <c r="T35"/>
      <c r="U35"/>
      <c r="V35"/>
      <c r="W35"/>
      <c r="X35"/>
      <c r="Y35"/>
      <c r="Z35"/>
      <c r="AA35"/>
      <c r="AB35"/>
      <c r="AC35"/>
      <c r="AD35"/>
      <c r="AE35"/>
      <c r="AF35"/>
      <c r="AG35"/>
      <c r="AH35"/>
      <c r="AI35"/>
      <c r="AJ35"/>
      <c r="AK35"/>
      <c r="AL35"/>
      <c r="AM35"/>
      <c r="AN35"/>
      <c r="AO35"/>
      <c r="AP35"/>
      <c r="AQ35"/>
      <c r="AR35"/>
    </row>
    <row r="36" spans="2:44" ht="15.6" x14ac:dyDescent="0.3">
      <c r="B36" s="289">
        <f>IF(LoanIsGood,IF(ROW()-ROW(PaymentSchedule3[[#Headers],[Payment Number]])&gt;ScheduledNumberOfPayments,"",ROW()-ROW(PaymentSchedule3[[#Headers],[Payment Number]])),"")</f>
        <v>23</v>
      </c>
      <c r="C36" s="290">
        <f>IF(PaymentSchedule3[[#This Row],[Payment Number]]&lt;&gt;"",EOMONTH(LoanStartDate,ROW(PaymentSchedule3[[#This Row],[Payment Number]])-ROW(PaymentSchedule3[[#Headers],[Payment Number]])-2)+DAY(LoanStartDate),"")</f>
        <v>44673</v>
      </c>
      <c r="D36" s="291">
        <f>IF(PaymentSchedule3[[#This Row],[Payment Number]]&lt;&gt;"",IF(ROW()-ROW(PaymentSchedule3[[#Headers],[Beginning
Balance]])=1,LoanAmount,INDEX(PaymentSchedule3[Ending
Balance],ROW()-ROW(PaymentSchedule3[[#Headers],[Beginning
Balance]])-1)),"")</f>
        <v>35980.700837210024</v>
      </c>
      <c r="E36" s="292">
        <f>IF(PaymentSchedule3[[#This Row],[Payment Number]]&lt;&gt;"",ScheduledPayment,"")</f>
        <v>1434.5636067371058</v>
      </c>
      <c r="F36"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6"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6" s="291">
        <f>IF(PaymentSchedule3[[#This Row],[Payment Number]]&lt;&gt;"",PaymentSchedule3[[#This Row],[Total
Payment]]-PaymentSchedule3[[#This Row],[Interest]],"")</f>
        <v>1338.0153928239256</v>
      </c>
      <c r="I36" s="293">
        <f>IF(PaymentSchedule3[[#This Row],[Payment Number]]&lt;&gt;"",PaymentSchedule3[[#This Row],[Beginning
Balance]]*(InterestRate/PaymentsPerYear),"")</f>
        <v>96.54821391318022</v>
      </c>
      <c r="J36" s="291">
        <f>IF(PaymentSchedule3[[#This Row],[Payment Number]]&lt;&gt;"",IF(PaymentSchedule3[[#This Row],[Scheduled Payment]]+PaymentSchedule3[[#This Row],[Extra
Payment]]&lt;=PaymentSchedule3[[#This Row],[Beginning
Balance]],PaymentSchedule3[[#This Row],[Beginning
Balance]]-PaymentSchedule3[[#This Row],[Principal]],0),"")</f>
        <v>34642.685444386101</v>
      </c>
      <c r="K36" s="293">
        <f>IF(PaymentSchedule3[[#This Row],[Payment Number]]&lt;&gt;"",SUM(INDEX(PaymentSchedule3[Interest],1,1):PaymentSchedule3[[#This Row],[Interest]]),"")</f>
        <v>3109.7883993395285</v>
      </c>
      <c r="L36" s="300">
        <f>YEAR(PaymentSchedule3[[#This Row],[Payment
Date]])</f>
        <v>2022</v>
      </c>
      <c r="M36" s="300">
        <f>MONTH(PaymentSchedule3[[#This Row],[Payment
Date]])</f>
        <v>4</v>
      </c>
      <c r="N36" s="293"/>
      <c r="O36" s="293"/>
      <c r="R36"/>
      <c r="S36"/>
      <c r="T36"/>
      <c r="U36"/>
      <c r="V36"/>
      <c r="W36"/>
      <c r="X36"/>
      <c r="Y36"/>
      <c r="Z36"/>
      <c r="AA36"/>
      <c r="AB36"/>
      <c r="AC36"/>
      <c r="AD36"/>
      <c r="AE36"/>
      <c r="AF36"/>
      <c r="AG36"/>
      <c r="AH36"/>
      <c r="AI36"/>
      <c r="AJ36"/>
      <c r="AK36"/>
      <c r="AL36"/>
      <c r="AM36"/>
      <c r="AN36"/>
      <c r="AO36"/>
      <c r="AP36"/>
      <c r="AQ36"/>
      <c r="AR36"/>
    </row>
    <row r="37" spans="2:44" ht="15.6" x14ac:dyDescent="0.3">
      <c r="B37" s="289">
        <f>IF(LoanIsGood,IF(ROW()-ROW(PaymentSchedule3[[#Headers],[Payment Number]])&gt;ScheduledNumberOfPayments,"",ROW()-ROW(PaymentSchedule3[[#Headers],[Payment Number]])),"")</f>
        <v>24</v>
      </c>
      <c r="C37" s="290">
        <f>IF(PaymentSchedule3[[#This Row],[Payment Number]]&lt;&gt;"",EOMONTH(LoanStartDate,ROW(PaymentSchedule3[[#This Row],[Payment Number]])-ROW(PaymentSchedule3[[#Headers],[Payment Number]])-2)+DAY(LoanStartDate),"")</f>
        <v>44703</v>
      </c>
      <c r="D37" s="291">
        <f>IF(PaymentSchedule3[[#This Row],[Payment Number]]&lt;&gt;"",IF(ROW()-ROW(PaymentSchedule3[[#Headers],[Beginning
Balance]])=1,LoanAmount,INDEX(PaymentSchedule3[Ending
Balance],ROW()-ROW(PaymentSchedule3[[#Headers],[Beginning
Balance]])-1)),"")</f>
        <v>34642.685444386101</v>
      </c>
      <c r="E37" s="292">
        <f>IF(PaymentSchedule3[[#This Row],[Payment Number]]&lt;&gt;"",ScheduledPayment,"")</f>
        <v>1434.5636067371058</v>
      </c>
      <c r="F37"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7"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7" s="291">
        <f>IF(PaymentSchedule3[[#This Row],[Payment Number]]&lt;&gt;"",PaymentSchedule3[[#This Row],[Total
Payment]]-PaymentSchedule3[[#This Row],[Interest]],"")</f>
        <v>1341.6057341280032</v>
      </c>
      <c r="I37" s="293">
        <f>IF(PaymentSchedule3[[#This Row],[Payment Number]]&lt;&gt;"",PaymentSchedule3[[#This Row],[Beginning
Balance]]*(InterestRate/PaymentsPerYear),"")</f>
        <v>92.957872609102694</v>
      </c>
      <c r="J37" s="291">
        <f>IF(PaymentSchedule3[[#This Row],[Payment Number]]&lt;&gt;"",IF(PaymentSchedule3[[#This Row],[Scheduled Payment]]+PaymentSchedule3[[#This Row],[Extra
Payment]]&lt;=PaymentSchedule3[[#This Row],[Beginning
Balance]],PaymentSchedule3[[#This Row],[Beginning
Balance]]-PaymentSchedule3[[#This Row],[Principal]],0),"")</f>
        <v>33301.079710258098</v>
      </c>
      <c r="K37" s="293">
        <f>IF(PaymentSchedule3[[#This Row],[Payment Number]]&lt;&gt;"",SUM(INDEX(PaymentSchedule3[Interest],1,1):PaymentSchedule3[[#This Row],[Interest]]),"")</f>
        <v>3202.7462719486311</v>
      </c>
      <c r="L37" s="300">
        <f>YEAR(PaymentSchedule3[[#This Row],[Payment
Date]])</f>
        <v>2022</v>
      </c>
      <c r="M37" s="300">
        <f>MONTH(PaymentSchedule3[[#This Row],[Payment
Date]])</f>
        <v>5</v>
      </c>
      <c r="N37" s="293"/>
      <c r="O37" s="293"/>
      <c r="R37"/>
      <c r="S37"/>
      <c r="T37"/>
      <c r="U37"/>
      <c r="V37"/>
      <c r="W37"/>
      <c r="X37"/>
      <c r="Y37"/>
      <c r="Z37"/>
      <c r="AA37"/>
      <c r="AB37"/>
      <c r="AC37"/>
      <c r="AD37"/>
      <c r="AE37"/>
      <c r="AF37"/>
      <c r="AG37"/>
      <c r="AH37"/>
      <c r="AI37"/>
      <c r="AJ37"/>
      <c r="AK37"/>
      <c r="AL37"/>
      <c r="AM37"/>
      <c r="AN37"/>
      <c r="AO37"/>
      <c r="AP37"/>
      <c r="AQ37"/>
      <c r="AR37"/>
    </row>
    <row r="38" spans="2:44" ht="15.6" x14ac:dyDescent="0.3">
      <c r="B38" s="289">
        <f>IF(LoanIsGood,IF(ROW()-ROW(PaymentSchedule3[[#Headers],[Payment Number]])&gt;ScheduledNumberOfPayments,"",ROW()-ROW(PaymentSchedule3[[#Headers],[Payment Number]])),"")</f>
        <v>25</v>
      </c>
      <c r="C38" s="290">
        <f>IF(PaymentSchedule3[[#This Row],[Payment Number]]&lt;&gt;"",EOMONTH(LoanStartDate,ROW(PaymentSchedule3[[#This Row],[Payment Number]])-ROW(PaymentSchedule3[[#Headers],[Payment Number]])-2)+DAY(LoanStartDate),"")</f>
        <v>44734</v>
      </c>
      <c r="D38" s="291">
        <f>IF(PaymentSchedule3[[#This Row],[Payment Number]]&lt;&gt;"",IF(ROW()-ROW(PaymentSchedule3[[#Headers],[Beginning
Balance]])=1,LoanAmount,INDEX(PaymentSchedule3[Ending
Balance],ROW()-ROW(PaymentSchedule3[[#Headers],[Beginning
Balance]])-1)),"")</f>
        <v>33301.079710258098</v>
      </c>
      <c r="E38" s="292">
        <f>IF(PaymentSchedule3[[#This Row],[Payment Number]]&lt;&gt;"",ScheduledPayment,"")</f>
        <v>1434.5636067371058</v>
      </c>
      <c r="F38"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8"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8" s="291">
        <f>IF(PaymentSchedule3[[#This Row],[Payment Number]]&lt;&gt;"",PaymentSchedule3[[#This Row],[Total
Payment]]-PaymentSchedule3[[#This Row],[Interest]],"")</f>
        <v>1345.2057095145799</v>
      </c>
      <c r="I38" s="293">
        <f>IF(PaymentSchedule3[[#This Row],[Payment Number]]&lt;&gt;"",PaymentSchedule3[[#This Row],[Beginning
Balance]]*(InterestRate/PaymentsPerYear),"")</f>
        <v>89.357897222525892</v>
      </c>
      <c r="J38" s="291">
        <f>IF(PaymentSchedule3[[#This Row],[Payment Number]]&lt;&gt;"",IF(PaymentSchedule3[[#This Row],[Scheduled Payment]]+PaymentSchedule3[[#This Row],[Extra
Payment]]&lt;=PaymentSchedule3[[#This Row],[Beginning
Balance]],PaymentSchedule3[[#This Row],[Beginning
Balance]]-PaymentSchedule3[[#This Row],[Principal]],0),"")</f>
        <v>31955.874000743519</v>
      </c>
      <c r="K38" s="293">
        <f>IF(PaymentSchedule3[[#This Row],[Payment Number]]&lt;&gt;"",SUM(INDEX(PaymentSchedule3[Interest],1,1):PaymentSchedule3[[#This Row],[Interest]]),"")</f>
        <v>3292.1041691711571</v>
      </c>
      <c r="L38" s="300">
        <f>YEAR(PaymentSchedule3[[#This Row],[Payment
Date]])</f>
        <v>2022</v>
      </c>
      <c r="M38" s="300">
        <f>MONTH(PaymentSchedule3[[#This Row],[Payment
Date]])</f>
        <v>6</v>
      </c>
      <c r="N38" s="293"/>
      <c r="O38" s="293"/>
      <c r="R38"/>
      <c r="S38"/>
      <c r="T38"/>
      <c r="U38"/>
      <c r="V38"/>
      <c r="W38"/>
      <c r="X38"/>
      <c r="Y38"/>
      <c r="Z38"/>
      <c r="AA38"/>
      <c r="AB38"/>
      <c r="AC38"/>
      <c r="AD38"/>
      <c r="AE38"/>
      <c r="AF38"/>
      <c r="AG38"/>
      <c r="AH38"/>
      <c r="AI38"/>
      <c r="AJ38"/>
      <c r="AK38"/>
      <c r="AL38"/>
      <c r="AM38"/>
      <c r="AN38"/>
      <c r="AO38"/>
      <c r="AP38"/>
      <c r="AQ38"/>
      <c r="AR38"/>
    </row>
    <row r="39" spans="2:44" ht="15.6" x14ac:dyDescent="0.3">
      <c r="B39" s="289">
        <f>IF(LoanIsGood,IF(ROW()-ROW(PaymentSchedule3[[#Headers],[Payment Number]])&gt;ScheduledNumberOfPayments,"",ROW()-ROW(PaymentSchedule3[[#Headers],[Payment Number]])),"")</f>
        <v>26</v>
      </c>
      <c r="C39" s="290">
        <f>IF(PaymentSchedule3[[#This Row],[Payment Number]]&lt;&gt;"",EOMONTH(LoanStartDate,ROW(PaymentSchedule3[[#This Row],[Payment Number]])-ROW(PaymentSchedule3[[#Headers],[Payment Number]])-2)+DAY(LoanStartDate),"")</f>
        <v>44764</v>
      </c>
      <c r="D39" s="291">
        <f>IF(PaymentSchedule3[[#This Row],[Payment Number]]&lt;&gt;"",IF(ROW()-ROW(PaymentSchedule3[[#Headers],[Beginning
Balance]])=1,LoanAmount,INDEX(PaymentSchedule3[Ending
Balance],ROW()-ROW(PaymentSchedule3[[#Headers],[Beginning
Balance]])-1)),"")</f>
        <v>31955.874000743519</v>
      </c>
      <c r="E39" s="292">
        <f>IF(PaymentSchedule3[[#This Row],[Payment Number]]&lt;&gt;"",ScheduledPayment,"")</f>
        <v>1434.5636067371058</v>
      </c>
      <c r="F39"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39"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39" s="291">
        <f>IF(PaymentSchedule3[[#This Row],[Payment Number]]&lt;&gt;"",PaymentSchedule3[[#This Row],[Total
Payment]]-PaymentSchedule3[[#This Row],[Interest]],"")</f>
        <v>1348.8153448351106</v>
      </c>
      <c r="I39" s="293">
        <f>IF(PaymentSchedule3[[#This Row],[Payment Number]]&lt;&gt;"",PaymentSchedule3[[#This Row],[Beginning
Balance]]*(InterestRate/PaymentsPerYear),"")</f>
        <v>85.748261901995107</v>
      </c>
      <c r="J39" s="291">
        <f>IF(PaymentSchedule3[[#This Row],[Payment Number]]&lt;&gt;"",IF(PaymentSchedule3[[#This Row],[Scheduled Payment]]+PaymentSchedule3[[#This Row],[Extra
Payment]]&lt;=PaymentSchedule3[[#This Row],[Beginning
Balance]],PaymentSchedule3[[#This Row],[Beginning
Balance]]-PaymentSchedule3[[#This Row],[Principal]],0),"")</f>
        <v>30607.058655908408</v>
      </c>
      <c r="K39" s="293">
        <f>IF(PaymentSchedule3[[#This Row],[Payment Number]]&lt;&gt;"",SUM(INDEX(PaymentSchedule3[Interest],1,1):PaymentSchedule3[[#This Row],[Interest]]),"")</f>
        <v>3377.8524310731523</v>
      </c>
      <c r="L39" s="300">
        <f>YEAR(PaymentSchedule3[[#This Row],[Payment
Date]])</f>
        <v>2022</v>
      </c>
      <c r="M39" s="300">
        <f>MONTH(PaymentSchedule3[[#This Row],[Payment
Date]])</f>
        <v>7</v>
      </c>
      <c r="N39" s="293"/>
      <c r="O39" s="293"/>
      <c r="R39"/>
      <c r="S39"/>
      <c r="T39"/>
      <c r="U39"/>
      <c r="V39"/>
      <c r="W39"/>
      <c r="X39"/>
      <c r="Y39"/>
      <c r="Z39"/>
      <c r="AA39"/>
      <c r="AB39"/>
      <c r="AC39"/>
      <c r="AD39"/>
      <c r="AE39"/>
      <c r="AF39"/>
      <c r="AG39"/>
      <c r="AH39"/>
      <c r="AI39"/>
      <c r="AJ39"/>
      <c r="AK39"/>
      <c r="AL39"/>
      <c r="AM39"/>
      <c r="AN39"/>
      <c r="AO39"/>
      <c r="AP39"/>
      <c r="AQ39"/>
      <c r="AR39"/>
    </row>
    <row r="40" spans="2:44" ht="15.6" x14ac:dyDescent="0.3">
      <c r="B40" s="289">
        <f>IF(LoanIsGood,IF(ROW()-ROW(PaymentSchedule3[[#Headers],[Payment Number]])&gt;ScheduledNumberOfPayments,"",ROW()-ROW(PaymentSchedule3[[#Headers],[Payment Number]])),"")</f>
        <v>27</v>
      </c>
      <c r="C40" s="290">
        <f>IF(PaymentSchedule3[[#This Row],[Payment Number]]&lt;&gt;"",EOMONTH(LoanStartDate,ROW(PaymentSchedule3[[#This Row],[Payment Number]])-ROW(PaymentSchedule3[[#Headers],[Payment Number]])-2)+DAY(LoanStartDate),"")</f>
        <v>44795</v>
      </c>
      <c r="D40" s="291">
        <f>IF(PaymentSchedule3[[#This Row],[Payment Number]]&lt;&gt;"",IF(ROW()-ROW(PaymentSchedule3[[#Headers],[Beginning
Balance]])=1,LoanAmount,INDEX(PaymentSchedule3[Ending
Balance],ROW()-ROW(PaymentSchedule3[[#Headers],[Beginning
Balance]])-1)),"")</f>
        <v>30607.058655908408</v>
      </c>
      <c r="E40" s="292">
        <f>IF(PaymentSchedule3[[#This Row],[Payment Number]]&lt;&gt;"",ScheduledPayment,"")</f>
        <v>1434.5636067371058</v>
      </c>
      <c r="F40"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0"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0" s="291">
        <f>IF(PaymentSchedule3[[#This Row],[Payment Number]]&lt;&gt;"",PaymentSchedule3[[#This Row],[Total
Payment]]-PaymentSchedule3[[#This Row],[Interest]],"")</f>
        <v>1352.4346660104184</v>
      </c>
      <c r="I40" s="293">
        <f>IF(PaymentSchedule3[[#This Row],[Payment Number]]&lt;&gt;"",PaymentSchedule3[[#This Row],[Beginning
Balance]]*(InterestRate/PaymentsPerYear),"")</f>
        <v>82.12894072668756</v>
      </c>
      <c r="J40" s="291">
        <f>IF(PaymentSchedule3[[#This Row],[Payment Number]]&lt;&gt;"",IF(PaymentSchedule3[[#This Row],[Scheduled Payment]]+PaymentSchedule3[[#This Row],[Extra
Payment]]&lt;=PaymentSchedule3[[#This Row],[Beginning
Balance]],PaymentSchedule3[[#This Row],[Beginning
Balance]]-PaymentSchedule3[[#This Row],[Principal]],0),"")</f>
        <v>29254.623989897991</v>
      </c>
      <c r="K40" s="293">
        <f>IF(PaymentSchedule3[[#This Row],[Payment Number]]&lt;&gt;"",SUM(INDEX(PaymentSchedule3[Interest],1,1):PaymentSchedule3[[#This Row],[Interest]]),"")</f>
        <v>3459.98137179984</v>
      </c>
      <c r="L40" s="300">
        <f>YEAR(PaymentSchedule3[[#This Row],[Payment
Date]])</f>
        <v>2022</v>
      </c>
      <c r="M40" s="300">
        <f>MONTH(PaymentSchedule3[[#This Row],[Payment
Date]])</f>
        <v>8</v>
      </c>
      <c r="N40" s="293"/>
      <c r="O40" s="293"/>
      <c r="R40"/>
      <c r="S40"/>
      <c r="T40"/>
      <c r="U40"/>
      <c r="V40"/>
      <c r="W40"/>
      <c r="X40"/>
      <c r="Y40"/>
      <c r="Z40"/>
      <c r="AA40"/>
      <c r="AB40"/>
      <c r="AC40"/>
      <c r="AD40"/>
      <c r="AE40"/>
      <c r="AF40"/>
      <c r="AG40"/>
      <c r="AH40"/>
      <c r="AI40"/>
      <c r="AJ40"/>
      <c r="AK40"/>
      <c r="AL40"/>
      <c r="AM40"/>
      <c r="AN40"/>
      <c r="AO40"/>
      <c r="AP40"/>
      <c r="AQ40"/>
      <c r="AR40"/>
    </row>
    <row r="41" spans="2:44" ht="15.6" x14ac:dyDescent="0.3">
      <c r="B41" s="289">
        <f>IF(LoanIsGood,IF(ROW()-ROW(PaymentSchedule3[[#Headers],[Payment Number]])&gt;ScheduledNumberOfPayments,"",ROW()-ROW(PaymentSchedule3[[#Headers],[Payment Number]])),"")</f>
        <v>28</v>
      </c>
      <c r="C41" s="290">
        <f>IF(PaymentSchedule3[[#This Row],[Payment Number]]&lt;&gt;"",EOMONTH(LoanStartDate,ROW(PaymentSchedule3[[#This Row],[Payment Number]])-ROW(PaymentSchedule3[[#Headers],[Payment Number]])-2)+DAY(LoanStartDate),"")</f>
        <v>44826</v>
      </c>
      <c r="D41" s="291">
        <f>IF(PaymentSchedule3[[#This Row],[Payment Number]]&lt;&gt;"",IF(ROW()-ROW(PaymentSchedule3[[#Headers],[Beginning
Balance]])=1,LoanAmount,INDEX(PaymentSchedule3[Ending
Balance],ROW()-ROW(PaymentSchedule3[[#Headers],[Beginning
Balance]])-1)),"")</f>
        <v>29254.623989897991</v>
      </c>
      <c r="E41" s="292">
        <f>IF(PaymentSchedule3[[#This Row],[Payment Number]]&lt;&gt;"",ScheduledPayment,"")</f>
        <v>1434.5636067371058</v>
      </c>
      <c r="F41"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1"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1" s="291">
        <f>IF(PaymentSchedule3[[#This Row],[Payment Number]]&lt;&gt;"",PaymentSchedule3[[#This Row],[Total
Payment]]-PaymentSchedule3[[#This Row],[Interest]],"")</f>
        <v>1356.0636990308797</v>
      </c>
      <c r="I41" s="293">
        <f>IF(PaymentSchedule3[[#This Row],[Payment Number]]&lt;&gt;"",PaymentSchedule3[[#This Row],[Beginning
Balance]]*(InterestRate/PaymentsPerYear),"")</f>
        <v>78.499907706226267</v>
      </c>
      <c r="J41" s="291">
        <f>IF(PaymentSchedule3[[#This Row],[Payment Number]]&lt;&gt;"",IF(PaymentSchedule3[[#This Row],[Scheduled Payment]]+PaymentSchedule3[[#This Row],[Extra
Payment]]&lt;=PaymentSchedule3[[#This Row],[Beginning
Balance]],PaymentSchedule3[[#This Row],[Beginning
Balance]]-PaymentSchedule3[[#This Row],[Principal]],0),"")</f>
        <v>27898.56029086711</v>
      </c>
      <c r="K41" s="293">
        <f>IF(PaymentSchedule3[[#This Row],[Payment Number]]&lt;&gt;"",SUM(INDEX(PaymentSchedule3[Interest],1,1):PaymentSchedule3[[#This Row],[Interest]]),"")</f>
        <v>3538.4812795060661</v>
      </c>
      <c r="L41" s="300">
        <f>YEAR(PaymentSchedule3[[#This Row],[Payment
Date]])</f>
        <v>2022</v>
      </c>
      <c r="M41" s="300">
        <f>MONTH(PaymentSchedule3[[#This Row],[Payment
Date]])</f>
        <v>9</v>
      </c>
      <c r="N41" s="293"/>
      <c r="O41" s="293"/>
      <c r="R41"/>
      <c r="S41"/>
      <c r="T41"/>
      <c r="U41"/>
      <c r="V41"/>
      <c r="W41"/>
      <c r="X41"/>
      <c r="Y41"/>
      <c r="Z41"/>
      <c r="AA41"/>
      <c r="AB41"/>
      <c r="AC41"/>
      <c r="AD41"/>
      <c r="AE41"/>
      <c r="AF41"/>
    </row>
    <row r="42" spans="2:44" ht="15.6" x14ac:dyDescent="0.3">
      <c r="B42" s="289">
        <f>IF(LoanIsGood,IF(ROW()-ROW(PaymentSchedule3[[#Headers],[Payment Number]])&gt;ScheduledNumberOfPayments,"",ROW()-ROW(PaymentSchedule3[[#Headers],[Payment Number]])),"")</f>
        <v>29</v>
      </c>
      <c r="C42" s="290">
        <f>IF(PaymentSchedule3[[#This Row],[Payment Number]]&lt;&gt;"",EOMONTH(LoanStartDate,ROW(PaymentSchedule3[[#This Row],[Payment Number]])-ROW(PaymentSchedule3[[#Headers],[Payment Number]])-2)+DAY(LoanStartDate),"")</f>
        <v>44856</v>
      </c>
      <c r="D42" s="291">
        <f>IF(PaymentSchedule3[[#This Row],[Payment Number]]&lt;&gt;"",IF(ROW()-ROW(PaymentSchedule3[[#Headers],[Beginning
Balance]])=1,LoanAmount,INDEX(PaymentSchedule3[Ending
Balance],ROW()-ROW(PaymentSchedule3[[#Headers],[Beginning
Balance]])-1)),"")</f>
        <v>27898.56029086711</v>
      </c>
      <c r="E42" s="292">
        <f>IF(PaymentSchedule3[[#This Row],[Payment Number]]&lt;&gt;"",ScheduledPayment,"")</f>
        <v>1434.5636067371058</v>
      </c>
      <c r="F42"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2"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2" s="291">
        <f>IF(PaymentSchedule3[[#This Row],[Payment Number]]&lt;&gt;"",PaymentSchedule3[[#This Row],[Total
Payment]]-PaymentSchedule3[[#This Row],[Interest]],"")</f>
        <v>1359.7024699566125</v>
      </c>
      <c r="I42" s="293">
        <f>IF(PaymentSchedule3[[#This Row],[Payment Number]]&lt;&gt;"",PaymentSchedule3[[#This Row],[Beginning
Balance]]*(InterestRate/PaymentsPerYear),"")</f>
        <v>74.86113678049341</v>
      </c>
      <c r="J42" s="291">
        <f>IF(PaymentSchedule3[[#This Row],[Payment Number]]&lt;&gt;"",IF(PaymentSchedule3[[#This Row],[Scheduled Payment]]+PaymentSchedule3[[#This Row],[Extra
Payment]]&lt;=PaymentSchedule3[[#This Row],[Beginning
Balance]],PaymentSchedule3[[#This Row],[Beginning
Balance]]-PaymentSchedule3[[#This Row],[Principal]],0),"")</f>
        <v>26538.857820910496</v>
      </c>
      <c r="K42" s="293">
        <f>IF(PaymentSchedule3[[#This Row],[Payment Number]]&lt;&gt;"",SUM(INDEX(PaymentSchedule3[Interest],1,1):PaymentSchedule3[[#This Row],[Interest]]),"")</f>
        <v>3613.3424162865595</v>
      </c>
      <c r="L42" s="300">
        <f>YEAR(PaymentSchedule3[[#This Row],[Payment
Date]])</f>
        <v>2022</v>
      </c>
      <c r="M42" s="300">
        <f>MONTH(PaymentSchedule3[[#This Row],[Payment
Date]])</f>
        <v>10</v>
      </c>
      <c r="N42" s="293"/>
      <c r="O42" s="293"/>
      <c r="R42"/>
      <c r="S42"/>
      <c r="T42"/>
      <c r="U42"/>
      <c r="V42"/>
      <c r="W42"/>
      <c r="X42"/>
      <c r="Y42"/>
      <c r="Z42"/>
      <c r="AA42"/>
      <c r="AB42"/>
      <c r="AC42"/>
      <c r="AD42"/>
      <c r="AE42"/>
      <c r="AF42"/>
    </row>
    <row r="43" spans="2:44" ht="15.6" x14ac:dyDescent="0.3">
      <c r="B43" s="289">
        <f>IF(LoanIsGood,IF(ROW()-ROW(PaymentSchedule3[[#Headers],[Payment Number]])&gt;ScheduledNumberOfPayments,"",ROW()-ROW(PaymentSchedule3[[#Headers],[Payment Number]])),"")</f>
        <v>30</v>
      </c>
      <c r="C43" s="290">
        <f>IF(PaymentSchedule3[[#This Row],[Payment Number]]&lt;&gt;"",EOMONTH(LoanStartDate,ROW(PaymentSchedule3[[#This Row],[Payment Number]])-ROW(PaymentSchedule3[[#Headers],[Payment Number]])-2)+DAY(LoanStartDate),"")</f>
        <v>44887</v>
      </c>
      <c r="D43" s="291">
        <f>IF(PaymentSchedule3[[#This Row],[Payment Number]]&lt;&gt;"",IF(ROW()-ROW(PaymentSchedule3[[#Headers],[Beginning
Balance]])=1,LoanAmount,INDEX(PaymentSchedule3[Ending
Balance],ROW()-ROW(PaymentSchedule3[[#Headers],[Beginning
Balance]])-1)),"")</f>
        <v>26538.857820910496</v>
      </c>
      <c r="E43" s="292">
        <f>IF(PaymentSchedule3[[#This Row],[Payment Number]]&lt;&gt;"",ScheduledPayment,"")</f>
        <v>1434.5636067371058</v>
      </c>
      <c r="F43"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3"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3" s="291">
        <f>IF(PaymentSchedule3[[#This Row],[Payment Number]]&lt;&gt;"",PaymentSchedule3[[#This Row],[Total
Payment]]-PaymentSchedule3[[#This Row],[Interest]],"")</f>
        <v>1363.3510049176627</v>
      </c>
      <c r="I43" s="293">
        <f>IF(PaymentSchedule3[[#This Row],[Payment Number]]&lt;&gt;"",PaymentSchedule3[[#This Row],[Beginning
Balance]]*(InterestRate/PaymentsPerYear),"")</f>
        <v>71.212601819443165</v>
      </c>
      <c r="J43" s="291">
        <f>IF(PaymentSchedule3[[#This Row],[Payment Number]]&lt;&gt;"",IF(PaymentSchedule3[[#This Row],[Scheduled Payment]]+PaymentSchedule3[[#This Row],[Extra
Payment]]&lt;=PaymentSchedule3[[#This Row],[Beginning
Balance]],PaymentSchedule3[[#This Row],[Beginning
Balance]]-PaymentSchedule3[[#This Row],[Principal]],0),"")</f>
        <v>25175.506815992834</v>
      </c>
      <c r="K43" s="293">
        <f>IF(PaymentSchedule3[[#This Row],[Payment Number]]&lt;&gt;"",SUM(INDEX(PaymentSchedule3[Interest],1,1):PaymentSchedule3[[#This Row],[Interest]]),"")</f>
        <v>3684.5550181060025</v>
      </c>
      <c r="L43" s="300">
        <f>YEAR(PaymentSchedule3[[#This Row],[Payment
Date]])</f>
        <v>2022</v>
      </c>
      <c r="M43" s="300">
        <f>MONTH(PaymentSchedule3[[#This Row],[Payment
Date]])</f>
        <v>11</v>
      </c>
      <c r="N43" s="293"/>
      <c r="O43" s="293"/>
      <c r="R43"/>
      <c r="S43"/>
      <c r="T43"/>
      <c r="U43"/>
      <c r="V43"/>
      <c r="W43"/>
      <c r="X43"/>
      <c r="Y43"/>
      <c r="Z43"/>
      <c r="AA43"/>
      <c r="AB43"/>
      <c r="AC43"/>
      <c r="AD43"/>
      <c r="AE43"/>
      <c r="AF43"/>
    </row>
    <row r="44" spans="2:44" ht="15.6" x14ac:dyDescent="0.3">
      <c r="B44" s="289">
        <f>IF(LoanIsGood,IF(ROW()-ROW(PaymentSchedule3[[#Headers],[Payment Number]])&gt;ScheduledNumberOfPayments,"",ROW()-ROW(PaymentSchedule3[[#Headers],[Payment Number]])),"")</f>
        <v>31</v>
      </c>
      <c r="C44" s="290">
        <f>IF(PaymentSchedule3[[#This Row],[Payment Number]]&lt;&gt;"",EOMONTH(LoanStartDate,ROW(PaymentSchedule3[[#This Row],[Payment Number]])-ROW(PaymentSchedule3[[#Headers],[Payment Number]])-2)+DAY(LoanStartDate),"")</f>
        <v>44917</v>
      </c>
      <c r="D44" s="291">
        <f>IF(PaymentSchedule3[[#This Row],[Payment Number]]&lt;&gt;"",IF(ROW()-ROW(PaymentSchedule3[[#Headers],[Beginning
Balance]])=1,LoanAmount,INDEX(PaymentSchedule3[Ending
Balance],ROW()-ROW(PaymentSchedule3[[#Headers],[Beginning
Balance]])-1)),"")</f>
        <v>25175.506815992834</v>
      </c>
      <c r="E44" s="292">
        <f>IF(PaymentSchedule3[[#This Row],[Payment Number]]&lt;&gt;"",ScheduledPayment,"")</f>
        <v>1434.5636067371058</v>
      </c>
      <c r="F44"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4"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4" s="291">
        <f>IF(PaymentSchedule3[[#This Row],[Payment Number]]&lt;&gt;"",PaymentSchedule3[[#This Row],[Total
Payment]]-PaymentSchedule3[[#This Row],[Interest]],"")</f>
        <v>1367.0093301141917</v>
      </c>
      <c r="I44" s="293">
        <f>IF(PaymentSchedule3[[#This Row],[Payment Number]]&lt;&gt;"",PaymentSchedule3[[#This Row],[Beginning
Balance]]*(InterestRate/PaymentsPerYear),"")</f>
        <v>67.554276622914102</v>
      </c>
      <c r="J44" s="291">
        <f>IF(PaymentSchedule3[[#This Row],[Payment Number]]&lt;&gt;"",IF(PaymentSchedule3[[#This Row],[Scheduled Payment]]+PaymentSchedule3[[#This Row],[Extra
Payment]]&lt;=PaymentSchedule3[[#This Row],[Beginning
Balance]],PaymentSchedule3[[#This Row],[Beginning
Balance]]-PaymentSchedule3[[#This Row],[Principal]],0),"")</f>
        <v>23808.497485878641</v>
      </c>
      <c r="K44" s="293">
        <f>IF(PaymentSchedule3[[#This Row],[Payment Number]]&lt;&gt;"",SUM(INDEX(PaymentSchedule3[Interest],1,1):PaymentSchedule3[[#This Row],[Interest]]),"")</f>
        <v>3752.1092947289167</v>
      </c>
      <c r="L44" s="300">
        <f>YEAR(PaymentSchedule3[[#This Row],[Payment
Date]])</f>
        <v>2022</v>
      </c>
      <c r="M44" s="300">
        <f>MONTH(PaymentSchedule3[[#This Row],[Payment
Date]])</f>
        <v>12</v>
      </c>
      <c r="N44" s="293"/>
      <c r="O44" s="293"/>
      <c r="R44"/>
      <c r="S44"/>
      <c r="T44"/>
      <c r="U44"/>
      <c r="V44"/>
      <c r="W44"/>
      <c r="X44"/>
      <c r="Y44"/>
      <c r="Z44"/>
      <c r="AA44"/>
      <c r="AB44"/>
      <c r="AC44"/>
      <c r="AD44"/>
      <c r="AE44"/>
      <c r="AF44"/>
    </row>
    <row r="45" spans="2:44" ht="15.6" x14ac:dyDescent="0.3">
      <c r="B45" s="289">
        <f>IF(LoanIsGood,IF(ROW()-ROW(PaymentSchedule3[[#Headers],[Payment Number]])&gt;ScheduledNumberOfPayments,"",ROW()-ROW(PaymentSchedule3[[#Headers],[Payment Number]])),"")</f>
        <v>32</v>
      </c>
      <c r="C45" s="290">
        <f>IF(PaymentSchedule3[[#This Row],[Payment Number]]&lt;&gt;"",EOMONTH(LoanStartDate,ROW(PaymentSchedule3[[#This Row],[Payment Number]])-ROW(PaymentSchedule3[[#Headers],[Payment Number]])-2)+DAY(LoanStartDate),"")</f>
        <v>44948</v>
      </c>
      <c r="D45" s="291">
        <f>IF(PaymentSchedule3[[#This Row],[Payment Number]]&lt;&gt;"",IF(ROW()-ROW(PaymentSchedule3[[#Headers],[Beginning
Balance]])=1,LoanAmount,INDEX(PaymentSchedule3[Ending
Balance],ROW()-ROW(PaymentSchedule3[[#Headers],[Beginning
Balance]])-1)),"")</f>
        <v>23808.497485878641</v>
      </c>
      <c r="E45" s="292">
        <f>IF(PaymentSchedule3[[#This Row],[Payment Number]]&lt;&gt;"",ScheduledPayment,"")</f>
        <v>1434.5636067371058</v>
      </c>
      <c r="F45"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5"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5" s="291">
        <f>IF(PaymentSchedule3[[#This Row],[Payment Number]]&lt;&gt;"",PaymentSchedule3[[#This Row],[Total
Payment]]-PaymentSchedule3[[#This Row],[Interest]],"")</f>
        <v>1370.6774718166648</v>
      </c>
      <c r="I45" s="293">
        <f>IF(PaymentSchedule3[[#This Row],[Payment Number]]&lt;&gt;"",PaymentSchedule3[[#This Row],[Beginning
Balance]]*(InterestRate/PaymentsPerYear),"")</f>
        <v>63.886134920441016</v>
      </c>
      <c r="J45" s="291">
        <f>IF(PaymentSchedule3[[#This Row],[Payment Number]]&lt;&gt;"",IF(PaymentSchedule3[[#This Row],[Scheduled Payment]]+PaymentSchedule3[[#This Row],[Extra
Payment]]&lt;=PaymentSchedule3[[#This Row],[Beginning
Balance]],PaymentSchedule3[[#This Row],[Beginning
Balance]]-PaymentSchedule3[[#This Row],[Principal]],0),"")</f>
        <v>22437.820014061977</v>
      </c>
      <c r="K45" s="293">
        <f>IF(PaymentSchedule3[[#This Row],[Payment Number]]&lt;&gt;"",SUM(INDEX(PaymentSchedule3[Interest],1,1):PaymentSchedule3[[#This Row],[Interest]]),"")</f>
        <v>3815.9954296493579</v>
      </c>
      <c r="L45" s="300">
        <f>YEAR(PaymentSchedule3[[#This Row],[Payment
Date]])</f>
        <v>2023</v>
      </c>
      <c r="M45" s="300">
        <f>MONTH(PaymentSchedule3[[#This Row],[Payment
Date]])</f>
        <v>1</v>
      </c>
      <c r="N45" s="293"/>
      <c r="O45" s="293"/>
      <c r="R45"/>
      <c r="S45"/>
      <c r="T45"/>
      <c r="U45"/>
      <c r="V45"/>
      <c r="W45"/>
      <c r="X45"/>
      <c r="Y45"/>
      <c r="Z45"/>
      <c r="AA45"/>
      <c r="AB45"/>
      <c r="AC45"/>
      <c r="AD45"/>
      <c r="AE45"/>
      <c r="AF45"/>
    </row>
    <row r="46" spans="2:44" ht="15.6" x14ac:dyDescent="0.3">
      <c r="B46" s="289">
        <f>IF(LoanIsGood,IF(ROW()-ROW(PaymentSchedule3[[#Headers],[Payment Number]])&gt;ScheduledNumberOfPayments,"",ROW()-ROW(PaymentSchedule3[[#Headers],[Payment Number]])),"")</f>
        <v>33</v>
      </c>
      <c r="C46" s="290">
        <f>IF(PaymentSchedule3[[#This Row],[Payment Number]]&lt;&gt;"",EOMONTH(LoanStartDate,ROW(PaymentSchedule3[[#This Row],[Payment Number]])-ROW(PaymentSchedule3[[#Headers],[Payment Number]])-2)+DAY(LoanStartDate),"")</f>
        <v>44979</v>
      </c>
      <c r="D46" s="291">
        <f>IF(PaymentSchedule3[[#This Row],[Payment Number]]&lt;&gt;"",IF(ROW()-ROW(PaymentSchedule3[[#Headers],[Beginning
Balance]])=1,LoanAmount,INDEX(PaymentSchedule3[Ending
Balance],ROW()-ROW(PaymentSchedule3[[#Headers],[Beginning
Balance]])-1)),"")</f>
        <v>22437.820014061977</v>
      </c>
      <c r="E46" s="292">
        <f>IF(PaymentSchedule3[[#This Row],[Payment Number]]&lt;&gt;"",ScheduledPayment,"")</f>
        <v>1434.5636067371058</v>
      </c>
      <c r="F46"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6"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6" s="291">
        <f>IF(PaymentSchedule3[[#This Row],[Payment Number]]&lt;&gt;"",PaymentSchedule3[[#This Row],[Total
Payment]]-PaymentSchedule3[[#This Row],[Interest]],"")</f>
        <v>1374.3554563660396</v>
      </c>
      <c r="I46" s="293">
        <f>IF(PaymentSchedule3[[#This Row],[Payment Number]]&lt;&gt;"",PaymentSchedule3[[#This Row],[Beginning
Balance]]*(InterestRate/PaymentsPerYear),"")</f>
        <v>60.208150371066303</v>
      </c>
      <c r="J46" s="291">
        <f>IF(PaymentSchedule3[[#This Row],[Payment Number]]&lt;&gt;"",IF(PaymentSchedule3[[#This Row],[Scheduled Payment]]+PaymentSchedule3[[#This Row],[Extra
Payment]]&lt;=PaymentSchedule3[[#This Row],[Beginning
Balance]],PaymentSchedule3[[#This Row],[Beginning
Balance]]-PaymentSchedule3[[#This Row],[Principal]],0),"")</f>
        <v>21063.464557695937</v>
      </c>
      <c r="K46" s="293">
        <f>IF(PaymentSchedule3[[#This Row],[Payment Number]]&lt;&gt;"",SUM(INDEX(PaymentSchedule3[Interest],1,1):PaymentSchedule3[[#This Row],[Interest]]),"")</f>
        <v>3876.2035800204244</v>
      </c>
      <c r="L46" s="300">
        <f>YEAR(PaymentSchedule3[[#This Row],[Payment
Date]])</f>
        <v>2023</v>
      </c>
      <c r="M46" s="300">
        <f>MONTH(PaymentSchedule3[[#This Row],[Payment
Date]])</f>
        <v>2</v>
      </c>
      <c r="N46" s="293"/>
      <c r="O46" s="293"/>
      <c r="R46"/>
      <c r="S46"/>
      <c r="T46"/>
      <c r="U46"/>
      <c r="V46"/>
      <c r="W46"/>
      <c r="X46"/>
      <c r="Y46"/>
      <c r="Z46"/>
      <c r="AA46"/>
      <c r="AB46"/>
      <c r="AC46"/>
      <c r="AD46"/>
      <c r="AE46"/>
      <c r="AF46"/>
    </row>
    <row r="47" spans="2:44" ht="15.6" x14ac:dyDescent="0.3">
      <c r="B47" s="289">
        <f>IF(LoanIsGood,IF(ROW()-ROW(PaymentSchedule3[[#Headers],[Payment Number]])&gt;ScheduledNumberOfPayments,"",ROW()-ROW(PaymentSchedule3[[#Headers],[Payment Number]])),"")</f>
        <v>34</v>
      </c>
      <c r="C47" s="290">
        <f>IF(PaymentSchedule3[[#This Row],[Payment Number]]&lt;&gt;"",EOMONTH(LoanStartDate,ROW(PaymentSchedule3[[#This Row],[Payment Number]])-ROW(PaymentSchedule3[[#Headers],[Payment Number]])-2)+DAY(LoanStartDate),"")</f>
        <v>45007</v>
      </c>
      <c r="D47" s="291">
        <f>IF(PaymentSchedule3[[#This Row],[Payment Number]]&lt;&gt;"",IF(ROW()-ROW(PaymentSchedule3[[#Headers],[Beginning
Balance]])=1,LoanAmount,INDEX(PaymentSchedule3[Ending
Balance],ROW()-ROW(PaymentSchedule3[[#Headers],[Beginning
Balance]])-1)),"")</f>
        <v>21063.464557695937</v>
      </c>
      <c r="E47" s="292">
        <f>IF(PaymentSchedule3[[#This Row],[Payment Number]]&lt;&gt;"",ScheduledPayment,"")</f>
        <v>1434.5636067371058</v>
      </c>
      <c r="F47"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7"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7" s="291">
        <f>IF(PaymentSchedule3[[#This Row],[Payment Number]]&lt;&gt;"",PaymentSchedule3[[#This Row],[Total
Payment]]-PaymentSchedule3[[#This Row],[Interest]],"")</f>
        <v>1378.043310173955</v>
      </c>
      <c r="I47" s="293">
        <f>IF(PaymentSchedule3[[#This Row],[Payment Number]]&lt;&gt;"",PaymentSchedule3[[#This Row],[Beginning
Balance]]*(InterestRate/PaymentsPerYear),"")</f>
        <v>56.520296563150758</v>
      </c>
      <c r="J47" s="291">
        <f>IF(PaymentSchedule3[[#This Row],[Payment Number]]&lt;&gt;"",IF(PaymentSchedule3[[#This Row],[Scheduled Payment]]+PaymentSchedule3[[#This Row],[Extra
Payment]]&lt;=PaymentSchedule3[[#This Row],[Beginning
Balance]],PaymentSchedule3[[#This Row],[Beginning
Balance]]-PaymentSchedule3[[#This Row],[Principal]],0),"")</f>
        <v>19685.421247521983</v>
      </c>
      <c r="K47" s="293">
        <f>IF(PaymentSchedule3[[#This Row],[Payment Number]]&lt;&gt;"",SUM(INDEX(PaymentSchedule3[Interest],1,1):PaymentSchedule3[[#This Row],[Interest]]),"")</f>
        <v>3932.723876583575</v>
      </c>
      <c r="L47" s="300">
        <f>YEAR(PaymentSchedule3[[#This Row],[Payment
Date]])</f>
        <v>2023</v>
      </c>
      <c r="M47" s="300">
        <f>MONTH(PaymentSchedule3[[#This Row],[Payment
Date]])</f>
        <v>3</v>
      </c>
      <c r="N47" s="293"/>
      <c r="O47" s="293"/>
      <c r="R47"/>
      <c r="S47"/>
      <c r="T47"/>
      <c r="U47"/>
      <c r="V47"/>
      <c r="W47"/>
      <c r="X47"/>
      <c r="Y47"/>
      <c r="Z47"/>
      <c r="AA47"/>
      <c r="AB47"/>
      <c r="AC47"/>
      <c r="AD47"/>
      <c r="AE47"/>
      <c r="AF47"/>
    </row>
    <row r="48" spans="2:44" ht="15.6" x14ac:dyDescent="0.3">
      <c r="B48" s="289">
        <f>IF(LoanIsGood,IF(ROW()-ROW(PaymentSchedule3[[#Headers],[Payment Number]])&gt;ScheduledNumberOfPayments,"",ROW()-ROW(PaymentSchedule3[[#Headers],[Payment Number]])),"")</f>
        <v>35</v>
      </c>
      <c r="C48" s="290">
        <f>IF(PaymentSchedule3[[#This Row],[Payment Number]]&lt;&gt;"",EOMONTH(LoanStartDate,ROW(PaymentSchedule3[[#This Row],[Payment Number]])-ROW(PaymentSchedule3[[#Headers],[Payment Number]])-2)+DAY(LoanStartDate),"")</f>
        <v>45038</v>
      </c>
      <c r="D48" s="291">
        <f>IF(PaymentSchedule3[[#This Row],[Payment Number]]&lt;&gt;"",IF(ROW()-ROW(PaymentSchedule3[[#Headers],[Beginning
Balance]])=1,LoanAmount,INDEX(PaymentSchedule3[Ending
Balance],ROW()-ROW(PaymentSchedule3[[#Headers],[Beginning
Balance]])-1)),"")</f>
        <v>19685.421247521983</v>
      </c>
      <c r="E48" s="292">
        <f>IF(PaymentSchedule3[[#This Row],[Payment Number]]&lt;&gt;"",ScheduledPayment,"")</f>
        <v>1434.5636067371058</v>
      </c>
      <c r="F48"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8"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8" s="291">
        <f>IF(PaymentSchedule3[[#This Row],[Payment Number]]&lt;&gt;"",PaymentSchedule3[[#This Row],[Total
Payment]]-PaymentSchedule3[[#This Row],[Interest]],"")</f>
        <v>1381.7410597229218</v>
      </c>
      <c r="I48" s="293">
        <f>IF(PaymentSchedule3[[#This Row],[Payment Number]]&lt;&gt;"",PaymentSchedule3[[#This Row],[Beginning
Balance]]*(InterestRate/PaymentsPerYear),"")</f>
        <v>52.822547014183982</v>
      </c>
      <c r="J48" s="291">
        <f>IF(PaymentSchedule3[[#This Row],[Payment Number]]&lt;&gt;"",IF(PaymentSchedule3[[#This Row],[Scheduled Payment]]+PaymentSchedule3[[#This Row],[Extra
Payment]]&lt;=PaymentSchedule3[[#This Row],[Beginning
Balance]],PaymentSchedule3[[#This Row],[Beginning
Balance]]-PaymentSchedule3[[#This Row],[Principal]],0),"")</f>
        <v>18303.680187799062</v>
      </c>
      <c r="K48" s="293">
        <f>IF(PaymentSchedule3[[#This Row],[Payment Number]]&lt;&gt;"",SUM(INDEX(PaymentSchedule3[Interest],1,1):PaymentSchedule3[[#This Row],[Interest]]),"")</f>
        <v>3985.5464235977588</v>
      </c>
      <c r="L48" s="300">
        <f>YEAR(PaymentSchedule3[[#This Row],[Payment
Date]])</f>
        <v>2023</v>
      </c>
      <c r="M48" s="300">
        <f>MONTH(PaymentSchedule3[[#This Row],[Payment
Date]])</f>
        <v>4</v>
      </c>
      <c r="N48" s="293"/>
      <c r="O48" s="293"/>
      <c r="R48"/>
      <c r="S48"/>
      <c r="T48"/>
      <c r="U48"/>
      <c r="V48"/>
      <c r="W48"/>
      <c r="X48"/>
      <c r="Y48"/>
      <c r="Z48"/>
      <c r="AA48"/>
      <c r="AB48"/>
      <c r="AC48"/>
      <c r="AD48"/>
      <c r="AE48"/>
      <c r="AF48"/>
    </row>
    <row r="49" spans="2:32" ht="15.6" x14ac:dyDescent="0.3">
      <c r="B49" s="289">
        <f>IF(LoanIsGood,IF(ROW()-ROW(PaymentSchedule3[[#Headers],[Payment Number]])&gt;ScheduledNumberOfPayments,"",ROW()-ROW(PaymentSchedule3[[#Headers],[Payment Number]])),"")</f>
        <v>36</v>
      </c>
      <c r="C49" s="290">
        <f>IF(PaymentSchedule3[[#This Row],[Payment Number]]&lt;&gt;"",EOMONTH(LoanStartDate,ROW(PaymentSchedule3[[#This Row],[Payment Number]])-ROW(PaymentSchedule3[[#Headers],[Payment Number]])-2)+DAY(LoanStartDate),"")</f>
        <v>45068</v>
      </c>
      <c r="D49" s="291">
        <f>IF(PaymentSchedule3[[#This Row],[Payment Number]]&lt;&gt;"",IF(ROW()-ROW(PaymentSchedule3[[#Headers],[Beginning
Balance]])=1,LoanAmount,INDEX(PaymentSchedule3[Ending
Balance],ROW()-ROW(PaymentSchedule3[[#Headers],[Beginning
Balance]])-1)),"")</f>
        <v>18303.680187799062</v>
      </c>
      <c r="E49" s="292">
        <f>IF(PaymentSchedule3[[#This Row],[Payment Number]]&lt;&gt;"",ScheduledPayment,"")</f>
        <v>1434.5636067371058</v>
      </c>
      <c r="F49"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49"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49" s="291">
        <f>IF(PaymentSchedule3[[#This Row],[Payment Number]]&lt;&gt;"",PaymentSchedule3[[#This Row],[Total
Payment]]-PaymentSchedule3[[#This Row],[Interest]],"")</f>
        <v>1385.4487315665117</v>
      </c>
      <c r="I49" s="293">
        <f>IF(PaymentSchedule3[[#This Row],[Payment Number]]&lt;&gt;"",PaymentSchedule3[[#This Row],[Beginning
Balance]]*(InterestRate/PaymentsPerYear),"")</f>
        <v>49.114875170594146</v>
      </c>
      <c r="J49" s="291">
        <f>IF(PaymentSchedule3[[#This Row],[Payment Number]]&lt;&gt;"",IF(PaymentSchedule3[[#This Row],[Scheduled Payment]]+PaymentSchedule3[[#This Row],[Extra
Payment]]&lt;=PaymentSchedule3[[#This Row],[Beginning
Balance]],PaymentSchedule3[[#This Row],[Beginning
Balance]]-PaymentSchedule3[[#This Row],[Principal]],0),"")</f>
        <v>16918.231456232552</v>
      </c>
      <c r="K49" s="293">
        <f>IF(PaymentSchedule3[[#This Row],[Payment Number]]&lt;&gt;"",SUM(INDEX(PaymentSchedule3[Interest],1,1):PaymentSchedule3[[#This Row],[Interest]]),"")</f>
        <v>4034.6612987683529</v>
      </c>
      <c r="L49" s="300">
        <f>YEAR(PaymentSchedule3[[#This Row],[Payment
Date]])</f>
        <v>2023</v>
      </c>
      <c r="M49" s="300">
        <f>MONTH(PaymentSchedule3[[#This Row],[Payment
Date]])</f>
        <v>5</v>
      </c>
      <c r="N49" s="293"/>
      <c r="O49" s="293"/>
      <c r="R49"/>
      <c r="S49"/>
      <c r="T49"/>
      <c r="U49"/>
      <c r="V49"/>
      <c r="W49"/>
      <c r="X49"/>
      <c r="Y49"/>
      <c r="Z49"/>
      <c r="AA49"/>
      <c r="AB49"/>
      <c r="AC49"/>
      <c r="AD49"/>
      <c r="AE49"/>
      <c r="AF49"/>
    </row>
    <row r="50" spans="2:32" ht="15.6" x14ac:dyDescent="0.3">
      <c r="B50" s="289">
        <f>IF(LoanIsGood,IF(ROW()-ROW(PaymentSchedule3[[#Headers],[Payment Number]])&gt;ScheduledNumberOfPayments,"",ROW()-ROW(PaymentSchedule3[[#Headers],[Payment Number]])),"")</f>
        <v>37</v>
      </c>
      <c r="C50" s="290">
        <f>IF(PaymentSchedule3[[#This Row],[Payment Number]]&lt;&gt;"",EOMONTH(LoanStartDate,ROW(PaymentSchedule3[[#This Row],[Payment Number]])-ROW(PaymentSchedule3[[#Headers],[Payment Number]])-2)+DAY(LoanStartDate),"")</f>
        <v>45099</v>
      </c>
      <c r="D50" s="291">
        <f>IF(PaymentSchedule3[[#This Row],[Payment Number]]&lt;&gt;"",IF(ROW()-ROW(PaymentSchedule3[[#Headers],[Beginning
Balance]])=1,LoanAmount,INDEX(PaymentSchedule3[Ending
Balance],ROW()-ROW(PaymentSchedule3[[#Headers],[Beginning
Balance]])-1)),"")</f>
        <v>16918.231456232552</v>
      </c>
      <c r="E50" s="292">
        <f>IF(PaymentSchedule3[[#This Row],[Payment Number]]&lt;&gt;"",ScheduledPayment,"")</f>
        <v>1434.5636067371058</v>
      </c>
      <c r="F50"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0"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0" s="291">
        <f>IF(PaymentSchedule3[[#This Row],[Payment Number]]&lt;&gt;"",PaymentSchedule3[[#This Row],[Total
Payment]]-PaymentSchedule3[[#This Row],[Interest]],"")</f>
        <v>1389.1663523295485</v>
      </c>
      <c r="I50" s="293">
        <f>IF(PaymentSchedule3[[#This Row],[Payment Number]]&lt;&gt;"",PaymentSchedule3[[#This Row],[Beginning
Balance]]*(InterestRate/PaymentsPerYear),"")</f>
        <v>45.397254407557341</v>
      </c>
      <c r="J50" s="291">
        <f>IF(PaymentSchedule3[[#This Row],[Payment Number]]&lt;&gt;"",IF(PaymentSchedule3[[#This Row],[Scheduled Payment]]+PaymentSchedule3[[#This Row],[Extra
Payment]]&lt;=PaymentSchedule3[[#This Row],[Beginning
Balance]],PaymentSchedule3[[#This Row],[Beginning
Balance]]-PaymentSchedule3[[#This Row],[Principal]],0),"")</f>
        <v>15529.065103903004</v>
      </c>
      <c r="K50" s="293">
        <f>IF(PaymentSchedule3[[#This Row],[Payment Number]]&lt;&gt;"",SUM(INDEX(PaymentSchedule3[Interest],1,1):PaymentSchedule3[[#This Row],[Interest]]),"")</f>
        <v>4080.0585531759102</v>
      </c>
      <c r="L50" s="300">
        <f>YEAR(PaymentSchedule3[[#This Row],[Payment
Date]])</f>
        <v>2023</v>
      </c>
      <c r="M50" s="300">
        <f>MONTH(PaymentSchedule3[[#This Row],[Payment
Date]])</f>
        <v>6</v>
      </c>
      <c r="N50" s="293"/>
      <c r="O50" s="293"/>
      <c r="R50"/>
      <c r="S50"/>
      <c r="T50"/>
      <c r="U50"/>
      <c r="V50"/>
      <c r="W50"/>
      <c r="X50"/>
      <c r="Y50"/>
      <c r="Z50"/>
      <c r="AA50"/>
      <c r="AB50"/>
      <c r="AC50"/>
      <c r="AD50"/>
      <c r="AE50"/>
      <c r="AF50"/>
    </row>
    <row r="51" spans="2:32" ht="15.6" x14ac:dyDescent="0.3">
      <c r="B51" s="289">
        <f>IF(LoanIsGood,IF(ROW()-ROW(PaymentSchedule3[[#Headers],[Payment Number]])&gt;ScheduledNumberOfPayments,"",ROW()-ROW(PaymentSchedule3[[#Headers],[Payment Number]])),"")</f>
        <v>38</v>
      </c>
      <c r="C51" s="290">
        <f>IF(PaymentSchedule3[[#This Row],[Payment Number]]&lt;&gt;"",EOMONTH(LoanStartDate,ROW(PaymentSchedule3[[#This Row],[Payment Number]])-ROW(PaymentSchedule3[[#Headers],[Payment Number]])-2)+DAY(LoanStartDate),"")</f>
        <v>45129</v>
      </c>
      <c r="D51" s="291">
        <f>IF(PaymentSchedule3[[#This Row],[Payment Number]]&lt;&gt;"",IF(ROW()-ROW(PaymentSchedule3[[#Headers],[Beginning
Balance]])=1,LoanAmount,INDEX(PaymentSchedule3[Ending
Balance],ROW()-ROW(PaymentSchedule3[[#Headers],[Beginning
Balance]])-1)),"")</f>
        <v>15529.065103903004</v>
      </c>
      <c r="E51" s="292">
        <f>IF(PaymentSchedule3[[#This Row],[Payment Number]]&lt;&gt;"",ScheduledPayment,"")</f>
        <v>1434.5636067371058</v>
      </c>
      <c r="F51"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1"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1" s="291">
        <f>IF(PaymentSchedule3[[#This Row],[Payment Number]]&lt;&gt;"",PaymentSchedule3[[#This Row],[Total
Payment]]-PaymentSchedule3[[#This Row],[Interest]],"")</f>
        <v>1392.8939487082994</v>
      </c>
      <c r="I51" s="293">
        <f>IF(PaymentSchedule3[[#This Row],[Payment Number]]&lt;&gt;"",PaymentSchedule3[[#This Row],[Beginning
Balance]]*(InterestRate/PaymentsPerYear),"")</f>
        <v>41.669658028806388</v>
      </c>
      <c r="J51" s="291">
        <f>IF(PaymentSchedule3[[#This Row],[Payment Number]]&lt;&gt;"",IF(PaymentSchedule3[[#This Row],[Scheduled Payment]]+PaymentSchedule3[[#This Row],[Extra
Payment]]&lt;=PaymentSchedule3[[#This Row],[Beginning
Balance]],PaymentSchedule3[[#This Row],[Beginning
Balance]]-PaymentSchedule3[[#This Row],[Principal]],0),"")</f>
        <v>14136.171155194705</v>
      </c>
      <c r="K51" s="293">
        <f>IF(PaymentSchedule3[[#This Row],[Payment Number]]&lt;&gt;"",SUM(INDEX(PaymentSchedule3[Interest],1,1):PaymentSchedule3[[#This Row],[Interest]]),"")</f>
        <v>4121.7282112047169</v>
      </c>
      <c r="L51" s="300">
        <f>YEAR(PaymentSchedule3[[#This Row],[Payment
Date]])</f>
        <v>2023</v>
      </c>
      <c r="M51" s="300">
        <f>MONTH(PaymentSchedule3[[#This Row],[Payment
Date]])</f>
        <v>7</v>
      </c>
      <c r="N51" s="293"/>
      <c r="O51" s="293"/>
      <c r="R51"/>
      <c r="S51"/>
      <c r="T51"/>
      <c r="U51"/>
      <c r="V51"/>
      <c r="W51"/>
      <c r="X51"/>
      <c r="Y51"/>
      <c r="Z51"/>
      <c r="AA51"/>
      <c r="AB51"/>
      <c r="AC51"/>
      <c r="AD51"/>
      <c r="AE51"/>
      <c r="AF51"/>
    </row>
    <row r="52" spans="2:32" ht="15.6" x14ac:dyDescent="0.3">
      <c r="B52" s="289">
        <f>IF(LoanIsGood,IF(ROW()-ROW(PaymentSchedule3[[#Headers],[Payment Number]])&gt;ScheduledNumberOfPayments,"",ROW()-ROW(PaymentSchedule3[[#Headers],[Payment Number]])),"")</f>
        <v>39</v>
      </c>
      <c r="C52" s="290">
        <f>IF(PaymentSchedule3[[#This Row],[Payment Number]]&lt;&gt;"",EOMONTH(LoanStartDate,ROW(PaymentSchedule3[[#This Row],[Payment Number]])-ROW(PaymentSchedule3[[#Headers],[Payment Number]])-2)+DAY(LoanStartDate),"")</f>
        <v>45160</v>
      </c>
      <c r="D52" s="291">
        <f>IF(PaymentSchedule3[[#This Row],[Payment Number]]&lt;&gt;"",IF(ROW()-ROW(PaymentSchedule3[[#Headers],[Beginning
Balance]])=1,LoanAmount,INDEX(PaymentSchedule3[Ending
Balance],ROW()-ROW(PaymentSchedule3[[#Headers],[Beginning
Balance]])-1)),"")</f>
        <v>14136.171155194705</v>
      </c>
      <c r="E52" s="292">
        <f>IF(PaymentSchedule3[[#This Row],[Payment Number]]&lt;&gt;"",ScheduledPayment,"")</f>
        <v>1434.5636067371058</v>
      </c>
      <c r="F52"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2"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2" s="291">
        <f>IF(PaymentSchedule3[[#This Row],[Payment Number]]&lt;&gt;"",PaymentSchedule3[[#This Row],[Total
Payment]]-PaymentSchedule3[[#This Row],[Interest]],"")</f>
        <v>1396.6315474706666</v>
      </c>
      <c r="I52" s="293">
        <f>IF(PaymentSchedule3[[#This Row],[Payment Number]]&lt;&gt;"",PaymentSchedule3[[#This Row],[Beginning
Balance]]*(InterestRate/PaymentsPerYear),"")</f>
        <v>37.932059266439119</v>
      </c>
      <c r="J52" s="291">
        <f>IF(PaymentSchedule3[[#This Row],[Payment Number]]&lt;&gt;"",IF(PaymentSchedule3[[#This Row],[Scheduled Payment]]+PaymentSchedule3[[#This Row],[Extra
Payment]]&lt;=PaymentSchedule3[[#This Row],[Beginning
Balance]],PaymentSchedule3[[#This Row],[Beginning
Balance]]-PaymentSchedule3[[#This Row],[Principal]],0),"")</f>
        <v>12739.539607724038</v>
      </c>
      <c r="K52" s="293">
        <f>IF(PaymentSchedule3[[#This Row],[Payment Number]]&lt;&gt;"",SUM(INDEX(PaymentSchedule3[Interest],1,1):PaymentSchedule3[[#This Row],[Interest]]),"")</f>
        <v>4159.6602704711559</v>
      </c>
      <c r="L52" s="300">
        <f>YEAR(PaymentSchedule3[[#This Row],[Payment
Date]])</f>
        <v>2023</v>
      </c>
      <c r="M52" s="300">
        <f>MONTH(PaymentSchedule3[[#This Row],[Payment
Date]])</f>
        <v>8</v>
      </c>
      <c r="N52" s="293"/>
      <c r="O52" s="293"/>
      <c r="R52"/>
      <c r="S52"/>
      <c r="T52"/>
      <c r="U52"/>
      <c r="V52"/>
      <c r="W52"/>
      <c r="X52"/>
      <c r="Y52"/>
      <c r="Z52"/>
      <c r="AA52"/>
      <c r="AB52"/>
      <c r="AC52"/>
      <c r="AD52"/>
      <c r="AE52"/>
      <c r="AF52"/>
    </row>
    <row r="53" spans="2:32" ht="15.6" x14ac:dyDescent="0.3">
      <c r="B53" s="289">
        <f>IF(LoanIsGood,IF(ROW()-ROW(PaymentSchedule3[[#Headers],[Payment Number]])&gt;ScheduledNumberOfPayments,"",ROW()-ROW(PaymentSchedule3[[#Headers],[Payment Number]])),"")</f>
        <v>40</v>
      </c>
      <c r="C53" s="290">
        <f>IF(PaymentSchedule3[[#This Row],[Payment Number]]&lt;&gt;"",EOMONTH(LoanStartDate,ROW(PaymentSchedule3[[#This Row],[Payment Number]])-ROW(PaymentSchedule3[[#Headers],[Payment Number]])-2)+DAY(LoanStartDate),"")</f>
        <v>45191</v>
      </c>
      <c r="D53" s="291">
        <f>IF(PaymentSchedule3[[#This Row],[Payment Number]]&lt;&gt;"",IF(ROW()-ROW(PaymentSchedule3[[#Headers],[Beginning
Balance]])=1,LoanAmount,INDEX(PaymentSchedule3[Ending
Balance],ROW()-ROW(PaymentSchedule3[[#Headers],[Beginning
Balance]])-1)),"")</f>
        <v>12739.539607724038</v>
      </c>
      <c r="E53" s="292">
        <f>IF(PaymentSchedule3[[#This Row],[Payment Number]]&lt;&gt;"",ScheduledPayment,"")</f>
        <v>1434.5636067371058</v>
      </c>
      <c r="F53"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3"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3" s="291">
        <f>IF(PaymentSchedule3[[#This Row],[Payment Number]]&lt;&gt;"",PaymentSchedule3[[#This Row],[Total
Payment]]-PaymentSchedule3[[#This Row],[Interest]],"")</f>
        <v>1400.3791754563797</v>
      </c>
      <c r="I53" s="293">
        <f>IF(PaymentSchedule3[[#This Row],[Payment Number]]&lt;&gt;"",PaymentSchedule3[[#This Row],[Beginning
Balance]]*(InterestRate/PaymentsPerYear),"")</f>
        <v>34.184431280726166</v>
      </c>
      <c r="J53" s="291">
        <f>IF(PaymentSchedule3[[#This Row],[Payment Number]]&lt;&gt;"",IF(PaymentSchedule3[[#This Row],[Scheduled Payment]]+PaymentSchedule3[[#This Row],[Extra
Payment]]&lt;=PaymentSchedule3[[#This Row],[Beginning
Balance]],PaymentSchedule3[[#This Row],[Beginning
Balance]]-PaymentSchedule3[[#This Row],[Principal]],0),"")</f>
        <v>11339.160432267659</v>
      </c>
      <c r="K53" s="293">
        <f>IF(PaymentSchedule3[[#This Row],[Payment Number]]&lt;&gt;"",SUM(INDEX(PaymentSchedule3[Interest],1,1):PaymentSchedule3[[#This Row],[Interest]]),"")</f>
        <v>4193.844701751882</v>
      </c>
      <c r="L53" s="300">
        <f>YEAR(PaymentSchedule3[[#This Row],[Payment
Date]])</f>
        <v>2023</v>
      </c>
      <c r="M53" s="300">
        <f>MONTH(PaymentSchedule3[[#This Row],[Payment
Date]])</f>
        <v>9</v>
      </c>
      <c r="N53" s="293"/>
      <c r="O53" s="293"/>
      <c r="R53"/>
      <c r="S53"/>
      <c r="T53"/>
      <c r="U53"/>
      <c r="V53"/>
      <c r="W53"/>
      <c r="X53"/>
      <c r="Y53"/>
      <c r="Z53"/>
      <c r="AA53"/>
      <c r="AB53"/>
      <c r="AC53"/>
      <c r="AD53"/>
      <c r="AE53"/>
      <c r="AF53"/>
    </row>
    <row r="54" spans="2:32" ht="15.6" x14ac:dyDescent="0.3">
      <c r="B54" s="289">
        <f>IF(LoanIsGood,IF(ROW()-ROW(PaymentSchedule3[[#Headers],[Payment Number]])&gt;ScheduledNumberOfPayments,"",ROW()-ROW(PaymentSchedule3[[#Headers],[Payment Number]])),"")</f>
        <v>41</v>
      </c>
      <c r="C54" s="290">
        <f>IF(PaymentSchedule3[[#This Row],[Payment Number]]&lt;&gt;"",EOMONTH(LoanStartDate,ROW(PaymentSchedule3[[#This Row],[Payment Number]])-ROW(PaymentSchedule3[[#Headers],[Payment Number]])-2)+DAY(LoanStartDate),"")</f>
        <v>45221</v>
      </c>
      <c r="D54" s="291">
        <f>IF(PaymentSchedule3[[#This Row],[Payment Number]]&lt;&gt;"",IF(ROW()-ROW(PaymentSchedule3[[#Headers],[Beginning
Balance]])=1,LoanAmount,INDEX(PaymentSchedule3[Ending
Balance],ROW()-ROW(PaymentSchedule3[[#Headers],[Beginning
Balance]])-1)),"")</f>
        <v>11339.160432267659</v>
      </c>
      <c r="E54" s="292">
        <f>IF(PaymentSchedule3[[#This Row],[Payment Number]]&lt;&gt;"",ScheduledPayment,"")</f>
        <v>1434.5636067371058</v>
      </c>
      <c r="F54"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4"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4" s="291">
        <f>IF(PaymentSchedule3[[#This Row],[Payment Number]]&lt;&gt;"",PaymentSchedule3[[#This Row],[Total
Payment]]-PaymentSchedule3[[#This Row],[Interest]],"")</f>
        <v>1404.1368595771876</v>
      </c>
      <c r="I54" s="293">
        <f>IF(PaymentSchedule3[[#This Row],[Payment Number]]&lt;&gt;"",PaymentSchedule3[[#This Row],[Beginning
Balance]]*(InterestRate/PaymentsPerYear),"")</f>
        <v>30.426747159918218</v>
      </c>
      <c r="J54" s="291">
        <f>IF(PaymentSchedule3[[#This Row],[Payment Number]]&lt;&gt;"",IF(PaymentSchedule3[[#This Row],[Scheduled Payment]]+PaymentSchedule3[[#This Row],[Extra
Payment]]&lt;=PaymentSchedule3[[#This Row],[Beginning
Balance]],PaymentSchedule3[[#This Row],[Beginning
Balance]]-PaymentSchedule3[[#This Row],[Principal]],0),"")</f>
        <v>9935.0235726904721</v>
      </c>
      <c r="K54" s="293">
        <f>IF(PaymentSchedule3[[#This Row],[Payment Number]]&lt;&gt;"",SUM(INDEX(PaymentSchedule3[Interest],1,1):PaymentSchedule3[[#This Row],[Interest]]),"")</f>
        <v>4224.2714489117998</v>
      </c>
      <c r="L54" s="300">
        <f>YEAR(PaymentSchedule3[[#This Row],[Payment
Date]])</f>
        <v>2023</v>
      </c>
      <c r="M54" s="300">
        <f>MONTH(PaymentSchedule3[[#This Row],[Payment
Date]])</f>
        <v>10</v>
      </c>
      <c r="N54" s="293"/>
      <c r="O54" s="293"/>
      <c r="R54"/>
      <c r="S54"/>
      <c r="T54"/>
      <c r="U54"/>
      <c r="V54"/>
      <c r="W54"/>
      <c r="X54"/>
      <c r="Y54"/>
      <c r="Z54"/>
      <c r="AA54"/>
      <c r="AB54"/>
      <c r="AC54"/>
      <c r="AD54"/>
      <c r="AE54"/>
      <c r="AF54"/>
    </row>
    <row r="55" spans="2:32" ht="15.6" x14ac:dyDescent="0.3">
      <c r="B55" s="289">
        <f>IF(LoanIsGood,IF(ROW()-ROW(PaymentSchedule3[[#Headers],[Payment Number]])&gt;ScheduledNumberOfPayments,"",ROW()-ROW(PaymentSchedule3[[#Headers],[Payment Number]])),"")</f>
        <v>42</v>
      </c>
      <c r="C55" s="290">
        <f>IF(PaymentSchedule3[[#This Row],[Payment Number]]&lt;&gt;"",EOMONTH(LoanStartDate,ROW(PaymentSchedule3[[#This Row],[Payment Number]])-ROW(PaymentSchedule3[[#Headers],[Payment Number]])-2)+DAY(LoanStartDate),"")</f>
        <v>45252</v>
      </c>
      <c r="D55" s="291">
        <f>IF(PaymentSchedule3[[#This Row],[Payment Number]]&lt;&gt;"",IF(ROW()-ROW(PaymentSchedule3[[#Headers],[Beginning
Balance]])=1,LoanAmount,INDEX(PaymentSchedule3[Ending
Balance],ROW()-ROW(PaymentSchedule3[[#Headers],[Beginning
Balance]])-1)),"")</f>
        <v>9935.0235726904721</v>
      </c>
      <c r="E55" s="292">
        <f>IF(PaymentSchedule3[[#This Row],[Payment Number]]&lt;&gt;"",ScheduledPayment,"")</f>
        <v>1434.5636067371058</v>
      </c>
      <c r="F55"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5"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5" s="291">
        <f>IF(PaymentSchedule3[[#This Row],[Payment Number]]&lt;&gt;"",PaymentSchedule3[[#This Row],[Total
Payment]]-PaymentSchedule3[[#This Row],[Interest]],"")</f>
        <v>1407.904626817053</v>
      </c>
      <c r="I55" s="293">
        <f>IF(PaymentSchedule3[[#This Row],[Payment Number]]&lt;&gt;"",PaymentSchedule3[[#This Row],[Beginning
Balance]]*(InterestRate/PaymentsPerYear),"")</f>
        <v>26.658979920052765</v>
      </c>
      <c r="J55" s="291">
        <f>IF(PaymentSchedule3[[#This Row],[Payment Number]]&lt;&gt;"",IF(PaymentSchedule3[[#This Row],[Scheduled Payment]]+PaymentSchedule3[[#This Row],[Extra
Payment]]&lt;=PaymentSchedule3[[#This Row],[Beginning
Balance]],PaymentSchedule3[[#This Row],[Beginning
Balance]]-PaymentSchedule3[[#This Row],[Principal]],0),"")</f>
        <v>8527.1189458734189</v>
      </c>
      <c r="K55" s="293">
        <f>IF(PaymentSchedule3[[#This Row],[Payment Number]]&lt;&gt;"",SUM(INDEX(PaymentSchedule3[Interest],1,1):PaymentSchedule3[[#This Row],[Interest]]),"")</f>
        <v>4250.9304288318526</v>
      </c>
      <c r="L55" s="300">
        <f>YEAR(PaymentSchedule3[[#This Row],[Payment
Date]])</f>
        <v>2023</v>
      </c>
      <c r="M55" s="300">
        <f>MONTH(PaymentSchedule3[[#This Row],[Payment
Date]])</f>
        <v>11</v>
      </c>
      <c r="N55" s="293"/>
      <c r="O55" s="293"/>
      <c r="R55"/>
      <c r="S55"/>
      <c r="T55"/>
      <c r="U55"/>
      <c r="V55"/>
      <c r="W55"/>
      <c r="X55"/>
      <c r="Y55"/>
      <c r="Z55"/>
      <c r="AA55"/>
      <c r="AB55"/>
      <c r="AC55"/>
      <c r="AD55"/>
      <c r="AE55"/>
      <c r="AF55"/>
    </row>
    <row r="56" spans="2:32" ht="15.6" x14ac:dyDescent="0.3">
      <c r="B56" s="289">
        <f>IF(LoanIsGood,IF(ROW()-ROW(PaymentSchedule3[[#Headers],[Payment Number]])&gt;ScheduledNumberOfPayments,"",ROW()-ROW(PaymentSchedule3[[#Headers],[Payment Number]])),"")</f>
        <v>43</v>
      </c>
      <c r="C56" s="290">
        <f>IF(PaymentSchedule3[[#This Row],[Payment Number]]&lt;&gt;"",EOMONTH(LoanStartDate,ROW(PaymentSchedule3[[#This Row],[Payment Number]])-ROW(PaymentSchedule3[[#Headers],[Payment Number]])-2)+DAY(LoanStartDate),"")</f>
        <v>45282</v>
      </c>
      <c r="D56" s="291">
        <f>IF(PaymentSchedule3[[#This Row],[Payment Number]]&lt;&gt;"",IF(ROW()-ROW(PaymentSchedule3[[#Headers],[Beginning
Balance]])=1,LoanAmount,INDEX(PaymentSchedule3[Ending
Balance],ROW()-ROW(PaymentSchedule3[[#Headers],[Beginning
Balance]])-1)),"")</f>
        <v>8527.1189458734189</v>
      </c>
      <c r="E56" s="292">
        <f>IF(PaymentSchedule3[[#This Row],[Payment Number]]&lt;&gt;"",ScheduledPayment,"")</f>
        <v>1434.5636067371058</v>
      </c>
      <c r="F56"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6"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6" s="291">
        <f>IF(PaymentSchedule3[[#This Row],[Payment Number]]&lt;&gt;"",PaymentSchedule3[[#This Row],[Total
Payment]]-PaymentSchedule3[[#This Row],[Interest]],"")</f>
        <v>1411.6825042323455</v>
      </c>
      <c r="I56" s="293">
        <f>IF(PaymentSchedule3[[#This Row],[Payment Number]]&lt;&gt;"",PaymentSchedule3[[#This Row],[Beginning
Balance]]*(InterestRate/PaymentsPerYear),"")</f>
        <v>22.881102504760339</v>
      </c>
      <c r="J56" s="291">
        <f>IF(PaymentSchedule3[[#This Row],[Payment Number]]&lt;&gt;"",IF(PaymentSchedule3[[#This Row],[Scheduled Payment]]+PaymentSchedule3[[#This Row],[Extra
Payment]]&lt;=PaymentSchedule3[[#This Row],[Beginning
Balance]],PaymentSchedule3[[#This Row],[Beginning
Balance]]-PaymentSchedule3[[#This Row],[Principal]],0),"")</f>
        <v>7115.4364416410735</v>
      </c>
      <c r="K56" s="293">
        <f>IF(PaymentSchedule3[[#This Row],[Payment Number]]&lt;&gt;"",SUM(INDEX(PaymentSchedule3[Interest],1,1):PaymentSchedule3[[#This Row],[Interest]]),"")</f>
        <v>4273.8115313366134</v>
      </c>
      <c r="L56" s="300">
        <f>YEAR(PaymentSchedule3[[#This Row],[Payment
Date]])</f>
        <v>2023</v>
      </c>
      <c r="M56" s="300">
        <f>MONTH(PaymentSchedule3[[#This Row],[Payment
Date]])</f>
        <v>12</v>
      </c>
      <c r="N56" s="293"/>
      <c r="O56" s="293"/>
      <c r="R56"/>
      <c r="S56"/>
      <c r="T56"/>
      <c r="U56"/>
      <c r="V56"/>
      <c r="W56"/>
      <c r="X56"/>
      <c r="Y56"/>
      <c r="Z56"/>
      <c r="AA56"/>
      <c r="AB56"/>
      <c r="AC56"/>
      <c r="AD56"/>
      <c r="AE56"/>
      <c r="AF56"/>
    </row>
    <row r="57" spans="2:32" ht="15.6" x14ac:dyDescent="0.3">
      <c r="B57" s="289">
        <f>IF(LoanIsGood,IF(ROW()-ROW(PaymentSchedule3[[#Headers],[Payment Number]])&gt;ScheduledNumberOfPayments,"",ROW()-ROW(PaymentSchedule3[[#Headers],[Payment Number]])),"")</f>
        <v>44</v>
      </c>
      <c r="C57" s="290">
        <f>IF(PaymentSchedule3[[#This Row],[Payment Number]]&lt;&gt;"",EOMONTH(LoanStartDate,ROW(PaymentSchedule3[[#This Row],[Payment Number]])-ROW(PaymentSchedule3[[#Headers],[Payment Number]])-2)+DAY(LoanStartDate),"")</f>
        <v>45313</v>
      </c>
      <c r="D57" s="291">
        <f>IF(PaymentSchedule3[[#This Row],[Payment Number]]&lt;&gt;"",IF(ROW()-ROW(PaymentSchedule3[[#Headers],[Beginning
Balance]])=1,LoanAmount,INDEX(PaymentSchedule3[Ending
Balance],ROW()-ROW(PaymentSchedule3[[#Headers],[Beginning
Balance]])-1)),"")</f>
        <v>7115.4364416410735</v>
      </c>
      <c r="E57" s="292">
        <f>IF(PaymentSchedule3[[#This Row],[Payment Number]]&lt;&gt;"",ScheduledPayment,"")</f>
        <v>1434.5636067371058</v>
      </c>
      <c r="F57"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7"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7" s="291">
        <f>IF(PaymentSchedule3[[#This Row],[Payment Number]]&lt;&gt;"",PaymentSchedule3[[#This Row],[Total
Payment]]-PaymentSchedule3[[#This Row],[Interest]],"")</f>
        <v>1415.4705189520357</v>
      </c>
      <c r="I57" s="293">
        <f>IF(PaymentSchedule3[[#This Row],[Payment Number]]&lt;&gt;"",PaymentSchedule3[[#This Row],[Beginning
Balance]]*(InterestRate/PaymentsPerYear),"")</f>
        <v>19.093087785070214</v>
      </c>
      <c r="J57" s="291">
        <f>IF(PaymentSchedule3[[#This Row],[Payment Number]]&lt;&gt;"",IF(PaymentSchedule3[[#This Row],[Scheduled Payment]]+PaymentSchedule3[[#This Row],[Extra
Payment]]&lt;=PaymentSchedule3[[#This Row],[Beginning
Balance]],PaymentSchedule3[[#This Row],[Beginning
Balance]]-PaymentSchedule3[[#This Row],[Principal]],0),"")</f>
        <v>5699.9659226890381</v>
      </c>
      <c r="K57" s="293">
        <f>IF(PaymentSchedule3[[#This Row],[Payment Number]]&lt;&gt;"",SUM(INDEX(PaymentSchedule3[Interest],1,1):PaymentSchedule3[[#This Row],[Interest]]),"")</f>
        <v>4292.9046191216839</v>
      </c>
      <c r="L57" s="300">
        <f>YEAR(PaymentSchedule3[[#This Row],[Payment
Date]])</f>
        <v>2024</v>
      </c>
      <c r="M57" s="300">
        <f>MONTH(PaymentSchedule3[[#This Row],[Payment
Date]])</f>
        <v>1</v>
      </c>
      <c r="N57" s="293"/>
      <c r="O57" s="293"/>
      <c r="R57"/>
      <c r="S57"/>
      <c r="T57"/>
      <c r="U57"/>
      <c r="V57"/>
      <c r="W57"/>
      <c r="X57"/>
      <c r="Y57"/>
      <c r="Z57"/>
      <c r="AA57"/>
      <c r="AB57"/>
      <c r="AC57"/>
      <c r="AD57"/>
      <c r="AE57"/>
      <c r="AF57"/>
    </row>
    <row r="58" spans="2:32" ht="15.6" x14ac:dyDescent="0.3">
      <c r="B58" s="289">
        <f>IF(LoanIsGood,IF(ROW()-ROW(PaymentSchedule3[[#Headers],[Payment Number]])&gt;ScheduledNumberOfPayments,"",ROW()-ROW(PaymentSchedule3[[#Headers],[Payment Number]])),"")</f>
        <v>45</v>
      </c>
      <c r="C58" s="290">
        <f>IF(PaymentSchedule3[[#This Row],[Payment Number]]&lt;&gt;"",EOMONTH(LoanStartDate,ROW(PaymentSchedule3[[#This Row],[Payment Number]])-ROW(PaymentSchedule3[[#Headers],[Payment Number]])-2)+DAY(LoanStartDate),"")</f>
        <v>45344</v>
      </c>
      <c r="D58" s="291">
        <f>IF(PaymentSchedule3[[#This Row],[Payment Number]]&lt;&gt;"",IF(ROW()-ROW(PaymentSchedule3[[#Headers],[Beginning
Balance]])=1,LoanAmount,INDEX(PaymentSchedule3[Ending
Balance],ROW()-ROW(PaymentSchedule3[[#Headers],[Beginning
Balance]])-1)),"")</f>
        <v>5699.9659226890381</v>
      </c>
      <c r="E58" s="292">
        <f>IF(PaymentSchedule3[[#This Row],[Payment Number]]&lt;&gt;"",ScheduledPayment,"")</f>
        <v>1434.5636067371058</v>
      </c>
      <c r="F58"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8"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8" s="291">
        <f>IF(PaymentSchedule3[[#This Row],[Payment Number]]&lt;&gt;"",PaymentSchedule3[[#This Row],[Total
Payment]]-PaymentSchedule3[[#This Row],[Interest]],"")</f>
        <v>1419.2686981778902</v>
      </c>
      <c r="I58" s="293">
        <f>IF(PaymentSchedule3[[#This Row],[Payment Number]]&lt;&gt;"",PaymentSchedule3[[#This Row],[Beginning
Balance]]*(InterestRate/PaymentsPerYear),"")</f>
        <v>15.294908559215584</v>
      </c>
      <c r="J58" s="291">
        <f>IF(PaymentSchedule3[[#This Row],[Payment Number]]&lt;&gt;"",IF(PaymentSchedule3[[#This Row],[Scheduled Payment]]+PaymentSchedule3[[#This Row],[Extra
Payment]]&lt;=PaymentSchedule3[[#This Row],[Beginning
Balance]],PaymentSchedule3[[#This Row],[Beginning
Balance]]-PaymentSchedule3[[#This Row],[Principal]],0),"")</f>
        <v>4280.6972245111483</v>
      </c>
      <c r="K58" s="293">
        <f>IF(PaymentSchedule3[[#This Row],[Payment Number]]&lt;&gt;"",SUM(INDEX(PaymentSchedule3[Interest],1,1):PaymentSchedule3[[#This Row],[Interest]]),"")</f>
        <v>4308.1995276808993</v>
      </c>
      <c r="L58" s="300">
        <f>YEAR(PaymentSchedule3[[#This Row],[Payment
Date]])</f>
        <v>2024</v>
      </c>
      <c r="M58" s="300">
        <f>MONTH(PaymentSchedule3[[#This Row],[Payment
Date]])</f>
        <v>2</v>
      </c>
      <c r="N58" s="293"/>
      <c r="O58" s="293"/>
      <c r="R58"/>
      <c r="S58"/>
      <c r="T58"/>
      <c r="U58"/>
      <c r="V58"/>
      <c r="W58"/>
      <c r="X58"/>
      <c r="Y58"/>
      <c r="Z58"/>
      <c r="AA58"/>
      <c r="AB58"/>
      <c r="AC58"/>
      <c r="AD58"/>
      <c r="AE58"/>
      <c r="AF58"/>
    </row>
    <row r="59" spans="2:32" ht="15.6" x14ac:dyDescent="0.3">
      <c r="B59" s="289">
        <f>IF(LoanIsGood,IF(ROW()-ROW(PaymentSchedule3[[#Headers],[Payment Number]])&gt;ScheduledNumberOfPayments,"",ROW()-ROW(PaymentSchedule3[[#Headers],[Payment Number]])),"")</f>
        <v>46</v>
      </c>
      <c r="C59" s="290">
        <f>IF(PaymentSchedule3[[#This Row],[Payment Number]]&lt;&gt;"",EOMONTH(LoanStartDate,ROW(PaymentSchedule3[[#This Row],[Payment Number]])-ROW(PaymentSchedule3[[#Headers],[Payment Number]])-2)+DAY(LoanStartDate),"")</f>
        <v>45373</v>
      </c>
      <c r="D59" s="291">
        <f>IF(PaymentSchedule3[[#This Row],[Payment Number]]&lt;&gt;"",IF(ROW()-ROW(PaymentSchedule3[[#Headers],[Beginning
Balance]])=1,LoanAmount,INDEX(PaymentSchedule3[Ending
Balance],ROW()-ROW(PaymentSchedule3[[#Headers],[Beginning
Balance]])-1)),"")</f>
        <v>4280.6972245111483</v>
      </c>
      <c r="E59" s="292">
        <f>IF(PaymentSchedule3[[#This Row],[Payment Number]]&lt;&gt;"",ScheduledPayment,"")</f>
        <v>1434.5636067371058</v>
      </c>
      <c r="F59"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59"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59" s="291">
        <f>IF(PaymentSchedule3[[#This Row],[Payment Number]]&lt;&gt;"",PaymentSchedule3[[#This Row],[Total
Payment]]-PaymentSchedule3[[#This Row],[Interest]],"")</f>
        <v>1423.0770691846676</v>
      </c>
      <c r="I59" s="293">
        <f>IF(PaymentSchedule3[[#This Row],[Payment Number]]&lt;&gt;"",PaymentSchedule3[[#This Row],[Beginning
Balance]]*(InterestRate/PaymentsPerYear),"")</f>
        <v>11.486537552438246</v>
      </c>
      <c r="J59" s="291">
        <f>IF(PaymentSchedule3[[#This Row],[Payment Number]]&lt;&gt;"",IF(PaymentSchedule3[[#This Row],[Scheduled Payment]]+PaymentSchedule3[[#This Row],[Extra
Payment]]&lt;=PaymentSchedule3[[#This Row],[Beginning
Balance]],PaymentSchedule3[[#This Row],[Beginning
Balance]]-PaymentSchedule3[[#This Row],[Principal]],0),"")</f>
        <v>2857.6201553264809</v>
      </c>
      <c r="K59" s="293">
        <f>IF(PaymentSchedule3[[#This Row],[Payment Number]]&lt;&gt;"",SUM(INDEX(PaymentSchedule3[Interest],1,1):PaymentSchedule3[[#This Row],[Interest]]),"")</f>
        <v>4319.686065233338</v>
      </c>
      <c r="L59" s="300">
        <f>YEAR(PaymentSchedule3[[#This Row],[Payment
Date]])</f>
        <v>2024</v>
      </c>
      <c r="M59" s="300">
        <f>MONTH(PaymentSchedule3[[#This Row],[Payment
Date]])</f>
        <v>3</v>
      </c>
      <c r="N59" s="293"/>
      <c r="O59" s="293"/>
      <c r="R59"/>
      <c r="S59"/>
      <c r="T59"/>
      <c r="U59"/>
      <c r="V59"/>
      <c r="W59"/>
      <c r="X59"/>
      <c r="Y59"/>
      <c r="Z59"/>
      <c r="AA59"/>
      <c r="AB59"/>
      <c r="AC59"/>
      <c r="AD59"/>
      <c r="AE59"/>
      <c r="AF59"/>
    </row>
    <row r="60" spans="2:32" ht="15.6" x14ac:dyDescent="0.3">
      <c r="B60" s="289">
        <f>IF(LoanIsGood,IF(ROW()-ROW(PaymentSchedule3[[#Headers],[Payment Number]])&gt;ScheduledNumberOfPayments,"",ROW()-ROW(PaymentSchedule3[[#Headers],[Payment Number]])),"")</f>
        <v>47</v>
      </c>
      <c r="C60" s="290">
        <f>IF(PaymentSchedule3[[#This Row],[Payment Number]]&lt;&gt;"",EOMONTH(LoanStartDate,ROW(PaymentSchedule3[[#This Row],[Payment Number]])-ROW(PaymentSchedule3[[#Headers],[Payment Number]])-2)+DAY(LoanStartDate),"")</f>
        <v>45404</v>
      </c>
      <c r="D60" s="291">
        <f>IF(PaymentSchedule3[[#This Row],[Payment Number]]&lt;&gt;"",IF(ROW()-ROW(PaymentSchedule3[[#Headers],[Beginning
Balance]])=1,LoanAmount,INDEX(PaymentSchedule3[Ending
Balance],ROW()-ROW(PaymentSchedule3[[#Headers],[Beginning
Balance]])-1)),"")</f>
        <v>2857.6201553264809</v>
      </c>
      <c r="E60" s="292">
        <f>IF(PaymentSchedule3[[#This Row],[Payment Number]]&lt;&gt;"",ScheduledPayment,"")</f>
        <v>1434.5636067371058</v>
      </c>
      <c r="F60"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60"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1434.5636067371058</v>
      </c>
      <c r="H60" s="291">
        <f>IF(PaymentSchedule3[[#This Row],[Payment Number]]&lt;&gt;"",PaymentSchedule3[[#This Row],[Total
Payment]]-PaymentSchedule3[[#This Row],[Interest]],"")</f>
        <v>1426.8956593203131</v>
      </c>
      <c r="I60" s="293">
        <f>IF(PaymentSchedule3[[#This Row],[Payment Number]]&lt;&gt;"",PaymentSchedule3[[#This Row],[Beginning
Balance]]*(InterestRate/PaymentsPerYear),"")</f>
        <v>7.6679474167927228</v>
      </c>
      <c r="J60" s="291">
        <f>IF(PaymentSchedule3[[#This Row],[Payment Number]]&lt;&gt;"",IF(PaymentSchedule3[[#This Row],[Scheduled Payment]]+PaymentSchedule3[[#This Row],[Extra
Payment]]&lt;=PaymentSchedule3[[#This Row],[Beginning
Balance]],PaymentSchedule3[[#This Row],[Beginning
Balance]]-PaymentSchedule3[[#This Row],[Principal]],0),"")</f>
        <v>1430.7244960061678</v>
      </c>
      <c r="K60" s="293">
        <f>IF(PaymentSchedule3[[#This Row],[Payment Number]]&lt;&gt;"",SUM(INDEX(PaymentSchedule3[Interest],1,1):PaymentSchedule3[[#This Row],[Interest]]),"")</f>
        <v>4327.3540126501312</v>
      </c>
      <c r="L60" s="300">
        <f>YEAR(PaymentSchedule3[[#This Row],[Payment
Date]])</f>
        <v>2024</v>
      </c>
      <c r="M60" s="300">
        <f>MONTH(PaymentSchedule3[[#This Row],[Payment
Date]])</f>
        <v>4</v>
      </c>
      <c r="N60" s="293"/>
      <c r="O60" s="293"/>
      <c r="R60"/>
      <c r="S60"/>
      <c r="T60"/>
      <c r="U60"/>
      <c r="V60"/>
      <c r="W60"/>
      <c r="X60"/>
      <c r="Y60"/>
      <c r="Z60"/>
      <c r="AA60"/>
      <c r="AB60"/>
      <c r="AC60"/>
      <c r="AD60"/>
      <c r="AE60"/>
      <c r="AF60"/>
    </row>
    <row r="61" spans="2:32" ht="15.6" x14ac:dyDescent="0.3">
      <c r="B61" s="289">
        <f>IF(LoanIsGood,IF(ROW()-ROW(PaymentSchedule3[[#Headers],[Payment Number]])&gt;ScheduledNumberOfPayments,"",ROW()-ROW(PaymentSchedule3[[#Headers],[Payment Number]])),"")</f>
        <v>48</v>
      </c>
      <c r="C61" s="290">
        <f>IF(PaymentSchedule3[[#This Row],[Payment Number]]&lt;&gt;"",EOMONTH(LoanStartDate,ROW(PaymentSchedule3[[#This Row],[Payment Number]])-ROW(PaymentSchedule3[[#Headers],[Payment Number]])-2)+DAY(LoanStartDate),"")</f>
        <v>45434</v>
      </c>
      <c r="D61" s="291">
        <f>IF(PaymentSchedule3[[#This Row],[Payment Number]]&lt;&gt;"",IF(ROW()-ROW(PaymentSchedule3[[#Headers],[Beginning
Balance]])=1,LoanAmount,INDEX(PaymentSchedule3[Ending
Balance],ROW()-ROW(PaymentSchedule3[[#Headers],[Beginning
Balance]])-1)),"")</f>
        <v>1430.7244960061678</v>
      </c>
      <c r="E61" s="292">
        <f>IF(PaymentSchedule3[[#This Row],[Payment Number]]&lt;&gt;"",ScheduledPayment,"")</f>
        <v>1434.5636067371058</v>
      </c>
      <c r="F61" s="291">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0</v>
      </c>
      <c r="G61" s="291">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1430.7244960061678</v>
      </c>
      <c r="H61" s="291">
        <f>IF(PaymentSchedule3[[#This Row],[Payment Number]]&lt;&gt;"",PaymentSchedule3[[#This Row],[Total
Payment]]-PaymentSchedule3[[#This Row],[Interest]],"")</f>
        <v>1426.8853852752179</v>
      </c>
      <c r="I61" s="293">
        <f>IF(PaymentSchedule3[[#This Row],[Payment Number]]&lt;&gt;"",PaymentSchedule3[[#This Row],[Beginning
Balance]]*(InterestRate/PaymentsPerYear),"")</f>
        <v>3.8391107309498831</v>
      </c>
      <c r="J61" s="291">
        <f>IF(PaymentSchedule3[[#This Row],[Payment Number]]&lt;&gt;"",IF(PaymentSchedule3[[#This Row],[Scheduled Payment]]+PaymentSchedule3[[#This Row],[Extra
Payment]]&lt;=PaymentSchedule3[[#This Row],[Beginning
Balance]],PaymentSchedule3[[#This Row],[Beginning
Balance]]-PaymentSchedule3[[#This Row],[Principal]],0),"")</f>
        <v>0</v>
      </c>
      <c r="K61" s="293">
        <f>IF(PaymentSchedule3[[#This Row],[Payment Number]]&lt;&gt;"",SUM(INDEX(PaymentSchedule3[Interest],1,1):PaymentSchedule3[[#This Row],[Interest]]),"")</f>
        <v>4331.193123381081</v>
      </c>
      <c r="L61" s="300">
        <f>YEAR(PaymentSchedule3[[#This Row],[Payment
Date]])</f>
        <v>2024</v>
      </c>
      <c r="M61" s="300">
        <f>MONTH(PaymentSchedule3[[#This Row],[Payment
Date]])</f>
        <v>5</v>
      </c>
      <c r="N61" s="293"/>
      <c r="O61" s="293"/>
      <c r="R61"/>
      <c r="S61"/>
      <c r="T61"/>
      <c r="U61"/>
      <c r="V61"/>
      <c r="W61"/>
      <c r="X61"/>
      <c r="Y61"/>
      <c r="Z61"/>
      <c r="AA61"/>
      <c r="AB61"/>
      <c r="AC61"/>
      <c r="AD61"/>
      <c r="AE61"/>
      <c r="AF61"/>
    </row>
    <row r="62" spans="2:32" ht="15.6" x14ac:dyDescent="0.3">
      <c r="B62" s="289" t="str">
        <f>IF(LoanIsGood,IF(ROW()-ROW(PaymentSchedule3[[#Headers],[Payment Number]])&gt;ScheduledNumberOfPayments,"",ROW()-ROW(PaymentSchedule3[[#Headers],[Payment Number]])),"")</f>
        <v/>
      </c>
      <c r="C62" s="290" t="str">
        <f>IF(PaymentSchedule3[[#This Row],[Payment Number]]&lt;&gt;"",EOMONTH(LoanStartDate,ROW(PaymentSchedule3[[#This Row],[Payment Number]])-ROW(PaymentSchedule3[[#Headers],[Payment Number]])-2)+DAY(LoanStartDate),"")</f>
        <v/>
      </c>
      <c r="D62" s="291" t="str">
        <f>IF(PaymentSchedule3[[#This Row],[Payment Number]]&lt;&gt;"",IF(ROW()-ROW(PaymentSchedule3[[#Headers],[Beginning
Balance]])=1,LoanAmount,INDEX(PaymentSchedule3[Ending
Balance],ROW()-ROW(PaymentSchedule3[[#Headers],[Beginning
Balance]])-1)),"")</f>
        <v/>
      </c>
      <c r="E62" s="292" t="str">
        <f>IF(PaymentSchedule3[[#This Row],[Payment Number]]&lt;&gt;"",ScheduledPayment,"")</f>
        <v/>
      </c>
      <c r="F62"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2"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2" s="291" t="str">
        <f>IF(PaymentSchedule3[[#This Row],[Payment Number]]&lt;&gt;"",PaymentSchedule3[[#This Row],[Total
Payment]]-PaymentSchedule3[[#This Row],[Interest]],"")</f>
        <v/>
      </c>
      <c r="I62" s="293" t="str">
        <f>IF(PaymentSchedule3[[#This Row],[Payment Number]]&lt;&gt;"",PaymentSchedule3[[#This Row],[Beginning
Balance]]*(InterestRate/PaymentsPerYear),"")</f>
        <v/>
      </c>
      <c r="J62" s="291" t="str">
        <f>IF(PaymentSchedule3[[#This Row],[Payment Number]]&lt;&gt;"",IF(PaymentSchedule3[[#This Row],[Scheduled Payment]]+PaymentSchedule3[[#This Row],[Extra
Payment]]&lt;=PaymentSchedule3[[#This Row],[Beginning
Balance]],PaymentSchedule3[[#This Row],[Beginning
Balance]]-PaymentSchedule3[[#This Row],[Principal]],0),"")</f>
        <v/>
      </c>
      <c r="K62" s="293" t="str">
        <f>IF(PaymentSchedule3[[#This Row],[Payment Number]]&lt;&gt;"",SUM(INDEX(PaymentSchedule3[Interest],1,1):PaymentSchedule3[[#This Row],[Interest]]),"")</f>
        <v/>
      </c>
      <c r="L62" s="300" t="e">
        <f>YEAR(PaymentSchedule3[[#This Row],[Payment
Date]])</f>
        <v>#VALUE!</v>
      </c>
      <c r="M62" s="300" t="e">
        <f>MONTH(PaymentSchedule3[[#This Row],[Payment
Date]])</f>
        <v>#VALUE!</v>
      </c>
      <c r="N62" s="293"/>
      <c r="O62" s="293"/>
      <c r="R62"/>
      <c r="S62"/>
      <c r="T62"/>
      <c r="U62"/>
      <c r="V62"/>
      <c r="W62"/>
      <c r="X62"/>
      <c r="Y62"/>
      <c r="Z62"/>
      <c r="AA62"/>
      <c r="AB62"/>
      <c r="AC62"/>
      <c r="AD62"/>
      <c r="AE62"/>
      <c r="AF62"/>
    </row>
    <row r="63" spans="2:32" ht="15.6" x14ac:dyDescent="0.3">
      <c r="B63" s="289" t="str">
        <f>IF(LoanIsGood,IF(ROW()-ROW(PaymentSchedule3[[#Headers],[Payment Number]])&gt;ScheduledNumberOfPayments,"",ROW()-ROW(PaymentSchedule3[[#Headers],[Payment Number]])),"")</f>
        <v/>
      </c>
      <c r="C63" s="290" t="str">
        <f>IF(PaymentSchedule3[[#This Row],[Payment Number]]&lt;&gt;"",EOMONTH(LoanStartDate,ROW(PaymentSchedule3[[#This Row],[Payment Number]])-ROW(PaymentSchedule3[[#Headers],[Payment Number]])-2)+DAY(LoanStartDate),"")</f>
        <v/>
      </c>
      <c r="D63" s="291" t="str">
        <f>IF(PaymentSchedule3[[#This Row],[Payment Number]]&lt;&gt;"",IF(ROW()-ROW(PaymentSchedule3[[#Headers],[Beginning
Balance]])=1,LoanAmount,INDEX(PaymentSchedule3[Ending
Balance],ROW()-ROW(PaymentSchedule3[[#Headers],[Beginning
Balance]])-1)),"")</f>
        <v/>
      </c>
      <c r="E63" s="292" t="str">
        <f>IF(PaymentSchedule3[[#This Row],[Payment Number]]&lt;&gt;"",ScheduledPayment,"")</f>
        <v/>
      </c>
      <c r="F63"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3"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3" s="291" t="str">
        <f>IF(PaymentSchedule3[[#This Row],[Payment Number]]&lt;&gt;"",PaymentSchedule3[[#This Row],[Total
Payment]]-PaymentSchedule3[[#This Row],[Interest]],"")</f>
        <v/>
      </c>
      <c r="I63" s="293" t="str">
        <f>IF(PaymentSchedule3[[#This Row],[Payment Number]]&lt;&gt;"",PaymentSchedule3[[#This Row],[Beginning
Balance]]*(InterestRate/PaymentsPerYear),"")</f>
        <v/>
      </c>
      <c r="J63" s="291" t="str">
        <f>IF(PaymentSchedule3[[#This Row],[Payment Number]]&lt;&gt;"",IF(PaymentSchedule3[[#This Row],[Scheduled Payment]]+PaymentSchedule3[[#This Row],[Extra
Payment]]&lt;=PaymentSchedule3[[#This Row],[Beginning
Balance]],PaymentSchedule3[[#This Row],[Beginning
Balance]]-PaymentSchedule3[[#This Row],[Principal]],0),"")</f>
        <v/>
      </c>
      <c r="K63" s="293" t="str">
        <f>IF(PaymentSchedule3[[#This Row],[Payment Number]]&lt;&gt;"",SUM(INDEX(PaymentSchedule3[Interest],1,1):PaymentSchedule3[[#This Row],[Interest]]),"")</f>
        <v/>
      </c>
      <c r="L63" s="300" t="e">
        <f>YEAR(PaymentSchedule3[[#This Row],[Payment
Date]])</f>
        <v>#VALUE!</v>
      </c>
      <c r="M63" s="300" t="e">
        <f>MONTH(PaymentSchedule3[[#This Row],[Payment
Date]])</f>
        <v>#VALUE!</v>
      </c>
      <c r="N63" s="293"/>
      <c r="O63" s="293"/>
      <c r="R63"/>
      <c r="S63"/>
      <c r="T63"/>
      <c r="U63"/>
      <c r="V63"/>
      <c r="W63"/>
      <c r="X63"/>
      <c r="Y63"/>
      <c r="Z63"/>
      <c r="AA63"/>
      <c r="AB63"/>
      <c r="AC63"/>
      <c r="AD63"/>
      <c r="AE63"/>
      <c r="AF63"/>
    </row>
    <row r="64" spans="2:32" ht="15.6" x14ac:dyDescent="0.3">
      <c r="B64" s="289" t="str">
        <f>IF(LoanIsGood,IF(ROW()-ROW(PaymentSchedule3[[#Headers],[Payment Number]])&gt;ScheduledNumberOfPayments,"",ROW()-ROW(PaymentSchedule3[[#Headers],[Payment Number]])),"")</f>
        <v/>
      </c>
      <c r="C64" s="290" t="str">
        <f>IF(PaymentSchedule3[[#This Row],[Payment Number]]&lt;&gt;"",EOMONTH(LoanStartDate,ROW(PaymentSchedule3[[#This Row],[Payment Number]])-ROW(PaymentSchedule3[[#Headers],[Payment Number]])-2)+DAY(LoanStartDate),"")</f>
        <v/>
      </c>
      <c r="D64" s="291" t="str">
        <f>IF(PaymentSchedule3[[#This Row],[Payment Number]]&lt;&gt;"",IF(ROW()-ROW(PaymentSchedule3[[#Headers],[Beginning
Balance]])=1,LoanAmount,INDEX(PaymentSchedule3[Ending
Balance],ROW()-ROW(PaymentSchedule3[[#Headers],[Beginning
Balance]])-1)),"")</f>
        <v/>
      </c>
      <c r="E64" s="292" t="str">
        <f>IF(PaymentSchedule3[[#This Row],[Payment Number]]&lt;&gt;"",ScheduledPayment,"")</f>
        <v/>
      </c>
      <c r="F64"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4"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4" s="291" t="str">
        <f>IF(PaymentSchedule3[[#This Row],[Payment Number]]&lt;&gt;"",PaymentSchedule3[[#This Row],[Total
Payment]]-PaymentSchedule3[[#This Row],[Interest]],"")</f>
        <v/>
      </c>
      <c r="I64" s="293" t="str">
        <f>IF(PaymentSchedule3[[#This Row],[Payment Number]]&lt;&gt;"",PaymentSchedule3[[#This Row],[Beginning
Balance]]*(InterestRate/PaymentsPerYear),"")</f>
        <v/>
      </c>
      <c r="J64" s="291" t="str">
        <f>IF(PaymentSchedule3[[#This Row],[Payment Number]]&lt;&gt;"",IF(PaymentSchedule3[[#This Row],[Scheduled Payment]]+PaymentSchedule3[[#This Row],[Extra
Payment]]&lt;=PaymentSchedule3[[#This Row],[Beginning
Balance]],PaymentSchedule3[[#This Row],[Beginning
Balance]]-PaymentSchedule3[[#This Row],[Principal]],0),"")</f>
        <v/>
      </c>
      <c r="K64" s="293" t="str">
        <f>IF(PaymentSchedule3[[#This Row],[Payment Number]]&lt;&gt;"",SUM(INDEX(PaymentSchedule3[Interest],1,1):PaymentSchedule3[[#This Row],[Interest]]),"")</f>
        <v/>
      </c>
      <c r="L64" s="300" t="e">
        <f>YEAR(PaymentSchedule3[[#This Row],[Payment
Date]])</f>
        <v>#VALUE!</v>
      </c>
      <c r="M64" s="300" t="e">
        <f>MONTH(PaymentSchedule3[[#This Row],[Payment
Date]])</f>
        <v>#VALUE!</v>
      </c>
      <c r="N64" s="293"/>
      <c r="O64" s="293"/>
      <c r="R64"/>
      <c r="S64"/>
      <c r="T64"/>
      <c r="U64"/>
      <c r="V64"/>
      <c r="W64"/>
      <c r="X64"/>
      <c r="Y64"/>
      <c r="Z64"/>
      <c r="AA64"/>
      <c r="AB64"/>
      <c r="AC64"/>
      <c r="AD64"/>
      <c r="AE64"/>
      <c r="AF64"/>
    </row>
    <row r="65" spans="2:32" ht="15.6" x14ac:dyDescent="0.3">
      <c r="B65" s="289" t="str">
        <f>IF(LoanIsGood,IF(ROW()-ROW(PaymentSchedule3[[#Headers],[Payment Number]])&gt;ScheduledNumberOfPayments,"",ROW()-ROW(PaymentSchedule3[[#Headers],[Payment Number]])),"")</f>
        <v/>
      </c>
      <c r="C65" s="290" t="str">
        <f>IF(PaymentSchedule3[[#This Row],[Payment Number]]&lt;&gt;"",EOMONTH(LoanStartDate,ROW(PaymentSchedule3[[#This Row],[Payment Number]])-ROW(PaymentSchedule3[[#Headers],[Payment Number]])-2)+DAY(LoanStartDate),"")</f>
        <v/>
      </c>
      <c r="D65" s="291" t="str">
        <f>IF(PaymentSchedule3[[#This Row],[Payment Number]]&lt;&gt;"",IF(ROW()-ROW(PaymentSchedule3[[#Headers],[Beginning
Balance]])=1,LoanAmount,INDEX(PaymentSchedule3[Ending
Balance],ROW()-ROW(PaymentSchedule3[[#Headers],[Beginning
Balance]])-1)),"")</f>
        <v/>
      </c>
      <c r="E65" s="292" t="str">
        <f>IF(PaymentSchedule3[[#This Row],[Payment Number]]&lt;&gt;"",ScheduledPayment,"")</f>
        <v/>
      </c>
      <c r="F65"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5"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5" s="291" t="str">
        <f>IF(PaymentSchedule3[[#This Row],[Payment Number]]&lt;&gt;"",PaymentSchedule3[[#This Row],[Total
Payment]]-PaymentSchedule3[[#This Row],[Interest]],"")</f>
        <v/>
      </c>
      <c r="I65" s="293" t="str">
        <f>IF(PaymentSchedule3[[#This Row],[Payment Number]]&lt;&gt;"",PaymentSchedule3[[#This Row],[Beginning
Balance]]*(InterestRate/PaymentsPerYear),"")</f>
        <v/>
      </c>
      <c r="J65" s="291" t="str">
        <f>IF(PaymentSchedule3[[#This Row],[Payment Number]]&lt;&gt;"",IF(PaymentSchedule3[[#This Row],[Scheduled Payment]]+PaymentSchedule3[[#This Row],[Extra
Payment]]&lt;=PaymentSchedule3[[#This Row],[Beginning
Balance]],PaymentSchedule3[[#This Row],[Beginning
Balance]]-PaymentSchedule3[[#This Row],[Principal]],0),"")</f>
        <v/>
      </c>
      <c r="K65" s="293" t="str">
        <f>IF(PaymentSchedule3[[#This Row],[Payment Number]]&lt;&gt;"",SUM(INDEX(PaymentSchedule3[Interest],1,1):PaymentSchedule3[[#This Row],[Interest]]),"")</f>
        <v/>
      </c>
      <c r="L65" s="300" t="e">
        <f>YEAR(PaymentSchedule3[[#This Row],[Payment
Date]])</f>
        <v>#VALUE!</v>
      </c>
      <c r="M65" s="300" t="e">
        <f>MONTH(PaymentSchedule3[[#This Row],[Payment
Date]])</f>
        <v>#VALUE!</v>
      </c>
      <c r="N65" s="293"/>
      <c r="O65" s="293"/>
      <c r="R65"/>
      <c r="S65"/>
      <c r="T65"/>
      <c r="U65"/>
      <c r="V65"/>
      <c r="W65"/>
      <c r="X65"/>
      <c r="Y65"/>
      <c r="Z65"/>
      <c r="AA65"/>
      <c r="AB65"/>
      <c r="AC65"/>
      <c r="AD65"/>
      <c r="AE65"/>
      <c r="AF65"/>
    </row>
    <row r="66" spans="2:32" ht="15.6" x14ac:dyDescent="0.3">
      <c r="B66" s="289" t="str">
        <f>IF(LoanIsGood,IF(ROW()-ROW(PaymentSchedule3[[#Headers],[Payment Number]])&gt;ScheduledNumberOfPayments,"",ROW()-ROW(PaymentSchedule3[[#Headers],[Payment Number]])),"")</f>
        <v/>
      </c>
      <c r="C66" s="290" t="str">
        <f>IF(PaymentSchedule3[[#This Row],[Payment Number]]&lt;&gt;"",EOMONTH(LoanStartDate,ROW(PaymentSchedule3[[#This Row],[Payment Number]])-ROW(PaymentSchedule3[[#Headers],[Payment Number]])-2)+DAY(LoanStartDate),"")</f>
        <v/>
      </c>
      <c r="D66" s="291" t="str">
        <f>IF(PaymentSchedule3[[#This Row],[Payment Number]]&lt;&gt;"",IF(ROW()-ROW(PaymentSchedule3[[#Headers],[Beginning
Balance]])=1,LoanAmount,INDEX(PaymentSchedule3[Ending
Balance],ROW()-ROW(PaymentSchedule3[[#Headers],[Beginning
Balance]])-1)),"")</f>
        <v/>
      </c>
      <c r="E66" s="292" t="str">
        <f>IF(PaymentSchedule3[[#This Row],[Payment Number]]&lt;&gt;"",ScheduledPayment,"")</f>
        <v/>
      </c>
      <c r="F66"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6"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6" s="291" t="str">
        <f>IF(PaymentSchedule3[[#This Row],[Payment Number]]&lt;&gt;"",PaymentSchedule3[[#This Row],[Total
Payment]]-PaymentSchedule3[[#This Row],[Interest]],"")</f>
        <v/>
      </c>
      <c r="I66" s="293" t="str">
        <f>IF(PaymentSchedule3[[#This Row],[Payment Number]]&lt;&gt;"",PaymentSchedule3[[#This Row],[Beginning
Balance]]*(InterestRate/PaymentsPerYear),"")</f>
        <v/>
      </c>
      <c r="J66" s="291" t="str">
        <f>IF(PaymentSchedule3[[#This Row],[Payment Number]]&lt;&gt;"",IF(PaymentSchedule3[[#This Row],[Scheduled Payment]]+PaymentSchedule3[[#This Row],[Extra
Payment]]&lt;=PaymentSchedule3[[#This Row],[Beginning
Balance]],PaymentSchedule3[[#This Row],[Beginning
Balance]]-PaymentSchedule3[[#This Row],[Principal]],0),"")</f>
        <v/>
      </c>
      <c r="K66" s="293" t="str">
        <f>IF(PaymentSchedule3[[#This Row],[Payment Number]]&lt;&gt;"",SUM(INDEX(PaymentSchedule3[Interest],1,1):PaymentSchedule3[[#This Row],[Interest]]),"")</f>
        <v/>
      </c>
      <c r="L66" s="300" t="e">
        <f>YEAR(PaymentSchedule3[[#This Row],[Payment
Date]])</f>
        <v>#VALUE!</v>
      </c>
      <c r="M66" s="300" t="e">
        <f>MONTH(PaymentSchedule3[[#This Row],[Payment
Date]])</f>
        <v>#VALUE!</v>
      </c>
      <c r="N66" s="293"/>
      <c r="O66" s="293"/>
      <c r="R66"/>
      <c r="S66"/>
      <c r="T66"/>
      <c r="U66"/>
      <c r="V66"/>
      <c r="W66"/>
      <c r="X66"/>
      <c r="Y66"/>
      <c r="Z66"/>
      <c r="AA66"/>
      <c r="AB66"/>
      <c r="AC66"/>
      <c r="AD66"/>
      <c r="AE66"/>
      <c r="AF66"/>
    </row>
    <row r="67" spans="2:32" ht="15.6" x14ac:dyDescent="0.3">
      <c r="B67" s="289" t="str">
        <f>IF(LoanIsGood,IF(ROW()-ROW(PaymentSchedule3[[#Headers],[Payment Number]])&gt;ScheduledNumberOfPayments,"",ROW()-ROW(PaymentSchedule3[[#Headers],[Payment Number]])),"")</f>
        <v/>
      </c>
      <c r="C67" s="290" t="str">
        <f>IF(PaymentSchedule3[[#This Row],[Payment Number]]&lt;&gt;"",EOMONTH(LoanStartDate,ROW(PaymentSchedule3[[#This Row],[Payment Number]])-ROW(PaymentSchedule3[[#Headers],[Payment Number]])-2)+DAY(LoanStartDate),"")</f>
        <v/>
      </c>
      <c r="D67" s="291" t="str">
        <f>IF(PaymentSchedule3[[#This Row],[Payment Number]]&lt;&gt;"",IF(ROW()-ROW(PaymentSchedule3[[#Headers],[Beginning
Balance]])=1,LoanAmount,INDEX(PaymentSchedule3[Ending
Balance],ROW()-ROW(PaymentSchedule3[[#Headers],[Beginning
Balance]])-1)),"")</f>
        <v/>
      </c>
      <c r="E67" s="292" t="str">
        <f>IF(PaymentSchedule3[[#This Row],[Payment Number]]&lt;&gt;"",ScheduledPayment,"")</f>
        <v/>
      </c>
      <c r="F67"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7"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7" s="291" t="str">
        <f>IF(PaymentSchedule3[[#This Row],[Payment Number]]&lt;&gt;"",PaymentSchedule3[[#This Row],[Total
Payment]]-PaymentSchedule3[[#This Row],[Interest]],"")</f>
        <v/>
      </c>
      <c r="I67" s="293" t="str">
        <f>IF(PaymentSchedule3[[#This Row],[Payment Number]]&lt;&gt;"",PaymentSchedule3[[#This Row],[Beginning
Balance]]*(InterestRate/PaymentsPerYear),"")</f>
        <v/>
      </c>
      <c r="J67" s="291" t="str">
        <f>IF(PaymentSchedule3[[#This Row],[Payment Number]]&lt;&gt;"",IF(PaymentSchedule3[[#This Row],[Scheduled Payment]]+PaymentSchedule3[[#This Row],[Extra
Payment]]&lt;=PaymentSchedule3[[#This Row],[Beginning
Balance]],PaymentSchedule3[[#This Row],[Beginning
Balance]]-PaymentSchedule3[[#This Row],[Principal]],0),"")</f>
        <v/>
      </c>
      <c r="K67" s="293" t="str">
        <f>IF(PaymentSchedule3[[#This Row],[Payment Number]]&lt;&gt;"",SUM(INDEX(PaymentSchedule3[Interest],1,1):PaymentSchedule3[[#This Row],[Interest]]),"")</f>
        <v/>
      </c>
      <c r="L67" s="300" t="e">
        <f>YEAR(PaymentSchedule3[[#This Row],[Payment
Date]])</f>
        <v>#VALUE!</v>
      </c>
      <c r="M67" s="300" t="e">
        <f>MONTH(PaymentSchedule3[[#This Row],[Payment
Date]])</f>
        <v>#VALUE!</v>
      </c>
      <c r="N67" s="293"/>
      <c r="O67" s="293"/>
      <c r="R67"/>
      <c r="S67"/>
      <c r="T67"/>
      <c r="U67"/>
      <c r="V67"/>
      <c r="W67"/>
      <c r="X67"/>
      <c r="Y67"/>
      <c r="Z67"/>
      <c r="AA67"/>
      <c r="AB67"/>
      <c r="AC67"/>
      <c r="AD67"/>
      <c r="AE67"/>
      <c r="AF67"/>
    </row>
    <row r="68" spans="2:32" ht="15.6" x14ac:dyDescent="0.3">
      <c r="B68" s="289" t="str">
        <f>IF(LoanIsGood,IF(ROW()-ROW(PaymentSchedule3[[#Headers],[Payment Number]])&gt;ScheduledNumberOfPayments,"",ROW()-ROW(PaymentSchedule3[[#Headers],[Payment Number]])),"")</f>
        <v/>
      </c>
      <c r="C68" s="290" t="str">
        <f>IF(PaymentSchedule3[[#This Row],[Payment Number]]&lt;&gt;"",EOMONTH(LoanStartDate,ROW(PaymentSchedule3[[#This Row],[Payment Number]])-ROW(PaymentSchedule3[[#Headers],[Payment Number]])-2)+DAY(LoanStartDate),"")</f>
        <v/>
      </c>
      <c r="D68" s="291" t="str">
        <f>IF(PaymentSchedule3[[#This Row],[Payment Number]]&lt;&gt;"",IF(ROW()-ROW(PaymentSchedule3[[#Headers],[Beginning
Balance]])=1,LoanAmount,INDEX(PaymentSchedule3[Ending
Balance],ROW()-ROW(PaymentSchedule3[[#Headers],[Beginning
Balance]])-1)),"")</f>
        <v/>
      </c>
      <c r="E68" s="292" t="str">
        <f>IF(PaymentSchedule3[[#This Row],[Payment Number]]&lt;&gt;"",ScheduledPayment,"")</f>
        <v/>
      </c>
      <c r="F68"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8"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8" s="291" t="str">
        <f>IF(PaymentSchedule3[[#This Row],[Payment Number]]&lt;&gt;"",PaymentSchedule3[[#This Row],[Total
Payment]]-PaymentSchedule3[[#This Row],[Interest]],"")</f>
        <v/>
      </c>
      <c r="I68" s="293" t="str">
        <f>IF(PaymentSchedule3[[#This Row],[Payment Number]]&lt;&gt;"",PaymentSchedule3[[#This Row],[Beginning
Balance]]*(InterestRate/PaymentsPerYear),"")</f>
        <v/>
      </c>
      <c r="J68" s="291" t="str">
        <f>IF(PaymentSchedule3[[#This Row],[Payment Number]]&lt;&gt;"",IF(PaymentSchedule3[[#This Row],[Scheduled Payment]]+PaymentSchedule3[[#This Row],[Extra
Payment]]&lt;=PaymentSchedule3[[#This Row],[Beginning
Balance]],PaymentSchedule3[[#This Row],[Beginning
Balance]]-PaymentSchedule3[[#This Row],[Principal]],0),"")</f>
        <v/>
      </c>
      <c r="K68" s="293" t="str">
        <f>IF(PaymentSchedule3[[#This Row],[Payment Number]]&lt;&gt;"",SUM(INDEX(PaymentSchedule3[Interest],1,1):PaymentSchedule3[[#This Row],[Interest]]),"")</f>
        <v/>
      </c>
      <c r="L68" s="300" t="e">
        <f>YEAR(PaymentSchedule3[[#This Row],[Payment
Date]])</f>
        <v>#VALUE!</v>
      </c>
      <c r="M68" s="300" t="e">
        <f>MONTH(PaymentSchedule3[[#This Row],[Payment
Date]])</f>
        <v>#VALUE!</v>
      </c>
      <c r="N68" s="293"/>
      <c r="O68" s="293"/>
      <c r="R68"/>
      <c r="S68"/>
      <c r="T68"/>
      <c r="U68"/>
      <c r="V68"/>
      <c r="W68"/>
      <c r="X68"/>
      <c r="Y68"/>
      <c r="Z68"/>
      <c r="AA68"/>
      <c r="AB68"/>
      <c r="AC68"/>
      <c r="AD68"/>
      <c r="AE68"/>
      <c r="AF68"/>
    </row>
    <row r="69" spans="2:32" ht="15.6" x14ac:dyDescent="0.3">
      <c r="B69" s="289" t="str">
        <f>IF(LoanIsGood,IF(ROW()-ROW(PaymentSchedule3[[#Headers],[Payment Number]])&gt;ScheduledNumberOfPayments,"",ROW()-ROW(PaymentSchedule3[[#Headers],[Payment Number]])),"")</f>
        <v/>
      </c>
      <c r="C69" s="290" t="str">
        <f>IF(PaymentSchedule3[[#This Row],[Payment Number]]&lt;&gt;"",EOMONTH(LoanStartDate,ROW(PaymentSchedule3[[#This Row],[Payment Number]])-ROW(PaymentSchedule3[[#Headers],[Payment Number]])-2)+DAY(LoanStartDate),"")</f>
        <v/>
      </c>
      <c r="D69" s="291" t="str">
        <f>IF(PaymentSchedule3[[#This Row],[Payment Number]]&lt;&gt;"",IF(ROW()-ROW(PaymentSchedule3[[#Headers],[Beginning
Balance]])=1,LoanAmount,INDEX(PaymentSchedule3[Ending
Balance],ROW()-ROW(PaymentSchedule3[[#Headers],[Beginning
Balance]])-1)),"")</f>
        <v/>
      </c>
      <c r="E69" s="292" t="str">
        <f>IF(PaymentSchedule3[[#This Row],[Payment Number]]&lt;&gt;"",ScheduledPayment,"")</f>
        <v/>
      </c>
      <c r="F69"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69"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69" s="291" t="str">
        <f>IF(PaymentSchedule3[[#This Row],[Payment Number]]&lt;&gt;"",PaymentSchedule3[[#This Row],[Total
Payment]]-PaymentSchedule3[[#This Row],[Interest]],"")</f>
        <v/>
      </c>
      <c r="I69" s="293" t="str">
        <f>IF(PaymentSchedule3[[#This Row],[Payment Number]]&lt;&gt;"",PaymentSchedule3[[#This Row],[Beginning
Balance]]*(InterestRate/PaymentsPerYear),"")</f>
        <v/>
      </c>
      <c r="J69" s="291" t="str">
        <f>IF(PaymentSchedule3[[#This Row],[Payment Number]]&lt;&gt;"",IF(PaymentSchedule3[[#This Row],[Scheduled Payment]]+PaymentSchedule3[[#This Row],[Extra
Payment]]&lt;=PaymentSchedule3[[#This Row],[Beginning
Balance]],PaymentSchedule3[[#This Row],[Beginning
Balance]]-PaymentSchedule3[[#This Row],[Principal]],0),"")</f>
        <v/>
      </c>
      <c r="K69" s="293" t="str">
        <f>IF(PaymentSchedule3[[#This Row],[Payment Number]]&lt;&gt;"",SUM(INDEX(PaymentSchedule3[Interest],1,1):PaymentSchedule3[[#This Row],[Interest]]),"")</f>
        <v/>
      </c>
      <c r="L69" s="300" t="e">
        <f>YEAR(PaymentSchedule3[[#This Row],[Payment
Date]])</f>
        <v>#VALUE!</v>
      </c>
      <c r="M69" s="300" t="e">
        <f>MONTH(PaymentSchedule3[[#This Row],[Payment
Date]])</f>
        <v>#VALUE!</v>
      </c>
      <c r="N69" s="293"/>
      <c r="O69" s="293"/>
      <c r="R69"/>
      <c r="S69"/>
      <c r="T69"/>
      <c r="U69"/>
      <c r="V69"/>
      <c r="W69"/>
      <c r="X69"/>
      <c r="Y69"/>
      <c r="Z69"/>
      <c r="AA69"/>
      <c r="AB69"/>
      <c r="AC69"/>
      <c r="AD69"/>
      <c r="AE69"/>
      <c r="AF69"/>
    </row>
    <row r="70" spans="2:32" ht="15.6" x14ac:dyDescent="0.3">
      <c r="B70" s="289" t="str">
        <f>IF(LoanIsGood,IF(ROW()-ROW(PaymentSchedule3[[#Headers],[Payment Number]])&gt;ScheduledNumberOfPayments,"",ROW()-ROW(PaymentSchedule3[[#Headers],[Payment Number]])),"")</f>
        <v/>
      </c>
      <c r="C70" s="290" t="str">
        <f>IF(PaymentSchedule3[[#This Row],[Payment Number]]&lt;&gt;"",EOMONTH(LoanStartDate,ROW(PaymentSchedule3[[#This Row],[Payment Number]])-ROW(PaymentSchedule3[[#Headers],[Payment Number]])-2)+DAY(LoanStartDate),"")</f>
        <v/>
      </c>
      <c r="D70" s="291" t="str">
        <f>IF(PaymentSchedule3[[#This Row],[Payment Number]]&lt;&gt;"",IF(ROW()-ROW(PaymentSchedule3[[#Headers],[Beginning
Balance]])=1,LoanAmount,INDEX(PaymentSchedule3[Ending
Balance],ROW()-ROW(PaymentSchedule3[[#Headers],[Beginning
Balance]])-1)),"")</f>
        <v/>
      </c>
      <c r="E70" s="292" t="str">
        <f>IF(PaymentSchedule3[[#This Row],[Payment Number]]&lt;&gt;"",ScheduledPayment,"")</f>
        <v/>
      </c>
      <c r="F70"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70"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70" s="291" t="str">
        <f>IF(PaymentSchedule3[[#This Row],[Payment Number]]&lt;&gt;"",PaymentSchedule3[[#This Row],[Total
Payment]]-PaymentSchedule3[[#This Row],[Interest]],"")</f>
        <v/>
      </c>
      <c r="I70" s="293" t="str">
        <f>IF(PaymentSchedule3[[#This Row],[Payment Number]]&lt;&gt;"",PaymentSchedule3[[#This Row],[Beginning
Balance]]*(InterestRate/PaymentsPerYear),"")</f>
        <v/>
      </c>
      <c r="J70" s="291" t="str">
        <f>IF(PaymentSchedule3[[#This Row],[Payment Number]]&lt;&gt;"",IF(PaymentSchedule3[[#This Row],[Scheduled Payment]]+PaymentSchedule3[[#This Row],[Extra
Payment]]&lt;=PaymentSchedule3[[#This Row],[Beginning
Balance]],PaymentSchedule3[[#This Row],[Beginning
Balance]]-PaymentSchedule3[[#This Row],[Principal]],0),"")</f>
        <v/>
      </c>
      <c r="K70" s="293" t="str">
        <f>IF(PaymentSchedule3[[#This Row],[Payment Number]]&lt;&gt;"",SUM(INDEX(PaymentSchedule3[Interest],1,1):PaymentSchedule3[[#This Row],[Interest]]),"")</f>
        <v/>
      </c>
      <c r="L70" s="300" t="e">
        <f>YEAR(PaymentSchedule3[[#This Row],[Payment
Date]])</f>
        <v>#VALUE!</v>
      </c>
      <c r="M70" s="300" t="e">
        <f>MONTH(PaymentSchedule3[[#This Row],[Payment
Date]])</f>
        <v>#VALUE!</v>
      </c>
      <c r="N70" s="293"/>
      <c r="O70" s="293"/>
      <c r="R70"/>
      <c r="S70"/>
      <c r="T70"/>
      <c r="U70"/>
      <c r="V70"/>
      <c r="W70"/>
      <c r="X70"/>
      <c r="Y70"/>
      <c r="Z70"/>
      <c r="AA70"/>
      <c r="AB70"/>
      <c r="AC70"/>
      <c r="AD70"/>
      <c r="AE70"/>
      <c r="AF70"/>
    </row>
    <row r="71" spans="2:32" ht="15.6" x14ac:dyDescent="0.3">
      <c r="B71" s="289" t="str">
        <f>IF(LoanIsGood,IF(ROW()-ROW(PaymentSchedule3[[#Headers],[Payment Number]])&gt;ScheduledNumberOfPayments,"",ROW()-ROW(PaymentSchedule3[[#Headers],[Payment Number]])),"")</f>
        <v/>
      </c>
      <c r="C71" s="290" t="str">
        <f>IF(PaymentSchedule3[[#This Row],[Payment Number]]&lt;&gt;"",EOMONTH(LoanStartDate,ROW(PaymentSchedule3[[#This Row],[Payment Number]])-ROW(PaymentSchedule3[[#Headers],[Payment Number]])-2)+DAY(LoanStartDate),"")</f>
        <v/>
      </c>
      <c r="D71" s="291" t="str">
        <f>IF(PaymentSchedule3[[#This Row],[Payment Number]]&lt;&gt;"",IF(ROW()-ROW(PaymentSchedule3[[#Headers],[Beginning
Balance]])=1,LoanAmount,INDEX(PaymentSchedule3[Ending
Balance],ROW()-ROW(PaymentSchedule3[[#Headers],[Beginning
Balance]])-1)),"")</f>
        <v/>
      </c>
      <c r="E71" s="292" t="str">
        <f>IF(PaymentSchedule3[[#This Row],[Payment Number]]&lt;&gt;"",ScheduledPayment,"")</f>
        <v/>
      </c>
      <c r="F71"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71"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71" s="291" t="str">
        <f>IF(PaymentSchedule3[[#This Row],[Payment Number]]&lt;&gt;"",PaymentSchedule3[[#This Row],[Total
Payment]]-PaymentSchedule3[[#This Row],[Interest]],"")</f>
        <v/>
      </c>
      <c r="I71" s="293" t="str">
        <f>IF(PaymentSchedule3[[#This Row],[Payment Number]]&lt;&gt;"",PaymentSchedule3[[#This Row],[Beginning
Balance]]*(InterestRate/PaymentsPerYear),"")</f>
        <v/>
      </c>
      <c r="J71" s="291" t="str">
        <f>IF(PaymentSchedule3[[#This Row],[Payment Number]]&lt;&gt;"",IF(PaymentSchedule3[[#This Row],[Scheduled Payment]]+PaymentSchedule3[[#This Row],[Extra
Payment]]&lt;=PaymentSchedule3[[#This Row],[Beginning
Balance]],PaymentSchedule3[[#This Row],[Beginning
Balance]]-PaymentSchedule3[[#This Row],[Principal]],0),"")</f>
        <v/>
      </c>
      <c r="K71" s="293" t="str">
        <f>IF(PaymentSchedule3[[#This Row],[Payment Number]]&lt;&gt;"",SUM(INDEX(PaymentSchedule3[Interest],1,1):PaymentSchedule3[[#This Row],[Interest]]),"")</f>
        <v/>
      </c>
      <c r="L71" s="300" t="e">
        <f>YEAR(PaymentSchedule3[[#This Row],[Payment
Date]])</f>
        <v>#VALUE!</v>
      </c>
      <c r="M71" s="300" t="e">
        <f>MONTH(PaymentSchedule3[[#This Row],[Payment
Date]])</f>
        <v>#VALUE!</v>
      </c>
      <c r="N71" s="293"/>
      <c r="O71" s="293"/>
      <c r="R71"/>
      <c r="S71"/>
      <c r="T71"/>
      <c r="U71"/>
      <c r="V71"/>
      <c r="W71"/>
      <c r="X71"/>
      <c r="Y71"/>
      <c r="Z71"/>
      <c r="AA71"/>
      <c r="AB71"/>
      <c r="AC71"/>
      <c r="AD71"/>
      <c r="AE71"/>
      <c r="AF71"/>
    </row>
    <row r="72" spans="2:32" ht="15.6" x14ac:dyDescent="0.3">
      <c r="B72" s="289" t="str">
        <f>IF(LoanIsGood,IF(ROW()-ROW(PaymentSchedule3[[#Headers],[Payment Number]])&gt;ScheduledNumberOfPayments,"",ROW()-ROW(PaymentSchedule3[[#Headers],[Payment Number]])),"")</f>
        <v/>
      </c>
      <c r="C72" s="290" t="str">
        <f>IF(PaymentSchedule3[[#This Row],[Payment Number]]&lt;&gt;"",EOMONTH(LoanStartDate,ROW(PaymentSchedule3[[#This Row],[Payment Number]])-ROW(PaymentSchedule3[[#Headers],[Payment Number]])-2)+DAY(LoanStartDate),"")</f>
        <v/>
      </c>
      <c r="D72" s="291" t="str">
        <f>IF(PaymentSchedule3[[#This Row],[Payment Number]]&lt;&gt;"",IF(ROW()-ROW(PaymentSchedule3[[#Headers],[Beginning
Balance]])=1,LoanAmount,INDEX(PaymentSchedule3[Ending
Balance],ROW()-ROW(PaymentSchedule3[[#Headers],[Beginning
Balance]])-1)),"")</f>
        <v/>
      </c>
      <c r="E72" s="292" t="str">
        <f>IF(PaymentSchedule3[[#This Row],[Payment Number]]&lt;&gt;"",ScheduledPayment,"")</f>
        <v/>
      </c>
      <c r="F72"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72"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72" s="291" t="str">
        <f>IF(PaymentSchedule3[[#This Row],[Payment Number]]&lt;&gt;"",PaymentSchedule3[[#This Row],[Total
Payment]]-PaymentSchedule3[[#This Row],[Interest]],"")</f>
        <v/>
      </c>
      <c r="I72" s="293" t="str">
        <f>IF(PaymentSchedule3[[#This Row],[Payment Number]]&lt;&gt;"",PaymentSchedule3[[#This Row],[Beginning
Balance]]*(InterestRate/PaymentsPerYear),"")</f>
        <v/>
      </c>
      <c r="J72" s="291" t="str">
        <f>IF(PaymentSchedule3[[#This Row],[Payment Number]]&lt;&gt;"",IF(PaymentSchedule3[[#This Row],[Scheduled Payment]]+PaymentSchedule3[[#This Row],[Extra
Payment]]&lt;=PaymentSchedule3[[#This Row],[Beginning
Balance]],PaymentSchedule3[[#This Row],[Beginning
Balance]]-PaymentSchedule3[[#This Row],[Principal]],0),"")</f>
        <v/>
      </c>
      <c r="K72" s="293" t="str">
        <f>IF(PaymentSchedule3[[#This Row],[Payment Number]]&lt;&gt;"",SUM(INDEX(PaymentSchedule3[Interest],1,1):PaymentSchedule3[[#This Row],[Interest]]),"")</f>
        <v/>
      </c>
      <c r="L72" s="300" t="e">
        <f>YEAR(PaymentSchedule3[[#This Row],[Payment
Date]])</f>
        <v>#VALUE!</v>
      </c>
      <c r="M72" s="300" t="e">
        <f>MONTH(PaymentSchedule3[[#This Row],[Payment
Date]])</f>
        <v>#VALUE!</v>
      </c>
      <c r="N72" s="293"/>
      <c r="O72" s="293"/>
      <c r="R72"/>
      <c r="S72"/>
      <c r="T72"/>
      <c r="U72"/>
      <c r="V72"/>
      <c r="W72"/>
      <c r="X72"/>
      <c r="Y72"/>
      <c r="Z72"/>
      <c r="AA72"/>
      <c r="AB72"/>
      <c r="AC72"/>
      <c r="AD72"/>
      <c r="AE72"/>
      <c r="AF72"/>
    </row>
    <row r="73" spans="2:32" ht="15.6" x14ac:dyDescent="0.3">
      <c r="B73" s="289" t="str">
        <f>IF(LoanIsGood,IF(ROW()-ROW(PaymentSchedule3[[#Headers],[Payment Number]])&gt;ScheduledNumberOfPayments,"",ROW()-ROW(PaymentSchedule3[[#Headers],[Payment Number]])),"")</f>
        <v/>
      </c>
      <c r="C73" s="290" t="str">
        <f>IF(PaymentSchedule3[[#This Row],[Payment Number]]&lt;&gt;"",EOMONTH(LoanStartDate,ROW(PaymentSchedule3[[#This Row],[Payment Number]])-ROW(PaymentSchedule3[[#Headers],[Payment Number]])-2)+DAY(LoanStartDate),"")</f>
        <v/>
      </c>
      <c r="D73" s="291" t="str">
        <f>IF(PaymentSchedule3[[#This Row],[Payment Number]]&lt;&gt;"",IF(ROW()-ROW(PaymentSchedule3[[#Headers],[Beginning
Balance]])=1,LoanAmount,INDEX(PaymentSchedule3[Ending
Balance],ROW()-ROW(PaymentSchedule3[[#Headers],[Beginning
Balance]])-1)),"")</f>
        <v/>
      </c>
      <c r="E73" s="292" t="str">
        <f>IF(PaymentSchedule3[[#This Row],[Payment Number]]&lt;&gt;"",ScheduledPayment,"")</f>
        <v/>
      </c>
      <c r="F73" s="291" t="str">
        <f>IF(PaymentSchedule3[[#This Row],[Payment Number]]&lt;&gt;"",IF(PaymentSchedule3[[#This Row],[Scheduled Payment]]+ExtraPayments&lt;PaymentSchedule3[[#This Row],[Beginning
Balance]],ExtraPayments,IF(PaymentSchedule3[[#This Row],[Beginning
Balance]]-PaymentSchedule3[[#This Row],[Scheduled Payment]]&gt;0,PaymentSchedule3[[#This Row],[Beginning
Balance]]-PaymentSchedule3[[#This Row],[Scheduled Payment]],0)),"")</f>
        <v/>
      </c>
      <c r="G73" s="291" t="str">
        <f>IF(PaymentSchedule3[[#This Row],[Payment Number]]&lt;&gt;"",IF(PaymentSchedule3[[#This Row],[Scheduled Payment]]+PaymentSchedule3[[#This Row],[Extra
Payment]]&lt;=PaymentSchedule3[[#This Row],[Beginning
Balance]],PaymentSchedule3[[#This Row],[Scheduled Payment]]+PaymentSchedule3[[#This Row],[Extra
Payment]],PaymentSchedule3[[#This Row],[Beginning
Balance]]),"")</f>
        <v/>
      </c>
      <c r="H73" s="291" t="str">
        <f>IF(PaymentSchedule3[[#This Row],[Payment Number]]&lt;&gt;"",PaymentSchedule3[[#This Row],[Total
Payment]]-PaymentSchedule3[[#This Row],[Interest]],"")</f>
        <v/>
      </c>
      <c r="I73" s="293" t="str">
        <f>IF(PaymentSchedule3[[#This Row],[Payment Number]]&lt;&gt;"",PaymentSchedule3[[#This Row],[Beginning
Balance]]*(InterestRate/PaymentsPerYear),"")</f>
        <v/>
      </c>
      <c r="J73" s="291" t="str">
        <f>IF(PaymentSchedule3[[#This Row],[Payment Number]]&lt;&gt;"",IF(PaymentSchedule3[[#This Row],[Scheduled Payment]]+PaymentSchedule3[[#This Row],[Extra
Payment]]&lt;=PaymentSchedule3[[#This Row],[Beginning
Balance]],PaymentSchedule3[[#This Row],[Beginning
Balance]]-PaymentSchedule3[[#This Row],[Principal]],0),"")</f>
        <v/>
      </c>
      <c r="K73" s="293" t="str">
        <f>IF(PaymentSchedule3[[#This Row],[Payment Number]]&lt;&gt;"",SUM(INDEX(PaymentSchedule3[Interest],1,1):PaymentSchedule3[[#This Row],[Interest]]),"")</f>
        <v/>
      </c>
      <c r="L73" s="300" t="e">
        <f>YEAR(PaymentSchedule3[[#This Row],[Payment
Date]])</f>
        <v>#VALUE!</v>
      </c>
      <c r="M73" s="300" t="e">
        <f>MONTH(PaymentSchedule3[[#This Row],[Payment
Date]])</f>
        <v>#VALUE!</v>
      </c>
      <c r="N73" s="293"/>
      <c r="O73" s="293"/>
      <c r="R73"/>
      <c r="S73"/>
      <c r="T73"/>
      <c r="U73"/>
      <c r="V73"/>
      <c r="W73"/>
      <c r="X73"/>
      <c r="Y73"/>
      <c r="Z73"/>
      <c r="AA73"/>
      <c r="AB73"/>
      <c r="AC73"/>
      <c r="AD73"/>
      <c r="AE73"/>
      <c r="AF73"/>
    </row>
    <row r="74" spans="2:32" x14ac:dyDescent="0.3">
      <c r="R74"/>
      <c r="S74"/>
      <c r="T74"/>
      <c r="U74"/>
      <c r="V74"/>
      <c r="W74"/>
      <c r="X74"/>
      <c r="Y74"/>
      <c r="Z74"/>
      <c r="AA74"/>
      <c r="AB74"/>
      <c r="AC74"/>
      <c r="AD74"/>
      <c r="AE74"/>
      <c r="AF74"/>
    </row>
    <row r="75" spans="2:32" x14ac:dyDescent="0.3">
      <c r="R75"/>
      <c r="S75"/>
      <c r="T75"/>
      <c r="U75"/>
      <c r="V75"/>
      <c r="W75"/>
      <c r="X75"/>
      <c r="Y75"/>
      <c r="Z75"/>
      <c r="AA75"/>
      <c r="AB75"/>
      <c r="AC75"/>
      <c r="AD75"/>
      <c r="AE75"/>
      <c r="AF75"/>
    </row>
    <row r="76" spans="2:32" x14ac:dyDescent="0.3">
      <c r="R76"/>
      <c r="S76"/>
      <c r="T76"/>
      <c r="U76"/>
      <c r="V76"/>
      <c r="W76"/>
      <c r="X76"/>
      <c r="Y76"/>
      <c r="Z76"/>
      <c r="AA76"/>
      <c r="AB76"/>
      <c r="AC76"/>
      <c r="AD76"/>
      <c r="AE76"/>
      <c r="AF76"/>
    </row>
    <row r="77" spans="2:32" x14ac:dyDescent="0.3">
      <c r="R77"/>
      <c r="S77"/>
      <c r="T77"/>
      <c r="U77"/>
      <c r="V77"/>
      <c r="W77"/>
      <c r="X77"/>
      <c r="Y77"/>
      <c r="Z77"/>
      <c r="AA77"/>
      <c r="AB77"/>
      <c r="AC77"/>
      <c r="AD77"/>
      <c r="AE77"/>
      <c r="AF77"/>
    </row>
    <row r="78" spans="2:32" x14ac:dyDescent="0.3">
      <c r="R78"/>
      <c r="S78"/>
      <c r="T78"/>
      <c r="U78"/>
      <c r="V78"/>
      <c r="W78"/>
      <c r="X78"/>
      <c r="Y78"/>
      <c r="Z78"/>
      <c r="AA78"/>
      <c r="AB78"/>
      <c r="AC78"/>
      <c r="AD78"/>
      <c r="AE78"/>
      <c r="AF78"/>
    </row>
    <row r="79" spans="2:32" x14ac:dyDescent="0.3">
      <c r="R79"/>
      <c r="S79"/>
      <c r="T79"/>
      <c r="U79"/>
      <c r="V79"/>
      <c r="W79"/>
      <c r="X79"/>
      <c r="Y79"/>
      <c r="Z79"/>
      <c r="AA79"/>
      <c r="AB79"/>
      <c r="AC79"/>
      <c r="AD79"/>
      <c r="AE79"/>
      <c r="AF79"/>
    </row>
    <row r="80" spans="2:32" x14ac:dyDescent="0.3">
      <c r="R80"/>
      <c r="S80"/>
      <c r="T80"/>
      <c r="U80"/>
      <c r="V80"/>
      <c r="W80"/>
      <c r="X80"/>
      <c r="Y80"/>
      <c r="Z80"/>
      <c r="AA80"/>
      <c r="AB80"/>
      <c r="AC80"/>
      <c r="AD80"/>
      <c r="AE80"/>
      <c r="AF80"/>
    </row>
    <row r="81" spans="18:32" x14ac:dyDescent="0.3">
      <c r="R81"/>
      <c r="S81"/>
      <c r="T81"/>
      <c r="U81"/>
      <c r="V81"/>
      <c r="W81"/>
      <c r="X81"/>
      <c r="Y81"/>
      <c r="Z81"/>
      <c r="AA81"/>
      <c r="AB81"/>
      <c r="AC81"/>
      <c r="AD81"/>
      <c r="AE81"/>
      <c r="AF81"/>
    </row>
    <row r="82" spans="18:32" x14ac:dyDescent="0.3">
      <c r="R82"/>
      <c r="S82"/>
      <c r="T82"/>
      <c r="U82"/>
      <c r="V82"/>
      <c r="W82"/>
      <c r="X82"/>
      <c r="Y82"/>
      <c r="Z82"/>
      <c r="AA82"/>
      <c r="AB82"/>
      <c r="AC82"/>
      <c r="AD82"/>
      <c r="AE82"/>
      <c r="AF82"/>
    </row>
    <row r="83" spans="18:32" x14ac:dyDescent="0.3">
      <c r="R83"/>
      <c r="S83"/>
      <c r="T83"/>
      <c r="U83"/>
      <c r="V83"/>
      <c r="W83"/>
      <c r="X83"/>
      <c r="Y83"/>
      <c r="Z83"/>
      <c r="AA83"/>
      <c r="AB83"/>
      <c r="AC83"/>
      <c r="AD83"/>
      <c r="AE83"/>
      <c r="AF83"/>
    </row>
    <row r="84" spans="18:32" x14ac:dyDescent="0.3">
      <c r="R84"/>
      <c r="S84"/>
      <c r="T84"/>
      <c r="U84"/>
      <c r="V84"/>
      <c r="W84"/>
      <c r="X84"/>
      <c r="Y84"/>
      <c r="Z84"/>
      <c r="AA84"/>
      <c r="AB84"/>
      <c r="AC84"/>
      <c r="AD84"/>
      <c r="AE84"/>
      <c r="AF84"/>
    </row>
    <row r="85" spans="18:32" x14ac:dyDescent="0.3">
      <c r="R85"/>
      <c r="S85"/>
      <c r="T85"/>
      <c r="U85"/>
      <c r="V85"/>
      <c r="W85"/>
      <c r="X85"/>
      <c r="Y85"/>
      <c r="Z85"/>
      <c r="AA85"/>
      <c r="AB85"/>
      <c r="AC85"/>
      <c r="AD85"/>
      <c r="AE85"/>
      <c r="AF85"/>
    </row>
    <row r="86" spans="18:32" x14ac:dyDescent="0.3">
      <c r="R86"/>
      <c r="S86"/>
      <c r="T86"/>
      <c r="U86"/>
      <c r="V86"/>
      <c r="W86"/>
      <c r="X86"/>
      <c r="Y86"/>
      <c r="Z86"/>
      <c r="AA86"/>
      <c r="AB86"/>
      <c r="AC86"/>
      <c r="AD86"/>
      <c r="AE86"/>
      <c r="AF86"/>
    </row>
    <row r="87" spans="18:32" x14ac:dyDescent="0.3">
      <c r="R87"/>
      <c r="S87"/>
      <c r="T87"/>
      <c r="U87"/>
      <c r="V87"/>
      <c r="W87"/>
      <c r="X87"/>
      <c r="Y87"/>
      <c r="Z87"/>
      <c r="AA87"/>
      <c r="AB87"/>
      <c r="AC87"/>
      <c r="AD87"/>
      <c r="AE87"/>
      <c r="AF87"/>
    </row>
    <row r="88" spans="18:32" x14ac:dyDescent="0.3">
      <c r="R88"/>
      <c r="S88"/>
      <c r="T88"/>
      <c r="U88"/>
      <c r="V88"/>
      <c r="W88"/>
      <c r="X88"/>
      <c r="Y88"/>
      <c r="Z88"/>
      <c r="AA88"/>
      <c r="AB88"/>
      <c r="AC88"/>
      <c r="AD88"/>
      <c r="AE88"/>
      <c r="AF88"/>
    </row>
    <row r="89" spans="18:32" x14ac:dyDescent="0.3">
      <c r="R89"/>
      <c r="S89"/>
      <c r="T89"/>
      <c r="U89"/>
      <c r="V89"/>
      <c r="W89"/>
      <c r="X89"/>
      <c r="Y89"/>
      <c r="Z89"/>
      <c r="AA89"/>
      <c r="AB89"/>
      <c r="AC89"/>
      <c r="AD89"/>
      <c r="AE89"/>
      <c r="AF89"/>
    </row>
    <row r="90" spans="18:32" x14ac:dyDescent="0.3">
      <c r="R90"/>
      <c r="S90"/>
      <c r="T90"/>
      <c r="U90"/>
      <c r="V90"/>
      <c r="W90"/>
      <c r="X90"/>
      <c r="Y90"/>
      <c r="Z90"/>
      <c r="AA90"/>
      <c r="AB90"/>
      <c r="AC90"/>
      <c r="AD90"/>
      <c r="AE90"/>
      <c r="AF90"/>
    </row>
    <row r="91" spans="18:32" x14ac:dyDescent="0.3">
      <c r="R91"/>
      <c r="S91"/>
      <c r="T91"/>
      <c r="U91"/>
      <c r="V91"/>
      <c r="W91"/>
      <c r="X91"/>
      <c r="Y91"/>
      <c r="Z91"/>
      <c r="AA91"/>
      <c r="AB91"/>
      <c r="AC91"/>
      <c r="AD91"/>
      <c r="AE91"/>
      <c r="AF91"/>
    </row>
    <row r="92" spans="18:32" x14ac:dyDescent="0.3">
      <c r="R92"/>
      <c r="S92"/>
      <c r="T92"/>
      <c r="U92"/>
      <c r="V92"/>
      <c r="W92"/>
      <c r="X92"/>
      <c r="Y92"/>
      <c r="Z92"/>
      <c r="AA92"/>
      <c r="AB92"/>
      <c r="AC92"/>
      <c r="AD92"/>
      <c r="AE92"/>
      <c r="AF92"/>
    </row>
    <row r="93" spans="18:32" x14ac:dyDescent="0.3">
      <c r="R93"/>
      <c r="S93"/>
      <c r="T93"/>
      <c r="U93"/>
      <c r="V93"/>
      <c r="W93"/>
      <c r="X93"/>
      <c r="Y93"/>
      <c r="Z93"/>
      <c r="AA93"/>
      <c r="AB93"/>
      <c r="AC93"/>
      <c r="AD93"/>
      <c r="AE93"/>
      <c r="AF93"/>
    </row>
    <row r="94" spans="18:32" x14ac:dyDescent="0.3">
      <c r="R94"/>
      <c r="S94"/>
      <c r="T94"/>
      <c r="U94"/>
      <c r="V94"/>
      <c r="W94"/>
      <c r="X94"/>
      <c r="Y94"/>
      <c r="Z94"/>
      <c r="AA94"/>
      <c r="AB94"/>
      <c r="AC94"/>
      <c r="AD94"/>
      <c r="AE94"/>
      <c r="AF94"/>
    </row>
    <row r="95" spans="18:32" x14ac:dyDescent="0.3">
      <c r="R95"/>
      <c r="S95"/>
      <c r="T95"/>
      <c r="U95"/>
      <c r="V95"/>
      <c r="W95"/>
      <c r="X95"/>
      <c r="Y95"/>
      <c r="Z95"/>
      <c r="AA95"/>
      <c r="AB95"/>
      <c r="AC95"/>
      <c r="AD95"/>
      <c r="AE95"/>
      <c r="AF95"/>
    </row>
    <row r="96" spans="18:32" x14ac:dyDescent="0.3">
      <c r="R96"/>
      <c r="S96"/>
      <c r="T96"/>
      <c r="U96"/>
      <c r="V96"/>
      <c r="W96"/>
      <c r="X96"/>
      <c r="Y96"/>
      <c r="Z96"/>
      <c r="AA96"/>
      <c r="AB96"/>
      <c r="AC96"/>
      <c r="AD96"/>
      <c r="AE96"/>
      <c r="AF96"/>
    </row>
    <row r="97" spans="18:32" x14ac:dyDescent="0.3">
      <c r="R97"/>
      <c r="S97"/>
      <c r="T97"/>
      <c r="U97"/>
      <c r="V97"/>
      <c r="W97"/>
      <c r="X97"/>
      <c r="Y97"/>
      <c r="Z97"/>
      <c r="AA97"/>
      <c r="AB97"/>
      <c r="AC97"/>
      <c r="AD97"/>
      <c r="AE97"/>
      <c r="AF97"/>
    </row>
    <row r="98" spans="18:32" x14ac:dyDescent="0.3">
      <c r="R98"/>
      <c r="S98"/>
      <c r="T98"/>
      <c r="U98"/>
      <c r="V98"/>
      <c r="W98"/>
      <c r="X98"/>
      <c r="Y98"/>
      <c r="Z98"/>
      <c r="AA98"/>
      <c r="AB98"/>
      <c r="AC98"/>
      <c r="AD98"/>
      <c r="AE98"/>
      <c r="AF98"/>
    </row>
    <row r="99" spans="18:32" x14ac:dyDescent="0.3">
      <c r="R99"/>
      <c r="S99"/>
      <c r="T99"/>
      <c r="U99"/>
      <c r="V99"/>
      <c r="W99"/>
      <c r="X99"/>
      <c r="Y99"/>
      <c r="Z99"/>
      <c r="AA99"/>
      <c r="AB99"/>
      <c r="AC99"/>
      <c r="AD99"/>
      <c r="AE99"/>
      <c r="AF99"/>
    </row>
    <row r="100" spans="18:32" x14ac:dyDescent="0.3">
      <c r="R100"/>
      <c r="S100"/>
      <c r="T100"/>
      <c r="U100"/>
      <c r="V100"/>
      <c r="W100"/>
      <c r="X100"/>
      <c r="Y100"/>
      <c r="Z100"/>
      <c r="AA100"/>
      <c r="AB100"/>
      <c r="AC100"/>
      <c r="AD100"/>
      <c r="AE100"/>
      <c r="AF100"/>
    </row>
    <row r="101" spans="18:32" x14ac:dyDescent="0.3">
      <c r="R101"/>
      <c r="S101"/>
      <c r="T101"/>
      <c r="U101"/>
      <c r="V101"/>
      <c r="W101"/>
      <c r="X101"/>
      <c r="Y101"/>
      <c r="Z101"/>
      <c r="AA101"/>
      <c r="AB101"/>
      <c r="AC101"/>
      <c r="AD101"/>
      <c r="AE101"/>
      <c r="AF101"/>
    </row>
    <row r="102" spans="18:32" x14ac:dyDescent="0.3">
      <c r="R102"/>
      <c r="S102"/>
      <c r="T102"/>
      <c r="U102"/>
      <c r="V102"/>
      <c r="W102"/>
      <c r="X102"/>
      <c r="Y102"/>
      <c r="Z102"/>
      <c r="AA102"/>
      <c r="AB102"/>
      <c r="AC102"/>
      <c r="AD102"/>
      <c r="AE102"/>
      <c r="AF102"/>
    </row>
    <row r="103" spans="18:32" x14ac:dyDescent="0.3">
      <c r="R103"/>
      <c r="S103"/>
      <c r="T103"/>
      <c r="U103"/>
      <c r="V103"/>
      <c r="W103"/>
      <c r="X103"/>
      <c r="Y103"/>
      <c r="Z103"/>
      <c r="AA103"/>
      <c r="AB103"/>
      <c r="AC103"/>
      <c r="AD103"/>
      <c r="AE103"/>
      <c r="AF103"/>
    </row>
    <row r="104" spans="18:32" x14ac:dyDescent="0.3">
      <c r="R104"/>
      <c r="S104"/>
      <c r="T104"/>
      <c r="U104"/>
      <c r="V104"/>
      <c r="W104"/>
      <c r="X104"/>
      <c r="Y104"/>
      <c r="Z104"/>
      <c r="AA104"/>
      <c r="AB104"/>
      <c r="AC104"/>
      <c r="AD104"/>
      <c r="AE104"/>
      <c r="AF104"/>
    </row>
    <row r="105" spans="18:32" x14ac:dyDescent="0.3">
      <c r="R105"/>
      <c r="S105"/>
      <c r="T105"/>
      <c r="U105"/>
      <c r="V105"/>
      <c r="W105"/>
      <c r="X105"/>
      <c r="Y105"/>
      <c r="Z105"/>
      <c r="AA105"/>
      <c r="AB105"/>
      <c r="AC105"/>
      <c r="AD105"/>
      <c r="AE105"/>
      <c r="AF105"/>
    </row>
    <row r="106" spans="18:32" x14ac:dyDescent="0.3">
      <c r="R106"/>
      <c r="S106"/>
      <c r="T106"/>
      <c r="U106"/>
      <c r="V106"/>
      <c r="W106"/>
      <c r="X106"/>
      <c r="Y106"/>
      <c r="Z106"/>
      <c r="AA106"/>
      <c r="AB106"/>
      <c r="AC106"/>
      <c r="AD106"/>
      <c r="AE106"/>
      <c r="AF106"/>
    </row>
    <row r="107" spans="18:32" x14ac:dyDescent="0.3">
      <c r="R107"/>
      <c r="S107"/>
      <c r="T107"/>
      <c r="U107"/>
      <c r="V107"/>
      <c r="W107"/>
      <c r="X107"/>
      <c r="Y107"/>
      <c r="Z107"/>
      <c r="AA107"/>
      <c r="AB107"/>
      <c r="AC107"/>
      <c r="AD107"/>
      <c r="AE107"/>
      <c r="AF107"/>
    </row>
    <row r="108" spans="18:32" x14ac:dyDescent="0.3">
      <c r="R108"/>
      <c r="S108"/>
      <c r="T108"/>
      <c r="U108"/>
      <c r="V108"/>
      <c r="W108"/>
      <c r="X108"/>
      <c r="Y108"/>
      <c r="Z108"/>
      <c r="AA108"/>
      <c r="AB108"/>
      <c r="AC108"/>
      <c r="AD108"/>
      <c r="AE108"/>
      <c r="AF108"/>
    </row>
    <row r="109" spans="18:32" x14ac:dyDescent="0.3">
      <c r="R109"/>
      <c r="S109"/>
      <c r="T109"/>
      <c r="U109"/>
      <c r="V109"/>
      <c r="W109"/>
      <c r="X109"/>
      <c r="Y109"/>
      <c r="Z109"/>
      <c r="AA109"/>
      <c r="AB109"/>
      <c r="AC109"/>
      <c r="AD109"/>
      <c r="AE109"/>
      <c r="AF109"/>
    </row>
    <row r="110" spans="18:32" x14ac:dyDescent="0.3">
      <c r="R110"/>
      <c r="S110"/>
      <c r="T110"/>
      <c r="U110"/>
      <c r="V110"/>
      <c r="W110"/>
      <c r="X110"/>
      <c r="Y110"/>
      <c r="Z110"/>
      <c r="AA110"/>
      <c r="AB110"/>
      <c r="AC110"/>
      <c r="AD110"/>
      <c r="AE110"/>
      <c r="AF110"/>
    </row>
    <row r="111" spans="18:32" x14ac:dyDescent="0.3">
      <c r="R111"/>
      <c r="S111"/>
      <c r="T111"/>
      <c r="U111"/>
      <c r="V111"/>
      <c r="W111"/>
      <c r="X111"/>
      <c r="Y111"/>
      <c r="Z111"/>
      <c r="AA111"/>
      <c r="AB111"/>
      <c r="AC111"/>
      <c r="AD111"/>
      <c r="AE111"/>
      <c r="AF111"/>
    </row>
    <row r="112" spans="18:32" x14ac:dyDescent="0.3">
      <c r="R112"/>
      <c r="S112"/>
      <c r="T112"/>
      <c r="U112"/>
      <c r="V112"/>
      <c r="W112"/>
      <c r="X112"/>
      <c r="Y112"/>
      <c r="Z112"/>
      <c r="AA112"/>
      <c r="AB112"/>
      <c r="AC112"/>
      <c r="AD112"/>
      <c r="AE112"/>
      <c r="AF112"/>
    </row>
    <row r="113" spans="18:32" x14ac:dyDescent="0.3">
      <c r="R113"/>
      <c r="S113"/>
      <c r="T113"/>
      <c r="U113"/>
      <c r="V113"/>
      <c r="W113"/>
      <c r="X113"/>
      <c r="Y113"/>
      <c r="Z113"/>
      <c r="AA113"/>
      <c r="AB113"/>
      <c r="AC113"/>
      <c r="AD113"/>
      <c r="AE113"/>
      <c r="AF113"/>
    </row>
  </sheetData>
  <mergeCells count="20">
    <mergeCell ref="C2:K2"/>
    <mergeCell ref="B5:D5"/>
    <mergeCell ref="G5:H5"/>
    <mergeCell ref="I5:K5"/>
    <mergeCell ref="B6:D6"/>
    <mergeCell ref="G6:H6"/>
    <mergeCell ref="I6:K6"/>
    <mergeCell ref="B7:D7"/>
    <mergeCell ref="G7:H7"/>
    <mergeCell ref="I7:K7"/>
    <mergeCell ref="B8:D8"/>
    <mergeCell ref="G8:H8"/>
    <mergeCell ref="I8:K8"/>
    <mergeCell ref="B9:C9"/>
    <mergeCell ref="G9:H9"/>
    <mergeCell ref="I9:K9"/>
    <mergeCell ref="I10:K10"/>
    <mergeCell ref="B11:D11"/>
    <mergeCell ref="G11:H11"/>
    <mergeCell ref="I11:K11"/>
  </mergeCells>
  <conditionalFormatting sqref="B14:O73">
    <cfRule type="expression" dxfId="15" priority="1">
      <formula>($B14="")+(($D14=0)*($F14=0))</formula>
    </cfRule>
  </conditionalFormatting>
  <dataValidations count="25">
    <dataValidation allowBlank="1" showInputMessage="1" showErrorMessage="1" prompt="Loan Summary fields from I5 to I9 are automatically adjusted based on the values entered in cells E5 to E9. Enter the Lender's name in I11._x000a__x000a_Description of each value can be found in column I." sqref="G4" xr:uid="{533BC979-C65B-4BE3-80FD-057F5EA780D2}"/>
    <dataValidation allowBlank="1" showInputMessage="1" showErrorMessage="1" prompt="Enter loan values in cells E5 to E9, and the extra payment in cell E11. Description of each loan value is in column E. Payment Schedule table starting in cell G4 will automatically update." sqref="B4" xr:uid="{7A05ADD7-2178-4FC8-81DA-39A731CE091B}"/>
    <dataValidation allowBlank="1" showInputMessage="1" showErrorMessage="1" prompt="This workbook produces a loan amortization schedule that calculates total interest and total payments &amp; includes the option for extra payments._x000a__x000a_Go to cell C2 for additional information about this template._x000a_" sqref="A1" xr:uid="{F09BADB4-E5DD-409D-9785-9521C5FAC297}"/>
    <dataValidation allowBlank="1" showInputMessage="1" showErrorMessage="1" prompt="Worksheet title is in this cell. _x000a__x000a_Enter loan values in cells E5 to E9 &amp; extra payments in cell E11.  Enter loan summary values in cells I5 to K9, with lender name in cell I11.  _x000a__x000a_The Payment Schedule table will automatically update." sqref="C2:O2" xr:uid="{26679274-4C25-48AB-AA4F-E172BF44AF4F}"/>
    <dataValidation allowBlank="1" showInputMessage="1" showErrorMessage="1" prompt="Enter Loan Amount in this cell" sqref="E5" xr:uid="{052C28FF-FA06-4745-A360-96862A48B8BC}"/>
    <dataValidation allowBlank="1" showInputMessage="1" showErrorMessage="1" prompt="Enter interest rate to be paid annually in this cell" sqref="E6" xr:uid="{F7673657-3C73-4243-9598-95891DED6FDB}"/>
    <dataValidation allowBlank="1" showInputMessage="1" showErrorMessage="1" prompt="Enter loan period in years in this cell" sqref="E7" xr:uid="{7917E36D-149D-4865-B71E-DFB2311ABC18}"/>
    <dataValidation allowBlank="1" showInputMessage="1" showErrorMessage="1" prompt="Enter the number of payments to be made in a year in this cell" sqref="E8" xr:uid="{22F4FC51-0DD2-49D4-957A-6846900035FF}"/>
    <dataValidation allowBlank="1" showInputMessage="1" showErrorMessage="1" prompt="Enter the start date of loan in this cell" sqref="E9" xr:uid="{2EE4DA08-AEB5-4CD1-919E-3B4282B12BDB}"/>
    <dataValidation allowBlank="1" showInputMessage="1" showErrorMessage="1" prompt="Enter the amount of extra payment in this cell" sqref="E11" xr:uid="{98879A51-FA73-42AF-AF77-318E8C8FA0A4}"/>
    <dataValidation allowBlank="1" showInputMessage="1" showErrorMessage="1" prompt="Automatically calculated total interest" sqref="I9" xr:uid="{F9A6C994-9D69-4DA1-8F86-3DC91003C9BE}"/>
    <dataValidation allowBlank="1" showInputMessage="1" showErrorMessage="1" prompt="Automatically updated scheduled payment amount" sqref="I5" xr:uid="{1F596FA0-09A6-4706-9196-F08679E0F80C}"/>
    <dataValidation allowBlank="1" showInputMessage="1" showErrorMessage="1" prompt="Automatically updated scheduled number of payments" sqref="I6" xr:uid="{853B9C13-35AB-40B3-90E9-530EAB1369AC}"/>
    <dataValidation allowBlank="1" showInputMessage="1" showErrorMessage="1" prompt="Automatically updated actual number of payments" sqref="I7" xr:uid="{18791C2A-FB92-45F5-9287-179A479A8E49}"/>
    <dataValidation allowBlank="1" showInputMessage="1" showErrorMessage="1" prompt="Automatically updated total early payments" sqref="I8" xr:uid="{04D3D01D-0A31-440F-8003-B207112486C4}"/>
    <dataValidation allowBlank="1" showInputMessage="1" showErrorMessage="1" prompt="Payment number is automatically updated in this column" sqref="B13" xr:uid="{95835560-DD8E-41F3-8DB5-D80CAB3A628A}"/>
    <dataValidation allowBlank="1" showInputMessage="1" showErrorMessage="1" prompt="Payment date is automatically updated in this column" sqref="C13" xr:uid="{B629FC61-A4DB-43B4-A6AC-1E85E71CF61C}"/>
    <dataValidation allowBlank="1" showInputMessage="1" showErrorMessage="1" prompt="Beginning balance is automatically updated in this column" sqref="D13" xr:uid="{1A70BFC0-4B1D-4C07-BD05-BF3754AA5DB4}"/>
    <dataValidation allowBlank="1" showInputMessage="1" showErrorMessage="1" prompt="Scheduled payment is automatically updated in this column" sqref="E13" xr:uid="{2433BE4C-E585-45C8-B2F2-0282807B72B3}"/>
    <dataValidation allowBlank="1" showInputMessage="1" showErrorMessage="1" prompt="Extra payment is automatically updated in this column" sqref="F13" xr:uid="{629F3812-D874-4A61-8401-8A3B844CACFA}"/>
    <dataValidation allowBlank="1" showInputMessage="1" showErrorMessage="1" prompt="Total payment is automatically updated in this column" sqref="G13" xr:uid="{5765F7A3-CC1C-47E5-AFF6-A9FC505C22ED}"/>
    <dataValidation allowBlank="1" showInputMessage="1" showErrorMessage="1" prompt="Principal is automatically updated in this column" sqref="H13" xr:uid="{CB5671B2-4695-4C55-A470-42DC0C9347F2}"/>
    <dataValidation allowBlank="1" showInputMessage="1" showErrorMessage="1" prompt="Interest is automatically updated in this column" sqref="I13" xr:uid="{69990792-7E6E-4CA0-A70D-4056103391C8}"/>
    <dataValidation allowBlank="1" showInputMessage="1" showErrorMessage="1" prompt="Ending balance is automatically updated in this column" sqref="J13" xr:uid="{0D12F66D-7C06-41D2-8306-C6F9B04DD267}"/>
    <dataValidation allowBlank="1" showInputMessage="1" showErrorMessage="1" prompt="Cumulative interest is automatically updated in this column" sqref="K13:O13" xr:uid="{FA83DAC1-B692-46BE-9E44-F1FB3963724D}"/>
  </dataValidations>
  <printOptions horizontalCentered="1"/>
  <pageMargins left="0.4" right="0.4" top="0.4" bottom="0.5" header="0.3" footer="0.3"/>
  <pageSetup scale="79" fitToHeight="0" orientation="landscape" r:id="rId2"/>
  <headerFooter differentFirst="1">
    <oddFooter>Page &amp;P of &amp;N</oddFooter>
  </headerFooter>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83B2-95B0-4E0D-BA1C-306B3981A659}">
  <sheetPr codeName="Sheet27"/>
  <dimension ref="A1:BS799"/>
  <sheetViews>
    <sheetView showGridLines="0" zoomScale="80" zoomScaleNormal="80" workbookViewId="0">
      <pane xSplit="2" ySplit="18" topLeftCell="C19" activePane="bottomRight" state="frozen"/>
      <selection pane="topRight" activeCell="C1" sqref="C1"/>
      <selection pane="bottomLeft" activeCell="A19" sqref="A19"/>
      <selection pane="bottomRight"/>
    </sheetView>
  </sheetViews>
  <sheetFormatPr defaultColWidth="8.88671875" defaultRowHeight="13.2" x14ac:dyDescent="0.25"/>
  <cols>
    <col min="1" max="1" width="9.44140625" style="220" customWidth="1"/>
    <col min="2" max="2" width="11" style="220" customWidth="1"/>
    <col min="3" max="3" width="11.109375" style="220" customWidth="1"/>
    <col min="4" max="4" width="14.88671875" style="220" customWidth="1"/>
    <col min="5" max="5" width="11" style="220" customWidth="1"/>
    <col min="6" max="6" width="10.109375" style="220" customWidth="1"/>
    <col min="7" max="7" width="12.88671875" style="220" customWidth="1"/>
    <col min="8" max="8" width="14.88671875" style="220" customWidth="1"/>
    <col min="9" max="10" width="10.5546875" style="220" customWidth="1"/>
    <col min="11" max="11" width="48.88671875" style="220" customWidth="1"/>
    <col min="12" max="12" width="14.109375" style="220" customWidth="1"/>
    <col min="13" max="14" width="11.109375" style="220" customWidth="1"/>
    <col min="15" max="17" width="9.44140625" style="220" bestFit="1" customWidth="1"/>
    <col min="18" max="20" width="9" style="220" bestFit="1" customWidth="1"/>
    <col min="21" max="23" width="9.109375" style="220" bestFit="1" customWidth="1"/>
    <col min="24" max="71" width="8.88671875" style="220" bestFit="1" customWidth="1"/>
    <col min="72" max="16384" width="8.88671875" style="220"/>
  </cols>
  <sheetData>
    <row r="1" spans="1:12" ht="30" customHeight="1" x14ac:dyDescent="0.4">
      <c r="A1" s="217" t="s">
        <v>313</v>
      </c>
      <c r="B1" s="218"/>
      <c r="C1" s="218"/>
      <c r="D1" s="218"/>
      <c r="E1" s="218"/>
      <c r="F1" s="218"/>
      <c r="G1" s="219"/>
      <c r="H1" s="219"/>
      <c r="K1" s="221" t="s">
        <v>314</v>
      </c>
    </row>
    <row r="2" spans="1:12" ht="12.75" customHeight="1" x14ac:dyDescent="0.25">
      <c r="A2" s="222" t="s">
        <v>315</v>
      </c>
      <c r="H2" s="223" t="str">
        <f ca="1">"© 2008-" &amp; YEAR(TODAY()) &amp; " Vertex42 LLC"</f>
        <v>© 2008-2024 Vertex42 LLC</v>
      </c>
      <c r="K2" s="1785" t="s">
        <v>316</v>
      </c>
    </row>
    <row r="3" spans="1:12" x14ac:dyDescent="0.25">
      <c r="A3" s="222"/>
      <c r="H3" s="223"/>
      <c r="K3" s="1786"/>
    </row>
    <row r="4" spans="1:12" ht="15.6" x14ac:dyDescent="0.3">
      <c r="B4" s="224" t="s">
        <v>317</v>
      </c>
      <c r="C4" s="1787"/>
      <c r="D4" s="1787"/>
      <c r="H4" s="225" t="s">
        <v>318</v>
      </c>
      <c r="K4" s="1786"/>
    </row>
    <row r="5" spans="1:12" x14ac:dyDescent="0.25">
      <c r="C5" s="220" t="s">
        <v>319</v>
      </c>
      <c r="H5" s="226" t="s">
        <v>320</v>
      </c>
      <c r="K5" s="1786"/>
    </row>
    <row r="6" spans="1:12" x14ac:dyDescent="0.25">
      <c r="C6" s="227" t="s">
        <v>321</v>
      </c>
      <c r="H6" s="226" t="s">
        <v>321</v>
      </c>
      <c r="K6" s="1786"/>
    </row>
    <row r="7" spans="1:12" x14ac:dyDescent="0.25">
      <c r="K7" s="1786"/>
    </row>
    <row r="8" spans="1:12" ht="13.8" x14ac:dyDescent="0.25">
      <c r="A8" s="228" t="s">
        <v>322</v>
      </c>
      <c r="B8" s="229"/>
      <c r="C8" s="229"/>
      <c r="D8" s="229"/>
      <c r="E8" s="230" t="s">
        <v>323</v>
      </c>
      <c r="F8" s="228" t="s">
        <v>324</v>
      </c>
      <c r="G8" s="231"/>
      <c r="H8" s="231"/>
      <c r="K8" s="1786"/>
    </row>
    <row r="9" spans="1:12" ht="15" customHeight="1" x14ac:dyDescent="0.25">
      <c r="A9" s="232"/>
      <c r="B9" s="232"/>
      <c r="C9" s="233" t="s">
        <v>325</v>
      </c>
      <c r="D9" s="887">
        <v>167500</v>
      </c>
      <c r="F9" s="232"/>
      <c r="G9" s="233" t="s">
        <v>326</v>
      </c>
      <c r="H9" s="235">
        <f>D10/D12</f>
        <v>9.722222222222223E-5</v>
      </c>
      <c r="I9" s="220" t="s">
        <v>327</v>
      </c>
      <c r="K9" s="1786"/>
    </row>
    <row r="10" spans="1:12" ht="15" customHeight="1" x14ac:dyDescent="0.25">
      <c r="A10" s="232"/>
      <c r="B10" s="232"/>
      <c r="C10" s="233" t="s">
        <v>328</v>
      </c>
      <c r="D10" s="236">
        <v>3.5000000000000003E-2</v>
      </c>
      <c r="F10" s="232"/>
      <c r="G10" s="233" t="s">
        <v>329</v>
      </c>
      <c r="H10" s="235">
        <v>0</v>
      </c>
      <c r="I10" s="237">
        <v>0</v>
      </c>
      <c r="K10" s="1786"/>
    </row>
    <row r="11" spans="1:12" ht="15" customHeight="1" x14ac:dyDescent="0.25">
      <c r="A11" s="232"/>
      <c r="B11" s="232"/>
      <c r="C11" s="233" t="s">
        <v>332</v>
      </c>
      <c r="D11" s="238">
        <v>44540</v>
      </c>
      <c r="F11" s="232"/>
      <c r="G11" s="233" t="s">
        <v>331</v>
      </c>
      <c r="H11" s="233">
        <v>60</v>
      </c>
      <c r="K11" s="1786"/>
      <c r="L11" s="897" t="s">
        <v>533</v>
      </c>
    </row>
    <row r="12" spans="1:12" ht="15" customHeight="1" x14ac:dyDescent="0.25">
      <c r="A12" s="232"/>
      <c r="B12" s="232"/>
      <c r="C12" s="233" t="s">
        <v>334</v>
      </c>
      <c r="D12" s="239">
        <v>360</v>
      </c>
      <c r="F12" s="232"/>
      <c r="G12" s="233" t="s">
        <v>333</v>
      </c>
      <c r="H12" s="888">
        <f>SUM(C19:C798)</f>
        <v>2376751.4803639818</v>
      </c>
      <c r="K12" s="1786"/>
      <c r="L12" s="897" t="s">
        <v>534</v>
      </c>
    </row>
    <row r="13" spans="1:12" ht="15" customHeight="1" x14ac:dyDescent="0.25">
      <c r="F13" s="232"/>
      <c r="G13" s="233" t="s">
        <v>335</v>
      </c>
      <c r="H13" s="888">
        <f ca="1">SUM(D18:D798)</f>
        <v>15417.580000000004</v>
      </c>
      <c r="K13" s="1786"/>
      <c r="L13" s="897" t="s">
        <v>535</v>
      </c>
    </row>
    <row r="14" spans="1:12" ht="15" x14ac:dyDescent="0.25">
      <c r="C14" s="240" t="s">
        <v>336</v>
      </c>
      <c r="D14" s="889">
        <f>PMT(D10/12,H11,D9,0,0)</f>
        <v>-3047.1172825179469</v>
      </c>
      <c r="E14" s="890"/>
      <c r="F14" s="232"/>
      <c r="G14" s="233" t="s">
        <v>530</v>
      </c>
      <c r="H14" s="220">
        <f>H11</f>
        <v>60</v>
      </c>
      <c r="K14" s="1786"/>
    </row>
    <row r="15" spans="1:12" ht="13.8" x14ac:dyDescent="0.25">
      <c r="F15" s="232"/>
      <c r="G15" s="233" t="s">
        <v>531</v>
      </c>
      <c r="H15" s="220">
        <v>0</v>
      </c>
      <c r="K15" s="1786"/>
    </row>
    <row r="16" spans="1:12" ht="15.6" x14ac:dyDescent="0.3">
      <c r="A16" s="1788" t="s">
        <v>338</v>
      </c>
      <c r="B16" s="1788"/>
      <c r="C16" s="1788"/>
      <c r="D16" s="1788"/>
      <c r="E16" s="242"/>
      <c r="F16" s="242"/>
      <c r="G16" s="242"/>
      <c r="H16" s="223" t="s">
        <v>339</v>
      </c>
      <c r="K16" s="243" t="s">
        <v>340</v>
      </c>
    </row>
    <row r="17" spans="1:71" ht="30" customHeight="1" thickBot="1" x14ac:dyDescent="0.3">
      <c r="A17" s="244" t="s">
        <v>341</v>
      </c>
      <c r="B17" s="245" t="s">
        <v>342</v>
      </c>
      <c r="C17" s="245" t="s">
        <v>343</v>
      </c>
      <c r="D17" s="245" t="s">
        <v>344</v>
      </c>
      <c r="E17" s="245"/>
      <c r="F17" s="245" t="s">
        <v>345</v>
      </c>
      <c r="G17" s="245" t="s">
        <v>346</v>
      </c>
      <c r="H17" s="245" t="s">
        <v>347</v>
      </c>
      <c r="K17" s="246"/>
      <c r="M17" s="247"/>
    </row>
    <row r="18" spans="1:71" x14ac:dyDescent="0.25">
      <c r="A18" s="249"/>
      <c r="B18" s="249">
        <f>D11-1</f>
        <v>44539</v>
      </c>
      <c r="C18" s="250" t="s">
        <v>348</v>
      </c>
      <c r="D18" s="250" t="s">
        <v>348</v>
      </c>
      <c r="E18" s="891"/>
      <c r="F18" s="251">
        <v>0</v>
      </c>
      <c r="G18" s="252">
        <f>$D$9</f>
        <v>167500</v>
      </c>
      <c r="H18" s="252">
        <f>F18+G18</f>
        <v>167500</v>
      </c>
      <c r="I18" s="253"/>
      <c r="J18" s="253"/>
      <c r="L18" s="220">
        <v>2020</v>
      </c>
      <c r="M18" s="220">
        <f>L18+1</f>
        <v>2021</v>
      </c>
      <c r="N18" s="220">
        <f t="shared" ref="N18:W18" si="0">M18+1</f>
        <v>2022</v>
      </c>
      <c r="O18" s="220">
        <f t="shared" si="0"/>
        <v>2023</v>
      </c>
      <c r="P18" s="220">
        <f t="shared" si="0"/>
        <v>2024</v>
      </c>
      <c r="Q18" s="220">
        <f t="shared" si="0"/>
        <v>2025</v>
      </c>
      <c r="R18" s="220">
        <f t="shared" si="0"/>
        <v>2026</v>
      </c>
      <c r="S18" s="220">
        <f t="shared" si="0"/>
        <v>2027</v>
      </c>
      <c r="T18" s="220">
        <f t="shared" si="0"/>
        <v>2028</v>
      </c>
      <c r="U18" s="220">
        <f t="shared" si="0"/>
        <v>2029</v>
      </c>
      <c r="V18" s="220">
        <f t="shared" si="0"/>
        <v>2030</v>
      </c>
      <c r="W18" s="220">
        <f t="shared" si="0"/>
        <v>2031</v>
      </c>
    </row>
    <row r="19" spans="1:71" x14ac:dyDescent="0.25">
      <c r="A19" s="254">
        <v>1</v>
      </c>
      <c r="B19" s="255">
        <f>IF(A19&gt;$H$11,"",DATE(YEAR(B18),MONTH(B18)+1,1))</f>
        <v>44562</v>
      </c>
      <c r="C19" s="256">
        <f>IF($H$15=0,-$D$14,IF(OR(A19=$H$11,A19=$H$14),G18+D19+E19,IF(B19="","",ROUND((B19-B18)*($H$9+$H$10*$I$10)*G18,2))))</f>
        <v>3047.1172825179469</v>
      </c>
      <c r="D19" s="257">
        <f>IF(B19="","",ROUND((B19-B18)*$H$9*G18,2))</f>
        <v>374.55</v>
      </c>
      <c r="F19" s="257">
        <f>IF(B19="","",IF(C19&gt;F18+D19,0,F18+D19-C19))</f>
        <v>0</v>
      </c>
      <c r="G19" s="257">
        <f>IF(B19="","",IF(C19&gt;D19+F18,G18+F18+D19-C19,G18))</f>
        <v>164827.43271748204</v>
      </c>
      <c r="H19" s="257">
        <f>IF(B19="","",G19+F19)</f>
        <v>164827.43271748204</v>
      </c>
      <c r="I19" s="220">
        <f>YEAR(B19)</f>
        <v>2022</v>
      </c>
      <c r="J19" s="253"/>
      <c r="K19" s="226" t="s">
        <v>349</v>
      </c>
      <c r="L19" s="260">
        <f>G18</f>
        <v>167500</v>
      </c>
      <c r="M19" s="258">
        <f ca="1">L23</f>
        <v>167500</v>
      </c>
      <c r="N19" s="258">
        <f t="shared" ref="N19:W19" ca="1" si="1">M23</f>
        <v>167500</v>
      </c>
      <c r="O19" s="258">
        <f t="shared" ca="1" si="1"/>
        <v>136240.20260978464</v>
      </c>
      <c r="P19" s="258">
        <f t="shared" ca="1" si="1"/>
        <v>103987.48521956929</v>
      </c>
      <c r="Q19" s="258">
        <f t="shared" ca="1" si="1"/>
        <v>70581.26782935395</v>
      </c>
      <c r="R19" s="258">
        <f t="shared" ca="1" si="1"/>
        <v>35960.280439138594</v>
      </c>
      <c r="S19" s="258">
        <f t="shared" ca="1" si="1"/>
        <v>0</v>
      </c>
      <c r="T19" s="258">
        <f t="shared" ca="1" si="1"/>
        <v>0</v>
      </c>
      <c r="U19" s="258">
        <f t="shared" ca="1" si="1"/>
        <v>0</v>
      </c>
      <c r="V19" s="258">
        <f t="shared" ca="1" si="1"/>
        <v>0</v>
      </c>
      <c r="W19" s="258">
        <f t="shared" ca="1" si="1"/>
        <v>0</v>
      </c>
    </row>
    <row r="20" spans="1:71" x14ac:dyDescent="0.25">
      <c r="A20" s="254">
        <f ca="1">IF(OR(H19&lt;=0,H19=""),"",OFFSET(A20,-1,0,1,1)+1)</f>
        <v>2</v>
      </c>
      <c r="B20" s="255">
        <f t="shared" ref="B20:B83" ca="1" si="2">IF(A20&gt;$H$11,"",DATE(YEAR(B19),MONTH(B19)+1,1))</f>
        <v>44593</v>
      </c>
      <c r="C20" s="256">
        <f t="shared" ref="C20:C83" si="3">IF($H$15=0,-$D$14,IF(OR(A20=$H$11,A20=$H$14),G19+D20+E20,IF(B20="","",ROUND((B20-B19)*($H$9+$H$10*$I$10)*G19,2))))</f>
        <v>3047.1172825179469</v>
      </c>
      <c r="D20" s="257">
        <f ca="1">IF(B20="","",ROUND((B20-B19)*$H$9*G19,2))</f>
        <v>496.77</v>
      </c>
      <c r="F20" s="257">
        <f ca="1">IF(B20="","",IF(C20&gt;F19+D20,0,F19+D20-C20))</f>
        <v>0</v>
      </c>
      <c r="G20" s="257">
        <f ca="1">IF(B20="","",IF(C20&gt;D20+F19,G19+F19+D20-C20,G19))</f>
        <v>162277.08543496407</v>
      </c>
      <c r="H20" s="257">
        <f ca="1">IF(B20="","",G20+F20)</f>
        <v>162277.08543496407</v>
      </c>
      <c r="I20" s="220">
        <f t="shared" ref="I20:I83" ca="1" si="4">YEAR(B20)</f>
        <v>2022</v>
      </c>
      <c r="K20" s="226" t="s">
        <v>343</v>
      </c>
      <c r="L20" s="259">
        <f ca="1">SUMIF($I$19:$I$138,L18,$C$19:$C$138)</f>
        <v>0</v>
      </c>
      <c r="M20" s="259">
        <f t="shared" ref="M20:W20" ca="1" si="5">IF(M18=YEAR($D$11)+$H$11/12,L23+M21,IF(M19&lt;SUMIF($I$19:$I$138,M18,$C$19:$C$138),M19+M21,SUMIF($I$19:$I$138,M18,$C$19:$C$138)))</f>
        <v>0</v>
      </c>
      <c r="N20" s="259">
        <f t="shared" ca="1" si="5"/>
        <v>36565.407390215354</v>
      </c>
      <c r="O20" s="259">
        <f t="shared" ca="1" si="5"/>
        <v>36565.407390215354</v>
      </c>
      <c r="P20" s="259">
        <f t="shared" ca="1" si="5"/>
        <v>36565.407390215354</v>
      </c>
      <c r="Q20" s="259">
        <f t="shared" ca="1" si="5"/>
        <v>36565.407390215354</v>
      </c>
      <c r="R20" s="259">
        <f t="shared" ca="1" si="5"/>
        <v>36655.950439138593</v>
      </c>
      <c r="S20" s="259">
        <f t="shared" ca="1" si="5"/>
        <v>0</v>
      </c>
      <c r="T20" s="259">
        <f t="shared" ca="1" si="5"/>
        <v>0</v>
      </c>
      <c r="U20" s="259">
        <f t="shared" ca="1" si="5"/>
        <v>0</v>
      </c>
      <c r="V20" s="259">
        <f t="shared" ca="1" si="5"/>
        <v>0</v>
      </c>
      <c r="W20" s="259">
        <f t="shared" ca="1" si="5"/>
        <v>0</v>
      </c>
    </row>
    <row r="21" spans="1:71" x14ac:dyDescent="0.25">
      <c r="A21" s="254">
        <f t="shared" ref="A21:A50" ca="1" si="6">IF(OR(H20&lt;=0,H20=""),"",OFFSET(A21,-1,0,1,1)+1)</f>
        <v>3</v>
      </c>
      <c r="B21" s="255">
        <f t="shared" ca="1" si="2"/>
        <v>44621</v>
      </c>
      <c r="C21" s="256">
        <f t="shared" si="3"/>
        <v>3047.1172825179469</v>
      </c>
      <c r="D21" s="257">
        <f ca="1">IF(B21="","",ROUND((B21-B20)*$H$9*G20,2))</f>
        <v>441.75</v>
      </c>
      <c r="F21" s="257">
        <f ca="1">IF(B21="","",IF(C21&gt;F20+D21,0,F20+D21-C21))</f>
        <v>0</v>
      </c>
      <c r="G21" s="257">
        <f ca="1">IF(B21="","",IF(C21&gt;D21+F20,G20+F20+D21-C21,G20))</f>
        <v>159671.71815244612</v>
      </c>
      <c r="H21" s="257">
        <f ca="1">IF(B21="","",G21+F21)</f>
        <v>159671.71815244612</v>
      </c>
      <c r="I21" s="220">
        <f t="shared" ca="1" si="4"/>
        <v>2022</v>
      </c>
      <c r="K21" s="226" t="s">
        <v>350</v>
      </c>
      <c r="L21" s="260">
        <f ca="1">SUMIF($I$19:$I$138,L18,$D$19:$D$138)</f>
        <v>0</v>
      </c>
      <c r="M21" s="260">
        <f ca="1">IF(SUMIF($I$19:$I$138,M18,$D$19:$D$138)&gt;0,SUMIF($I$19:$I$138,M18,$D$19:$D$138),0)</f>
        <v>0</v>
      </c>
      <c r="N21" s="260">
        <f ca="1">IF(SUMIF($I$19:$I$138,N18,$D$19:$D$138)&gt;0,SUMIF($I$19:$I$138,N18,$D$19:$D$138),0)</f>
        <v>5305.61</v>
      </c>
      <c r="O21" s="260">
        <f ca="1">IF(SUMIF($I$19:$I$138,O18,$D$19:$D$138)&gt;0,SUMIF($I$19:$I$138,O18,$D$19:$D$138),0)</f>
        <v>4312.6900000000005</v>
      </c>
      <c r="P21" s="260">
        <f ca="1">IF(SUMIF($I$19:$I$138,P18,$D$19:$D$138)&gt;0,SUMIF($I$19:$I$138,P18,$D$19:$D$138),0)</f>
        <v>3159.19</v>
      </c>
      <c r="Q21" s="260">
        <f ca="1">IF(SUMIF($I$19:$I$138,Q18,$D$19:$D$138)&gt;0,SUMIF($I$19:$I$138,Q18,$D$19:$D$138),0)</f>
        <v>1944.4199999999998</v>
      </c>
      <c r="R21" s="260">
        <f t="shared" ref="R21:W21" ca="1" si="7">IF(SUMIF($I$19:$I$138,R18,$D$19:$D$138)&gt;0,SUMIF($I$19:$I$138,R18,$D$19:$D$138),0)</f>
        <v>695.67</v>
      </c>
      <c r="S21" s="260">
        <f t="shared" ca="1" si="7"/>
        <v>0</v>
      </c>
      <c r="T21" s="260">
        <f t="shared" ca="1" si="7"/>
        <v>0</v>
      </c>
      <c r="U21" s="260">
        <f t="shared" ca="1" si="7"/>
        <v>0</v>
      </c>
      <c r="V21" s="260">
        <f t="shared" ca="1" si="7"/>
        <v>0</v>
      </c>
      <c r="W21" s="260">
        <f t="shared" ca="1" si="7"/>
        <v>0</v>
      </c>
    </row>
    <row r="22" spans="1:71" x14ac:dyDescent="0.25">
      <c r="A22" s="254">
        <f t="shared" ca="1" si="6"/>
        <v>4</v>
      </c>
      <c r="B22" s="255">
        <f t="shared" ca="1" si="2"/>
        <v>44652</v>
      </c>
      <c r="C22" s="256">
        <f t="shared" si="3"/>
        <v>3047.1172825179469</v>
      </c>
      <c r="D22" s="257">
        <f ca="1">IF(B22="","",ROUND((B22-B21)*$H$9*G21,2))</f>
        <v>481.23</v>
      </c>
      <c r="F22" s="257">
        <f ca="1">IF(B22="","",IF(C22&gt;F21+D22,0,F21+D22-C22))</f>
        <v>0</v>
      </c>
      <c r="G22" s="257">
        <f ca="1">IF(B22="","",IF(C22&gt;D22+F21,G21+F21+D22-C22,G21))</f>
        <v>157105.83086992818</v>
      </c>
      <c r="H22" s="257">
        <f ca="1">IF(B22="","",G22+F22)</f>
        <v>157105.83086992818</v>
      </c>
      <c r="I22" s="220">
        <f t="shared" ca="1" si="4"/>
        <v>2022</v>
      </c>
      <c r="J22" s="253"/>
      <c r="K22" s="226" t="s">
        <v>532</v>
      </c>
      <c r="L22" s="258">
        <f ca="1">L20-L21</f>
        <v>0</v>
      </c>
      <c r="M22" s="258">
        <f ca="1">M20-M21</f>
        <v>0</v>
      </c>
      <c r="N22" s="258">
        <f t="shared" ref="N22:W22" ca="1" si="8">N20-N21</f>
        <v>31259.797390215354</v>
      </c>
      <c r="O22" s="258">
        <f t="shared" ca="1" si="8"/>
        <v>32252.717390215352</v>
      </c>
      <c r="P22" s="258">
        <f t="shared" ca="1" si="8"/>
        <v>33406.217390215352</v>
      </c>
      <c r="Q22" s="258">
        <f t="shared" ca="1" si="8"/>
        <v>34620.987390215356</v>
      </c>
      <c r="R22" s="258">
        <f t="shared" ca="1" si="8"/>
        <v>35960.280439138594</v>
      </c>
      <c r="S22" s="258">
        <f t="shared" ca="1" si="8"/>
        <v>0</v>
      </c>
      <c r="T22" s="258">
        <f t="shared" ca="1" si="8"/>
        <v>0</v>
      </c>
      <c r="U22" s="258">
        <f t="shared" ca="1" si="8"/>
        <v>0</v>
      </c>
      <c r="V22" s="258">
        <f t="shared" ca="1" si="8"/>
        <v>0</v>
      </c>
      <c r="W22" s="258">
        <f t="shared" ca="1" si="8"/>
        <v>0</v>
      </c>
    </row>
    <row r="23" spans="1:71" x14ac:dyDescent="0.25">
      <c r="A23" s="254">
        <f t="shared" ca="1" si="6"/>
        <v>5</v>
      </c>
      <c r="B23" s="255">
        <f t="shared" ca="1" si="2"/>
        <v>44682</v>
      </c>
      <c r="C23" s="256">
        <f t="shared" si="3"/>
        <v>3047.1172825179469</v>
      </c>
      <c r="D23" s="257">
        <f t="shared" ref="D23:D86" ca="1" si="9">IF(B23="","",ROUND((B23-B22)*$H$9*G22,2))</f>
        <v>458.23</v>
      </c>
      <c r="F23" s="257">
        <f t="shared" ref="F23:F86" ca="1" si="10">IF(B23="","",IF(C23&gt;F22+D23,0,F22+D23-C23))</f>
        <v>0</v>
      </c>
      <c r="G23" s="257">
        <f t="shared" ref="G23:G86" ca="1" si="11">IF(B23="","",IF(C23&gt;D23+F22,G22+F22+D23-C23,G22))</f>
        <v>154516.94358741023</v>
      </c>
      <c r="H23" s="257">
        <f t="shared" ref="H23:H86" ca="1" si="12">IF(B23="","",G23+F23)</f>
        <v>154516.94358741023</v>
      </c>
      <c r="I23" s="220">
        <f t="shared" ca="1" si="4"/>
        <v>2022</v>
      </c>
      <c r="J23" s="253"/>
      <c r="K23" s="226" t="s">
        <v>353</v>
      </c>
      <c r="L23" s="258">
        <f ca="1">L19-L22</f>
        <v>167500</v>
      </c>
      <c r="M23" s="258">
        <f ca="1">M19-M22</f>
        <v>167500</v>
      </c>
      <c r="N23" s="258">
        <f ca="1">N19-N22</f>
        <v>136240.20260978464</v>
      </c>
      <c r="O23" s="258">
        <f t="shared" ref="O23:W23" ca="1" si="13">O19-O22</f>
        <v>103987.48521956929</v>
      </c>
      <c r="P23" s="258">
        <f t="shared" ca="1" si="13"/>
        <v>70581.26782935395</v>
      </c>
      <c r="Q23" s="258">
        <f t="shared" ca="1" si="13"/>
        <v>35960.280439138594</v>
      </c>
      <c r="R23" s="258">
        <f ca="1">R19-R22</f>
        <v>0</v>
      </c>
      <c r="S23" s="258">
        <f t="shared" ca="1" si="13"/>
        <v>0</v>
      </c>
      <c r="T23" s="258">
        <f t="shared" ca="1" si="13"/>
        <v>0</v>
      </c>
      <c r="U23" s="258">
        <f t="shared" ca="1" si="13"/>
        <v>0</v>
      </c>
      <c r="V23" s="258">
        <f t="shared" ca="1" si="13"/>
        <v>0</v>
      </c>
      <c r="W23" s="258">
        <f t="shared" ca="1" si="13"/>
        <v>0</v>
      </c>
    </row>
    <row r="24" spans="1:71" x14ac:dyDescent="0.25">
      <c r="A24" s="254">
        <f t="shared" ca="1" si="6"/>
        <v>6</v>
      </c>
      <c r="B24" s="255">
        <f t="shared" ca="1" si="2"/>
        <v>44713</v>
      </c>
      <c r="C24" s="256">
        <f t="shared" si="3"/>
        <v>3047.1172825179469</v>
      </c>
      <c r="D24" s="257">
        <f t="shared" ca="1" si="9"/>
        <v>465.7</v>
      </c>
      <c r="F24" s="257">
        <f t="shared" ca="1" si="10"/>
        <v>0</v>
      </c>
      <c r="G24" s="257">
        <f t="shared" ca="1" si="11"/>
        <v>151935.52630489229</v>
      </c>
      <c r="H24" s="257">
        <f t="shared" ca="1" si="12"/>
        <v>151935.52630489229</v>
      </c>
      <c r="I24" s="220">
        <f t="shared" ca="1" si="4"/>
        <v>2022</v>
      </c>
      <c r="K24" s="261" t="s">
        <v>354</v>
      </c>
      <c r="L24" s="262">
        <v>0</v>
      </c>
      <c r="M24" s="262">
        <v>0</v>
      </c>
      <c r="N24" s="262">
        <v>0</v>
      </c>
      <c r="O24" s="262">
        <v>0</v>
      </c>
      <c r="P24" s="262">
        <v>0</v>
      </c>
      <c r="Q24" s="262">
        <v>0</v>
      </c>
      <c r="R24" s="262"/>
    </row>
    <row r="25" spans="1:71" x14ac:dyDescent="0.25">
      <c r="A25" s="254">
        <f t="shared" ca="1" si="6"/>
        <v>7</v>
      </c>
      <c r="B25" s="255">
        <f t="shared" ca="1" si="2"/>
        <v>44743</v>
      </c>
      <c r="C25" s="256">
        <f t="shared" si="3"/>
        <v>3047.1172825179469</v>
      </c>
      <c r="D25" s="257">
        <f t="shared" ca="1" si="9"/>
        <v>443.15</v>
      </c>
      <c r="F25" s="257">
        <f t="shared" ca="1" si="10"/>
        <v>0</v>
      </c>
      <c r="G25" s="257">
        <f t="shared" ca="1" si="11"/>
        <v>149331.55902237433</v>
      </c>
      <c r="H25" s="257">
        <f t="shared" ca="1" si="12"/>
        <v>149331.55902237433</v>
      </c>
      <c r="I25" s="220">
        <f t="shared" ca="1" si="4"/>
        <v>2022</v>
      </c>
      <c r="K25" s="892"/>
    </row>
    <row r="26" spans="1:71" x14ac:dyDescent="0.25">
      <c r="A26" s="254">
        <f t="shared" ca="1" si="6"/>
        <v>8</v>
      </c>
      <c r="B26" s="255">
        <f t="shared" ca="1" si="2"/>
        <v>44774</v>
      </c>
      <c r="C26" s="256">
        <f t="shared" si="3"/>
        <v>3047.1172825179469</v>
      </c>
      <c r="D26" s="257">
        <f t="shared" ca="1" si="9"/>
        <v>450.07</v>
      </c>
      <c r="F26" s="257">
        <f t="shared" ca="1" si="10"/>
        <v>0</v>
      </c>
      <c r="G26" s="257">
        <f t="shared" ca="1" si="11"/>
        <v>146734.51173985639</v>
      </c>
      <c r="H26" s="257">
        <f t="shared" ca="1" si="12"/>
        <v>146734.51173985639</v>
      </c>
      <c r="I26" s="220">
        <f t="shared" ca="1" si="4"/>
        <v>2022</v>
      </c>
      <c r="K26" s="256"/>
      <c r="L26" s="220">
        <v>1</v>
      </c>
      <c r="M26" s="220">
        <f>L26+1</f>
        <v>2</v>
      </c>
      <c r="N26" s="220">
        <f t="shared" ref="N26:BS26" si="14">M26+1</f>
        <v>3</v>
      </c>
      <c r="O26" s="220">
        <f t="shared" si="14"/>
        <v>4</v>
      </c>
      <c r="P26" s="220">
        <f t="shared" si="14"/>
        <v>5</v>
      </c>
      <c r="Q26" s="220">
        <f t="shared" si="14"/>
        <v>6</v>
      </c>
      <c r="R26" s="220">
        <f t="shared" si="14"/>
        <v>7</v>
      </c>
      <c r="S26" s="220">
        <f t="shared" si="14"/>
        <v>8</v>
      </c>
      <c r="T26" s="220">
        <f t="shared" si="14"/>
        <v>9</v>
      </c>
      <c r="U26" s="220">
        <f t="shared" si="14"/>
        <v>10</v>
      </c>
      <c r="V26" s="220">
        <f t="shared" si="14"/>
        <v>11</v>
      </c>
      <c r="W26" s="220">
        <f t="shared" si="14"/>
        <v>12</v>
      </c>
      <c r="X26" s="220">
        <f t="shared" si="14"/>
        <v>13</v>
      </c>
      <c r="Y26" s="220">
        <f t="shared" si="14"/>
        <v>14</v>
      </c>
      <c r="Z26" s="220">
        <f t="shared" si="14"/>
        <v>15</v>
      </c>
      <c r="AA26" s="220">
        <f t="shared" si="14"/>
        <v>16</v>
      </c>
      <c r="AB26" s="220">
        <f t="shared" si="14"/>
        <v>17</v>
      </c>
      <c r="AC26" s="220">
        <f t="shared" si="14"/>
        <v>18</v>
      </c>
      <c r="AD26" s="220">
        <f t="shared" si="14"/>
        <v>19</v>
      </c>
      <c r="AE26" s="220">
        <f t="shared" si="14"/>
        <v>20</v>
      </c>
      <c r="AF26" s="220">
        <f t="shared" si="14"/>
        <v>21</v>
      </c>
      <c r="AG26" s="220">
        <f t="shared" si="14"/>
        <v>22</v>
      </c>
      <c r="AH26" s="220">
        <f t="shared" si="14"/>
        <v>23</v>
      </c>
      <c r="AI26" s="220">
        <f t="shared" si="14"/>
        <v>24</v>
      </c>
      <c r="AJ26" s="220">
        <f t="shared" si="14"/>
        <v>25</v>
      </c>
      <c r="AK26" s="220">
        <f t="shared" si="14"/>
        <v>26</v>
      </c>
      <c r="AL26" s="220">
        <f t="shared" si="14"/>
        <v>27</v>
      </c>
      <c r="AM26" s="220">
        <f t="shared" si="14"/>
        <v>28</v>
      </c>
      <c r="AN26" s="220">
        <f t="shared" si="14"/>
        <v>29</v>
      </c>
      <c r="AO26" s="220">
        <f t="shared" si="14"/>
        <v>30</v>
      </c>
      <c r="AP26" s="220">
        <f t="shared" si="14"/>
        <v>31</v>
      </c>
      <c r="AQ26" s="220">
        <f t="shared" si="14"/>
        <v>32</v>
      </c>
      <c r="AR26" s="220">
        <f t="shared" si="14"/>
        <v>33</v>
      </c>
      <c r="AS26" s="220">
        <f t="shared" si="14"/>
        <v>34</v>
      </c>
      <c r="AT26" s="220">
        <f t="shared" si="14"/>
        <v>35</v>
      </c>
      <c r="AU26" s="220">
        <f t="shared" si="14"/>
        <v>36</v>
      </c>
      <c r="AV26" s="220">
        <f t="shared" si="14"/>
        <v>37</v>
      </c>
      <c r="AW26" s="220">
        <f t="shared" si="14"/>
        <v>38</v>
      </c>
      <c r="AX26" s="220">
        <f t="shared" si="14"/>
        <v>39</v>
      </c>
      <c r="AY26" s="220">
        <f t="shared" si="14"/>
        <v>40</v>
      </c>
      <c r="AZ26" s="220">
        <f t="shared" si="14"/>
        <v>41</v>
      </c>
      <c r="BA26" s="220">
        <f t="shared" si="14"/>
        <v>42</v>
      </c>
      <c r="BB26" s="220">
        <f t="shared" si="14"/>
        <v>43</v>
      </c>
      <c r="BC26" s="220">
        <f t="shared" si="14"/>
        <v>44</v>
      </c>
      <c r="BD26" s="220">
        <f t="shared" si="14"/>
        <v>45</v>
      </c>
      <c r="BE26" s="220">
        <f t="shared" si="14"/>
        <v>46</v>
      </c>
      <c r="BF26" s="220">
        <f t="shared" si="14"/>
        <v>47</v>
      </c>
      <c r="BG26" s="220">
        <f t="shared" si="14"/>
        <v>48</v>
      </c>
      <c r="BH26" s="220">
        <f t="shared" si="14"/>
        <v>49</v>
      </c>
      <c r="BI26" s="220">
        <f t="shared" si="14"/>
        <v>50</v>
      </c>
      <c r="BJ26" s="220">
        <f t="shared" si="14"/>
        <v>51</v>
      </c>
      <c r="BK26" s="220">
        <f t="shared" si="14"/>
        <v>52</v>
      </c>
      <c r="BL26" s="220">
        <f t="shared" si="14"/>
        <v>53</v>
      </c>
      <c r="BM26" s="220">
        <f t="shared" si="14"/>
        <v>54</v>
      </c>
      <c r="BN26" s="220">
        <f t="shared" si="14"/>
        <v>55</v>
      </c>
      <c r="BO26" s="220">
        <f t="shared" si="14"/>
        <v>56</v>
      </c>
      <c r="BP26" s="220">
        <f t="shared" si="14"/>
        <v>57</v>
      </c>
      <c r="BQ26" s="220">
        <f t="shared" si="14"/>
        <v>58</v>
      </c>
      <c r="BR26" s="220">
        <f t="shared" si="14"/>
        <v>59</v>
      </c>
      <c r="BS26" s="220">
        <f t="shared" si="14"/>
        <v>60</v>
      </c>
    </row>
    <row r="27" spans="1:71" x14ac:dyDescent="0.25">
      <c r="A27" s="254">
        <f t="shared" ca="1" si="6"/>
        <v>9</v>
      </c>
      <c r="B27" s="255">
        <f t="shared" ca="1" si="2"/>
        <v>44805</v>
      </c>
      <c r="C27" s="256">
        <f t="shared" si="3"/>
        <v>3047.1172825179469</v>
      </c>
      <c r="D27" s="257">
        <f t="shared" ca="1" si="9"/>
        <v>442.24</v>
      </c>
      <c r="F27" s="257">
        <f t="shared" ca="1" si="10"/>
        <v>0</v>
      </c>
      <c r="G27" s="257">
        <f t="shared" ca="1" si="11"/>
        <v>144129.63445733843</v>
      </c>
      <c r="H27" s="257">
        <f t="shared" ca="1" si="12"/>
        <v>144129.63445733843</v>
      </c>
      <c r="I27" s="220">
        <f t="shared" ca="1" si="4"/>
        <v>2022</v>
      </c>
      <c r="K27" s="220" t="s">
        <v>342</v>
      </c>
      <c r="L27" s="893">
        <f t="array" ref="L27:BS27">TRANSPOSE(B19:B78)</f>
        <v>44562</v>
      </c>
      <c r="M27" s="893">
        <f ca="1"/>
        <v>44593</v>
      </c>
      <c r="N27" s="893">
        <f ca="1"/>
        <v>44621</v>
      </c>
      <c r="O27" s="893">
        <f ca="1"/>
        <v>44652</v>
      </c>
      <c r="P27" s="893">
        <f ca="1"/>
        <v>44682</v>
      </c>
      <c r="Q27" s="893">
        <f ca="1"/>
        <v>44713</v>
      </c>
      <c r="R27" s="893">
        <f ca="1"/>
        <v>44743</v>
      </c>
      <c r="S27" s="893">
        <f ca="1"/>
        <v>44774</v>
      </c>
      <c r="T27" s="893">
        <f ca="1"/>
        <v>44805</v>
      </c>
      <c r="U27" s="893">
        <f ca="1"/>
        <v>44835</v>
      </c>
      <c r="V27" s="893">
        <f ca="1"/>
        <v>44866</v>
      </c>
      <c r="W27" s="893">
        <f ca="1"/>
        <v>44896</v>
      </c>
      <c r="X27" s="893">
        <f ca="1"/>
        <v>44927</v>
      </c>
      <c r="Y27" s="893">
        <f ca="1"/>
        <v>44958</v>
      </c>
      <c r="Z27" s="893">
        <f ca="1"/>
        <v>44986</v>
      </c>
      <c r="AA27" s="893">
        <f ca="1"/>
        <v>45017</v>
      </c>
      <c r="AB27" s="893">
        <f ca="1"/>
        <v>45047</v>
      </c>
      <c r="AC27" s="893">
        <f ca="1"/>
        <v>45078</v>
      </c>
      <c r="AD27" s="893">
        <f ca="1"/>
        <v>45108</v>
      </c>
      <c r="AE27" s="893">
        <f ca="1"/>
        <v>45139</v>
      </c>
      <c r="AF27" s="893">
        <f ca="1"/>
        <v>45170</v>
      </c>
      <c r="AG27" s="893">
        <f ca="1"/>
        <v>45200</v>
      </c>
      <c r="AH27" s="893">
        <f ca="1"/>
        <v>45231</v>
      </c>
      <c r="AI27" s="893">
        <f ca="1"/>
        <v>45261</v>
      </c>
      <c r="AJ27" s="893">
        <f ca="1"/>
        <v>45292</v>
      </c>
      <c r="AK27" s="893">
        <f ca="1"/>
        <v>45323</v>
      </c>
      <c r="AL27" s="893">
        <f ca="1"/>
        <v>45352</v>
      </c>
      <c r="AM27" s="893">
        <f ca="1"/>
        <v>45383</v>
      </c>
      <c r="AN27" s="893">
        <f ca="1"/>
        <v>45413</v>
      </c>
      <c r="AO27" s="893">
        <f ca="1"/>
        <v>45444</v>
      </c>
      <c r="AP27" s="893">
        <f ca="1"/>
        <v>45474</v>
      </c>
      <c r="AQ27" s="893">
        <f ca="1"/>
        <v>45505</v>
      </c>
      <c r="AR27" s="893">
        <f ca="1"/>
        <v>45536</v>
      </c>
      <c r="AS27" s="893">
        <f ca="1"/>
        <v>45566</v>
      </c>
      <c r="AT27" s="893">
        <f ca="1"/>
        <v>45597</v>
      </c>
      <c r="AU27" s="893">
        <f ca="1"/>
        <v>45627</v>
      </c>
      <c r="AV27" s="893">
        <f ca="1"/>
        <v>45658</v>
      </c>
      <c r="AW27" s="893">
        <f ca="1"/>
        <v>45689</v>
      </c>
      <c r="AX27" s="893">
        <f ca="1"/>
        <v>45717</v>
      </c>
      <c r="AY27" s="893">
        <f ca="1"/>
        <v>45748</v>
      </c>
      <c r="AZ27" s="893">
        <f ca="1"/>
        <v>45778</v>
      </c>
      <c r="BA27" s="893">
        <f ca="1"/>
        <v>45809</v>
      </c>
      <c r="BB27" s="893">
        <f ca="1"/>
        <v>45839</v>
      </c>
      <c r="BC27" s="893">
        <f ca="1"/>
        <v>45870</v>
      </c>
      <c r="BD27" s="893">
        <f ca="1"/>
        <v>45901</v>
      </c>
      <c r="BE27" s="893">
        <f ca="1"/>
        <v>45931</v>
      </c>
      <c r="BF27" s="893">
        <f ca="1"/>
        <v>45962</v>
      </c>
      <c r="BG27" s="893">
        <f ca="1"/>
        <v>45992</v>
      </c>
      <c r="BH27" s="893">
        <f ca="1"/>
        <v>46023</v>
      </c>
      <c r="BI27" s="893">
        <f ca="1"/>
        <v>46054</v>
      </c>
      <c r="BJ27" s="893">
        <f ca="1"/>
        <v>46082</v>
      </c>
      <c r="BK27" s="893">
        <f ca="1"/>
        <v>46113</v>
      </c>
      <c r="BL27" s="893">
        <f ca="1"/>
        <v>46143</v>
      </c>
      <c r="BM27" s="893">
        <f ca="1"/>
        <v>46174</v>
      </c>
      <c r="BN27" s="893">
        <f ca="1"/>
        <v>46204</v>
      </c>
      <c r="BO27" s="893">
        <f ca="1"/>
        <v>46235</v>
      </c>
      <c r="BP27" s="893">
        <f ca="1"/>
        <v>46266</v>
      </c>
      <c r="BQ27" s="893">
        <f ca="1"/>
        <v>46296</v>
      </c>
      <c r="BR27" s="893">
        <f ca="1"/>
        <v>46327</v>
      </c>
      <c r="BS27" s="893">
        <f ca="1"/>
        <v>46357</v>
      </c>
    </row>
    <row r="28" spans="1:71" x14ac:dyDescent="0.25">
      <c r="A28" s="254">
        <f t="shared" ca="1" si="6"/>
        <v>10</v>
      </c>
      <c r="B28" s="255">
        <f t="shared" ca="1" si="2"/>
        <v>44835</v>
      </c>
      <c r="C28" s="256">
        <f t="shared" si="3"/>
        <v>3047.1172825179469</v>
      </c>
      <c r="D28" s="257">
        <f t="shared" ca="1" si="9"/>
        <v>420.38</v>
      </c>
      <c r="F28" s="257">
        <f t="shared" ca="1" si="10"/>
        <v>0</v>
      </c>
      <c r="G28" s="257">
        <f t="shared" ca="1" si="11"/>
        <v>141502.89717482048</v>
      </c>
      <c r="H28" s="257">
        <f t="shared" ca="1" si="12"/>
        <v>141502.89717482048</v>
      </c>
      <c r="I28" s="220">
        <f t="shared" ca="1" si="4"/>
        <v>2022</v>
      </c>
      <c r="K28" s="220" t="s">
        <v>378</v>
      </c>
      <c r="L28" s="898">
        <f>ABS($D$14)-L29</f>
        <v>2672.5672825179468</v>
      </c>
      <c r="M28" s="898">
        <f t="shared" ref="M28:BS28" ca="1" si="15">ABS($D$14)-M29</f>
        <v>2550.347282517947</v>
      </c>
      <c r="N28" s="898">
        <f t="shared" ca="1" si="15"/>
        <v>2605.3672825179469</v>
      </c>
      <c r="O28" s="898">
        <f t="shared" ca="1" si="15"/>
        <v>2565.8872825179469</v>
      </c>
      <c r="P28" s="898">
        <f t="shared" ca="1" si="15"/>
        <v>2588.8872825179469</v>
      </c>
      <c r="Q28" s="898">
        <f t="shared" ca="1" si="15"/>
        <v>2581.4172825179471</v>
      </c>
      <c r="R28" s="898">
        <f t="shared" ca="1" si="15"/>
        <v>2603.9672825179468</v>
      </c>
      <c r="S28" s="898">
        <f t="shared" ca="1" si="15"/>
        <v>2597.0472825179468</v>
      </c>
      <c r="T28" s="898">
        <f t="shared" ca="1" si="15"/>
        <v>2604.8772825179467</v>
      </c>
      <c r="U28" s="898">
        <f t="shared" ca="1" si="15"/>
        <v>2626.7372825179468</v>
      </c>
      <c r="V28" s="898">
        <f t="shared" ca="1" si="15"/>
        <v>2620.6472825179471</v>
      </c>
      <c r="W28" s="898">
        <f t="shared" ca="1" si="15"/>
        <v>2642.0472825179468</v>
      </c>
      <c r="X28" s="898">
        <f t="shared" ca="1" si="15"/>
        <v>2636.5072825179468</v>
      </c>
      <c r="Y28" s="898">
        <f t="shared" ca="1" si="15"/>
        <v>2644.4472825179469</v>
      </c>
      <c r="Z28" s="898">
        <f t="shared" ca="1" si="15"/>
        <v>2690.6172825179469</v>
      </c>
      <c r="AA28" s="898">
        <f t="shared" ca="1" si="15"/>
        <v>2660.5272825179468</v>
      </c>
      <c r="AB28" s="898">
        <f t="shared" ca="1" si="15"/>
        <v>2680.7572825179468</v>
      </c>
      <c r="AC28" s="898">
        <f t="shared" ca="1" si="15"/>
        <v>2676.6272825179467</v>
      </c>
      <c r="AD28" s="898">
        <f t="shared" ca="1" si="15"/>
        <v>2696.3872825179469</v>
      </c>
      <c r="AE28" s="898">
        <f t="shared" ca="1" si="15"/>
        <v>2692.8172825179468</v>
      </c>
      <c r="AF28" s="898">
        <f t="shared" ca="1" si="15"/>
        <v>2700.9372825179471</v>
      </c>
      <c r="AG28" s="898">
        <f t="shared" ca="1" si="15"/>
        <v>2719.9772825179471</v>
      </c>
      <c r="AH28" s="898">
        <f t="shared" ca="1" si="15"/>
        <v>2717.2772825179468</v>
      </c>
      <c r="AI28" s="898">
        <f t="shared" ca="1" si="15"/>
        <v>2735.8372825179467</v>
      </c>
      <c r="AJ28" s="898">
        <f t="shared" ca="1" si="15"/>
        <v>2733.7072825179471</v>
      </c>
      <c r="AK28" s="898">
        <f t="shared" ca="1" si="15"/>
        <v>2741.9472825179469</v>
      </c>
      <c r="AL28" s="898">
        <f t="shared" ca="1" si="15"/>
        <v>2769.3672825179469</v>
      </c>
      <c r="AM28" s="898">
        <f t="shared" ca="1" si="15"/>
        <v>2758.557282517947</v>
      </c>
      <c r="AN28" s="898">
        <f t="shared" ca="1" si="15"/>
        <v>2775.9172825179471</v>
      </c>
      <c r="AO28" s="898">
        <f t="shared" ca="1" si="15"/>
        <v>2775.2372825179468</v>
      </c>
      <c r="AP28" s="898">
        <f t="shared" ca="1" si="15"/>
        <v>2792.1072825179472</v>
      </c>
      <c r="AQ28" s="898">
        <f t="shared" ca="1" si="15"/>
        <v>2792.017282517947</v>
      </c>
      <c r="AR28" s="898">
        <f t="shared" ca="1" si="15"/>
        <v>2800.4372825179471</v>
      </c>
      <c r="AS28" s="898">
        <f t="shared" ca="1" si="15"/>
        <v>2816.557282517947</v>
      </c>
      <c r="AT28" s="898">
        <f t="shared" ca="1" si="15"/>
        <v>2817.3672825179469</v>
      </c>
      <c r="AU28" s="898">
        <f t="shared" ca="1" si="15"/>
        <v>2832.997282517947</v>
      </c>
      <c r="AV28" s="898">
        <f t="shared" ca="1" si="15"/>
        <v>2834.3972825179471</v>
      </c>
      <c r="AW28" s="898">
        <f t="shared" ca="1" si="15"/>
        <v>2842.9372825179471</v>
      </c>
      <c r="AX28" s="898">
        <f t="shared" ca="1" si="15"/>
        <v>2870.4372825179471</v>
      </c>
      <c r="AY28" s="898">
        <f t="shared" ca="1" si="15"/>
        <v>2860.1572825179469</v>
      </c>
      <c r="AZ28" s="898">
        <f t="shared" ca="1" si="15"/>
        <v>2874.5272825179468</v>
      </c>
      <c r="BA28" s="898">
        <f t="shared" ca="1" si="15"/>
        <v>2877.4372825179471</v>
      </c>
      <c r="BB28" s="898">
        <f t="shared" ca="1" si="15"/>
        <v>2891.307282517947</v>
      </c>
      <c r="BC28" s="898">
        <f t="shared" ca="1" si="15"/>
        <v>2894.827282517947</v>
      </c>
      <c r="BD28" s="898">
        <f t="shared" ca="1" si="15"/>
        <v>2903.5472825179468</v>
      </c>
      <c r="BE28" s="898">
        <f t="shared" ca="1" si="15"/>
        <v>2916.6472825179471</v>
      </c>
      <c r="BF28" s="898">
        <f t="shared" ca="1" si="15"/>
        <v>2921.0872825179467</v>
      </c>
      <c r="BG28" s="898">
        <f t="shared" ca="1" si="15"/>
        <v>2933.6772825179469</v>
      </c>
      <c r="BH28" s="898">
        <f t="shared" ca="1" si="15"/>
        <v>2938.7372825179468</v>
      </c>
      <c r="BI28" s="898">
        <f t="shared" ca="1" si="15"/>
        <v>2947.597282517947</v>
      </c>
      <c r="BJ28" s="898">
        <f t="shared" ca="1" si="15"/>
        <v>2965.247282517947</v>
      </c>
      <c r="BK28" s="898">
        <f t="shared" ca="1" si="15"/>
        <v>2965.4172825179471</v>
      </c>
      <c r="BL28" s="898">
        <f t="shared" ca="1" si="15"/>
        <v>2976.6972825179469</v>
      </c>
      <c r="BM28" s="898">
        <f t="shared" ca="1" si="15"/>
        <v>2983.327282517947</v>
      </c>
      <c r="BN28" s="898">
        <f t="shared" ca="1" si="15"/>
        <v>2994.0872825179467</v>
      </c>
      <c r="BO28" s="898">
        <f t="shared" ca="1" si="15"/>
        <v>3001.3372825179467</v>
      </c>
      <c r="BP28" s="898">
        <f t="shared" ca="1" si="15"/>
        <v>3010.3872825179469</v>
      </c>
      <c r="BQ28" s="898">
        <f t="shared" ca="1" si="15"/>
        <v>3020.347282517947</v>
      </c>
      <c r="BR28" s="898">
        <f t="shared" ca="1" si="15"/>
        <v>3028.557282517947</v>
      </c>
      <c r="BS28" s="898">
        <f t="shared" ca="1" si="15"/>
        <v>3037.997282517947</v>
      </c>
    </row>
    <row r="29" spans="1:71" x14ac:dyDescent="0.25">
      <c r="A29" s="254">
        <f t="shared" ca="1" si="6"/>
        <v>11</v>
      </c>
      <c r="B29" s="255">
        <f t="shared" ca="1" si="2"/>
        <v>44866</v>
      </c>
      <c r="C29" s="256">
        <f t="shared" si="3"/>
        <v>3047.1172825179469</v>
      </c>
      <c r="D29" s="257">
        <f t="shared" ca="1" si="9"/>
        <v>426.47</v>
      </c>
      <c r="F29" s="257">
        <f t="shared" ca="1" si="10"/>
        <v>0</v>
      </c>
      <c r="G29" s="257">
        <f t="shared" ca="1" si="11"/>
        <v>138882.24989230253</v>
      </c>
      <c r="H29" s="257">
        <f t="shared" ca="1" si="12"/>
        <v>138882.24989230253</v>
      </c>
      <c r="I29" s="220">
        <f t="shared" ca="1" si="4"/>
        <v>2022</v>
      </c>
      <c r="K29" s="220" t="s">
        <v>379</v>
      </c>
      <c r="L29" s="220">
        <f t="array" ref="L29:BS29">TRANSPOSE(D19:D78)</f>
        <v>374.55</v>
      </c>
      <c r="M29" s="220">
        <f ca="1"/>
        <v>496.77</v>
      </c>
      <c r="N29" s="220">
        <f ca="1"/>
        <v>441.75</v>
      </c>
      <c r="O29" s="220">
        <f ca="1"/>
        <v>481.23</v>
      </c>
      <c r="P29" s="220">
        <f ca="1"/>
        <v>458.23</v>
      </c>
      <c r="Q29" s="220">
        <f ca="1"/>
        <v>465.7</v>
      </c>
      <c r="R29" s="220">
        <f ca="1"/>
        <v>443.15</v>
      </c>
      <c r="S29" s="220">
        <f ca="1"/>
        <v>450.07</v>
      </c>
      <c r="T29" s="220">
        <f ca="1"/>
        <v>442.24</v>
      </c>
      <c r="U29" s="220">
        <f ca="1"/>
        <v>420.38</v>
      </c>
      <c r="V29" s="220">
        <f ca="1"/>
        <v>426.47</v>
      </c>
      <c r="W29" s="220">
        <f ca="1"/>
        <v>405.07</v>
      </c>
      <c r="X29" s="220">
        <f ca="1"/>
        <v>410.61</v>
      </c>
      <c r="Y29" s="220">
        <f ca="1"/>
        <v>402.67</v>
      </c>
      <c r="Z29" s="220">
        <f ca="1"/>
        <v>356.5</v>
      </c>
      <c r="AA29" s="220">
        <f ca="1"/>
        <v>386.59</v>
      </c>
      <c r="AB29" s="220">
        <f ca="1"/>
        <v>366.36</v>
      </c>
      <c r="AC29" s="220">
        <f ca="1"/>
        <v>370.49</v>
      </c>
      <c r="AD29" s="220">
        <f ca="1"/>
        <v>350.73</v>
      </c>
      <c r="AE29" s="220">
        <f ca="1"/>
        <v>354.3</v>
      </c>
      <c r="AF29" s="220">
        <f ca="1"/>
        <v>346.18</v>
      </c>
      <c r="AG29" s="220">
        <f ca="1"/>
        <v>327.14</v>
      </c>
      <c r="AH29" s="220">
        <f ca="1"/>
        <v>329.84</v>
      </c>
      <c r="AI29" s="220">
        <f ca="1"/>
        <v>311.27999999999997</v>
      </c>
      <c r="AJ29" s="220">
        <f ca="1"/>
        <v>313.41000000000003</v>
      </c>
      <c r="AK29" s="220">
        <f ca="1"/>
        <v>305.17</v>
      </c>
      <c r="AL29" s="220">
        <f ca="1"/>
        <v>277.75</v>
      </c>
      <c r="AM29" s="220">
        <f ca="1"/>
        <v>288.56</v>
      </c>
      <c r="AN29" s="220">
        <f ca="1"/>
        <v>271.2</v>
      </c>
      <c r="AO29" s="220">
        <f ca="1"/>
        <v>271.88</v>
      </c>
      <c r="AP29" s="220">
        <f ca="1"/>
        <v>255.01</v>
      </c>
      <c r="AQ29" s="220">
        <f ca="1"/>
        <v>255.1</v>
      </c>
      <c r="AR29" s="220">
        <f ca="1"/>
        <v>246.68</v>
      </c>
      <c r="AS29" s="220">
        <f ca="1"/>
        <v>230.56</v>
      </c>
      <c r="AT29" s="220">
        <f ca="1"/>
        <v>229.75</v>
      </c>
      <c r="AU29" s="220">
        <f ca="1"/>
        <v>214.12</v>
      </c>
      <c r="AV29" s="220">
        <f ca="1"/>
        <v>212.72</v>
      </c>
      <c r="AW29" s="220">
        <f ca="1"/>
        <v>204.18</v>
      </c>
      <c r="AX29" s="220">
        <f ca="1"/>
        <v>176.68</v>
      </c>
      <c r="AY29" s="220">
        <f ca="1"/>
        <v>186.96</v>
      </c>
      <c r="AZ29" s="220">
        <f ca="1"/>
        <v>172.59</v>
      </c>
      <c r="BA29" s="220">
        <f ca="1"/>
        <v>169.68</v>
      </c>
      <c r="BB29" s="220">
        <f ca="1"/>
        <v>155.81</v>
      </c>
      <c r="BC29" s="220">
        <f ca="1"/>
        <v>152.29</v>
      </c>
      <c r="BD29" s="220">
        <f ca="1"/>
        <v>143.57</v>
      </c>
      <c r="BE29" s="220">
        <f ca="1"/>
        <v>130.47</v>
      </c>
      <c r="BF29" s="220">
        <f ca="1"/>
        <v>126.03</v>
      </c>
      <c r="BG29" s="220">
        <f ca="1"/>
        <v>113.44</v>
      </c>
      <c r="BH29" s="220">
        <f ca="1"/>
        <v>108.38</v>
      </c>
      <c r="BI29" s="220">
        <f ca="1"/>
        <v>99.52</v>
      </c>
      <c r="BJ29" s="220">
        <f ca="1"/>
        <v>81.87</v>
      </c>
      <c r="BK29" s="220">
        <f ca="1"/>
        <v>81.7</v>
      </c>
      <c r="BL29" s="220">
        <f ca="1"/>
        <v>70.42</v>
      </c>
      <c r="BM29" s="220">
        <f ca="1"/>
        <v>63.79</v>
      </c>
      <c r="BN29" s="220">
        <f ca="1"/>
        <v>53.03</v>
      </c>
      <c r="BO29" s="220">
        <f ca="1"/>
        <v>45.78</v>
      </c>
      <c r="BP29" s="220">
        <f ca="1"/>
        <v>36.729999999999997</v>
      </c>
      <c r="BQ29" s="220">
        <f ca="1"/>
        <v>26.77</v>
      </c>
      <c r="BR29" s="220">
        <f ca="1"/>
        <v>18.559999999999999</v>
      </c>
      <c r="BS29" s="220">
        <f ca="1"/>
        <v>9.1199999999999992</v>
      </c>
    </row>
    <row r="30" spans="1:71" x14ac:dyDescent="0.25">
      <c r="A30" s="254">
        <f t="shared" ca="1" si="6"/>
        <v>12</v>
      </c>
      <c r="B30" s="255">
        <f t="shared" ca="1" si="2"/>
        <v>44896</v>
      </c>
      <c r="C30" s="256">
        <f t="shared" si="3"/>
        <v>3047.1172825179469</v>
      </c>
      <c r="D30" s="257">
        <f t="shared" ca="1" si="9"/>
        <v>405.07</v>
      </c>
      <c r="F30" s="257">
        <f t="shared" ca="1" si="10"/>
        <v>0</v>
      </c>
      <c r="G30" s="257">
        <f t="shared" ca="1" si="11"/>
        <v>136240.20260978458</v>
      </c>
      <c r="H30" s="257">
        <f t="shared" ca="1" si="12"/>
        <v>136240.20260978458</v>
      </c>
      <c r="I30" s="220">
        <f t="shared" ca="1" si="4"/>
        <v>2022</v>
      </c>
    </row>
    <row r="31" spans="1:71" x14ac:dyDescent="0.25">
      <c r="A31" s="254">
        <f t="shared" ca="1" si="6"/>
        <v>13</v>
      </c>
      <c r="B31" s="255">
        <f t="shared" ca="1" si="2"/>
        <v>44927</v>
      </c>
      <c r="C31" s="256">
        <f t="shared" si="3"/>
        <v>3047.1172825179469</v>
      </c>
      <c r="D31" s="257">
        <f t="shared" ca="1" si="9"/>
        <v>410.61</v>
      </c>
      <c r="F31" s="257">
        <f t="shared" ca="1" si="10"/>
        <v>0</v>
      </c>
      <c r="G31" s="257">
        <f t="shared" ca="1" si="11"/>
        <v>133603.69532726661</v>
      </c>
      <c r="H31" s="257">
        <f t="shared" ca="1" si="12"/>
        <v>133603.69532726661</v>
      </c>
      <c r="I31" s="220">
        <f t="shared" ca="1" si="4"/>
        <v>2023</v>
      </c>
    </row>
    <row r="32" spans="1:71" x14ac:dyDescent="0.25">
      <c r="A32" s="254">
        <f t="shared" ca="1" si="6"/>
        <v>14</v>
      </c>
      <c r="B32" s="255">
        <f t="shared" ca="1" si="2"/>
        <v>44958</v>
      </c>
      <c r="C32" s="256">
        <f t="shared" si="3"/>
        <v>3047.1172825179469</v>
      </c>
      <c r="D32" s="257">
        <f t="shared" ca="1" si="9"/>
        <v>402.67</v>
      </c>
      <c r="F32" s="257">
        <f t="shared" ca="1" si="10"/>
        <v>0</v>
      </c>
      <c r="G32" s="257">
        <f t="shared" ca="1" si="11"/>
        <v>130959.24804474867</v>
      </c>
      <c r="H32" s="257">
        <f t="shared" ca="1" si="12"/>
        <v>130959.24804474867</v>
      </c>
      <c r="I32" s="220">
        <f t="shared" ca="1" si="4"/>
        <v>2023</v>
      </c>
    </row>
    <row r="33" spans="1:10" x14ac:dyDescent="0.25">
      <c r="A33" s="254">
        <f t="shared" ca="1" si="6"/>
        <v>15</v>
      </c>
      <c r="B33" s="255">
        <f t="shared" ca="1" si="2"/>
        <v>44986</v>
      </c>
      <c r="C33" s="256">
        <f t="shared" si="3"/>
        <v>3047.1172825179469</v>
      </c>
      <c r="D33" s="257">
        <f t="shared" ca="1" si="9"/>
        <v>356.5</v>
      </c>
      <c r="F33" s="257">
        <f t="shared" ca="1" si="10"/>
        <v>0</v>
      </c>
      <c r="G33" s="257">
        <f t="shared" ca="1" si="11"/>
        <v>128268.63076223072</v>
      </c>
      <c r="H33" s="257">
        <f t="shared" ca="1" si="12"/>
        <v>128268.63076223072</v>
      </c>
      <c r="I33" s="220">
        <f t="shared" ca="1" si="4"/>
        <v>2023</v>
      </c>
    </row>
    <row r="34" spans="1:10" x14ac:dyDescent="0.25">
      <c r="A34" s="254">
        <f t="shared" ca="1" si="6"/>
        <v>16</v>
      </c>
      <c r="B34" s="255">
        <f t="shared" ca="1" si="2"/>
        <v>45017</v>
      </c>
      <c r="C34" s="256">
        <f t="shared" si="3"/>
        <v>3047.1172825179469</v>
      </c>
      <c r="D34" s="257">
        <f t="shared" ca="1" si="9"/>
        <v>386.59</v>
      </c>
      <c r="F34" s="257">
        <f t="shared" ca="1" si="10"/>
        <v>0</v>
      </c>
      <c r="G34" s="257">
        <f t="shared" ca="1" si="11"/>
        <v>125608.10347971276</v>
      </c>
      <c r="H34" s="257">
        <f t="shared" ca="1" si="12"/>
        <v>125608.10347971276</v>
      </c>
      <c r="I34" s="220">
        <f t="shared" ca="1" si="4"/>
        <v>2023</v>
      </c>
    </row>
    <row r="35" spans="1:10" x14ac:dyDescent="0.25">
      <c r="A35" s="254">
        <f t="shared" ca="1" si="6"/>
        <v>17</v>
      </c>
      <c r="B35" s="255">
        <f t="shared" ca="1" si="2"/>
        <v>45047</v>
      </c>
      <c r="C35" s="256">
        <f t="shared" si="3"/>
        <v>3047.1172825179469</v>
      </c>
      <c r="D35" s="257">
        <f t="shared" ca="1" si="9"/>
        <v>366.36</v>
      </c>
      <c r="F35" s="257">
        <f t="shared" ca="1" si="10"/>
        <v>0</v>
      </c>
      <c r="G35" s="257">
        <f t="shared" ca="1" si="11"/>
        <v>122927.34619719481</v>
      </c>
      <c r="H35" s="257">
        <f t="shared" ca="1" si="12"/>
        <v>122927.34619719481</v>
      </c>
      <c r="I35" s="220">
        <f t="shared" ca="1" si="4"/>
        <v>2023</v>
      </c>
      <c r="J35" s="253"/>
    </row>
    <row r="36" spans="1:10" x14ac:dyDescent="0.25">
      <c r="A36" s="254">
        <f t="shared" ca="1" si="6"/>
        <v>18</v>
      </c>
      <c r="B36" s="255">
        <f t="shared" ca="1" si="2"/>
        <v>45078</v>
      </c>
      <c r="C36" s="256">
        <f t="shared" si="3"/>
        <v>3047.1172825179469</v>
      </c>
      <c r="D36" s="257">
        <f t="shared" ca="1" si="9"/>
        <v>370.49</v>
      </c>
      <c r="F36" s="257">
        <f t="shared" ca="1" si="10"/>
        <v>0</v>
      </c>
      <c r="G36" s="257">
        <f t="shared" ca="1" si="11"/>
        <v>120250.71891467687</v>
      </c>
      <c r="H36" s="257">
        <f t="shared" ca="1" si="12"/>
        <v>120250.71891467687</v>
      </c>
      <c r="I36" s="220">
        <f t="shared" ca="1" si="4"/>
        <v>2023</v>
      </c>
    </row>
    <row r="37" spans="1:10" x14ac:dyDescent="0.25">
      <c r="A37" s="254">
        <v>19</v>
      </c>
      <c r="B37" s="255">
        <f t="shared" ca="1" si="2"/>
        <v>45108</v>
      </c>
      <c r="C37" s="256">
        <f t="shared" si="3"/>
        <v>3047.1172825179469</v>
      </c>
      <c r="D37" s="257">
        <f t="shared" ca="1" si="9"/>
        <v>350.73</v>
      </c>
      <c r="F37" s="257">
        <f t="shared" ca="1" si="10"/>
        <v>0</v>
      </c>
      <c r="G37" s="257">
        <f t="shared" ca="1" si="11"/>
        <v>117554.33163215891</v>
      </c>
      <c r="H37" s="257">
        <f t="shared" ca="1" si="12"/>
        <v>117554.33163215891</v>
      </c>
      <c r="I37" s="220">
        <f t="shared" ca="1" si="4"/>
        <v>2023</v>
      </c>
    </row>
    <row r="38" spans="1:10" x14ac:dyDescent="0.25">
      <c r="A38" s="254">
        <f t="shared" ca="1" si="6"/>
        <v>20</v>
      </c>
      <c r="B38" s="255">
        <f t="shared" ca="1" si="2"/>
        <v>45139</v>
      </c>
      <c r="C38" s="256">
        <f t="shared" si="3"/>
        <v>3047.1172825179469</v>
      </c>
      <c r="D38" s="257">
        <f t="shared" ca="1" si="9"/>
        <v>354.3</v>
      </c>
      <c r="F38" s="257">
        <f t="shared" ca="1" si="10"/>
        <v>0</v>
      </c>
      <c r="G38" s="257">
        <f t="shared" ca="1" si="11"/>
        <v>114861.51434964096</v>
      </c>
      <c r="H38" s="257">
        <f t="shared" ca="1" si="12"/>
        <v>114861.51434964096</v>
      </c>
      <c r="I38" s="220">
        <f t="shared" ca="1" si="4"/>
        <v>2023</v>
      </c>
    </row>
    <row r="39" spans="1:10" x14ac:dyDescent="0.25">
      <c r="A39" s="254">
        <f t="shared" ca="1" si="6"/>
        <v>21</v>
      </c>
      <c r="B39" s="255">
        <f t="shared" ca="1" si="2"/>
        <v>45170</v>
      </c>
      <c r="C39" s="256">
        <f t="shared" si="3"/>
        <v>3047.1172825179469</v>
      </c>
      <c r="D39" s="257">
        <f t="shared" ca="1" si="9"/>
        <v>346.18</v>
      </c>
      <c r="F39" s="257">
        <f t="shared" ca="1" si="10"/>
        <v>0</v>
      </c>
      <c r="G39" s="257">
        <f t="shared" ca="1" si="11"/>
        <v>112160.577067123</v>
      </c>
      <c r="H39" s="257">
        <f t="shared" ca="1" si="12"/>
        <v>112160.577067123</v>
      </c>
      <c r="I39" s="220">
        <f t="shared" ca="1" si="4"/>
        <v>2023</v>
      </c>
    </row>
    <row r="40" spans="1:10" x14ac:dyDescent="0.25">
      <c r="A40" s="254">
        <v>22</v>
      </c>
      <c r="B40" s="255">
        <f t="shared" ca="1" si="2"/>
        <v>45200</v>
      </c>
      <c r="C40" s="256">
        <f t="shared" si="3"/>
        <v>3047.1172825179469</v>
      </c>
      <c r="D40" s="257">
        <f t="shared" ca="1" si="9"/>
        <v>327.14</v>
      </c>
      <c r="F40" s="257">
        <f t="shared" ca="1" si="10"/>
        <v>0</v>
      </c>
      <c r="G40" s="257">
        <f t="shared" ca="1" si="11"/>
        <v>109440.59978460504</v>
      </c>
      <c r="H40" s="257">
        <f t="shared" ca="1" si="12"/>
        <v>109440.59978460504</v>
      </c>
      <c r="I40" s="220">
        <f t="shared" ca="1" si="4"/>
        <v>2023</v>
      </c>
    </row>
    <row r="41" spans="1:10" x14ac:dyDescent="0.25">
      <c r="A41" s="254">
        <f t="shared" ca="1" si="6"/>
        <v>23</v>
      </c>
      <c r="B41" s="255">
        <f t="shared" ca="1" si="2"/>
        <v>45231</v>
      </c>
      <c r="C41" s="256">
        <f t="shared" si="3"/>
        <v>3047.1172825179469</v>
      </c>
      <c r="D41" s="257">
        <f t="shared" ca="1" si="9"/>
        <v>329.84</v>
      </c>
      <c r="F41" s="257">
        <f t="shared" ca="1" si="10"/>
        <v>0</v>
      </c>
      <c r="G41" s="257">
        <f t="shared" ca="1" si="11"/>
        <v>106723.32250208709</v>
      </c>
      <c r="H41" s="257">
        <f t="shared" ca="1" si="12"/>
        <v>106723.32250208709</v>
      </c>
      <c r="I41" s="220">
        <f t="shared" ca="1" si="4"/>
        <v>2023</v>
      </c>
    </row>
    <row r="42" spans="1:10" x14ac:dyDescent="0.25">
      <c r="A42" s="254">
        <f t="shared" ca="1" si="6"/>
        <v>24</v>
      </c>
      <c r="B42" s="255">
        <f t="shared" ca="1" si="2"/>
        <v>45261</v>
      </c>
      <c r="C42" s="256">
        <f t="shared" si="3"/>
        <v>3047.1172825179469</v>
      </c>
      <c r="D42" s="257">
        <f t="shared" ca="1" si="9"/>
        <v>311.27999999999997</v>
      </c>
      <c r="F42" s="257">
        <f t="shared" ca="1" si="10"/>
        <v>0</v>
      </c>
      <c r="G42" s="257">
        <f t="shared" ca="1" si="11"/>
        <v>103987.48521956913</v>
      </c>
      <c r="H42" s="257">
        <f t="shared" ca="1" si="12"/>
        <v>103987.48521956913</v>
      </c>
      <c r="I42" s="220">
        <f t="shared" ca="1" si="4"/>
        <v>2023</v>
      </c>
    </row>
    <row r="43" spans="1:10" x14ac:dyDescent="0.25">
      <c r="A43" s="254">
        <f t="shared" ca="1" si="6"/>
        <v>25</v>
      </c>
      <c r="B43" s="255">
        <f t="shared" ca="1" si="2"/>
        <v>45292</v>
      </c>
      <c r="C43" s="256">
        <f t="shared" si="3"/>
        <v>3047.1172825179469</v>
      </c>
      <c r="D43" s="257">
        <f t="shared" ca="1" si="9"/>
        <v>313.41000000000003</v>
      </c>
      <c r="F43" s="257">
        <f t="shared" ca="1" si="10"/>
        <v>0</v>
      </c>
      <c r="G43" s="257">
        <f t="shared" ca="1" si="11"/>
        <v>101253.77793705119</v>
      </c>
      <c r="H43" s="257">
        <f t="shared" ca="1" si="12"/>
        <v>101253.77793705119</v>
      </c>
      <c r="I43" s="220">
        <f t="shared" ca="1" si="4"/>
        <v>2024</v>
      </c>
    </row>
    <row r="44" spans="1:10" x14ac:dyDescent="0.25">
      <c r="A44" s="254">
        <f t="shared" ca="1" si="6"/>
        <v>26</v>
      </c>
      <c r="B44" s="255">
        <f t="shared" ca="1" si="2"/>
        <v>45323</v>
      </c>
      <c r="C44" s="256">
        <f t="shared" si="3"/>
        <v>3047.1172825179469</v>
      </c>
      <c r="D44" s="257">
        <f t="shared" ca="1" si="9"/>
        <v>305.17</v>
      </c>
      <c r="F44" s="257">
        <f t="shared" ca="1" si="10"/>
        <v>0</v>
      </c>
      <c r="G44" s="257">
        <f t="shared" ca="1" si="11"/>
        <v>98511.830654533231</v>
      </c>
      <c r="H44" s="257">
        <f t="shared" ca="1" si="12"/>
        <v>98511.830654533231</v>
      </c>
      <c r="I44" s="220">
        <f t="shared" ca="1" si="4"/>
        <v>2024</v>
      </c>
    </row>
    <row r="45" spans="1:10" x14ac:dyDescent="0.25">
      <c r="A45" s="254">
        <f t="shared" ca="1" si="6"/>
        <v>27</v>
      </c>
      <c r="B45" s="255">
        <f t="shared" ca="1" si="2"/>
        <v>45352</v>
      </c>
      <c r="C45" s="256">
        <f t="shared" si="3"/>
        <v>3047.1172825179469</v>
      </c>
      <c r="D45" s="257">
        <f t="shared" ca="1" si="9"/>
        <v>277.75</v>
      </c>
      <c r="F45" s="257">
        <f t="shared" ca="1" si="10"/>
        <v>0</v>
      </c>
      <c r="G45" s="257">
        <f t="shared" ca="1" si="11"/>
        <v>95742.463372015278</v>
      </c>
      <c r="H45" s="257">
        <f t="shared" ca="1" si="12"/>
        <v>95742.463372015278</v>
      </c>
      <c r="I45" s="220">
        <f t="shared" ca="1" si="4"/>
        <v>2024</v>
      </c>
    </row>
    <row r="46" spans="1:10" x14ac:dyDescent="0.25">
      <c r="A46" s="254">
        <f t="shared" ca="1" si="6"/>
        <v>28</v>
      </c>
      <c r="B46" s="255">
        <f t="shared" ca="1" si="2"/>
        <v>45383</v>
      </c>
      <c r="C46" s="256">
        <f t="shared" si="3"/>
        <v>3047.1172825179469</v>
      </c>
      <c r="D46" s="257">
        <f t="shared" ca="1" si="9"/>
        <v>288.56</v>
      </c>
      <c r="F46" s="257">
        <f t="shared" ca="1" si="10"/>
        <v>0</v>
      </c>
      <c r="G46" s="257">
        <f t="shared" ca="1" si="11"/>
        <v>92983.906089497323</v>
      </c>
      <c r="H46" s="257">
        <f t="shared" ca="1" si="12"/>
        <v>92983.906089497323</v>
      </c>
      <c r="I46" s="220">
        <f t="shared" ca="1" si="4"/>
        <v>2024</v>
      </c>
    </row>
    <row r="47" spans="1:10" x14ac:dyDescent="0.25">
      <c r="A47" s="254">
        <f t="shared" ca="1" si="6"/>
        <v>29</v>
      </c>
      <c r="B47" s="255">
        <f t="shared" ca="1" si="2"/>
        <v>45413</v>
      </c>
      <c r="C47" s="256">
        <f t="shared" si="3"/>
        <v>3047.1172825179469</v>
      </c>
      <c r="D47" s="257">
        <f t="shared" ca="1" si="9"/>
        <v>271.2</v>
      </c>
      <c r="F47" s="257">
        <f t="shared" ca="1" si="10"/>
        <v>0</v>
      </c>
      <c r="G47" s="257">
        <f t="shared" ca="1" si="11"/>
        <v>90207.988806979367</v>
      </c>
      <c r="H47" s="257">
        <f t="shared" ca="1" si="12"/>
        <v>90207.988806979367</v>
      </c>
      <c r="I47" s="220">
        <f t="shared" ca="1" si="4"/>
        <v>2024</v>
      </c>
      <c r="J47" s="253">
        <f>SUM(C36:C47)</f>
        <v>36565.407390215354</v>
      </c>
    </row>
    <row r="48" spans="1:10" x14ac:dyDescent="0.25">
      <c r="A48" s="254">
        <f t="shared" ca="1" si="6"/>
        <v>30</v>
      </c>
      <c r="B48" s="255">
        <f t="shared" ca="1" si="2"/>
        <v>45444</v>
      </c>
      <c r="C48" s="256">
        <f t="shared" si="3"/>
        <v>3047.1172825179469</v>
      </c>
      <c r="D48" s="257">
        <f t="shared" ca="1" si="9"/>
        <v>271.88</v>
      </c>
      <c r="F48" s="257">
        <f t="shared" ca="1" si="10"/>
        <v>0</v>
      </c>
      <c r="G48" s="257">
        <f t="shared" ca="1" si="11"/>
        <v>87432.751524461419</v>
      </c>
      <c r="H48" s="257">
        <f t="shared" ca="1" si="12"/>
        <v>87432.751524461419</v>
      </c>
      <c r="I48" s="220">
        <f t="shared" ca="1" si="4"/>
        <v>2024</v>
      </c>
    </row>
    <row r="49" spans="1:12" x14ac:dyDescent="0.25">
      <c r="A49" s="254">
        <f t="shared" ca="1" si="6"/>
        <v>31</v>
      </c>
      <c r="B49" s="255">
        <f t="shared" ca="1" si="2"/>
        <v>45474</v>
      </c>
      <c r="C49" s="256">
        <f t="shared" si="3"/>
        <v>3047.1172825179469</v>
      </c>
      <c r="D49" s="257">
        <f t="shared" ca="1" si="9"/>
        <v>255.01</v>
      </c>
      <c r="F49" s="257">
        <f t="shared" ca="1" si="10"/>
        <v>0</v>
      </c>
      <c r="G49" s="257">
        <f t="shared" ca="1" si="11"/>
        <v>84640.644241943461</v>
      </c>
      <c r="H49" s="257">
        <f t="shared" ca="1" si="12"/>
        <v>84640.644241943461</v>
      </c>
      <c r="I49" s="220">
        <f t="shared" ca="1" si="4"/>
        <v>2024</v>
      </c>
    </row>
    <row r="50" spans="1:12" x14ac:dyDescent="0.25">
      <c r="A50" s="254">
        <f t="shared" ca="1" si="6"/>
        <v>32</v>
      </c>
      <c r="B50" s="255">
        <f t="shared" ca="1" si="2"/>
        <v>45505</v>
      </c>
      <c r="C50" s="256">
        <f t="shared" si="3"/>
        <v>3047.1172825179469</v>
      </c>
      <c r="D50" s="257">
        <f t="shared" ca="1" si="9"/>
        <v>255.1</v>
      </c>
      <c r="F50" s="257">
        <f t="shared" ca="1" si="10"/>
        <v>0</v>
      </c>
      <c r="G50" s="257">
        <f t="shared" ca="1" si="11"/>
        <v>81848.626959425514</v>
      </c>
      <c r="H50" s="257">
        <f t="shared" ca="1" si="12"/>
        <v>81848.626959425514</v>
      </c>
      <c r="I50" s="220">
        <f t="shared" ca="1" si="4"/>
        <v>2024</v>
      </c>
    </row>
    <row r="51" spans="1:12" x14ac:dyDescent="0.25">
      <c r="A51" s="254">
        <v>33</v>
      </c>
      <c r="B51" s="255">
        <f t="shared" ca="1" si="2"/>
        <v>45536</v>
      </c>
      <c r="C51" s="256">
        <f t="shared" si="3"/>
        <v>3047.1172825179469</v>
      </c>
      <c r="D51" s="257">
        <f t="shared" ca="1" si="9"/>
        <v>246.68</v>
      </c>
      <c r="F51" s="257">
        <f t="shared" ca="1" si="10"/>
        <v>0</v>
      </c>
      <c r="G51" s="257">
        <f t="shared" ca="1" si="11"/>
        <v>79048.189676907554</v>
      </c>
      <c r="H51" s="257">
        <f t="shared" ca="1" si="12"/>
        <v>79048.189676907554</v>
      </c>
      <c r="I51" s="220">
        <f t="shared" ca="1" si="4"/>
        <v>2024</v>
      </c>
    </row>
    <row r="52" spans="1:12" x14ac:dyDescent="0.25">
      <c r="A52" s="254">
        <v>34</v>
      </c>
      <c r="B52" s="255">
        <f t="shared" ca="1" si="2"/>
        <v>45566</v>
      </c>
      <c r="C52" s="256">
        <f t="shared" si="3"/>
        <v>3047.1172825179469</v>
      </c>
      <c r="D52" s="257">
        <f t="shared" ca="1" si="9"/>
        <v>230.56</v>
      </c>
      <c r="F52" s="257">
        <f t="shared" ca="1" si="10"/>
        <v>0</v>
      </c>
      <c r="G52" s="257">
        <f t="shared" ca="1" si="11"/>
        <v>76231.632394389599</v>
      </c>
      <c r="H52" s="257">
        <f t="shared" ca="1" si="12"/>
        <v>76231.632394389599</v>
      </c>
      <c r="I52" s="220">
        <f t="shared" ca="1" si="4"/>
        <v>2024</v>
      </c>
    </row>
    <row r="53" spans="1:12" x14ac:dyDescent="0.25">
      <c r="A53" s="254">
        <v>35</v>
      </c>
      <c r="B53" s="255">
        <f t="shared" ca="1" si="2"/>
        <v>45597</v>
      </c>
      <c r="C53" s="256">
        <f t="shared" si="3"/>
        <v>3047.1172825179469</v>
      </c>
      <c r="D53" s="257">
        <f t="shared" ca="1" si="9"/>
        <v>229.75</v>
      </c>
      <c r="F53" s="257">
        <f t="shared" ca="1" si="10"/>
        <v>0</v>
      </c>
      <c r="G53" s="257">
        <f t="shared" ca="1" si="11"/>
        <v>73414.265111871646</v>
      </c>
      <c r="H53" s="257">
        <f t="shared" ca="1" si="12"/>
        <v>73414.265111871646</v>
      </c>
      <c r="I53" s="220">
        <f t="shared" ca="1" si="4"/>
        <v>2024</v>
      </c>
    </row>
    <row r="54" spans="1:12" x14ac:dyDescent="0.25">
      <c r="A54" s="254">
        <v>36</v>
      </c>
      <c r="B54" s="255">
        <f t="shared" ca="1" si="2"/>
        <v>45627</v>
      </c>
      <c r="C54" s="256">
        <f t="shared" si="3"/>
        <v>3047.1172825179469</v>
      </c>
      <c r="D54" s="257">
        <f ca="1">IF(B54="","",ROUND((B54-B53)*$H$9*G53,2))</f>
        <v>214.12</v>
      </c>
      <c r="F54" s="257">
        <f t="shared" ca="1" si="10"/>
        <v>0</v>
      </c>
      <c r="G54" s="257">
        <f t="shared" ca="1" si="11"/>
        <v>70581.267829353688</v>
      </c>
      <c r="H54" s="257">
        <f t="shared" ca="1" si="12"/>
        <v>70581.267829353688</v>
      </c>
      <c r="I54" s="220">
        <f t="shared" ca="1" si="4"/>
        <v>2024</v>
      </c>
      <c r="J54" s="253">
        <f>SUM(C48:C54)</f>
        <v>21329.820977625626</v>
      </c>
    </row>
    <row r="55" spans="1:12" x14ac:dyDescent="0.25">
      <c r="A55" s="254">
        <v>37</v>
      </c>
      <c r="B55" s="255">
        <f t="shared" ca="1" si="2"/>
        <v>45658</v>
      </c>
      <c r="C55" s="256">
        <f t="shared" si="3"/>
        <v>3047.1172825179469</v>
      </c>
      <c r="D55" s="257">
        <f ca="1">IF(B55="","",ROUND((B55-B54)*$H$9*G54,2))</f>
        <v>212.72</v>
      </c>
      <c r="F55" s="257">
        <f t="shared" ca="1" si="10"/>
        <v>0</v>
      </c>
      <c r="G55" s="257">
        <f t="shared" ca="1" si="11"/>
        <v>67746.870546835737</v>
      </c>
      <c r="H55" s="257">
        <f t="shared" ca="1" si="12"/>
        <v>67746.870546835737</v>
      </c>
      <c r="I55" s="220">
        <f t="shared" ca="1" si="4"/>
        <v>2025</v>
      </c>
    </row>
    <row r="56" spans="1:12" x14ac:dyDescent="0.25">
      <c r="A56" s="254">
        <f>A55+1</f>
        <v>38</v>
      </c>
      <c r="B56" s="255">
        <f t="shared" ca="1" si="2"/>
        <v>45689</v>
      </c>
      <c r="C56" s="256">
        <f t="shared" si="3"/>
        <v>3047.1172825179469</v>
      </c>
      <c r="D56" s="257">
        <f t="shared" ca="1" si="9"/>
        <v>204.18</v>
      </c>
      <c r="F56" s="257">
        <f t="shared" ca="1" si="10"/>
        <v>0</v>
      </c>
      <c r="G56" s="257">
        <f t="shared" ca="1" si="11"/>
        <v>64903.933264317784</v>
      </c>
      <c r="H56" s="257">
        <f t="shared" ca="1" si="12"/>
        <v>64903.933264317784</v>
      </c>
      <c r="I56" s="220">
        <f t="shared" ca="1" si="4"/>
        <v>2025</v>
      </c>
    </row>
    <row r="57" spans="1:12" x14ac:dyDescent="0.25">
      <c r="A57" s="254">
        <f t="shared" ref="A57:A120" si="16">A56+1</f>
        <v>39</v>
      </c>
      <c r="B57" s="255">
        <f t="shared" ca="1" si="2"/>
        <v>45717</v>
      </c>
      <c r="C57" s="256">
        <f t="shared" si="3"/>
        <v>3047.1172825179469</v>
      </c>
      <c r="D57" s="257">
        <f t="shared" ca="1" si="9"/>
        <v>176.68</v>
      </c>
      <c r="F57" s="257">
        <f t="shared" ca="1" si="10"/>
        <v>0</v>
      </c>
      <c r="G57" s="257">
        <f t="shared" ca="1" si="11"/>
        <v>62033.495981799839</v>
      </c>
      <c r="H57" s="257">
        <f t="shared" ca="1" si="12"/>
        <v>62033.495981799839</v>
      </c>
      <c r="I57" s="220">
        <f t="shared" ca="1" si="4"/>
        <v>2025</v>
      </c>
    </row>
    <row r="58" spans="1:12" x14ac:dyDescent="0.25">
      <c r="A58" s="254">
        <f t="shared" si="16"/>
        <v>40</v>
      </c>
      <c r="B58" s="255">
        <f t="shared" ca="1" si="2"/>
        <v>45748</v>
      </c>
      <c r="C58" s="256">
        <f t="shared" si="3"/>
        <v>3047.1172825179469</v>
      </c>
      <c r="D58" s="257">
        <f t="shared" ca="1" si="9"/>
        <v>186.96</v>
      </c>
      <c r="F58" s="257">
        <f t="shared" ca="1" si="10"/>
        <v>0</v>
      </c>
      <c r="G58" s="257">
        <f t="shared" ca="1" si="11"/>
        <v>59173.338699281892</v>
      </c>
      <c r="H58" s="257">
        <f t="shared" ca="1" si="12"/>
        <v>59173.338699281892</v>
      </c>
      <c r="I58" s="220">
        <f t="shared" ca="1" si="4"/>
        <v>2025</v>
      </c>
    </row>
    <row r="59" spans="1:12" x14ac:dyDescent="0.25">
      <c r="A59" s="254">
        <f t="shared" si="16"/>
        <v>41</v>
      </c>
      <c r="B59" s="255">
        <f t="shared" ca="1" si="2"/>
        <v>45778</v>
      </c>
      <c r="C59" s="256">
        <f t="shared" si="3"/>
        <v>3047.1172825179469</v>
      </c>
      <c r="D59" s="257">
        <f t="shared" ca="1" si="9"/>
        <v>172.59</v>
      </c>
      <c r="F59" s="257">
        <f t="shared" ca="1" si="10"/>
        <v>0</v>
      </c>
      <c r="G59" s="257">
        <f t="shared" ca="1" si="11"/>
        <v>56298.811416763943</v>
      </c>
      <c r="H59" s="257">
        <f t="shared" ca="1" si="12"/>
        <v>56298.811416763943</v>
      </c>
      <c r="I59" s="220">
        <f t="shared" ca="1" si="4"/>
        <v>2025</v>
      </c>
    </row>
    <row r="60" spans="1:12" x14ac:dyDescent="0.25">
      <c r="A60" s="254">
        <f t="shared" si="16"/>
        <v>42</v>
      </c>
      <c r="B60" s="255">
        <f t="shared" ca="1" si="2"/>
        <v>45809</v>
      </c>
      <c r="C60" s="256">
        <f t="shared" si="3"/>
        <v>3047.1172825179469</v>
      </c>
      <c r="D60" s="257">
        <f t="shared" ca="1" si="9"/>
        <v>169.68</v>
      </c>
      <c r="F60" s="257">
        <f t="shared" ca="1" si="10"/>
        <v>0</v>
      </c>
      <c r="G60" s="257">
        <f t="shared" ca="1" si="11"/>
        <v>53421.374134245998</v>
      </c>
      <c r="H60" s="257">
        <f t="shared" ca="1" si="12"/>
        <v>53421.374134245998</v>
      </c>
      <c r="I60" s="220">
        <f t="shared" ca="1" si="4"/>
        <v>2025</v>
      </c>
    </row>
    <row r="61" spans="1:12" x14ac:dyDescent="0.25">
      <c r="A61" s="254">
        <f t="shared" si="16"/>
        <v>43</v>
      </c>
      <c r="B61" s="255">
        <f t="shared" ca="1" si="2"/>
        <v>45839</v>
      </c>
      <c r="C61" s="256">
        <f t="shared" si="3"/>
        <v>3047.1172825179469</v>
      </c>
      <c r="D61" s="257">
        <f t="shared" ca="1" si="9"/>
        <v>155.81</v>
      </c>
      <c r="F61" s="257">
        <f t="shared" ca="1" si="10"/>
        <v>0</v>
      </c>
      <c r="G61" s="257">
        <f t="shared" ca="1" si="11"/>
        <v>50530.06685172805</v>
      </c>
      <c r="H61" s="257">
        <f t="shared" ca="1" si="12"/>
        <v>50530.06685172805</v>
      </c>
      <c r="I61" s="220">
        <f t="shared" ca="1" si="4"/>
        <v>2025</v>
      </c>
    </row>
    <row r="62" spans="1:12" x14ac:dyDescent="0.25">
      <c r="A62" s="254">
        <f t="shared" si="16"/>
        <v>44</v>
      </c>
      <c r="B62" s="255">
        <f t="shared" ca="1" si="2"/>
        <v>45870</v>
      </c>
      <c r="C62" s="256">
        <f t="shared" si="3"/>
        <v>3047.1172825179469</v>
      </c>
      <c r="D62" s="257">
        <f t="shared" ca="1" si="9"/>
        <v>152.29</v>
      </c>
      <c r="F62" s="257">
        <f t="shared" ca="1" si="10"/>
        <v>0</v>
      </c>
      <c r="G62" s="257">
        <f t="shared" ca="1" si="11"/>
        <v>47635.239569210105</v>
      </c>
      <c r="H62" s="257">
        <f t="shared" ca="1" si="12"/>
        <v>47635.239569210105</v>
      </c>
      <c r="I62" s="220">
        <f t="shared" ca="1" si="4"/>
        <v>2025</v>
      </c>
    </row>
    <row r="63" spans="1:12" x14ac:dyDescent="0.25">
      <c r="A63" s="254">
        <f t="shared" si="16"/>
        <v>45</v>
      </c>
      <c r="B63" s="255">
        <f t="shared" ca="1" si="2"/>
        <v>45901</v>
      </c>
      <c r="C63" s="256">
        <f t="shared" si="3"/>
        <v>3047.1172825179469</v>
      </c>
      <c r="D63" s="257">
        <f t="shared" ca="1" si="9"/>
        <v>143.57</v>
      </c>
      <c r="F63" s="257">
        <f t="shared" ca="1" si="10"/>
        <v>0</v>
      </c>
      <c r="G63" s="257">
        <f t="shared" ca="1" si="11"/>
        <v>44731.69228669216</v>
      </c>
      <c r="H63" s="257">
        <f t="shared" ca="1" si="12"/>
        <v>44731.69228669216</v>
      </c>
      <c r="I63" s="220">
        <f t="shared" ca="1" si="4"/>
        <v>2025</v>
      </c>
      <c r="K63" s="253"/>
    </row>
    <row r="64" spans="1:12" x14ac:dyDescent="0.25">
      <c r="A64" s="254">
        <f t="shared" si="16"/>
        <v>46</v>
      </c>
      <c r="B64" s="255">
        <f t="shared" ca="1" si="2"/>
        <v>45931</v>
      </c>
      <c r="C64" s="256">
        <f t="shared" si="3"/>
        <v>3047.1172825179469</v>
      </c>
      <c r="D64" s="257">
        <f t="shared" ca="1" si="9"/>
        <v>130.47</v>
      </c>
      <c r="F64" s="257">
        <f t="shared" ca="1" si="10"/>
        <v>0</v>
      </c>
      <c r="G64" s="257">
        <f t="shared" ca="1" si="11"/>
        <v>41815.045004174215</v>
      </c>
      <c r="H64" s="257">
        <f t="shared" ca="1" si="12"/>
        <v>41815.045004174215</v>
      </c>
      <c r="I64" s="220">
        <f t="shared" ca="1" si="4"/>
        <v>2025</v>
      </c>
      <c r="K64" s="260">
        <f ca="1">HLOOKUP(I64,$L$18:$W$24,7,0)/12</f>
        <v>0</v>
      </c>
      <c r="L64" s="253">
        <f ca="1">G62-G68</f>
        <v>17561.293695107677</v>
      </c>
    </row>
    <row r="65" spans="1:13" x14ac:dyDescent="0.25">
      <c r="A65" s="254">
        <f t="shared" si="16"/>
        <v>47</v>
      </c>
      <c r="B65" s="255">
        <f t="shared" ca="1" si="2"/>
        <v>45962</v>
      </c>
      <c r="C65" s="256">
        <f t="shared" si="3"/>
        <v>3047.1172825179469</v>
      </c>
      <c r="D65" s="257">
        <f t="shared" ca="1" si="9"/>
        <v>126.03</v>
      </c>
      <c r="F65" s="257">
        <f t="shared" ca="1" si="10"/>
        <v>0</v>
      </c>
      <c r="G65" s="257">
        <f t="shared" ca="1" si="11"/>
        <v>38893.957721656268</v>
      </c>
      <c r="H65" s="257">
        <f t="shared" ca="1" si="12"/>
        <v>38893.957721656268</v>
      </c>
      <c r="I65" s="220">
        <f t="shared" ca="1" si="4"/>
        <v>2025</v>
      </c>
      <c r="K65" s="260">
        <f t="shared" ref="K65:K128" ca="1" si="17">HLOOKUP(I65,$L$18:$W$24,7,0)/12</f>
        <v>0</v>
      </c>
    </row>
    <row r="66" spans="1:13" x14ac:dyDescent="0.25">
      <c r="A66" s="254">
        <f t="shared" si="16"/>
        <v>48</v>
      </c>
      <c r="B66" s="255">
        <f t="shared" ca="1" si="2"/>
        <v>45992</v>
      </c>
      <c r="C66" s="256">
        <f t="shared" si="3"/>
        <v>3047.1172825179469</v>
      </c>
      <c r="D66" s="257">
        <f t="shared" ca="1" si="9"/>
        <v>113.44</v>
      </c>
      <c r="F66" s="257">
        <f t="shared" ca="1" si="10"/>
        <v>0</v>
      </c>
      <c r="G66" s="257">
        <f t="shared" ca="1" si="11"/>
        <v>35960.280439138325</v>
      </c>
      <c r="H66" s="257">
        <f t="shared" ca="1" si="12"/>
        <v>35960.280439138325</v>
      </c>
      <c r="I66" s="220">
        <f t="shared" ca="1" si="4"/>
        <v>2025</v>
      </c>
      <c r="K66" s="260">
        <f t="shared" ca="1" si="17"/>
        <v>0</v>
      </c>
    </row>
    <row r="67" spans="1:13" x14ac:dyDescent="0.25">
      <c r="A67" s="254">
        <f t="shared" si="16"/>
        <v>49</v>
      </c>
      <c r="B67" s="255">
        <f t="shared" ca="1" si="2"/>
        <v>46023</v>
      </c>
      <c r="C67" s="256">
        <f t="shared" si="3"/>
        <v>3047.1172825179469</v>
      </c>
      <c r="D67" s="257">
        <f t="shared" ca="1" si="9"/>
        <v>108.38</v>
      </c>
      <c r="F67" s="257">
        <f t="shared" ca="1" si="10"/>
        <v>0</v>
      </c>
      <c r="G67" s="257">
        <f t="shared" ca="1" si="11"/>
        <v>33021.543156620377</v>
      </c>
      <c r="H67" s="257">
        <f t="shared" ca="1" si="12"/>
        <v>33021.543156620377</v>
      </c>
      <c r="I67" s="220">
        <f t="shared" ca="1" si="4"/>
        <v>2026</v>
      </c>
      <c r="K67" s="260">
        <f t="shared" ca="1" si="17"/>
        <v>0</v>
      </c>
    </row>
    <row r="68" spans="1:13" x14ac:dyDescent="0.25">
      <c r="A68" s="254">
        <f t="shared" si="16"/>
        <v>50</v>
      </c>
      <c r="B68" s="255">
        <f t="shared" ca="1" si="2"/>
        <v>46054</v>
      </c>
      <c r="C68" s="256">
        <f t="shared" si="3"/>
        <v>3047.1172825179469</v>
      </c>
      <c r="D68" s="257">
        <f t="shared" ca="1" si="9"/>
        <v>99.52</v>
      </c>
      <c r="F68" s="257">
        <f t="shared" ca="1" si="10"/>
        <v>0</v>
      </c>
      <c r="G68" s="257">
        <f t="shared" ca="1" si="11"/>
        <v>30073.945874102428</v>
      </c>
      <c r="H68" s="257">
        <f t="shared" ca="1" si="12"/>
        <v>30073.945874102428</v>
      </c>
      <c r="I68" s="220">
        <f t="shared" ca="1" si="4"/>
        <v>2026</v>
      </c>
      <c r="K68" s="260">
        <f t="shared" ca="1" si="17"/>
        <v>0</v>
      </c>
      <c r="L68" s="253">
        <f ca="1">G68-G74</f>
        <v>17886.113695107677</v>
      </c>
      <c r="M68" s="247">
        <f ca="1">L22-L64</f>
        <v>-17561.293695107677</v>
      </c>
    </row>
    <row r="69" spans="1:13" x14ac:dyDescent="0.25">
      <c r="A69" s="254">
        <f t="shared" si="16"/>
        <v>51</v>
      </c>
      <c r="B69" s="255">
        <f t="shared" ca="1" si="2"/>
        <v>46082</v>
      </c>
      <c r="C69" s="256">
        <f t="shared" si="3"/>
        <v>3047.1172825179469</v>
      </c>
      <c r="D69" s="257">
        <f t="shared" ca="1" si="9"/>
        <v>81.87</v>
      </c>
      <c r="F69" s="257">
        <f t="shared" ca="1" si="10"/>
        <v>0</v>
      </c>
      <c r="G69" s="257">
        <f t="shared" ca="1" si="11"/>
        <v>27108.698591584482</v>
      </c>
      <c r="H69" s="257">
        <f t="shared" ca="1" si="12"/>
        <v>27108.698591584482</v>
      </c>
      <c r="I69" s="220">
        <f t="shared" ca="1" si="4"/>
        <v>2026</v>
      </c>
      <c r="K69" s="260">
        <f t="shared" ca="1" si="17"/>
        <v>0</v>
      </c>
      <c r="L69" s="253">
        <f ca="1">L68+L64</f>
        <v>35447.407390215354</v>
      </c>
    </row>
    <row r="70" spans="1:13" x14ac:dyDescent="0.25">
      <c r="A70" s="254">
        <f t="shared" si="16"/>
        <v>52</v>
      </c>
      <c r="B70" s="255">
        <f t="shared" ca="1" si="2"/>
        <v>46113</v>
      </c>
      <c r="C70" s="256">
        <f t="shared" si="3"/>
        <v>3047.1172825179469</v>
      </c>
      <c r="D70" s="257">
        <f t="shared" ca="1" si="9"/>
        <v>81.7</v>
      </c>
      <c r="F70" s="257">
        <f t="shared" ca="1" si="10"/>
        <v>0</v>
      </c>
      <c r="G70" s="257">
        <f t="shared" ca="1" si="11"/>
        <v>24143.281309066537</v>
      </c>
      <c r="H70" s="257">
        <f t="shared" ca="1" si="12"/>
        <v>24143.281309066537</v>
      </c>
      <c r="I70" s="220">
        <f t="shared" ca="1" si="4"/>
        <v>2026</v>
      </c>
      <c r="K70" s="260">
        <f t="shared" ca="1" si="17"/>
        <v>0</v>
      </c>
    </row>
    <row r="71" spans="1:13" x14ac:dyDescent="0.25">
      <c r="A71" s="254">
        <f t="shared" si="16"/>
        <v>53</v>
      </c>
      <c r="B71" s="255">
        <f t="shared" ca="1" si="2"/>
        <v>46143</v>
      </c>
      <c r="C71" s="256">
        <f t="shared" si="3"/>
        <v>3047.1172825179469</v>
      </c>
      <c r="D71" s="257">
        <f t="shared" ca="1" si="9"/>
        <v>70.42</v>
      </c>
      <c r="F71" s="257">
        <f t="shared" ca="1" si="10"/>
        <v>0</v>
      </c>
      <c r="G71" s="257">
        <f t="shared" ca="1" si="11"/>
        <v>21166.584026548589</v>
      </c>
      <c r="H71" s="257">
        <f t="shared" ca="1" si="12"/>
        <v>21166.584026548589</v>
      </c>
      <c r="I71" s="220">
        <f t="shared" ca="1" si="4"/>
        <v>2026</v>
      </c>
      <c r="K71" s="260">
        <f t="shared" ca="1" si="17"/>
        <v>0</v>
      </c>
    </row>
    <row r="72" spans="1:13" x14ac:dyDescent="0.25">
      <c r="A72" s="254">
        <f t="shared" si="16"/>
        <v>54</v>
      </c>
      <c r="B72" s="255">
        <f t="shared" ca="1" si="2"/>
        <v>46174</v>
      </c>
      <c r="C72" s="256">
        <f t="shared" si="3"/>
        <v>3047.1172825179469</v>
      </c>
      <c r="D72" s="257">
        <f t="shared" ca="1" si="9"/>
        <v>63.79</v>
      </c>
      <c r="F72" s="257">
        <f t="shared" ca="1" si="10"/>
        <v>0</v>
      </c>
      <c r="G72" s="257">
        <f t="shared" ca="1" si="11"/>
        <v>18183.256744030645</v>
      </c>
      <c r="H72" s="257">
        <f t="shared" ca="1" si="12"/>
        <v>18183.256744030645</v>
      </c>
      <c r="I72" s="220">
        <f t="shared" ca="1" si="4"/>
        <v>2026</v>
      </c>
      <c r="K72" s="260">
        <f t="shared" ca="1" si="17"/>
        <v>0</v>
      </c>
    </row>
    <row r="73" spans="1:13" x14ac:dyDescent="0.25">
      <c r="A73" s="254">
        <f t="shared" si="16"/>
        <v>55</v>
      </c>
      <c r="B73" s="255">
        <f t="shared" ca="1" si="2"/>
        <v>46204</v>
      </c>
      <c r="C73" s="256">
        <f t="shared" si="3"/>
        <v>3047.1172825179469</v>
      </c>
      <c r="D73" s="257">
        <f t="shared" ca="1" si="9"/>
        <v>53.03</v>
      </c>
      <c r="F73" s="257">
        <f t="shared" ca="1" si="10"/>
        <v>0</v>
      </c>
      <c r="G73" s="257">
        <f t="shared" ca="1" si="11"/>
        <v>15189.169461512696</v>
      </c>
      <c r="H73" s="257">
        <f t="shared" ca="1" si="12"/>
        <v>15189.169461512696</v>
      </c>
      <c r="I73" s="220">
        <f t="shared" ca="1" si="4"/>
        <v>2026</v>
      </c>
      <c r="K73" s="260">
        <f t="shared" ca="1" si="17"/>
        <v>0</v>
      </c>
    </row>
    <row r="74" spans="1:13" x14ac:dyDescent="0.25">
      <c r="A74" s="254">
        <f t="shared" si="16"/>
        <v>56</v>
      </c>
      <c r="B74" s="255">
        <f t="shared" ca="1" si="2"/>
        <v>46235</v>
      </c>
      <c r="C74" s="256">
        <f t="shared" si="3"/>
        <v>3047.1172825179469</v>
      </c>
      <c r="D74" s="257">
        <f t="shared" ca="1" si="9"/>
        <v>45.78</v>
      </c>
      <c r="F74" s="257">
        <f t="shared" ca="1" si="10"/>
        <v>0</v>
      </c>
      <c r="G74" s="257">
        <f t="shared" ca="1" si="11"/>
        <v>12187.832178994749</v>
      </c>
      <c r="H74" s="257">
        <f t="shared" ca="1" si="12"/>
        <v>12187.832178994749</v>
      </c>
      <c r="I74" s="220">
        <f t="shared" ca="1" si="4"/>
        <v>2026</v>
      </c>
      <c r="K74" s="260">
        <f t="shared" ca="1" si="17"/>
        <v>0</v>
      </c>
    </row>
    <row r="75" spans="1:13" x14ac:dyDescent="0.25">
      <c r="A75" s="254">
        <f t="shared" si="16"/>
        <v>57</v>
      </c>
      <c r="B75" s="255">
        <f t="shared" ca="1" si="2"/>
        <v>46266</v>
      </c>
      <c r="C75" s="256">
        <f t="shared" si="3"/>
        <v>3047.1172825179469</v>
      </c>
      <c r="D75" s="257">
        <f t="shared" ca="1" si="9"/>
        <v>36.729999999999997</v>
      </c>
      <c r="F75" s="257">
        <f t="shared" ca="1" si="10"/>
        <v>0</v>
      </c>
      <c r="G75" s="257">
        <f t="shared" ca="1" si="11"/>
        <v>9177.4448964768017</v>
      </c>
      <c r="H75" s="257">
        <f t="shared" ca="1" si="12"/>
        <v>9177.4448964768017</v>
      </c>
      <c r="I75" s="220">
        <f t="shared" ca="1" si="4"/>
        <v>2026</v>
      </c>
      <c r="K75" s="260">
        <f t="shared" ca="1" si="17"/>
        <v>0</v>
      </c>
    </row>
    <row r="76" spans="1:13" x14ac:dyDescent="0.25">
      <c r="A76" s="254">
        <f t="shared" si="16"/>
        <v>58</v>
      </c>
      <c r="B76" s="255">
        <f t="shared" ca="1" si="2"/>
        <v>46296</v>
      </c>
      <c r="C76" s="256">
        <f t="shared" si="3"/>
        <v>3047.1172825179469</v>
      </c>
      <c r="D76" s="257">
        <f t="shared" ca="1" si="9"/>
        <v>26.77</v>
      </c>
      <c r="F76" s="257">
        <f t="shared" ca="1" si="10"/>
        <v>0</v>
      </c>
      <c r="G76" s="257">
        <f t="shared" ca="1" si="11"/>
        <v>6157.0976139588547</v>
      </c>
      <c r="H76" s="257">
        <f t="shared" ca="1" si="12"/>
        <v>6157.0976139588547</v>
      </c>
      <c r="I76" s="220">
        <f t="shared" ca="1" si="4"/>
        <v>2026</v>
      </c>
      <c r="K76" s="260">
        <f t="shared" ca="1" si="17"/>
        <v>0</v>
      </c>
    </row>
    <row r="77" spans="1:13" x14ac:dyDescent="0.25">
      <c r="A77" s="254">
        <f t="shared" si="16"/>
        <v>59</v>
      </c>
      <c r="B77" s="255">
        <f t="shared" ca="1" si="2"/>
        <v>46327</v>
      </c>
      <c r="C77" s="256">
        <f t="shared" si="3"/>
        <v>3047.1172825179469</v>
      </c>
      <c r="D77" s="257">
        <f t="shared" ca="1" si="9"/>
        <v>18.559999999999999</v>
      </c>
      <c r="F77" s="257">
        <f t="shared" ca="1" si="10"/>
        <v>0</v>
      </c>
      <c r="G77" s="257">
        <f t="shared" ca="1" si="11"/>
        <v>3128.5403314409082</v>
      </c>
      <c r="H77" s="257">
        <f t="shared" ca="1" si="12"/>
        <v>3128.5403314409082</v>
      </c>
      <c r="I77" s="220">
        <f t="shared" ca="1" si="4"/>
        <v>2026</v>
      </c>
      <c r="K77" s="260">
        <f t="shared" ca="1" si="17"/>
        <v>0</v>
      </c>
    </row>
    <row r="78" spans="1:13" x14ac:dyDescent="0.25">
      <c r="A78" s="254">
        <f t="shared" si="16"/>
        <v>60</v>
      </c>
      <c r="B78" s="255">
        <f t="shared" ca="1" si="2"/>
        <v>46357</v>
      </c>
      <c r="C78" s="256">
        <f t="shared" si="3"/>
        <v>3047.1172825179469</v>
      </c>
      <c r="D78" s="257">
        <f t="shared" ca="1" si="9"/>
        <v>9.1199999999999992</v>
      </c>
      <c r="F78" s="257">
        <f t="shared" ca="1" si="10"/>
        <v>0</v>
      </c>
      <c r="G78" s="257">
        <f t="shared" ca="1" si="11"/>
        <v>90.543048922961134</v>
      </c>
      <c r="H78" s="257">
        <f t="shared" ca="1" si="12"/>
        <v>90.543048922961134</v>
      </c>
      <c r="I78" s="220">
        <f t="shared" ca="1" si="4"/>
        <v>2026</v>
      </c>
      <c r="K78" s="260">
        <f t="shared" ca="1" si="17"/>
        <v>0</v>
      </c>
    </row>
    <row r="79" spans="1:13" x14ac:dyDescent="0.25">
      <c r="A79" s="254">
        <f t="shared" si="16"/>
        <v>61</v>
      </c>
      <c r="B79" s="255" t="str">
        <f t="shared" si="2"/>
        <v/>
      </c>
      <c r="C79" s="256">
        <f t="shared" si="3"/>
        <v>3047.1172825179469</v>
      </c>
      <c r="D79" s="257" t="str">
        <f t="shared" si="9"/>
        <v/>
      </c>
      <c r="F79" s="257" t="str">
        <f t="shared" si="10"/>
        <v/>
      </c>
      <c r="G79" s="257" t="str">
        <f t="shared" si="11"/>
        <v/>
      </c>
      <c r="H79" s="257" t="str">
        <f t="shared" si="12"/>
        <v/>
      </c>
      <c r="I79" s="220" t="e">
        <f t="shared" si="4"/>
        <v>#VALUE!</v>
      </c>
      <c r="K79" s="260" t="e">
        <f t="shared" si="17"/>
        <v>#VALUE!</v>
      </c>
    </row>
    <row r="80" spans="1:13" x14ac:dyDescent="0.25">
      <c r="A80" s="254">
        <f t="shared" si="16"/>
        <v>62</v>
      </c>
      <c r="B80" s="255" t="str">
        <f t="shared" si="2"/>
        <v/>
      </c>
      <c r="C80" s="256">
        <f t="shared" si="3"/>
        <v>3047.1172825179469</v>
      </c>
      <c r="D80" s="257" t="str">
        <f t="shared" si="9"/>
        <v/>
      </c>
      <c r="F80" s="257" t="str">
        <f t="shared" si="10"/>
        <v/>
      </c>
      <c r="G80" s="257" t="str">
        <f t="shared" si="11"/>
        <v/>
      </c>
      <c r="H80" s="257" t="str">
        <f t="shared" si="12"/>
        <v/>
      </c>
      <c r="I80" s="220" t="e">
        <f t="shared" si="4"/>
        <v>#VALUE!</v>
      </c>
      <c r="K80" s="260" t="e">
        <f t="shared" si="17"/>
        <v>#VALUE!</v>
      </c>
    </row>
    <row r="81" spans="1:11" x14ac:dyDescent="0.25">
      <c r="A81" s="254">
        <f t="shared" si="16"/>
        <v>63</v>
      </c>
      <c r="B81" s="255" t="str">
        <f t="shared" si="2"/>
        <v/>
      </c>
      <c r="C81" s="256">
        <f t="shared" si="3"/>
        <v>3047.1172825179469</v>
      </c>
      <c r="D81" s="257" t="str">
        <f t="shared" si="9"/>
        <v/>
      </c>
      <c r="F81" s="257" t="str">
        <f t="shared" si="10"/>
        <v/>
      </c>
      <c r="G81" s="257" t="str">
        <f t="shared" si="11"/>
        <v/>
      </c>
      <c r="H81" s="257" t="str">
        <f t="shared" si="12"/>
        <v/>
      </c>
      <c r="I81" s="220" t="e">
        <f t="shared" si="4"/>
        <v>#VALUE!</v>
      </c>
      <c r="K81" s="260" t="e">
        <f t="shared" si="17"/>
        <v>#VALUE!</v>
      </c>
    </row>
    <row r="82" spans="1:11" x14ac:dyDescent="0.25">
      <c r="A82" s="254">
        <f t="shared" si="16"/>
        <v>64</v>
      </c>
      <c r="B82" s="255" t="str">
        <f t="shared" si="2"/>
        <v/>
      </c>
      <c r="C82" s="256">
        <f t="shared" si="3"/>
        <v>3047.1172825179469</v>
      </c>
      <c r="D82" s="257" t="str">
        <f t="shared" si="9"/>
        <v/>
      </c>
      <c r="F82" s="257" t="str">
        <f t="shared" si="10"/>
        <v/>
      </c>
      <c r="G82" s="257" t="str">
        <f t="shared" si="11"/>
        <v/>
      </c>
      <c r="H82" s="257" t="str">
        <f t="shared" si="12"/>
        <v/>
      </c>
      <c r="I82" s="220" t="e">
        <f t="shared" si="4"/>
        <v>#VALUE!</v>
      </c>
      <c r="K82" s="260" t="e">
        <f t="shared" si="17"/>
        <v>#VALUE!</v>
      </c>
    </row>
    <row r="83" spans="1:11" x14ac:dyDescent="0.25">
      <c r="A83" s="254">
        <f t="shared" si="16"/>
        <v>65</v>
      </c>
      <c r="B83" s="255" t="str">
        <f t="shared" si="2"/>
        <v/>
      </c>
      <c r="C83" s="256">
        <f t="shared" si="3"/>
        <v>3047.1172825179469</v>
      </c>
      <c r="D83" s="257" t="str">
        <f t="shared" si="9"/>
        <v/>
      </c>
      <c r="F83" s="257" t="str">
        <f t="shared" si="10"/>
        <v/>
      </c>
      <c r="G83" s="257" t="str">
        <f t="shared" si="11"/>
        <v/>
      </c>
      <c r="H83" s="257" t="str">
        <f t="shared" si="12"/>
        <v/>
      </c>
      <c r="I83" s="220" t="e">
        <f t="shared" si="4"/>
        <v>#VALUE!</v>
      </c>
      <c r="K83" s="260" t="e">
        <f t="shared" si="17"/>
        <v>#VALUE!</v>
      </c>
    </row>
    <row r="84" spans="1:11" x14ac:dyDescent="0.25">
      <c r="A84" s="254">
        <f t="shared" si="16"/>
        <v>66</v>
      </c>
      <c r="B84" s="255" t="str">
        <f t="shared" ref="B84:B147" si="18">IF(A84&gt;$H$11,"",DATE(YEAR(B83),MONTH(B83)+1,1))</f>
        <v/>
      </c>
      <c r="C84" s="256">
        <f t="shared" ref="C84:C147" si="19">IF($H$15=0,-$D$14,IF(OR(A84=$H$11,A84=$H$14),G83+D84+E84,IF(B84="","",ROUND((B84-B83)*($H$9+$H$10*$I$10)*G83,2))))</f>
        <v>3047.1172825179469</v>
      </c>
      <c r="D84" s="257" t="str">
        <f t="shared" si="9"/>
        <v/>
      </c>
      <c r="F84" s="257" t="str">
        <f t="shared" si="10"/>
        <v/>
      </c>
      <c r="G84" s="257" t="str">
        <f t="shared" si="11"/>
        <v/>
      </c>
      <c r="H84" s="257" t="str">
        <f t="shared" si="12"/>
        <v/>
      </c>
      <c r="I84" s="220" t="e">
        <f t="shared" ref="I84:I147" si="20">YEAR(B84)</f>
        <v>#VALUE!</v>
      </c>
      <c r="K84" s="260" t="e">
        <f t="shared" si="17"/>
        <v>#VALUE!</v>
      </c>
    </row>
    <row r="85" spans="1:11" x14ac:dyDescent="0.25">
      <c r="A85" s="254">
        <f t="shared" si="16"/>
        <v>67</v>
      </c>
      <c r="B85" s="255" t="str">
        <f t="shared" si="18"/>
        <v/>
      </c>
      <c r="C85" s="256">
        <f t="shared" si="19"/>
        <v>3047.1172825179469</v>
      </c>
      <c r="D85" s="257" t="str">
        <f t="shared" si="9"/>
        <v/>
      </c>
      <c r="F85" s="257" t="str">
        <f t="shared" si="10"/>
        <v/>
      </c>
      <c r="G85" s="257" t="str">
        <f t="shared" si="11"/>
        <v/>
      </c>
      <c r="H85" s="257" t="str">
        <f t="shared" si="12"/>
        <v/>
      </c>
      <c r="I85" s="220" t="e">
        <f t="shared" si="20"/>
        <v>#VALUE!</v>
      </c>
      <c r="K85" s="260" t="e">
        <f t="shared" si="17"/>
        <v>#VALUE!</v>
      </c>
    </row>
    <row r="86" spans="1:11" x14ac:dyDescent="0.25">
      <c r="A86" s="254">
        <f t="shared" si="16"/>
        <v>68</v>
      </c>
      <c r="B86" s="255" t="str">
        <f t="shared" si="18"/>
        <v/>
      </c>
      <c r="C86" s="256">
        <f t="shared" si="19"/>
        <v>3047.1172825179469</v>
      </c>
      <c r="D86" s="257" t="str">
        <f t="shared" si="9"/>
        <v/>
      </c>
      <c r="F86" s="257" t="str">
        <f t="shared" si="10"/>
        <v/>
      </c>
      <c r="G86" s="257" t="str">
        <f t="shared" si="11"/>
        <v/>
      </c>
      <c r="H86" s="257" t="str">
        <f t="shared" si="12"/>
        <v/>
      </c>
      <c r="I86" s="220" t="e">
        <f t="shared" si="20"/>
        <v>#VALUE!</v>
      </c>
      <c r="K86" s="260" t="e">
        <f t="shared" si="17"/>
        <v>#VALUE!</v>
      </c>
    </row>
    <row r="87" spans="1:11" x14ac:dyDescent="0.25">
      <c r="A87" s="254">
        <f t="shared" si="16"/>
        <v>69</v>
      </c>
      <c r="B87" s="255" t="str">
        <f t="shared" si="18"/>
        <v/>
      </c>
      <c r="C87" s="256">
        <f t="shared" si="19"/>
        <v>3047.1172825179469</v>
      </c>
      <c r="D87" s="257" t="str">
        <f t="shared" ref="D87:D150" si="21">IF(B87="","",ROUND((B87-B86)*$H$9*G86,2))</f>
        <v/>
      </c>
      <c r="F87" s="257" t="str">
        <f t="shared" ref="F87:F150" si="22">IF(B87="","",IF(C87&gt;F86+D87,0,F86+D87-C87))</f>
        <v/>
      </c>
      <c r="G87" s="257" t="str">
        <f t="shared" ref="G87:G150" si="23">IF(B87="","",IF(C87&gt;D87+F86,G86+F86+D87-C87,G86))</f>
        <v/>
      </c>
      <c r="H87" s="257" t="str">
        <f t="shared" ref="H87:H150" si="24">IF(B87="","",G87+F87)</f>
        <v/>
      </c>
      <c r="I87" s="220" t="e">
        <f t="shared" si="20"/>
        <v>#VALUE!</v>
      </c>
      <c r="K87" s="260" t="e">
        <f t="shared" si="17"/>
        <v>#VALUE!</v>
      </c>
    </row>
    <row r="88" spans="1:11" x14ac:dyDescent="0.25">
      <c r="A88" s="254">
        <f t="shared" si="16"/>
        <v>70</v>
      </c>
      <c r="B88" s="255" t="str">
        <f t="shared" si="18"/>
        <v/>
      </c>
      <c r="C88" s="256">
        <f t="shared" si="19"/>
        <v>3047.1172825179469</v>
      </c>
      <c r="D88" s="257" t="str">
        <f t="shared" si="21"/>
        <v/>
      </c>
      <c r="F88" s="257" t="str">
        <f t="shared" si="22"/>
        <v/>
      </c>
      <c r="G88" s="257" t="str">
        <f t="shared" si="23"/>
        <v/>
      </c>
      <c r="H88" s="257" t="str">
        <f t="shared" si="24"/>
        <v/>
      </c>
      <c r="I88" s="220" t="e">
        <f t="shared" si="20"/>
        <v>#VALUE!</v>
      </c>
      <c r="K88" s="260" t="e">
        <f t="shared" si="17"/>
        <v>#VALUE!</v>
      </c>
    </row>
    <row r="89" spans="1:11" x14ac:dyDescent="0.25">
      <c r="A89" s="254">
        <f t="shared" si="16"/>
        <v>71</v>
      </c>
      <c r="B89" s="255" t="str">
        <f t="shared" si="18"/>
        <v/>
      </c>
      <c r="C89" s="256">
        <f t="shared" si="19"/>
        <v>3047.1172825179469</v>
      </c>
      <c r="D89" s="257" t="str">
        <f t="shared" si="21"/>
        <v/>
      </c>
      <c r="F89" s="257" t="str">
        <f t="shared" si="22"/>
        <v/>
      </c>
      <c r="G89" s="257" t="str">
        <f t="shared" si="23"/>
        <v/>
      </c>
      <c r="H89" s="257" t="str">
        <f t="shared" si="24"/>
        <v/>
      </c>
      <c r="I89" s="220" t="e">
        <f t="shared" si="20"/>
        <v>#VALUE!</v>
      </c>
      <c r="K89" s="260" t="e">
        <f t="shared" si="17"/>
        <v>#VALUE!</v>
      </c>
    </row>
    <row r="90" spans="1:11" x14ac:dyDescent="0.25">
      <c r="A90" s="254">
        <f t="shared" si="16"/>
        <v>72</v>
      </c>
      <c r="B90" s="255" t="str">
        <f t="shared" si="18"/>
        <v/>
      </c>
      <c r="C90" s="256">
        <f t="shared" si="19"/>
        <v>3047.1172825179469</v>
      </c>
      <c r="D90" s="257" t="str">
        <f t="shared" si="21"/>
        <v/>
      </c>
      <c r="F90" s="257" t="str">
        <f t="shared" si="22"/>
        <v/>
      </c>
      <c r="G90" s="257" t="str">
        <f t="shared" si="23"/>
        <v/>
      </c>
      <c r="H90" s="257" t="str">
        <f t="shared" si="24"/>
        <v/>
      </c>
      <c r="I90" s="220" t="e">
        <f t="shared" si="20"/>
        <v>#VALUE!</v>
      </c>
      <c r="K90" s="260" t="e">
        <f t="shared" si="17"/>
        <v>#VALUE!</v>
      </c>
    </row>
    <row r="91" spans="1:11" x14ac:dyDescent="0.25">
      <c r="A91" s="254">
        <f t="shared" si="16"/>
        <v>73</v>
      </c>
      <c r="B91" s="255" t="str">
        <f t="shared" si="18"/>
        <v/>
      </c>
      <c r="C91" s="256">
        <f t="shared" si="19"/>
        <v>3047.1172825179469</v>
      </c>
      <c r="D91" s="257" t="str">
        <f t="shared" si="21"/>
        <v/>
      </c>
      <c r="F91" s="257" t="str">
        <f t="shared" si="22"/>
        <v/>
      </c>
      <c r="G91" s="257" t="str">
        <f t="shared" si="23"/>
        <v/>
      </c>
      <c r="H91" s="257" t="str">
        <f t="shared" si="24"/>
        <v/>
      </c>
      <c r="I91" s="220" t="e">
        <f t="shared" si="20"/>
        <v>#VALUE!</v>
      </c>
      <c r="K91" s="260" t="e">
        <f t="shared" si="17"/>
        <v>#VALUE!</v>
      </c>
    </row>
    <row r="92" spans="1:11" x14ac:dyDescent="0.25">
      <c r="A92" s="254">
        <f t="shared" si="16"/>
        <v>74</v>
      </c>
      <c r="B92" s="255" t="str">
        <f t="shared" si="18"/>
        <v/>
      </c>
      <c r="C92" s="256">
        <f t="shared" si="19"/>
        <v>3047.1172825179469</v>
      </c>
      <c r="D92" s="257" t="str">
        <f t="shared" si="21"/>
        <v/>
      </c>
      <c r="F92" s="257" t="str">
        <f t="shared" si="22"/>
        <v/>
      </c>
      <c r="G92" s="257" t="str">
        <f t="shared" si="23"/>
        <v/>
      </c>
      <c r="H92" s="257" t="str">
        <f t="shared" si="24"/>
        <v/>
      </c>
      <c r="I92" s="220" t="e">
        <f t="shared" si="20"/>
        <v>#VALUE!</v>
      </c>
      <c r="K92" s="260" t="e">
        <f t="shared" si="17"/>
        <v>#VALUE!</v>
      </c>
    </row>
    <row r="93" spans="1:11" x14ac:dyDescent="0.25">
      <c r="A93" s="254">
        <f t="shared" si="16"/>
        <v>75</v>
      </c>
      <c r="B93" s="255" t="str">
        <f t="shared" si="18"/>
        <v/>
      </c>
      <c r="C93" s="256">
        <f t="shared" si="19"/>
        <v>3047.1172825179469</v>
      </c>
      <c r="D93" s="257" t="str">
        <f t="shared" si="21"/>
        <v/>
      </c>
      <c r="F93" s="257" t="str">
        <f t="shared" si="22"/>
        <v/>
      </c>
      <c r="G93" s="257" t="str">
        <f t="shared" si="23"/>
        <v/>
      </c>
      <c r="H93" s="257" t="str">
        <f t="shared" si="24"/>
        <v/>
      </c>
      <c r="I93" s="220" t="e">
        <f t="shared" si="20"/>
        <v>#VALUE!</v>
      </c>
      <c r="K93" s="260" t="e">
        <f t="shared" si="17"/>
        <v>#VALUE!</v>
      </c>
    </row>
    <row r="94" spans="1:11" x14ac:dyDescent="0.25">
      <c r="A94" s="254">
        <f t="shared" si="16"/>
        <v>76</v>
      </c>
      <c r="B94" s="255" t="str">
        <f t="shared" si="18"/>
        <v/>
      </c>
      <c r="C94" s="256">
        <f t="shared" si="19"/>
        <v>3047.1172825179469</v>
      </c>
      <c r="D94" s="257" t="str">
        <f t="shared" si="21"/>
        <v/>
      </c>
      <c r="F94" s="257" t="str">
        <f t="shared" si="22"/>
        <v/>
      </c>
      <c r="G94" s="257" t="str">
        <f t="shared" si="23"/>
        <v/>
      </c>
      <c r="H94" s="257" t="str">
        <f t="shared" si="24"/>
        <v/>
      </c>
      <c r="I94" s="220" t="e">
        <f t="shared" si="20"/>
        <v>#VALUE!</v>
      </c>
      <c r="K94" s="260" t="e">
        <f t="shared" si="17"/>
        <v>#VALUE!</v>
      </c>
    </row>
    <row r="95" spans="1:11" x14ac:dyDescent="0.25">
      <c r="A95" s="254">
        <f t="shared" si="16"/>
        <v>77</v>
      </c>
      <c r="B95" s="255" t="str">
        <f t="shared" si="18"/>
        <v/>
      </c>
      <c r="C95" s="256">
        <f t="shared" si="19"/>
        <v>3047.1172825179469</v>
      </c>
      <c r="D95" s="257" t="str">
        <f t="shared" si="21"/>
        <v/>
      </c>
      <c r="F95" s="257" t="str">
        <f t="shared" si="22"/>
        <v/>
      </c>
      <c r="G95" s="257" t="str">
        <f t="shared" si="23"/>
        <v/>
      </c>
      <c r="H95" s="257" t="str">
        <f t="shared" si="24"/>
        <v/>
      </c>
      <c r="I95" s="220" t="e">
        <f t="shared" si="20"/>
        <v>#VALUE!</v>
      </c>
      <c r="K95" s="260" t="e">
        <f t="shared" si="17"/>
        <v>#VALUE!</v>
      </c>
    </row>
    <row r="96" spans="1:11" x14ac:dyDescent="0.25">
      <c r="A96" s="254">
        <f t="shared" si="16"/>
        <v>78</v>
      </c>
      <c r="B96" s="255" t="str">
        <f t="shared" si="18"/>
        <v/>
      </c>
      <c r="C96" s="256">
        <f t="shared" si="19"/>
        <v>3047.1172825179469</v>
      </c>
      <c r="D96" s="257" t="str">
        <f t="shared" si="21"/>
        <v/>
      </c>
      <c r="F96" s="257" t="str">
        <f t="shared" si="22"/>
        <v/>
      </c>
      <c r="G96" s="257" t="str">
        <f t="shared" si="23"/>
        <v/>
      </c>
      <c r="H96" s="257" t="str">
        <f t="shared" si="24"/>
        <v/>
      </c>
      <c r="I96" s="220" t="e">
        <f t="shared" si="20"/>
        <v>#VALUE!</v>
      </c>
      <c r="K96" s="260" t="e">
        <f t="shared" si="17"/>
        <v>#VALUE!</v>
      </c>
    </row>
    <row r="97" spans="1:11" x14ac:dyDescent="0.25">
      <c r="A97" s="254">
        <f t="shared" si="16"/>
        <v>79</v>
      </c>
      <c r="B97" s="255" t="str">
        <f t="shared" si="18"/>
        <v/>
      </c>
      <c r="C97" s="256">
        <f t="shared" si="19"/>
        <v>3047.1172825179469</v>
      </c>
      <c r="D97" s="257" t="str">
        <f t="shared" si="21"/>
        <v/>
      </c>
      <c r="F97" s="257" t="str">
        <f t="shared" si="22"/>
        <v/>
      </c>
      <c r="G97" s="257" t="str">
        <f t="shared" si="23"/>
        <v/>
      </c>
      <c r="H97" s="257" t="str">
        <f t="shared" si="24"/>
        <v/>
      </c>
      <c r="I97" s="220" t="e">
        <f t="shared" si="20"/>
        <v>#VALUE!</v>
      </c>
      <c r="K97" s="260" t="e">
        <f t="shared" si="17"/>
        <v>#VALUE!</v>
      </c>
    </row>
    <row r="98" spans="1:11" x14ac:dyDescent="0.25">
      <c r="A98" s="254">
        <f t="shared" si="16"/>
        <v>80</v>
      </c>
      <c r="B98" s="255" t="str">
        <f t="shared" si="18"/>
        <v/>
      </c>
      <c r="C98" s="256">
        <f t="shared" si="19"/>
        <v>3047.1172825179469</v>
      </c>
      <c r="D98" s="257" t="str">
        <f t="shared" si="21"/>
        <v/>
      </c>
      <c r="F98" s="257" t="str">
        <f t="shared" si="22"/>
        <v/>
      </c>
      <c r="G98" s="257" t="str">
        <f t="shared" si="23"/>
        <v/>
      </c>
      <c r="H98" s="257" t="str">
        <f t="shared" si="24"/>
        <v/>
      </c>
      <c r="I98" s="220" t="e">
        <f t="shared" si="20"/>
        <v>#VALUE!</v>
      </c>
      <c r="K98" s="260" t="e">
        <f t="shared" si="17"/>
        <v>#VALUE!</v>
      </c>
    </row>
    <row r="99" spans="1:11" x14ac:dyDescent="0.25">
      <c r="A99" s="254">
        <f t="shared" si="16"/>
        <v>81</v>
      </c>
      <c r="B99" s="255" t="str">
        <f t="shared" si="18"/>
        <v/>
      </c>
      <c r="C99" s="256">
        <f t="shared" si="19"/>
        <v>3047.1172825179469</v>
      </c>
      <c r="D99" s="257" t="str">
        <f t="shared" si="21"/>
        <v/>
      </c>
      <c r="F99" s="257" t="str">
        <f t="shared" si="22"/>
        <v/>
      </c>
      <c r="G99" s="257" t="str">
        <f t="shared" si="23"/>
        <v/>
      </c>
      <c r="H99" s="257" t="str">
        <f t="shared" si="24"/>
        <v/>
      </c>
      <c r="I99" s="220" t="e">
        <f t="shared" si="20"/>
        <v>#VALUE!</v>
      </c>
      <c r="K99" s="260" t="e">
        <f t="shared" si="17"/>
        <v>#VALUE!</v>
      </c>
    </row>
    <row r="100" spans="1:11" x14ac:dyDescent="0.25">
      <c r="A100" s="254">
        <f t="shared" si="16"/>
        <v>82</v>
      </c>
      <c r="B100" s="255" t="str">
        <f t="shared" si="18"/>
        <v/>
      </c>
      <c r="C100" s="256">
        <f t="shared" si="19"/>
        <v>3047.1172825179469</v>
      </c>
      <c r="D100" s="257" t="str">
        <f t="shared" si="21"/>
        <v/>
      </c>
      <c r="F100" s="257" t="str">
        <f t="shared" si="22"/>
        <v/>
      </c>
      <c r="G100" s="257" t="str">
        <f t="shared" si="23"/>
        <v/>
      </c>
      <c r="H100" s="257" t="str">
        <f t="shared" si="24"/>
        <v/>
      </c>
      <c r="I100" s="220" t="e">
        <f t="shared" si="20"/>
        <v>#VALUE!</v>
      </c>
      <c r="K100" s="260" t="e">
        <f t="shared" si="17"/>
        <v>#VALUE!</v>
      </c>
    </row>
    <row r="101" spans="1:11" x14ac:dyDescent="0.25">
      <c r="A101" s="254">
        <f t="shared" si="16"/>
        <v>83</v>
      </c>
      <c r="B101" s="255" t="str">
        <f t="shared" si="18"/>
        <v/>
      </c>
      <c r="C101" s="256">
        <f t="shared" si="19"/>
        <v>3047.1172825179469</v>
      </c>
      <c r="D101" s="257" t="str">
        <f t="shared" si="21"/>
        <v/>
      </c>
      <c r="F101" s="257" t="str">
        <f t="shared" si="22"/>
        <v/>
      </c>
      <c r="G101" s="257" t="str">
        <f t="shared" si="23"/>
        <v/>
      </c>
      <c r="H101" s="257" t="str">
        <f t="shared" si="24"/>
        <v/>
      </c>
      <c r="I101" s="220" t="e">
        <f t="shared" si="20"/>
        <v>#VALUE!</v>
      </c>
      <c r="K101" s="260" t="e">
        <f t="shared" si="17"/>
        <v>#VALUE!</v>
      </c>
    </row>
    <row r="102" spans="1:11" x14ac:dyDescent="0.25">
      <c r="A102" s="254">
        <f t="shared" si="16"/>
        <v>84</v>
      </c>
      <c r="B102" s="255" t="str">
        <f t="shared" si="18"/>
        <v/>
      </c>
      <c r="C102" s="256">
        <f t="shared" si="19"/>
        <v>3047.1172825179469</v>
      </c>
      <c r="D102" s="257" t="str">
        <f t="shared" si="21"/>
        <v/>
      </c>
      <c r="F102" s="257" t="str">
        <f t="shared" si="22"/>
        <v/>
      </c>
      <c r="G102" s="257" t="str">
        <f t="shared" si="23"/>
        <v/>
      </c>
      <c r="H102" s="257" t="str">
        <f t="shared" si="24"/>
        <v/>
      </c>
      <c r="I102" s="220" t="e">
        <f t="shared" si="20"/>
        <v>#VALUE!</v>
      </c>
      <c r="K102" s="260" t="e">
        <f t="shared" si="17"/>
        <v>#VALUE!</v>
      </c>
    </row>
    <row r="103" spans="1:11" x14ac:dyDescent="0.25">
      <c r="A103" s="254">
        <f t="shared" si="16"/>
        <v>85</v>
      </c>
      <c r="B103" s="255" t="str">
        <f t="shared" si="18"/>
        <v/>
      </c>
      <c r="C103" s="256">
        <f t="shared" si="19"/>
        <v>3047.1172825179469</v>
      </c>
      <c r="D103" s="257" t="str">
        <f t="shared" si="21"/>
        <v/>
      </c>
      <c r="F103" s="257" t="str">
        <f t="shared" si="22"/>
        <v/>
      </c>
      <c r="G103" s="257" t="str">
        <f t="shared" si="23"/>
        <v/>
      </c>
      <c r="H103" s="257" t="str">
        <f t="shared" si="24"/>
        <v/>
      </c>
      <c r="I103" s="220" t="e">
        <f t="shared" si="20"/>
        <v>#VALUE!</v>
      </c>
      <c r="K103" s="260" t="e">
        <f t="shared" si="17"/>
        <v>#VALUE!</v>
      </c>
    </row>
    <row r="104" spans="1:11" x14ac:dyDescent="0.25">
      <c r="A104" s="254">
        <f t="shared" si="16"/>
        <v>86</v>
      </c>
      <c r="B104" s="255" t="str">
        <f t="shared" si="18"/>
        <v/>
      </c>
      <c r="C104" s="256">
        <f t="shared" si="19"/>
        <v>3047.1172825179469</v>
      </c>
      <c r="D104" s="257" t="str">
        <f t="shared" si="21"/>
        <v/>
      </c>
      <c r="F104" s="257" t="str">
        <f t="shared" si="22"/>
        <v/>
      </c>
      <c r="G104" s="257" t="str">
        <f t="shared" si="23"/>
        <v/>
      </c>
      <c r="H104" s="257" t="str">
        <f t="shared" si="24"/>
        <v/>
      </c>
      <c r="I104" s="220" t="e">
        <f t="shared" si="20"/>
        <v>#VALUE!</v>
      </c>
      <c r="K104" s="260" t="e">
        <f t="shared" si="17"/>
        <v>#VALUE!</v>
      </c>
    </row>
    <row r="105" spans="1:11" x14ac:dyDescent="0.25">
      <c r="A105" s="254">
        <f t="shared" si="16"/>
        <v>87</v>
      </c>
      <c r="B105" s="255" t="str">
        <f t="shared" si="18"/>
        <v/>
      </c>
      <c r="C105" s="256">
        <f t="shared" si="19"/>
        <v>3047.1172825179469</v>
      </c>
      <c r="D105" s="257" t="str">
        <f t="shared" si="21"/>
        <v/>
      </c>
      <c r="F105" s="257" t="str">
        <f t="shared" si="22"/>
        <v/>
      </c>
      <c r="G105" s="257" t="str">
        <f t="shared" si="23"/>
        <v/>
      </c>
      <c r="H105" s="257" t="str">
        <f t="shared" si="24"/>
        <v/>
      </c>
      <c r="I105" s="220" t="e">
        <f t="shared" si="20"/>
        <v>#VALUE!</v>
      </c>
      <c r="K105" s="260" t="e">
        <f t="shared" si="17"/>
        <v>#VALUE!</v>
      </c>
    </row>
    <row r="106" spans="1:11" x14ac:dyDescent="0.25">
      <c r="A106" s="254">
        <f t="shared" si="16"/>
        <v>88</v>
      </c>
      <c r="B106" s="255" t="str">
        <f t="shared" si="18"/>
        <v/>
      </c>
      <c r="C106" s="256">
        <f t="shared" si="19"/>
        <v>3047.1172825179469</v>
      </c>
      <c r="D106" s="257" t="str">
        <f t="shared" si="21"/>
        <v/>
      </c>
      <c r="F106" s="257" t="str">
        <f t="shared" si="22"/>
        <v/>
      </c>
      <c r="G106" s="257" t="str">
        <f t="shared" si="23"/>
        <v/>
      </c>
      <c r="H106" s="257" t="str">
        <f t="shared" si="24"/>
        <v/>
      </c>
      <c r="I106" s="220" t="e">
        <f t="shared" si="20"/>
        <v>#VALUE!</v>
      </c>
      <c r="K106" s="260" t="e">
        <f t="shared" si="17"/>
        <v>#VALUE!</v>
      </c>
    </row>
    <row r="107" spans="1:11" x14ac:dyDescent="0.25">
      <c r="A107" s="254">
        <f t="shared" si="16"/>
        <v>89</v>
      </c>
      <c r="B107" s="255" t="str">
        <f t="shared" si="18"/>
        <v/>
      </c>
      <c r="C107" s="256">
        <f t="shared" si="19"/>
        <v>3047.1172825179469</v>
      </c>
      <c r="D107" s="257" t="str">
        <f t="shared" si="21"/>
        <v/>
      </c>
      <c r="F107" s="257" t="str">
        <f t="shared" si="22"/>
        <v/>
      </c>
      <c r="G107" s="257" t="str">
        <f t="shared" si="23"/>
        <v/>
      </c>
      <c r="H107" s="257" t="str">
        <f t="shared" si="24"/>
        <v/>
      </c>
      <c r="I107" s="220" t="e">
        <f t="shared" si="20"/>
        <v>#VALUE!</v>
      </c>
      <c r="K107" s="260" t="e">
        <f t="shared" si="17"/>
        <v>#VALUE!</v>
      </c>
    </row>
    <row r="108" spans="1:11" x14ac:dyDescent="0.25">
      <c r="A108" s="254">
        <f t="shared" si="16"/>
        <v>90</v>
      </c>
      <c r="B108" s="255" t="str">
        <f t="shared" si="18"/>
        <v/>
      </c>
      <c r="C108" s="256">
        <f t="shared" si="19"/>
        <v>3047.1172825179469</v>
      </c>
      <c r="D108" s="257" t="str">
        <f t="shared" si="21"/>
        <v/>
      </c>
      <c r="F108" s="257" t="str">
        <f t="shared" si="22"/>
        <v/>
      </c>
      <c r="G108" s="257" t="str">
        <f t="shared" si="23"/>
        <v/>
      </c>
      <c r="H108" s="257" t="str">
        <f t="shared" si="24"/>
        <v/>
      </c>
      <c r="I108" s="220" t="e">
        <f t="shared" si="20"/>
        <v>#VALUE!</v>
      </c>
      <c r="K108" s="260" t="e">
        <f t="shared" si="17"/>
        <v>#VALUE!</v>
      </c>
    </row>
    <row r="109" spans="1:11" x14ac:dyDescent="0.25">
      <c r="A109" s="254">
        <f t="shared" si="16"/>
        <v>91</v>
      </c>
      <c r="B109" s="255" t="str">
        <f t="shared" si="18"/>
        <v/>
      </c>
      <c r="C109" s="256">
        <f t="shared" si="19"/>
        <v>3047.1172825179469</v>
      </c>
      <c r="D109" s="257" t="str">
        <f t="shared" si="21"/>
        <v/>
      </c>
      <c r="F109" s="257" t="str">
        <f t="shared" si="22"/>
        <v/>
      </c>
      <c r="G109" s="257" t="str">
        <f t="shared" si="23"/>
        <v/>
      </c>
      <c r="H109" s="257" t="str">
        <f t="shared" si="24"/>
        <v/>
      </c>
      <c r="I109" s="220" t="e">
        <f t="shared" si="20"/>
        <v>#VALUE!</v>
      </c>
      <c r="K109" s="260" t="e">
        <f t="shared" si="17"/>
        <v>#VALUE!</v>
      </c>
    </row>
    <row r="110" spans="1:11" x14ac:dyDescent="0.25">
      <c r="A110" s="254">
        <f t="shared" si="16"/>
        <v>92</v>
      </c>
      <c r="B110" s="255" t="str">
        <f t="shared" si="18"/>
        <v/>
      </c>
      <c r="C110" s="256">
        <f t="shared" si="19"/>
        <v>3047.1172825179469</v>
      </c>
      <c r="D110" s="257" t="str">
        <f t="shared" si="21"/>
        <v/>
      </c>
      <c r="F110" s="257" t="str">
        <f t="shared" si="22"/>
        <v/>
      </c>
      <c r="G110" s="257" t="str">
        <f t="shared" si="23"/>
        <v/>
      </c>
      <c r="H110" s="257" t="str">
        <f t="shared" si="24"/>
        <v/>
      </c>
      <c r="I110" s="220" t="e">
        <f t="shared" si="20"/>
        <v>#VALUE!</v>
      </c>
      <c r="K110" s="260" t="e">
        <f t="shared" si="17"/>
        <v>#VALUE!</v>
      </c>
    </row>
    <row r="111" spans="1:11" x14ac:dyDescent="0.25">
      <c r="A111" s="254">
        <f t="shared" si="16"/>
        <v>93</v>
      </c>
      <c r="B111" s="255" t="str">
        <f t="shared" si="18"/>
        <v/>
      </c>
      <c r="C111" s="256">
        <f t="shared" si="19"/>
        <v>3047.1172825179469</v>
      </c>
      <c r="D111" s="257" t="str">
        <f t="shared" si="21"/>
        <v/>
      </c>
      <c r="F111" s="257" t="str">
        <f t="shared" si="22"/>
        <v/>
      </c>
      <c r="G111" s="257" t="str">
        <f t="shared" si="23"/>
        <v/>
      </c>
      <c r="H111" s="257" t="str">
        <f t="shared" si="24"/>
        <v/>
      </c>
      <c r="I111" s="220" t="e">
        <f t="shared" si="20"/>
        <v>#VALUE!</v>
      </c>
      <c r="K111" s="260" t="e">
        <f t="shared" si="17"/>
        <v>#VALUE!</v>
      </c>
    </row>
    <row r="112" spans="1:11" x14ac:dyDescent="0.25">
      <c r="A112" s="254">
        <f t="shared" si="16"/>
        <v>94</v>
      </c>
      <c r="B112" s="255" t="str">
        <f t="shared" si="18"/>
        <v/>
      </c>
      <c r="C112" s="256">
        <f t="shared" si="19"/>
        <v>3047.1172825179469</v>
      </c>
      <c r="D112" s="257" t="str">
        <f t="shared" si="21"/>
        <v/>
      </c>
      <c r="F112" s="257" t="str">
        <f t="shared" si="22"/>
        <v/>
      </c>
      <c r="G112" s="257" t="str">
        <f t="shared" si="23"/>
        <v/>
      </c>
      <c r="H112" s="257" t="str">
        <f t="shared" si="24"/>
        <v/>
      </c>
      <c r="I112" s="220" t="e">
        <f t="shared" si="20"/>
        <v>#VALUE!</v>
      </c>
      <c r="K112" s="260" t="e">
        <f t="shared" si="17"/>
        <v>#VALUE!</v>
      </c>
    </row>
    <row r="113" spans="1:11" x14ac:dyDescent="0.25">
      <c r="A113" s="254">
        <f t="shared" si="16"/>
        <v>95</v>
      </c>
      <c r="B113" s="255" t="str">
        <f t="shared" si="18"/>
        <v/>
      </c>
      <c r="C113" s="256">
        <f t="shared" si="19"/>
        <v>3047.1172825179469</v>
      </c>
      <c r="D113" s="257" t="str">
        <f t="shared" si="21"/>
        <v/>
      </c>
      <c r="F113" s="257" t="str">
        <f t="shared" si="22"/>
        <v/>
      </c>
      <c r="G113" s="257" t="str">
        <f t="shared" si="23"/>
        <v/>
      </c>
      <c r="H113" s="257" t="str">
        <f t="shared" si="24"/>
        <v/>
      </c>
      <c r="I113" s="220" t="e">
        <f t="shared" si="20"/>
        <v>#VALUE!</v>
      </c>
      <c r="K113" s="260" t="e">
        <f t="shared" si="17"/>
        <v>#VALUE!</v>
      </c>
    </row>
    <row r="114" spans="1:11" x14ac:dyDescent="0.25">
      <c r="A114" s="254">
        <f t="shared" si="16"/>
        <v>96</v>
      </c>
      <c r="B114" s="255" t="str">
        <f t="shared" si="18"/>
        <v/>
      </c>
      <c r="C114" s="256">
        <f t="shared" si="19"/>
        <v>3047.1172825179469</v>
      </c>
      <c r="D114" s="257" t="str">
        <f t="shared" si="21"/>
        <v/>
      </c>
      <c r="F114" s="257" t="str">
        <f t="shared" si="22"/>
        <v/>
      </c>
      <c r="G114" s="257" t="str">
        <f t="shared" si="23"/>
        <v/>
      </c>
      <c r="H114" s="257" t="str">
        <f t="shared" si="24"/>
        <v/>
      </c>
      <c r="I114" s="220" t="e">
        <f t="shared" si="20"/>
        <v>#VALUE!</v>
      </c>
      <c r="K114" s="260" t="e">
        <f t="shared" si="17"/>
        <v>#VALUE!</v>
      </c>
    </row>
    <row r="115" spans="1:11" x14ac:dyDescent="0.25">
      <c r="A115" s="254">
        <f t="shared" si="16"/>
        <v>97</v>
      </c>
      <c r="B115" s="255" t="str">
        <f t="shared" si="18"/>
        <v/>
      </c>
      <c r="C115" s="256">
        <f t="shared" si="19"/>
        <v>3047.1172825179469</v>
      </c>
      <c r="D115" s="257" t="str">
        <f t="shared" si="21"/>
        <v/>
      </c>
      <c r="F115" s="257" t="str">
        <f t="shared" si="22"/>
        <v/>
      </c>
      <c r="G115" s="257" t="str">
        <f t="shared" si="23"/>
        <v/>
      </c>
      <c r="H115" s="257" t="str">
        <f t="shared" si="24"/>
        <v/>
      </c>
      <c r="I115" s="220" t="e">
        <f t="shared" si="20"/>
        <v>#VALUE!</v>
      </c>
      <c r="K115" s="260" t="e">
        <f t="shared" si="17"/>
        <v>#VALUE!</v>
      </c>
    </row>
    <row r="116" spans="1:11" x14ac:dyDescent="0.25">
      <c r="A116" s="254">
        <f t="shared" si="16"/>
        <v>98</v>
      </c>
      <c r="B116" s="255" t="str">
        <f t="shared" si="18"/>
        <v/>
      </c>
      <c r="C116" s="256">
        <f t="shared" si="19"/>
        <v>3047.1172825179469</v>
      </c>
      <c r="D116" s="257" t="str">
        <f t="shared" si="21"/>
        <v/>
      </c>
      <c r="F116" s="257" t="str">
        <f t="shared" si="22"/>
        <v/>
      </c>
      <c r="G116" s="257" t="str">
        <f t="shared" si="23"/>
        <v/>
      </c>
      <c r="H116" s="257" t="str">
        <f t="shared" si="24"/>
        <v/>
      </c>
      <c r="I116" s="220" t="e">
        <f t="shared" si="20"/>
        <v>#VALUE!</v>
      </c>
      <c r="K116" s="260" t="e">
        <f t="shared" si="17"/>
        <v>#VALUE!</v>
      </c>
    </row>
    <row r="117" spans="1:11" x14ac:dyDescent="0.25">
      <c r="A117" s="254">
        <f t="shared" si="16"/>
        <v>99</v>
      </c>
      <c r="B117" s="255" t="str">
        <f t="shared" si="18"/>
        <v/>
      </c>
      <c r="C117" s="256">
        <f t="shared" si="19"/>
        <v>3047.1172825179469</v>
      </c>
      <c r="D117" s="257" t="str">
        <f t="shared" si="21"/>
        <v/>
      </c>
      <c r="F117" s="257" t="str">
        <f t="shared" si="22"/>
        <v/>
      </c>
      <c r="G117" s="257" t="str">
        <f t="shared" si="23"/>
        <v/>
      </c>
      <c r="H117" s="257" t="str">
        <f t="shared" si="24"/>
        <v/>
      </c>
      <c r="I117" s="220" t="e">
        <f t="shared" si="20"/>
        <v>#VALUE!</v>
      </c>
      <c r="K117" s="260" t="e">
        <f t="shared" si="17"/>
        <v>#VALUE!</v>
      </c>
    </row>
    <row r="118" spans="1:11" x14ac:dyDescent="0.25">
      <c r="A118" s="254">
        <f t="shared" si="16"/>
        <v>100</v>
      </c>
      <c r="B118" s="255" t="str">
        <f t="shared" si="18"/>
        <v/>
      </c>
      <c r="C118" s="256">
        <f t="shared" si="19"/>
        <v>3047.1172825179469</v>
      </c>
      <c r="D118" s="257" t="str">
        <f t="shared" si="21"/>
        <v/>
      </c>
      <c r="F118" s="257" t="str">
        <f t="shared" si="22"/>
        <v/>
      </c>
      <c r="G118" s="257" t="str">
        <f t="shared" si="23"/>
        <v/>
      </c>
      <c r="H118" s="257" t="str">
        <f t="shared" si="24"/>
        <v/>
      </c>
      <c r="I118" s="220" t="e">
        <f t="shared" si="20"/>
        <v>#VALUE!</v>
      </c>
      <c r="K118" s="260" t="e">
        <f t="shared" si="17"/>
        <v>#VALUE!</v>
      </c>
    </row>
    <row r="119" spans="1:11" x14ac:dyDescent="0.25">
      <c r="A119" s="254">
        <f t="shared" si="16"/>
        <v>101</v>
      </c>
      <c r="B119" s="255" t="str">
        <f t="shared" si="18"/>
        <v/>
      </c>
      <c r="C119" s="256">
        <f t="shared" si="19"/>
        <v>3047.1172825179469</v>
      </c>
      <c r="D119" s="257" t="str">
        <f t="shared" si="21"/>
        <v/>
      </c>
      <c r="F119" s="257" t="str">
        <f t="shared" si="22"/>
        <v/>
      </c>
      <c r="G119" s="257" t="str">
        <f t="shared" si="23"/>
        <v/>
      </c>
      <c r="H119" s="257" t="str">
        <f t="shared" si="24"/>
        <v/>
      </c>
      <c r="I119" s="220" t="e">
        <f t="shared" si="20"/>
        <v>#VALUE!</v>
      </c>
      <c r="K119" s="260" t="e">
        <f t="shared" si="17"/>
        <v>#VALUE!</v>
      </c>
    </row>
    <row r="120" spans="1:11" x14ac:dyDescent="0.25">
      <c r="A120" s="254">
        <f t="shared" si="16"/>
        <v>102</v>
      </c>
      <c r="B120" s="255" t="str">
        <f t="shared" si="18"/>
        <v/>
      </c>
      <c r="C120" s="256">
        <f t="shared" si="19"/>
        <v>3047.1172825179469</v>
      </c>
      <c r="D120" s="257" t="str">
        <f t="shared" si="21"/>
        <v/>
      </c>
      <c r="F120" s="257" t="str">
        <f t="shared" si="22"/>
        <v/>
      </c>
      <c r="G120" s="257" t="str">
        <f t="shared" si="23"/>
        <v/>
      </c>
      <c r="H120" s="257" t="str">
        <f t="shared" si="24"/>
        <v/>
      </c>
      <c r="I120" s="220" t="e">
        <f t="shared" si="20"/>
        <v>#VALUE!</v>
      </c>
      <c r="K120" s="260" t="e">
        <f t="shared" si="17"/>
        <v>#VALUE!</v>
      </c>
    </row>
    <row r="121" spans="1:11" x14ac:dyDescent="0.25">
      <c r="A121" s="254">
        <f t="shared" ref="A121:A184" si="25">A120+1</f>
        <v>103</v>
      </c>
      <c r="B121" s="255" t="str">
        <f t="shared" si="18"/>
        <v/>
      </c>
      <c r="C121" s="256">
        <f t="shared" si="19"/>
        <v>3047.1172825179469</v>
      </c>
      <c r="D121" s="257" t="str">
        <f t="shared" si="21"/>
        <v/>
      </c>
      <c r="F121" s="257" t="str">
        <f t="shared" si="22"/>
        <v/>
      </c>
      <c r="G121" s="257" t="str">
        <f t="shared" si="23"/>
        <v/>
      </c>
      <c r="H121" s="257" t="str">
        <f t="shared" si="24"/>
        <v/>
      </c>
      <c r="I121" s="220" t="e">
        <f t="shared" si="20"/>
        <v>#VALUE!</v>
      </c>
      <c r="K121" s="260" t="e">
        <f t="shared" si="17"/>
        <v>#VALUE!</v>
      </c>
    </row>
    <row r="122" spans="1:11" x14ac:dyDescent="0.25">
      <c r="A122" s="254">
        <f t="shared" si="25"/>
        <v>104</v>
      </c>
      <c r="B122" s="255" t="str">
        <f t="shared" si="18"/>
        <v/>
      </c>
      <c r="C122" s="256">
        <f t="shared" si="19"/>
        <v>3047.1172825179469</v>
      </c>
      <c r="D122" s="257" t="str">
        <f t="shared" si="21"/>
        <v/>
      </c>
      <c r="F122" s="257" t="str">
        <f t="shared" si="22"/>
        <v/>
      </c>
      <c r="G122" s="257" t="str">
        <f t="shared" si="23"/>
        <v/>
      </c>
      <c r="H122" s="257" t="str">
        <f t="shared" si="24"/>
        <v/>
      </c>
      <c r="I122" s="220" t="e">
        <f t="shared" si="20"/>
        <v>#VALUE!</v>
      </c>
      <c r="K122" s="260" t="e">
        <f t="shared" si="17"/>
        <v>#VALUE!</v>
      </c>
    </row>
    <row r="123" spans="1:11" x14ac:dyDescent="0.25">
      <c r="A123" s="254">
        <f t="shared" si="25"/>
        <v>105</v>
      </c>
      <c r="B123" s="255" t="str">
        <f t="shared" si="18"/>
        <v/>
      </c>
      <c r="C123" s="256">
        <f t="shared" si="19"/>
        <v>3047.1172825179469</v>
      </c>
      <c r="D123" s="257" t="str">
        <f t="shared" si="21"/>
        <v/>
      </c>
      <c r="F123" s="257" t="str">
        <f t="shared" si="22"/>
        <v/>
      </c>
      <c r="G123" s="257" t="str">
        <f t="shared" si="23"/>
        <v/>
      </c>
      <c r="H123" s="257" t="str">
        <f t="shared" si="24"/>
        <v/>
      </c>
      <c r="I123" s="220" t="e">
        <f t="shared" si="20"/>
        <v>#VALUE!</v>
      </c>
      <c r="K123" s="260" t="e">
        <f t="shared" si="17"/>
        <v>#VALUE!</v>
      </c>
    </row>
    <row r="124" spans="1:11" x14ac:dyDescent="0.25">
      <c r="A124" s="254">
        <f t="shared" si="25"/>
        <v>106</v>
      </c>
      <c r="B124" s="255" t="str">
        <f t="shared" si="18"/>
        <v/>
      </c>
      <c r="C124" s="256">
        <f t="shared" si="19"/>
        <v>3047.1172825179469</v>
      </c>
      <c r="D124" s="257" t="str">
        <f t="shared" si="21"/>
        <v/>
      </c>
      <c r="F124" s="257" t="str">
        <f t="shared" si="22"/>
        <v/>
      </c>
      <c r="G124" s="257" t="str">
        <f t="shared" si="23"/>
        <v/>
      </c>
      <c r="H124" s="257" t="str">
        <f t="shared" si="24"/>
        <v/>
      </c>
      <c r="I124" s="220" t="e">
        <f t="shared" si="20"/>
        <v>#VALUE!</v>
      </c>
      <c r="K124" s="260" t="e">
        <f t="shared" si="17"/>
        <v>#VALUE!</v>
      </c>
    </row>
    <row r="125" spans="1:11" x14ac:dyDescent="0.25">
      <c r="A125" s="254">
        <f t="shared" si="25"/>
        <v>107</v>
      </c>
      <c r="B125" s="255" t="str">
        <f t="shared" si="18"/>
        <v/>
      </c>
      <c r="C125" s="256">
        <f t="shared" si="19"/>
        <v>3047.1172825179469</v>
      </c>
      <c r="D125" s="257" t="str">
        <f t="shared" si="21"/>
        <v/>
      </c>
      <c r="F125" s="257" t="str">
        <f t="shared" si="22"/>
        <v/>
      </c>
      <c r="G125" s="257" t="str">
        <f t="shared" si="23"/>
        <v/>
      </c>
      <c r="H125" s="257" t="str">
        <f t="shared" si="24"/>
        <v/>
      </c>
      <c r="I125" s="220" t="e">
        <f t="shared" si="20"/>
        <v>#VALUE!</v>
      </c>
      <c r="K125" s="260" t="e">
        <f t="shared" si="17"/>
        <v>#VALUE!</v>
      </c>
    </row>
    <row r="126" spans="1:11" x14ac:dyDescent="0.25">
      <c r="A126" s="254">
        <f t="shared" si="25"/>
        <v>108</v>
      </c>
      <c r="B126" s="255" t="str">
        <f t="shared" si="18"/>
        <v/>
      </c>
      <c r="C126" s="256">
        <f t="shared" si="19"/>
        <v>3047.1172825179469</v>
      </c>
      <c r="D126" s="257" t="str">
        <f t="shared" si="21"/>
        <v/>
      </c>
      <c r="F126" s="257" t="str">
        <f t="shared" si="22"/>
        <v/>
      </c>
      <c r="G126" s="257" t="str">
        <f t="shared" si="23"/>
        <v/>
      </c>
      <c r="H126" s="257" t="str">
        <f t="shared" si="24"/>
        <v/>
      </c>
      <c r="I126" s="220" t="e">
        <f t="shared" si="20"/>
        <v>#VALUE!</v>
      </c>
      <c r="K126" s="260" t="e">
        <f t="shared" si="17"/>
        <v>#VALUE!</v>
      </c>
    </row>
    <row r="127" spans="1:11" x14ac:dyDescent="0.25">
      <c r="A127" s="254">
        <f t="shared" si="25"/>
        <v>109</v>
      </c>
      <c r="B127" s="255" t="str">
        <f t="shared" si="18"/>
        <v/>
      </c>
      <c r="C127" s="256">
        <f t="shared" si="19"/>
        <v>3047.1172825179469</v>
      </c>
      <c r="D127" s="257" t="str">
        <f t="shared" si="21"/>
        <v/>
      </c>
      <c r="F127" s="257" t="str">
        <f t="shared" si="22"/>
        <v/>
      </c>
      <c r="G127" s="257" t="str">
        <f t="shared" si="23"/>
        <v/>
      </c>
      <c r="H127" s="257" t="str">
        <f t="shared" si="24"/>
        <v/>
      </c>
      <c r="I127" s="220" t="e">
        <f t="shared" si="20"/>
        <v>#VALUE!</v>
      </c>
      <c r="K127" s="260" t="e">
        <f t="shared" si="17"/>
        <v>#VALUE!</v>
      </c>
    </row>
    <row r="128" spans="1:11" x14ac:dyDescent="0.25">
      <c r="A128" s="254">
        <f t="shared" si="25"/>
        <v>110</v>
      </c>
      <c r="B128" s="255" t="str">
        <f t="shared" si="18"/>
        <v/>
      </c>
      <c r="C128" s="256">
        <f t="shared" si="19"/>
        <v>3047.1172825179469</v>
      </c>
      <c r="D128" s="257" t="str">
        <f t="shared" si="21"/>
        <v/>
      </c>
      <c r="F128" s="257" t="str">
        <f t="shared" si="22"/>
        <v/>
      </c>
      <c r="G128" s="257" t="str">
        <f t="shared" si="23"/>
        <v/>
      </c>
      <c r="H128" s="257" t="str">
        <f t="shared" si="24"/>
        <v/>
      </c>
      <c r="I128" s="220" t="e">
        <f t="shared" si="20"/>
        <v>#VALUE!</v>
      </c>
      <c r="K128" s="260" t="e">
        <f t="shared" si="17"/>
        <v>#VALUE!</v>
      </c>
    </row>
    <row r="129" spans="1:11" x14ac:dyDescent="0.25">
      <c r="A129" s="254">
        <f t="shared" si="25"/>
        <v>111</v>
      </c>
      <c r="B129" s="255" t="str">
        <f t="shared" si="18"/>
        <v/>
      </c>
      <c r="C129" s="256">
        <f t="shared" si="19"/>
        <v>3047.1172825179469</v>
      </c>
      <c r="D129" s="257" t="str">
        <f t="shared" si="21"/>
        <v/>
      </c>
      <c r="F129" s="257" t="str">
        <f t="shared" si="22"/>
        <v/>
      </c>
      <c r="G129" s="257" t="str">
        <f t="shared" si="23"/>
        <v/>
      </c>
      <c r="H129" s="257" t="str">
        <f t="shared" si="24"/>
        <v/>
      </c>
      <c r="I129" s="220" t="e">
        <f t="shared" si="20"/>
        <v>#VALUE!</v>
      </c>
      <c r="K129" s="260" t="e">
        <f t="shared" ref="K129:K138" si="26">HLOOKUP(I129,$L$18:$W$24,7,0)/12</f>
        <v>#VALUE!</v>
      </c>
    </row>
    <row r="130" spans="1:11" x14ac:dyDescent="0.25">
      <c r="A130" s="254">
        <f t="shared" si="25"/>
        <v>112</v>
      </c>
      <c r="B130" s="255" t="str">
        <f t="shared" si="18"/>
        <v/>
      </c>
      <c r="C130" s="256">
        <f t="shared" si="19"/>
        <v>3047.1172825179469</v>
      </c>
      <c r="D130" s="257" t="str">
        <f t="shared" si="21"/>
        <v/>
      </c>
      <c r="F130" s="257" t="str">
        <f t="shared" si="22"/>
        <v/>
      </c>
      <c r="G130" s="257" t="str">
        <f t="shared" si="23"/>
        <v/>
      </c>
      <c r="H130" s="257" t="str">
        <f t="shared" si="24"/>
        <v/>
      </c>
      <c r="I130" s="220" t="e">
        <f t="shared" si="20"/>
        <v>#VALUE!</v>
      </c>
      <c r="K130" s="260" t="e">
        <f t="shared" si="26"/>
        <v>#VALUE!</v>
      </c>
    </row>
    <row r="131" spans="1:11" x14ac:dyDescent="0.25">
      <c r="A131" s="254">
        <f t="shared" si="25"/>
        <v>113</v>
      </c>
      <c r="B131" s="255" t="str">
        <f t="shared" si="18"/>
        <v/>
      </c>
      <c r="C131" s="256">
        <f t="shared" si="19"/>
        <v>3047.1172825179469</v>
      </c>
      <c r="D131" s="257" t="str">
        <f t="shared" si="21"/>
        <v/>
      </c>
      <c r="F131" s="257" t="str">
        <f t="shared" si="22"/>
        <v/>
      </c>
      <c r="G131" s="257" t="str">
        <f t="shared" si="23"/>
        <v/>
      </c>
      <c r="H131" s="257" t="str">
        <f t="shared" si="24"/>
        <v/>
      </c>
      <c r="I131" s="220" t="e">
        <f t="shared" si="20"/>
        <v>#VALUE!</v>
      </c>
      <c r="K131" s="260" t="e">
        <f t="shared" si="26"/>
        <v>#VALUE!</v>
      </c>
    </row>
    <row r="132" spans="1:11" x14ac:dyDescent="0.25">
      <c r="A132" s="254">
        <f t="shared" si="25"/>
        <v>114</v>
      </c>
      <c r="B132" s="255" t="str">
        <f t="shared" si="18"/>
        <v/>
      </c>
      <c r="C132" s="256">
        <f t="shared" si="19"/>
        <v>3047.1172825179469</v>
      </c>
      <c r="D132" s="257" t="str">
        <f t="shared" si="21"/>
        <v/>
      </c>
      <c r="F132" s="257" t="str">
        <f t="shared" si="22"/>
        <v/>
      </c>
      <c r="G132" s="257" t="str">
        <f t="shared" si="23"/>
        <v/>
      </c>
      <c r="H132" s="257" t="str">
        <f t="shared" si="24"/>
        <v/>
      </c>
      <c r="I132" s="220" t="e">
        <f t="shared" si="20"/>
        <v>#VALUE!</v>
      </c>
      <c r="K132" s="260" t="e">
        <f t="shared" si="26"/>
        <v>#VALUE!</v>
      </c>
    </row>
    <row r="133" spans="1:11" x14ac:dyDescent="0.25">
      <c r="A133" s="254">
        <f t="shared" si="25"/>
        <v>115</v>
      </c>
      <c r="B133" s="255" t="str">
        <f t="shared" si="18"/>
        <v/>
      </c>
      <c r="C133" s="256">
        <f t="shared" si="19"/>
        <v>3047.1172825179469</v>
      </c>
      <c r="D133" s="257" t="str">
        <f t="shared" si="21"/>
        <v/>
      </c>
      <c r="F133" s="257" t="str">
        <f t="shared" si="22"/>
        <v/>
      </c>
      <c r="G133" s="257" t="str">
        <f t="shared" si="23"/>
        <v/>
      </c>
      <c r="H133" s="257" t="str">
        <f t="shared" si="24"/>
        <v/>
      </c>
      <c r="I133" s="220" t="e">
        <f t="shared" si="20"/>
        <v>#VALUE!</v>
      </c>
      <c r="K133" s="260" t="e">
        <f t="shared" si="26"/>
        <v>#VALUE!</v>
      </c>
    </row>
    <row r="134" spans="1:11" x14ac:dyDescent="0.25">
      <c r="A134" s="254">
        <f t="shared" si="25"/>
        <v>116</v>
      </c>
      <c r="B134" s="255" t="str">
        <f t="shared" si="18"/>
        <v/>
      </c>
      <c r="C134" s="256">
        <f t="shared" si="19"/>
        <v>3047.1172825179469</v>
      </c>
      <c r="D134" s="257" t="str">
        <f t="shared" si="21"/>
        <v/>
      </c>
      <c r="F134" s="257" t="str">
        <f t="shared" si="22"/>
        <v/>
      </c>
      <c r="G134" s="257" t="str">
        <f t="shared" si="23"/>
        <v/>
      </c>
      <c r="H134" s="257" t="str">
        <f t="shared" si="24"/>
        <v/>
      </c>
      <c r="I134" s="220" t="e">
        <f t="shared" si="20"/>
        <v>#VALUE!</v>
      </c>
      <c r="K134" s="260" t="e">
        <f t="shared" si="26"/>
        <v>#VALUE!</v>
      </c>
    </row>
    <row r="135" spans="1:11" x14ac:dyDescent="0.25">
      <c r="A135" s="254">
        <f t="shared" si="25"/>
        <v>117</v>
      </c>
      <c r="B135" s="255" t="str">
        <f t="shared" si="18"/>
        <v/>
      </c>
      <c r="C135" s="256">
        <f t="shared" si="19"/>
        <v>3047.1172825179469</v>
      </c>
      <c r="D135" s="257" t="str">
        <f t="shared" si="21"/>
        <v/>
      </c>
      <c r="F135" s="257" t="str">
        <f t="shared" si="22"/>
        <v/>
      </c>
      <c r="G135" s="257" t="str">
        <f t="shared" si="23"/>
        <v/>
      </c>
      <c r="H135" s="257" t="str">
        <f t="shared" si="24"/>
        <v/>
      </c>
      <c r="I135" s="220" t="e">
        <f t="shared" si="20"/>
        <v>#VALUE!</v>
      </c>
      <c r="K135" s="260" t="e">
        <f t="shared" si="26"/>
        <v>#VALUE!</v>
      </c>
    </row>
    <row r="136" spans="1:11" x14ac:dyDescent="0.25">
      <c r="A136" s="254">
        <f t="shared" si="25"/>
        <v>118</v>
      </c>
      <c r="B136" s="255" t="str">
        <f t="shared" si="18"/>
        <v/>
      </c>
      <c r="C136" s="256">
        <f t="shared" si="19"/>
        <v>3047.1172825179469</v>
      </c>
      <c r="D136" s="257" t="str">
        <f t="shared" si="21"/>
        <v/>
      </c>
      <c r="F136" s="257" t="str">
        <f t="shared" si="22"/>
        <v/>
      </c>
      <c r="G136" s="257" t="str">
        <f t="shared" si="23"/>
        <v/>
      </c>
      <c r="H136" s="257" t="str">
        <f t="shared" si="24"/>
        <v/>
      </c>
      <c r="I136" s="220" t="e">
        <f t="shared" si="20"/>
        <v>#VALUE!</v>
      </c>
      <c r="K136" s="260" t="e">
        <f t="shared" si="26"/>
        <v>#VALUE!</v>
      </c>
    </row>
    <row r="137" spans="1:11" x14ac:dyDescent="0.25">
      <c r="A137" s="254">
        <f t="shared" si="25"/>
        <v>119</v>
      </c>
      <c r="B137" s="255" t="str">
        <f t="shared" si="18"/>
        <v/>
      </c>
      <c r="C137" s="256">
        <f t="shared" si="19"/>
        <v>3047.1172825179469</v>
      </c>
      <c r="D137" s="257" t="str">
        <f t="shared" si="21"/>
        <v/>
      </c>
      <c r="F137" s="257" t="str">
        <f t="shared" si="22"/>
        <v/>
      </c>
      <c r="G137" s="257" t="str">
        <f t="shared" si="23"/>
        <v/>
      </c>
      <c r="H137" s="257" t="str">
        <f t="shared" si="24"/>
        <v/>
      </c>
      <c r="I137" s="220" t="e">
        <f t="shared" si="20"/>
        <v>#VALUE!</v>
      </c>
      <c r="K137" s="260" t="e">
        <f t="shared" si="26"/>
        <v>#VALUE!</v>
      </c>
    </row>
    <row r="138" spans="1:11" x14ac:dyDescent="0.25">
      <c r="A138" s="254">
        <f t="shared" si="25"/>
        <v>120</v>
      </c>
      <c r="B138" s="255" t="str">
        <f t="shared" si="18"/>
        <v/>
      </c>
      <c r="C138" s="256">
        <f t="shared" si="19"/>
        <v>3047.1172825179469</v>
      </c>
      <c r="D138" s="257" t="str">
        <f t="shared" si="21"/>
        <v/>
      </c>
      <c r="F138" s="257" t="str">
        <f t="shared" si="22"/>
        <v/>
      </c>
      <c r="G138" s="257" t="str">
        <f t="shared" si="23"/>
        <v/>
      </c>
      <c r="H138" s="257" t="str">
        <f t="shared" si="24"/>
        <v/>
      </c>
      <c r="I138" s="220" t="e">
        <f t="shared" si="20"/>
        <v>#VALUE!</v>
      </c>
      <c r="K138" s="260" t="e">
        <f t="shared" si="26"/>
        <v>#VALUE!</v>
      </c>
    </row>
    <row r="139" spans="1:11" x14ac:dyDescent="0.25">
      <c r="A139" s="254">
        <f t="shared" si="25"/>
        <v>121</v>
      </c>
      <c r="B139" s="255" t="str">
        <f t="shared" si="18"/>
        <v/>
      </c>
      <c r="C139" s="256">
        <f t="shared" si="19"/>
        <v>3047.1172825179469</v>
      </c>
      <c r="D139" s="257" t="str">
        <f t="shared" si="21"/>
        <v/>
      </c>
      <c r="F139" s="257" t="str">
        <f t="shared" si="22"/>
        <v/>
      </c>
      <c r="G139" s="257" t="str">
        <f t="shared" si="23"/>
        <v/>
      </c>
      <c r="H139" s="257" t="str">
        <f t="shared" si="24"/>
        <v/>
      </c>
      <c r="I139" s="220" t="e">
        <f t="shared" si="20"/>
        <v>#VALUE!</v>
      </c>
    </row>
    <row r="140" spans="1:11" x14ac:dyDescent="0.25">
      <c r="A140" s="254">
        <f t="shared" si="25"/>
        <v>122</v>
      </c>
      <c r="B140" s="255" t="str">
        <f t="shared" si="18"/>
        <v/>
      </c>
      <c r="C140" s="256">
        <f t="shared" si="19"/>
        <v>3047.1172825179469</v>
      </c>
      <c r="D140" s="257" t="str">
        <f t="shared" si="21"/>
        <v/>
      </c>
      <c r="F140" s="257" t="str">
        <f t="shared" si="22"/>
        <v/>
      </c>
      <c r="G140" s="257" t="str">
        <f t="shared" si="23"/>
        <v/>
      </c>
      <c r="H140" s="257" t="str">
        <f t="shared" si="24"/>
        <v/>
      </c>
      <c r="I140" s="220" t="e">
        <f t="shared" si="20"/>
        <v>#VALUE!</v>
      </c>
    </row>
    <row r="141" spans="1:11" x14ac:dyDescent="0.25">
      <c r="A141" s="254">
        <f t="shared" si="25"/>
        <v>123</v>
      </c>
      <c r="B141" s="255" t="str">
        <f t="shared" si="18"/>
        <v/>
      </c>
      <c r="C141" s="256">
        <f t="shared" si="19"/>
        <v>3047.1172825179469</v>
      </c>
      <c r="D141" s="257" t="str">
        <f t="shared" si="21"/>
        <v/>
      </c>
      <c r="F141" s="257" t="str">
        <f t="shared" si="22"/>
        <v/>
      </c>
      <c r="G141" s="257" t="str">
        <f t="shared" si="23"/>
        <v/>
      </c>
      <c r="H141" s="257" t="str">
        <f t="shared" si="24"/>
        <v/>
      </c>
      <c r="I141" s="220" t="e">
        <f t="shared" si="20"/>
        <v>#VALUE!</v>
      </c>
    </row>
    <row r="142" spans="1:11" x14ac:dyDescent="0.25">
      <c r="A142" s="254">
        <f t="shared" si="25"/>
        <v>124</v>
      </c>
      <c r="B142" s="255" t="str">
        <f t="shared" si="18"/>
        <v/>
      </c>
      <c r="C142" s="256">
        <f t="shared" si="19"/>
        <v>3047.1172825179469</v>
      </c>
      <c r="D142" s="257" t="str">
        <f t="shared" si="21"/>
        <v/>
      </c>
      <c r="F142" s="257" t="str">
        <f t="shared" si="22"/>
        <v/>
      </c>
      <c r="G142" s="257" t="str">
        <f t="shared" si="23"/>
        <v/>
      </c>
      <c r="H142" s="257" t="str">
        <f t="shared" si="24"/>
        <v/>
      </c>
      <c r="I142" s="220" t="e">
        <f t="shared" si="20"/>
        <v>#VALUE!</v>
      </c>
    </row>
    <row r="143" spans="1:11" x14ac:dyDescent="0.25">
      <c r="A143" s="254">
        <f t="shared" si="25"/>
        <v>125</v>
      </c>
      <c r="B143" s="255" t="str">
        <f t="shared" si="18"/>
        <v/>
      </c>
      <c r="C143" s="256">
        <f t="shared" si="19"/>
        <v>3047.1172825179469</v>
      </c>
      <c r="D143" s="257" t="str">
        <f t="shared" si="21"/>
        <v/>
      </c>
      <c r="F143" s="257" t="str">
        <f t="shared" si="22"/>
        <v/>
      </c>
      <c r="G143" s="257" t="str">
        <f t="shared" si="23"/>
        <v/>
      </c>
      <c r="H143" s="257" t="str">
        <f t="shared" si="24"/>
        <v/>
      </c>
      <c r="I143" s="220" t="e">
        <f t="shared" si="20"/>
        <v>#VALUE!</v>
      </c>
    </row>
    <row r="144" spans="1:11" x14ac:dyDescent="0.25">
      <c r="A144" s="254">
        <f t="shared" si="25"/>
        <v>126</v>
      </c>
      <c r="B144" s="255" t="str">
        <f t="shared" si="18"/>
        <v/>
      </c>
      <c r="C144" s="256">
        <f t="shared" si="19"/>
        <v>3047.1172825179469</v>
      </c>
      <c r="D144" s="257" t="str">
        <f t="shared" si="21"/>
        <v/>
      </c>
      <c r="F144" s="257" t="str">
        <f t="shared" si="22"/>
        <v/>
      </c>
      <c r="G144" s="257" t="str">
        <f t="shared" si="23"/>
        <v/>
      </c>
      <c r="H144" s="257" t="str">
        <f t="shared" si="24"/>
        <v/>
      </c>
      <c r="I144" s="220" t="e">
        <f t="shared" si="20"/>
        <v>#VALUE!</v>
      </c>
    </row>
    <row r="145" spans="1:9" x14ac:dyDescent="0.25">
      <c r="A145" s="254">
        <f t="shared" si="25"/>
        <v>127</v>
      </c>
      <c r="B145" s="255" t="str">
        <f t="shared" si="18"/>
        <v/>
      </c>
      <c r="C145" s="256">
        <f t="shared" si="19"/>
        <v>3047.1172825179469</v>
      </c>
      <c r="D145" s="257" t="str">
        <f t="shared" si="21"/>
        <v/>
      </c>
      <c r="F145" s="257" t="str">
        <f t="shared" si="22"/>
        <v/>
      </c>
      <c r="G145" s="257" t="str">
        <f t="shared" si="23"/>
        <v/>
      </c>
      <c r="H145" s="257" t="str">
        <f t="shared" si="24"/>
        <v/>
      </c>
      <c r="I145" s="220" t="e">
        <f t="shared" si="20"/>
        <v>#VALUE!</v>
      </c>
    </row>
    <row r="146" spans="1:9" x14ac:dyDescent="0.25">
      <c r="A146" s="254">
        <f t="shared" si="25"/>
        <v>128</v>
      </c>
      <c r="B146" s="255" t="str">
        <f t="shared" si="18"/>
        <v/>
      </c>
      <c r="C146" s="256">
        <f t="shared" si="19"/>
        <v>3047.1172825179469</v>
      </c>
      <c r="D146" s="257" t="str">
        <f t="shared" si="21"/>
        <v/>
      </c>
      <c r="F146" s="257" t="str">
        <f t="shared" si="22"/>
        <v/>
      </c>
      <c r="G146" s="257" t="str">
        <f t="shared" si="23"/>
        <v/>
      </c>
      <c r="H146" s="257" t="str">
        <f t="shared" si="24"/>
        <v/>
      </c>
      <c r="I146" s="220" t="e">
        <f t="shared" si="20"/>
        <v>#VALUE!</v>
      </c>
    </row>
    <row r="147" spans="1:9" x14ac:dyDescent="0.25">
      <c r="A147" s="254">
        <f t="shared" si="25"/>
        <v>129</v>
      </c>
      <c r="B147" s="255" t="str">
        <f t="shared" si="18"/>
        <v/>
      </c>
      <c r="C147" s="256">
        <f t="shared" si="19"/>
        <v>3047.1172825179469</v>
      </c>
      <c r="D147" s="257" t="str">
        <f t="shared" si="21"/>
        <v/>
      </c>
      <c r="F147" s="257" t="str">
        <f t="shared" si="22"/>
        <v/>
      </c>
      <c r="G147" s="257" t="str">
        <f t="shared" si="23"/>
        <v/>
      </c>
      <c r="H147" s="257" t="str">
        <f t="shared" si="24"/>
        <v/>
      </c>
      <c r="I147" s="220" t="e">
        <f t="shared" si="20"/>
        <v>#VALUE!</v>
      </c>
    </row>
    <row r="148" spans="1:9" x14ac:dyDescent="0.25">
      <c r="A148" s="254">
        <f t="shared" si="25"/>
        <v>130</v>
      </c>
      <c r="B148" s="255" t="str">
        <f t="shared" ref="B148:B211" si="27">IF(A148&gt;$H$11,"",DATE(YEAR(B147),MONTH(B147)+1,1))</f>
        <v/>
      </c>
      <c r="C148" s="256">
        <f t="shared" ref="C148:C211" si="28">IF($H$15=0,-$D$14,IF(OR(A148=$H$11,A148=$H$14),G147+D148+E148,IF(B148="","",ROUND((B148-B147)*($H$9+$H$10*$I$10)*G147,2))))</f>
        <v>3047.1172825179469</v>
      </c>
      <c r="D148" s="257" t="str">
        <f t="shared" si="21"/>
        <v/>
      </c>
      <c r="F148" s="257" t="str">
        <f t="shared" si="22"/>
        <v/>
      </c>
      <c r="G148" s="257" t="str">
        <f t="shared" si="23"/>
        <v/>
      </c>
      <c r="H148" s="257" t="str">
        <f t="shared" si="24"/>
        <v/>
      </c>
      <c r="I148" s="220" t="e">
        <f t="shared" ref="I148:I211" si="29">YEAR(B148)</f>
        <v>#VALUE!</v>
      </c>
    </row>
    <row r="149" spans="1:9" x14ac:dyDescent="0.25">
      <c r="A149" s="254">
        <f t="shared" si="25"/>
        <v>131</v>
      </c>
      <c r="B149" s="255" t="str">
        <f t="shared" si="27"/>
        <v/>
      </c>
      <c r="C149" s="256">
        <f t="shared" si="28"/>
        <v>3047.1172825179469</v>
      </c>
      <c r="D149" s="257" t="str">
        <f t="shared" si="21"/>
        <v/>
      </c>
      <c r="F149" s="257" t="str">
        <f t="shared" si="22"/>
        <v/>
      </c>
      <c r="G149" s="257" t="str">
        <f t="shared" si="23"/>
        <v/>
      </c>
      <c r="H149" s="257" t="str">
        <f t="shared" si="24"/>
        <v/>
      </c>
      <c r="I149" s="220" t="e">
        <f t="shared" si="29"/>
        <v>#VALUE!</v>
      </c>
    </row>
    <row r="150" spans="1:9" x14ac:dyDescent="0.25">
      <c r="A150" s="254">
        <f t="shared" si="25"/>
        <v>132</v>
      </c>
      <c r="B150" s="255" t="str">
        <f t="shared" si="27"/>
        <v/>
      </c>
      <c r="C150" s="256">
        <f t="shared" si="28"/>
        <v>3047.1172825179469</v>
      </c>
      <c r="D150" s="257" t="str">
        <f t="shared" si="21"/>
        <v/>
      </c>
      <c r="F150" s="257" t="str">
        <f t="shared" si="22"/>
        <v/>
      </c>
      <c r="G150" s="257" t="str">
        <f t="shared" si="23"/>
        <v/>
      </c>
      <c r="H150" s="257" t="str">
        <f t="shared" si="24"/>
        <v/>
      </c>
      <c r="I150" s="220" t="e">
        <f t="shared" si="29"/>
        <v>#VALUE!</v>
      </c>
    </row>
    <row r="151" spans="1:9" x14ac:dyDescent="0.25">
      <c r="A151" s="254">
        <f t="shared" si="25"/>
        <v>133</v>
      </c>
      <c r="B151" s="255" t="str">
        <f t="shared" si="27"/>
        <v/>
      </c>
      <c r="C151" s="256">
        <f t="shared" si="28"/>
        <v>3047.1172825179469</v>
      </c>
      <c r="D151" s="257" t="str">
        <f t="shared" ref="D151:D214" si="30">IF(B151="","",ROUND((B151-B150)*$H$9*G150,2))</f>
        <v/>
      </c>
      <c r="F151" s="257" t="str">
        <f t="shared" ref="F151:F214" si="31">IF(B151="","",IF(C151&gt;F150+D151,0,F150+D151-C151))</f>
        <v/>
      </c>
      <c r="G151" s="257" t="str">
        <f t="shared" ref="G151:G214" si="32">IF(B151="","",IF(C151&gt;D151+F150,G150+F150+D151-C151,G150))</f>
        <v/>
      </c>
      <c r="H151" s="257" t="str">
        <f t="shared" ref="H151:H214" si="33">IF(B151="","",G151+F151)</f>
        <v/>
      </c>
      <c r="I151" s="220" t="e">
        <f t="shared" si="29"/>
        <v>#VALUE!</v>
      </c>
    </row>
    <row r="152" spans="1:9" x14ac:dyDescent="0.25">
      <c r="A152" s="254">
        <f t="shared" si="25"/>
        <v>134</v>
      </c>
      <c r="B152" s="255" t="str">
        <f t="shared" si="27"/>
        <v/>
      </c>
      <c r="C152" s="256">
        <f t="shared" si="28"/>
        <v>3047.1172825179469</v>
      </c>
      <c r="D152" s="257" t="str">
        <f t="shared" si="30"/>
        <v/>
      </c>
      <c r="F152" s="257" t="str">
        <f t="shared" si="31"/>
        <v/>
      </c>
      <c r="G152" s="257" t="str">
        <f t="shared" si="32"/>
        <v/>
      </c>
      <c r="H152" s="257" t="str">
        <f t="shared" si="33"/>
        <v/>
      </c>
      <c r="I152" s="220" t="e">
        <f t="shared" si="29"/>
        <v>#VALUE!</v>
      </c>
    </row>
    <row r="153" spans="1:9" x14ac:dyDescent="0.25">
      <c r="A153" s="254">
        <f t="shared" si="25"/>
        <v>135</v>
      </c>
      <c r="B153" s="255" t="str">
        <f t="shared" si="27"/>
        <v/>
      </c>
      <c r="C153" s="256">
        <f t="shared" si="28"/>
        <v>3047.1172825179469</v>
      </c>
      <c r="D153" s="257" t="str">
        <f t="shared" si="30"/>
        <v/>
      </c>
      <c r="F153" s="257" t="str">
        <f t="shared" si="31"/>
        <v/>
      </c>
      <c r="G153" s="257" t="str">
        <f t="shared" si="32"/>
        <v/>
      </c>
      <c r="H153" s="257" t="str">
        <f t="shared" si="33"/>
        <v/>
      </c>
      <c r="I153" s="220" t="e">
        <f t="shared" si="29"/>
        <v>#VALUE!</v>
      </c>
    </row>
    <row r="154" spans="1:9" x14ac:dyDescent="0.25">
      <c r="A154" s="254">
        <f t="shared" si="25"/>
        <v>136</v>
      </c>
      <c r="B154" s="255" t="str">
        <f t="shared" si="27"/>
        <v/>
      </c>
      <c r="C154" s="256">
        <f t="shared" si="28"/>
        <v>3047.1172825179469</v>
      </c>
      <c r="D154" s="257" t="str">
        <f t="shared" si="30"/>
        <v/>
      </c>
      <c r="F154" s="257" t="str">
        <f t="shared" si="31"/>
        <v/>
      </c>
      <c r="G154" s="257" t="str">
        <f t="shared" si="32"/>
        <v/>
      </c>
      <c r="H154" s="257" t="str">
        <f t="shared" si="33"/>
        <v/>
      </c>
      <c r="I154" s="220" t="e">
        <f t="shared" si="29"/>
        <v>#VALUE!</v>
      </c>
    </row>
    <row r="155" spans="1:9" x14ac:dyDescent="0.25">
      <c r="A155" s="254">
        <f t="shared" si="25"/>
        <v>137</v>
      </c>
      <c r="B155" s="255" t="str">
        <f t="shared" si="27"/>
        <v/>
      </c>
      <c r="C155" s="256">
        <f t="shared" si="28"/>
        <v>3047.1172825179469</v>
      </c>
      <c r="D155" s="257" t="str">
        <f t="shared" si="30"/>
        <v/>
      </c>
      <c r="F155" s="257" t="str">
        <f t="shared" si="31"/>
        <v/>
      </c>
      <c r="G155" s="257" t="str">
        <f t="shared" si="32"/>
        <v/>
      </c>
      <c r="H155" s="257" t="str">
        <f t="shared" si="33"/>
        <v/>
      </c>
      <c r="I155" s="220" t="e">
        <f t="shared" si="29"/>
        <v>#VALUE!</v>
      </c>
    </row>
    <row r="156" spans="1:9" x14ac:dyDescent="0.25">
      <c r="A156" s="254">
        <f t="shared" si="25"/>
        <v>138</v>
      </c>
      <c r="B156" s="255" t="str">
        <f t="shared" si="27"/>
        <v/>
      </c>
      <c r="C156" s="256">
        <f t="shared" si="28"/>
        <v>3047.1172825179469</v>
      </c>
      <c r="D156" s="257" t="str">
        <f t="shared" si="30"/>
        <v/>
      </c>
      <c r="F156" s="257" t="str">
        <f t="shared" si="31"/>
        <v/>
      </c>
      <c r="G156" s="257" t="str">
        <f t="shared" si="32"/>
        <v/>
      </c>
      <c r="H156" s="257" t="str">
        <f t="shared" si="33"/>
        <v/>
      </c>
      <c r="I156" s="220" t="e">
        <f t="shared" si="29"/>
        <v>#VALUE!</v>
      </c>
    </row>
    <row r="157" spans="1:9" x14ac:dyDescent="0.25">
      <c r="A157" s="254">
        <f t="shared" si="25"/>
        <v>139</v>
      </c>
      <c r="B157" s="255" t="str">
        <f t="shared" si="27"/>
        <v/>
      </c>
      <c r="C157" s="256">
        <f t="shared" si="28"/>
        <v>3047.1172825179469</v>
      </c>
      <c r="D157" s="257" t="str">
        <f t="shared" si="30"/>
        <v/>
      </c>
      <c r="F157" s="257" t="str">
        <f t="shared" si="31"/>
        <v/>
      </c>
      <c r="G157" s="257" t="str">
        <f t="shared" si="32"/>
        <v/>
      </c>
      <c r="H157" s="257" t="str">
        <f t="shared" si="33"/>
        <v/>
      </c>
      <c r="I157" s="220" t="e">
        <f t="shared" si="29"/>
        <v>#VALUE!</v>
      </c>
    </row>
    <row r="158" spans="1:9" x14ac:dyDescent="0.25">
      <c r="A158" s="254">
        <f t="shared" si="25"/>
        <v>140</v>
      </c>
      <c r="B158" s="255" t="str">
        <f t="shared" si="27"/>
        <v/>
      </c>
      <c r="C158" s="256">
        <f t="shared" si="28"/>
        <v>3047.1172825179469</v>
      </c>
      <c r="D158" s="257" t="str">
        <f t="shared" si="30"/>
        <v/>
      </c>
      <c r="F158" s="257" t="str">
        <f t="shared" si="31"/>
        <v/>
      </c>
      <c r="G158" s="257" t="str">
        <f t="shared" si="32"/>
        <v/>
      </c>
      <c r="H158" s="257" t="str">
        <f t="shared" si="33"/>
        <v/>
      </c>
      <c r="I158" s="220" t="e">
        <f t="shared" si="29"/>
        <v>#VALUE!</v>
      </c>
    </row>
    <row r="159" spans="1:9" x14ac:dyDescent="0.25">
      <c r="A159" s="254">
        <f t="shared" si="25"/>
        <v>141</v>
      </c>
      <c r="B159" s="255" t="str">
        <f t="shared" si="27"/>
        <v/>
      </c>
      <c r="C159" s="256">
        <f t="shared" si="28"/>
        <v>3047.1172825179469</v>
      </c>
      <c r="D159" s="257" t="str">
        <f t="shared" si="30"/>
        <v/>
      </c>
      <c r="F159" s="257" t="str">
        <f t="shared" si="31"/>
        <v/>
      </c>
      <c r="G159" s="257" t="str">
        <f t="shared" si="32"/>
        <v/>
      </c>
      <c r="H159" s="257" t="str">
        <f t="shared" si="33"/>
        <v/>
      </c>
      <c r="I159" s="220" t="e">
        <f t="shared" si="29"/>
        <v>#VALUE!</v>
      </c>
    </row>
    <row r="160" spans="1:9" x14ac:dyDescent="0.25">
      <c r="A160" s="254">
        <f t="shared" si="25"/>
        <v>142</v>
      </c>
      <c r="B160" s="255" t="str">
        <f t="shared" si="27"/>
        <v/>
      </c>
      <c r="C160" s="256">
        <f t="shared" si="28"/>
        <v>3047.1172825179469</v>
      </c>
      <c r="D160" s="257" t="str">
        <f t="shared" si="30"/>
        <v/>
      </c>
      <c r="F160" s="257" t="str">
        <f t="shared" si="31"/>
        <v/>
      </c>
      <c r="G160" s="257" t="str">
        <f t="shared" si="32"/>
        <v/>
      </c>
      <c r="H160" s="257" t="str">
        <f t="shared" si="33"/>
        <v/>
      </c>
      <c r="I160" s="220" t="e">
        <f t="shared" si="29"/>
        <v>#VALUE!</v>
      </c>
    </row>
    <row r="161" spans="1:9" x14ac:dyDescent="0.25">
      <c r="A161" s="254">
        <f t="shared" si="25"/>
        <v>143</v>
      </c>
      <c r="B161" s="255" t="str">
        <f t="shared" si="27"/>
        <v/>
      </c>
      <c r="C161" s="256">
        <f t="shared" si="28"/>
        <v>3047.1172825179469</v>
      </c>
      <c r="D161" s="257" t="str">
        <f t="shared" si="30"/>
        <v/>
      </c>
      <c r="F161" s="257" t="str">
        <f t="shared" si="31"/>
        <v/>
      </c>
      <c r="G161" s="257" t="str">
        <f t="shared" si="32"/>
        <v/>
      </c>
      <c r="H161" s="257" t="str">
        <f t="shared" si="33"/>
        <v/>
      </c>
      <c r="I161" s="220" t="e">
        <f t="shared" si="29"/>
        <v>#VALUE!</v>
      </c>
    </row>
    <row r="162" spans="1:9" x14ac:dyDescent="0.25">
      <c r="A162" s="254">
        <f t="shared" si="25"/>
        <v>144</v>
      </c>
      <c r="B162" s="255" t="str">
        <f t="shared" si="27"/>
        <v/>
      </c>
      <c r="C162" s="256">
        <f t="shared" si="28"/>
        <v>3047.1172825179469</v>
      </c>
      <c r="D162" s="257" t="str">
        <f t="shared" si="30"/>
        <v/>
      </c>
      <c r="F162" s="257" t="str">
        <f t="shared" si="31"/>
        <v/>
      </c>
      <c r="G162" s="257" t="str">
        <f t="shared" si="32"/>
        <v/>
      </c>
      <c r="H162" s="257" t="str">
        <f t="shared" si="33"/>
        <v/>
      </c>
      <c r="I162" s="220" t="e">
        <f t="shared" si="29"/>
        <v>#VALUE!</v>
      </c>
    </row>
    <row r="163" spans="1:9" x14ac:dyDescent="0.25">
      <c r="A163" s="254">
        <f t="shared" si="25"/>
        <v>145</v>
      </c>
      <c r="B163" s="255" t="str">
        <f t="shared" si="27"/>
        <v/>
      </c>
      <c r="C163" s="256">
        <f t="shared" si="28"/>
        <v>3047.1172825179469</v>
      </c>
      <c r="D163" s="257" t="str">
        <f t="shared" si="30"/>
        <v/>
      </c>
      <c r="F163" s="257" t="str">
        <f t="shared" si="31"/>
        <v/>
      </c>
      <c r="G163" s="257" t="str">
        <f t="shared" si="32"/>
        <v/>
      </c>
      <c r="H163" s="257" t="str">
        <f t="shared" si="33"/>
        <v/>
      </c>
      <c r="I163" s="220" t="e">
        <f t="shared" si="29"/>
        <v>#VALUE!</v>
      </c>
    </row>
    <row r="164" spans="1:9" x14ac:dyDescent="0.25">
      <c r="A164" s="254">
        <f t="shared" si="25"/>
        <v>146</v>
      </c>
      <c r="B164" s="255" t="str">
        <f t="shared" si="27"/>
        <v/>
      </c>
      <c r="C164" s="256">
        <f t="shared" si="28"/>
        <v>3047.1172825179469</v>
      </c>
      <c r="D164" s="257" t="str">
        <f t="shared" si="30"/>
        <v/>
      </c>
      <c r="F164" s="257" t="str">
        <f t="shared" si="31"/>
        <v/>
      </c>
      <c r="G164" s="257" t="str">
        <f t="shared" si="32"/>
        <v/>
      </c>
      <c r="H164" s="257" t="str">
        <f t="shared" si="33"/>
        <v/>
      </c>
      <c r="I164" s="220" t="e">
        <f t="shared" si="29"/>
        <v>#VALUE!</v>
      </c>
    </row>
    <row r="165" spans="1:9" x14ac:dyDescent="0.25">
      <c r="A165" s="254">
        <f t="shared" si="25"/>
        <v>147</v>
      </c>
      <c r="B165" s="255" t="str">
        <f t="shared" si="27"/>
        <v/>
      </c>
      <c r="C165" s="256">
        <f t="shared" si="28"/>
        <v>3047.1172825179469</v>
      </c>
      <c r="D165" s="257" t="str">
        <f t="shared" si="30"/>
        <v/>
      </c>
      <c r="F165" s="257" t="str">
        <f t="shared" si="31"/>
        <v/>
      </c>
      <c r="G165" s="257" t="str">
        <f t="shared" si="32"/>
        <v/>
      </c>
      <c r="H165" s="257" t="str">
        <f t="shared" si="33"/>
        <v/>
      </c>
      <c r="I165" s="220" t="e">
        <f t="shared" si="29"/>
        <v>#VALUE!</v>
      </c>
    </row>
    <row r="166" spans="1:9" x14ac:dyDescent="0.25">
      <c r="A166" s="254">
        <f t="shared" si="25"/>
        <v>148</v>
      </c>
      <c r="B166" s="255" t="str">
        <f t="shared" si="27"/>
        <v/>
      </c>
      <c r="C166" s="256">
        <f t="shared" si="28"/>
        <v>3047.1172825179469</v>
      </c>
      <c r="D166" s="257" t="str">
        <f t="shared" si="30"/>
        <v/>
      </c>
      <c r="F166" s="257" t="str">
        <f t="shared" si="31"/>
        <v/>
      </c>
      <c r="G166" s="257" t="str">
        <f t="shared" si="32"/>
        <v/>
      </c>
      <c r="H166" s="257" t="str">
        <f t="shared" si="33"/>
        <v/>
      </c>
      <c r="I166" s="220" t="e">
        <f t="shared" si="29"/>
        <v>#VALUE!</v>
      </c>
    </row>
    <row r="167" spans="1:9" x14ac:dyDescent="0.25">
      <c r="A167" s="254">
        <f t="shared" si="25"/>
        <v>149</v>
      </c>
      <c r="B167" s="255" t="str">
        <f t="shared" si="27"/>
        <v/>
      </c>
      <c r="C167" s="256">
        <f t="shared" si="28"/>
        <v>3047.1172825179469</v>
      </c>
      <c r="D167" s="257" t="str">
        <f t="shared" si="30"/>
        <v/>
      </c>
      <c r="F167" s="257" t="str">
        <f t="shared" si="31"/>
        <v/>
      </c>
      <c r="G167" s="257" t="str">
        <f t="shared" si="32"/>
        <v/>
      </c>
      <c r="H167" s="257" t="str">
        <f t="shared" si="33"/>
        <v/>
      </c>
      <c r="I167" s="220" t="e">
        <f t="shared" si="29"/>
        <v>#VALUE!</v>
      </c>
    </row>
    <row r="168" spans="1:9" x14ac:dyDescent="0.25">
      <c r="A168" s="254">
        <f t="shared" si="25"/>
        <v>150</v>
      </c>
      <c r="B168" s="255" t="str">
        <f t="shared" si="27"/>
        <v/>
      </c>
      <c r="C168" s="256">
        <f t="shared" si="28"/>
        <v>3047.1172825179469</v>
      </c>
      <c r="D168" s="257" t="str">
        <f t="shared" si="30"/>
        <v/>
      </c>
      <c r="F168" s="257" t="str">
        <f t="shared" si="31"/>
        <v/>
      </c>
      <c r="G168" s="257" t="str">
        <f t="shared" si="32"/>
        <v/>
      </c>
      <c r="H168" s="257" t="str">
        <f t="shared" si="33"/>
        <v/>
      </c>
      <c r="I168" s="220" t="e">
        <f t="shared" si="29"/>
        <v>#VALUE!</v>
      </c>
    </row>
    <row r="169" spans="1:9" x14ac:dyDescent="0.25">
      <c r="A169" s="254">
        <f t="shared" si="25"/>
        <v>151</v>
      </c>
      <c r="B169" s="255" t="str">
        <f t="shared" si="27"/>
        <v/>
      </c>
      <c r="C169" s="256">
        <f t="shared" si="28"/>
        <v>3047.1172825179469</v>
      </c>
      <c r="D169" s="257" t="str">
        <f t="shared" si="30"/>
        <v/>
      </c>
      <c r="F169" s="257" t="str">
        <f t="shared" si="31"/>
        <v/>
      </c>
      <c r="G169" s="257" t="str">
        <f t="shared" si="32"/>
        <v/>
      </c>
      <c r="H169" s="257" t="str">
        <f t="shared" si="33"/>
        <v/>
      </c>
      <c r="I169" s="220" t="e">
        <f t="shared" si="29"/>
        <v>#VALUE!</v>
      </c>
    </row>
    <row r="170" spans="1:9" x14ac:dyDescent="0.25">
      <c r="A170" s="254">
        <f t="shared" si="25"/>
        <v>152</v>
      </c>
      <c r="B170" s="255" t="str">
        <f t="shared" si="27"/>
        <v/>
      </c>
      <c r="C170" s="256">
        <f t="shared" si="28"/>
        <v>3047.1172825179469</v>
      </c>
      <c r="D170" s="257" t="str">
        <f t="shared" si="30"/>
        <v/>
      </c>
      <c r="F170" s="257" t="str">
        <f t="shared" si="31"/>
        <v/>
      </c>
      <c r="G170" s="257" t="str">
        <f t="shared" si="32"/>
        <v/>
      </c>
      <c r="H170" s="257" t="str">
        <f t="shared" si="33"/>
        <v/>
      </c>
      <c r="I170" s="220" t="e">
        <f t="shared" si="29"/>
        <v>#VALUE!</v>
      </c>
    </row>
    <row r="171" spans="1:9" x14ac:dyDescent="0.25">
      <c r="A171" s="254">
        <f t="shared" si="25"/>
        <v>153</v>
      </c>
      <c r="B171" s="255" t="str">
        <f t="shared" si="27"/>
        <v/>
      </c>
      <c r="C171" s="256">
        <f t="shared" si="28"/>
        <v>3047.1172825179469</v>
      </c>
      <c r="D171" s="257" t="str">
        <f t="shared" si="30"/>
        <v/>
      </c>
      <c r="F171" s="257" t="str">
        <f t="shared" si="31"/>
        <v/>
      </c>
      <c r="G171" s="257" t="str">
        <f t="shared" si="32"/>
        <v/>
      </c>
      <c r="H171" s="257" t="str">
        <f t="shared" si="33"/>
        <v/>
      </c>
      <c r="I171" s="220" t="e">
        <f t="shared" si="29"/>
        <v>#VALUE!</v>
      </c>
    </row>
    <row r="172" spans="1:9" x14ac:dyDescent="0.25">
      <c r="A172" s="254">
        <f t="shared" si="25"/>
        <v>154</v>
      </c>
      <c r="B172" s="255" t="str">
        <f t="shared" si="27"/>
        <v/>
      </c>
      <c r="C172" s="256">
        <f t="shared" si="28"/>
        <v>3047.1172825179469</v>
      </c>
      <c r="D172" s="257" t="str">
        <f t="shared" si="30"/>
        <v/>
      </c>
      <c r="F172" s="257" t="str">
        <f t="shared" si="31"/>
        <v/>
      </c>
      <c r="G172" s="257" t="str">
        <f t="shared" si="32"/>
        <v/>
      </c>
      <c r="H172" s="257" t="str">
        <f t="shared" si="33"/>
        <v/>
      </c>
      <c r="I172" s="220" t="e">
        <f t="shared" si="29"/>
        <v>#VALUE!</v>
      </c>
    </row>
    <row r="173" spans="1:9" x14ac:dyDescent="0.25">
      <c r="A173" s="254">
        <f t="shared" si="25"/>
        <v>155</v>
      </c>
      <c r="B173" s="255" t="str">
        <f t="shared" si="27"/>
        <v/>
      </c>
      <c r="C173" s="256">
        <f t="shared" si="28"/>
        <v>3047.1172825179469</v>
      </c>
      <c r="D173" s="257" t="str">
        <f t="shared" si="30"/>
        <v/>
      </c>
      <c r="F173" s="257" t="str">
        <f t="shared" si="31"/>
        <v/>
      </c>
      <c r="G173" s="257" t="str">
        <f t="shared" si="32"/>
        <v/>
      </c>
      <c r="H173" s="257" t="str">
        <f t="shared" si="33"/>
        <v/>
      </c>
      <c r="I173" s="220" t="e">
        <f t="shared" si="29"/>
        <v>#VALUE!</v>
      </c>
    </row>
    <row r="174" spans="1:9" x14ac:dyDescent="0.25">
      <c r="A174" s="254">
        <f t="shared" si="25"/>
        <v>156</v>
      </c>
      <c r="B174" s="255" t="str">
        <f t="shared" si="27"/>
        <v/>
      </c>
      <c r="C174" s="256">
        <f t="shared" si="28"/>
        <v>3047.1172825179469</v>
      </c>
      <c r="D174" s="257" t="str">
        <f t="shared" si="30"/>
        <v/>
      </c>
      <c r="F174" s="257" t="str">
        <f t="shared" si="31"/>
        <v/>
      </c>
      <c r="G174" s="257" t="str">
        <f t="shared" si="32"/>
        <v/>
      </c>
      <c r="H174" s="257" t="str">
        <f t="shared" si="33"/>
        <v/>
      </c>
      <c r="I174" s="220" t="e">
        <f t="shared" si="29"/>
        <v>#VALUE!</v>
      </c>
    </row>
    <row r="175" spans="1:9" x14ac:dyDescent="0.25">
      <c r="A175" s="254">
        <f t="shared" si="25"/>
        <v>157</v>
      </c>
      <c r="B175" s="255" t="str">
        <f t="shared" si="27"/>
        <v/>
      </c>
      <c r="C175" s="256">
        <f t="shared" si="28"/>
        <v>3047.1172825179469</v>
      </c>
      <c r="D175" s="257" t="str">
        <f t="shared" si="30"/>
        <v/>
      </c>
      <c r="F175" s="257" t="str">
        <f t="shared" si="31"/>
        <v/>
      </c>
      <c r="G175" s="257" t="str">
        <f t="shared" si="32"/>
        <v/>
      </c>
      <c r="H175" s="257" t="str">
        <f t="shared" si="33"/>
        <v/>
      </c>
      <c r="I175" s="220" t="e">
        <f t="shared" si="29"/>
        <v>#VALUE!</v>
      </c>
    </row>
    <row r="176" spans="1:9" x14ac:dyDescent="0.25">
      <c r="A176" s="254">
        <f t="shared" si="25"/>
        <v>158</v>
      </c>
      <c r="B176" s="255" t="str">
        <f t="shared" si="27"/>
        <v/>
      </c>
      <c r="C176" s="256">
        <f t="shared" si="28"/>
        <v>3047.1172825179469</v>
      </c>
      <c r="D176" s="257" t="str">
        <f t="shared" si="30"/>
        <v/>
      </c>
      <c r="F176" s="257" t="str">
        <f t="shared" si="31"/>
        <v/>
      </c>
      <c r="G176" s="257" t="str">
        <f t="shared" si="32"/>
        <v/>
      </c>
      <c r="H176" s="257" t="str">
        <f t="shared" si="33"/>
        <v/>
      </c>
      <c r="I176" s="220" t="e">
        <f t="shared" si="29"/>
        <v>#VALUE!</v>
      </c>
    </row>
    <row r="177" spans="1:9" x14ac:dyDescent="0.25">
      <c r="A177" s="254">
        <f t="shared" si="25"/>
        <v>159</v>
      </c>
      <c r="B177" s="255" t="str">
        <f t="shared" si="27"/>
        <v/>
      </c>
      <c r="C177" s="256">
        <f t="shared" si="28"/>
        <v>3047.1172825179469</v>
      </c>
      <c r="D177" s="257" t="str">
        <f t="shared" si="30"/>
        <v/>
      </c>
      <c r="F177" s="257" t="str">
        <f t="shared" si="31"/>
        <v/>
      </c>
      <c r="G177" s="257" t="str">
        <f t="shared" si="32"/>
        <v/>
      </c>
      <c r="H177" s="257" t="str">
        <f t="shared" si="33"/>
        <v/>
      </c>
      <c r="I177" s="220" t="e">
        <f t="shared" si="29"/>
        <v>#VALUE!</v>
      </c>
    </row>
    <row r="178" spans="1:9" x14ac:dyDescent="0.25">
      <c r="A178" s="254">
        <f t="shared" si="25"/>
        <v>160</v>
      </c>
      <c r="B178" s="255" t="str">
        <f t="shared" si="27"/>
        <v/>
      </c>
      <c r="C178" s="256">
        <f t="shared" si="28"/>
        <v>3047.1172825179469</v>
      </c>
      <c r="D178" s="257" t="str">
        <f t="shared" si="30"/>
        <v/>
      </c>
      <c r="F178" s="257" t="str">
        <f t="shared" si="31"/>
        <v/>
      </c>
      <c r="G178" s="257" t="str">
        <f t="shared" si="32"/>
        <v/>
      </c>
      <c r="H178" s="257" t="str">
        <f t="shared" si="33"/>
        <v/>
      </c>
      <c r="I178" s="220" t="e">
        <f t="shared" si="29"/>
        <v>#VALUE!</v>
      </c>
    </row>
    <row r="179" spans="1:9" x14ac:dyDescent="0.25">
      <c r="A179" s="254">
        <f t="shared" si="25"/>
        <v>161</v>
      </c>
      <c r="B179" s="255" t="str">
        <f t="shared" si="27"/>
        <v/>
      </c>
      <c r="C179" s="256">
        <f t="shared" si="28"/>
        <v>3047.1172825179469</v>
      </c>
      <c r="D179" s="257" t="str">
        <f t="shared" si="30"/>
        <v/>
      </c>
      <c r="F179" s="257" t="str">
        <f t="shared" si="31"/>
        <v/>
      </c>
      <c r="G179" s="257" t="str">
        <f t="shared" si="32"/>
        <v/>
      </c>
      <c r="H179" s="257" t="str">
        <f t="shared" si="33"/>
        <v/>
      </c>
      <c r="I179" s="220" t="e">
        <f t="shared" si="29"/>
        <v>#VALUE!</v>
      </c>
    </row>
    <row r="180" spans="1:9" x14ac:dyDescent="0.25">
      <c r="A180" s="254">
        <f t="shared" si="25"/>
        <v>162</v>
      </c>
      <c r="B180" s="255" t="str">
        <f t="shared" si="27"/>
        <v/>
      </c>
      <c r="C180" s="256">
        <f t="shared" si="28"/>
        <v>3047.1172825179469</v>
      </c>
      <c r="D180" s="257" t="str">
        <f t="shared" si="30"/>
        <v/>
      </c>
      <c r="F180" s="257" t="str">
        <f t="shared" si="31"/>
        <v/>
      </c>
      <c r="G180" s="257" t="str">
        <f t="shared" si="32"/>
        <v/>
      </c>
      <c r="H180" s="257" t="str">
        <f t="shared" si="33"/>
        <v/>
      </c>
      <c r="I180" s="220" t="e">
        <f t="shared" si="29"/>
        <v>#VALUE!</v>
      </c>
    </row>
    <row r="181" spans="1:9" x14ac:dyDescent="0.25">
      <c r="A181" s="254">
        <f t="shared" si="25"/>
        <v>163</v>
      </c>
      <c r="B181" s="255" t="str">
        <f t="shared" si="27"/>
        <v/>
      </c>
      <c r="C181" s="256">
        <f t="shared" si="28"/>
        <v>3047.1172825179469</v>
      </c>
      <c r="D181" s="257" t="str">
        <f t="shared" si="30"/>
        <v/>
      </c>
      <c r="F181" s="257" t="str">
        <f t="shared" si="31"/>
        <v/>
      </c>
      <c r="G181" s="257" t="str">
        <f t="shared" si="32"/>
        <v/>
      </c>
      <c r="H181" s="257" t="str">
        <f t="shared" si="33"/>
        <v/>
      </c>
      <c r="I181" s="220" t="e">
        <f t="shared" si="29"/>
        <v>#VALUE!</v>
      </c>
    </row>
    <row r="182" spans="1:9" x14ac:dyDescent="0.25">
      <c r="A182" s="254">
        <f t="shared" si="25"/>
        <v>164</v>
      </c>
      <c r="B182" s="255" t="str">
        <f t="shared" si="27"/>
        <v/>
      </c>
      <c r="C182" s="256">
        <f t="shared" si="28"/>
        <v>3047.1172825179469</v>
      </c>
      <c r="D182" s="257" t="str">
        <f t="shared" si="30"/>
        <v/>
      </c>
      <c r="F182" s="257" t="str">
        <f t="shared" si="31"/>
        <v/>
      </c>
      <c r="G182" s="257" t="str">
        <f t="shared" si="32"/>
        <v/>
      </c>
      <c r="H182" s="257" t="str">
        <f t="shared" si="33"/>
        <v/>
      </c>
      <c r="I182" s="220" t="e">
        <f t="shared" si="29"/>
        <v>#VALUE!</v>
      </c>
    </row>
    <row r="183" spans="1:9" x14ac:dyDescent="0.25">
      <c r="A183" s="254">
        <f t="shared" si="25"/>
        <v>165</v>
      </c>
      <c r="B183" s="255" t="str">
        <f t="shared" si="27"/>
        <v/>
      </c>
      <c r="C183" s="256">
        <f t="shared" si="28"/>
        <v>3047.1172825179469</v>
      </c>
      <c r="D183" s="257" t="str">
        <f t="shared" si="30"/>
        <v/>
      </c>
      <c r="F183" s="257" t="str">
        <f t="shared" si="31"/>
        <v/>
      </c>
      <c r="G183" s="257" t="str">
        <f t="shared" si="32"/>
        <v/>
      </c>
      <c r="H183" s="257" t="str">
        <f t="shared" si="33"/>
        <v/>
      </c>
      <c r="I183" s="220" t="e">
        <f t="shared" si="29"/>
        <v>#VALUE!</v>
      </c>
    </row>
    <row r="184" spans="1:9" x14ac:dyDescent="0.25">
      <c r="A184" s="254">
        <f t="shared" si="25"/>
        <v>166</v>
      </c>
      <c r="B184" s="255" t="str">
        <f t="shared" si="27"/>
        <v/>
      </c>
      <c r="C184" s="256">
        <f t="shared" si="28"/>
        <v>3047.1172825179469</v>
      </c>
      <c r="D184" s="257" t="str">
        <f t="shared" si="30"/>
        <v/>
      </c>
      <c r="F184" s="257" t="str">
        <f t="shared" si="31"/>
        <v/>
      </c>
      <c r="G184" s="257" t="str">
        <f t="shared" si="32"/>
        <v/>
      </c>
      <c r="H184" s="257" t="str">
        <f t="shared" si="33"/>
        <v/>
      </c>
      <c r="I184" s="220" t="e">
        <f t="shared" si="29"/>
        <v>#VALUE!</v>
      </c>
    </row>
    <row r="185" spans="1:9" x14ac:dyDescent="0.25">
      <c r="A185" s="254">
        <f t="shared" ref="A185:A248" si="34">A184+1</f>
        <v>167</v>
      </c>
      <c r="B185" s="255" t="str">
        <f t="shared" si="27"/>
        <v/>
      </c>
      <c r="C185" s="256">
        <f t="shared" si="28"/>
        <v>3047.1172825179469</v>
      </c>
      <c r="D185" s="257" t="str">
        <f t="shared" si="30"/>
        <v/>
      </c>
      <c r="F185" s="257" t="str">
        <f t="shared" si="31"/>
        <v/>
      </c>
      <c r="G185" s="257" t="str">
        <f t="shared" si="32"/>
        <v/>
      </c>
      <c r="H185" s="257" t="str">
        <f t="shared" si="33"/>
        <v/>
      </c>
      <c r="I185" s="220" t="e">
        <f t="shared" si="29"/>
        <v>#VALUE!</v>
      </c>
    </row>
    <row r="186" spans="1:9" x14ac:dyDescent="0.25">
      <c r="A186" s="254">
        <f t="shared" si="34"/>
        <v>168</v>
      </c>
      <c r="B186" s="255" t="str">
        <f t="shared" si="27"/>
        <v/>
      </c>
      <c r="C186" s="256">
        <f t="shared" si="28"/>
        <v>3047.1172825179469</v>
      </c>
      <c r="D186" s="257" t="str">
        <f t="shared" si="30"/>
        <v/>
      </c>
      <c r="F186" s="257" t="str">
        <f t="shared" si="31"/>
        <v/>
      </c>
      <c r="G186" s="257" t="str">
        <f t="shared" si="32"/>
        <v/>
      </c>
      <c r="H186" s="257" t="str">
        <f t="shared" si="33"/>
        <v/>
      </c>
      <c r="I186" s="220" t="e">
        <f t="shared" si="29"/>
        <v>#VALUE!</v>
      </c>
    </row>
    <row r="187" spans="1:9" x14ac:dyDescent="0.25">
      <c r="A187" s="254">
        <f t="shared" si="34"/>
        <v>169</v>
      </c>
      <c r="B187" s="255" t="str">
        <f t="shared" si="27"/>
        <v/>
      </c>
      <c r="C187" s="256">
        <f t="shared" si="28"/>
        <v>3047.1172825179469</v>
      </c>
      <c r="D187" s="257" t="str">
        <f t="shared" si="30"/>
        <v/>
      </c>
      <c r="F187" s="257" t="str">
        <f t="shared" si="31"/>
        <v/>
      </c>
      <c r="G187" s="257" t="str">
        <f t="shared" si="32"/>
        <v/>
      </c>
      <c r="H187" s="257" t="str">
        <f t="shared" si="33"/>
        <v/>
      </c>
      <c r="I187" s="220" t="e">
        <f t="shared" si="29"/>
        <v>#VALUE!</v>
      </c>
    </row>
    <row r="188" spans="1:9" x14ac:dyDescent="0.25">
      <c r="A188" s="254">
        <f t="shared" si="34"/>
        <v>170</v>
      </c>
      <c r="B188" s="255" t="str">
        <f t="shared" si="27"/>
        <v/>
      </c>
      <c r="C188" s="256">
        <f t="shared" si="28"/>
        <v>3047.1172825179469</v>
      </c>
      <c r="D188" s="257" t="str">
        <f t="shared" si="30"/>
        <v/>
      </c>
      <c r="F188" s="257" t="str">
        <f t="shared" si="31"/>
        <v/>
      </c>
      <c r="G188" s="257" t="str">
        <f t="shared" si="32"/>
        <v/>
      </c>
      <c r="H188" s="257" t="str">
        <f t="shared" si="33"/>
        <v/>
      </c>
      <c r="I188" s="220" t="e">
        <f t="shared" si="29"/>
        <v>#VALUE!</v>
      </c>
    </row>
    <row r="189" spans="1:9" x14ac:dyDescent="0.25">
      <c r="A189" s="254">
        <f t="shared" si="34"/>
        <v>171</v>
      </c>
      <c r="B189" s="255" t="str">
        <f t="shared" si="27"/>
        <v/>
      </c>
      <c r="C189" s="256">
        <f t="shared" si="28"/>
        <v>3047.1172825179469</v>
      </c>
      <c r="D189" s="257" t="str">
        <f t="shared" si="30"/>
        <v/>
      </c>
      <c r="F189" s="257" t="str">
        <f t="shared" si="31"/>
        <v/>
      </c>
      <c r="G189" s="257" t="str">
        <f t="shared" si="32"/>
        <v/>
      </c>
      <c r="H189" s="257" t="str">
        <f t="shared" si="33"/>
        <v/>
      </c>
      <c r="I189" s="220" t="e">
        <f t="shared" si="29"/>
        <v>#VALUE!</v>
      </c>
    </row>
    <row r="190" spans="1:9" x14ac:dyDescent="0.25">
      <c r="A190" s="254">
        <f t="shared" si="34"/>
        <v>172</v>
      </c>
      <c r="B190" s="255" t="str">
        <f t="shared" si="27"/>
        <v/>
      </c>
      <c r="C190" s="256">
        <f t="shared" si="28"/>
        <v>3047.1172825179469</v>
      </c>
      <c r="D190" s="257" t="str">
        <f t="shared" si="30"/>
        <v/>
      </c>
      <c r="F190" s="257" t="str">
        <f t="shared" si="31"/>
        <v/>
      </c>
      <c r="G190" s="257" t="str">
        <f t="shared" si="32"/>
        <v/>
      </c>
      <c r="H190" s="257" t="str">
        <f t="shared" si="33"/>
        <v/>
      </c>
      <c r="I190" s="220" t="e">
        <f t="shared" si="29"/>
        <v>#VALUE!</v>
      </c>
    </row>
    <row r="191" spans="1:9" x14ac:dyDescent="0.25">
      <c r="A191" s="254">
        <f t="shared" si="34"/>
        <v>173</v>
      </c>
      <c r="B191" s="255" t="str">
        <f t="shared" si="27"/>
        <v/>
      </c>
      <c r="C191" s="256">
        <f t="shared" si="28"/>
        <v>3047.1172825179469</v>
      </c>
      <c r="D191" s="257" t="str">
        <f t="shared" si="30"/>
        <v/>
      </c>
      <c r="F191" s="257" t="str">
        <f t="shared" si="31"/>
        <v/>
      </c>
      <c r="G191" s="257" t="str">
        <f t="shared" si="32"/>
        <v/>
      </c>
      <c r="H191" s="257" t="str">
        <f t="shared" si="33"/>
        <v/>
      </c>
      <c r="I191" s="220" t="e">
        <f t="shared" si="29"/>
        <v>#VALUE!</v>
      </c>
    </row>
    <row r="192" spans="1:9" x14ac:dyDescent="0.25">
      <c r="A192" s="254">
        <f t="shared" si="34"/>
        <v>174</v>
      </c>
      <c r="B192" s="255" t="str">
        <f t="shared" si="27"/>
        <v/>
      </c>
      <c r="C192" s="256">
        <f t="shared" si="28"/>
        <v>3047.1172825179469</v>
      </c>
      <c r="D192" s="257" t="str">
        <f t="shared" si="30"/>
        <v/>
      </c>
      <c r="F192" s="257" t="str">
        <f t="shared" si="31"/>
        <v/>
      </c>
      <c r="G192" s="257" t="str">
        <f t="shared" si="32"/>
        <v/>
      </c>
      <c r="H192" s="257" t="str">
        <f t="shared" si="33"/>
        <v/>
      </c>
      <c r="I192" s="220" t="e">
        <f t="shared" si="29"/>
        <v>#VALUE!</v>
      </c>
    </row>
    <row r="193" spans="1:9" x14ac:dyDescent="0.25">
      <c r="A193" s="254">
        <f t="shared" si="34"/>
        <v>175</v>
      </c>
      <c r="B193" s="255" t="str">
        <f t="shared" si="27"/>
        <v/>
      </c>
      <c r="C193" s="256">
        <f t="shared" si="28"/>
        <v>3047.1172825179469</v>
      </c>
      <c r="D193" s="257" t="str">
        <f t="shared" si="30"/>
        <v/>
      </c>
      <c r="F193" s="257" t="str">
        <f t="shared" si="31"/>
        <v/>
      </c>
      <c r="G193" s="257" t="str">
        <f t="shared" si="32"/>
        <v/>
      </c>
      <c r="H193" s="257" t="str">
        <f t="shared" si="33"/>
        <v/>
      </c>
      <c r="I193" s="220" t="e">
        <f t="shared" si="29"/>
        <v>#VALUE!</v>
      </c>
    </row>
    <row r="194" spans="1:9" x14ac:dyDescent="0.25">
      <c r="A194" s="254">
        <f t="shared" si="34"/>
        <v>176</v>
      </c>
      <c r="B194" s="255" t="str">
        <f t="shared" si="27"/>
        <v/>
      </c>
      <c r="C194" s="256">
        <f t="shared" si="28"/>
        <v>3047.1172825179469</v>
      </c>
      <c r="D194" s="257" t="str">
        <f t="shared" si="30"/>
        <v/>
      </c>
      <c r="F194" s="257" t="str">
        <f t="shared" si="31"/>
        <v/>
      </c>
      <c r="G194" s="257" t="str">
        <f t="shared" si="32"/>
        <v/>
      </c>
      <c r="H194" s="257" t="str">
        <f t="shared" si="33"/>
        <v/>
      </c>
      <c r="I194" s="220" t="e">
        <f t="shared" si="29"/>
        <v>#VALUE!</v>
      </c>
    </row>
    <row r="195" spans="1:9" x14ac:dyDescent="0.25">
      <c r="A195" s="254">
        <f t="shared" si="34"/>
        <v>177</v>
      </c>
      <c r="B195" s="255" t="str">
        <f t="shared" si="27"/>
        <v/>
      </c>
      <c r="C195" s="256">
        <f t="shared" si="28"/>
        <v>3047.1172825179469</v>
      </c>
      <c r="D195" s="257" t="str">
        <f t="shared" si="30"/>
        <v/>
      </c>
      <c r="F195" s="257" t="str">
        <f t="shared" si="31"/>
        <v/>
      </c>
      <c r="G195" s="257" t="str">
        <f t="shared" si="32"/>
        <v/>
      </c>
      <c r="H195" s="257" t="str">
        <f t="shared" si="33"/>
        <v/>
      </c>
      <c r="I195" s="220" t="e">
        <f t="shared" si="29"/>
        <v>#VALUE!</v>
      </c>
    </row>
    <row r="196" spans="1:9" x14ac:dyDescent="0.25">
      <c r="A196" s="254">
        <f t="shared" si="34"/>
        <v>178</v>
      </c>
      <c r="B196" s="255" t="str">
        <f t="shared" si="27"/>
        <v/>
      </c>
      <c r="C196" s="256">
        <f t="shared" si="28"/>
        <v>3047.1172825179469</v>
      </c>
      <c r="D196" s="257" t="str">
        <f t="shared" si="30"/>
        <v/>
      </c>
      <c r="F196" s="257" t="str">
        <f t="shared" si="31"/>
        <v/>
      </c>
      <c r="G196" s="257" t="str">
        <f t="shared" si="32"/>
        <v/>
      </c>
      <c r="H196" s="257" t="str">
        <f t="shared" si="33"/>
        <v/>
      </c>
      <c r="I196" s="220" t="e">
        <f t="shared" si="29"/>
        <v>#VALUE!</v>
      </c>
    </row>
    <row r="197" spans="1:9" x14ac:dyDescent="0.25">
      <c r="A197" s="254">
        <f t="shared" si="34"/>
        <v>179</v>
      </c>
      <c r="B197" s="255" t="str">
        <f t="shared" si="27"/>
        <v/>
      </c>
      <c r="C197" s="256">
        <f t="shared" si="28"/>
        <v>3047.1172825179469</v>
      </c>
      <c r="D197" s="257" t="str">
        <f t="shared" si="30"/>
        <v/>
      </c>
      <c r="F197" s="257" t="str">
        <f t="shared" si="31"/>
        <v/>
      </c>
      <c r="G197" s="257" t="str">
        <f t="shared" si="32"/>
        <v/>
      </c>
      <c r="H197" s="257" t="str">
        <f t="shared" si="33"/>
        <v/>
      </c>
      <c r="I197" s="220" t="e">
        <f t="shared" si="29"/>
        <v>#VALUE!</v>
      </c>
    </row>
    <row r="198" spans="1:9" x14ac:dyDescent="0.25">
      <c r="A198" s="254">
        <f t="shared" si="34"/>
        <v>180</v>
      </c>
      <c r="B198" s="255" t="str">
        <f t="shared" si="27"/>
        <v/>
      </c>
      <c r="C198" s="256">
        <f t="shared" si="28"/>
        <v>3047.1172825179469</v>
      </c>
      <c r="D198" s="257" t="str">
        <f t="shared" si="30"/>
        <v/>
      </c>
      <c r="F198" s="257" t="str">
        <f t="shared" si="31"/>
        <v/>
      </c>
      <c r="G198" s="257" t="str">
        <f t="shared" si="32"/>
        <v/>
      </c>
      <c r="H198" s="257" t="str">
        <f t="shared" si="33"/>
        <v/>
      </c>
      <c r="I198" s="220" t="e">
        <f t="shared" si="29"/>
        <v>#VALUE!</v>
      </c>
    </row>
    <row r="199" spans="1:9" x14ac:dyDescent="0.25">
      <c r="A199" s="254">
        <f t="shared" si="34"/>
        <v>181</v>
      </c>
      <c r="B199" s="255" t="str">
        <f t="shared" si="27"/>
        <v/>
      </c>
      <c r="C199" s="256">
        <f t="shared" si="28"/>
        <v>3047.1172825179469</v>
      </c>
      <c r="D199" s="257" t="str">
        <f t="shared" si="30"/>
        <v/>
      </c>
      <c r="F199" s="257" t="str">
        <f t="shared" si="31"/>
        <v/>
      </c>
      <c r="G199" s="257" t="str">
        <f t="shared" si="32"/>
        <v/>
      </c>
      <c r="H199" s="257" t="str">
        <f t="shared" si="33"/>
        <v/>
      </c>
      <c r="I199" s="220" t="e">
        <f t="shared" si="29"/>
        <v>#VALUE!</v>
      </c>
    </row>
    <row r="200" spans="1:9" x14ac:dyDescent="0.25">
      <c r="A200" s="254">
        <f t="shared" si="34"/>
        <v>182</v>
      </c>
      <c r="B200" s="255" t="str">
        <f t="shared" si="27"/>
        <v/>
      </c>
      <c r="C200" s="256">
        <f t="shared" si="28"/>
        <v>3047.1172825179469</v>
      </c>
      <c r="D200" s="257" t="str">
        <f t="shared" si="30"/>
        <v/>
      </c>
      <c r="F200" s="257" t="str">
        <f t="shared" si="31"/>
        <v/>
      </c>
      <c r="G200" s="257" t="str">
        <f t="shared" si="32"/>
        <v/>
      </c>
      <c r="H200" s="257" t="str">
        <f t="shared" si="33"/>
        <v/>
      </c>
      <c r="I200" s="220" t="e">
        <f t="shared" si="29"/>
        <v>#VALUE!</v>
      </c>
    </row>
    <row r="201" spans="1:9" x14ac:dyDescent="0.25">
      <c r="A201" s="254">
        <f t="shared" si="34"/>
        <v>183</v>
      </c>
      <c r="B201" s="255" t="str">
        <f t="shared" si="27"/>
        <v/>
      </c>
      <c r="C201" s="256">
        <f t="shared" si="28"/>
        <v>3047.1172825179469</v>
      </c>
      <c r="D201" s="257" t="str">
        <f t="shared" si="30"/>
        <v/>
      </c>
      <c r="F201" s="257" t="str">
        <f t="shared" si="31"/>
        <v/>
      </c>
      <c r="G201" s="257" t="str">
        <f t="shared" si="32"/>
        <v/>
      </c>
      <c r="H201" s="257" t="str">
        <f t="shared" si="33"/>
        <v/>
      </c>
      <c r="I201" s="220" t="e">
        <f t="shared" si="29"/>
        <v>#VALUE!</v>
      </c>
    </row>
    <row r="202" spans="1:9" x14ac:dyDescent="0.25">
      <c r="A202" s="254">
        <f t="shared" si="34"/>
        <v>184</v>
      </c>
      <c r="B202" s="255" t="str">
        <f t="shared" si="27"/>
        <v/>
      </c>
      <c r="C202" s="256">
        <f t="shared" si="28"/>
        <v>3047.1172825179469</v>
      </c>
      <c r="D202" s="257" t="str">
        <f t="shared" si="30"/>
        <v/>
      </c>
      <c r="F202" s="257" t="str">
        <f t="shared" si="31"/>
        <v/>
      </c>
      <c r="G202" s="257" t="str">
        <f t="shared" si="32"/>
        <v/>
      </c>
      <c r="H202" s="257" t="str">
        <f t="shared" si="33"/>
        <v/>
      </c>
      <c r="I202" s="220" t="e">
        <f t="shared" si="29"/>
        <v>#VALUE!</v>
      </c>
    </row>
    <row r="203" spans="1:9" x14ac:dyDescent="0.25">
      <c r="A203" s="254">
        <f t="shared" si="34"/>
        <v>185</v>
      </c>
      <c r="B203" s="255" t="str">
        <f t="shared" si="27"/>
        <v/>
      </c>
      <c r="C203" s="256">
        <f t="shared" si="28"/>
        <v>3047.1172825179469</v>
      </c>
      <c r="D203" s="257" t="str">
        <f t="shared" si="30"/>
        <v/>
      </c>
      <c r="F203" s="257" t="str">
        <f t="shared" si="31"/>
        <v/>
      </c>
      <c r="G203" s="257" t="str">
        <f t="shared" si="32"/>
        <v/>
      </c>
      <c r="H203" s="257" t="str">
        <f t="shared" si="33"/>
        <v/>
      </c>
      <c r="I203" s="220" t="e">
        <f t="shared" si="29"/>
        <v>#VALUE!</v>
      </c>
    </row>
    <row r="204" spans="1:9" x14ac:dyDescent="0.25">
      <c r="A204" s="254">
        <f t="shared" si="34"/>
        <v>186</v>
      </c>
      <c r="B204" s="255" t="str">
        <f t="shared" si="27"/>
        <v/>
      </c>
      <c r="C204" s="256">
        <f t="shared" si="28"/>
        <v>3047.1172825179469</v>
      </c>
      <c r="D204" s="257" t="str">
        <f t="shared" si="30"/>
        <v/>
      </c>
      <c r="F204" s="257" t="str">
        <f t="shared" si="31"/>
        <v/>
      </c>
      <c r="G204" s="257" t="str">
        <f t="shared" si="32"/>
        <v/>
      </c>
      <c r="H204" s="257" t="str">
        <f t="shared" si="33"/>
        <v/>
      </c>
      <c r="I204" s="220" t="e">
        <f t="shared" si="29"/>
        <v>#VALUE!</v>
      </c>
    </row>
    <row r="205" spans="1:9" x14ac:dyDescent="0.25">
      <c r="A205" s="254">
        <f t="shared" si="34"/>
        <v>187</v>
      </c>
      <c r="B205" s="255" t="str">
        <f t="shared" si="27"/>
        <v/>
      </c>
      <c r="C205" s="256">
        <f t="shared" si="28"/>
        <v>3047.1172825179469</v>
      </c>
      <c r="D205" s="257" t="str">
        <f t="shared" si="30"/>
        <v/>
      </c>
      <c r="F205" s="257" t="str">
        <f t="shared" si="31"/>
        <v/>
      </c>
      <c r="G205" s="257" t="str">
        <f t="shared" si="32"/>
        <v/>
      </c>
      <c r="H205" s="257" t="str">
        <f t="shared" si="33"/>
        <v/>
      </c>
      <c r="I205" s="220" t="e">
        <f t="shared" si="29"/>
        <v>#VALUE!</v>
      </c>
    </row>
    <row r="206" spans="1:9" x14ac:dyDescent="0.25">
      <c r="A206" s="254">
        <f t="shared" si="34"/>
        <v>188</v>
      </c>
      <c r="B206" s="255" t="str">
        <f t="shared" si="27"/>
        <v/>
      </c>
      <c r="C206" s="256">
        <f t="shared" si="28"/>
        <v>3047.1172825179469</v>
      </c>
      <c r="D206" s="257" t="str">
        <f t="shared" si="30"/>
        <v/>
      </c>
      <c r="F206" s="257" t="str">
        <f t="shared" si="31"/>
        <v/>
      </c>
      <c r="G206" s="257" t="str">
        <f t="shared" si="32"/>
        <v/>
      </c>
      <c r="H206" s="257" t="str">
        <f t="shared" si="33"/>
        <v/>
      </c>
      <c r="I206" s="220" t="e">
        <f t="shared" si="29"/>
        <v>#VALUE!</v>
      </c>
    </row>
    <row r="207" spans="1:9" x14ac:dyDescent="0.25">
      <c r="A207" s="254">
        <f t="shared" si="34"/>
        <v>189</v>
      </c>
      <c r="B207" s="255" t="str">
        <f t="shared" si="27"/>
        <v/>
      </c>
      <c r="C207" s="256">
        <f t="shared" si="28"/>
        <v>3047.1172825179469</v>
      </c>
      <c r="D207" s="257" t="str">
        <f t="shared" si="30"/>
        <v/>
      </c>
      <c r="F207" s="257" t="str">
        <f t="shared" si="31"/>
        <v/>
      </c>
      <c r="G207" s="257" t="str">
        <f t="shared" si="32"/>
        <v/>
      </c>
      <c r="H207" s="257" t="str">
        <f t="shared" si="33"/>
        <v/>
      </c>
      <c r="I207" s="220" t="e">
        <f t="shared" si="29"/>
        <v>#VALUE!</v>
      </c>
    </row>
    <row r="208" spans="1:9" x14ac:dyDescent="0.25">
      <c r="A208" s="254">
        <f t="shared" si="34"/>
        <v>190</v>
      </c>
      <c r="B208" s="255" t="str">
        <f t="shared" si="27"/>
        <v/>
      </c>
      <c r="C208" s="256">
        <f t="shared" si="28"/>
        <v>3047.1172825179469</v>
      </c>
      <c r="D208" s="257" t="str">
        <f t="shared" si="30"/>
        <v/>
      </c>
      <c r="F208" s="257" t="str">
        <f t="shared" si="31"/>
        <v/>
      </c>
      <c r="G208" s="257" t="str">
        <f t="shared" si="32"/>
        <v/>
      </c>
      <c r="H208" s="257" t="str">
        <f t="shared" si="33"/>
        <v/>
      </c>
      <c r="I208" s="220" t="e">
        <f t="shared" si="29"/>
        <v>#VALUE!</v>
      </c>
    </row>
    <row r="209" spans="1:9" x14ac:dyDescent="0.25">
      <c r="A209" s="254">
        <f t="shared" si="34"/>
        <v>191</v>
      </c>
      <c r="B209" s="255" t="str">
        <f t="shared" si="27"/>
        <v/>
      </c>
      <c r="C209" s="256">
        <f t="shared" si="28"/>
        <v>3047.1172825179469</v>
      </c>
      <c r="D209" s="257" t="str">
        <f t="shared" si="30"/>
        <v/>
      </c>
      <c r="F209" s="257" t="str">
        <f t="shared" si="31"/>
        <v/>
      </c>
      <c r="G209" s="257" t="str">
        <f t="shared" si="32"/>
        <v/>
      </c>
      <c r="H209" s="257" t="str">
        <f t="shared" si="33"/>
        <v/>
      </c>
      <c r="I209" s="220" t="e">
        <f t="shared" si="29"/>
        <v>#VALUE!</v>
      </c>
    </row>
    <row r="210" spans="1:9" x14ac:dyDescent="0.25">
      <c r="A210" s="254">
        <f t="shared" si="34"/>
        <v>192</v>
      </c>
      <c r="B210" s="255" t="str">
        <f t="shared" si="27"/>
        <v/>
      </c>
      <c r="C210" s="256">
        <f t="shared" si="28"/>
        <v>3047.1172825179469</v>
      </c>
      <c r="D210" s="257" t="str">
        <f t="shared" si="30"/>
        <v/>
      </c>
      <c r="F210" s="257" t="str">
        <f t="shared" si="31"/>
        <v/>
      </c>
      <c r="G210" s="257" t="str">
        <f t="shared" si="32"/>
        <v/>
      </c>
      <c r="H210" s="257" t="str">
        <f t="shared" si="33"/>
        <v/>
      </c>
      <c r="I210" s="220" t="e">
        <f t="shared" si="29"/>
        <v>#VALUE!</v>
      </c>
    </row>
    <row r="211" spans="1:9" x14ac:dyDescent="0.25">
      <c r="A211" s="254">
        <f t="shared" si="34"/>
        <v>193</v>
      </c>
      <c r="B211" s="255" t="str">
        <f t="shared" si="27"/>
        <v/>
      </c>
      <c r="C211" s="256">
        <f t="shared" si="28"/>
        <v>3047.1172825179469</v>
      </c>
      <c r="D211" s="257" t="str">
        <f t="shared" si="30"/>
        <v/>
      </c>
      <c r="F211" s="257" t="str">
        <f t="shared" si="31"/>
        <v/>
      </c>
      <c r="G211" s="257" t="str">
        <f t="shared" si="32"/>
        <v/>
      </c>
      <c r="H211" s="257" t="str">
        <f t="shared" si="33"/>
        <v/>
      </c>
      <c r="I211" s="220" t="e">
        <f t="shared" si="29"/>
        <v>#VALUE!</v>
      </c>
    </row>
    <row r="212" spans="1:9" x14ac:dyDescent="0.25">
      <c r="A212" s="254">
        <f t="shared" si="34"/>
        <v>194</v>
      </c>
      <c r="B212" s="255" t="str">
        <f t="shared" ref="B212:B275" si="35">IF(A212&gt;$H$11,"",DATE(YEAR(B211),MONTH(B211)+1,1))</f>
        <v/>
      </c>
      <c r="C212" s="256">
        <f t="shared" ref="C212:C275" si="36">IF($H$15=0,-$D$14,IF(OR(A212=$H$11,A212=$H$14),G211+D212+E212,IF(B212="","",ROUND((B212-B211)*($H$9+$H$10*$I$10)*G211,2))))</f>
        <v>3047.1172825179469</v>
      </c>
      <c r="D212" s="257" t="str">
        <f t="shared" si="30"/>
        <v/>
      </c>
      <c r="F212" s="257" t="str">
        <f t="shared" si="31"/>
        <v/>
      </c>
      <c r="G212" s="257" t="str">
        <f t="shared" si="32"/>
        <v/>
      </c>
      <c r="H212" s="257" t="str">
        <f t="shared" si="33"/>
        <v/>
      </c>
      <c r="I212" s="220" t="e">
        <f t="shared" ref="I212:I275" si="37">YEAR(B212)</f>
        <v>#VALUE!</v>
      </c>
    </row>
    <row r="213" spans="1:9" x14ac:dyDescent="0.25">
      <c r="A213" s="254">
        <f t="shared" si="34"/>
        <v>195</v>
      </c>
      <c r="B213" s="255" t="str">
        <f t="shared" si="35"/>
        <v/>
      </c>
      <c r="C213" s="256">
        <f t="shared" si="36"/>
        <v>3047.1172825179469</v>
      </c>
      <c r="D213" s="257" t="str">
        <f t="shared" si="30"/>
        <v/>
      </c>
      <c r="F213" s="257" t="str">
        <f t="shared" si="31"/>
        <v/>
      </c>
      <c r="G213" s="257" t="str">
        <f t="shared" si="32"/>
        <v/>
      </c>
      <c r="H213" s="257" t="str">
        <f t="shared" si="33"/>
        <v/>
      </c>
      <c r="I213" s="220" t="e">
        <f t="shared" si="37"/>
        <v>#VALUE!</v>
      </c>
    </row>
    <row r="214" spans="1:9" x14ac:dyDescent="0.25">
      <c r="A214" s="254">
        <f t="shared" si="34"/>
        <v>196</v>
      </c>
      <c r="B214" s="255" t="str">
        <f t="shared" si="35"/>
        <v/>
      </c>
      <c r="C214" s="256">
        <f t="shared" si="36"/>
        <v>3047.1172825179469</v>
      </c>
      <c r="D214" s="257" t="str">
        <f t="shared" si="30"/>
        <v/>
      </c>
      <c r="F214" s="257" t="str">
        <f t="shared" si="31"/>
        <v/>
      </c>
      <c r="G214" s="257" t="str">
        <f t="shared" si="32"/>
        <v/>
      </c>
      <c r="H214" s="257" t="str">
        <f t="shared" si="33"/>
        <v/>
      </c>
      <c r="I214" s="220" t="e">
        <f t="shared" si="37"/>
        <v>#VALUE!</v>
      </c>
    </row>
    <row r="215" spans="1:9" x14ac:dyDescent="0.25">
      <c r="A215" s="254">
        <f t="shared" si="34"/>
        <v>197</v>
      </c>
      <c r="B215" s="255" t="str">
        <f t="shared" si="35"/>
        <v/>
      </c>
      <c r="C215" s="256">
        <f t="shared" si="36"/>
        <v>3047.1172825179469</v>
      </c>
      <c r="D215" s="257" t="str">
        <f t="shared" ref="D215:D278" si="38">IF(B215="","",ROUND((B215-B214)*$H$9*G214,2))</f>
        <v/>
      </c>
      <c r="F215" s="257" t="str">
        <f t="shared" ref="F215:F278" si="39">IF(B215="","",IF(C215&gt;F214+D215,0,F214+D215-C215))</f>
        <v/>
      </c>
      <c r="G215" s="257" t="str">
        <f t="shared" ref="G215:G278" si="40">IF(B215="","",IF(C215&gt;D215+F214,G214+F214+D215-C215,G214))</f>
        <v/>
      </c>
      <c r="H215" s="257" t="str">
        <f t="shared" ref="H215:H278" si="41">IF(B215="","",G215+F215)</f>
        <v/>
      </c>
      <c r="I215" s="220" t="e">
        <f t="shared" si="37"/>
        <v>#VALUE!</v>
      </c>
    </row>
    <row r="216" spans="1:9" x14ac:dyDescent="0.25">
      <c r="A216" s="254">
        <f t="shared" si="34"/>
        <v>198</v>
      </c>
      <c r="B216" s="255" t="str">
        <f t="shared" si="35"/>
        <v/>
      </c>
      <c r="C216" s="256">
        <f t="shared" si="36"/>
        <v>3047.1172825179469</v>
      </c>
      <c r="D216" s="257" t="str">
        <f t="shared" si="38"/>
        <v/>
      </c>
      <c r="F216" s="257" t="str">
        <f t="shared" si="39"/>
        <v/>
      </c>
      <c r="G216" s="257" t="str">
        <f t="shared" si="40"/>
        <v/>
      </c>
      <c r="H216" s="257" t="str">
        <f t="shared" si="41"/>
        <v/>
      </c>
      <c r="I216" s="220" t="e">
        <f t="shared" si="37"/>
        <v>#VALUE!</v>
      </c>
    </row>
    <row r="217" spans="1:9" x14ac:dyDescent="0.25">
      <c r="A217" s="254">
        <f t="shared" si="34"/>
        <v>199</v>
      </c>
      <c r="B217" s="255" t="str">
        <f t="shared" si="35"/>
        <v/>
      </c>
      <c r="C217" s="256">
        <f t="shared" si="36"/>
        <v>3047.1172825179469</v>
      </c>
      <c r="D217" s="257" t="str">
        <f t="shared" si="38"/>
        <v/>
      </c>
      <c r="F217" s="257" t="str">
        <f t="shared" si="39"/>
        <v/>
      </c>
      <c r="G217" s="257" t="str">
        <f t="shared" si="40"/>
        <v/>
      </c>
      <c r="H217" s="257" t="str">
        <f t="shared" si="41"/>
        <v/>
      </c>
      <c r="I217" s="220" t="e">
        <f t="shared" si="37"/>
        <v>#VALUE!</v>
      </c>
    </row>
    <row r="218" spans="1:9" x14ac:dyDescent="0.25">
      <c r="A218" s="254">
        <f t="shared" si="34"/>
        <v>200</v>
      </c>
      <c r="B218" s="255" t="str">
        <f t="shared" si="35"/>
        <v/>
      </c>
      <c r="C218" s="256">
        <f t="shared" si="36"/>
        <v>3047.1172825179469</v>
      </c>
      <c r="D218" s="257" t="str">
        <f t="shared" si="38"/>
        <v/>
      </c>
      <c r="F218" s="257" t="str">
        <f t="shared" si="39"/>
        <v/>
      </c>
      <c r="G218" s="257" t="str">
        <f t="shared" si="40"/>
        <v/>
      </c>
      <c r="H218" s="257" t="str">
        <f t="shared" si="41"/>
        <v/>
      </c>
      <c r="I218" s="220" t="e">
        <f t="shared" si="37"/>
        <v>#VALUE!</v>
      </c>
    </row>
    <row r="219" spans="1:9" x14ac:dyDescent="0.25">
      <c r="A219" s="254">
        <f t="shared" si="34"/>
        <v>201</v>
      </c>
      <c r="B219" s="255" t="str">
        <f t="shared" si="35"/>
        <v/>
      </c>
      <c r="C219" s="256">
        <f t="shared" si="36"/>
        <v>3047.1172825179469</v>
      </c>
      <c r="D219" s="257" t="str">
        <f t="shared" si="38"/>
        <v/>
      </c>
      <c r="F219" s="257" t="str">
        <f t="shared" si="39"/>
        <v/>
      </c>
      <c r="G219" s="257" t="str">
        <f t="shared" si="40"/>
        <v/>
      </c>
      <c r="H219" s="257" t="str">
        <f t="shared" si="41"/>
        <v/>
      </c>
      <c r="I219" s="220" t="e">
        <f t="shared" si="37"/>
        <v>#VALUE!</v>
      </c>
    </row>
    <row r="220" spans="1:9" x14ac:dyDescent="0.25">
      <c r="A220" s="254">
        <f t="shared" si="34"/>
        <v>202</v>
      </c>
      <c r="B220" s="255" t="str">
        <f t="shared" si="35"/>
        <v/>
      </c>
      <c r="C220" s="256">
        <f t="shared" si="36"/>
        <v>3047.1172825179469</v>
      </c>
      <c r="D220" s="257" t="str">
        <f t="shared" si="38"/>
        <v/>
      </c>
      <c r="F220" s="257" t="str">
        <f t="shared" si="39"/>
        <v/>
      </c>
      <c r="G220" s="257" t="str">
        <f t="shared" si="40"/>
        <v/>
      </c>
      <c r="H220" s="257" t="str">
        <f t="shared" si="41"/>
        <v/>
      </c>
      <c r="I220" s="220" t="e">
        <f t="shared" si="37"/>
        <v>#VALUE!</v>
      </c>
    </row>
    <row r="221" spans="1:9" x14ac:dyDescent="0.25">
      <c r="A221" s="254">
        <f t="shared" si="34"/>
        <v>203</v>
      </c>
      <c r="B221" s="255" t="str">
        <f t="shared" si="35"/>
        <v/>
      </c>
      <c r="C221" s="256">
        <f t="shared" si="36"/>
        <v>3047.1172825179469</v>
      </c>
      <c r="D221" s="257" t="str">
        <f t="shared" si="38"/>
        <v/>
      </c>
      <c r="F221" s="257" t="str">
        <f t="shared" si="39"/>
        <v/>
      </c>
      <c r="G221" s="257" t="str">
        <f t="shared" si="40"/>
        <v/>
      </c>
      <c r="H221" s="257" t="str">
        <f t="shared" si="41"/>
        <v/>
      </c>
      <c r="I221" s="220" t="e">
        <f t="shared" si="37"/>
        <v>#VALUE!</v>
      </c>
    </row>
    <row r="222" spans="1:9" x14ac:dyDescent="0.25">
      <c r="A222" s="254">
        <f t="shared" si="34"/>
        <v>204</v>
      </c>
      <c r="B222" s="255" t="str">
        <f t="shared" si="35"/>
        <v/>
      </c>
      <c r="C222" s="256">
        <f t="shared" si="36"/>
        <v>3047.1172825179469</v>
      </c>
      <c r="D222" s="257" t="str">
        <f t="shared" si="38"/>
        <v/>
      </c>
      <c r="F222" s="257" t="str">
        <f t="shared" si="39"/>
        <v/>
      </c>
      <c r="G222" s="257" t="str">
        <f t="shared" si="40"/>
        <v/>
      </c>
      <c r="H222" s="257" t="str">
        <f t="shared" si="41"/>
        <v/>
      </c>
      <c r="I222" s="220" t="e">
        <f t="shared" si="37"/>
        <v>#VALUE!</v>
      </c>
    </row>
    <row r="223" spans="1:9" x14ac:dyDescent="0.25">
      <c r="A223" s="254">
        <f t="shared" si="34"/>
        <v>205</v>
      </c>
      <c r="B223" s="255" t="str">
        <f t="shared" si="35"/>
        <v/>
      </c>
      <c r="C223" s="256">
        <f t="shared" si="36"/>
        <v>3047.1172825179469</v>
      </c>
      <c r="D223" s="257" t="str">
        <f t="shared" si="38"/>
        <v/>
      </c>
      <c r="F223" s="257" t="str">
        <f t="shared" si="39"/>
        <v/>
      </c>
      <c r="G223" s="257" t="str">
        <f t="shared" si="40"/>
        <v/>
      </c>
      <c r="H223" s="257" t="str">
        <f t="shared" si="41"/>
        <v/>
      </c>
      <c r="I223" s="220" t="e">
        <f t="shared" si="37"/>
        <v>#VALUE!</v>
      </c>
    </row>
    <row r="224" spans="1:9" x14ac:dyDescent="0.25">
      <c r="A224" s="254">
        <f t="shared" si="34"/>
        <v>206</v>
      </c>
      <c r="B224" s="255" t="str">
        <f t="shared" si="35"/>
        <v/>
      </c>
      <c r="C224" s="256">
        <f t="shared" si="36"/>
        <v>3047.1172825179469</v>
      </c>
      <c r="D224" s="257" t="str">
        <f t="shared" si="38"/>
        <v/>
      </c>
      <c r="F224" s="257" t="str">
        <f t="shared" si="39"/>
        <v/>
      </c>
      <c r="G224" s="257" t="str">
        <f t="shared" si="40"/>
        <v/>
      </c>
      <c r="H224" s="257" t="str">
        <f t="shared" si="41"/>
        <v/>
      </c>
      <c r="I224" s="220" t="e">
        <f t="shared" si="37"/>
        <v>#VALUE!</v>
      </c>
    </row>
    <row r="225" spans="1:9" x14ac:dyDescent="0.25">
      <c r="A225" s="254">
        <f t="shared" si="34"/>
        <v>207</v>
      </c>
      <c r="B225" s="255" t="str">
        <f t="shared" si="35"/>
        <v/>
      </c>
      <c r="C225" s="256">
        <f t="shared" si="36"/>
        <v>3047.1172825179469</v>
      </c>
      <c r="D225" s="257" t="str">
        <f t="shared" si="38"/>
        <v/>
      </c>
      <c r="F225" s="257" t="str">
        <f t="shared" si="39"/>
        <v/>
      </c>
      <c r="G225" s="257" t="str">
        <f t="shared" si="40"/>
        <v/>
      </c>
      <c r="H225" s="257" t="str">
        <f t="shared" si="41"/>
        <v/>
      </c>
      <c r="I225" s="220" t="e">
        <f t="shared" si="37"/>
        <v>#VALUE!</v>
      </c>
    </row>
    <row r="226" spans="1:9" x14ac:dyDescent="0.25">
      <c r="A226" s="254">
        <f t="shared" si="34"/>
        <v>208</v>
      </c>
      <c r="B226" s="255" t="str">
        <f t="shared" si="35"/>
        <v/>
      </c>
      <c r="C226" s="256">
        <f t="shared" si="36"/>
        <v>3047.1172825179469</v>
      </c>
      <c r="D226" s="257" t="str">
        <f t="shared" si="38"/>
        <v/>
      </c>
      <c r="F226" s="257" t="str">
        <f t="shared" si="39"/>
        <v/>
      </c>
      <c r="G226" s="257" t="str">
        <f t="shared" si="40"/>
        <v/>
      </c>
      <c r="H226" s="257" t="str">
        <f t="shared" si="41"/>
        <v/>
      </c>
      <c r="I226" s="220" t="e">
        <f t="shared" si="37"/>
        <v>#VALUE!</v>
      </c>
    </row>
    <row r="227" spans="1:9" x14ac:dyDescent="0.25">
      <c r="A227" s="254">
        <f t="shared" si="34"/>
        <v>209</v>
      </c>
      <c r="B227" s="255" t="str">
        <f t="shared" si="35"/>
        <v/>
      </c>
      <c r="C227" s="256">
        <f t="shared" si="36"/>
        <v>3047.1172825179469</v>
      </c>
      <c r="D227" s="257" t="str">
        <f t="shared" si="38"/>
        <v/>
      </c>
      <c r="F227" s="257" t="str">
        <f t="shared" si="39"/>
        <v/>
      </c>
      <c r="G227" s="257" t="str">
        <f t="shared" si="40"/>
        <v/>
      </c>
      <c r="H227" s="257" t="str">
        <f t="shared" si="41"/>
        <v/>
      </c>
      <c r="I227" s="220" t="e">
        <f t="shared" si="37"/>
        <v>#VALUE!</v>
      </c>
    </row>
    <row r="228" spans="1:9" x14ac:dyDescent="0.25">
      <c r="A228" s="254">
        <f t="shared" si="34"/>
        <v>210</v>
      </c>
      <c r="B228" s="255" t="str">
        <f t="shared" si="35"/>
        <v/>
      </c>
      <c r="C228" s="256">
        <f t="shared" si="36"/>
        <v>3047.1172825179469</v>
      </c>
      <c r="D228" s="257" t="str">
        <f t="shared" si="38"/>
        <v/>
      </c>
      <c r="F228" s="257" t="str">
        <f t="shared" si="39"/>
        <v/>
      </c>
      <c r="G228" s="257" t="str">
        <f t="shared" si="40"/>
        <v/>
      </c>
      <c r="H228" s="257" t="str">
        <f t="shared" si="41"/>
        <v/>
      </c>
      <c r="I228" s="220" t="e">
        <f t="shared" si="37"/>
        <v>#VALUE!</v>
      </c>
    </row>
    <row r="229" spans="1:9" x14ac:dyDescent="0.25">
      <c r="A229" s="254">
        <f t="shared" si="34"/>
        <v>211</v>
      </c>
      <c r="B229" s="255" t="str">
        <f t="shared" si="35"/>
        <v/>
      </c>
      <c r="C229" s="256">
        <f t="shared" si="36"/>
        <v>3047.1172825179469</v>
      </c>
      <c r="D229" s="257" t="str">
        <f t="shared" si="38"/>
        <v/>
      </c>
      <c r="F229" s="257" t="str">
        <f t="shared" si="39"/>
        <v/>
      </c>
      <c r="G229" s="257" t="str">
        <f t="shared" si="40"/>
        <v/>
      </c>
      <c r="H229" s="257" t="str">
        <f t="shared" si="41"/>
        <v/>
      </c>
      <c r="I229" s="220" t="e">
        <f t="shared" si="37"/>
        <v>#VALUE!</v>
      </c>
    </row>
    <row r="230" spans="1:9" x14ac:dyDescent="0.25">
      <c r="A230" s="254">
        <f t="shared" si="34"/>
        <v>212</v>
      </c>
      <c r="B230" s="255" t="str">
        <f t="shared" si="35"/>
        <v/>
      </c>
      <c r="C230" s="256">
        <f t="shared" si="36"/>
        <v>3047.1172825179469</v>
      </c>
      <c r="D230" s="257" t="str">
        <f t="shared" si="38"/>
        <v/>
      </c>
      <c r="F230" s="257" t="str">
        <f t="shared" si="39"/>
        <v/>
      </c>
      <c r="G230" s="257" t="str">
        <f t="shared" si="40"/>
        <v/>
      </c>
      <c r="H230" s="257" t="str">
        <f t="shared" si="41"/>
        <v/>
      </c>
      <c r="I230" s="220" t="e">
        <f t="shared" si="37"/>
        <v>#VALUE!</v>
      </c>
    </row>
    <row r="231" spans="1:9" x14ac:dyDescent="0.25">
      <c r="A231" s="254">
        <f t="shared" si="34"/>
        <v>213</v>
      </c>
      <c r="B231" s="255" t="str">
        <f t="shared" si="35"/>
        <v/>
      </c>
      <c r="C231" s="256">
        <f t="shared" si="36"/>
        <v>3047.1172825179469</v>
      </c>
      <c r="D231" s="257" t="str">
        <f t="shared" si="38"/>
        <v/>
      </c>
      <c r="F231" s="257" t="str">
        <f t="shared" si="39"/>
        <v/>
      </c>
      <c r="G231" s="257" t="str">
        <f t="shared" si="40"/>
        <v/>
      </c>
      <c r="H231" s="257" t="str">
        <f t="shared" si="41"/>
        <v/>
      </c>
      <c r="I231" s="220" t="e">
        <f t="shared" si="37"/>
        <v>#VALUE!</v>
      </c>
    </row>
    <row r="232" spans="1:9" x14ac:dyDescent="0.25">
      <c r="A232" s="254">
        <f t="shared" si="34"/>
        <v>214</v>
      </c>
      <c r="B232" s="255" t="str">
        <f t="shared" si="35"/>
        <v/>
      </c>
      <c r="C232" s="256">
        <f t="shared" si="36"/>
        <v>3047.1172825179469</v>
      </c>
      <c r="D232" s="257" t="str">
        <f t="shared" si="38"/>
        <v/>
      </c>
      <c r="F232" s="257" t="str">
        <f t="shared" si="39"/>
        <v/>
      </c>
      <c r="G232" s="257" t="str">
        <f t="shared" si="40"/>
        <v/>
      </c>
      <c r="H232" s="257" t="str">
        <f t="shared" si="41"/>
        <v/>
      </c>
      <c r="I232" s="220" t="e">
        <f t="shared" si="37"/>
        <v>#VALUE!</v>
      </c>
    </row>
    <row r="233" spans="1:9" x14ac:dyDescent="0.25">
      <c r="A233" s="254">
        <f t="shared" si="34"/>
        <v>215</v>
      </c>
      <c r="B233" s="255" t="str">
        <f t="shared" si="35"/>
        <v/>
      </c>
      <c r="C233" s="256">
        <f t="shared" si="36"/>
        <v>3047.1172825179469</v>
      </c>
      <c r="D233" s="257" t="str">
        <f t="shared" si="38"/>
        <v/>
      </c>
      <c r="F233" s="257" t="str">
        <f t="shared" si="39"/>
        <v/>
      </c>
      <c r="G233" s="257" t="str">
        <f t="shared" si="40"/>
        <v/>
      </c>
      <c r="H233" s="257" t="str">
        <f t="shared" si="41"/>
        <v/>
      </c>
      <c r="I233" s="220" t="e">
        <f t="shared" si="37"/>
        <v>#VALUE!</v>
      </c>
    </row>
    <row r="234" spans="1:9" x14ac:dyDescent="0.25">
      <c r="A234" s="254">
        <f t="shared" si="34"/>
        <v>216</v>
      </c>
      <c r="B234" s="255" t="str">
        <f t="shared" si="35"/>
        <v/>
      </c>
      <c r="C234" s="256">
        <f t="shared" si="36"/>
        <v>3047.1172825179469</v>
      </c>
      <c r="D234" s="257" t="str">
        <f t="shared" si="38"/>
        <v/>
      </c>
      <c r="F234" s="257" t="str">
        <f t="shared" si="39"/>
        <v/>
      </c>
      <c r="G234" s="257" t="str">
        <f t="shared" si="40"/>
        <v/>
      </c>
      <c r="H234" s="257" t="str">
        <f t="shared" si="41"/>
        <v/>
      </c>
      <c r="I234" s="220" t="e">
        <f t="shared" si="37"/>
        <v>#VALUE!</v>
      </c>
    </row>
    <row r="235" spans="1:9" x14ac:dyDescent="0.25">
      <c r="A235" s="254">
        <f t="shared" si="34"/>
        <v>217</v>
      </c>
      <c r="B235" s="255" t="str">
        <f t="shared" si="35"/>
        <v/>
      </c>
      <c r="C235" s="256">
        <f t="shared" si="36"/>
        <v>3047.1172825179469</v>
      </c>
      <c r="D235" s="257" t="str">
        <f t="shared" si="38"/>
        <v/>
      </c>
      <c r="F235" s="257" t="str">
        <f t="shared" si="39"/>
        <v/>
      </c>
      <c r="G235" s="257" t="str">
        <f t="shared" si="40"/>
        <v/>
      </c>
      <c r="H235" s="257" t="str">
        <f t="shared" si="41"/>
        <v/>
      </c>
      <c r="I235" s="220" t="e">
        <f t="shared" si="37"/>
        <v>#VALUE!</v>
      </c>
    </row>
    <row r="236" spans="1:9" x14ac:dyDescent="0.25">
      <c r="A236" s="254">
        <f t="shared" si="34"/>
        <v>218</v>
      </c>
      <c r="B236" s="255" t="str">
        <f t="shared" si="35"/>
        <v/>
      </c>
      <c r="C236" s="256">
        <f t="shared" si="36"/>
        <v>3047.1172825179469</v>
      </c>
      <c r="D236" s="257" t="str">
        <f t="shared" si="38"/>
        <v/>
      </c>
      <c r="F236" s="257" t="str">
        <f t="shared" si="39"/>
        <v/>
      </c>
      <c r="G236" s="257" t="str">
        <f t="shared" si="40"/>
        <v/>
      </c>
      <c r="H236" s="257" t="str">
        <f t="shared" si="41"/>
        <v/>
      </c>
      <c r="I236" s="220" t="e">
        <f t="shared" si="37"/>
        <v>#VALUE!</v>
      </c>
    </row>
    <row r="237" spans="1:9" x14ac:dyDescent="0.25">
      <c r="A237" s="254">
        <f t="shared" si="34"/>
        <v>219</v>
      </c>
      <c r="B237" s="255" t="str">
        <f t="shared" si="35"/>
        <v/>
      </c>
      <c r="C237" s="256">
        <f t="shared" si="36"/>
        <v>3047.1172825179469</v>
      </c>
      <c r="D237" s="257" t="str">
        <f t="shared" si="38"/>
        <v/>
      </c>
      <c r="F237" s="257" t="str">
        <f t="shared" si="39"/>
        <v/>
      </c>
      <c r="G237" s="257" t="str">
        <f t="shared" si="40"/>
        <v/>
      </c>
      <c r="H237" s="257" t="str">
        <f t="shared" si="41"/>
        <v/>
      </c>
      <c r="I237" s="220" t="e">
        <f t="shared" si="37"/>
        <v>#VALUE!</v>
      </c>
    </row>
    <row r="238" spans="1:9" x14ac:dyDescent="0.25">
      <c r="A238" s="254">
        <f t="shared" si="34"/>
        <v>220</v>
      </c>
      <c r="B238" s="255" t="str">
        <f t="shared" si="35"/>
        <v/>
      </c>
      <c r="C238" s="256">
        <f t="shared" si="36"/>
        <v>3047.1172825179469</v>
      </c>
      <c r="D238" s="257" t="str">
        <f t="shared" si="38"/>
        <v/>
      </c>
      <c r="F238" s="257" t="str">
        <f t="shared" si="39"/>
        <v/>
      </c>
      <c r="G238" s="257" t="str">
        <f t="shared" si="40"/>
        <v/>
      </c>
      <c r="H238" s="257" t="str">
        <f t="shared" si="41"/>
        <v/>
      </c>
      <c r="I238" s="220" t="e">
        <f t="shared" si="37"/>
        <v>#VALUE!</v>
      </c>
    </row>
    <row r="239" spans="1:9" x14ac:dyDescent="0.25">
      <c r="A239" s="254">
        <f t="shared" si="34"/>
        <v>221</v>
      </c>
      <c r="B239" s="255" t="str">
        <f t="shared" si="35"/>
        <v/>
      </c>
      <c r="C239" s="256">
        <f t="shared" si="36"/>
        <v>3047.1172825179469</v>
      </c>
      <c r="D239" s="257" t="str">
        <f t="shared" si="38"/>
        <v/>
      </c>
      <c r="F239" s="257" t="str">
        <f t="shared" si="39"/>
        <v/>
      </c>
      <c r="G239" s="257" t="str">
        <f t="shared" si="40"/>
        <v/>
      </c>
      <c r="H239" s="257" t="str">
        <f t="shared" si="41"/>
        <v/>
      </c>
      <c r="I239" s="220" t="e">
        <f t="shared" si="37"/>
        <v>#VALUE!</v>
      </c>
    </row>
    <row r="240" spans="1:9" x14ac:dyDescent="0.25">
      <c r="A240" s="254">
        <f t="shared" si="34"/>
        <v>222</v>
      </c>
      <c r="B240" s="255" t="str">
        <f t="shared" si="35"/>
        <v/>
      </c>
      <c r="C240" s="256">
        <f t="shared" si="36"/>
        <v>3047.1172825179469</v>
      </c>
      <c r="D240" s="257" t="str">
        <f t="shared" si="38"/>
        <v/>
      </c>
      <c r="F240" s="257" t="str">
        <f t="shared" si="39"/>
        <v/>
      </c>
      <c r="G240" s="257" t="str">
        <f t="shared" si="40"/>
        <v/>
      </c>
      <c r="H240" s="257" t="str">
        <f t="shared" si="41"/>
        <v/>
      </c>
      <c r="I240" s="220" t="e">
        <f t="shared" si="37"/>
        <v>#VALUE!</v>
      </c>
    </row>
    <row r="241" spans="1:9" x14ac:dyDescent="0.25">
      <c r="A241" s="254">
        <f t="shared" si="34"/>
        <v>223</v>
      </c>
      <c r="B241" s="255" t="str">
        <f t="shared" si="35"/>
        <v/>
      </c>
      <c r="C241" s="256">
        <f t="shared" si="36"/>
        <v>3047.1172825179469</v>
      </c>
      <c r="D241" s="257" t="str">
        <f t="shared" si="38"/>
        <v/>
      </c>
      <c r="F241" s="257" t="str">
        <f t="shared" si="39"/>
        <v/>
      </c>
      <c r="G241" s="257" t="str">
        <f t="shared" si="40"/>
        <v/>
      </c>
      <c r="H241" s="257" t="str">
        <f t="shared" si="41"/>
        <v/>
      </c>
      <c r="I241" s="220" t="e">
        <f t="shared" si="37"/>
        <v>#VALUE!</v>
      </c>
    </row>
    <row r="242" spans="1:9" x14ac:dyDescent="0.25">
      <c r="A242" s="254">
        <f t="shared" si="34"/>
        <v>224</v>
      </c>
      <c r="B242" s="255" t="str">
        <f t="shared" si="35"/>
        <v/>
      </c>
      <c r="C242" s="256">
        <f t="shared" si="36"/>
        <v>3047.1172825179469</v>
      </c>
      <c r="D242" s="257" t="str">
        <f t="shared" si="38"/>
        <v/>
      </c>
      <c r="F242" s="257" t="str">
        <f t="shared" si="39"/>
        <v/>
      </c>
      <c r="G242" s="257" t="str">
        <f t="shared" si="40"/>
        <v/>
      </c>
      <c r="H242" s="257" t="str">
        <f t="shared" si="41"/>
        <v/>
      </c>
      <c r="I242" s="220" t="e">
        <f t="shared" si="37"/>
        <v>#VALUE!</v>
      </c>
    </row>
    <row r="243" spans="1:9" x14ac:dyDescent="0.25">
      <c r="A243" s="254">
        <f t="shared" si="34"/>
        <v>225</v>
      </c>
      <c r="B243" s="255" t="str">
        <f t="shared" si="35"/>
        <v/>
      </c>
      <c r="C243" s="256">
        <f t="shared" si="36"/>
        <v>3047.1172825179469</v>
      </c>
      <c r="D243" s="257" t="str">
        <f t="shared" si="38"/>
        <v/>
      </c>
      <c r="F243" s="257" t="str">
        <f t="shared" si="39"/>
        <v/>
      </c>
      <c r="G243" s="257" t="str">
        <f t="shared" si="40"/>
        <v/>
      </c>
      <c r="H243" s="257" t="str">
        <f t="shared" si="41"/>
        <v/>
      </c>
      <c r="I243" s="220" t="e">
        <f t="shared" si="37"/>
        <v>#VALUE!</v>
      </c>
    </row>
    <row r="244" spans="1:9" x14ac:dyDescent="0.25">
      <c r="A244" s="254">
        <f t="shared" si="34"/>
        <v>226</v>
      </c>
      <c r="B244" s="255" t="str">
        <f t="shared" si="35"/>
        <v/>
      </c>
      <c r="C244" s="256">
        <f t="shared" si="36"/>
        <v>3047.1172825179469</v>
      </c>
      <c r="D244" s="257" t="str">
        <f t="shared" si="38"/>
        <v/>
      </c>
      <c r="F244" s="257" t="str">
        <f t="shared" si="39"/>
        <v/>
      </c>
      <c r="G244" s="257" t="str">
        <f t="shared" si="40"/>
        <v/>
      </c>
      <c r="H244" s="257" t="str">
        <f t="shared" si="41"/>
        <v/>
      </c>
      <c r="I244" s="220" t="e">
        <f t="shared" si="37"/>
        <v>#VALUE!</v>
      </c>
    </row>
    <row r="245" spans="1:9" x14ac:dyDescent="0.25">
      <c r="A245" s="254">
        <f t="shared" si="34"/>
        <v>227</v>
      </c>
      <c r="B245" s="255" t="str">
        <f t="shared" si="35"/>
        <v/>
      </c>
      <c r="C245" s="256">
        <f t="shared" si="36"/>
        <v>3047.1172825179469</v>
      </c>
      <c r="D245" s="257" t="str">
        <f t="shared" si="38"/>
        <v/>
      </c>
      <c r="F245" s="257" t="str">
        <f t="shared" si="39"/>
        <v/>
      </c>
      <c r="G245" s="257" t="str">
        <f t="shared" si="40"/>
        <v/>
      </c>
      <c r="H245" s="257" t="str">
        <f t="shared" si="41"/>
        <v/>
      </c>
      <c r="I245" s="220" t="e">
        <f t="shared" si="37"/>
        <v>#VALUE!</v>
      </c>
    </row>
    <row r="246" spans="1:9" x14ac:dyDescent="0.25">
      <c r="A246" s="254">
        <f t="shared" si="34"/>
        <v>228</v>
      </c>
      <c r="B246" s="255" t="str">
        <f t="shared" si="35"/>
        <v/>
      </c>
      <c r="C246" s="256">
        <f t="shared" si="36"/>
        <v>3047.1172825179469</v>
      </c>
      <c r="D246" s="257" t="str">
        <f t="shared" si="38"/>
        <v/>
      </c>
      <c r="F246" s="257" t="str">
        <f t="shared" si="39"/>
        <v/>
      </c>
      <c r="G246" s="257" t="str">
        <f t="shared" si="40"/>
        <v/>
      </c>
      <c r="H246" s="257" t="str">
        <f t="shared" si="41"/>
        <v/>
      </c>
      <c r="I246" s="220" t="e">
        <f t="shared" si="37"/>
        <v>#VALUE!</v>
      </c>
    </row>
    <row r="247" spans="1:9" x14ac:dyDescent="0.25">
      <c r="A247" s="254">
        <f t="shared" si="34"/>
        <v>229</v>
      </c>
      <c r="B247" s="255" t="str">
        <f t="shared" si="35"/>
        <v/>
      </c>
      <c r="C247" s="256">
        <f t="shared" si="36"/>
        <v>3047.1172825179469</v>
      </c>
      <c r="D247" s="257" t="str">
        <f t="shared" si="38"/>
        <v/>
      </c>
      <c r="F247" s="257" t="str">
        <f t="shared" si="39"/>
        <v/>
      </c>
      <c r="G247" s="257" t="str">
        <f t="shared" si="40"/>
        <v/>
      </c>
      <c r="H247" s="257" t="str">
        <f t="shared" si="41"/>
        <v/>
      </c>
      <c r="I247" s="220" t="e">
        <f t="shared" si="37"/>
        <v>#VALUE!</v>
      </c>
    </row>
    <row r="248" spans="1:9" x14ac:dyDescent="0.25">
      <c r="A248" s="254">
        <f t="shared" si="34"/>
        <v>230</v>
      </c>
      <c r="B248" s="255" t="str">
        <f t="shared" si="35"/>
        <v/>
      </c>
      <c r="C248" s="256">
        <f t="shared" si="36"/>
        <v>3047.1172825179469</v>
      </c>
      <c r="D248" s="257" t="str">
        <f t="shared" si="38"/>
        <v/>
      </c>
      <c r="F248" s="257" t="str">
        <f t="shared" si="39"/>
        <v/>
      </c>
      <c r="G248" s="257" t="str">
        <f t="shared" si="40"/>
        <v/>
      </c>
      <c r="H248" s="257" t="str">
        <f t="shared" si="41"/>
        <v/>
      </c>
      <c r="I248" s="220" t="e">
        <f t="shared" si="37"/>
        <v>#VALUE!</v>
      </c>
    </row>
    <row r="249" spans="1:9" x14ac:dyDescent="0.25">
      <c r="A249" s="254">
        <f t="shared" ref="A249:A312" si="42">A248+1</f>
        <v>231</v>
      </c>
      <c r="B249" s="255" t="str">
        <f t="shared" si="35"/>
        <v/>
      </c>
      <c r="C249" s="256">
        <f t="shared" si="36"/>
        <v>3047.1172825179469</v>
      </c>
      <c r="D249" s="257" t="str">
        <f t="shared" si="38"/>
        <v/>
      </c>
      <c r="F249" s="257" t="str">
        <f t="shared" si="39"/>
        <v/>
      </c>
      <c r="G249" s="257" t="str">
        <f t="shared" si="40"/>
        <v/>
      </c>
      <c r="H249" s="257" t="str">
        <f t="shared" si="41"/>
        <v/>
      </c>
      <c r="I249" s="220" t="e">
        <f t="shared" si="37"/>
        <v>#VALUE!</v>
      </c>
    </row>
    <row r="250" spans="1:9" x14ac:dyDescent="0.25">
      <c r="A250" s="254">
        <f t="shared" si="42"/>
        <v>232</v>
      </c>
      <c r="B250" s="255" t="str">
        <f t="shared" si="35"/>
        <v/>
      </c>
      <c r="C250" s="256">
        <f t="shared" si="36"/>
        <v>3047.1172825179469</v>
      </c>
      <c r="D250" s="257" t="str">
        <f t="shared" si="38"/>
        <v/>
      </c>
      <c r="F250" s="257" t="str">
        <f t="shared" si="39"/>
        <v/>
      </c>
      <c r="G250" s="257" t="str">
        <f t="shared" si="40"/>
        <v/>
      </c>
      <c r="H250" s="257" t="str">
        <f t="shared" si="41"/>
        <v/>
      </c>
      <c r="I250" s="220" t="e">
        <f t="shared" si="37"/>
        <v>#VALUE!</v>
      </c>
    </row>
    <row r="251" spans="1:9" x14ac:dyDescent="0.25">
      <c r="A251" s="254">
        <f t="shared" si="42"/>
        <v>233</v>
      </c>
      <c r="B251" s="255" t="str">
        <f t="shared" si="35"/>
        <v/>
      </c>
      <c r="C251" s="256">
        <f t="shared" si="36"/>
        <v>3047.1172825179469</v>
      </c>
      <c r="D251" s="257" t="str">
        <f t="shared" si="38"/>
        <v/>
      </c>
      <c r="F251" s="257" t="str">
        <f t="shared" si="39"/>
        <v/>
      </c>
      <c r="G251" s="257" t="str">
        <f t="shared" si="40"/>
        <v/>
      </c>
      <c r="H251" s="257" t="str">
        <f t="shared" si="41"/>
        <v/>
      </c>
      <c r="I251" s="220" t="e">
        <f t="shared" si="37"/>
        <v>#VALUE!</v>
      </c>
    </row>
    <row r="252" spans="1:9" x14ac:dyDescent="0.25">
      <c r="A252" s="254">
        <f t="shared" si="42"/>
        <v>234</v>
      </c>
      <c r="B252" s="255" t="str">
        <f t="shared" si="35"/>
        <v/>
      </c>
      <c r="C252" s="256">
        <f t="shared" si="36"/>
        <v>3047.1172825179469</v>
      </c>
      <c r="D252" s="257" t="str">
        <f t="shared" si="38"/>
        <v/>
      </c>
      <c r="F252" s="257" t="str">
        <f t="shared" si="39"/>
        <v/>
      </c>
      <c r="G252" s="257" t="str">
        <f t="shared" si="40"/>
        <v/>
      </c>
      <c r="H252" s="257" t="str">
        <f t="shared" si="41"/>
        <v/>
      </c>
      <c r="I252" s="220" t="e">
        <f t="shared" si="37"/>
        <v>#VALUE!</v>
      </c>
    </row>
    <row r="253" spans="1:9" x14ac:dyDescent="0.25">
      <c r="A253" s="254">
        <f t="shared" si="42"/>
        <v>235</v>
      </c>
      <c r="B253" s="255" t="str">
        <f t="shared" si="35"/>
        <v/>
      </c>
      <c r="C253" s="256">
        <f t="shared" si="36"/>
        <v>3047.1172825179469</v>
      </c>
      <c r="D253" s="257" t="str">
        <f t="shared" si="38"/>
        <v/>
      </c>
      <c r="F253" s="257" t="str">
        <f t="shared" si="39"/>
        <v/>
      </c>
      <c r="G253" s="257" t="str">
        <f t="shared" si="40"/>
        <v/>
      </c>
      <c r="H253" s="257" t="str">
        <f t="shared" si="41"/>
        <v/>
      </c>
      <c r="I253" s="220" t="e">
        <f t="shared" si="37"/>
        <v>#VALUE!</v>
      </c>
    </row>
    <row r="254" spans="1:9" x14ac:dyDescent="0.25">
      <c r="A254" s="254">
        <f t="shared" si="42"/>
        <v>236</v>
      </c>
      <c r="B254" s="255" t="str">
        <f t="shared" si="35"/>
        <v/>
      </c>
      <c r="C254" s="256">
        <f t="shared" si="36"/>
        <v>3047.1172825179469</v>
      </c>
      <c r="D254" s="257" t="str">
        <f t="shared" si="38"/>
        <v/>
      </c>
      <c r="F254" s="257" t="str">
        <f t="shared" si="39"/>
        <v/>
      </c>
      <c r="G254" s="257" t="str">
        <f t="shared" si="40"/>
        <v/>
      </c>
      <c r="H254" s="257" t="str">
        <f t="shared" si="41"/>
        <v/>
      </c>
      <c r="I254" s="220" t="e">
        <f t="shared" si="37"/>
        <v>#VALUE!</v>
      </c>
    </row>
    <row r="255" spans="1:9" x14ac:dyDescent="0.25">
      <c r="A255" s="254">
        <f t="shared" si="42"/>
        <v>237</v>
      </c>
      <c r="B255" s="255" t="str">
        <f t="shared" si="35"/>
        <v/>
      </c>
      <c r="C255" s="256">
        <f t="shared" si="36"/>
        <v>3047.1172825179469</v>
      </c>
      <c r="D255" s="257" t="str">
        <f t="shared" si="38"/>
        <v/>
      </c>
      <c r="F255" s="257" t="str">
        <f t="shared" si="39"/>
        <v/>
      </c>
      <c r="G255" s="257" t="str">
        <f t="shared" si="40"/>
        <v/>
      </c>
      <c r="H255" s="257" t="str">
        <f t="shared" si="41"/>
        <v/>
      </c>
      <c r="I255" s="220" t="e">
        <f t="shared" si="37"/>
        <v>#VALUE!</v>
      </c>
    </row>
    <row r="256" spans="1:9" x14ac:dyDescent="0.25">
      <c r="A256" s="254">
        <f t="shared" si="42"/>
        <v>238</v>
      </c>
      <c r="B256" s="255" t="str">
        <f t="shared" si="35"/>
        <v/>
      </c>
      <c r="C256" s="256">
        <f t="shared" si="36"/>
        <v>3047.1172825179469</v>
      </c>
      <c r="D256" s="257" t="str">
        <f t="shared" si="38"/>
        <v/>
      </c>
      <c r="F256" s="257" t="str">
        <f t="shared" si="39"/>
        <v/>
      </c>
      <c r="G256" s="257" t="str">
        <f t="shared" si="40"/>
        <v/>
      </c>
      <c r="H256" s="257" t="str">
        <f t="shared" si="41"/>
        <v/>
      </c>
      <c r="I256" s="220" t="e">
        <f t="shared" si="37"/>
        <v>#VALUE!</v>
      </c>
    </row>
    <row r="257" spans="1:9" x14ac:dyDescent="0.25">
      <c r="A257" s="254">
        <f t="shared" si="42"/>
        <v>239</v>
      </c>
      <c r="B257" s="255" t="str">
        <f t="shared" si="35"/>
        <v/>
      </c>
      <c r="C257" s="256">
        <f t="shared" si="36"/>
        <v>3047.1172825179469</v>
      </c>
      <c r="D257" s="257" t="str">
        <f t="shared" si="38"/>
        <v/>
      </c>
      <c r="F257" s="257" t="str">
        <f t="shared" si="39"/>
        <v/>
      </c>
      <c r="G257" s="257" t="str">
        <f t="shared" si="40"/>
        <v/>
      </c>
      <c r="H257" s="257" t="str">
        <f t="shared" si="41"/>
        <v/>
      </c>
      <c r="I257" s="220" t="e">
        <f t="shared" si="37"/>
        <v>#VALUE!</v>
      </c>
    </row>
    <row r="258" spans="1:9" x14ac:dyDescent="0.25">
      <c r="A258" s="254">
        <f t="shared" si="42"/>
        <v>240</v>
      </c>
      <c r="B258" s="255" t="str">
        <f t="shared" si="35"/>
        <v/>
      </c>
      <c r="C258" s="256">
        <f t="shared" si="36"/>
        <v>3047.1172825179469</v>
      </c>
      <c r="D258" s="257" t="str">
        <f t="shared" si="38"/>
        <v/>
      </c>
      <c r="F258" s="257" t="str">
        <f t="shared" si="39"/>
        <v/>
      </c>
      <c r="G258" s="257" t="str">
        <f t="shared" si="40"/>
        <v/>
      </c>
      <c r="H258" s="257" t="str">
        <f t="shared" si="41"/>
        <v/>
      </c>
      <c r="I258" s="220" t="e">
        <f t="shared" si="37"/>
        <v>#VALUE!</v>
      </c>
    </row>
    <row r="259" spans="1:9" x14ac:dyDescent="0.25">
      <c r="A259" s="254">
        <f t="shared" si="42"/>
        <v>241</v>
      </c>
      <c r="B259" s="255" t="str">
        <f t="shared" si="35"/>
        <v/>
      </c>
      <c r="C259" s="256">
        <f t="shared" si="36"/>
        <v>3047.1172825179469</v>
      </c>
      <c r="D259" s="257" t="str">
        <f t="shared" si="38"/>
        <v/>
      </c>
      <c r="F259" s="257" t="str">
        <f t="shared" si="39"/>
        <v/>
      </c>
      <c r="G259" s="257" t="str">
        <f t="shared" si="40"/>
        <v/>
      </c>
      <c r="H259" s="257" t="str">
        <f t="shared" si="41"/>
        <v/>
      </c>
      <c r="I259" s="220" t="e">
        <f t="shared" si="37"/>
        <v>#VALUE!</v>
      </c>
    </row>
    <row r="260" spans="1:9" x14ac:dyDescent="0.25">
      <c r="A260" s="254">
        <f t="shared" si="42"/>
        <v>242</v>
      </c>
      <c r="B260" s="255" t="str">
        <f t="shared" si="35"/>
        <v/>
      </c>
      <c r="C260" s="256">
        <f t="shared" si="36"/>
        <v>3047.1172825179469</v>
      </c>
      <c r="D260" s="257" t="str">
        <f t="shared" si="38"/>
        <v/>
      </c>
      <c r="F260" s="257" t="str">
        <f t="shared" si="39"/>
        <v/>
      </c>
      <c r="G260" s="257" t="str">
        <f t="shared" si="40"/>
        <v/>
      </c>
      <c r="H260" s="257" t="str">
        <f t="shared" si="41"/>
        <v/>
      </c>
      <c r="I260" s="220" t="e">
        <f t="shared" si="37"/>
        <v>#VALUE!</v>
      </c>
    </row>
    <row r="261" spans="1:9" x14ac:dyDescent="0.25">
      <c r="A261" s="254">
        <f t="shared" si="42"/>
        <v>243</v>
      </c>
      <c r="B261" s="255" t="str">
        <f t="shared" si="35"/>
        <v/>
      </c>
      <c r="C261" s="256">
        <f t="shared" si="36"/>
        <v>3047.1172825179469</v>
      </c>
      <c r="D261" s="257" t="str">
        <f t="shared" si="38"/>
        <v/>
      </c>
      <c r="F261" s="257" t="str">
        <f t="shared" si="39"/>
        <v/>
      </c>
      <c r="G261" s="257" t="str">
        <f t="shared" si="40"/>
        <v/>
      </c>
      <c r="H261" s="257" t="str">
        <f t="shared" si="41"/>
        <v/>
      </c>
      <c r="I261" s="220" t="e">
        <f t="shared" si="37"/>
        <v>#VALUE!</v>
      </c>
    </row>
    <row r="262" spans="1:9" x14ac:dyDescent="0.25">
      <c r="A262" s="254">
        <f t="shared" si="42"/>
        <v>244</v>
      </c>
      <c r="B262" s="255" t="str">
        <f t="shared" si="35"/>
        <v/>
      </c>
      <c r="C262" s="256">
        <f t="shared" si="36"/>
        <v>3047.1172825179469</v>
      </c>
      <c r="D262" s="257" t="str">
        <f t="shared" si="38"/>
        <v/>
      </c>
      <c r="F262" s="257" t="str">
        <f t="shared" si="39"/>
        <v/>
      </c>
      <c r="G262" s="257" t="str">
        <f t="shared" si="40"/>
        <v/>
      </c>
      <c r="H262" s="257" t="str">
        <f t="shared" si="41"/>
        <v/>
      </c>
      <c r="I262" s="220" t="e">
        <f t="shared" si="37"/>
        <v>#VALUE!</v>
      </c>
    </row>
    <row r="263" spans="1:9" x14ac:dyDescent="0.25">
      <c r="A263" s="254">
        <f t="shared" si="42"/>
        <v>245</v>
      </c>
      <c r="B263" s="255" t="str">
        <f t="shared" si="35"/>
        <v/>
      </c>
      <c r="C263" s="256">
        <f t="shared" si="36"/>
        <v>3047.1172825179469</v>
      </c>
      <c r="D263" s="257" t="str">
        <f t="shared" si="38"/>
        <v/>
      </c>
      <c r="F263" s="257" t="str">
        <f t="shared" si="39"/>
        <v/>
      </c>
      <c r="G263" s="257" t="str">
        <f t="shared" si="40"/>
        <v/>
      </c>
      <c r="H263" s="257" t="str">
        <f t="shared" si="41"/>
        <v/>
      </c>
      <c r="I263" s="220" t="e">
        <f t="shared" si="37"/>
        <v>#VALUE!</v>
      </c>
    </row>
    <row r="264" spans="1:9" x14ac:dyDescent="0.25">
      <c r="A264" s="254">
        <f t="shared" si="42"/>
        <v>246</v>
      </c>
      <c r="B264" s="255" t="str">
        <f t="shared" si="35"/>
        <v/>
      </c>
      <c r="C264" s="256">
        <f t="shared" si="36"/>
        <v>3047.1172825179469</v>
      </c>
      <c r="D264" s="257" t="str">
        <f t="shared" si="38"/>
        <v/>
      </c>
      <c r="F264" s="257" t="str">
        <f t="shared" si="39"/>
        <v/>
      </c>
      <c r="G264" s="257" t="str">
        <f t="shared" si="40"/>
        <v/>
      </c>
      <c r="H264" s="257" t="str">
        <f t="shared" si="41"/>
        <v/>
      </c>
      <c r="I264" s="220" t="e">
        <f t="shared" si="37"/>
        <v>#VALUE!</v>
      </c>
    </row>
    <row r="265" spans="1:9" x14ac:dyDescent="0.25">
      <c r="A265" s="254">
        <f t="shared" si="42"/>
        <v>247</v>
      </c>
      <c r="B265" s="255" t="str">
        <f t="shared" si="35"/>
        <v/>
      </c>
      <c r="C265" s="256">
        <f t="shared" si="36"/>
        <v>3047.1172825179469</v>
      </c>
      <c r="D265" s="257" t="str">
        <f t="shared" si="38"/>
        <v/>
      </c>
      <c r="F265" s="257" t="str">
        <f t="shared" si="39"/>
        <v/>
      </c>
      <c r="G265" s="257" t="str">
        <f t="shared" si="40"/>
        <v/>
      </c>
      <c r="H265" s="257" t="str">
        <f t="shared" si="41"/>
        <v/>
      </c>
      <c r="I265" s="220" t="e">
        <f t="shared" si="37"/>
        <v>#VALUE!</v>
      </c>
    </row>
    <row r="266" spans="1:9" x14ac:dyDescent="0.25">
      <c r="A266" s="254">
        <f t="shared" si="42"/>
        <v>248</v>
      </c>
      <c r="B266" s="255" t="str">
        <f t="shared" si="35"/>
        <v/>
      </c>
      <c r="C266" s="256">
        <f t="shared" si="36"/>
        <v>3047.1172825179469</v>
      </c>
      <c r="D266" s="257" t="str">
        <f t="shared" si="38"/>
        <v/>
      </c>
      <c r="F266" s="257" t="str">
        <f t="shared" si="39"/>
        <v/>
      </c>
      <c r="G266" s="257" t="str">
        <f t="shared" si="40"/>
        <v/>
      </c>
      <c r="H266" s="257" t="str">
        <f t="shared" si="41"/>
        <v/>
      </c>
      <c r="I266" s="220" t="e">
        <f t="shared" si="37"/>
        <v>#VALUE!</v>
      </c>
    </row>
    <row r="267" spans="1:9" x14ac:dyDescent="0.25">
      <c r="A267" s="254">
        <f t="shared" si="42"/>
        <v>249</v>
      </c>
      <c r="B267" s="255" t="str">
        <f t="shared" si="35"/>
        <v/>
      </c>
      <c r="C267" s="256">
        <f t="shared" si="36"/>
        <v>3047.1172825179469</v>
      </c>
      <c r="D267" s="257" t="str">
        <f t="shared" si="38"/>
        <v/>
      </c>
      <c r="F267" s="257" t="str">
        <f t="shared" si="39"/>
        <v/>
      </c>
      <c r="G267" s="257" t="str">
        <f t="shared" si="40"/>
        <v/>
      </c>
      <c r="H267" s="257" t="str">
        <f t="shared" si="41"/>
        <v/>
      </c>
      <c r="I267" s="220" t="e">
        <f t="shared" si="37"/>
        <v>#VALUE!</v>
      </c>
    </row>
    <row r="268" spans="1:9" x14ac:dyDescent="0.25">
      <c r="A268" s="254">
        <f t="shared" si="42"/>
        <v>250</v>
      </c>
      <c r="B268" s="255" t="str">
        <f t="shared" si="35"/>
        <v/>
      </c>
      <c r="C268" s="256">
        <f t="shared" si="36"/>
        <v>3047.1172825179469</v>
      </c>
      <c r="D268" s="257" t="str">
        <f t="shared" si="38"/>
        <v/>
      </c>
      <c r="F268" s="257" t="str">
        <f t="shared" si="39"/>
        <v/>
      </c>
      <c r="G268" s="257" t="str">
        <f t="shared" si="40"/>
        <v/>
      </c>
      <c r="H268" s="257" t="str">
        <f t="shared" si="41"/>
        <v/>
      </c>
      <c r="I268" s="220" t="e">
        <f t="shared" si="37"/>
        <v>#VALUE!</v>
      </c>
    </row>
    <row r="269" spans="1:9" x14ac:dyDescent="0.25">
      <c r="A269" s="254">
        <f t="shared" si="42"/>
        <v>251</v>
      </c>
      <c r="B269" s="255" t="str">
        <f t="shared" si="35"/>
        <v/>
      </c>
      <c r="C269" s="256">
        <f t="shared" si="36"/>
        <v>3047.1172825179469</v>
      </c>
      <c r="D269" s="257" t="str">
        <f t="shared" si="38"/>
        <v/>
      </c>
      <c r="F269" s="257" t="str">
        <f t="shared" si="39"/>
        <v/>
      </c>
      <c r="G269" s="257" t="str">
        <f t="shared" si="40"/>
        <v/>
      </c>
      <c r="H269" s="257" t="str">
        <f t="shared" si="41"/>
        <v/>
      </c>
      <c r="I269" s="220" t="e">
        <f t="shared" si="37"/>
        <v>#VALUE!</v>
      </c>
    </row>
    <row r="270" spans="1:9" x14ac:dyDescent="0.25">
      <c r="A270" s="254">
        <f t="shared" si="42"/>
        <v>252</v>
      </c>
      <c r="B270" s="255" t="str">
        <f t="shared" si="35"/>
        <v/>
      </c>
      <c r="C270" s="256">
        <f t="shared" si="36"/>
        <v>3047.1172825179469</v>
      </c>
      <c r="D270" s="257" t="str">
        <f t="shared" si="38"/>
        <v/>
      </c>
      <c r="F270" s="257" t="str">
        <f t="shared" si="39"/>
        <v/>
      </c>
      <c r="G270" s="257" t="str">
        <f t="shared" si="40"/>
        <v/>
      </c>
      <c r="H270" s="257" t="str">
        <f t="shared" si="41"/>
        <v/>
      </c>
      <c r="I270" s="220" t="e">
        <f t="shared" si="37"/>
        <v>#VALUE!</v>
      </c>
    </row>
    <row r="271" spans="1:9" x14ac:dyDescent="0.25">
      <c r="A271" s="254">
        <f t="shared" si="42"/>
        <v>253</v>
      </c>
      <c r="B271" s="255" t="str">
        <f t="shared" si="35"/>
        <v/>
      </c>
      <c r="C271" s="256">
        <f t="shared" si="36"/>
        <v>3047.1172825179469</v>
      </c>
      <c r="D271" s="257" t="str">
        <f t="shared" si="38"/>
        <v/>
      </c>
      <c r="F271" s="257" t="str">
        <f t="shared" si="39"/>
        <v/>
      </c>
      <c r="G271" s="257" t="str">
        <f t="shared" si="40"/>
        <v/>
      </c>
      <c r="H271" s="257" t="str">
        <f t="shared" si="41"/>
        <v/>
      </c>
      <c r="I271" s="220" t="e">
        <f t="shared" si="37"/>
        <v>#VALUE!</v>
      </c>
    </row>
    <row r="272" spans="1:9" x14ac:dyDescent="0.25">
      <c r="A272" s="254">
        <f t="shared" si="42"/>
        <v>254</v>
      </c>
      <c r="B272" s="255" t="str">
        <f t="shared" si="35"/>
        <v/>
      </c>
      <c r="C272" s="256">
        <f t="shared" si="36"/>
        <v>3047.1172825179469</v>
      </c>
      <c r="D272" s="257" t="str">
        <f t="shared" si="38"/>
        <v/>
      </c>
      <c r="F272" s="257" t="str">
        <f t="shared" si="39"/>
        <v/>
      </c>
      <c r="G272" s="257" t="str">
        <f t="shared" si="40"/>
        <v/>
      </c>
      <c r="H272" s="257" t="str">
        <f t="shared" si="41"/>
        <v/>
      </c>
      <c r="I272" s="220" t="e">
        <f t="shared" si="37"/>
        <v>#VALUE!</v>
      </c>
    </row>
    <row r="273" spans="1:9" x14ac:dyDescent="0.25">
      <c r="A273" s="254">
        <f t="shared" si="42"/>
        <v>255</v>
      </c>
      <c r="B273" s="255" t="str">
        <f t="shared" si="35"/>
        <v/>
      </c>
      <c r="C273" s="256">
        <f t="shared" si="36"/>
        <v>3047.1172825179469</v>
      </c>
      <c r="D273" s="257" t="str">
        <f t="shared" si="38"/>
        <v/>
      </c>
      <c r="F273" s="257" t="str">
        <f t="shared" si="39"/>
        <v/>
      </c>
      <c r="G273" s="257" t="str">
        <f t="shared" si="40"/>
        <v/>
      </c>
      <c r="H273" s="257" t="str">
        <f t="shared" si="41"/>
        <v/>
      </c>
      <c r="I273" s="220" t="e">
        <f t="shared" si="37"/>
        <v>#VALUE!</v>
      </c>
    </row>
    <row r="274" spans="1:9" x14ac:dyDescent="0.25">
      <c r="A274" s="254">
        <f t="shared" si="42"/>
        <v>256</v>
      </c>
      <c r="B274" s="255" t="str">
        <f t="shared" si="35"/>
        <v/>
      </c>
      <c r="C274" s="256">
        <f t="shared" si="36"/>
        <v>3047.1172825179469</v>
      </c>
      <c r="D274" s="257" t="str">
        <f t="shared" si="38"/>
        <v/>
      </c>
      <c r="F274" s="257" t="str">
        <f t="shared" si="39"/>
        <v/>
      </c>
      <c r="G274" s="257" t="str">
        <f t="shared" si="40"/>
        <v/>
      </c>
      <c r="H274" s="257" t="str">
        <f t="shared" si="41"/>
        <v/>
      </c>
      <c r="I274" s="220" t="e">
        <f t="shared" si="37"/>
        <v>#VALUE!</v>
      </c>
    </row>
    <row r="275" spans="1:9" x14ac:dyDescent="0.25">
      <c r="A275" s="254">
        <f t="shared" si="42"/>
        <v>257</v>
      </c>
      <c r="B275" s="255" t="str">
        <f t="shared" si="35"/>
        <v/>
      </c>
      <c r="C275" s="256">
        <f t="shared" si="36"/>
        <v>3047.1172825179469</v>
      </c>
      <c r="D275" s="257" t="str">
        <f t="shared" si="38"/>
        <v/>
      </c>
      <c r="F275" s="257" t="str">
        <f t="shared" si="39"/>
        <v/>
      </c>
      <c r="G275" s="257" t="str">
        <f t="shared" si="40"/>
        <v/>
      </c>
      <c r="H275" s="257" t="str">
        <f t="shared" si="41"/>
        <v/>
      </c>
      <c r="I275" s="220" t="e">
        <f t="shared" si="37"/>
        <v>#VALUE!</v>
      </c>
    </row>
    <row r="276" spans="1:9" x14ac:dyDescent="0.25">
      <c r="A276" s="254">
        <f t="shared" si="42"/>
        <v>258</v>
      </c>
      <c r="B276" s="255" t="str">
        <f t="shared" ref="B276:B339" si="43">IF(A276&gt;$H$11,"",DATE(YEAR(B275),MONTH(B275)+1,1))</f>
        <v/>
      </c>
      <c r="C276" s="256">
        <f t="shared" ref="C276:C339" si="44">IF($H$15=0,-$D$14,IF(OR(A276=$H$11,A276=$H$14),G275+D276+E276,IF(B276="","",ROUND((B276-B275)*($H$9+$H$10*$I$10)*G275,2))))</f>
        <v>3047.1172825179469</v>
      </c>
      <c r="D276" s="257" t="str">
        <f t="shared" si="38"/>
        <v/>
      </c>
      <c r="F276" s="257" t="str">
        <f t="shared" si="39"/>
        <v/>
      </c>
      <c r="G276" s="257" t="str">
        <f t="shared" si="40"/>
        <v/>
      </c>
      <c r="H276" s="257" t="str">
        <f t="shared" si="41"/>
        <v/>
      </c>
      <c r="I276" s="220" t="e">
        <f t="shared" ref="I276:I339" si="45">YEAR(B276)</f>
        <v>#VALUE!</v>
      </c>
    </row>
    <row r="277" spans="1:9" x14ac:dyDescent="0.25">
      <c r="A277" s="254">
        <f t="shared" si="42"/>
        <v>259</v>
      </c>
      <c r="B277" s="255" t="str">
        <f t="shared" si="43"/>
        <v/>
      </c>
      <c r="C277" s="256">
        <f t="shared" si="44"/>
        <v>3047.1172825179469</v>
      </c>
      <c r="D277" s="257" t="str">
        <f t="shared" si="38"/>
        <v/>
      </c>
      <c r="F277" s="257" t="str">
        <f t="shared" si="39"/>
        <v/>
      </c>
      <c r="G277" s="257" t="str">
        <f t="shared" si="40"/>
        <v/>
      </c>
      <c r="H277" s="257" t="str">
        <f t="shared" si="41"/>
        <v/>
      </c>
      <c r="I277" s="220" t="e">
        <f t="shared" si="45"/>
        <v>#VALUE!</v>
      </c>
    </row>
    <row r="278" spans="1:9" x14ac:dyDescent="0.25">
      <c r="A278" s="254">
        <f t="shared" si="42"/>
        <v>260</v>
      </c>
      <c r="B278" s="255" t="str">
        <f t="shared" si="43"/>
        <v/>
      </c>
      <c r="C278" s="256">
        <f t="shared" si="44"/>
        <v>3047.1172825179469</v>
      </c>
      <c r="D278" s="257" t="str">
        <f t="shared" si="38"/>
        <v/>
      </c>
      <c r="F278" s="257" t="str">
        <f t="shared" si="39"/>
        <v/>
      </c>
      <c r="G278" s="257" t="str">
        <f t="shared" si="40"/>
        <v/>
      </c>
      <c r="H278" s="257" t="str">
        <f t="shared" si="41"/>
        <v/>
      </c>
      <c r="I278" s="220" t="e">
        <f t="shared" si="45"/>
        <v>#VALUE!</v>
      </c>
    </row>
    <row r="279" spans="1:9" x14ac:dyDescent="0.25">
      <c r="A279" s="254">
        <f t="shared" si="42"/>
        <v>261</v>
      </c>
      <c r="B279" s="255" t="str">
        <f t="shared" si="43"/>
        <v/>
      </c>
      <c r="C279" s="256">
        <f t="shared" si="44"/>
        <v>3047.1172825179469</v>
      </c>
      <c r="D279" s="257" t="str">
        <f t="shared" ref="D279:D342" si="46">IF(B279="","",ROUND((B279-B278)*$H$9*G278,2))</f>
        <v/>
      </c>
      <c r="F279" s="257" t="str">
        <f t="shared" ref="F279:F342" si="47">IF(B279="","",IF(C279&gt;F278+D279,0,F278+D279-C279))</f>
        <v/>
      </c>
      <c r="G279" s="257" t="str">
        <f t="shared" ref="G279:G342" si="48">IF(B279="","",IF(C279&gt;D279+F278,G278+F278+D279-C279,G278))</f>
        <v/>
      </c>
      <c r="H279" s="257" t="str">
        <f t="shared" ref="H279:H342" si="49">IF(B279="","",G279+F279)</f>
        <v/>
      </c>
      <c r="I279" s="220" t="e">
        <f t="shared" si="45"/>
        <v>#VALUE!</v>
      </c>
    </row>
    <row r="280" spans="1:9" x14ac:dyDescent="0.25">
      <c r="A280" s="254">
        <f t="shared" si="42"/>
        <v>262</v>
      </c>
      <c r="B280" s="255" t="str">
        <f t="shared" si="43"/>
        <v/>
      </c>
      <c r="C280" s="256">
        <f t="shared" si="44"/>
        <v>3047.1172825179469</v>
      </c>
      <c r="D280" s="257" t="str">
        <f t="shared" si="46"/>
        <v/>
      </c>
      <c r="F280" s="257" t="str">
        <f t="shared" si="47"/>
        <v/>
      </c>
      <c r="G280" s="257" t="str">
        <f t="shared" si="48"/>
        <v/>
      </c>
      <c r="H280" s="257" t="str">
        <f t="shared" si="49"/>
        <v/>
      </c>
      <c r="I280" s="220" t="e">
        <f t="shared" si="45"/>
        <v>#VALUE!</v>
      </c>
    </row>
    <row r="281" spans="1:9" x14ac:dyDescent="0.25">
      <c r="A281" s="254">
        <f t="shared" si="42"/>
        <v>263</v>
      </c>
      <c r="B281" s="255" t="str">
        <f t="shared" si="43"/>
        <v/>
      </c>
      <c r="C281" s="256">
        <f t="shared" si="44"/>
        <v>3047.1172825179469</v>
      </c>
      <c r="D281" s="257" t="str">
        <f t="shared" si="46"/>
        <v/>
      </c>
      <c r="F281" s="257" t="str">
        <f t="shared" si="47"/>
        <v/>
      </c>
      <c r="G281" s="257" t="str">
        <f t="shared" si="48"/>
        <v/>
      </c>
      <c r="H281" s="257" t="str">
        <f t="shared" si="49"/>
        <v/>
      </c>
      <c r="I281" s="220" t="e">
        <f t="shared" si="45"/>
        <v>#VALUE!</v>
      </c>
    </row>
    <row r="282" spans="1:9" x14ac:dyDescent="0.25">
      <c r="A282" s="254">
        <f t="shared" si="42"/>
        <v>264</v>
      </c>
      <c r="B282" s="255" t="str">
        <f t="shared" si="43"/>
        <v/>
      </c>
      <c r="C282" s="256">
        <f t="shared" si="44"/>
        <v>3047.1172825179469</v>
      </c>
      <c r="D282" s="257" t="str">
        <f t="shared" si="46"/>
        <v/>
      </c>
      <c r="F282" s="257" t="str">
        <f t="shared" si="47"/>
        <v/>
      </c>
      <c r="G282" s="257" t="str">
        <f t="shared" si="48"/>
        <v/>
      </c>
      <c r="H282" s="257" t="str">
        <f t="shared" si="49"/>
        <v/>
      </c>
      <c r="I282" s="220" t="e">
        <f t="shared" si="45"/>
        <v>#VALUE!</v>
      </c>
    </row>
    <row r="283" spans="1:9" x14ac:dyDescent="0.25">
      <c r="A283" s="254">
        <f t="shared" si="42"/>
        <v>265</v>
      </c>
      <c r="B283" s="255" t="str">
        <f t="shared" si="43"/>
        <v/>
      </c>
      <c r="C283" s="256">
        <f t="shared" si="44"/>
        <v>3047.1172825179469</v>
      </c>
      <c r="D283" s="257" t="str">
        <f t="shared" si="46"/>
        <v/>
      </c>
      <c r="F283" s="257" t="str">
        <f t="shared" si="47"/>
        <v/>
      </c>
      <c r="G283" s="257" t="str">
        <f t="shared" si="48"/>
        <v/>
      </c>
      <c r="H283" s="257" t="str">
        <f t="shared" si="49"/>
        <v/>
      </c>
      <c r="I283" s="220" t="e">
        <f t="shared" si="45"/>
        <v>#VALUE!</v>
      </c>
    </row>
    <row r="284" spans="1:9" x14ac:dyDescent="0.25">
      <c r="A284" s="254">
        <f t="shared" si="42"/>
        <v>266</v>
      </c>
      <c r="B284" s="255" t="str">
        <f t="shared" si="43"/>
        <v/>
      </c>
      <c r="C284" s="256">
        <f t="shared" si="44"/>
        <v>3047.1172825179469</v>
      </c>
      <c r="D284" s="257" t="str">
        <f t="shared" si="46"/>
        <v/>
      </c>
      <c r="F284" s="257" t="str">
        <f t="shared" si="47"/>
        <v/>
      </c>
      <c r="G284" s="257" t="str">
        <f t="shared" si="48"/>
        <v/>
      </c>
      <c r="H284" s="257" t="str">
        <f t="shared" si="49"/>
        <v/>
      </c>
      <c r="I284" s="220" t="e">
        <f t="shared" si="45"/>
        <v>#VALUE!</v>
      </c>
    </row>
    <row r="285" spans="1:9" x14ac:dyDescent="0.25">
      <c r="A285" s="254">
        <f t="shared" si="42"/>
        <v>267</v>
      </c>
      <c r="B285" s="255" t="str">
        <f t="shared" si="43"/>
        <v/>
      </c>
      <c r="C285" s="256">
        <f t="shared" si="44"/>
        <v>3047.1172825179469</v>
      </c>
      <c r="D285" s="257" t="str">
        <f t="shared" si="46"/>
        <v/>
      </c>
      <c r="F285" s="257" t="str">
        <f t="shared" si="47"/>
        <v/>
      </c>
      <c r="G285" s="257" t="str">
        <f t="shared" si="48"/>
        <v/>
      </c>
      <c r="H285" s="257" t="str">
        <f t="shared" si="49"/>
        <v/>
      </c>
      <c r="I285" s="220" t="e">
        <f t="shared" si="45"/>
        <v>#VALUE!</v>
      </c>
    </row>
    <row r="286" spans="1:9" x14ac:dyDescent="0.25">
      <c r="A286" s="254">
        <f t="shared" si="42"/>
        <v>268</v>
      </c>
      <c r="B286" s="255" t="str">
        <f t="shared" si="43"/>
        <v/>
      </c>
      <c r="C286" s="256">
        <f t="shared" si="44"/>
        <v>3047.1172825179469</v>
      </c>
      <c r="D286" s="257" t="str">
        <f t="shared" si="46"/>
        <v/>
      </c>
      <c r="F286" s="257" t="str">
        <f t="shared" si="47"/>
        <v/>
      </c>
      <c r="G286" s="257" t="str">
        <f t="shared" si="48"/>
        <v/>
      </c>
      <c r="H286" s="257" t="str">
        <f t="shared" si="49"/>
        <v/>
      </c>
      <c r="I286" s="220" t="e">
        <f t="shared" si="45"/>
        <v>#VALUE!</v>
      </c>
    </row>
    <row r="287" spans="1:9" x14ac:dyDescent="0.25">
      <c r="A287" s="254">
        <f t="shared" si="42"/>
        <v>269</v>
      </c>
      <c r="B287" s="255" t="str">
        <f t="shared" si="43"/>
        <v/>
      </c>
      <c r="C287" s="256">
        <f t="shared" si="44"/>
        <v>3047.1172825179469</v>
      </c>
      <c r="D287" s="257" t="str">
        <f t="shared" si="46"/>
        <v/>
      </c>
      <c r="F287" s="257" t="str">
        <f t="shared" si="47"/>
        <v/>
      </c>
      <c r="G287" s="257" t="str">
        <f t="shared" si="48"/>
        <v/>
      </c>
      <c r="H287" s="257" t="str">
        <f t="shared" si="49"/>
        <v/>
      </c>
      <c r="I287" s="220" t="e">
        <f t="shared" si="45"/>
        <v>#VALUE!</v>
      </c>
    </row>
    <row r="288" spans="1:9" x14ac:dyDescent="0.25">
      <c r="A288" s="254">
        <f t="shared" si="42"/>
        <v>270</v>
      </c>
      <c r="B288" s="255" t="str">
        <f t="shared" si="43"/>
        <v/>
      </c>
      <c r="C288" s="256">
        <f t="shared" si="44"/>
        <v>3047.1172825179469</v>
      </c>
      <c r="D288" s="257" t="str">
        <f t="shared" si="46"/>
        <v/>
      </c>
      <c r="F288" s="257" t="str">
        <f t="shared" si="47"/>
        <v/>
      </c>
      <c r="G288" s="257" t="str">
        <f t="shared" si="48"/>
        <v/>
      </c>
      <c r="H288" s="257" t="str">
        <f t="shared" si="49"/>
        <v/>
      </c>
      <c r="I288" s="220" t="e">
        <f t="shared" si="45"/>
        <v>#VALUE!</v>
      </c>
    </row>
    <row r="289" spans="1:9" x14ac:dyDescent="0.25">
      <c r="A289" s="254">
        <f t="shared" si="42"/>
        <v>271</v>
      </c>
      <c r="B289" s="255" t="str">
        <f t="shared" si="43"/>
        <v/>
      </c>
      <c r="C289" s="256">
        <f t="shared" si="44"/>
        <v>3047.1172825179469</v>
      </c>
      <c r="D289" s="257" t="str">
        <f t="shared" si="46"/>
        <v/>
      </c>
      <c r="F289" s="257" t="str">
        <f t="shared" si="47"/>
        <v/>
      </c>
      <c r="G289" s="257" t="str">
        <f t="shared" si="48"/>
        <v/>
      </c>
      <c r="H289" s="257" t="str">
        <f t="shared" si="49"/>
        <v/>
      </c>
      <c r="I289" s="220" t="e">
        <f t="shared" si="45"/>
        <v>#VALUE!</v>
      </c>
    </row>
    <row r="290" spans="1:9" x14ac:dyDescent="0.25">
      <c r="A290" s="254">
        <f t="shared" si="42"/>
        <v>272</v>
      </c>
      <c r="B290" s="255" t="str">
        <f t="shared" si="43"/>
        <v/>
      </c>
      <c r="C290" s="256">
        <f t="shared" si="44"/>
        <v>3047.1172825179469</v>
      </c>
      <c r="D290" s="257" t="str">
        <f t="shared" si="46"/>
        <v/>
      </c>
      <c r="F290" s="257" t="str">
        <f t="shared" si="47"/>
        <v/>
      </c>
      <c r="G290" s="257" t="str">
        <f t="shared" si="48"/>
        <v/>
      </c>
      <c r="H290" s="257" t="str">
        <f t="shared" si="49"/>
        <v/>
      </c>
      <c r="I290" s="220" t="e">
        <f t="shared" si="45"/>
        <v>#VALUE!</v>
      </c>
    </row>
    <row r="291" spans="1:9" x14ac:dyDescent="0.25">
      <c r="A291" s="254">
        <f t="shared" si="42"/>
        <v>273</v>
      </c>
      <c r="B291" s="255" t="str">
        <f t="shared" si="43"/>
        <v/>
      </c>
      <c r="C291" s="256">
        <f t="shared" si="44"/>
        <v>3047.1172825179469</v>
      </c>
      <c r="D291" s="257" t="str">
        <f t="shared" si="46"/>
        <v/>
      </c>
      <c r="F291" s="257" t="str">
        <f t="shared" si="47"/>
        <v/>
      </c>
      <c r="G291" s="257" t="str">
        <f t="shared" si="48"/>
        <v/>
      </c>
      <c r="H291" s="257" t="str">
        <f t="shared" si="49"/>
        <v/>
      </c>
      <c r="I291" s="220" t="e">
        <f t="shared" si="45"/>
        <v>#VALUE!</v>
      </c>
    </row>
    <row r="292" spans="1:9" x14ac:dyDescent="0.25">
      <c r="A292" s="254">
        <f t="shared" si="42"/>
        <v>274</v>
      </c>
      <c r="B292" s="255" t="str">
        <f t="shared" si="43"/>
        <v/>
      </c>
      <c r="C292" s="256">
        <f t="shared" si="44"/>
        <v>3047.1172825179469</v>
      </c>
      <c r="D292" s="257" t="str">
        <f t="shared" si="46"/>
        <v/>
      </c>
      <c r="F292" s="257" t="str">
        <f t="shared" si="47"/>
        <v/>
      </c>
      <c r="G292" s="257" t="str">
        <f t="shared" si="48"/>
        <v/>
      </c>
      <c r="H292" s="257" t="str">
        <f t="shared" si="49"/>
        <v/>
      </c>
      <c r="I292" s="220" t="e">
        <f t="shared" si="45"/>
        <v>#VALUE!</v>
      </c>
    </row>
    <row r="293" spans="1:9" x14ac:dyDescent="0.25">
      <c r="A293" s="254">
        <f t="shared" si="42"/>
        <v>275</v>
      </c>
      <c r="B293" s="255" t="str">
        <f t="shared" si="43"/>
        <v/>
      </c>
      <c r="C293" s="256">
        <f t="shared" si="44"/>
        <v>3047.1172825179469</v>
      </c>
      <c r="D293" s="257" t="str">
        <f t="shared" si="46"/>
        <v/>
      </c>
      <c r="F293" s="257" t="str">
        <f t="shared" si="47"/>
        <v/>
      </c>
      <c r="G293" s="257" t="str">
        <f t="shared" si="48"/>
        <v/>
      </c>
      <c r="H293" s="257" t="str">
        <f t="shared" si="49"/>
        <v/>
      </c>
      <c r="I293" s="220" t="e">
        <f t="shared" si="45"/>
        <v>#VALUE!</v>
      </c>
    </row>
    <row r="294" spans="1:9" x14ac:dyDescent="0.25">
      <c r="A294" s="254">
        <f t="shared" si="42"/>
        <v>276</v>
      </c>
      <c r="B294" s="255" t="str">
        <f t="shared" si="43"/>
        <v/>
      </c>
      <c r="C294" s="256">
        <f t="shared" si="44"/>
        <v>3047.1172825179469</v>
      </c>
      <c r="D294" s="257" t="str">
        <f t="shared" si="46"/>
        <v/>
      </c>
      <c r="F294" s="257" t="str">
        <f t="shared" si="47"/>
        <v/>
      </c>
      <c r="G294" s="257" t="str">
        <f t="shared" si="48"/>
        <v/>
      </c>
      <c r="H294" s="257" t="str">
        <f t="shared" si="49"/>
        <v/>
      </c>
      <c r="I294" s="220" t="e">
        <f t="shared" si="45"/>
        <v>#VALUE!</v>
      </c>
    </row>
    <row r="295" spans="1:9" x14ac:dyDescent="0.25">
      <c r="A295" s="254">
        <f t="shared" si="42"/>
        <v>277</v>
      </c>
      <c r="B295" s="255" t="str">
        <f t="shared" si="43"/>
        <v/>
      </c>
      <c r="C295" s="256">
        <f t="shared" si="44"/>
        <v>3047.1172825179469</v>
      </c>
      <c r="D295" s="257" t="str">
        <f t="shared" si="46"/>
        <v/>
      </c>
      <c r="F295" s="257" t="str">
        <f t="shared" si="47"/>
        <v/>
      </c>
      <c r="G295" s="257" t="str">
        <f t="shared" si="48"/>
        <v/>
      </c>
      <c r="H295" s="257" t="str">
        <f t="shared" si="49"/>
        <v/>
      </c>
      <c r="I295" s="220" t="e">
        <f t="shared" si="45"/>
        <v>#VALUE!</v>
      </c>
    </row>
    <row r="296" spans="1:9" x14ac:dyDescent="0.25">
      <c r="A296" s="254">
        <f t="shared" si="42"/>
        <v>278</v>
      </c>
      <c r="B296" s="255" t="str">
        <f t="shared" si="43"/>
        <v/>
      </c>
      <c r="C296" s="256">
        <f t="shared" si="44"/>
        <v>3047.1172825179469</v>
      </c>
      <c r="D296" s="257" t="str">
        <f t="shared" si="46"/>
        <v/>
      </c>
      <c r="F296" s="257" t="str">
        <f t="shared" si="47"/>
        <v/>
      </c>
      <c r="G296" s="257" t="str">
        <f t="shared" si="48"/>
        <v/>
      </c>
      <c r="H296" s="257" t="str">
        <f t="shared" si="49"/>
        <v/>
      </c>
      <c r="I296" s="220" t="e">
        <f t="shared" si="45"/>
        <v>#VALUE!</v>
      </c>
    </row>
    <row r="297" spans="1:9" x14ac:dyDescent="0.25">
      <c r="A297" s="254">
        <f t="shared" si="42"/>
        <v>279</v>
      </c>
      <c r="B297" s="255" t="str">
        <f t="shared" si="43"/>
        <v/>
      </c>
      <c r="C297" s="256">
        <f t="shared" si="44"/>
        <v>3047.1172825179469</v>
      </c>
      <c r="D297" s="257" t="str">
        <f t="shared" si="46"/>
        <v/>
      </c>
      <c r="F297" s="257" t="str">
        <f t="shared" si="47"/>
        <v/>
      </c>
      <c r="G297" s="257" t="str">
        <f t="shared" si="48"/>
        <v/>
      </c>
      <c r="H297" s="257" t="str">
        <f t="shared" si="49"/>
        <v/>
      </c>
      <c r="I297" s="220" t="e">
        <f t="shared" si="45"/>
        <v>#VALUE!</v>
      </c>
    </row>
    <row r="298" spans="1:9" x14ac:dyDescent="0.25">
      <c r="A298" s="254">
        <f t="shared" si="42"/>
        <v>280</v>
      </c>
      <c r="B298" s="255" t="str">
        <f t="shared" si="43"/>
        <v/>
      </c>
      <c r="C298" s="256">
        <f t="shared" si="44"/>
        <v>3047.1172825179469</v>
      </c>
      <c r="D298" s="257" t="str">
        <f t="shared" si="46"/>
        <v/>
      </c>
      <c r="F298" s="257" t="str">
        <f t="shared" si="47"/>
        <v/>
      </c>
      <c r="G298" s="257" t="str">
        <f t="shared" si="48"/>
        <v/>
      </c>
      <c r="H298" s="257" t="str">
        <f t="shared" si="49"/>
        <v/>
      </c>
      <c r="I298" s="220" t="e">
        <f t="shared" si="45"/>
        <v>#VALUE!</v>
      </c>
    </row>
    <row r="299" spans="1:9" x14ac:dyDescent="0.25">
      <c r="A299" s="254">
        <f t="shared" si="42"/>
        <v>281</v>
      </c>
      <c r="B299" s="255" t="str">
        <f t="shared" si="43"/>
        <v/>
      </c>
      <c r="C299" s="256">
        <f t="shared" si="44"/>
        <v>3047.1172825179469</v>
      </c>
      <c r="D299" s="257" t="str">
        <f t="shared" si="46"/>
        <v/>
      </c>
      <c r="F299" s="257" t="str">
        <f t="shared" si="47"/>
        <v/>
      </c>
      <c r="G299" s="257" t="str">
        <f t="shared" si="48"/>
        <v/>
      </c>
      <c r="H299" s="257" t="str">
        <f t="shared" si="49"/>
        <v/>
      </c>
      <c r="I299" s="220" t="e">
        <f t="shared" si="45"/>
        <v>#VALUE!</v>
      </c>
    </row>
    <row r="300" spans="1:9" x14ac:dyDescent="0.25">
      <c r="A300" s="254">
        <f t="shared" si="42"/>
        <v>282</v>
      </c>
      <c r="B300" s="255" t="str">
        <f t="shared" si="43"/>
        <v/>
      </c>
      <c r="C300" s="256">
        <f t="shared" si="44"/>
        <v>3047.1172825179469</v>
      </c>
      <c r="D300" s="257" t="str">
        <f t="shared" si="46"/>
        <v/>
      </c>
      <c r="F300" s="257" t="str">
        <f t="shared" si="47"/>
        <v/>
      </c>
      <c r="G300" s="257" t="str">
        <f t="shared" si="48"/>
        <v/>
      </c>
      <c r="H300" s="257" t="str">
        <f t="shared" si="49"/>
        <v/>
      </c>
      <c r="I300" s="220" t="e">
        <f t="shared" si="45"/>
        <v>#VALUE!</v>
      </c>
    </row>
    <row r="301" spans="1:9" x14ac:dyDescent="0.25">
      <c r="A301" s="254">
        <f t="shared" si="42"/>
        <v>283</v>
      </c>
      <c r="B301" s="255" t="str">
        <f t="shared" si="43"/>
        <v/>
      </c>
      <c r="C301" s="256">
        <f t="shared" si="44"/>
        <v>3047.1172825179469</v>
      </c>
      <c r="D301" s="257" t="str">
        <f t="shared" si="46"/>
        <v/>
      </c>
      <c r="F301" s="257" t="str">
        <f t="shared" si="47"/>
        <v/>
      </c>
      <c r="G301" s="257" t="str">
        <f t="shared" si="48"/>
        <v/>
      </c>
      <c r="H301" s="257" t="str">
        <f t="shared" si="49"/>
        <v/>
      </c>
      <c r="I301" s="220" t="e">
        <f t="shared" si="45"/>
        <v>#VALUE!</v>
      </c>
    </row>
    <row r="302" spans="1:9" x14ac:dyDescent="0.25">
      <c r="A302" s="254">
        <f t="shared" si="42"/>
        <v>284</v>
      </c>
      <c r="B302" s="255" t="str">
        <f t="shared" si="43"/>
        <v/>
      </c>
      <c r="C302" s="256">
        <f t="shared" si="44"/>
        <v>3047.1172825179469</v>
      </c>
      <c r="D302" s="257" t="str">
        <f t="shared" si="46"/>
        <v/>
      </c>
      <c r="F302" s="257" t="str">
        <f t="shared" si="47"/>
        <v/>
      </c>
      <c r="G302" s="257" t="str">
        <f t="shared" si="48"/>
        <v/>
      </c>
      <c r="H302" s="257" t="str">
        <f t="shared" si="49"/>
        <v/>
      </c>
      <c r="I302" s="220" t="e">
        <f t="shared" si="45"/>
        <v>#VALUE!</v>
      </c>
    </row>
    <row r="303" spans="1:9" x14ac:dyDescent="0.25">
      <c r="A303" s="254">
        <f t="shared" si="42"/>
        <v>285</v>
      </c>
      <c r="B303" s="255" t="str">
        <f t="shared" si="43"/>
        <v/>
      </c>
      <c r="C303" s="256">
        <f t="shared" si="44"/>
        <v>3047.1172825179469</v>
      </c>
      <c r="D303" s="257" t="str">
        <f t="shared" si="46"/>
        <v/>
      </c>
      <c r="F303" s="257" t="str">
        <f t="shared" si="47"/>
        <v/>
      </c>
      <c r="G303" s="257" t="str">
        <f t="shared" si="48"/>
        <v/>
      </c>
      <c r="H303" s="257" t="str">
        <f t="shared" si="49"/>
        <v/>
      </c>
      <c r="I303" s="220" t="e">
        <f t="shared" si="45"/>
        <v>#VALUE!</v>
      </c>
    </row>
    <row r="304" spans="1:9" x14ac:dyDescent="0.25">
      <c r="A304" s="254">
        <f t="shared" si="42"/>
        <v>286</v>
      </c>
      <c r="B304" s="255" t="str">
        <f t="shared" si="43"/>
        <v/>
      </c>
      <c r="C304" s="256">
        <f t="shared" si="44"/>
        <v>3047.1172825179469</v>
      </c>
      <c r="D304" s="257" t="str">
        <f t="shared" si="46"/>
        <v/>
      </c>
      <c r="F304" s="257" t="str">
        <f t="shared" si="47"/>
        <v/>
      </c>
      <c r="G304" s="257" t="str">
        <f t="shared" si="48"/>
        <v/>
      </c>
      <c r="H304" s="257" t="str">
        <f t="shared" si="49"/>
        <v/>
      </c>
      <c r="I304" s="220" t="e">
        <f t="shared" si="45"/>
        <v>#VALUE!</v>
      </c>
    </row>
    <row r="305" spans="1:9" x14ac:dyDescent="0.25">
      <c r="A305" s="254">
        <f t="shared" si="42"/>
        <v>287</v>
      </c>
      <c r="B305" s="255" t="str">
        <f t="shared" si="43"/>
        <v/>
      </c>
      <c r="C305" s="256">
        <f t="shared" si="44"/>
        <v>3047.1172825179469</v>
      </c>
      <c r="D305" s="257" t="str">
        <f t="shared" si="46"/>
        <v/>
      </c>
      <c r="F305" s="257" t="str">
        <f t="shared" si="47"/>
        <v/>
      </c>
      <c r="G305" s="257" t="str">
        <f t="shared" si="48"/>
        <v/>
      </c>
      <c r="H305" s="257" t="str">
        <f t="shared" si="49"/>
        <v/>
      </c>
      <c r="I305" s="220" t="e">
        <f t="shared" si="45"/>
        <v>#VALUE!</v>
      </c>
    </row>
    <row r="306" spans="1:9" x14ac:dyDescent="0.25">
      <c r="A306" s="254">
        <f t="shared" si="42"/>
        <v>288</v>
      </c>
      <c r="B306" s="255" t="str">
        <f t="shared" si="43"/>
        <v/>
      </c>
      <c r="C306" s="256">
        <f t="shared" si="44"/>
        <v>3047.1172825179469</v>
      </c>
      <c r="D306" s="257" t="str">
        <f t="shared" si="46"/>
        <v/>
      </c>
      <c r="F306" s="257" t="str">
        <f t="shared" si="47"/>
        <v/>
      </c>
      <c r="G306" s="257" t="str">
        <f t="shared" si="48"/>
        <v/>
      </c>
      <c r="H306" s="257" t="str">
        <f t="shared" si="49"/>
        <v/>
      </c>
      <c r="I306" s="220" t="e">
        <f t="shared" si="45"/>
        <v>#VALUE!</v>
      </c>
    </row>
    <row r="307" spans="1:9" x14ac:dyDescent="0.25">
      <c r="A307" s="254">
        <f t="shared" si="42"/>
        <v>289</v>
      </c>
      <c r="B307" s="255" t="str">
        <f t="shared" si="43"/>
        <v/>
      </c>
      <c r="C307" s="256">
        <f t="shared" si="44"/>
        <v>3047.1172825179469</v>
      </c>
      <c r="D307" s="257" t="str">
        <f t="shared" si="46"/>
        <v/>
      </c>
      <c r="F307" s="257" t="str">
        <f t="shared" si="47"/>
        <v/>
      </c>
      <c r="G307" s="257" t="str">
        <f t="shared" si="48"/>
        <v/>
      </c>
      <c r="H307" s="257" t="str">
        <f t="shared" si="49"/>
        <v/>
      </c>
      <c r="I307" s="220" t="e">
        <f t="shared" si="45"/>
        <v>#VALUE!</v>
      </c>
    </row>
    <row r="308" spans="1:9" x14ac:dyDescent="0.25">
      <c r="A308" s="254">
        <f t="shared" si="42"/>
        <v>290</v>
      </c>
      <c r="B308" s="255" t="str">
        <f t="shared" si="43"/>
        <v/>
      </c>
      <c r="C308" s="256">
        <f t="shared" si="44"/>
        <v>3047.1172825179469</v>
      </c>
      <c r="D308" s="257" t="str">
        <f t="shared" si="46"/>
        <v/>
      </c>
      <c r="F308" s="257" t="str">
        <f t="shared" si="47"/>
        <v/>
      </c>
      <c r="G308" s="257" t="str">
        <f t="shared" si="48"/>
        <v/>
      </c>
      <c r="H308" s="257" t="str">
        <f t="shared" si="49"/>
        <v/>
      </c>
      <c r="I308" s="220" t="e">
        <f t="shared" si="45"/>
        <v>#VALUE!</v>
      </c>
    </row>
    <row r="309" spans="1:9" x14ac:dyDescent="0.25">
      <c r="A309" s="254">
        <f t="shared" si="42"/>
        <v>291</v>
      </c>
      <c r="B309" s="255" t="str">
        <f t="shared" si="43"/>
        <v/>
      </c>
      <c r="C309" s="256">
        <f t="shared" si="44"/>
        <v>3047.1172825179469</v>
      </c>
      <c r="D309" s="257" t="str">
        <f t="shared" si="46"/>
        <v/>
      </c>
      <c r="F309" s="257" t="str">
        <f t="shared" si="47"/>
        <v/>
      </c>
      <c r="G309" s="257" t="str">
        <f t="shared" si="48"/>
        <v/>
      </c>
      <c r="H309" s="257" t="str">
        <f t="shared" si="49"/>
        <v/>
      </c>
      <c r="I309" s="220" t="e">
        <f t="shared" si="45"/>
        <v>#VALUE!</v>
      </c>
    </row>
    <row r="310" spans="1:9" x14ac:dyDescent="0.25">
      <c r="A310" s="254">
        <f t="shared" si="42"/>
        <v>292</v>
      </c>
      <c r="B310" s="255" t="str">
        <f t="shared" si="43"/>
        <v/>
      </c>
      <c r="C310" s="256">
        <f t="shared" si="44"/>
        <v>3047.1172825179469</v>
      </c>
      <c r="D310" s="257" t="str">
        <f t="shared" si="46"/>
        <v/>
      </c>
      <c r="F310" s="257" t="str">
        <f t="shared" si="47"/>
        <v/>
      </c>
      <c r="G310" s="257" t="str">
        <f t="shared" si="48"/>
        <v/>
      </c>
      <c r="H310" s="257" t="str">
        <f t="shared" si="49"/>
        <v/>
      </c>
      <c r="I310" s="220" t="e">
        <f t="shared" si="45"/>
        <v>#VALUE!</v>
      </c>
    </row>
    <row r="311" spans="1:9" x14ac:dyDescent="0.25">
      <c r="A311" s="254">
        <f t="shared" si="42"/>
        <v>293</v>
      </c>
      <c r="B311" s="255" t="str">
        <f t="shared" si="43"/>
        <v/>
      </c>
      <c r="C311" s="256">
        <f t="shared" si="44"/>
        <v>3047.1172825179469</v>
      </c>
      <c r="D311" s="257" t="str">
        <f t="shared" si="46"/>
        <v/>
      </c>
      <c r="F311" s="257" t="str">
        <f t="shared" si="47"/>
        <v/>
      </c>
      <c r="G311" s="257" t="str">
        <f t="shared" si="48"/>
        <v/>
      </c>
      <c r="H311" s="257" t="str">
        <f t="shared" si="49"/>
        <v/>
      </c>
      <c r="I311" s="220" t="e">
        <f t="shared" si="45"/>
        <v>#VALUE!</v>
      </c>
    </row>
    <row r="312" spans="1:9" x14ac:dyDescent="0.25">
      <c r="A312" s="254">
        <f t="shared" si="42"/>
        <v>294</v>
      </c>
      <c r="B312" s="255" t="str">
        <f t="shared" si="43"/>
        <v/>
      </c>
      <c r="C312" s="256">
        <f t="shared" si="44"/>
        <v>3047.1172825179469</v>
      </c>
      <c r="D312" s="257" t="str">
        <f t="shared" si="46"/>
        <v/>
      </c>
      <c r="F312" s="257" t="str">
        <f t="shared" si="47"/>
        <v/>
      </c>
      <c r="G312" s="257" t="str">
        <f t="shared" si="48"/>
        <v/>
      </c>
      <c r="H312" s="257" t="str">
        <f t="shared" si="49"/>
        <v/>
      </c>
      <c r="I312" s="220" t="e">
        <f t="shared" si="45"/>
        <v>#VALUE!</v>
      </c>
    </row>
    <row r="313" spans="1:9" x14ac:dyDescent="0.25">
      <c r="A313" s="254">
        <f t="shared" ref="A313:A376" si="50">A312+1</f>
        <v>295</v>
      </c>
      <c r="B313" s="255" t="str">
        <f t="shared" si="43"/>
        <v/>
      </c>
      <c r="C313" s="256">
        <f t="shared" si="44"/>
        <v>3047.1172825179469</v>
      </c>
      <c r="D313" s="257" t="str">
        <f t="shared" si="46"/>
        <v/>
      </c>
      <c r="F313" s="257" t="str">
        <f t="shared" si="47"/>
        <v/>
      </c>
      <c r="G313" s="257" t="str">
        <f t="shared" si="48"/>
        <v/>
      </c>
      <c r="H313" s="257" t="str">
        <f t="shared" si="49"/>
        <v/>
      </c>
      <c r="I313" s="220" t="e">
        <f t="shared" si="45"/>
        <v>#VALUE!</v>
      </c>
    </row>
    <row r="314" spans="1:9" x14ac:dyDescent="0.25">
      <c r="A314" s="254">
        <f t="shared" si="50"/>
        <v>296</v>
      </c>
      <c r="B314" s="255" t="str">
        <f t="shared" si="43"/>
        <v/>
      </c>
      <c r="C314" s="256">
        <f t="shared" si="44"/>
        <v>3047.1172825179469</v>
      </c>
      <c r="D314" s="257" t="str">
        <f t="shared" si="46"/>
        <v/>
      </c>
      <c r="F314" s="257" t="str">
        <f t="shared" si="47"/>
        <v/>
      </c>
      <c r="G314" s="257" t="str">
        <f t="shared" si="48"/>
        <v/>
      </c>
      <c r="H314" s="257" t="str">
        <f t="shared" si="49"/>
        <v/>
      </c>
      <c r="I314" s="220" t="e">
        <f t="shared" si="45"/>
        <v>#VALUE!</v>
      </c>
    </row>
    <row r="315" spans="1:9" x14ac:dyDescent="0.25">
      <c r="A315" s="254">
        <f t="shared" si="50"/>
        <v>297</v>
      </c>
      <c r="B315" s="255" t="str">
        <f t="shared" si="43"/>
        <v/>
      </c>
      <c r="C315" s="256">
        <f t="shared" si="44"/>
        <v>3047.1172825179469</v>
      </c>
      <c r="D315" s="257" t="str">
        <f t="shared" si="46"/>
        <v/>
      </c>
      <c r="F315" s="257" t="str">
        <f t="shared" si="47"/>
        <v/>
      </c>
      <c r="G315" s="257" t="str">
        <f t="shared" si="48"/>
        <v/>
      </c>
      <c r="H315" s="257" t="str">
        <f t="shared" si="49"/>
        <v/>
      </c>
      <c r="I315" s="220" t="e">
        <f t="shared" si="45"/>
        <v>#VALUE!</v>
      </c>
    </row>
    <row r="316" spans="1:9" x14ac:dyDescent="0.25">
      <c r="A316" s="254">
        <f t="shared" si="50"/>
        <v>298</v>
      </c>
      <c r="B316" s="255" t="str">
        <f t="shared" si="43"/>
        <v/>
      </c>
      <c r="C316" s="256">
        <f t="shared" si="44"/>
        <v>3047.1172825179469</v>
      </c>
      <c r="D316" s="257" t="str">
        <f t="shared" si="46"/>
        <v/>
      </c>
      <c r="F316" s="257" t="str">
        <f t="shared" si="47"/>
        <v/>
      </c>
      <c r="G316" s="257" t="str">
        <f t="shared" si="48"/>
        <v/>
      </c>
      <c r="H316" s="257" t="str">
        <f t="shared" si="49"/>
        <v/>
      </c>
      <c r="I316" s="220" t="e">
        <f t="shared" si="45"/>
        <v>#VALUE!</v>
      </c>
    </row>
    <row r="317" spans="1:9" x14ac:dyDescent="0.25">
      <c r="A317" s="254">
        <f t="shared" si="50"/>
        <v>299</v>
      </c>
      <c r="B317" s="255" t="str">
        <f t="shared" si="43"/>
        <v/>
      </c>
      <c r="C317" s="256">
        <f t="shared" si="44"/>
        <v>3047.1172825179469</v>
      </c>
      <c r="D317" s="257" t="str">
        <f t="shared" si="46"/>
        <v/>
      </c>
      <c r="F317" s="257" t="str">
        <f t="shared" si="47"/>
        <v/>
      </c>
      <c r="G317" s="257" t="str">
        <f t="shared" si="48"/>
        <v/>
      </c>
      <c r="H317" s="257" t="str">
        <f t="shared" si="49"/>
        <v/>
      </c>
      <c r="I317" s="220" t="e">
        <f t="shared" si="45"/>
        <v>#VALUE!</v>
      </c>
    </row>
    <row r="318" spans="1:9" x14ac:dyDescent="0.25">
      <c r="A318" s="254">
        <f t="shared" si="50"/>
        <v>300</v>
      </c>
      <c r="B318" s="255" t="str">
        <f t="shared" si="43"/>
        <v/>
      </c>
      <c r="C318" s="256">
        <f t="shared" si="44"/>
        <v>3047.1172825179469</v>
      </c>
      <c r="D318" s="257" t="str">
        <f t="shared" si="46"/>
        <v/>
      </c>
      <c r="F318" s="257" t="str">
        <f t="shared" si="47"/>
        <v/>
      </c>
      <c r="G318" s="257" t="str">
        <f t="shared" si="48"/>
        <v/>
      </c>
      <c r="H318" s="257" t="str">
        <f t="shared" si="49"/>
        <v/>
      </c>
      <c r="I318" s="220" t="e">
        <f t="shared" si="45"/>
        <v>#VALUE!</v>
      </c>
    </row>
    <row r="319" spans="1:9" x14ac:dyDescent="0.25">
      <c r="A319" s="254">
        <f t="shared" si="50"/>
        <v>301</v>
      </c>
      <c r="B319" s="255" t="str">
        <f t="shared" si="43"/>
        <v/>
      </c>
      <c r="C319" s="256">
        <f t="shared" si="44"/>
        <v>3047.1172825179469</v>
      </c>
      <c r="D319" s="257" t="str">
        <f t="shared" si="46"/>
        <v/>
      </c>
      <c r="F319" s="257" t="str">
        <f t="shared" si="47"/>
        <v/>
      </c>
      <c r="G319" s="257" t="str">
        <f t="shared" si="48"/>
        <v/>
      </c>
      <c r="H319" s="257" t="str">
        <f t="shared" si="49"/>
        <v/>
      </c>
      <c r="I319" s="220" t="e">
        <f t="shared" si="45"/>
        <v>#VALUE!</v>
      </c>
    </row>
    <row r="320" spans="1:9" x14ac:dyDescent="0.25">
      <c r="A320" s="254">
        <f t="shared" si="50"/>
        <v>302</v>
      </c>
      <c r="B320" s="255" t="str">
        <f t="shared" si="43"/>
        <v/>
      </c>
      <c r="C320" s="256">
        <f t="shared" si="44"/>
        <v>3047.1172825179469</v>
      </c>
      <c r="D320" s="257" t="str">
        <f t="shared" si="46"/>
        <v/>
      </c>
      <c r="F320" s="257" t="str">
        <f t="shared" si="47"/>
        <v/>
      </c>
      <c r="G320" s="257" t="str">
        <f t="shared" si="48"/>
        <v/>
      </c>
      <c r="H320" s="257" t="str">
        <f t="shared" si="49"/>
        <v/>
      </c>
      <c r="I320" s="220" t="e">
        <f t="shared" si="45"/>
        <v>#VALUE!</v>
      </c>
    </row>
    <row r="321" spans="1:9" x14ac:dyDescent="0.25">
      <c r="A321" s="254">
        <f t="shared" si="50"/>
        <v>303</v>
      </c>
      <c r="B321" s="255" t="str">
        <f t="shared" si="43"/>
        <v/>
      </c>
      <c r="C321" s="256">
        <f t="shared" si="44"/>
        <v>3047.1172825179469</v>
      </c>
      <c r="D321" s="257" t="str">
        <f t="shared" si="46"/>
        <v/>
      </c>
      <c r="F321" s="257" t="str">
        <f t="shared" si="47"/>
        <v/>
      </c>
      <c r="G321" s="257" t="str">
        <f t="shared" si="48"/>
        <v/>
      </c>
      <c r="H321" s="257" t="str">
        <f t="shared" si="49"/>
        <v/>
      </c>
      <c r="I321" s="220" t="e">
        <f t="shared" si="45"/>
        <v>#VALUE!</v>
      </c>
    </row>
    <row r="322" spans="1:9" x14ac:dyDescent="0.25">
      <c r="A322" s="254">
        <f t="shared" si="50"/>
        <v>304</v>
      </c>
      <c r="B322" s="255" t="str">
        <f t="shared" si="43"/>
        <v/>
      </c>
      <c r="C322" s="256">
        <f t="shared" si="44"/>
        <v>3047.1172825179469</v>
      </c>
      <c r="D322" s="257" t="str">
        <f t="shared" si="46"/>
        <v/>
      </c>
      <c r="F322" s="257" t="str">
        <f t="shared" si="47"/>
        <v/>
      </c>
      <c r="G322" s="257" t="str">
        <f t="shared" si="48"/>
        <v/>
      </c>
      <c r="H322" s="257" t="str">
        <f t="shared" si="49"/>
        <v/>
      </c>
      <c r="I322" s="220" t="e">
        <f t="shared" si="45"/>
        <v>#VALUE!</v>
      </c>
    </row>
    <row r="323" spans="1:9" x14ac:dyDescent="0.25">
      <c r="A323" s="254">
        <f t="shared" si="50"/>
        <v>305</v>
      </c>
      <c r="B323" s="255" t="str">
        <f t="shared" si="43"/>
        <v/>
      </c>
      <c r="C323" s="256">
        <f t="shared" si="44"/>
        <v>3047.1172825179469</v>
      </c>
      <c r="D323" s="257" t="str">
        <f t="shared" si="46"/>
        <v/>
      </c>
      <c r="F323" s="257" t="str">
        <f t="shared" si="47"/>
        <v/>
      </c>
      <c r="G323" s="257" t="str">
        <f t="shared" si="48"/>
        <v/>
      </c>
      <c r="H323" s="257" t="str">
        <f t="shared" si="49"/>
        <v/>
      </c>
      <c r="I323" s="220" t="e">
        <f t="shared" si="45"/>
        <v>#VALUE!</v>
      </c>
    </row>
    <row r="324" spans="1:9" x14ac:dyDescent="0.25">
      <c r="A324" s="254">
        <f t="shared" si="50"/>
        <v>306</v>
      </c>
      <c r="B324" s="255" t="str">
        <f t="shared" si="43"/>
        <v/>
      </c>
      <c r="C324" s="256">
        <f t="shared" si="44"/>
        <v>3047.1172825179469</v>
      </c>
      <c r="D324" s="257" t="str">
        <f t="shared" si="46"/>
        <v/>
      </c>
      <c r="F324" s="257" t="str">
        <f t="shared" si="47"/>
        <v/>
      </c>
      <c r="G324" s="257" t="str">
        <f t="shared" si="48"/>
        <v/>
      </c>
      <c r="H324" s="257" t="str">
        <f t="shared" si="49"/>
        <v/>
      </c>
      <c r="I324" s="220" t="e">
        <f t="shared" si="45"/>
        <v>#VALUE!</v>
      </c>
    </row>
    <row r="325" spans="1:9" x14ac:dyDescent="0.25">
      <c r="A325" s="254">
        <f t="shared" si="50"/>
        <v>307</v>
      </c>
      <c r="B325" s="255" t="str">
        <f t="shared" si="43"/>
        <v/>
      </c>
      <c r="C325" s="256">
        <f t="shared" si="44"/>
        <v>3047.1172825179469</v>
      </c>
      <c r="D325" s="257" t="str">
        <f t="shared" si="46"/>
        <v/>
      </c>
      <c r="F325" s="257" t="str">
        <f t="shared" si="47"/>
        <v/>
      </c>
      <c r="G325" s="257" t="str">
        <f t="shared" si="48"/>
        <v/>
      </c>
      <c r="H325" s="257" t="str">
        <f t="shared" si="49"/>
        <v/>
      </c>
      <c r="I325" s="220" t="e">
        <f t="shared" si="45"/>
        <v>#VALUE!</v>
      </c>
    </row>
    <row r="326" spans="1:9" x14ac:dyDescent="0.25">
      <c r="A326" s="254">
        <f t="shared" si="50"/>
        <v>308</v>
      </c>
      <c r="B326" s="255" t="str">
        <f t="shared" si="43"/>
        <v/>
      </c>
      <c r="C326" s="256">
        <f t="shared" si="44"/>
        <v>3047.1172825179469</v>
      </c>
      <c r="D326" s="257" t="str">
        <f t="shared" si="46"/>
        <v/>
      </c>
      <c r="F326" s="257" t="str">
        <f t="shared" si="47"/>
        <v/>
      </c>
      <c r="G326" s="257" t="str">
        <f t="shared" si="48"/>
        <v/>
      </c>
      <c r="H326" s="257" t="str">
        <f t="shared" si="49"/>
        <v/>
      </c>
      <c r="I326" s="220" t="e">
        <f t="shared" si="45"/>
        <v>#VALUE!</v>
      </c>
    </row>
    <row r="327" spans="1:9" x14ac:dyDescent="0.25">
      <c r="A327" s="254">
        <f t="shared" si="50"/>
        <v>309</v>
      </c>
      <c r="B327" s="255" t="str">
        <f t="shared" si="43"/>
        <v/>
      </c>
      <c r="C327" s="256">
        <f t="shared" si="44"/>
        <v>3047.1172825179469</v>
      </c>
      <c r="D327" s="257" t="str">
        <f t="shared" si="46"/>
        <v/>
      </c>
      <c r="F327" s="257" t="str">
        <f t="shared" si="47"/>
        <v/>
      </c>
      <c r="G327" s="257" t="str">
        <f t="shared" si="48"/>
        <v/>
      </c>
      <c r="H327" s="257" t="str">
        <f t="shared" si="49"/>
        <v/>
      </c>
      <c r="I327" s="220" t="e">
        <f t="shared" si="45"/>
        <v>#VALUE!</v>
      </c>
    </row>
    <row r="328" spans="1:9" x14ac:dyDescent="0.25">
      <c r="A328" s="254">
        <f t="shared" si="50"/>
        <v>310</v>
      </c>
      <c r="B328" s="255" t="str">
        <f t="shared" si="43"/>
        <v/>
      </c>
      <c r="C328" s="256">
        <f t="shared" si="44"/>
        <v>3047.1172825179469</v>
      </c>
      <c r="D328" s="257" t="str">
        <f t="shared" si="46"/>
        <v/>
      </c>
      <c r="F328" s="257" t="str">
        <f t="shared" si="47"/>
        <v/>
      </c>
      <c r="G328" s="257" t="str">
        <f t="shared" si="48"/>
        <v/>
      </c>
      <c r="H328" s="257" t="str">
        <f t="shared" si="49"/>
        <v/>
      </c>
      <c r="I328" s="220" t="e">
        <f t="shared" si="45"/>
        <v>#VALUE!</v>
      </c>
    </row>
    <row r="329" spans="1:9" x14ac:dyDescent="0.25">
      <c r="A329" s="254">
        <f t="shared" si="50"/>
        <v>311</v>
      </c>
      <c r="B329" s="255" t="str">
        <f t="shared" si="43"/>
        <v/>
      </c>
      <c r="C329" s="256">
        <f t="shared" si="44"/>
        <v>3047.1172825179469</v>
      </c>
      <c r="D329" s="257" t="str">
        <f t="shared" si="46"/>
        <v/>
      </c>
      <c r="F329" s="257" t="str">
        <f t="shared" si="47"/>
        <v/>
      </c>
      <c r="G329" s="257" t="str">
        <f t="shared" si="48"/>
        <v/>
      </c>
      <c r="H329" s="257" t="str">
        <f t="shared" si="49"/>
        <v/>
      </c>
      <c r="I329" s="220" t="e">
        <f t="shared" si="45"/>
        <v>#VALUE!</v>
      </c>
    </row>
    <row r="330" spans="1:9" x14ac:dyDescent="0.25">
      <c r="A330" s="254">
        <f t="shared" si="50"/>
        <v>312</v>
      </c>
      <c r="B330" s="255" t="str">
        <f t="shared" si="43"/>
        <v/>
      </c>
      <c r="C330" s="256">
        <f t="shared" si="44"/>
        <v>3047.1172825179469</v>
      </c>
      <c r="D330" s="257" t="str">
        <f t="shared" si="46"/>
        <v/>
      </c>
      <c r="F330" s="257" t="str">
        <f t="shared" si="47"/>
        <v/>
      </c>
      <c r="G330" s="257" t="str">
        <f t="shared" si="48"/>
        <v/>
      </c>
      <c r="H330" s="257" t="str">
        <f t="shared" si="49"/>
        <v/>
      </c>
      <c r="I330" s="220" t="e">
        <f t="shared" si="45"/>
        <v>#VALUE!</v>
      </c>
    </row>
    <row r="331" spans="1:9" x14ac:dyDescent="0.25">
      <c r="A331" s="254">
        <f t="shared" si="50"/>
        <v>313</v>
      </c>
      <c r="B331" s="255" t="str">
        <f t="shared" si="43"/>
        <v/>
      </c>
      <c r="C331" s="256">
        <f t="shared" si="44"/>
        <v>3047.1172825179469</v>
      </c>
      <c r="D331" s="257" t="str">
        <f t="shared" si="46"/>
        <v/>
      </c>
      <c r="F331" s="257" t="str">
        <f t="shared" si="47"/>
        <v/>
      </c>
      <c r="G331" s="257" t="str">
        <f t="shared" si="48"/>
        <v/>
      </c>
      <c r="H331" s="257" t="str">
        <f t="shared" si="49"/>
        <v/>
      </c>
      <c r="I331" s="220" t="e">
        <f t="shared" si="45"/>
        <v>#VALUE!</v>
      </c>
    </row>
    <row r="332" spans="1:9" x14ac:dyDescent="0.25">
      <c r="A332" s="254">
        <f t="shared" si="50"/>
        <v>314</v>
      </c>
      <c r="B332" s="255" t="str">
        <f t="shared" si="43"/>
        <v/>
      </c>
      <c r="C332" s="256">
        <f t="shared" si="44"/>
        <v>3047.1172825179469</v>
      </c>
      <c r="D332" s="257" t="str">
        <f t="shared" si="46"/>
        <v/>
      </c>
      <c r="F332" s="257" t="str">
        <f t="shared" si="47"/>
        <v/>
      </c>
      <c r="G332" s="257" t="str">
        <f t="shared" si="48"/>
        <v/>
      </c>
      <c r="H332" s="257" t="str">
        <f t="shared" si="49"/>
        <v/>
      </c>
      <c r="I332" s="220" t="e">
        <f t="shared" si="45"/>
        <v>#VALUE!</v>
      </c>
    </row>
    <row r="333" spans="1:9" x14ac:dyDescent="0.25">
      <c r="A333" s="254">
        <f t="shared" si="50"/>
        <v>315</v>
      </c>
      <c r="B333" s="255" t="str">
        <f t="shared" si="43"/>
        <v/>
      </c>
      <c r="C333" s="256">
        <f t="shared" si="44"/>
        <v>3047.1172825179469</v>
      </c>
      <c r="D333" s="257" t="str">
        <f t="shared" si="46"/>
        <v/>
      </c>
      <c r="F333" s="257" t="str">
        <f t="shared" si="47"/>
        <v/>
      </c>
      <c r="G333" s="257" t="str">
        <f t="shared" si="48"/>
        <v/>
      </c>
      <c r="H333" s="257" t="str">
        <f t="shared" si="49"/>
        <v/>
      </c>
      <c r="I333" s="220" t="e">
        <f t="shared" si="45"/>
        <v>#VALUE!</v>
      </c>
    </row>
    <row r="334" spans="1:9" x14ac:dyDescent="0.25">
      <c r="A334" s="254">
        <f t="shared" si="50"/>
        <v>316</v>
      </c>
      <c r="B334" s="255" t="str">
        <f t="shared" si="43"/>
        <v/>
      </c>
      <c r="C334" s="256">
        <f t="shared" si="44"/>
        <v>3047.1172825179469</v>
      </c>
      <c r="D334" s="257" t="str">
        <f t="shared" si="46"/>
        <v/>
      </c>
      <c r="F334" s="257" t="str">
        <f t="shared" si="47"/>
        <v/>
      </c>
      <c r="G334" s="257" t="str">
        <f t="shared" si="48"/>
        <v/>
      </c>
      <c r="H334" s="257" t="str">
        <f t="shared" si="49"/>
        <v/>
      </c>
      <c r="I334" s="220" t="e">
        <f t="shared" si="45"/>
        <v>#VALUE!</v>
      </c>
    </row>
    <row r="335" spans="1:9" x14ac:dyDescent="0.25">
      <c r="A335" s="254">
        <f t="shared" si="50"/>
        <v>317</v>
      </c>
      <c r="B335" s="255" t="str">
        <f t="shared" si="43"/>
        <v/>
      </c>
      <c r="C335" s="256">
        <f t="shared" si="44"/>
        <v>3047.1172825179469</v>
      </c>
      <c r="D335" s="257" t="str">
        <f t="shared" si="46"/>
        <v/>
      </c>
      <c r="F335" s="257" t="str">
        <f t="shared" si="47"/>
        <v/>
      </c>
      <c r="G335" s="257" t="str">
        <f t="shared" si="48"/>
        <v/>
      </c>
      <c r="H335" s="257" t="str">
        <f t="shared" si="49"/>
        <v/>
      </c>
      <c r="I335" s="220" t="e">
        <f t="shared" si="45"/>
        <v>#VALUE!</v>
      </c>
    </row>
    <row r="336" spans="1:9" x14ac:dyDescent="0.25">
      <c r="A336" s="254">
        <f t="shared" si="50"/>
        <v>318</v>
      </c>
      <c r="B336" s="255" t="str">
        <f t="shared" si="43"/>
        <v/>
      </c>
      <c r="C336" s="256">
        <f t="shared" si="44"/>
        <v>3047.1172825179469</v>
      </c>
      <c r="D336" s="257" t="str">
        <f t="shared" si="46"/>
        <v/>
      </c>
      <c r="F336" s="257" t="str">
        <f t="shared" si="47"/>
        <v/>
      </c>
      <c r="G336" s="257" t="str">
        <f t="shared" si="48"/>
        <v/>
      </c>
      <c r="H336" s="257" t="str">
        <f t="shared" si="49"/>
        <v/>
      </c>
      <c r="I336" s="220" t="e">
        <f t="shared" si="45"/>
        <v>#VALUE!</v>
      </c>
    </row>
    <row r="337" spans="1:9" x14ac:dyDescent="0.25">
      <c r="A337" s="254">
        <f t="shared" si="50"/>
        <v>319</v>
      </c>
      <c r="B337" s="255" t="str">
        <f t="shared" si="43"/>
        <v/>
      </c>
      <c r="C337" s="256">
        <f t="shared" si="44"/>
        <v>3047.1172825179469</v>
      </c>
      <c r="D337" s="257" t="str">
        <f t="shared" si="46"/>
        <v/>
      </c>
      <c r="F337" s="257" t="str">
        <f t="shared" si="47"/>
        <v/>
      </c>
      <c r="G337" s="257" t="str">
        <f t="shared" si="48"/>
        <v/>
      </c>
      <c r="H337" s="257" t="str">
        <f t="shared" si="49"/>
        <v/>
      </c>
      <c r="I337" s="220" t="e">
        <f t="shared" si="45"/>
        <v>#VALUE!</v>
      </c>
    </row>
    <row r="338" spans="1:9" x14ac:dyDescent="0.25">
      <c r="A338" s="254">
        <f t="shared" si="50"/>
        <v>320</v>
      </c>
      <c r="B338" s="255" t="str">
        <f t="shared" si="43"/>
        <v/>
      </c>
      <c r="C338" s="256">
        <f t="shared" si="44"/>
        <v>3047.1172825179469</v>
      </c>
      <c r="D338" s="257" t="str">
        <f t="shared" si="46"/>
        <v/>
      </c>
      <c r="F338" s="257" t="str">
        <f t="shared" si="47"/>
        <v/>
      </c>
      <c r="G338" s="257" t="str">
        <f t="shared" si="48"/>
        <v/>
      </c>
      <c r="H338" s="257" t="str">
        <f t="shared" si="49"/>
        <v/>
      </c>
      <c r="I338" s="220" t="e">
        <f t="shared" si="45"/>
        <v>#VALUE!</v>
      </c>
    </row>
    <row r="339" spans="1:9" x14ac:dyDescent="0.25">
      <c r="A339" s="254">
        <f t="shared" si="50"/>
        <v>321</v>
      </c>
      <c r="B339" s="255" t="str">
        <f t="shared" si="43"/>
        <v/>
      </c>
      <c r="C339" s="256">
        <f t="shared" si="44"/>
        <v>3047.1172825179469</v>
      </c>
      <c r="D339" s="257" t="str">
        <f t="shared" si="46"/>
        <v/>
      </c>
      <c r="F339" s="257" t="str">
        <f t="shared" si="47"/>
        <v/>
      </c>
      <c r="G339" s="257" t="str">
        <f t="shared" si="48"/>
        <v/>
      </c>
      <c r="H339" s="257" t="str">
        <f t="shared" si="49"/>
        <v/>
      </c>
      <c r="I339" s="220" t="e">
        <f t="shared" si="45"/>
        <v>#VALUE!</v>
      </c>
    </row>
    <row r="340" spans="1:9" x14ac:dyDescent="0.25">
      <c r="A340" s="254">
        <f t="shared" si="50"/>
        <v>322</v>
      </c>
      <c r="B340" s="255" t="str">
        <f t="shared" ref="B340:B403" si="51">IF(A340&gt;$H$11,"",DATE(YEAR(B339),MONTH(B339)+1,1))</f>
        <v/>
      </c>
      <c r="C340" s="256">
        <f t="shared" ref="C340:C403" si="52">IF($H$15=0,-$D$14,IF(OR(A340=$H$11,A340=$H$14),G339+D340+E340,IF(B340="","",ROUND((B340-B339)*($H$9+$H$10*$I$10)*G339,2))))</f>
        <v>3047.1172825179469</v>
      </c>
      <c r="D340" s="257" t="str">
        <f t="shared" si="46"/>
        <v/>
      </c>
      <c r="F340" s="257" t="str">
        <f t="shared" si="47"/>
        <v/>
      </c>
      <c r="G340" s="257" t="str">
        <f t="shared" si="48"/>
        <v/>
      </c>
      <c r="H340" s="257" t="str">
        <f t="shared" si="49"/>
        <v/>
      </c>
      <c r="I340" s="220" t="e">
        <f t="shared" ref="I340:I403" si="53">YEAR(B340)</f>
        <v>#VALUE!</v>
      </c>
    </row>
    <row r="341" spans="1:9" x14ac:dyDescent="0.25">
      <c r="A341" s="254">
        <f t="shared" si="50"/>
        <v>323</v>
      </c>
      <c r="B341" s="255" t="str">
        <f t="shared" si="51"/>
        <v/>
      </c>
      <c r="C341" s="256">
        <f t="shared" si="52"/>
        <v>3047.1172825179469</v>
      </c>
      <c r="D341" s="257" t="str">
        <f t="shared" si="46"/>
        <v/>
      </c>
      <c r="F341" s="257" t="str">
        <f t="shared" si="47"/>
        <v/>
      </c>
      <c r="G341" s="257" t="str">
        <f t="shared" si="48"/>
        <v/>
      </c>
      <c r="H341" s="257" t="str">
        <f t="shared" si="49"/>
        <v/>
      </c>
      <c r="I341" s="220" t="e">
        <f t="shared" si="53"/>
        <v>#VALUE!</v>
      </c>
    </row>
    <row r="342" spans="1:9" x14ac:dyDescent="0.25">
      <c r="A342" s="254">
        <f t="shared" si="50"/>
        <v>324</v>
      </c>
      <c r="B342" s="255" t="str">
        <f t="shared" si="51"/>
        <v/>
      </c>
      <c r="C342" s="256">
        <f t="shared" si="52"/>
        <v>3047.1172825179469</v>
      </c>
      <c r="D342" s="257" t="str">
        <f t="shared" si="46"/>
        <v/>
      </c>
      <c r="F342" s="257" t="str">
        <f t="shared" si="47"/>
        <v/>
      </c>
      <c r="G342" s="257" t="str">
        <f t="shared" si="48"/>
        <v/>
      </c>
      <c r="H342" s="257" t="str">
        <f t="shared" si="49"/>
        <v/>
      </c>
      <c r="I342" s="220" t="e">
        <f t="shared" si="53"/>
        <v>#VALUE!</v>
      </c>
    </row>
    <row r="343" spans="1:9" x14ac:dyDescent="0.25">
      <c r="A343" s="254">
        <f t="shared" si="50"/>
        <v>325</v>
      </c>
      <c r="B343" s="255" t="str">
        <f t="shared" si="51"/>
        <v/>
      </c>
      <c r="C343" s="256">
        <f t="shared" si="52"/>
        <v>3047.1172825179469</v>
      </c>
      <c r="D343" s="257" t="str">
        <f t="shared" ref="D343:D406" si="54">IF(B343="","",ROUND((B343-B342)*$H$9*G342,2))</f>
        <v/>
      </c>
      <c r="F343" s="257" t="str">
        <f t="shared" ref="F343:F406" si="55">IF(B343="","",IF(C343&gt;F342+D343,0,F342+D343-C343))</f>
        <v/>
      </c>
      <c r="G343" s="257" t="str">
        <f t="shared" ref="G343:G406" si="56">IF(B343="","",IF(C343&gt;D343+F342,G342+F342+D343-C343,G342))</f>
        <v/>
      </c>
      <c r="H343" s="257" t="str">
        <f t="shared" ref="H343:H406" si="57">IF(B343="","",G343+F343)</f>
        <v/>
      </c>
      <c r="I343" s="220" t="e">
        <f t="shared" si="53"/>
        <v>#VALUE!</v>
      </c>
    </row>
    <row r="344" spans="1:9" x14ac:dyDescent="0.25">
      <c r="A344" s="254">
        <f t="shared" si="50"/>
        <v>326</v>
      </c>
      <c r="B344" s="255" t="str">
        <f t="shared" si="51"/>
        <v/>
      </c>
      <c r="C344" s="256">
        <f t="shared" si="52"/>
        <v>3047.1172825179469</v>
      </c>
      <c r="D344" s="257" t="str">
        <f t="shared" si="54"/>
        <v/>
      </c>
      <c r="F344" s="257" t="str">
        <f t="shared" si="55"/>
        <v/>
      </c>
      <c r="G344" s="257" t="str">
        <f t="shared" si="56"/>
        <v/>
      </c>
      <c r="H344" s="257" t="str">
        <f t="shared" si="57"/>
        <v/>
      </c>
      <c r="I344" s="220" t="e">
        <f t="shared" si="53"/>
        <v>#VALUE!</v>
      </c>
    </row>
    <row r="345" spans="1:9" x14ac:dyDescent="0.25">
      <c r="A345" s="254">
        <f t="shared" si="50"/>
        <v>327</v>
      </c>
      <c r="B345" s="255" t="str">
        <f t="shared" si="51"/>
        <v/>
      </c>
      <c r="C345" s="256">
        <f t="shared" si="52"/>
        <v>3047.1172825179469</v>
      </c>
      <c r="D345" s="257" t="str">
        <f t="shared" si="54"/>
        <v/>
      </c>
      <c r="F345" s="257" t="str">
        <f t="shared" si="55"/>
        <v/>
      </c>
      <c r="G345" s="257" t="str">
        <f t="shared" si="56"/>
        <v/>
      </c>
      <c r="H345" s="257" t="str">
        <f t="shared" si="57"/>
        <v/>
      </c>
      <c r="I345" s="220" t="e">
        <f t="shared" si="53"/>
        <v>#VALUE!</v>
      </c>
    </row>
    <row r="346" spans="1:9" x14ac:dyDescent="0.25">
      <c r="A346" s="254">
        <f t="shared" si="50"/>
        <v>328</v>
      </c>
      <c r="B346" s="255" t="str">
        <f t="shared" si="51"/>
        <v/>
      </c>
      <c r="C346" s="256">
        <f t="shared" si="52"/>
        <v>3047.1172825179469</v>
      </c>
      <c r="D346" s="257" t="str">
        <f t="shared" si="54"/>
        <v/>
      </c>
      <c r="F346" s="257" t="str">
        <f t="shared" si="55"/>
        <v/>
      </c>
      <c r="G346" s="257" t="str">
        <f t="shared" si="56"/>
        <v/>
      </c>
      <c r="H346" s="257" t="str">
        <f t="shared" si="57"/>
        <v/>
      </c>
      <c r="I346" s="220" t="e">
        <f t="shared" si="53"/>
        <v>#VALUE!</v>
      </c>
    </row>
    <row r="347" spans="1:9" x14ac:dyDescent="0.25">
      <c r="A347" s="254">
        <f t="shared" si="50"/>
        <v>329</v>
      </c>
      <c r="B347" s="255" t="str">
        <f t="shared" si="51"/>
        <v/>
      </c>
      <c r="C347" s="256">
        <f t="shared" si="52"/>
        <v>3047.1172825179469</v>
      </c>
      <c r="D347" s="257" t="str">
        <f t="shared" si="54"/>
        <v/>
      </c>
      <c r="F347" s="257" t="str">
        <f t="shared" si="55"/>
        <v/>
      </c>
      <c r="G347" s="257" t="str">
        <f t="shared" si="56"/>
        <v/>
      </c>
      <c r="H347" s="257" t="str">
        <f t="shared" si="57"/>
        <v/>
      </c>
      <c r="I347" s="220" t="e">
        <f t="shared" si="53"/>
        <v>#VALUE!</v>
      </c>
    </row>
    <row r="348" spans="1:9" x14ac:dyDescent="0.25">
      <c r="A348" s="254">
        <f t="shared" si="50"/>
        <v>330</v>
      </c>
      <c r="B348" s="255" t="str">
        <f t="shared" si="51"/>
        <v/>
      </c>
      <c r="C348" s="256">
        <f t="shared" si="52"/>
        <v>3047.1172825179469</v>
      </c>
      <c r="D348" s="257" t="str">
        <f t="shared" si="54"/>
        <v/>
      </c>
      <c r="F348" s="257" t="str">
        <f t="shared" si="55"/>
        <v/>
      </c>
      <c r="G348" s="257" t="str">
        <f t="shared" si="56"/>
        <v/>
      </c>
      <c r="H348" s="257" t="str">
        <f t="shared" si="57"/>
        <v/>
      </c>
      <c r="I348" s="220" t="e">
        <f t="shared" si="53"/>
        <v>#VALUE!</v>
      </c>
    </row>
    <row r="349" spans="1:9" x14ac:dyDescent="0.25">
      <c r="A349" s="254">
        <f t="shared" si="50"/>
        <v>331</v>
      </c>
      <c r="B349" s="255" t="str">
        <f t="shared" si="51"/>
        <v/>
      </c>
      <c r="C349" s="256">
        <f t="shared" si="52"/>
        <v>3047.1172825179469</v>
      </c>
      <c r="D349" s="257" t="str">
        <f t="shared" si="54"/>
        <v/>
      </c>
      <c r="F349" s="257" t="str">
        <f t="shared" si="55"/>
        <v/>
      </c>
      <c r="G349" s="257" t="str">
        <f t="shared" si="56"/>
        <v/>
      </c>
      <c r="H349" s="257" t="str">
        <f t="shared" si="57"/>
        <v/>
      </c>
      <c r="I349" s="220" t="e">
        <f t="shared" si="53"/>
        <v>#VALUE!</v>
      </c>
    </row>
    <row r="350" spans="1:9" x14ac:dyDescent="0.25">
      <c r="A350" s="254">
        <f t="shared" si="50"/>
        <v>332</v>
      </c>
      <c r="B350" s="255" t="str">
        <f t="shared" si="51"/>
        <v/>
      </c>
      <c r="C350" s="256">
        <f t="shared" si="52"/>
        <v>3047.1172825179469</v>
      </c>
      <c r="D350" s="257" t="str">
        <f t="shared" si="54"/>
        <v/>
      </c>
      <c r="F350" s="257" t="str">
        <f t="shared" si="55"/>
        <v/>
      </c>
      <c r="G350" s="257" t="str">
        <f t="shared" si="56"/>
        <v/>
      </c>
      <c r="H350" s="257" t="str">
        <f t="shared" si="57"/>
        <v/>
      </c>
      <c r="I350" s="220" t="e">
        <f t="shared" si="53"/>
        <v>#VALUE!</v>
      </c>
    </row>
    <row r="351" spans="1:9" x14ac:dyDescent="0.25">
      <c r="A351" s="254">
        <f t="shared" si="50"/>
        <v>333</v>
      </c>
      <c r="B351" s="255" t="str">
        <f t="shared" si="51"/>
        <v/>
      </c>
      <c r="C351" s="256">
        <f t="shared" si="52"/>
        <v>3047.1172825179469</v>
      </c>
      <c r="D351" s="257" t="str">
        <f t="shared" si="54"/>
        <v/>
      </c>
      <c r="F351" s="257" t="str">
        <f t="shared" si="55"/>
        <v/>
      </c>
      <c r="G351" s="257" t="str">
        <f t="shared" si="56"/>
        <v/>
      </c>
      <c r="H351" s="257" t="str">
        <f t="shared" si="57"/>
        <v/>
      </c>
      <c r="I351" s="220" t="e">
        <f t="shared" si="53"/>
        <v>#VALUE!</v>
      </c>
    </row>
    <row r="352" spans="1:9" x14ac:dyDescent="0.25">
      <c r="A352" s="254">
        <f t="shared" si="50"/>
        <v>334</v>
      </c>
      <c r="B352" s="255" t="str">
        <f t="shared" si="51"/>
        <v/>
      </c>
      <c r="C352" s="256">
        <f t="shared" si="52"/>
        <v>3047.1172825179469</v>
      </c>
      <c r="D352" s="257" t="str">
        <f t="shared" si="54"/>
        <v/>
      </c>
      <c r="F352" s="257" t="str">
        <f t="shared" si="55"/>
        <v/>
      </c>
      <c r="G352" s="257" t="str">
        <f t="shared" si="56"/>
        <v/>
      </c>
      <c r="H352" s="257" t="str">
        <f t="shared" si="57"/>
        <v/>
      </c>
      <c r="I352" s="220" t="e">
        <f t="shared" si="53"/>
        <v>#VALUE!</v>
      </c>
    </row>
    <row r="353" spans="1:9" x14ac:dyDescent="0.25">
      <c r="A353" s="254">
        <f t="shared" si="50"/>
        <v>335</v>
      </c>
      <c r="B353" s="255" t="str">
        <f t="shared" si="51"/>
        <v/>
      </c>
      <c r="C353" s="256">
        <f t="shared" si="52"/>
        <v>3047.1172825179469</v>
      </c>
      <c r="D353" s="257" t="str">
        <f t="shared" si="54"/>
        <v/>
      </c>
      <c r="F353" s="257" t="str">
        <f t="shared" si="55"/>
        <v/>
      </c>
      <c r="G353" s="257" t="str">
        <f t="shared" si="56"/>
        <v/>
      </c>
      <c r="H353" s="257" t="str">
        <f t="shared" si="57"/>
        <v/>
      </c>
      <c r="I353" s="220" t="e">
        <f t="shared" si="53"/>
        <v>#VALUE!</v>
      </c>
    </row>
    <row r="354" spans="1:9" x14ac:dyDescent="0.25">
      <c r="A354" s="254">
        <f t="shared" si="50"/>
        <v>336</v>
      </c>
      <c r="B354" s="255" t="str">
        <f t="shared" si="51"/>
        <v/>
      </c>
      <c r="C354" s="256">
        <f t="shared" si="52"/>
        <v>3047.1172825179469</v>
      </c>
      <c r="D354" s="257" t="str">
        <f t="shared" si="54"/>
        <v/>
      </c>
      <c r="F354" s="257" t="str">
        <f t="shared" si="55"/>
        <v/>
      </c>
      <c r="G354" s="257" t="str">
        <f t="shared" si="56"/>
        <v/>
      </c>
      <c r="H354" s="257" t="str">
        <f t="shared" si="57"/>
        <v/>
      </c>
      <c r="I354" s="220" t="e">
        <f t="shared" si="53"/>
        <v>#VALUE!</v>
      </c>
    </row>
    <row r="355" spans="1:9" x14ac:dyDescent="0.25">
      <c r="A355" s="254">
        <f t="shared" si="50"/>
        <v>337</v>
      </c>
      <c r="B355" s="255" t="str">
        <f t="shared" si="51"/>
        <v/>
      </c>
      <c r="C355" s="256">
        <f t="shared" si="52"/>
        <v>3047.1172825179469</v>
      </c>
      <c r="D355" s="257" t="str">
        <f t="shared" si="54"/>
        <v/>
      </c>
      <c r="F355" s="257" t="str">
        <f t="shared" si="55"/>
        <v/>
      </c>
      <c r="G355" s="257" t="str">
        <f t="shared" si="56"/>
        <v/>
      </c>
      <c r="H355" s="257" t="str">
        <f t="shared" si="57"/>
        <v/>
      </c>
      <c r="I355" s="220" t="e">
        <f t="shared" si="53"/>
        <v>#VALUE!</v>
      </c>
    </row>
    <row r="356" spans="1:9" x14ac:dyDescent="0.25">
      <c r="A356" s="254">
        <f t="shared" si="50"/>
        <v>338</v>
      </c>
      <c r="B356" s="255" t="str">
        <f t="shared" si="51"/>
        <v/>
      </c>
      <c r="C356" s="256">
        <f t="shared" si="52"/>
        <v>3047.1172825179469</v>
      </c>
      <c r="D356" s="257" t="str">
        <f t="shared" si="54"/>
        <v/>
      </c>
      <c r="F356" s="257" t="str">
        <f t="shared" si="55"/>
        <v/>
      </c>
      <c r="G356" s="257" t="str">
        <f t="shared" si="56"/>
        <v/>
      </c>
      <c r="H356" s="257" t="str">
        <f t="shared" si="57"/>
        <v/>
      </c>
      <c r="I356" s="220" t="e">
        <f t="shared" si="53"/>
        <v>#VALUE!</v>
      </c>
    </row>
    <row r="357" spans="1:9" x14ac:dyDescent="0.25">
      <c r="A357" s="254">
        <f t="shared" si="50"/>
        <v>339</v>
      </c>
      <c r="B357" s="255" t="str">
        <f t="shared" si="51"/>
        <v/>
      </c>
      <c r="C357" s="256">
        <f t="shared" si="52"/>
        <v>3047.1172825179469</v>
      </c>
      <c r="D357" s="257" t="str">
        <f t="shared" si="54"/>
        <v/>
      </c>
      <c r="F357" s="257" t="str">
        <f t="shared" si="55"/>
        <v/>
      </c>
      <c r="G357" s="257" t="str">
        <f t="shared" si="56"/>
        <v/>
      </c>
      <c r="H357" s="257" t="str">
        <f t="shared" si="57"/>
        <v/>
      </c>
      <c r="I357" s="220" t="e">
        <f t="shared" si="53"/>
        <v>#VALUE!</v>
      </c>
    </row>
    <row r="358" spans="1:9" x14ac:dyDescent="0.25">
      <c r="A358" s="254">
        <f t="shared" si="50"/>
        <v>340</v>
      </c>
      <c r="B358" s="255" t="str">
        <f t="shared" si="51"/>
        <v/>
      </c>
      <c r="C358" s="256">
        <f t="shared" si="52"/>
        <v>3047.1172825179469</v>
      </c>
      <c r="D358" s="257" t="str">
        <f t="shared" si="54"/>
        <v/>
      </c>
      <c r="F358" s="257" t="str">
        <f t="shared" si="55"/>
        <v/>
      </c>
      <c r="G358" s="257" t="str">
        <f t="shared" si="56"/>
        <v/>
      </c>
      <c r="H358" s="257" t="str">
        <f t="shared" si="57"/>
        <v/>
      </c>
      <c r="I358" s="220" t="e">
        <f t="shared" si="53"/>
        <v>#VALUE!</v>
      </c>
    </row>
    <row r="359" spans="1:9" x14ac:dyDescent="0.25">
      <c r="A359" s="254">
        <f t="shared" si="50"/>
        <v>341</v>
      </c>
      <c r="B359" s="255" t="str">
        <f t="shared" si="51"/>
        <v/>
      </c>
      <c r="C359" s="256">
        <f t="shared" si="52"/>
        <v>3047.1172825179469</v>
      </c>
      <c r="D359" s="257" t="str">
        <f t="shared" si="54"/>
        <v/>
      </c>
      <c r="F359" s="257" t="str">
        <f t="shared" si="55"/>
        <v/>
      </c>
      <c r="G359" s="257" t="str">
        <f t="shared" si="56"/>
        <v/>
      </c>
      <c r="H359" s="257" t="str">
        <f t="shared" si="57"/>
        <v/>
      </c>
      <c r="I359" s="220" t="e">
        <f t="shared" si="53"/>
        <v>#VALUE!</v>
      </c>
    </row>
    <row r="360" spans="1:9" x14ac:dyDescent="0.25">
      <c r="A360" s="254">
        <f t="shared" si="50"/>
        <v>342</v>
      </c>
      <c r="B360" s="255" t="str">
        <f t="shared" si="51"/>
        <v/>
      </c>
      <c r="C360" s="256">
        <f t="shared" si="52"/>
        <v>3047.1172825179469</v>
      </c>
      <c r="D360" s="257" t="str">
        <f t="shared" si="54"/>
        <v/>
      </c>
      <c r="F360" s="257" t="str">
        <f t="shared" si="55"/>
        <v/>
      </c>
      <c r="G360" s="257" t="str">
        <f t="shared" si="56"/>
        <v/>
      </c>
      <c r="H360" s="257" t="str">
        <f t="shared" si="57"/>
        <v/>
      </c>
      <c r="I360" s="220" t="e">
        <f t="shared" si="53"/>
        <v>#VALUE!</v>
      </c>
    </row>
    <row r="361" spans="1:9" x14ac:dyDescent="0.25">
      <c r="A361" s="254">
        <f t="shared" si="50"/>
        <v>343</v>
      </c>
      <c r="B361" s="255" t="str">
        <f t="shared" si="51"/>
        <v/>
      </c>
      <c r="C361" s="256">
        <f t="shared" si="52"/>
        <v>3047.1172825179469</v>
      </c>
      <c r="D361" s="257" t="str">
        <f t="shared" si="54"/>
        <v/>
      </c>
      <c r="F361" s="257" t="str">
        <f t="shared" si="55"/>
        <v/>
      </c>
      <c r="G361" s="257" t="str">
        <f t="shared" si="56"/>
        <v/>
      </c>
      <c r="H361" s="257" t="str">
        <f t="shared" si="57"/>
        <v/>
      </c>
      <c r="I361" s="220" t="e">
        <f t="shared" si="53"/>
        <v>#VALUE!</v>
      </c>
    </row>
    <row r="362" spans="1:9" x14ac:dyDescent="0.25">
      <c r="A362" s="254">
        <f t="shared" si="50"/>
        <v>344</v>
      </c>
      <c r="B362" s="255" t="str">
        <f t="shared" si="51"/>
        <v/>
      </c>
      <c r="C362" s="256">
        <f t="shared" si="52"/>
        <v>3047.1172825179469</v>
      </c>
      <c r="D362" s="257" t="str">
        <f t="shared" si="54"/>
        <v/>
      </c>
      <c r="F362" s="257" t="str">
        <f t="shared" si="55"/>
        <v/>
      </c>
      <c r="G362" s="257" t="str">
        <f t="shared" si="56"/>
        <v/>
      </c>
      <c r="H362" s="257" t="str">
        <f t="shared" si="57"/>
        <v/>
      </c>
      <c r="I362" s="220" t="e">
        <f t="shared" si="53"/>
        <v>#VALUE!</v>
      </c>
    </row>
    <row r="363" spans="1:9" x14ac:dyDescent="0.25">
      <c r="A363" s="254">
        <f t="shared" si="50"/>
        <v>345</v>
      </c>
      <c r="B363" s="255" t="str">
        <f t="shared" si="51"/>
        <v/>
      </c>
      <c r="C363" s="256">
        <f t="shared" si="52"/>
        <v>3047.1172825179469</v>
      </c>
      <c r="D363" s="257" t="str">
        <f t="shared" si="54"/>
        <v/>
      </c>
      <c r="F363" s="257" t="str">
        <f t="shared" si="55"/>
        <v/>
      </c>
      <c r="G363" s="257" t="str">
        <f t="shared" si="56"/>
        <v/>
      </c>
      <c r="H363" s="257" t="str">
        <f t="shared" si="57"/>
        <v/>
      </c>
      <c r="I363" s="220" t="e">
        <f t="shared" si="53"/>
        <v>#VALUE!</v>
      </c>
    </row>
    <row r="364" spans="1:9" x14ac:dyDescent="0.25">
      <c r="A364" s="254">
        <f t="shared" si="50"/>
        <v>346</v>
      </c>
      <c r="B364" s="255" t="str">
        <f t="shared" si="51"/>
        <v/>
      </c>
      <c r="C364" s="256">
        <f t="shared" si="52"/>
        <v>3047.1172825179469</v>
      </c>
      <c r="D364" s="257" t="str">
        <f t="shared" si="54"/>
        <v/>
      </c>
      <c r="F364" s="257" t="str">
        <f t="shared" si="55"/>
        <v/>
      </c>
      <c r="G364" s="257" t="str">
        <f t="shared" si="56"/>
        <v/>
      </c>
      <c r="H364" s="257" t="str">
        <f t="shared" si="57"/>
        <v/>
      </c>
      <c r="I364" s="220" t="e">
        <f t="shared" si="53"/>
        <v>#VALUE!</v>
      </c>
    </row>
    <row r="365" spans="1:9" x14ac:dyDescent="0.25">
      <c r="A365" s="254">
        <f t="shared" si="50"/>
        <v>347</v>
      </c>
      <c r="B365" s="255" t="str">
        <f t="shared" si="51"/>
        <v/>
      </c>
      <c r="C365" s="256">
        <f t="shared" si="52"/>
        <v>3047.1172825179469</v>
      </c>
      <c r="D365" s="257" t="str">
        <f t="shared" si="54"/>
        <v/>
      </c>
      <c r="F365" s="257" t="str">
        <f t="shared" si="55"/>
        <v/>
      </c>
      <c r="G365" s="257" t="str">
        <f t="shared" si="56"/>
        <v/>
      </c>
      <c r="H365" s="257" t="str">
        <f t="shared" si="57"/>
        <v/>
      </c>
      <c r="I365" s="220" t="e">
        <f t="shared" si="53"/>
        <v>#VALUE!</v>
      </c>
    </row>
    <row r="366" spans="1:9" x14ac:dyDescent="0.25">
      <c r="A366" s="254">
        <f t="shared" si="50"/>
        <v>348</v>
      </c>
      <c r="B366" s="255" t="str">
        <f t="shared" si="51"/>
        <v/>
      </c>
      <c r="C366" s="256">
        <f t="shared" si="52"/>
        <v>3047.1172825179469</v>
      </c>
      <c r="D366" s="257" t="str">
        <f t="shared" si="54"/>
        <v/>
      </c>
      <c r="F366" s="257" t="str">
        <f t="shared" si="55"/>
        <v/>
      </c>
      <c r="G366" s="257" t="str">
        <f t="shared" si="56"/>
        <v/>
      </c>
      <c r="H366" s="257" t="str">
        <f t="shared" si="57"/>
        <v/>
      </c>
      <c r="I366" s="220" t="e">
        <f t="shared" si="53"/>
        <v>#VALUE!</v>
      </c>
    </row>
    <row r="367" spans="1:9" x14ac:dyDescent="0.25">
      <c r="A367" s="254">
        <f t="shared" si="50"/>
        <v>349</v>
      </c>
      <c r="B367" s="255" t="str">
        <f t="shared" si="51"/>
        <v/>
      </c>
      <c r="C367" s="256">
        <f t="shared" si="52"/>
        <v>3047.1172825179469</v>
      </c>
      <c r="D367" s="257" t="str">
        <f t="shared" si="54"/>
        <v/>
      </c>
      <c r="F367" s="257" t="str">
        <f t="shared" si="55"/>
        <v/>
      </c>
      <c r="G367" s="257" t="str">
        <f t="shared" si="56"/>
        <v/>
      </c>
      <c r="H367" s="257" t="str">
        <f t="shared" si="57"/>
        <v/>
      </c>
      <c r="I367" s="220" t="e">
        <f t="shared" si="53"/>
        <v>#VALUE!</v>
      </c>
    </row>
    <row r="368" spans="1:9" x14ac:dyDescent="0.25">
      <c r="A368" s="254">
        <f t="shared" si="50"/>
        <v>350</v>
      </c>
      <c r="B368" s="255" t="str">
        <f t="shared" si="51"/>
        <v/>
      </c>
      <c r="C368" s="256">
        <f t="shared" si="52"/>
        <v>3047.1172825179469</v>
      </c>
      <c r="D368" s="257" t="str">
        <f t="shared" si="54"/>
        <v/>
      </c>
      <c r="F368" s="257" t="str">
        <f t="shared" si="55"/>
        <v/>
      </c>
      <c r="G368" s="257" t="str">
        <f t="shared" si="56"/>
        <v/>
      </c>
      <c r="H368" s="257" t="str">
        <f t="shared" si="57"/>
        <v/>
      </c>
      <c r="I368" s="220" t="e">
        <f t="shared" si="53"/>
        <v>#VALUE!</v>
      </c>
    </row>
    <row r="369" spans="1:9" x14ac:dyDescent="0.25">
      <c r="A369" s="254">
        <f t="shared" si="50"/>
        <v>351</v>
      </c>
      <c r="B369" s="255" t="str">
        <f t="shared" si="51"/>
        <v/>
      </c>
      <c r="C369" s="256">
        <f t="shared" si="52"/>
        <v>3047.1172825179469</v>
      </c>
      <c r="D369" s="257" t="str">
        <f t="shared" si="54"/>
        <v/>
      </c>
      <c r="F369" s="257" t="str">
        <f t="shared" si="55"/>
        <v/>
      </c>
      <c r="G369" s="257" t="str">
        <f t="shared" si="56"/>
        <v/>
      </c>
      <c r="H369" s="257" t="str">
        <f t="shared" si="57"/>
        <v/>
      </c>
      <c r="I369" s="220" t="e">
        <f t="shared" si="53"/>
        <v>#VALUE!</v>
      </c>
    </row>
    <row r="370" spans="1:9" x14ac:dyDescent="0.25">
      <c r="A370" s="254">
        <f t="shared" si="50"/>
        <v>352</v>
      </c>
      <c r="B370" s="255" t="str">
        <f t="shared" si="51"/>
        <v/>
      </c>
      <c r="C370" s="256">
        <f t="shared" si="52"/>
        <v>3047.1172825179469</v>
      </c>
      <c r="D370" s="257" t="str">
        <f t="shared" si="54"/>
        <v/>
      </c>
      <c r="F370" s="257" t="str">
        <f t="shared" si="55"/>
        <v/>
      </c>
      <c r="G370" s="257" t="str">
        <f t="shared" si="56"/>
        <v/>
      </c>
      <c r="H370" s="257" t="str">
        <f t="shared" si="57"/>
        <v/>
      </c>
      <c r="I370" s="220" t="e">
        <f t="shared" si="53"/>
        <v>#VALUE!</v>
      </c>
    </row>
    <row r="371" spans="1:9" x14ac:dyDescent="0.25">
      <c r="A371" s="254">
        <f t="shared" si="50"/>
        <v>353</v>
      </c>
      <c r="B371" s="255" t="str">
        <f t="shared" si="51"/>
        <v/>
      </c>
      <c r="C371" s="256">
        <f t="shared" si="52"/>
        <v>3047.1172825179469</v>
      </c>
      <c r="D371" s="257" t="str">
        <f t="shared" si="54"/>
        <v/>
      </c>
      <c r="F371" s="257" t="str">
        <f t="shared" si="55"/>
        <v/>
      </c>
      <c r="G371" s="257" t="str">
        <f t="shared" si="56"/>
        <v/>
      </c>
      <c r="H371" s="257" t="str">
        <f t="shared" si="57"/>
        <v/>
      </c>
      <c r="I371" s="220" t="e">
        <f t="shared" si="53"/>
        <v>#VALUE!</v>
      </c>
    </row>
    <row r="372" spans="1:9" x14ac:dyDescent="0.25">
      <c r="A372" s="254">
        <f t="shared" si="50"/>
        <v>354</v>
      </c>
      <c r="B372" s="255" t="str">
        <f t="shared" si="51"/>
        <v/>
      </c>
      <c r="C372" s="256">
        <f t="shared" si="52"/>
        <v>3047.1172825179469</v>
      </c>
      <c r="D372" s="257" t="str">
        <f t="shared" si="54"/>
        <v/>
      </c>
      <c r="F372" s="257" t="str">
        <f t="shared" si="55"/>
        <v/>
      </c>
      <c r="G372" s="257" t="str">
        <f t="shared" si="56"/>
        <v/>
      </c>
      <c r="H372" s="257" t="str">
        <f t="shared" si="57"/>
        <v/>
      </c>
      <c r="I372" s="220" t="e">
        <f t="shared" si="53"/>
        <v>#VALUE!</v>
      </c>
    </row>
    <row r="373" spans="1:9" x14ac:dyDescent="0.25">
      <c r="A373" s="254">
        <f t="shared" si="50"/>
        <v>355</v>
      </c>
      <c r="B373" s="255" t="str">
        <f t="shared" si="51"/>
        <v/>
      </c>
      <c r="C373" s="256">
        <f t="shared" si="52"/>
        <v>3047.1172825179469</v>
      </c>
      <c r="D373" s="257" t="str">
        <f t="shared" si="54"/>
        <v/>
      </c>
      <c r="F373" s="257" t="str">
        <f t="shared" si="55"/>
        <v/>
      </c>
      <c r="G373" s="257" t="str">
        <f t="shared" si="56"/>
        <v/>
      </c>
      <c r="H373" s="257" t="str">
        <f t="shared" si="57"/>
        <v/>
      </c>
      <c r="I373" s="220" t="e">
        <f t="shared" si="53"/>
        <v>#VALUE!</v>
      </c>
    </row>
    <row r="374" spans="1:9" x14ac:dyDescent="0.25">
      <c r="A374" s="254">
        <f t="shared" si="50"/>
        <v>356</v>
      </c>
      <c r="B374" s="255" t="str">
        <f t="shared" si="51"/>
        <v/>
      </c>
      <c r="C374" s="256">
        <f t="shared" si="52"/>
        <v>3047.1172825179469</v>
      </c>
      <c r="D374" s="257" t="str">
        <f t="shared" si="54"/>
        <v/>
      </c>
      <c r="F374" s="257" t="str">
        <f t="shared" si="55"/>
        <v/>
      </c>
      <c r="G374" s="257" t="str">
        <f t="shared" si="56"/>
        <v/>
      </c>
      <c r="H374" s="257" t="str">
        <f t="shared" si="57"/>
        <v/>
      </c>
      <c r="I374" s="220" t="e">
        <f t="shared" si="53"/>
        <v>#VALUE!</v>
      </c>
    </row>
    <row r="375" spans="1:9" x14ac:dyDescent="0.25">
      <c r="A375" s="254">
        <f t="shared" si="50"/>
        <v>357</v>
      </c>
      <c r="B375" s="255" t="str">
        <f t="shared" si="51"/>
        <v/>
      </c>
      <c r="C375" s="256">
        <f t="shared" si="52"/>
        <v>3047.1172825179469</v>
      </c>
      <c r="D375" s="257" t="str">
        <f t="shared" si="54"/>
        <v/>
      </c>
      <c r="F375" s="257" t="str">
        <f t="shared" si="55"/>
        <v/>
      </c>
      <c r="G375" s="257" t="str">
        <f t="shared" si="56"/>
        <v/>
      </c>
      <c r="H375" s="257" t="str">
        <f t="shared" si="57"/>
        <v/>
      </c>
      <c r="I375" s="220" t="e">
        <f t="shared" si="53"/>
        <v>#VALUE!</v>
      </c>
    </row>
    <row r="376" spans="1:9" x14ac:dyDescent="0.25">
      <c r="A376" s="254">
        <f t="shared" si="50"/>
        <v>358</v>
      </c>
      <c r="B376" s="255" t="str">
        <f t="shared" si="51"/>
        <v/>
      </c>
      <c r="C376" s="256">
        <f t="shared" si="52"/>
        <v>3047.1172825179469</v>
      </c>
      <c r="D376" s="257" t="str">
        <f t="shared" si="54"/>
        <v/>
      </c>
      <c r="F376" s="257" t="str">
        <f t="shared" si="55"/>
        <v/>
      </c>
      <c r="G376" s="257" t="str">
        <f t="shared" si="56"/>
        <v/>
      </c>
      <c r="H376" s="257" t="str">
        <f t="shared" si="57"/>
        <v/>
      </c>
      <c r="I376" s="220" t="e">
        <f t="shared" si="53"/>
        <v>#VALUE!</v>
      </c>
    </row>
    <row r="377" spans="1:9" x14ac:dyDescent="0.25">
      <c r="A377" s="254">
        <f t="shared" ref="A377:A440" si="58">A376+1</f>
        <v>359</v>
      </c>
      <c r="B377" s="255" t="str">
        <f t="shared" si="51"/>
        <v/>
      </c>
      <c r="C377" s="256">
        <f t="shared" si="52"/>
        <v>3047.1172825179469</v>
      </c>
      <c r="D377" s="257" t="str">
        <f t="shared" si="54"/>
        <v/>
      </c>
      <c r="F377" s="257" t="str">
        <f t="shared" si="55"/>
        <v/>
      </c>
      <c r="G377" s="257" t="str">
        <f t="shared" si="56"/>
        <v/>
      </c>
      <c r="H377" s="257" t="str">
        <f t="shared" si="57"/>
        <v/>
      </c>
      <c r="I377" s="220" t="e">
        <f t="shared" si="53"/>
        <v>#VALUE!</v>
      </c>
    </row>
    <row r="378" spans="1:9" x14ac:dyDescent="0.25">
      <c r="A378" s="254">
        <f t="shared" si="58"/>
        <v>360</v>
      </c>
      <c r="B378" s="255" t="str">
        <f t="shared" si="51"/>
        <v/>
      </c>
      <c r="C378" s="256">
        <f t="shared" si="52"/>
        <v>3047.1172825179469</v>
      </c>
      <c r="D378" s="257" t="str">
        <f t="shared" si="54"/>
        <v/>
      </c>
      <c r="F378" s="257" t="str">
        <f t="shared" si="55"/>
        <v/>
      </c>
      <c r="G378" s="257" t="str">
        <f t="shared" si="56"/>
        <v/>
      </c>
      <c r="H378" s="257" t="str">
        <f t="shared" si="57"/>
        <v/>
      </c>
      <c r="I378" s="220" t="e">
        <f t="shared" si="53"/>
        <v>#VALUE!</v>
      </c>
    </row>
    <row r="379" spans="1:9" x14ac:dyDescent="0.25">
      <c r="A379" s="254">
        <f t="shared" si="58"/>
        <v>361</v>
      </c>
      <c r="B379" s="255" t="str">
        <f t="shared" si="51"/>
        <v/>
      </c>
      <c r="C379" s="256">
        <f t="shared" si="52"/>
        <v>3047.1172825179469</v>
      </c>
      <c r="D379" s="257" t="str">
        <f t="shared" si="54"/>
        <v/>
      </c>
      <c r="F379" s="257" t="str">
        <f t="shared" si="55"/>
        <v/>
      </c>
      <c r="G379" s="257" t="str">
        <f t="shared" si="56"/>
        <v/>
      </c>
      <c r="H379" s="257" t="str">
        <f t="shared" si="57"/>
        <v/>
      </c>
      <c r="I379" s="220" t="e">
        <f t="shared" si="53"/>
        <v>#VALUE!</v>
      </c>
    </row>
    <row r="380" spans="1:9" x14ac:dyDescent="0.25">
      <c r="A380" s="254">
        <f t="shared" si="58"/>
        <v>362</v>
      </c>
      <c r="B380" s="255" t="str">
        <f t="shared" si="51"/>
        <v/>
      </c>
      <c r="C380" s="256">
        <f t="shared" si="52"/>
        <v>3047.1172825179469</v>
      </c>
      <c r="D380" s="257" t="str">
        <f t="shared" si="54"/>
        <v/>
      </c>
      <c r="F380" s="257" t="str">
        <f t="shared" si="55"/>
        <v/>
      </c>
      <c r="G380" s="257" t="str">
        <f t="shared" si="56"/>
        <v/>
      </c>
      <c r="H380" s="257" t="str">
        <f t="shared" si="57"/>
        <v/>
      </c>
      <c r="I380" s="220" t="e">
        <f t="shared" si="53"/>
        <v>#VALUE!</v>
      </c>
    </row>
    <row r="381" spans="1:9" x14ac:dyDescent="0.25">
      <c r="A381" s="254">
        <f t="shared" si="58"/>
        <v>363</v>
      </c>
      <c r="B381" s="255" t="str">
        <f t="shared" si="51"/>
        <v/>
      </c>
      <c r="C381" s="256">
        <f t="shared" si="52"/>
        <v>3047.1172825179469</v>
      </c>
      <c r="D381" s="257" t="str">
        <f t="shared" si="54"/>
        <v/>
      </c>
      <c r="F381" s="257" t="str">
        <f t="shared" si="55"/>
        <v/>
      </c>
      <c r="G381" s="257" t="str">
        <f t="shared" si="56"/>
        <v/>
      </c>
      <c r="H381" s="257" t="str">
        <f t="shared" si="57"/>
        <v/>
      </c>
      <c r="I381" s="220" t="e">
        <f t="shared" si="53"/>
        <v>#VALUE!</v>
      </c>
    </row>
    <row r="382" spans="1:9" x14ac:dyDescent="0.25">
      <c r="A382" s="254">
        <f t="shared" si="58"/>
        <v>364</v>
      </c>
      <c r="B382" s="255" t="str">
        <f t="shared" si="51"/>
        <v/>
      </c>
      <c r="C382" s="256">
        <f t="shared" si="52"/>
        <v>3047.1172825179469</v>
      </c>
      <c r="D382" s="257" t="str">
        <f t="shared" si="54"/>
        <v/>
      </c>
      <c r="F382" s="257" t="str">
        <f t="shared" si="55"/>
        <v/>
      </c>
      <c r="G382" s="257" t="str">
        <f t="shared" si="56"/>
        <v/>
      </c>
      <c r="H382" s="257" t="str">
        <f t="shared" si="57"/>
        <v/>
      </c>
      <c r="I382" s="220" t="e">
        <f t="shared" si="53"/>
        <v>#VALUE!</v>
      </c>
    </row>
    <row r="383" spans="1:9" x14ac:dyDescent="0.25">
      <c r="A383" s="254">
        <f t="shared" si="58"/>
        <v>365</v>
      </c>
      <c r="B383" s="255" t="str">
        <f t="shared" si="51"/>
        <v/>
      </c>
      <c r="C383" s="256">
        <f t="shared" si="52"/>
        <v>3047.1172825179469</v>
      </c>
      <c r="D383" s="257" t="str">
        <f t="shared" si="54"/>
        <v/>
      </c>
      <c r="F383" s="257" t="str">
        <f t="shared" si="55"/>
        <v/>
      </c>
      <c r="G383" s="257" t="str">
        <f t="shared" si="56"/>
        <v/>
      </c>
      <c r="H383" s="257" t="str">
        <f t="shared" si="57"/>
        <v/>
      </c>
      <c r="I383" s="220" t="e">
        <f t="shared" si="53"/>
        <v>#VALUE!</v>
      </c>
    </row>
    <row r="384" spans="1:9" x14ac:dyDescent="0.25">
      <c r="A384" s="254">
        <f t="shared" si="58"/>
        <v>366</v>
      </c>
      <c r="B384" s="255" t="str">
        <f t="shared" si="51"/>
        <v/>
      </c>
      <c r="C384" s="256">
        <f t="shared" si="52"/>
        <v>3047.1172825179469</v>
      </c>
      <c r="D384" s="257" t="str">
        <f t="shared" si="54"/>
        <v/>
      </c>
      <c r="F384" s="257" t="str">
        <f t="shared" si="55"/>
        <v/>
      </c>
      <c r="G384" s="257" t="str">
        <f t="shared" si="56"/>
        <v/>
      </c>
      <c r="H384" s="257" t="str">
        <f t="shared" si="57"/>
        <v/>
      </c>
      <c r="I384" s="220" t="e">
        <f t="shared" si="53"/>
        <v>#VALUE!</v>
      </c>
    </row>
    <row r="385" spans="1:9" x14ac:dyDescent="0.25">
      <c r="A385" s="254">
        <f t="shared" si="58"/>
        <v>367</v>
      </c>
      <c r="B385" s="255" t="str">
        <f t="shared" si="51"/>
        <v/>
      </c>
      <c r="C385" s="256">
        <f t="shared" si="52"/>
        <v>3047.1172825179469</v>
      </c>
      <c r="D385" s="257" t="str">
        <f t="shared" si="54"/>
        <v/>
      </c>
      <c r="F385" s="257" t="str">
        <f t="shared" si="55"/>
        <v/>
      </c>
      <c r="G385" s="257" t="str">
        <f t="shared" si="56"/>
        <v/>
      </c>
      <c r="H385" s="257" t="str">
        <f t="shared" si="57"/>
        <v/>
      </c>
      <c r="I385" s="220" t="e">
        <f t="shared" si="53"/>
        <v>#VALUE!</v>
      </c>
    </row>
    <row r="386" spans="1:9" x14ac:dyDescent="0.25">
      <c r="A386" s="254">
        <f t="shared" si="58"/>
        <v>368</v>
      </c>
      <c r="B386" s="255" t="str">
        <f t="shared" si="51"/>
        <v/>
      </c>
      <c r="C386" s="256">
        <f t="shared" si="52"/>
        <v>3047.1172825179469</v>
      </c>
      <c r="D386" s="257" t="str">
        <f t="shared" si="54"/>
        <v/>
      </c>
      <c r="F386" s="257" t="str">
        <f t="shared" si="55"/>
        <v/>
      </c>
      <c r="G386" s="257" t="str">
        <f t="shared" si="56"/>
        <v/>
      </c>
      <c r="H386" s="257" t="str">
        <f t="shared" si="57"/>
        <v/>
      </c>
      <c r="I386" s="220" t="e">
        <f t="shared" si="53"/>
        <v>#VALUE!</v>
      </c>
    </row>
    <row r="387" spans="1:9" x14ac:dyDescent="0.25">
      <c r="A387" s="254">
        <f t="shared" si="58"/>
        <v>369</v>
      </c>
      <c r="B387" s="255" t="str">
        <f t="shared" si="51"/>
        <v/>
      </c>
      <c r="C387" s="256">
        <f t="shared" si="52"/>
        <v>3047.1172825179469</v>
      </c>
      <c r="D387" s="257" t="str">
        <f t="shared" si="54"/>
        <v/>
      </c>
      <c r="F387" s="257" t="str">
        <f t="shared" si="55"/>
        <v/>
      </c>
      <c r="G387" s="257" t="str">
        <f t="shared" si="56"/>
        <v/>
      </c>
      <c r="H387" s="257" t="str">
        <f t="shared" si="57"/>
        <v/>
      </c>
      <c r="I387" s="220" t="e">
        <f t="shared" si="53"/>
        <v>#VALUE!</v>
      </c>
    </row>
    <row r="388" spans="1:9" x14ac:dyDescent="0.25">
      <c r="A388" s="254">
        <f t="shared" si="58"/>
        <v>370</v>
      </c>
      <c r="B388" s="255" t="str">
        <f t="shared" si="51"/>
        <v/>
      </c>
      <c r="C388" s="256">
        <f t="shared" si="52"/>
        <v>3047.1172825179469</v>
      </c>
      <c r="D388" s="257" t="str">
        <f t="shared" si="54"/>
        <v/>
      </c>
      <c r="F388" s="257" t="str">
        <f t="shared" si="55"/>
        <v/>
      </c>
      <c r="G388" s="257" t="str">
        <f t="shared" si="56"/>
        <v/>
      </c>
      <c r="H388" s="257" t="str">
        <f t="shared" si="57"/>
        <v/>
      </c>
      <c r="I388" s="220" t="e">
        <f t="shared" si="53"/>
        <v>#VALUE!</v>
      </c>
    </row>
    <row r="389" spans="1:9" x14ac:dyDescent="0.25">
      <c r="A389" s="254">
        <f t="shared" si="58"/>
        <v>371</v>
      </c>
      <c r="B389" s="255" t="str">
        <f t="shared" si="51"/>
        <v/>
      </c>
      <c r="C389" s="256">
        <f t="shared" si="52"/>
        <v>3047.1172825179469</v>
      </c>
      <c r="D389" s="257" t="str">
        <f t="shared" si="54"/>
        <v/>
      </c>
      <c r="F389" s="257" t="str">
        <f t="shared" si="55"/>
        <v/>
      </c>
      <c r="G389" s="257" t="str">
        <f t="shared" si="56"/>
        <v/>
      </c>
      <c r="H389" s="257" t="str">
        <f t="shared" si="57"/>
        <v/>
      </c>
      <c r="I389" s="220" t="e">
        <f t="shared" si="53"/>
        <v>#VALUE!</v>
      </c>
    </row>
    <row r="390" spans="1:9" x14ac:dyDescent="0.25">
      <c r="A390" s="254">
        <f t="shared" si="58"/>
        <v>372</v>
      </c>
      <c r="B390" s="255" t="str">
        <f t="shared" si="51"/>
        <v/>
      </c>
      <c r="C390" s="256">
        <f t="shared" si="52"/>
        <v>3047.1172825179469</v>
      </c>
      <c r="D390" s="257" t="str">
        <f t="shared" si="54"/>
        <v/>
      </c>
      <c r="F390" s="257" t="str">
        <f t="shared" si="55"/>
        <v/>
      </c>
      <c r="G390" s="257" t="str">
        <f t="shared" si="56"/>
        <v/>
      </c>
      <c r="H390" s="257" t="str">
        <f t="shared" si="57"/>
        <v/>
      </c>
      <c r="I390" s="220" t="e">
        <f t="shared" si="53"/>
        <v>#VALUE!</v>
      </c>
    </row>
    <row r="391" spans="1:9" x14ac:dyDescent="0.25">
      <c r="A391" s="254">
        <f t="shared" si="58"/>
        <v>373</v>
      </c>
      <c r="B391" s="255" t="str">
        <f t="shared" si="51"/>
        <v/>
      </c>
      <c r="C391" s="256">
        <f t="shared" si="52"/>
        <v>3047.1172825179469</v>
      </c>
      <c r="D391" s="257" t="str">
        <f t="shared" si="54"/>
        <v/>
      </c>
      <c r="F391" s="257" t="str">
        <f t="shared" si="55"/>
        <v/>
      </c>
      <c r="G391" s="257" t="str">
        <f t="shared" si="56"/>
        <v/>
      </c>
      <c r="H391" s="257" t="str">
        <f t="shared" si="57"/>
        <v/>
      </c>
      <c r="I391" s="220" t="e">
        <f t="shared" si="53"/>
        <v>#VALUE!</v>
      </c>
    </row>
    <row r="392" spans="1:9" x14ac:dyDescent="0.25">
      <c r="A392" s="254">
        <f t="shared" si="58"/>
        <v>374</v>
      </c>
      <c r="B392" s="255" t="str">
        <f t="shared" si="51"/>
        <v/>
      </c>
      <c r="C392" s="256">
        <f t="shared" si="52"/>
        <v>3047.1172825179469</v>
      </c>
      <c r="D392" s="257" t="str">
        <f t="shared" si="54"/>
        <v/>
      </c>
      <c r="F392" s="257" t="str">
        <f t="shared" si="55"/>
        <v/>
      </c>
      <c r="G392" s="257" t="str">
        <f t="shared" si="56"/>
        <v/>
      </c>
      <c r="H392" s="257" t="str">
        <f t="shared" si="57"/>
        <v/>
      </c>
      <c r="I392" s="220" t="e">
        <f t="shared" si="53"/>
        <v>#VALUE!</v>
      </c>
    </row>
    <row r="393" spans="1:9" x14ac:dyDescent="0.25">
      <c r="A393" s="254">
        <f t="shared" si="58"/>
        <v>375</v>
      </c>
      <c r="B393" s="255" t="str">
        <f t="shared" si="51"/>
        <v/>
      </c>
      <c r="C393" s="256">
        <f t="shared" si="52"/>
        <v>3047.1172825179469</v>
      </c>
      <c r="D393" s="257" t="str">
        <f t="shared" si="54"/>
        <v/>
      </c>
      <c r="F393" s="257" t="str">
        <f t="shared" si="55"/>
        <v/>
      </c>
      <c r="G393" s="257" t="str">
        <f t="shared" si="56"/>
        <v/>
      </c>
      <c r="H393" s="257" t="str">
        <f t="shared" si="57"/>
        <v/>
      </c>
      <c r="I393" s="220" t="e">
        <f t="shared" si="53"/>
        <v>#VALUE!</v>
      </c>
    </row>
    <row r="394" spans="1:9" x14ac:dyDescent="0.25">
      <c r="A394" s="254">
        <f t="shared" si="58"/>
        <v>376</v>
      </c>
      <c r="B394" s="255" t="str">
        <f t="shared" si="51"/>
        <v/>
      </c>
      <c r="C394" s="256">
        <f t="shared" si="52"/>
        <v>3047.1172825179469</v>
      </c>
      <c r="D394" s="257" t="str">
        <f t="shared" si="54"/>
        <v/>
      </c>
      <c r="F394" s="257" t="str">
        <f t="shared" si="55"/>
        <v/>
      </c>
      <c r="G394" s="257" t="str">
        <f t="shared" si="56"/>
        <v/>
      </c>
      <c r="H394" s="257" t="str">
        <f t="shared" si="57"/>
        <v/>
      </c>
      <c r="I394" s="220" t="e">
        <f t="shared" si="53"/>
        <v>#VALUE!</v>
      </c>
    </row>
    <row r="395" spans="1:9" x14ac:dyDescent="0.25">
      <c r="A395" s="254">
        <f t="shared" si="58"/>
        <v>377</v>
      </c>
      <c r="B395" s="255" t="str">
        <f t="shared" si="51"/>
        <v/>
      </c>
      <c r="C395" s="256">
        <f t="shared" si="52"/>
        <v>3047.1172825179469</v>
      </c>
      <c r="D395" s="257" t="str">
        <f t="shared" si="54"/>
        <v/>
      </c>
      <c r="F395" s="257" t="str">
        <f t="shared" si="55"/>
        <v/>
      </c>
      <c r="G395" s="257" t="str">
        <f t="shared" si="56"/>
        <v/>
      </c>
      <c r="H395" s="257" t="str">
        <f t="shared" si="57"/>
        <v/>
      </c>
      <c r="I395" s="220" t="e">
        <f t="shared" si="53"/>
        <v>#VALUE!</v>
      </c>
    </row>
    <row r="396" spans="1:9" x14ac:dyDescent="0.25">
      <c r="A396" s="254">
        <f t="shared" si="58"/>
        <v>378</v>
      </c>
      <c r="B396" s="255" t="str">
        <f t="shared" si="51"/>
        <v/>
      </c>
      <c r="C396" s="256">
        <f t="shared" si="52"/>
        <v>3047.1172825179469</v>
      </c>
      <c r="D396" s="257" t="str">
        <f t="shared" si="54"/>
        <v/>
      </c>
      <c r="F396" s="257" t="str">
        <f t="shared" si="55"/>
        <v/>
      </c>
      <c r="G396" s="257" t="str">
        <f t="shared" si="56"/>
        <v/>
      </c>
      <c r="H396" s="257" t="str">
        <f t="shared" si="57"/>
        <v/>
      </c>
      <c r="I396" s="220" t="e">
        <f t="shared" si="53"/>
        <v>#VALUE!</v>
      </c>
    </row>
    <row r="397" spans="1:9" x14ac:dyDescent="0.25">
      <c r="A397" s="254">
        <f t="shared" si="58"/>
        <v>379</v>
      </c>
      <c r="B397" s="255" t="str">
        <f t="shared" si="51"/>
        <v/>
      </c>
      <c r="C397" s="256">
        <f t="shared" si="52"/>
        <v>3047.1172825179469</v>
      </c>
      <c r="D397" s="257" t="str">
        <f t="shared" si="54"/>
        <v/>
      </c>
      <c r="F397" s="257" t="str">
        <f t="shared" si="55"/>
        <v/>
      </c>
      <c r="G397" s="257" t="str">
        <f t="shared" si="56"/>
        <v/>
      </c>
      <c r="H397" s="257" t="str">
        <f t="shared" si="57"/>
        <v/>
      </c>
      <c r="I397" s="220" t="e">
        <f t="shared" si="53"/>
        <v>#VALUE!</v>
      </c>
    </row>
    <row r="398" spans="1:9" x14ac:dyDescent="0.25">
      <c r="A398" s="254">
        <f t="shared" si="58"/>
        <v>380</v>
      </c>
      <c r="B398" s="255" t="str">
        <f t="shared" si="51"/>
        <v/>
      </c>
      <c r="C398" s="256">
        <f t="shared" si="52"/>
        <v>3047.1172825179469</v>
      </c>
      <c r="D398" s="257" t="str">
        <f t="shared" si="54"/>
        <v/>
      </c>
      <c r="F398" s="257" t="str">
        <f t="shared" si="55"/>
        <v/>
      </c>
      <c r="G398" s="257" t="str">
        <f t="shared" si="56"/>
        <v/>
      </c>
      <c r="H398" s="257" t="str">
        <f t="shared" si="57"/>
        <v/>
      </c>
      <c r="I398" s="220" t="e">
        <f t="shared" si="53"/>
        <v>#VALUE!</v>
      </c>
    </row>
    <row r="399" spans="1:9" x14ac:dyDescent="0.25">
      <c r="A399" s="254">
        <f t="shared" si="58"/>
        <v>381</v>
      </c>
      <c r="B399" s="255" t="str">
        <f t="shared" si="51"/>
        <v/>
      </c>
      <c r="C399" s="256">
        <f t="shared" si="52"/>
        <v>3047.1172825179469</v>
      </c>
      <c r="D399" s="257" t="str">
        <f t="shared" si="54"/>
        <v/>
      </c>
      <c r="F399" s="257" t="str">
        <f t="shared" si="55"/>
        <v/>
      </c>
      <c r="G399" s="257" t="str">
        <f t="shared" si="56"/>
        <v/>
      </c>
      <c r="H399" s="257" t="str">
        <f t="shared" si="57"/>
        <v/>
      </c>
      <c r="I399" s="220" t="e">
        <f t="shared" si="53"/>
        <v>#VALUE!</v>
      </c>
    </row>
    <row r="400" spans="1:9" x14ac:dyDescent="0.25">
      <c r="A400" s="254">
        <f t="shared" si="58"/>
        <v>382</v>
      </c>
      <c r="B400" s="255" t="str">
        <f t="shared" si="51"/>
        <v/>
      </c>
      <c r="C400" s="256">
        <f t="shared" si="52"/>
        <v>3047.1172825179469</v>
      </c>
      <c r="D400" s="257" t="str">
        <f t="shared" si="54"/>
        <v/>
      </c>
      <c r="F400" s="257" t="str">
        <f t="shared" si="55"/>
        <v/>
      </c>
      <c r="G400" s="257" t="str">
        <f t="shared" si="56"/>
        <v/>
      </c>
      <c r="H400" s="257" t="str">
        <f t="shared" si="57"/>
        <v/>
      </c>
      <c r="I400" s="220" t="e">
        <f t="shared" si="53"/>
        <v>#VALUE!</v>
      </c>
    </row>
    <row r="401" spans="1:9" x14ac:dyDescent="0.25">
      <c r="A401" s="254">
        <f t="shared" si="58"/>
        <v>383</v>
      </c>
      <c r="B401" s="255" t="str">
        <f t="shared" si="51"/>
        <v/>
      </c>
      <c r="C401" s="256">
        <f t="shared" si="52"/>
        <v>3047.1172825179469</v>
      </c>
      <c r="D401" s="257" t="str">
        <f t="shared" si="54"/>
        <v/>
      </c>
      <c r="F401" s="257" t="str">
        <f t="shared" si="55"/>
        <v/>
      </c>
      <c r="G401" s="257" t="str">
        <f t="shared" si="56"/>
        <v/>
      </c>
      <c r="H401" s="257" t="str">
        <f t="shared" si="57"/>
        <v/>
      </c>
      <c r="I401" s="220" t="e">
        <f t="shared" si="53"/>
        <v>#VALUE!</v>
      </c>
    </row>
    <row r="402" spans="1:9" x14ac:dyDescent="0.25">
      <c r="A402" s="254">
        <f t="shared" si="58"/>
        <v>384</v>
      </c>
      <c r="B402" s="255" t="str">
        <f t="shared" si="51"/>
        <v/>
      </c>
      <c r="C402" s="256">
        <f t="shared" si="52"/>
        <v>3047.1172825179469</v>
      </c>
      <c r="D402" s="257" t="str">
        <f t="shared" si="54"/>
        <v/>
      </c>
      <c r="F402" s="257" t="str">
        <f t="shared" si="55"/>
        <v/>
      </c>
      <c r="G402" s="257" t="str">
        <f t="shared" si="56"/>
        <v/>
      </c>
      <c r="H402" s="257" t="str">
        <f t="shared" si="57"/>
        <v/>
      </c>
      <c r="I402" s="220" t="e">
        <f t="shared" si="53"/>
        <v>#VALUE!</v>
      </c>
    </row>
    <row r="403" spans="1:9" x14ac:dyDescent="0.25">
      <c r="A403" s="254">
        <f t="shared" si="58"/>
        <v>385</v>
      </c>
      <c r="B403" s="255" t="str">
        <f t="shared" si="51"/>
        <v/>
      </c>
      <c r="C403" s="256">
        <f t="shared" si="52"/>
        <v>3047.1172825179469</v>
      </c>
      <c r="D403" s="257" t="str">
        <f t="shared" si="54"/>
        <v/>
      </c>
      <c r="F403" s="257" t="str">
        <f t="shared" si="55"/>
        <v/>
      </c>
      <c r="G403" s="257" t="str">
        <f t="shared" si="56"/>
        <v/>
      </c>
      <c r="H403" s="257" t="str">
        <f t="shared" si="57"/>
        <v/>
      </c>
      <c r="I403" s="220" t="e">
        <f t="shared" si="53"/>
        <v>#VALUE!</v>
      </c>
    </row>
    <row r="404" spans="1:9" x14ac:dyDescent="0.25">
      <c r="A404" s="254">
        <f t="shared" si="58"/>
        <v>386</v>
      </c>
      <c r="B404" s="255" t="str">
        <f t="shared" ref="B404:B467" si="59">IF(A404&gt;$H$11,"",DATE(YEAR(B403),MONTH(B403)+1,1))</f>
        <v/>
      </c>
      <c r="C404" s="256">
        <f t="shared" ref="C404:C467" si="60">IF($H$15=0,-$D$14,IF(OR(A404=$H$11,A404=$H$14),G403+D404+E404,IF(B404="","",ROUND((B404-B403)*($H$9+$H$10*$I$10)*G403,2))))</f>
        <v>3047.1172825179469</v>
      </c>
      <c r="D404" s="257" t="str">
        <f t="shared" si="54"/>
        <v/>
      </c>
      <c r="F404" s="257" t="str">
        <f t="shared" si="55"/>
        <v/>
      </c>
      <c r="G404" s="257" t="str">
        <f t="shared" si="56"/>
        <v/>
      </c>
      <c r="H404" s="257" t="str">
        <f t="shared" si="57"/>
        <v/>
      </c>
      <c r="I404" s="220" t="e">
        <f t="shared" ref="I404:I467" si="61">YEAR(B404)</f>
        <v>#VALUE!</v>
      </c>
    </row>
    <row r="405" spans="1:9" x14ac:dyDescent="0.25">
      <c r="A405" s="254">
        <f t="shared" si="58"/>
        <v>387</v>
      </c>
      <c r="B405" s="255" t="str">
        <f t="shared" si="59"/>
        <v/>
      </c>
      <c r="C405" s="256">
        <f t="shared" si="60"/>
        <v>3047.1172825179469</v>
      </c>
      <c r="D405" s="257" t="str">
        <f t="shared" si="54"/>
        <v/>
      </c>
      <c r="F405" s="257" t="str">
        <f t="shared" si="55"/>
        <v/>
      </c>
      <c r="G405" s="257" t="str">
        <f t="shared" si="56"/>
        <v/>
      </c>
      <c r="H405" s="257" t="str">
        <f t="shared" si="57"/>
        <v/>
      </c>
      <c r="I405" s="220" t="e">
        <f t="shared" si="61"/>
        <v>#VALUE!</v>
      </c>
    </row>
    <row r="406" spans="1:9" x14ac:dyDescent="0.25">
      <c r="A406" s="254">
        <f t="shared" si="58"/>
        <v>388</v>
      </c>
      <c r="B406" s="255" t="str">
        <f t="shared" si="59"/>
        <v/>
      </c>
      <c r="C406" s="256">
        <f t="shared" si="60"/>
        <v>3047.1172825179469</v>
      </c>
      <c r="D406" s="257" t="str">
        <f t="shared" si="54"/>
        <v/>
      </c>
      <c r="F406" s="257" t="str">
        <f t="shared" si="55"/>
        <v/>
      </c>
      <c r="G406" s="257" t="str">
        <f t="shared" si="56"/>
        <v/>
      </c>
      <c r="H406" s="257" t="str">
        <f t="shared" si="57"/>
        <v/>
      </c>
      <c r="I406" s="220" t="e">
        <f t="shared" si="61"/>
        <v>#VALUE!</v>
      </c>
    </row>
    <row r="407" spans="1:9" x14ac:dyDescent="0.25">
      <c r="A407" s="254">
        <f t="shared" si="58"/>
        <v>389</v>
      </c>
      <c r="B407" s="255" t="str">
        <f t="shared" si="59"/>
        <v/>
      </c>
      <c r="C407" s="256">
        <f t="shared" si="60"/>
        <v>3047.1172825179469</v>
      </c>
      <c r="D407" s="257" t="str">
        <f t="shared" ref="D407:D470" si="62">IF(B407="","",ROUND((B407-B406)*$H$9*G406,2))</f>
        <v/>
      </c>
      <c r="F407" s="257" t="str">
        <f t="shared" ref="F407:F470" si="63">IF(B407="","",IF(C407&gt;F406+D407,0,F406+D407-C407))</f>
        <v/>
      </c>
      <c r="G407" s="257" t="str">
        <f t="shared" ref="G407:G470" si="64">IF(B407="","",IF(C407&gt;D407+F406,G406+F406+D407-C407,G406))</f>
        <v/>
      </c>
      <c r="H407" s="257" t="str">
        <f t="shared" ref="H407:H470" si="65">IF(B407="","",G407+F407)</f>
        <v/>
      </c>
      <c r="I407" s="220" t="e">
        <f t="shared" si="61"/>
        <v>#VALUE!</v>
      </c>
    </row>
    <row r="408" spans="1:9" x14ac:dyDescent="0.25">
      <c r="A408" s="254">
        <f t="shared" si="58"/>
        <v>390</v>
      </c>
      <c r="B408" s="255" t="str">
        <f t="shared" si="59"/>
        <v/>
      </c>
      <c r="C408" s="256">
        <f t="shared" si="60"/>
        <v>3047.1172825179469</v>
      </c>
      <c r="D408" s="257" t="str">
        <f t="shared" si="62"/>
        <v/>
      </c>
      <c r="F408" s="257" t="str">
        <f t="shared" si="63"/>
        <v/>
      </c>
      <c r="G408" s="257" t="str">
        <f t="shared" si="64"/>
        <v/>
      </c>
      <c r="H408" s="257" t="str">
        <f t="shared" si="65"/>
        <v/>
      </c>
      <c r="I408" s="220" t="e">
        <f t="shared" si="61"/>
        <v>#VALUE!</v>
      </c>
    </row>
    <row r="409" spans="1:9" x14ac:dyDescent="0.25">
      <c r="A409" s="254">
        <f t="shared" si="58"/>
        <v>391</v>
      </c>
      <c r="B409" s="255" t="str">
        <f t="shared" si="59"/>
        <v/>
      </c>
      <c r="C409" s="256">
        <f t="shared" si="60"/>
        <v>3047.1172825179469</v>
      </c>
      <c r="D409" s="257" t="str">
        <f t="shared" si="62"/>
        <v/>
      </c>
      <c r="F409" s="257" t="str">
        <f t="shared" si="63"/>
        <v/>
      </c>
      <c r="G409" s="257" t="str">
        <f t="shared" si="64"/>
        <v/>
      </c>
      <c r="H409" s="257" t="str">
        <f t="shared" si="65"/>
        <v/>
      </c>
      <c r="I409" s="220" t="e">
        <f t="shared" si="61"/>
        <v>#VALUE!</v>
      </c>
    </row>
    <row r="410" spans="1:9" x14ac:dyDescent="0.25">
      <c r="A410" s="254">
        <f t="shared" si="58"/>
        <v>392</v>
      </c>
      <c r="B410" s="255" t="str">
        <f t="shared" si="59"/>
        <v/>
      </c>
      <c r="C410" s="256">
        <f t="shared" si="60"/>
        <v>3047.1172825179469</v>
      </c>
      <c r="D410" s="257" t="str">
        <f t="shared" si="62"/>
        <v/>
      </c>
      <c r="F410" s="257" t="str">
        <f t="shared" si="63"/>
        <v/>
      </c>
      <c r="G410" s="257" t="str">
        <f t="shared" si="64"/>
        <v/>
      </c>
      <c r="H410" s="257" t="str">
        <f t="shared" si="65"/>
        <v/>
      </c>
      <c r="I410" s="220" t="e">
        <f t="shared" si="61"/>
        <v>#VALUE!</v>
      </c>
    </row>
    <row r="411" spans="1:9" x14ac:dyDescent="0.25">
      <c r="A411" s="254">
        <f t="shared" si="58"/>
        <v>393</v>
      </c>
      <c r="B411" s="255" t="str">
        <f t="shared" si="59"/>
        <v/>
      </c>
      <c r="C411" s="256">
        <f t="shared" si="60"/>
        <v>3047.1172825179469</v>
      </c>
      <c r="D411" s="257" t="str">
        <f t="shared" si="62"/>
        <v/>
      </c>
      <c r="F411" s="257" t="str">
        <f t="shared" si="63"/>
        <v/>
      </c>
      <c r="G411" s="257" t="str">
        <f t="shared" si="64"/>
        <v/>
      </c>
      <c r="H411" s="257" t="str">
        <f t="shared" si="65"/>
        <v/>
      </c>
      <c r="I411" s="220" t="e">
        <f t="shared" si="61"/>
        <v>#VALUE!</v>
      </c>
    </row>
    <row r="412" spans="1:9" x14ac:dyDescent="0.25">
      <c r="A412" s="254">
        <f t="shared" si="58"/>
        <v>394</v>
      </c>
      <c r="B412" s="255" t="str">
        <f t="shared" si="59"/>
        <v/>
      </c>
      <c r="C412" s="256">
        <f t="shared" si="60"/>
        <v>3047.1172825179469</v>
      </c>
      <c r="D412" s="257" t="str">
        <f t="shared" si="62"/>
        <v/>
      </c>
      <c r="F412" s="257" t="str">
        <f t="shared" si="63"/>
        <v/>
      </c>
      <c r="G412" s="257" t="str">
        <f t="shared" si="64"/>
        <v/>
      </c>
      <c r="H412" s="257" t="str">
        <f t="shared" si="65"/>
        <v/>
      </c>
      <c r="I412" s="220" t="e">
        <f t="shared" si="61"/>
        <v>#VALUE!</v>
      </c>
    </row>
    <row r="413" spans="1:9" x14ac:dyDescent="0.25">
      <c r="A413" s="254">
        <f t="shared" si="58"/>
        <v>395</v>
      </c>
      <c r="B413" s="255" t="str">
        <f t="shared" si="59"/>
        <v/>
      </c>
      <c r="C413" s="256">
        <f t="shared" si="60"/>
        <v>3047.1172825179469</v>
      </c>
      <c r="D413" s="257" t="str">
        <f t="shared" si="62"/>
        <v/>
      </c>
      <c r="F413" s="257" t="str">
        <f t="shared" si="63"/>
        <v/>
      </c>
      <c r="G413" s="257" t="str">
        <f t="shared" si="64"/>
        <v/>
      </c>
      <c r="H413" s="257" t="str">
        <f t="shared" si="65"/>
        <v/>
      </c>
      <c r="I413" s="220" t="e">
        <f t="shared" si="61"/>
        <v>#VALUE!</v>
      </c>
    </row>
    <row r="414" spans="1:9" x14ac:dyDescent="0.25">
      <c r="A414" s="254">
        <f t="shared" si="58"/>
        <v>396</v>
      </c>
      <c r="B414" s="255" t="str">
        <f t="shared" si="59"/>
        <v/>
      </c>
      <c r="C414" s="256">
        <f t="shared" si="60"/>
        <v>3047.1172825179469</v>
      </c>
      <c r="D414" s="257" t="str">
        <f t="shared" si="62"/>
        <v/>
      </c>
      <c r="F414" s="257" t="str">
        <f t="shared" si="63"/>
        <v/>
      </c>
      <c r="G414" s="257" t="str">
        <f t="shared" si="64"/>
        <v/>
      </c>
      <c r="H414" s="257" t="str">
        <f t="shared" si="65"/>
        <v/>
      </c>
      <c r="I414" s="220" t="e">
        <f t="shared" si="61"/>
        <v>#VALUE!</v>
      </c>
    </row>
    <row r="415" spans="1:9" x14ac:dyDescent="0.25">
      <c r="A415" s="254">
        <f t="shared" si="58"/>
        <v>397</v>
      </c>
      <c r="B415" s="255" t="str">
        <f t="shared" si="59"/>
        <v/>
      </c>
      <c r="C415" s="256">
        <f t="shared" si="60"/>
        <v>3047.1172825179469</v>
      </c>
      <c r="D415" s="257" t="str">
        <f t="shared" si="62"/>
        <v/>
      </c>
      <c r="F415" s="257" t="str">
        <f t="shared" si="63"/>
        <v/>
      </c>
      <c r="G415" s="257" t="str">
        <f t="shared" si="64"/>
        <v/>
      </c>
      <c r="H415" s="257" t="str">
        <f t="shared" si="65"/>
        <v/>
      </c>
      <c r="I415" s="220" t="e">
        <f t="shared" si="61"/>
        <v>#VALUE!</v>
      </c>
    </row>
    <row r="416" spans="1:9" x14ac:dyDescent="0.25">
      <c r="A416" s="254">
        <f t="shared" si="58"/>
        <v>398</v>
      </c>
      <c r="B416" s="255" t="str">
        <f t="shared" si="59"/>
        <v/>
      </c>
      <c r="C416" s="256">
        <f t="shared" si="60"/>
        <v>3047.1172825179469</v>
      </c>
      <c r="D416" s="257" t="str">
        <f t="shared" si="62"/>
        <v/>
      </c>
      <c r="F416" s="257" t="str">
        <f t="shared" si="63"/>
        <v/>
      </c>
      <c r="G416" s="257" t="str">
        <f t="shared" si="64"/>
        <v/>
      </c>
      <c r="H416" s="257" t="str">
        <f t="shared" si="65"/>
        <v/>
      </c>
      <c r="I416" s="220" t="e">
        <f t="shared" si="61"/>
        <v>#VALUE!</v>
      </c>
    </row>
    <row r="417" spans="1:9" x14ac:dyDescent="0.25">
      <c r="A417" s="254">
        <f t="shared" si="58"/>
        <v>399</v>
      </c>
      <c r="B417" s="255" t="str">
        <f t="shared" si="59"/>
        <v/>
      </c>
      <c r="C417" s="256">
        <f t="shared" si="60"/>
        <v>3047.1172825179469</v>
      </c>
      <c r="D417" s="257" t="str">
        <f t="shared" si="62"/>
        <v/>
      </c>
      <c r="F417" s="257" t="str">
        <f t="shared" si="63"/>
        <v/>
      </c>
      <c r="G417" s="257" t="str">
        <f t="shared" si="64"/>
        <v/>
      </c>
      <c r="H417" s="257" t="str">
        <f t="shared" si="65"/>
        <v/>
      </c>
      <c r="I417" s="220" t="e">
        <f t="shared" si="61"/>
        <v>#VALUE!</v>
      </c>
    </row>
    <row r="418" spans="1:9" x14ac:dyDescent="0.25">
      <c r="A418" s="254">
        <f t="shared" si="58"/>
        <v>400</v>
      </c>
      <c r="B418" s="255" t="str">
        <f t="shared" si="59"/>
        <v/>
      </c>
      <c r="C418" s="256">
        <f t="shared" si="60"/>
        <v>3047.1172825179469</v>
      </c>
      <c r="D418" s="257" t="str">
        <f t="shared" si="62"/>
        <v/>
      </c>
      <c r="F418" s="257" t="str">
        <f t="shared" si="63"/>
        <v/>
      </c>
      <c r="G418" s="257" t="str">
        <f t="shared" si="64"/>
        <v/>
      </c>
      <c r="H418" s="257" t="str">
        <f t="shared" si="65"/>
        <v/>
      </c>
      <c r="I418" s="220" t="e">
        <f t="shared" si="61"/>
        <v>#VALUE!</v>
      </c>
    </row>
    <row r="419" spans="1:9" x14ac:dyDescent="0.25">
      <c r="A419" s="254">
        <f t="shared" si="58"/>
        <v>401</v>
      </c>
      <c r="B419" s="255" t="str">
        <f t="shared" si="59"/>
        <v/>
      </c>
      <c r="C419" s="256">
        <f t="shared" si="60"/>
        <v>3047.1172825179469</v>
      </c>
      <c r="D419" s="257" t="str">
        <f t="shared" si="62"/>
        <v/>
      </c>
      <c r="F419" s="257" t="str">
        <f t="shared" si="63"/>
        <v/>
      </c>
      <c r="G419" s="257" t="str">
        <f t="shared" si="64"/>
        <v/>
      </c>
      <c r="H419" s="257" t="str">
        <f t="shared" si="65"/>
        <v/>
      </c>
      <c r="I419" s="220" t="e">
        <f t="shared" si="61"/>
        <v>#VALUE!</v>
      </c>
    </row>
    <row r="420" spans="1:9" x14ac:dyDescent="0.25">
      <c r="A420" s="254">
        <f t="shared" si="58"/>
        <v>402</v>
      </c>
      <c r="B420" s="255" t="str">
        <f t="shared" si="59"/>
        <v/>
      </c>
      <c r="C420" s="256">
        <f t="shared" si="60"/>
        <v>3047.1172825179469</v>
      </c>
      <c r="D420" s="257" t="str">
        <f t="shared" si="62"/>
        <v/>
      </c>
      <c r="F420" s="257" t="str">
        <f t="shared" si="63"/>
        <v/>
      </c>
      <c r="G420" s="257" t="str">
        <f t="shared" si="64"/>
        <v/>
      </c>
      <c r="H420" s="257" t="str">
        <f t="shared" si="65"/>
        <v/>
      </c>
      <c r="I420" s="220" t="e">
        <f t="shared" si="61"/>
        <v>#VALUE!</v>
      </c>
    </row>
    <row r="421" spans="1:9" x14ac:dyDescent="0.25">
      <c r="A421" s="254">
        <f t="shared" si="58"/>
        <v>403</v>
      </c>
      <c r="B421" s="255" t="str">
        <f t="shared" si="59"/>
        <v/>
      </c>
      <c r="C421" s="256">
        <f t="shared" si="60"/>
        <v>3047.1172825179469</v>
      </c>
      <c r="D421" s="257" t="str">
        <f t="shared" si="62"/>
        <v/>
      </c>
      <c r="F421" s="257" t="str">
        <f t="shared" si="63"/>
        <v/>
      </c>
      <c r="G421" s="257" t="str">
        <f t="shared" si="64"/>
        <v/>
      </c>
      <c r="H421" s="257" t="str">
        <f t="shared" si="65"/>
        <v/>
      </c>
      <c r="I421" s="220" t="e">
        <f t="shared" si="61"/>
        <v>#VALUE!</v>
      </c>
    </row>
    <row r="422" spans="1:9" x14ac:dyDescent="0.25">
      <c r="A422" s="254">
        <f t="shared" si="58"/>
        <v>404</v>
      </c>
      <c r="B422" s="255" t="str">
        <f t="shared" si="59"/>
        <v/>
      </c>
      <c r="C422" s="256">
        <f t="shared" si="60"/>
        <v>3047.1172825179469</v>
      </c>
      <c r="D422" s="257" t="str">
        <f t="shared" si="62"/>
        <v/>
      </c>
      <c r="F422" s="257" t="str">
        <f t="shared" si="63"/>
        <v/>
      </c>
      <c r="G422" s="257" t="str">
        <f t="shared" si="64"/>
        <v/>
      </c>
      <c r="H422" s="257" t="str">
        <f t="shared" si="65"/>
        <v/>
      </c>
      <c r="I422" s="220" t="e">
        <f t="shared" si="61"/>
        <v>#VALUE!</v>
      </c>
    </row>
    <row r="423" spans="1:9" x14ac:dyDescent="0.25">
      <c r="A423" s="254">
        <f t="shared" si="58"/>
        <v>405</v>
      </c>
      <c r="B423" s="255" t="str">
        <f t="shared" si="59"/>
        <v/>
      </c>
      <c r="C423" s="256">
        <f t="shared" si="60"/>
        <v>3047.1172825179469</v>
      </c>
      <c r="D423" s="257" t="str">
        <f t="shared" si="62"/>
        <v/>
      </c>
      <c r="F423" s="257" t="str">
        <f t="shared" si="63"/>
        <v/>
      </c>
      <c r="G423" s="257" t="str">
        <f t="shared" si="64"/>
        <v/>
      </c>
      <c r="H423" s="257" t="str">
        <f t="shared" si="65"/>
        <v/>
      </c>
      <c r="I423" s="220" t="e">
        <f t="shared" si="61"/>
        <v>#VALUE!</v>
      </c>
    </row>
    <row r="424" spans="1:9" x14ac:dyDescent="0.25">
      <c r="A424" s="254">
        <f t="shared" si="58"/>
        <v>406</v>
      </c>
      <c r="B424" s="255" t="str">
        <f t="shared" si="59"/>
        <v/>
      </c>
      <c r="C424" s="256">
        <f t="shared" si="60"/>
        <v>3047.1172825179469</v>
      </c>
      <c r="D424" s="257" t="str">
        <f t="shared" si="62"/>
        <v/>
      </c>
      <c r="F424" s="257" t="str">
        <f t="shared" si="63"/>
        <v/>
      </c>
      <c r="G424" s="257" t="str">
        <f t="shared" si="64"/>
        <v/>
      </c>
      <c r="H424" s="257" t="str">
        <f t="shared" si="65"/>
        <v/>
      </c>
      <c r="I424" s="220" t="e">
        <f t="shared" si="61"/>
        <v>#VALUE!</v>
      </c>
    </row>
    <row r="425" spans="1:9" x14ac:dyDescent="0.25">
      <c r="A425" s="254">
        <f t="shared" si="58"/>
        <v>407</v>
      </c>
      <c r="B425" s="255" t="str">
        <f t="shared" si="59"/>
        <v/>
      </c>
      <c r="C425" s="256">
        <f t="shared" si="60"/>
        <v>3047.1172825179469</v>
      </c>
      <c r="D425" s="257" t="str">
        <f t="shared" si="62"/>
        <v/>
      </c>
      <c r="F425" s="257" t="str">
        <f t="shared" si="63"/>
        <v/>
      </c>
      <c r="G425" s="257" t="str">
        <f t="shared" si="64"/>
        <v/>
      </c>
      <c r="H425" s="257" t="str">
        <f t="shared" si="65"/>
        <v/>
      </c>
      <c r="I425" s="220" t="e">
        <f t="shared" si="61"/>
        <v>#VALUE!</v>
      </c>
    </row>
    <row r="426" spans="1:9" x14ac:dyDescent="0.25">
      <c r="A426" s="254">
        <f t="shared" si="58"/>
        <v>408</v>
      </c>
      <c r="B426" s="255" t="str">
        <f t="shared" si="59"/>
        <v/>
      </c>
      <c r="C426" s="256">
        <f t="shared" si="60"/>
        <v>3047.1172825179469</v>
      </c>
      <c r="D426" s="257" t="str">
        <f t="shared" si="62"/>
        <v/>
      </c>
      <c r="F426" s="257" t="str">
        <f t="shared" si="63"/>
        <v/>
      </c>
      <c r="G426" s="257" t="str">
        <f t="shared" si="64"/>
        <v/>
      </c>
      <c r="H426" s="257" t="str">
        <f t="shared" si="65"/>
        <v/>
      </c>
      <c r="I426" s="220" t="e">
        <f t="shared" si="61"/>
        <v>#VALUE!</v>
      </c>
    </row>
    <row r="427" spans="1:9" x14ac:dyDescent="0.25">
      <c r="A427" s="254">
        <f t="shared" si="58"/>
        <v>409</v>
      </c>
      <c r="B427" s="255" t="str">
        <f t="shared" si="59"/>
        <v/>
      </c>
      <c r="C427" s="256">
        <f t="shared" si="60"/>
        <v>3047.1172825179469</v>
      </c>
      <c r="D427" s="257" t="str">
        <f t="shared" si="62"/>
        <v/>
      </c>
      <c r="F427" s="257" t="str">
        <f t="shared" si="63"/>
        <v/>
      </c>
      <c r="G427" s="257" t="str">
        <f t="shared" si="64"/>
        <v/>
      </c>
      <c r="H427" s="257" t="str">
        <f t="shared" si="65"/>
        <v/>
      </c>
      <c r="I427" s="220" t="e">
        <f t="shared" si="61"/>
        <v>#VALUE!</v>
      </c>
    </row>
    <row r="428" spans="1:9" x14ac:dyDescent="0.25">
      <c r="A428" s="254">
        <f t="shared" si="58"/>
        <v>410</v>
      </c>
      <c r="B428" s="255" t="str">
        <f t="shared" si="59"/>
        <v/>
      </c>
      <c r="C428" s="256">
        <f t="shared" si="60"/>
        <v>3047.1172825179469</v>
      </c>
      <c r="D428" s="257" t="str">
        <f t="shared" si="62"/>
        <v/>
      </c>
      <c r="F428" s="257" t="str">
        <f t="shared" si="63"/>
        <v/>
      </c>
      <c r="G428" s="257" t="str">
        <f t="shared" si="64"/>
        <v/>
      </c>
      <c r="H428" s="257" t="str">
        <f t="shared" si="65"/>
        <v/>
      </c>
      <c r="I428" s="220" t="e">
        <f t="shared" si="61"/>
        <v>#VALUE!</v>
      </c>
    </row>
    <row r="429" spans="1:9" x14ac:dyDescent="0.25">
      <c r="A429" s="254">
        <f t="shared" si="58"/>
        <v>411</v>
      </c>
      <c r="B429" s="255" t="str">
        <f t="shared" si="59"/>
        <v/>
      </c>
      <c r="C429" s="256">
        <f t="shared" si="60"/>
        <v>3047.1172825179469</v>
      </c>
      <c r="D429" s="257" t="str">
        <f t="shared" si="62"/>
        <v/>
      </c>
      <c r="F429" s="257" t="str">
        <f t="shared" si="63"/>
        <v/>
      </c>
      <c r="G429" s="257" t="str">
        <f t="shared" si="64"/>
        <v/>
      </c>
      <c r="H429" s="257" t="str">
        <f t="shared" si="65"/>
        <v/>
      </c>
      <c r="I429" s="220" t="e">
        <f t="shared" si="61"/>
        <v>#VALUE!</v>
      </c>
    </row>
    <row r="430" spans="1:9" x14ac:dyDescent="0.25">
      <c r="A430" s="254">
        <f t="shared" si="58"/>
        <v>412</v>
      </c>
      <c r="B430" s="255" t="str">
        <f t="shared" si="59"/>
        <v/>
      </c>
      <c r="C430" s="256">
        <f t="shared" si="60"/>
        <v>3047.1172825179469</v>
      </c>
      <c r="D430" s="257" t="str">
        <f t="shared" si="62"/>
        <v/>
      </c>
      <c r="F430" s="257" t="str">
        <f t="shared" si="63"/>
        <v/>
      </c>
      <c r="G430" s="257" t="str">
        <f t="shared" si="64"/>
        <v/>
      </c>
      <c r="H430" s="257" t="str">
        <f t="shared" si="65"/>
        <v/>
      </c>
      <c r="I430" s="220" t="e">
        <f t="shared" si="61"/>
        <v>#VALUE!</v>
      </c>
    </row>
    <row r="431" spans="1:9" x14ac:dyDescent="0.25">
      <c r="A431" s="254">
        <f t="shared" si="58"/>
        <v>413</v>
      </c>
      <c r="B431" s="255" t="str">
        <f t="shared" si="59"/>
        <v/>
      </c>
      <c r="C431" s="256">
        <f t="shared" si="60"/>
        <v>3047.1172825179469</v>
      </c>
      <c r="D431" s="257" t="str">
        <f t="shared" si="62"/>
        <v/>
      </c>
      <c r="F431" s="257" t="str">
        <f t="shared" si="63"/>
        <v/>
      </c>
      <c r="G431" s="257" t="str">
        <f t="shared" si="64"/>
        <v/>
      </c>
      <c r="H431" s="257" t="str">
        <f t="shared" si="65"/>
        <v/>
      </c>
      <c r="I431" s="220" t="e">
        <f t="shared" si="61"/>
        <v>#VALUE!</v>
      </c>
    </row>
    <row r="432" spans="1:9" x14ac:dyDescent="0.25">
      <c r="A432" s="254">
        <f t="shared" si="58"/>
        <v>414</v>
      </c>
      <c r="B432" s="255" t="str">
        <f t="shared" si="59"/>
        <v/>
      </c>
      <c r="C432" s="256">
        <f t="shared" si="60"/>
        <v>3047.1172825179469</v>
      </c>
      <c r="D432" s="257" t="str">
        <f t="shared" si="62"/>
        <v/>
      </c>
      <c r="F432" s="257" t="str">
        <f t="shared" si="63"/>
        <v/>
      </c>
      <c r="G432" s="257" t="str">
        <f t="shared" si="64"/>
        <v/>
      </c>
      <c r="H432" s="257" t="str">
        <f t="shared" si="65"/>
        <v/>
      </c>
      <c r="I432" s="220" t="e">
        <f t="shared" si="61"/>
        <v>#VALUE!</v>
      </c>
    </row>
    <row r="433" spans="1:9" x14ac:dyDescent="0.25">
      <c r="A433" s="254">
        <f t="shared" si="58"/>
        <v>415</v>
      </c>
      <c r="B433" s="255" t="str">
        <f t="shared" si="59"/>
        <v/>
      </c>
      <c r="C433" s="256">
        <f t="shared" si="60"/>
        <v>3047.1172825179469</v>
      </c>
      <c r="D433" s="257" t="str">
        <f t="shared" si="62"/>
        <v/>
      </c>
      <c r="F433" s="257" t="str">
        <f t="shared" si="63"/>
        <v/>
      </c>
      <c r="G433" s="257" t="str">
        <f t="shared" si="64"/>
        <v/>
      </c>
      <c r="H433" s="257" t="str">
        <f t="shared" si="65"/>
        <v/>
      </c>
      <c r="I433" s="220" t="e">
        <f t="shared" si="61"/>
        <v>#VALUE!</v>
      </c>
    </row>
    <row r="434" spans="1:9" x14ac:dyDescent="0.25">
      <c r="A434" s="254">
        <f t="shared" si="58"/>
        <v>416</v>
      </c>
      <c r="B434" s="255" t="str">
        <f t="shared" si="59"/>
        <v/>
      </c>
      <c r="C434" s="256">
        <f t="shared" si="60"/>
        <v>3047.1172825179469</v>
      </c>
      <c r="D434" s="257" t="str">
        <f t="shared" si="62"/>
        <v/>
      </c>
      <c r="F434" s="257" t="str">
        <f t="shared" si="63"/>
        <v/>
      </c>
      <c r="G434" s="257" t="str">
        <f t="shared" si="64"/>
        <v/>
      </c>
      <c r="H434" s="257" t="str">
        <f t="shared" si="65"/>
        <v/>
      </c>
      <c r="I434" s="220" t="e">
        <f t="shared" si="61"/>
        <v>#VALUE!</v>
      </c>
    </row>
    <row r="435" spans="1:9" x14ac:dyDescent="0.25">
      <c r="A435" s="254">
        <f t="shared" si="58"/>
        <v>417</v>
      </c>
      <c r="B435" s="255" t="str">
        <f t="shared" si="59"/>
        <v/>
      </c>
      <c r="C435" s="256">
        <f t="shared" si="60"/>
        <v>3047.1172825179469</v>
      </c>
      <c r="D435" s="257" t="str">
        <f t="shared" si="62"/>
        <v/>
      </c>
      <c r="F435" s="257" t="str">
        <f t="shared" si="63"/>
        <v/>
      </c>
      <c r="G435" s="257" t="str">
        <f t="shared" si="64"/>
        <v/>
      </c>
      <c r="H435" s="257" t="str">
        <f t="shared" si="65"/>
        <v/>
      </c>
      <c r="I435" s="220" t="e">
        <f t="shared" si="61"/>
        <v>#VALUE!</v>
      </c>
    </row>
    <row r="436" spans="1:9" x14ac:dyDescent="0.25">
      <c r="A436" s="254">
        <f t="shared" si="58"/>
        <v>418</v>
      </c>
      <c r="B436" s="255" t="str">
        <f t="shared" si="59"/>
        <v/>
      </c>
      <c r="C436" s="256">
        <f t="shared" si="60"/>
        <v>3047.1172825179469</v>
      </c>
      <c r="D436" s="257" t="str">
        <f t="shared" si="62"/>
        <v/>
      </c>
      <c r="F436" s="257" t="str">
        <f t="shared" si="63"/>
        <v/>
      </c>
      <c r="G436" s="257" t="str">
        <f t="shared" si="64"/>
        <v/>
      </c>
      <c r="H436" s="257" t="str">
        <f t="shared" si="65"/>
        <v/>
      </c>
      <c r="I436" s="220" t="e">
        <f t="shared" si="61"/>
        <v>#VALUE!</v>
      </c>
    </row>
    <row r="437" spans="1:9" x14ac:dyDescent="0.25">
      <c r="A437" s="254">
        <f t="shared" si="58"/>
        <v>419</v>
      </c>
      <c r="B437" s="255" t="str">
        <f t="shared" si="59"/>
        <v/>
      </c>
      <c r="C437" s="256">
        <f t="shared" si="60"/>
        <v>3047.1172825179469</v>
      </c>
      <c r="D437" s="257" t="str">
        <f t="shared" si="62"/>
        <v/>
      </c>
      <c r="F437" s="257" t="str">
        <f t="shared" si="63"/>
        <v/>
      </c>
      <c r="G437" s="257" t="str">
        <f t="shared" si="64"/>
        <v/>
      </c>
      <c r="H437" s="257" t="str">
        <f t="shared" si="65"/>
        <v/>
      </c>
      <c r="I437" s="220" t="e">
        <f t="shared" si="61"/>
        <v>#VALUE!</v>
      </c>
    </row>
    <row r="438" spans="1:9" x14ac:dyDescent="0.25">
      <c r="A438" s="254">
        <f t="shared" si="58"/>
        <v>420</v>
      </c>
      <c r="B438" s="255" t="str">
        <f t="shared" si="59"/>
        <v/>
      </c>
      <c r="C438" s="256">
        <f t="shared" si="60"/>
        <v>3047.1172825179469</v>
      </c>
      <c r="D438" s="257" t="str">
        <f t="shared" si="62"/>
        <v/>
      </c>
      <c r="F438" s="257" t="str">
        <f t="shared" si="63"/>
        <v/>
      </c>
      <c r="G438" s="257" t="str">
        <f t="shared" si="64"/>
        <v/>
      </c>
      <c r="H438" s="257" t="str">
        <f t="shared" si="65"/>
        <v/>
      </c>
      <c r="I438" s="220" t="e">
        <f t="shared" si="61"/>
        <v>#VALUE!</v>
      </c>
    </row>
    <row r="439" spans="1:9" x14ac:dyDescent="0.25">
      <c r="A439" s="254">
        <f t="shared" si="58"/>
        <v>421</v>
      </c>
      <c r="B439" s="255" t="str">
        <f t="shared" si="59"/>
        <v/>
      </c>
      <c r="C439" s="256">
        <f t="shared" si="60"/>
        <v>3047.1172825179469</v>
      </c>
      <c r="D439" s="257" t="str">
        <f t="shared" si="62"/>
        <v/>
      </c>
      <c r="F439" s="257" t="str">
        <f t="shared" si="63"/>
        <v/>
      </c>
      <c r="G439" s="257" t="str">
        <f t="shared" si="64"/>
        <v/>
      </c>
      <c r="H439" s="257" t="str">
        <f t="shared" si="65"/>
        <v/>
      </c>
      <c r="I439" s="220" t="e">
        <f t="shared" si="61"/>
        <v>#VALUE!</v>
      </c>
    </row>
    <row r="440" spans="1:9" x14ac:dyDescent="0.25">
      <c r="A440" s="254">
        <f t="shared" si="58"/>
        <v>422</v>
      </c>
      <c r="B440" s="255" t="str">
        <f t="shared" si="59"/>
        <v/>
      </c>
      <c r="C440" s="256">
        <f t="shared" si="60"/>
        <v>3047.1172825179469</v>
      </c>
      <c r="D440" s="257" t="str">
        <f t="shared" si="62"/>
        <v/>
      </c>
      <c r="F440" s="257" t="str">
        <f t="shared" si="63"/>
        <v/>
      </c>
      <c r="G440" s="257" t="str">
        <f t="shared" si="64"/>
        <v/>
      </c>
      <c r="H440" s="257" t="str">
        <f t="shared" si="65"/>
        <v/>
      </c>
      <c r="I440" s="220" t="e">
        <f t="shared" si="61"/>
        <v>#VALUE!</v>
      </c>
    </row>
    <row r="441" spans="1:9" x14ac:dyDescent="0.25">
      <c r="A441" s="254">
        <f t="shared" ref="A441:A504" si="66">A440+1</f>
        <v>423</v>
      </c>
      <c r="B441" s="255" t="str">
        <f t="shared" si="59"/>
        <v/>
      </c>
      <c r="C441" s="256">
        <f t="shared" si="60"/>
        <v>3047.1172825179469</v>
      </c>
      <c r="D441" s="257" t="str">
        <f t="shared" si="62"/>
        <v/>
      </c>
      <c r="F441" s="257" t="str">
        <f t="shared" si="63"/>
        <v/>
      </c>
      <c r="G441" s="257" t="str">
        <f t="shared" si="64"/>
        <v/>
      </c>
      <c r="H441" s="257" t="str">
        <f t="shared" si="65"/>
        <v/>
      </c>
      <c r="I441" s="220" t="e">
        <f t="shared" si="61"/>
        <v>#VALUE!</v>
      </c>
    </row>
    <row r="442" spans="1:9" x14ac:dyDescent="0.25">
      <c r="A442" s="254">
        <f t="shared" si="66"/>
        <v>424</v>
      </c>
      <c r="B442" s="255" t="str">
        <f t="shared" si="59"/>
        <v/>
      </c>
      <c r="C442" s="256">
        <f t="shared" si="60"/>
        <v>3047.1172825179469</v>
      </c>
      <c r="D442" s="257" t="str">
        <f t="shared" si="62"/>
        <v/>
      </c>
      <c r="F442" s="257" t="str">
        <f t="shared" si="63"/>
        <v/>
      </c>
      <c r="G442" s="257" t="str">
        <f t="shared" si="64"/>
        <v/>
      </c>
      <c r="H442" s="257" t="str">
        <f t="shared" si="65"/>
        <v/>
      </c>
      <c r="I442" s="220" t="e">
        <f t="shared" si="61"/>
        <v>#VALUE!</v>
      </c>
    </row>
    <row r="443" spans="1:9" x14ac:dyDescent="0.25">
      <c r="A443" s="254">
        <f t="shared" si="66"/>
        <v>425</v>
      </c>
      <c r="B443" s="255" t="str">
        <f t="shared" si="59"/>
        <v/>
      </c>
      <c r="C443" s="256">
        <f t="shared" si="60"/>
        <v>3047.1172825179469</v>
      </c>
      <c r="D443" s="257" t="str">
        <f t="shared" si="62"/>
        <v/>
      </c>
      <c r="F443" s="257" t="str">
        <f t="shared" si="63"/>
        <v/>
      </c>
      <c r="G443" s="257" t="str">
        <f t="shared" si="64"/>
        <v/>
      </c>
      <c r="H443" s="257" t="str">
        <f t="shared" si="65"/>
        <v/>
      </c>
      <c r="I443" s="220" t="e">
        <f t="shared" si="61"/>
        <v>#VALUE!</v>
      </c>
    </row>
    <row r="444" spans="1:9" x14ac:dyDescent="0.25">
      <c r="A444" s="254">
        <f t="shared" si="66"/>
        <v>426</v>
      </c>
      <c r="B444" s="255" t="str">
        <f t="shared" si="59"/>
        <v/>
      </c>
      <c r="C444" s="256">
        <f t="shared" si="60"/>
        <v>3047.1172825179469</v>
      </c>
      <c r="D444" s="257" t="str">
        <f t="shared" si="62"/>
        <v/>
      </c>
      <c r="F444" s="257" t="str">
        <f t="shared" si="63"/>
        <v/>
      </c>
      <c r="G444" s="257" t="str">
        <f t="shared" si="64"/>
        <v/>
      </c>
      <c r="H444" s="257" t="str">
        <f t="shared" si="65"/>
        <v/>
      </c>
      <c r="I444" s="220" t="e">
        <f t="shared" si="61"/>
        <v>#VALUE!</v>
      </c>
    </row>
    <row r="445" spans="1:9" x14ac:dyDescent="0.25">
      <c r="A445" s="254">
        <f t="shared" si="66"/>
        <v>427</v>
      </c>
      <c r="B445" s="255" t="str">
        <f t="shared" si="59"/>
        <v/>
      </c>
      <c r="C445" s="256">
        <f t="shared" si="60"/>
        <v>3047.1172825179469</v>
      </c>
      <c r="D445" s="257" t="str">
        <f t="shared" si="62"/>
        <v/>
      </c>
      <c r="F445" s="257" t="str">
        <f t="shared" si="63"/>
        <v/>
      </c>
      <c r="G445" s="257" t="str">
        <f t="shared" si="64"/>
        <v/>
      </c>
      <c r="H445" s="257" t="str">
        <f t="shared" si="65"/>
        <v/>
      </c>
      <c r="I445" s="220" t="e">
        <f t="shared" si="61"/>
        <v>#VALUE!</v>
      </c>
    </row>
    <row r="446" spans="1:9" x14ac:dyDescent="0.25">
      <c r="A446" s="254">
        <f t="shared" si="66"/>
        <v>428</v>
      </c>
      <c r="B446" s="255" t="str">
        <f t="shared" si="59"/>
        <v/>
      </c>
      <c r="C446" s="256">
        <f t="shared" si="60"/>
        <v>3047.1172825179469</v>
      </c>
      <c r="D446" s="257" t="str">
        <f t="shared" si="62"/>
        <v/>
      </c>
      <c r="F446" s="257" t="str">
        <f t="shared" si="63"/>
        <v/>
      </c>
      <c r="G446" s="257" t="str">
        <f t="shared" si="64"/>
        <v/>
      </c>
      <c r="H446" s="257" t="str">
        <f t="shared" si="65"/>
        <v/>
      </c>
      <c r="I446" s="220" t="e">
        <f t="shared" si="61"/>
        <v>#VALUE!</v>
      </c>
    </row>
    <row r="447" spans="1:9" x14ac:dyDescent="0.25">
      <c r="A447" s="254">
        <f t="shared" si="66"/>
        <v>429</v>
      </c>
      <c r="B447" s="255" t="str">
        <f t="shared" si="59"/>
        <v/>
      </c>
      <c r="C447" s="256">
        <f t="shared" si="60"/>
        <v>3047.1172825179469</v>
      </c>
      <c r="D447" s="257" t="str">
        <f t="shared" si="62"/>
        <v/>
      </c>
      <c r="F447" s="257" t="str">
        <f t="shared" si="63"/>
        <v/>
      </c>
      <c r="G447" s="257" t="str">
        <f t="shared" si="64"/>
        <v/>
      </c>
      <c r="H447" s="257" t="str">
        <f t="shared" si="65"/>
        <v/>
      </c>
      <c r="I447" s="220" t="e">
        <f t="shared" si="61"/>
        <v>#VALUE!</v>
      </c>
    </row>
    <row r="448" spans="1:9" x14ac:dyDescent="0.25">
      <c r="A448" s="254">
        <f t="shared" si="66"/>
        <v>430</v>
      </c>
      <c r="B448" s="255" t="str">
        <f t="shared" si="59"/>
        <v/>
      </c>
      <c r="C448" s="256">
        <f t="shared" si="60"/>
        <v>3047.1172825179469</v>
      </c>
      <c r="D448" s="257" t="str">
        <f t="shared" si="62"/>
        <v/>
      </c>
      <c r="F448" s="257" t="str">
        <f t="shared" si="63"/>
        <v/>
      </c>
      <c r="G448" s="257" t="str">
        <f t="shared" si="64"/>
        <v/>
      </c>
      <c r="H448" s="257" t="str">
        <f t="shared" si="65"/>
        <v/>
      </c>
      <c r="I448" s="220" t="e">
        <f t="shared" si="61"/>
        <v>#VALUE!</v>
      </c>
    </row>
    <row r="449" spans="1:9" x14ac:dyDescent="0.25">
      <c r="A449" s="254">
        <f t="shared" si="66"/>
        <v>431</v>
      </c>
      <c r="B449" s="255" t="str">
        <f t="shared" si="59"/>
        <v/>
      </c>
      <c r="C449" s="256">
        <f t="shared" si="60"/>
        <v>3047.1172825179469</v>
      </c>
      <c r="D449" s="257" t="str">
        <f t="shared" si="62"/>
        <v/>
      </c>
      <c r="F449" s="257" t="str">
        <f t="shared" si="63"/>
        <v/>
      </c>
      <c r="G449" s="257" t="str">
        <f t="shared" si="64"/>
        <v/>
      </c>
      <c r="H449" s="257" t="str">
        <f t="shared" si="65"/>
        <v/>
      </c>
      <c r="I449" s="220" t="e">
        <f t="shared" si="61"/>
        <v>#VALUE!</v>
      </c>
    </row>
    <row r="450" spans="1:9" x14ac:dyDescent="0.25">
      <c r="A450" s="254">
        <f t="shared" si="66"/>
        <v>432</v>
      </c>
      <c r="B450" s="255" t="str">
        <f t="shared" si="59"/>
        <v/>
      </c>
      <c r="C450" s="256">
        <f t="shared" si="60"/>
        <v>3047.1172825179469</v>
      </c>
      <c r="D450" s="257" t="str">
        <f t="shared" si="62"/>
        <v/>
      </c>
      <c r="F450" s="257" t="str">
        <f t="shared" si="63"/>
        <v/>
      </c>
      <c r="G450" s="257" t="str">
        <f t="shared" si="64"/>
        <v/>
      </c>
      <c r="H450" s="257" t="str">
        <f t="shared" si="65"/>
        <v/>
      </c>
      <c r="I450" s="220" t="e">
        <f t="shared" si="61"/>
        <v>#VALUE!</v>
      </c>
    </row>
    <row r="451" spans="1:9" x14ac:dyDescent="0.25">
      <c r="A451" s="254">
        <f t="shared" si="66"/>
        <v>433</v>
      </c>
      <c r="B451" s="255" t="str">
        <f t="shared" si="59"/>
        <v/>
      </c>
      <c r="C451" s="256">
        <f t="shared" si="60"/>
        <v>3047.1172825179469</v>
      </c>
      <c r="D451" s="257" t="str">
        <f t="shared" si="62"/>
        <v/>
      </c>
      <c r="F451" s="257" t="str">
        <f t="shared" si="63"/>
        <v/>
      </c>
      <c r="G451" s="257" t="str">
        <f t="shared" si="64"/>
        <v/>
      </c>
      <c r="H451" s="257" t="str">
        <f t="shared" si="65"/>
        <v/>
      </c>
      <c r="I451" s="220" t="e">
        <f t="shared" si="61"/>
        <v>#VALUE!</v>
      </c>
    </row>
    <row r="452" spans="1:9" x14ac:dyDescent="0.25">
      <c r="A452" s="254">
        <f t="shared" si="66"/>
        <v>434</v>
      </c>
      <c r="B452" s="255" t="str">
        <f t="shared" si="59"/>
        <v/>
      </c>
      <c r="C452" s="256">
        <f t="shared" si="60"/>
        <v>3047.1172825179469</v>
      </c>
      <c r="D452" s="257" t="str">
        <f t="shared" si="62"/>
        <v/>
      </c>
      <c r="F452" s="257" t="str">
        <f t="shared" si="63"/>
        <v/>
      </c>
      <c r="G452" s="257" t="str">
        <f t="shared" si="64"/>
        <v/>
      </c>
      <c r="H452" s="257" t="str">
        <f t="shared" si="65"/>
        <v/>
      </c>
      <c r="I452" s="220" t="e">
        <f t="shared" si="61"/>
        <v>#VALUE!</v>
      </c>
    </row>
    <row r="453" spans="1:9" x14ac:dyDescent="0.25">
      <c r="A453" s="254">
        <f t="shared" si="66"/>
        <v>435</v>
      </c>
      <c r="B453" s="255" t="str">
        <f t="shared" si="59"/>
        <v/>
      </c>
      <c r="C453" s="256">
        <f t="shared" si="60"/>
        <v>3047.1172825179469</v>
      </c>
      <c r="D453" s="257" t="str">
        <f t="shared" si="62"/>
        <v/>
      </c>
      <c r="F453" s="257" t="str">
        <f t="shared" si="63"/>
        <v/>
      </c>
      <c r="G453" s="257" t="str">
        <f t="shared" si="64"/>
        <v/>
      </c>
      <c r="H453" s="257" t="str">
        <f t="shared" si="65"/>
        <v/>
      </c>
      <c r="I453" s="220" t="e">
        <f t="shared" si="61"/>
        <v>#VALUE!</v>
      </c>
    </row>
    <row r="454" spans="1:9" x14ac:dyDescent="0.25">
      <c r="A454" s="254">
        <f t="shared" si="66"/>
        <v>436</v>
      </c>
      <c r="B454" s="255" t="str">
        <f t="shared" si="59"/>
        <v/>
      </c>
      <c r="C454" s="256">
        <f t="shared" si="60"/>
        <v>3047.1172825179469</v>
      </c>
      <c r="D454" s="257" t="str">
        <f t="shared" si="62"/>
        <v/>
      </c>
      <c r="F454" s="257" t="str">
        <f t="shared" si="63"/>
        <v/>
      </c>
      <c r="G454" s="257" t="str">
        <f t="shared" si="64"/>
        <v/>
      </c>
      <c r="H454" s="257" t="str">
        <f t="shared" si="65"/>
        <v/>
      </c>
      <c r="I454" s="220" t="e">
        <f t="shared" si="61"/>
        <v>#VALUE!</v>
      </c>
    </row>
    <row r="455" spans="1:9" x14ac:dyDescent="0.25">
      <c r="A455" s="254">
        <f t="shared" si="66"/>
        <v>437</v>
      </c>
      <c r="B455" s="255" t="str">
        <f t="shared" si="59"/>
        <v/>
      </c>
      <c r="C455" s="256">
        <f t="shared" si="60"/>
        <v>3047.1172825179469</v>
      </c>
      <c r="D455" s="257" t="str">
        <f t="shared" si="62"/>
        <v/>
      </c>
      <c r="F455" s="257" t="str">
        <f t="shared" si="63"/>
        <v/>
      </c>
      <c r="G455" s="257" t="str">
        <f t="shared" si="64"/>
        <v/>
      </c>
      <c r="H455" s="257" t="str">
        <f t="shared" si="65"/>
        <v/>
      </c>
      <c r="I455" s="220" t="e">
        <f t="shared" si="61"/>
        <v>#VALUE!</v>
      </c>
    </row>
    <row r="456" spans="1:9" x14ac:dyDescent="0.25">
      <c r="A456" s="254">
        <f t="shared" si="66"/>
        <v>438</v>
      </c>
      <c r="B456" s="255" t="str">
        <f t="shared" si="59"/>
        <v/>
      </c>
      <c r="C456" s="256">
        <f t="shared" si="60"/>
        <v>3047.1172825179469</v>
      </c>
      <c r="D456" s="257" t="str">
        <f t="shared" si="62"/>
        <v/>
      </c>
      <c r="F456" s="257" t="str">
        <f t="shared" si="63"/>
        <v/>
      </c>
      <c r="G456" s="257" t="str">
        <f t="shared" si="64"/>
        <v/>
      </c>
      <c r="H456" s="257" t="str">
        <f t="shared" si="65"/>
        <v/>
      </c>
      <c r="I456" s="220" t="e">
        <f t="shared" si="61"/>
        <v>#VALUE!</v>
      </c>
    </row>
    <row r="457" spans="1:9" x14ac:dyDescent="0.25">
      <c r="A457" s="254">
        <f t="shared" si="66"/>
        <v>439</v>
      </c>
      <c r="B457" s="255" t="str">
        <f t="shared" si="59"/>
        <v/>
      </c>
      <c r="C457" s="256">
        <f t="shared" si="60"/>
        <v>3047.1172825179469</v>
      </c>
      <c r="D457" s="257" t="str">
        <f t="shared" si="62"/>
        <v/>
      </c>
      <c r="F457" s="257" t="str">
        <f t="shared" si="63"/>
        <v/>
      </c>
      <c r="G457" s="257" t="str">
        <f t="shared" si="64"/>
        <v/>
      </c>
      <c r="H457" s="257" t="str">
        <f t="shared" si="65"/>
        <v/>
      </c>
      <c r="I457" s="220" t="e">
        <f t="shared" si="61"/>
        <v>#VALUE!</v>
      </c>
    </row>
    <row r="458" spans="1:9" x14ac:dyDescent="0.25">
      <c r="A458" s="254">
        <f t="shared" si="66"/>
        <v>440</v>
      </c>
      <c r="B458" s="255" t="str">
        <f t="shared" si="59"/>
        <v/>
      </c>
      <c r="C458" s="256">
        <f t="shared" si="60"/>
        <v>3047.1172825179469</v>
      </c>
      <c r="D458" s="257" t="str">
        <f t="shared" si="62"/>
        <v/>
      </c>
      <c r="F458" s="257" t="str">
        <f t="shared" si="63"/>
        <v/>
      </c>
      <c r="G458" s="257" t="str">
        <f t="shared" si="64"/>
        <v/>
      </c>
      <c r="H458" s="257" t="str">
        <f t="shared" si="65"/>
        <v/>
      </c>
      <c r="I458" s="220" t="e">
        <f t="shared" si="61"/>
        <v>#VALUE!</v>
      </c>
    </row>
    <row r="459" spans="1:9" x14ac:dyDescent="0.25">
      <c r="A459" s="254">
        <f t="shared" si="66"/>
        <v>441</v>
      </c>
      <c r="B459" s="255" t="str">
        <f t="shared" si="59"/>
        <v/>
      </c>
      <c r="C459" s="256">
        <f t="shared" si="60"/>
        <v>3047.1172825179469</v>
      </c>
      <c r="D459" s="257" t="str">
        <f t="shared" si="62"/>
        <v/>
      </c>
      <c r="F459" s="257" t="str">
        <f t="shared" si="63"/>
        <v/>
      </c>
      <c r="G459" s="257" t="str">
        <f t="shared" si="64"/>
        <v/>
      </c>
      <c r="H459" s="257" t="str">
        <f t="shared" si="65"/>
        <v/>
      </c>
      <c r="I459" s="220" t="e">
        <f t="shared" si="61"/>
        <v>#VALUE!</v>
      </c>
    </row>
    <row r="460" spans="1:9" x14ac:dyDescent="0.25">
      <c r="A460" s="254">
        <f t="shared" si="66"/>
        <v>442</v>
      </c>
      <c r="B460" s="255" t="str">
        <f t="shared" si="59"/>
        <v/>
      </c>
      <c r="C460" s="256">
        <f t="shared" si="60"/>
        <v>3047.1172825179469</v>
      </c>
      <c r="D460" s="257" t="str">
        <f t="shared" si="62"/>
        <v/>
      </c>
      <c r="F460" s="257" t="str">
        <f t="shared" si="63"/>
        <v/>
      </c>
      <c r="G460" s="257" t="str">
        <f t="shared" si="64"/>
        <v/>
      </c>
      <c r="H460" s="257" t="str">
        <f t="shared" si="65"/>
        <v/>
      </c>
      <c r="I460" s="220" t="e">
        <f t="shared" si="61"/>
        <v>#VALUE!</v>
      </c>
    </row>
    <row r="461" spans="1:9" x14ac:dyDescent="0.25">
      <c r="A461" s="254">
        <f t="shared" si="66"/>
        <v>443</v>
      </c>
      <c r="B461" s="255" t="str">
        <f t="shared" si="59"/>
        <v/>
      </c>
      <c r="C461" s="256">
        <f t="shared" si="60"/>
        <v>3047.1172825179469</v>
      </c>
      <c r="D461" s="257" t="str">
        <f t="shared" si="62"/>
        <v/>
      </c>
      <c r="F461" s="257" t="str">
        <f t="shared" si="63"/>
        <v/>
      </c>
      <c r="G461" s="257" t="str">
        <f t="shared" si="64"/>
        <v/>
      </c>
      <c r="H461" s="257" t="str">
        <f t="shared" si="65"/>
        <v/>
      </c>
      <c r="I461" s="220" t="e">
        <f t="shared" si="61"/>
        <v>#VALUE!</v>
      </c>
    </row>
    <row r="462" spans="1:9" x14ac:dyDescent="0.25">
      <c r="A462" s="254">
        <f t="shared" si="66"/>
        <v>444</v>
      </c>
      <c r="B462" s="255" t="str">
        <f t="shared" si="59"/>
        <v/>
      </c>
      <c r="C462" s="256">
        <f t="shared" si="60"/>
        <v>3047.1172825179469</v>
      </c>
      <c r="D462" s="257" t="str">
        <f t="shared" si="62"/>
        <v/>
      </c>
      <c r="F462" s="257" t="str">
        <f t="shared" si="63"/>
        <v/>
      </c>
      <c r="G462" s="257" t="str">
        <f t="shared" si="64"/>
        <v/>
      </c>
      <c r="H462" s="257" t="str">
        <f t="shared" si="65"/>
        <v/>
      </c>
      <c r="I462" s="220" t="e">
        <f t="shared" si="61"/>
        <v>#VALUE!</v>
      </c>
    </row>
    <row r="463" spans="1:9" x14ac:dyDescent="0.25">
      <c r="A463" s="254">
        <f t="shared" si="66"/>
        <v>445</v>
      </c>
      <c r="B463" s="255" t="str">
        <f t="shared" si="59"/>
        <v/>
      </c>
      <c r="C463" s="256">
        <f t="shared" si="60"/>
        <v>3047.1172825179469</v>
      </c>
      <c r="D463" s="257" t="str">
        <f t="shared" si="62"/>
        <v/>
      </c>
      <c r="F463" s="257" t="str">
        <f t="shared" si="63"/>
        <v/>
      </c>
      <c r="G463" s="257" t="str">
        <f t="shared" si="64"/>
        <v/>
      </c>
      <c r="H463" s="257" t="str">
        <f t="shared" si="65"/>
        <v/>
      </c>
      <c r="I463" s="220" t="e">
        <f t="shared" si="61"/>
        <v>#VALUE!</v>
      </c>
    </row>
    <row r="464" spans="1:9" x14ac:dyDescent="0.25">
      <c r="A464" s="254">
        <f t="shared" si="66"/>
        <v>446</v>
      </c>
      <c r="B464" s="255" t="str">
        <f t="shared" si="59"/>
        <v/>
      </c>
      <c r="C464" s="256">
        <f t="shared" si="60"/>
        <v>3047.1172825179469</v>
      </c>
      <c r="D464" s="257" t="str">
        <f t="shared" si="62"/>
        <v/>
      </c>
      <c r="F464" s="257" t="str">
        <f t="shared" si="63"/>
        <v/>
      </c>
      <c r="G464" s="257" t="str">
        <f t="shared" si="64"/>
        <v/>
      </c>
      <c r="H464" s="257" t="str">
        <f t="shared" si="65"/>
        <v/>
      </c>
      <c r="I464" s="220" t="e">
        <f t="shared" si="61"/>
        <v>#VALUE!</v>
      </c>
    </row>
    <row r="465" spans="1:9" x14ac:dyDescent="0.25">
      <c r="A465" s="254">
        <f t="shared" si="66"/>
        <v>447</v>
      </c>
      <c r="B465" s="255" t="str">
        <f t="shared" si="59"/>
        <v/>
      </c>
      <c r="C465" s="256">
        <f t="shared" si="60"/>
        <v>3047.1172825179469</v>
      </c>
      <c r="D465" s="257" t="str">
        <f t="shared" si="62"/>
        <v/>
      </c>
      <c r="F465" s="257" t="str">
        <f t="shared" si="63"/>
        <v/>
      </c>
      <c r="G465" s="257" t="str">
        <f t="shared" si="64"/>
        <v/>
      </c>
      <c r="H465" s="257" t="str">
        <f t="shared" si="65"/>
        <v/>
      </c>
      <c r="I465" s="220" t="e">
        <f t="shared" si="61"/>
        <v>#VALUE!</v>
      </c>
    </row>
    <row r="466" spans="1:9" x14ac:dyDescent="0.25">
      <c r="A466" s="254">
        <f t="shared" si="66"/>
        <v>448</v>
      </c>
      <c r="B466" s="255" t="str">
        <f t="shared" si="59"/>
        <v/>
      </c>
      <c r="C466" s="256">
        <f t="shared" si="60"/>
        <v>3047.1172825179469</v>
      </c>
      <c r="D466" s="257" t="str">
        <f t="shared" si="62"/>
        <v/>
      </c>
      <c r="F466" s="257" t="str">
        <f t="shared" si="63"/>
        <v/>
      </c>
      <c r="G466" s="257" t="str">
        <f t="shared" si="64"/>
        <v/>
      </c>
      <c r="H466" s="257" t="str">
        <f t="shared" si="65"/>
        <v/>
      </c>
      <c r="I466" s="220" t="e">
        <f t="shared" si="61"/>
        <v>#VALUE!</v>
      </c>
    </row>
    <row r="467" spans="1:9" x14ac:dyDescent="0.25">
      <c r="A467" s="254">
        <f t="shared" si="66"/>
        <v>449</v>
      </c>
      <c r="B467" s="255" t="str">
        <f t="shared" si="59"/>
        <v/>
      </c>
      <c r="C467" s="256">
        <f t="shared" si="60"/>
        <v>3047.1172825179469</v>
      </c>
      <c r="D467" s="257" t="str">
        <f t="shared" si="62"/>
        <v/>
      </c>
      <c r="F467" s="257" t="str">
        <f t="shared" si="63"/>
        <v/>
      </c>
      <c r="G467" s="257" t="str">
        <f t="shared" si="64"/>
        <v/>
      </c>
      <c r="H467" s="257" t="str">
        <f t="shared" si="65"/>
        <v/>
      </c>
      <c r="I467" s="220" t="e">
        <f t="shared" si="61"/>
        <v>#VALUE!</v>
      </c>
    </row>
    <row r="468" spans="1:9" x14ac:dyDescent="0.25">
      <c r="A468" s="254">
        <f t="shared" si="66"/>
        <v>450</v>
      </c>
      <c r="B468" s="255" t="str">
        <f t="shared" ref="B468:B531" si="67">IF(A468&gt;$H$11,"",DATE(YEAR(B467),MONTH(B467)+1,1))</f>
        <v/>
      </c>
      <c r="C468" s="256">
        <f t="shared" ref="C468:C531" si="68">IF($H$15=0,-$D$14,IF(OR(A468=$H$11,A468=$H$14),G467+D468+E468,IF(B468="","",ROUND((B468-B467)*($H$9+$H$10*$I$10)*G467,2))))</f>
        <v>3047.1172825179469</v>
      </c>
      <c r="D468" s="257" t="str">
        <f t="shared" si="62"/>
        <v/>
      </c>
      <c r="F468" s="257" t="str">
        <f t="shared" si="63"/>
        <v/>
      </c>
      <c r="G468" s="257" t="str">
        <f t="shared" si="64"/>
        <v/>
      </c>
      <c r="H468" s="257" t="str">
        <f t="shared" si="65"/>
        <v/>
      </c>
      <c r="I468" s="220" t="e">
        <f t="shared" ref="I468:I531" si="69">YEAR(B468)</f>
        <v>#VALUE!</v>
      </c>
    </row>
    <row r="469" spans="1:9" x14ac:dyDescent="0.25">
      <c r="A469" s="254">
        <f t="shared" si="66"/>
        <v>451</v>
      </c>
      <c r="B469" s="255" t="str">
        <f t="shared" si="67"/>
        <v/>
      </c>
      <c r="C469" s="256">
        <f t="shared" si="68"/>
        <v>3047.1172825179469</v>
      </c>
      <c r="D469" s="257" t="str">
        <f t="shared" si="62"/>
        <v/>
      </c>
      <c r="F469" s="257" t="str">
        <f t="shared" si="63"/>
        <v/>
      </c>
      <c r="G469" s="257" t="str">
        <f t="shared" si="64"/>
        <v/>
      </c>
      <c r="H469" s="257" t="str">
        <f t="shared" si="65"/>
        <v/>
      </c>
      <c r="I469" s="220" t="e">
        <f t="shared" si="69"/>
        <v>#VALUE!</v>
      </c>
    </row>
    <row r="470" spans="1:9" x14ac:dyDescent="0.25">
      <c r="A470" s="254">
        <f t="shared" si="66"/>
        <v>452</v>
      </c>
      <c r="B470" s="255" t="str">
        <f t="shared" si="67"/>
        <v/>
      </c>
      <c r="C470" s="256">
        <f t="shared" si="68"/>
        <v>3047.1172825179469</v>
      </c>
      <c r="D470" s="257" t="str">
        <f t="shared" si="62"/>
        <v/>
      </c>
      <c r="F470" s="257" t="str">
        <f t="shared" si="63"/>
        <v/>
      </c>
      <c r="G470" s="257" t="str">
        <f t="shared" si="64"/>
        <v/>
      </c>
      <c r="H470" s="257" t="str">
        <f t="shared" si="65"/>
        <v/>
      </c>
      <c r="I470" s="220" t="e">
        <f t="shared" si="69"/>
        <v>#VALUE!</v>
      </c>
    </row>
    <row r="471" spans="1:9" x14ac:dyDescent="0.25">
      <c r="A471" s="254">
        <f t="shared" si="66"/>
        <v>453</v>
      </c>
      <c r="B471" s="255" t="str">
        <f t="shared" si="67"/>
        <v/>
      </c>
      <c r="C471" s="256">
        <f t="shared" si="68"/>
        <v>3047.1172825179469</v>
      </c>
      <c r="D471" s="257" t="str">
        <f t="shared" ref="D471:D534" si="70">IF(B471="","",ROUND((B471-B470)*$H$9*G470,2))</f>
        <v/>
      </c>
      <c r="F471" s="257" t="str">
        <f t="shared" ref="F471:F534" si="71">IF(B471="","",IF(C471&gt;F470+D471,0,F470+D471-C471))</f>
        <v/>
      </c>
      <c r="G471" s="257" t="str">
        <f t="shared" ref="G471:G534" si="72">IF(B471="","",IF(C471&gt;D471+F470,G470+F470+D471-C471,G470))</f>
        <v/>
      </c>
      <c r="H471" s="257" t="str">
        <f t="shared" ref="H471:H534" si="73">IF(B471="","",G471+F471)</f>
        <v/>
      </c>
      <c r="I471" s="220" t="e">
        <f t="shared" si="69"/>
        <v>#VALUE!</v>
      </c>
    </row>
    <row r="472" spans="1:9" x14ac:dyDescent="0.25">
      <c r="A472" s="254">
        <f t="shared" si="66"/>
        <v>454</v>
      </c>
      <c r="B472" s="255" t="str">
        <f t="shared" si="67"/>
        <v/>
      </c>
      <c r="C472" s="256">
        <f t="shared" si="68"/>
        <v>3047.1172825179469</v>
      </c>
      <c r="D472" s="257" t="str">
        <f t="shared" si="70"/>
        <v/>
      </c>
      <c r="F472" s="257" t="str">
        <f t="shared" si="71"/>
        <v/>
      </c>
      <c r="G472" s="257" t="str">
        <f t="shared" si="72"/>
        <v/>
      </c>
      <c r="H472" s="257" t="str">
        <f t="shared" si="73"/>
        <v/>
      </c>
      <c r="I472" s="220" t="e">
        <f t="shared" si="69"/>
        <v>#VALUE!</v>
      </c>
    </row>
    <row r="473" spans="1:9" x14ac:dyDescent="0.25">
      <c r="A473" s="254">
        <f t="shared" si="66"/>
        <v>455</v>
      </c>
      <c r="B473" s="255" t="str">
        <f t="shared" si="67"/>
        <v/>
      </c>
      <c r="C473" s="256">
        <f t="shared" si="68"/>
        <v>3047.1172825179469</v>
      </c>
      <c r="D473" s="257" t="str">
        <f t="shared" si="70"/>
        <v/>
      </c>
      <c r="F473" s="257" t="str">
        <f t="shared" si="71"/>
        <v/>
      </c>
      <c r="G473" s="257" t="str">
        <f t="shared" si="72"/>
        <v/>
      </c>
      <c r="H473" s="257" t="str">
        <f t="shared" si="73"/>
        <v/>
      </c>
      <c r="I473" s="220" t="e">
        <f t="shared" si="69"/>
        <v>#VALUE!</v>
      </c>
    </row>
    <row r="474" spans="1:9" x14ac:dyDescent="0.25">
      <c r="A474" s="254">
        <f t="shared" si="66"/>
        <v>456</v>
      </c>
      <c r="B474" s="255" t="str">
        <f t="shared" si="67"/>
        <v/>
      </c>
      <c r="C474" s="256">
        <f t="shared" si="68"/>
        <v>3047.1172825179469</v>
      </c>
      <c r="D474" s="257" t="str">
        <f t="shared" si="70"/>
        <v/>
      </c>
      <c r="F474" s="257" t="str">
        <f t="shared" si="71"/>
        <v/>
      </c>
      <c r="G474" s="257" t="str">
        <f t="shared" si="72"/>
        <v/>
      </c>
      <c r="H474" s="257" t="str">
        <f t="shared" si="73"/>
        <v/>
      </c>
      <c r="I474" s="220" t="e">
        <f t="shared" si="69"/>
        <v>#VALUE!</v>
      </c>
    </row>
    <row r="475" spans="1:9" x14ac:dyDescent="0.25">
      <c r="A475" s="254">
        <f t="shared" si="66"/>
        <v>457</v>
      </c>
      <c r="B475" s="255" t="str">
        <f t="shared" si="67"/>
        <v/>
      </c>
      <c r="C475" s="256">
        <f t="shared" si="68"/>
        <v>3047.1172825179469</v>
      </c>
      <c r="D475" s="257" t="str">
        <f t="shared" si="70"/>
        <v/>
      </c>
      <c r="F475" s="257" t="str">
        <f t="shared" si="71"/>
        <v/>
      </c>
      <c r="G475" s="257" t="str">
        <f t="shared" si="72"/>
        <v/>
      </c>
      <c r="H475" s="257" t="str">
        <f t="shared" si="73"/>
        <v/>
      </c>
      <c r="I475" s="220" t="e">
        <f t="shared" si="69"/>
        <v>#VALUE!</v>
      </c>
    </row>
    <row r="476" spans="1:9" x14ac:dyDescent="0.25">
      <c r="A476" s="254">
        <f t="shared" si="66"/>
        <v>458</v>
      </c>
      <c r="B476" s="255" t="str">
        <f t="shared" si="67"/>
        <v/>
      </c>
      <c r="C476" s="256">
        <f t="shared" si="68"/>
        <v>3047.1172825179469</v>
      </c>
      <c r="D476" s="257" t="str">
        <f t="shared" si="70"/>
        <v/>
      </c>
      <c r="F476" s="257" t="str">
        <f t="shared" si="71"/>
        <v/>
      </c>
      <c r="G476" s="257" t="str">
        <f t="shared" si="72"/>
        <v/>
      </c>
      <c r="H476" s="257" t="str">
        <f t="shared" si="73"/>
        <v/>
      </c>
      <c r="I476" s="220" t="e">
        <f t="shared" si="69"/>
        <v>#VALUE!</v>
      </c>
    </row>
    <row r="477" spans="1:9" x14ac:dyDescent="0.25">
      <c r="A477" s="254">
        <f t="shared" si="66"/>
        <v>459</v>
      </c>
      <c r="B477" s="255" t="str">
        <f t="shared" si="67"/>
        <v/>
      </c>
      <c r="C477" s="256">
        <f t="shared" si="68"/>
        <v>3047.1172825179469</v>
      </c>
      <c r="D477" s="257" t="str">
        <f t="shared" si="70"/>
        <v/>
      </c>
      <c r="F477" s="257" t="str">
        <f t="shared" si="71"/>
        <v/>
      </c>
      <c r="G477" s="257" t="str">
        <f t="shared" si="72"/>
        <v/>
      </c>
      <c r="H477" s="257" t="str">
        <f t="shared" si="73"/>
        <v/>
      </c>
      <c r="I477" s="220" t="e">
        <f t="shared" si="69"/>
        <v>#VALUE!</v>
      </c>
    </row>
    <row r="478" spans="1:9" x14ac:dyDescent="0.25">
      <c r="A478" s="254">
        <f t="shared" si="66"/>
        <v>460</v>
      </c>
      <c r="B478" s="255" t="str">
        <f t="shared" si="67"/>
        <v/>
      </c>
      <c r="C478" s="256">
        <f t="shared" si="68"/>
        <v>3047.1172825179469</v>
      </c>
      <c r="D478" s="257" t="str">
        <f t="shared" si="70"/>
        <v/>
      </c>
      <c r="F478" s="257" t="str">
        <f t="shared" si="71"/>
        <v/>
      </c>
      <c r="G478" s="257" t="str">
        <f t="shared" si="72"/>
        <v/>
      </c>
      <c r="H478" s="257" t="str">
        <f t="shared" si="73"/>
        <v/>
      </c>
      <c r="I478" s="220" t="e">
        <f t="shared" si="69"/>
        <v>#VALUE!</v>
      </c>
    </row>
    <row r="479" spans="1:9" x14ac:dyDescent="0.25">
      <c r="A479" s="254">
        <f t="shared" si="66"/>
        <v>461</v>
      </c>
      <c r="B479" s="255" t="str">
        <f t="shared" si="67"/>
        <v/>
      </c>
      <c r="C479" s="256">
        <f t="shared" si="68"/>
        <v>3047.1172825179469</v>
      </c>
      <c r="D479" s="257" t="str">
        <f t="shared" si="70"/>
        <v/>
      </c>
      <c r="F479" s="257" t="str">
        <f t="shared" si="71"/>
        <v/>
      </c>
      <c r="G479" s="257" t="str">
        <f t="shared" si="72"/>
        <v/>
      </c>
      <c r="H479" s="257" t="str">
        <f t="shared" si="73"/>
        <v/>
      </c>
      <c r="I479" s="220" t="e">
        <f t="shared" si="69"/>
        <v>#VALUE!</v>
      </c>
    </row>
    <row r="480" spans="1:9" x14ac:dyDescent="0.25">
      <c r="A480" s="254">
        <f t="shared" si="66"/>
        <v>462</v>
      </c>
      <c r="B480" s="255" t="str">
        <f t="shared" si="67"/>
        <v/>
      </c>
      <c r="C480" s="256">
        <f t="shared" si="68"/>
        <v>3047.1172825179469</v>
      </c>
      <c r="D480" s="257" t="str">
        <f t="shared" si="70"/>
        <v/>
      </c>
      <c r="F480" s="257" t="str">
        <f t="shared" si="71"/>
        <v/>
      </c>
      <c r="G480" s="257" t="str">
        <f t="shared" si="72"/>
        <v/>
      </c>
      <c r="H480" s="257" t="str">
        <f t="shared" si="73"/>
        <v/>
      </c>
      <c r="I480" s="220" t="e">
        <f t="shared" si="69"/>
        <v>#VALUE!</v>
      </c>
    </row>
    <row r="481" spans="1:9" x14ac:dyDescent="0.25">
      <c r="A481" s="254">
        <f t="shared" si="66"/>
        <v>463</v>
      </c>
      <c r="B481" s="255" t="str">
        <f t="shared" si="67"/>
        <v/>
      </c>
      <c r="C481" s="256">
        <f t="shared" si="68"/>
        <v>3047.1172825179469</v>
      </c>
      <c r="D481" s="257" t="str">
        <f t="shared" si="70"/>
        <v/>
      </c>
      <c r="F481" s="257" t="str">
        <f t="shared" si="71"/>
        <v/>
      </c>
      <c r="G481" s="257" t="str">
        <f t="shared" si="72"/>
        <v/>
      </c>
      <c r="H481" s="257" t="str">
        <f t="shared" si="73"/>
        <v/>
      </c>
      <c r="I481" s="220" t="e">
        <f t="shared" si="69"/>
        <v>#VALUE!</v>
      </c>
    </row>
    <row r="482" spans="1:9" x14ac:dyDescent="0.25">
      <c r="A482" s="254">
        <f t="shared" si="66"/>
        <v>464</v>
      </c>
      <c r="B482" s="255" t="str">
        <f t="shared" si="67"/>
        <v/>
      </c>
      <c r="C482" s="256">
        <f t="shared" si="68"/>
        <v>3047.1172825179469</v>
      </c>
      <c r="D482" s="257" t="str">
        <f t="shared" si="70"/>
        <v/>
      </c>
      <c r="F482" s="257" t="str">
        <f t="shared" si="71"/>
        <v/>
      </c>
      <c r="G482" s="257" t="str">
        <f t="shared" si="72"/>
        <v/>
      </c>
      <c r="H482" s="257" t="str">
        <f t="shared" si="73"/>
        <v/>
      </c>
      <c r="I482" s="220" t="e">
        <f t="shared" si="69"/>
        <v>#VALUE!</v>
      </c>
    </row>
    <row r="483" spans="1:9" x14ac:dyDescent="0.25">
      <c r="A483" s="254">
        <f t="shared" si="66"/>
        <v>465</v>
      </c>
      <c r="B483" s="255" t="str">
        <f t="shared" si="67"/>
        <v/>
      </c>
      <c r="C483" s="256">
        <f t="shared" si="68"/>
        <v>3047.1172825179469</v>
      </c>
      <c r="D483" s="257" t="str">
        <f t="shared" si="70"/>
        <v/>
      </c>
      <c r="F483" s="257" t="str">
        <f t="shared" si="71"/>
        <v/>
      </c>
      <c r="G483" s="257" t="str">
        <f t="shared" si="72"/>
        <v/>
      </c>
      <c r="H483" s="257" t="str">
        <f t="shared" si="73"/>
        <v/>
      </c>
      <c r="I483" s="220" t="e">
        <f t="shared" si="69"/>
        <v>#VALUE!</v>
      </c>
    </row>
    <row r="484" spans="1:9" x14ac:dyDescent="0.25">
      <c r="A484" s="254">
        <f t="shared" si="66"/>
        <v>466</v>
      </c>
      <c r="B484" s="255" t="str">
        <f t="shared" si="67"/>
        <v/>
      </c>
      <c r="C484" s="256">
        <f t="shared" si="68"/>
        <v>3047.1172825179469</v>
      </c>
      <c r="D484" s="257" t="str">
        <f t="shared" si="70"/>
        <v/>
      </c>
      <c r="F484" s="257" t="str">
        <f t="shared" si="71"/>
        <v/>
      </c>
      <c r="G484" s="257" t="str">
        <f t="shared" si="72"/>
        <v/>
      </c>
      <c r="H484" s="257" t="str">
        <f t="shared" si="73"/>
        <v/>
      </c>
      <c r="I484" s="220" t="e">
        <f t="shared" si="69"/>
        <v>#VALUE!</v>
      </c>
    </row>
    <row r="485" spans="1:9" x14ac:dyDescent="0.25">
      <c r="A485" s="254">
        <f t="shared" si="66"/>
        <v>467</v>
      </c>
      <c r="B485" s="255" t="str">
        <f t="shared" si="67"/>
        <v/>
      </c>
      <c r="C485" s="256">
        <f t="shared" si="68"/>
        <v>3047.1172825179469</v>
      </c>
      <c r="D485" s="257" t="str">
        <f t="shared" si="70"/>
        <v/>
      </c>
      <c r="F485" s="257" t="str">
        <f t="shared" si="71"/>
        <v/>
      </c>
      <c r="G485" s="257" t="str">
        <f t="shared" si="72"/>
        <v/>
      </c>
      <c r="H485" s="257" t="str">
        <f t="shared" si="73"/>
        <v/>
      </c>
      <c r="I485" s="220" t="e">
        <f t="shared" si="69"/>
        <v>#VALUE!</v>
      </c>
    </row>
    <row r="486" spans="1:9" x14ac:dyDescent="0.25">
      <c r="A486" s="254">
        <f t="shared" si="66"/>
        <v>468</v>
      </c>
      <c r="B486" s="255" t="str">
        <f t="shared" si="67"/>
        <v/>
      </c>
      <c r="C486" s="256">
        <f t="shared" si="68"/>
        <v>3047.1172825179469</v>
      </c>
      <c r="D486" s="257" t="str">
        <f t="shared" si="70"/>
        <v/>
      </c>
      <c r="F486" s="257" t="str">
        <f t="shared" si="71"/>
        <v/>
      </c>
      <c r="G486" s="257" t="str">
        <f t="shared" si="72"/>
        <v/>
      </c>
      <c r="H486" s="257" t="str">
        <f t="shared" si="73"/>
        <v/>
      </c>
      <c r="I486" s="220" t="e">
        <f t="shared" si="69"/>
        <v>#VALUE!</v>
      </c>
    </row>
    <row r="487" spans="1:9" x14ac:dyDescent="0.25">
      <c r="A487" s="254">
        <f t="shared" si="66"/>
        <v>469</v>
      </c>
      <c r="B487" s="255" t="str">
        <f t="shared" si="67"/>
        <v/>
      </c>
      <c r="C487" s="256">
        <f t="shared" si="68"/>
        <v>3047.1172825179469</v>
      </c>
      <c r="D487" s="257" t="str">
        <f t="shared" si="70"/>
        <v/>
      </c>
      <c r="F487" s="257" t="str">
        <f t="shared" si="71"/>
        <v/>
      </c>
      <c r="G487" s="257" t="str">
        <f t="shared" si="72"/>
        <v/>
      </c>
      <c r="H487" s="257" t="str">
        <f t="shared" si="73"/>
        <v/>
      </c>
      <c r="I487" s="220" t="e">
        <f t="shared" si="69"/>
        <v>#VALUE!</v>
      </c>
    </row>
    <row r="488" spans="1:9" x14ac:dyDescent="0.25">
      <c r="A488" s="254">
        <f t="shared" si="66"/>
        <v>470</v>
      </c>
      <c r="B488" s="255" t="str">
        <f t="shared" si="67"/>
        <v/>
      </c>
      <c r="C488" s="256">
        <f t="shared" si="68"/>
        <v>3047.1172825179469</v>
      </c>
      <c r="D488" s="257" t="str">
        <f t="shared" si="70"/>
        <v/>
      </c>
      <c r="F488" s="257" t="str">
        <f t="shared" si="71"/>
        <v/>
      </c>
      <c r="G488" s="257" t="str">
        <f t="shared" si="72"/>
        <v/>
      </c>
      <c r="H488" s="257" t="str">
        <f t="shared" si="73"/>
        <v/>
      </c>
      <c r="I488" s="220" t="e">
        <f t="shared" si="69"/>
        <v>#VALUE!</v>
      </c>
    </row>
    <row r="489" spans="1:9" x14ac:dyDescent="0.25">
      <c r="A489" s="254">
        <f t="shared" si="66"/>
        <v>471</v>
      </c>
      <c r="B489" s="255" t="str">
        <f t="shared" si="67"/>
        <v/>
      </c>
      <c r="C489" s="256">
        <f t="shared" si="68"/>
        <v>3047.1172825179469</v>
      </c>
      <c r="D489" s="257" t="str">
        <f t="shared" si="70"/>
        <v/>
      </c>
      <c r="F489" s="257" t="str">
        <f t="shared" si="71"/>
        <v/>
      </c>
      <c r="G489" s="257" t="str">
        <f t="shared" si="72"/>
        <v/>
      </c>
      <c r="H489" s="257" t="str">
        <f t="shared" si="73"/>
        <v/>
      </c>
      <c r="I489" s="220" t="e">
        <f t="shared" si="69"/>
        <v>#VALUE!</v>
      </c>
    </row>
    <row r="490" spans="1:9" x14ac:dyDescent="0.25">
      <c r="A490" s="254">
        <f t="shared" si="66"/>
        <v>472</v>
      </c>
      <c r="B490" s="255" t="str">
        <f t="shared" si="67"/>
        <v/>
      </c>
      <c r="C490" s="256">
        <f t="shared" si="68"/>
        <v>3047.1172825179469</v>
      </c>
      <c r="D490" s="257" t="str">
        <f t="shared" si="70"/>
        <v/>
      </c>
      <c r="F490" s="257" t="str">
        <f t="shared" si="71"/>
        <v/>
      </c>
      <c r="G490" s="257" t="str">
        <f t="shared" si="72"/>
        <v/>
      </c>
      <c r="H490" s="257" t="str">
        <f t="shared" si="73"/>
        <v/>
      </c>
      <c r="I490" s="220" t="e">
        <f t="shared" si="69"/>
        <v>#VALUE!</v>
      </c>
    </row>
    <row r="491" spans="1:9" x14ac:dyDescent="0.25">
      <c r="A491" s="254">
        <f t="shared" si="66"/>
        <v>473</v>
      </c>
      <c r="B491" s="255" t="str">
        <f t="shared" si="67"/>
        <v/>
      </c>
      <c r="C491" s="256">
        <f t="shared" si="68"/>
        <v>3047.1172825179469</v>
      </c>
      <c r="D491" s="257" t="str">
        <f t="shared" si="70"/>
        <v/>
      </c>
      <c r="F491" s="257" t="str">
        <f t="shared" si="71"/>
        <v/>
      </c>
      <c r="G491" s="257" t="str">
        <f t="shared" si="72"/>
        <v/>
      </c>
      <c r="H491" s="257" t="str">
        <f t="shared" si="73"/>
        <v/>
      </c>
      <c r="I491" s="220" t="e">
        <f t="shared" si="69"/>
        <v>#VALUE!</v>
      </c>
    </row>
    <row r="492" spans="1:9" x14ac:dyDescent="0.25">
      <c r="A492" s="254">
        <f t="shared" si="66"/>
        <v>474</v>
      </c>
      <c r="B492" s="255" t="str">
        <f t="shared" si="67"/>
        <v/>
      </c>
      <c r="C492" s="256">
        <f t="shared" si="68"/>
        <v>3047.1172825179469</v>
      </c>
      <c r="D492" s="257" t="str">
        <f t="shared" si="70"/>
        <v/>
      </c>
      <c r="F492" s="257" t="str">
        <f t="shared" si="71"/>
        <v/>
      </c>
      <c r="G492" s="257" t="str">
        <f t="shared" si="72"/>
        <v/>
      </c>
      <c r="H492" s="257" t="str">
        <f t="shared" si="73"/>
        <v/>
      </c>
      <c r="I492" s="220" t="e">
        <f t="shared" si="69"/>
        <v>#VALUE!</v>
      </c>
    </row>
    <row r="493" spans="1:9" x14ac:dyDescent="0.25">
      <c r="A493" s="254">
        <f t="shared" si="66"/>
        <v>475</v>
      </c>
      <c r="B493" s="255" t="str">
        <f t="shared" si="67"/>
        <v/>
      </c>
      <c r="C493" s="256">
        <f t="shared" si="68"/>
        <v>3047.1172825179469</v>
      </c>
      <c r="D493" s="257" t="str">
        <f t="shared" si="70"/>
        <v/>
      </c>
      <c r="F493" s="257" t="str">
        <f t="shared" si="71"/>
        <v/>
      </c>
      <c r="G493" s="257" t="str">
        <f t="shared" si="72"/>
        <v/>
      </c>
      <c r="H493" s="257" t="str">
        <f t="shared" si="73"/>
        <v/>
      </c>
      <c r="I493" s="220" t="e">
        <f t="shared" si="69"/>
        <v>#VALUE!</v>
      </c>
    </row>
    <row r="494" spans="1:9" x14ac:dyDescent="0.25">
      <c r="A494" s="254">
        <f t="shared" si="66"/>
        <v>476</v>
      </c>
      <c r="B494" s="255" t="str">
        <f t="shared" si="67"/>
        <v/>
      </c>
      <c r="C494" s="256">
        <f t="shared" si="68"/>
        <v>3047.1172825179469</v>
      </c>
      <c r="D494" s="257" t="str">
        <f t="shared" si="70"/>
        <v/>
      </c>
      <c r="F494" s="257" t="str">
        <f t="shared" si="71"/>
        <v/>
      </c>
      <c r="G494" s="257" t="str">
        <f t="shared" si="72"/>
        <v/>
      </c>
      <c r="H494" s="257" t="str">
        <f t="shared" si="73"/>
        <v/>
      </c>
      <c r="I494" s="220" t="e">
        <f t="shared" si="69"/>
        <v>#VALUE!</v>
      </c>
    </row>
    <row r="495" spans="1:9" x14ac:dyDescent="0.25">
      <c r="A495" s="254">
        <f t="shared" si="66"/>
        <v>477</v>
      </c>
      <c r="B495" s="255" t="str">
        <f t="shared" si="67"/>
        <v/>
      </c>
      <c r="C495" s="256">
        <f t="shared" si="68"/>
        <v>3047.1172825179469</v>
      </c>
      <c r="D495" s="257" t="str">
        <f t="shared" si="70"/>
        <v/>
      </c>
      <c r="F495" s="257" t="str">
        <f t="shared" si="71"/>
        <v/>
      </c>
      <c r="G495" s="257" t="str">
        <f t="shared" si="72"/>
        <v/>
      </c>
      <c r="H495" s="257" t="str">
        <f t="shared" si="73"/>
        <v/>
      </c>
      <c r="I495" s="220" t="e">
        <f t="shared" si="69"/>
        <v>#VALUE!</v>
      </c>
    </row>
    <row r="496" spans="1:9" x14ac:dyDescent="0.25">
      <c r="A496" s="254">
        <f t="shared" si="66"/>
        <v>478</v>
      </c>
      <c r="B496" s="255" t="str">
        <f t="shared" si="67"/>
        <v/>
      </c>
      <c r="C496" s="256">
        <f t="shared" si="68"/>
        <v>3047.1172825179469</v>
      </c>
      <c r="D496" s="257" t="str">
        <f t="shared" si="70"/>
        <v/>
      </c>
      <c r="F496" s="257" t="str">
        <f t="shared" si="71"/>
        <v/>
      </c>
      <c r="G496" s="257" t="str">
        <f t="shared" si="72"/>
        <v/>
      </c>
      <c r="H496" s="257" t="str">
        <f t="shared" si="73"/>
        <v/>
      </c>
      <c r="I496" s="220" t="e">
        <f t="shared" si="69"/>
        <v>#VALUE!</v>
      </c>
    </row>
    <row r="497" spans="1:9" x14ac:dyDescent="0.25">
      <c r="A497" s="254">
        <f t="shared" si="66"/>
        <v>479</v>
      </c>
      <c r="B497" s="255" t="str">
        <f t="shared" si="67"/>
        <v/>
      </c>
      <c r="C497" s="256">
        <f t="shared" si="68"/>
        <v>3047.1172825179469</v>
      </c>
      <c r="D497" s="257" t="str">
        <f t="shared" si="70"/>
        <v/>
      </c>
      <c r="F497" s="257" t="str">
        <f t="shared" si="71"/>
        <v/>
      </c>
      <c r="G497" s="257" t="str">
        <f t="shared" si="72"/>
        <v/>
      </c>
      <c r="H497" s="257" t="str">
        <f t="shared" si="73"/>
        <v/>
      </c>
      <c r="I497" s="220" t="e">
        <f t="shared" si="69"/>
        <v>#VALUE!</v>
      </c>
    </row>
    <row r="498" spans="1:9" x14ac:dyDescent="0.25">
      <c r="A498" s="254">
        <f t="shared" si="66"/>
        <v>480</v>
      </c>
      <c r="B498" s="255" t="str">
        <f t="shared" si="67"/>
        <v/>
      </c>
      <c r="C498" s="256">
        <f t="shared" si="68"/>
        <v>3047.1172825179469</v>
      </c>
      <c r="D498" s="257" t="str">
        <f t="shared" si="70"/>
        <v/>
      </c>
      <c r="F498" s="257" t="str">
        <f t="shared" si="71"/>
        <v/>
      </c>
      <c r="G498" s="257" t="str">
        <f t="shared" si="72"/>
        <v/>
      </c>
      <c r="H498" s="257" t="str">
        <f t="shared" si="73"/>
        <v/>
      </c>
      <c r="I498" s="220" t="e">
        <f t="shared" si="69"/>
        <v>#VALUE!</v>
      </c>
    </row>
    <row r="499" spans="1:9" x14ac:dyDescent="0.25">
      <c r="A499" s="254">
        <f t="shared" si="66"/>
        <v>481</v>
      </c>
      <c r="B499" s="255" t="str">
        <f t="shared" si="67"/>
        <v/>
      </c>
      <c r="C499" s="256">
        <f t="shared" si="68"/>
        <v>3047.1172825179469</v>
      </c>
      <c r="D499" s="257" t="str">
        <f t="shared" si="70"/>
        <v/>
      </c>
      <c r="F499" s="257" t="str">
        <f t="shared" si="71"/>
        <v/>
      </c>
      <c r="G499" s="257" t="str">
        <f t="shared" si="72"/>
        <v/>
      </c>
      <c r="H499" s="257" t="str">
        <f t="shared" si="73"/>
        <v/>
      </c>
      <c r="I499" s="220" t="e">
        <f t="shared" si="69"/>
        <v>#VALUE!</v>
      </c>
    </row>
    <row r="500" spans="1:9" x14ac:dyDescent="0.25">
      <c r="A500" s="254">
        <f t="shared" si="66"/>
        <v>482</v>
      </c>
      <c r="B500" s="255" t="str">
        <f t="shared" si="67"/>
        <v/>
      </c>
      <c r="C500" s="256">
        <f t="shared" si="68"/>
        <v>3047.1172825179469</v>
      </c>
      <c r="D500" s="257" t="str">
        <f t="shared" si="70"/>
        <v/>
      </c>
      <c r="F500" s="257" t="str">
        <f t="shared" si="71"/>
        <v/>
      </c>
      <c r="G500" s="257" t="str">
        <f t="shared" si="72"/>
        <v/>
      </c>
      <c r="H500" s="257" t="str">
        <f t="shared" si="73"/>
        <v/>
      </c>
      <c r="I500" s="220" t="e">
        <f t="shared" si="69"/>
        <v>#VALUE!</v>
      </c>
    </row>
    <row r="501" spans="1:9" x14ac:dyDescent="0.25">
      <c r="A501" s="254">
        <f t="shared" si="66"/>
        <v>483</v>
      </c>
      <c r="B501" s="255" t="str">
        <f t="shared" si="67"/>
        <v/>
      </c>
      <c r="C501" s="256">
        <f t="shared" si="68"/>
        <v>3047.1172825179469</v>
      </c>
      <c r="D501" s="257" t="str">
        <f t="shared" si="70"/>
        <v/>
      </c>
      <c r="F501" s="257" t="str">
        <f t="shared" si="71"/>
        <v/>
      </c>
      <c r="G501" s="257" t="str">
        <f t="shared" si="72"/>
        <v/>
      </c>
      <c r="H501" s="257" t="str">
        <f t="shared" si="73"/>
        <v/>
      </c>
      <c r="I501" s="220" t="e">
        <f t="shared" si="69"/>
        <v>#VALUE!</v>
      </c>
    </row>
    <row r="502" spans="1:9" x14ac:dyDescent="0.25">
      <c r="A502" s="254">
        <f t="shared" si="66"/>
        <v>484</v>
      </c>
      <c r="B502" s="255" t="str">
        <f t="shared" si="67"/>
        <v/>
      </c>
      <c r="C502" s="256">
        <f t="shared" si="68"/>
        <v>3047.1172825179469</v>
      </c>
      <c r="D502" s="257" t="str">
        <f t="shared" si="70"/>
        <v/>
      </c>
      <c r="F502" s="257" t="str">
        <f t="shared" si="71"/>
        <v/>
      </c>
      <c r="G502" s="257" t="str">
        <f t="shared" si="72"/>
        <v/>
      </c>
      <c r="H502" s="257" t="str">
        <f t="shared" si="73"/>
        <v/>
      </c>
      <c r="I502" s="220" t="e">
        <f t="shared" si="69"/>
        <v>#VALUE!</v>
      </c>
    </row>
    <row r="503" spans="1:9" x14ac:dyDescent="0.25">
      <c r="A503" s="254">
        <f t="shared" si="66"/>
        <v>485</v>
      </c>
      <c r="B503" s="255" t="str">
        <f t="shared" si="67"/>
        <v/>
      </c>
      <c r="C503" s="256">
        <f t="shared" si="68"/>
        <v>3047.1172825179469</v>
      </c>
      <c r="D503" s="257" t="str">
        <f t="shared" si="70"/>
        <v/>
      </c>
      <c r="F503" s="257" t="str">
        <f t="shared" si="71"/>
        <v/>
      </c>
      <c r="G503" s="257" t="str">
        <f t="shared" si="72"/>
        <v/>
      </c>
      <c r="H503" s="257" t="str">
        <f t="shared" si="73"/>
        <v/>
      </c>
      <c r="I503" s="220" t="e">
        <f t="shared" si="69"/>
        <v>#VALUE!</v>
      </c>
    </row>
    <row r="504" spans="1:9" x14ac:dyDescent="0.25">
      <c r="A504" s="254">
        <f t="shared" si="66"/>
        <v>486</v>
      </c>
      <c r="B504" s="255" t="str">
        <f t="shared" si="67"/>
        <v/>
      </c>
      <c r="C504" s="256">
        <f t="shared" si="68"/>
        <v>3047.1172825179469</v>
      </c>
      <c r="D504" s="257" t="str">
        <f t="shared" si="70"/>
        <v/>
      </c>
      <c r="F504" s="257" t="str">
        <f t="shared" si="71"/>
        <v/>
      </c>
      <c r="G504" s="257" t="str">
        <f t="shared" si="72"/>
        <v/>
      </c>
      <c r="H504" s="257" t="str">
        <f t="shared" si="73"/>
        <v/>
      </c>
      <c r="I504" s="220" t="e">
        <f t="shared" si="69"/>
        <v>#VALUE!</v>
      </c>
    </row>
    <row r="505" spans="1:9" x14ac:dyDescent="0.25">
      <c r="A505" s="254">
        <f t="shared" ref="A505:A568" si="74">A504+1</f>
        <v>487</v>
      </c>
      <c r="B505" s="255" t="str">
        <f t="shared" si="67"/>
        <v/>
      </c>
      <c r="C505" s="256">
        <f t="shared" si="68"/>
        <v>3047.1172825179469</v>
      </c>
      <c r="D505" s="257" t="str">
        <f t="shared" si="70"/>
        <v/>
      </c>
      <c r="F505" s="257" t="str">
        <f t="shared" si="71"/>
        <v/>
      </c>
      <c r="G505" s="257" t="str">
        <f t="shared" si="72"/>
        <v/>
      </c>
      <c r="H505" s="257" t="str">
        <f t="shared" si="73"/>
        <v/>
      </c>
      <c r="I505" s="220" t="e">
        <f t="shared" si="69"/>
        <v>#VALUE!</v>
      </c>
    </row>
    <row r="506" spans="1:9" x14ac:dyDescent="0.25">
      <c r="A506" s="254">
        <f t="shared" si="74"/>
        <v>488</v>
      </c>
      <c r="B506" s="255" t="str">
        <f t="shared" si="67"/>
        <v/>
      </c>
      <c r="C506" s="256">
        <f t="shared" si="68"/>
        <v>3047.1172825179469</v>
      </c>
      <c r="D506" s="257" t="str">
        <f t="shared" si="70"/>
        <v/>
      </c>
      <c r="F506" s="257" t="str">
        <f t="shared" si="71"/>
        <v/>
      </c>
      <c r="G506" s="257" t="str">
        <f t="shared" si="72"/>
        <v/>
      </c>
      <c r="H506" s="257" t="str">
        <f t="shared" si="73"/>
        <v/>
      </c>
      <c r="I506" s="220" t="e">
        <f t="shared" si="69"/>
        <v>#VALUE!</v>
      </c>
    </row>
    <row r="507" spans="1:9" x14ac:dyDescent="0.25">
      <c r="A507" s="254">
        <f t="shared" si="74"/>
        <v>489</v>
      </c>
      <c r="B507" s="255" t="str">
        <f t="shared" si="67"/>
        <v/>
      </c>
      <c r="C507" s="256">
        <f t="shared" si="68"/>
        <v>3047.1172825179469</v>
      </c>
      <c r="D507" s="257" t="str">
        <f t="shared" si="70"/>
        <v/>
      </c>
      <c r="F507" s="257" t="str">
        <f t="shared" si="71"/>
        <v/>
      </c>
      <c r="G507" s="257" t="str">
        <f t="shared" si="72"/>
        <v/>
      </c>
      <c r="H507" s="257" t="str">
        <f t="shared" si="73"/>
        <v/>
      </c>
      <c r="I507" s="220" t="e">
        <f t="shared" si="69"/>
        <v>#VALUE!</v>
      </c>
    </row>
    <row r="508" spans="1:9" x14ac:dyDescent="0.25">
      <c r="A508" s="254">
        <f t="shared" si="74"/>
        <v>490</v>
      </c>
      <c r="B508" s="255" t="str">
        <f t="shared" si="67"/>
        <v/>
      </c>
      <c r="C508" s="256">
        <f t="shared" si="68"/>
        <v>3047.1172825179469</v>
      </c>
      <c r="D508" s="257" t="str">
        <f t="shared" si="70"/>
        <v/>
      </c>
      <c r="F508" s="257" t="str">
        <f t="shared" si="71"/>
        <v/>
      </c>
      <c r="G508" s="257" t="str">
        <f t="shared" si="72"/>
        <v/>
      </c>
      <c r="H508" s="257" t="str">
        <f t="shared" si="73"/>
        <v/>
      </c>
      <c r="I508" s="220" t="e">
        <f t="shared" si="69"/>
        <v>#VALUE!</v>
      </c>
    </row>
    <row r="509" spans="1:9" x14ac:dyDescent="0.25">
      <c r="A509" s="254">
        <f t="shared" si="74"/>
        <v>491</v>
      </c>
      <c r="B509" s="255" t="str">
        <f t="shared" si="67"/>
        <v/>
      </c>
      <c r="C509" s="256">
        <f t="shared" si="68"/>
        <v>3047.1172825179469</v>
      </c>
      <c r="D509" s="257" t="str">
        <f t="shared" si="70"/>
        <v/>
      </c>
      <c r="F509" s="257" t="str">
        <f t="shared" si="71"/>
        <v/>
      </c>
      <c r="G509" s="257" t="str">
        <f t="shared" si="72"/>
        <v/>
      </c>
      <c r="H509" s="257" t="str">
        <f t="shared" si="73"/>
        <v/>
      </c>
      <c r="I509" s="220" t="e">
        <f t="shared" si="69"/>
        <v>#VALUE!</v>
      </c>
    </row>
    <row r="510" spans="1:9" x14ac:dyDescent="0.25">
      <c r="A510" s="254">
        <f t="shared" si="74"/>
        <v>492</v>
      </c>
      <c r="B510" s="255" t="str">
        <f t="shared" si="67"/>
        <v/>
      </c>
      <c r="C510" s="256">
        <f t="shared" si="68"/>
        <v>3047.1172825179469</v>
      </c>
      <c r="D510" s="257" t="str">
        <f t="shared" si="70"/>
        <v/>
      </c>
      <c r="F510" s="257" t="str">
        <f t="shared" si="71"/>
        <v/>
      </c>
      <c r="G510" s="257" t="str">
        <f t="shared" si="72"/>
        <v/>
      </c>
      <c r="H510" s="257" t="str">
        <f t="shared" si="73"/>
        <v/>
      </c>
      <c r="I510" s="220" t="e">
        <f t="shared" si="69"/>
        <v>#VALUE!</v>
      </c>
    </row>
    <row r="511" spans="1:9" x14ac:dyDescent="0.25">
      <c r="A511" s="254">
        <f t="shared" si="74"/>
        <v>493</v>
      </c>
      <c r="B511" s="255" t="str">
        <f t="shared" si="67"/>
        <v/>
      </c>
      <c r="C511" s="256">
        <f t="shared" si="68"/>
        <v>3047.1172825179469</v>
      </c>
      <c r="D511" s="257" t="str">
        <f t="shared" si="70"/>
        <v/>
      </c>
      <c r="F511" s="257" t="str">
        <f t="shared" si="71"/>
        <v/>
      </c>
      <c r="G511" s="257" t="str">
        <f t="shared" si="72"/>
        <v/>
      </c>
      <c r="H511" s="257" t="str">
        <f t="shared" si="73"/>
        <v/>
      </c>
      <c r="I511" s="220" t="e">
        <f t="shared" si="69"/>
        <v>#VALUE!</v>
      </c>
    </row>
    <row r="512" spans="1:9" x14ac:dyDescent="0.25">
      <c r="A512" s="254">
        <f t="shared" si="74"/>
        <v>494</v>
      </c>
      <c r="B512" s="255" t="str">
        <f t="shared" si="67"/>
        <v/>
      </c>
      <c r="C512" s="256">
        <f t="shared" si="68"/>
        <v>3047.1172825179469</v>
      </c>
      <c r="D512" s="257" t="str">
        <f t="shared" si="70"/>
        <v/>
      </c>
      <c r="F512" s="257" t="str">
        <f t="shared" si="71"/>
        <v/>
      </c>
      <c r="G512" s="257" t="str">
        <f t="shared" si="72"/>
        <v/>
      </c>
      <c r="H512" s="257" t="str">
        <f t="shared" si="73"/>
        <v/>
      </c>
      <c r="I512" s="220" t="e">
        <f t="shared" si="69"/>
        <v>#VALUE!</v>
      </c>
    </row>
    <row r="513" spans="1:9" x14ac:dyDescent="0.25">
      <c r="A513" s="254">
        <f t="shared" si="74"/>
        <v>495</v>
      </c>
      <c r="B513" s="255" t="str">
        <f t="shared" si="67"/>
        <v/>
      </c>
      <c r="C513" s="256">
        <f t="shared" si="68"/>
        <v>3047.1172825179469</v>
      </c>
      <c r="D513" s="257" t="str">
        <f t="shared" si="70"/>
        <v/>
      </c>
      <c r="F513" s="257" t="str">
        <f t="shared" si="71"/>
        <v/>
      </c>
      <c r="G513" s="257" t="str">
        <f t="shared" si="72"/>
        <v/>
      </c>
      <c r="H513" s="257" t="str">
        <f t="shared" si="73"/>
        <v/>
      </c>
      <c r="I513" s="220" t="e">
        <f t="shared" si="69"/>
        <v>#VALUE!</v>
      </c>
    </row>
    <row r="514" spans="1:9" x14ac:dyDescent="0.25">
      <c r="A514" s="254">
        <f t="shared" si="74"/>
        <v>496</v>
      </c>
      <c r="B514" s="255" t="str">
        <f t="shared" si="67"/>
        <v/>
      </c>
      <c r="C514" s="256">
        <f t="shared" si="68"/>
        <v>3047.1172825179469</v>
      </c>
      <c r="D514" s="257" t="str">
        <f t="shared" si="70"/>
        <v/>
      </c>
      <c r="F514" s="257" t="str">
        <f t="shared" si="71"/>
        <v/>
      </c>
      <c r="G514" s="257" t="str">
        <f t="shared" si="72"/>
        <v/>
      </c>
      <c r="H514" s="257" t="str">
        <f t="shared" si="73"/>
        <v/>
      </c>
      <c r="I514" s="220" t="e">
        <f t="shared" si="69"/>
        <v>#VALUE!</v>
      </c>
    </row>
    <row r="515" spans="1:9" x14ac:dyDescent="0.25">
      <c r="A515" s="254">
        <f t="shared" si="74"/>
        <v>497</v>
      </c>
      <c r="B515" s="255" t="str">
        <f t="shared" si="67"/>
        <v/>
      </c>
      <c r="C515" s="256">
        <f t="shared" si="68"/>
        <v>3047.1172825179469</v>
      </c>
      <c r="D515" s="257" t="str">
        <f t="shared" si="70"/>
        <v/>
      </c>
      <c r="F515" s="257" t="str">
        <f t="shared" si="71"/>
        <v/>
      </c>
      <c r="G515" s="257" t="str">
        <f t="shared" si="72"/>
        <v/>
      </c>
      <c r="H515" s="257" t="str">
        <f t="shared" si="73"/>
        <v/>
      </c>
      <c r="I515" s="220" t="e">
        <f t="shared" si="69"/>
        <v>#VALUE!</v>
      </c>
    </row>
    <row r="516" spans="1:9" x14ac:dyDescent="0.25">
      <c r="A516" s="254">
        <f t="shared" si="74"/>
        <v>498</v>
      </c>
      <c r="B516" s="255" t="str">
        <f t="shared" si="67"/>
        <v/>
      </c>
      <c r="C516" s="256">
        <f t="shared" si="68"/>
        <v>3047.1172825179469</v>
      </c>
      <c r="D516" s="257" t="str">
        <f t="shared" si="70"/>
        <v/>
      </c>
      <c r="F516" s="257" t="str">
        <f t="shared" si="71"/>
        <v/>
      </c>
      <c r="G516" s="257" t="str">
        <f t="shared" si="72"/>
        <v/>
      </c>
      <c r="H516" s="257" t="str">
        <f t="shared" si="73"/>
        <v/>
      </c>
      <c r="I516" s="220" t="e">
        <f t="shared" si="69"/>
        <v>#VALUE!</v>
      </c>
    </row>
    <row r="517" spans="1:9" x14ac:dyDescent="0.25">
      <c r="A517" s="254">
        <f t="shared" si="74"/>
        <v>499</v>
      </c>
      <c r="B517" s="255" t="str">
        <f t="shared" si="67"/>
        <v/>
      </c>
      <c r="C517" s="256">
        <f t="shared" si="68"/>
        <v>3047.1172825179469</v>
      </c>
      <c r="D517" s="257" t="str">
        <f t="shared" si="70"/>
        <v/>
      </c>
      <c r="F517" s="257" t="str">
        <f t="shared" si="71"/>
        <v/>
      </c>
      <c r="G517" s="257" t="str">
        <f t="shared" si="72"/>
        <v/>
      </c>
      <c r="H517" s="257" t="str">
        <f t="shared" si="73"/>
        <v/>
      </c>
      <c r="I517" s="220" t="e">
        <f t="shared" si="69"/>
        <v>#VALUE!</v>
      </c>
    </row>
    <row r="518" spans="1:9" x14ac:dyDescent="0.25">
      <c r="A518" s="254">
        <f t="shared" si="74"/>
        <v>500</v>
      </c>
      <c r="B518" s="255" t="str">
        <f t="shared" si="67"/>
        <v/>
      </c>
      <c r="C518" s="256">
        <f t="shared" si="68"/>
        <v>3047.1172825179469</v>
      </c>
      <c r="D518" s="257" t="str">
        <f t="shared" si="70"/>
        <v/>
      </c>
      <c r="F518" s="257" t="str">
        <f t="shared" si="71"/>
        <v/>
      </c>
      <c r="G518" s="257" t="str">
        <f t="shared" si="72"/>
        <v/>
      </c>
      <c r="H518" s="257" t="str">
        <f t="shared" si="73"/>
        <v/>
      </c>
      <c r="I518" s="220" t="e">
        <f t="shared" si="69"/>
        <v>#VALUE!</v>
      </c>
    </row>
    <row r="519" spans="1:9" x14ac:dyDescent="0.25">
      <c r="A519" s="254">
        <f t="shared" si="74"/>
        <v>501</v>
      </c>
      <c r="B519" s="255" t="str">
        <f t="shared" si="67"/>
        <v/>
      </c>
      <c r="C519" s="256">
        <f t="shared" si="68"/>
        <v>3047.1172825179469</v>
      </c>
      <c r="D519" s="257" t="str">
        <f t="shared" si="70"/>
        <v/>
      </c>
      <c r="F519" s="257" t="str">
        <f t="shared" si="71"/>
        <v/>
      </c>
      <c r="G519" s="257" t="str">
        <f t="shared" si="72"/>
        <v/>
      </c>
      <c r="H519" s="257" t="str">
        <f t="shared" si="73"/>
        <v/>
      </c>
      <c r="I519" s="220" t="e">
        <f t="shared" si="69"/>
        <v>#VALUE!</v>
      </c>
    </row>
    <row r="520" spans="1:9" x14ac:dyDescent="0.25">
      <c r="A520" s="254">
        <f t="shared" si="74"/>
        <v>502</v>
      </c>
      <c r="B520" s="255" t="str">
        <f t="shared" si="67"/>
        <v/>
      </c>
      <c r="C520" s="256">
        <f t="shared" si="68"/>
        <v>3047.1172825179469</v>
      </c>
      <c r="D520" s="257" t="str">
        <f t="shared" si="70"/>
        <v/>
      </c>
      <c r="F520" s="257" t="str">
        <f t="shared" si="71"/>
        <v/>
      </c>
      <c r="G520" s="257" t="str">
        <f t="shared" si="72"/>
        <v/>
      </c>
      <c r="H520" s="257" t="str">
        <f t="shared" si="73"/>
        <v/>
      </c>
      <c r="I520" s="220" t="e">
        <f t="shared" si="69"/>
        <v>#VALUE!</v>
      </c>
    </row>
    <row r="521" spans="1:9" x14ac:dyDescent="0.25">
      <c r="A521" s="254">
        <f t="shared" si="74"/>
        <v>503</v>
      </c>
      <c r="B521" s="255" t="str">
        <f t="shared" si="67"/>
        <v/>
      </c>
      <c r="C521" s="256">
        <f t="shared" si="68"/>
        <v>3047.1172825179469</v>
      </c>
      <c r="D521" s="257" t="str">
        <f t="shared" si="70"/>
        <v/>
      </c>
      <c r="F521" s="257" t="str">
        <f t="shared" si="71"/>
        <v/>
      </c>
      <c r="G521" s="257" t="str">
        <f t="shared" si="72"/>
        <v/>
      </c>
      <c r="H521" s="257" t="str">
        <f t="shared" si="73"/>
        <v/>
      </c>
      <c r="I521" s="220" t="e">
        <f t="shared" si="69"/>
        <v>#VALUE!</v>
      </c>
    </row>
    <row r="522" spans="1:9" x14ac:dyDescent="0.25">
      <c r="A522" s="254">
        <f t="shared" si="74"/>
        <v>504</v>
      </c>
      <c r="B522" s="255" t="str">
        <f t="shared" si="67"/>
        <v/>
      </c>
      <c r="C522" s="256">
        <f t="shared" si="68"/>
        <v>3047.1172825179469</v>
      </c>
      <c r="D522" s="257" t="str">
        <f t="shared" si="70"/>
        <v/>
      </c>
      <c r="F522" s="257" t="str">
        <f t="shared" si="71"/>
        <v/>
      </c>
      <c r="G522" s="257" t="str">
        <f t="shared" si="72"/>
        <v/>
      </c>
      <c r="H522" s="257" t="str">
        <f t="shared" si="73"/>
        <v/>
      </c>
      <c r="I522" s="220" t="e">
        <f t="shared" si="69"/>
        <v>#VALUE!</v>
      </c>
    </row>
    <row r="523" spans="1:9" x14ac:dyDescent="0.25">
      <c r="A523" s="254">
        <f t="shared" si="74"/>
        <v>505</v>
      </c>
      <c r="B523" s="255" t="str">
        <f t="shared" si="67"/>
        <v/>
      </c>
      <c r="C523" s="256">
        <f t="shared" si="68"/>
        <v>3047.1172825179469</v>
      </c>
      <c r="D523" s="257" t="str">
        <f t="shared" si="70"/>
        <v/>
      </c>
      <c r="F523" s="257" t="str">
        <f t="shared" si="71"/>
        <v/>
      </c>
      <c r="G523" s="257" t="str">
        <f t="shared" si="72"/>
        <v/>
      </c>
      <c r="H523" s="257" t="str">
        <f t="shared" si="73"/>
        <v/>
      </c>
      <c r="I523" s="220" t="e">
        <f t="shared" si="69"/>
        <v>#VALUE!</v>
      </c>
    </row>
    <row r="524" spans="1:9" x14ac:dyDescent="0.25">
      <c r="A524" s="254">
        <f t="shared" si="74"/>
        <v>506</v>
      </c>
      <c r="B524" s="255" t="str">
        <f t="shared" si="67"/>
        <v/>
      </c>
      <c r="C524" s="256">
        <f t="shared" si="68"/>
        <v>3047.1172825179469</v>
      </c>
      <c r="D524" s="257" t="str">
        <f t="shared" si="70"/>
        <v/>
      </c>
      <c r="F524" s="257" t="str">
        <f t="shared" si="71"/>
        <v/>
      </c>
      <c r="G524" s="257" t="str">
        <f t="shared" si="72"/>
        <v/>
      </c>
      <c r="H524" s="257" t="str">
        <f t="shared" si="73"/>
        <v/>
      </c>
      <c r="I524" s="220" t="e">
        <f t="shared" si="69"/>
        <v>#VALUE!</v>
      </c>
    </row>
    <row r="525" spans="1:9" x14ac:dyDescent="0.25">
      <c r="A525" s="254">
        <f t="shared" si="74"/>
        <v>507</v>
      </c>
      <c r="B525" s="255" t="str">
        <f t="shared" si="67"/>
        <v/>
      </c>
      <c r="C525" s="256">
        <f t="shared" si="68"/>
        <v>3047.1172825179469</v>
      </c>
      <c r="D525" s="257" t="str">
        <f t="shared" si="70"/>
        <v/>
      </c>
      <c r="F525" s="257" t="str">
        <f t="shared" si="71"/>
        <v/>
      </c>
      <c r="G525" s="257" t="str">
        <f t="shared" si="72"/>
        <v/>
      </c>
      <c r="H525" s="257" t="str">
        <f t="shared" si="73"/>
        <v/>
      </c>
      <c r="I525" s="220" t="e">
        <f t="shared" si="69"/>
        <v>#VALUE!</v>
      </c>
    </row>
    <row r="526" spans="1:9" x14ac:dyDescent="0.25">
      <c r="A526" s="254">
        <f t="shared" si="74"/>
        <v>508</v>
      </c>
      <c r="B526" s="255" t="str">
        <f t="shared" si="67"/>
        <v/>
      </c>
      <c r="C526" s="256">
        <f t="shared" si="68"/>
        <v>3047.1172825179469</v>
      </c>
      <c r="D526" s="257" t="str">
        <f t="shared" si="70"/>
        <v/>
      </c>
      <c r="F526" s="257" t="str">
        <f t="shared" si="71"/>
        <v/>
      </c>
      <c r="G526" s="257" t="str">
        <f t="shared" si="72"/>
        <v/>
      </c>
      <c r="H526" s="257" t="str">
        <f t="shared" si="73"/>
        <v/>
      </c>
      <c r="I526" s="220" t="e">
        <f t="shared" si="69"/>
        <v>#VALUE!</v>
      </c>
    </row>
    <row r="527" spans="1:9" x14ac:dyDescent="0.25">
      <c r="A527" s="254">
        <f t="shared" si="74"/>
        <v>509</v>
      </c>
      <c r="B527" s="255" t="str">
        <f t="shared" si="67"/>
        <v/>
      </c>
      <c r="C527" s="256">
        <f t="shared" si="68"/>
        <v>3047.1172825179469</v>
      </c>
      <c r="D527" s="257" t="str">
        <f t="shared" si="70"/>
        <v/>
      </c>
      <c r="F527" s="257" t="str">
        <f t="shared" si="71"/>
        <v/>
      </c>
      <c r="G527" s="257" t="str">
        <f t="shared" si="72"/>
        <v/>
      </c>
      <c r="H527" s="257" t="str">
        <f t="shared" si="73"/>
        <v/>
      </c>
      <c r="I527" s="220" t="e">
        <f t="shared" si="69"/>
        <v>#VALUE!</v>
      </c>
    </row>
    <row r="528" spans="1:9" x14ac:dyDescent="0.25">
      <c r="A528" s="254">
        <f t="shared" si="74"/>
        <v>510</v>
      </c>
      <c r="B528" s="255" t="str">
        <f t="shared" si="67"/>
        <v/>
      </c>
      <c r="C528" s="256">
        <f t="shared" si="68"/>
        <v>3047.1172825179469</v>
      </c>
      <c r="D528" s="257" t="str">
        <f t="shared" si="70"/>
        <v/>
      </c>
      <c r="F528" s="257" t="str">
        <f t="shared" si="71"/>
        <v/>
      </c>
      <c r="G528" s="257" t="str">
        <f t="shared" si="72"/>
        <v/>
      </c>
      <c r="H528" s="257" t="str">
        <f t="shared" si="73"/>
        <v/>
      </c>
      <c r="I528" s="220" t="e">
        <f t="shared" si="69"/>
        <v>#VALUE!</v>
      </c>
    </row>
    <row r="529" spans="1:9" x14ac:dyDescent="0.25">
      <c r="A529" s="254">
        <f t="shared" si="74"/>
        <v>511</v>
      </c>
      <c r="B529" s="255" t="str">
        <f t="shared" si="67"/>
        <v/>
      </c>
      <c r="C529" s="256">
        <f t="shared" si="68"/>
        <v>3047.1172825179469</v>
      </c>
      <c r="D529" s="257" t="str">
        <f t="shared" si="70"/>
        <v/>
      </c>
      <c r="F529" s="257" t="str">
        <f t="shared" si="71"/>
        <v/>
      </c>
      <c r="G529" s="257" t="str">
        <f t="shared" si="72"/>
        <v/>
      </c>
      <c r="H529" s="257" t="str">
        <f t="shared" si="73"/>
        <v/>
      </c>
      <c r="I529" s="220" t="e">
        <f t="shared" si="69"/>
        <v>#VALUE!</v>
      </c>
    </row>
    <row r="530" spans="1:9" x14ac:dyDescent="0.25">
      <c r="A530" s="254">
        <f t="shared" si="74"/>
        <v>512</v>
      </c>
      <c r="B530" s="255" t="str">
        <f t="shared" si="67"/>
        <v/>
      </c>
      <c r="C530" s="256">
        <f t="shared" si="68"/>
        <v>3047.1172825179469</v>
      </c>
      <c r="D530" s="257" t="str">
        <f t="shared" si="70"/>
        <v/>
      </c>
      <c r="F530" s="257" t="str">
        <f t="shared" si="71"/>
        <v/>
      </c>
      <c r="G530" s="257" t="str">
        <f t="shared" si="72"/>
        <v/>
      </c>
      <c r="H530" s="257" t="str">
        <f t="shared" si="73"/>
        <v/>
      </c>
      <c r="I530" s="220" t="e">
        <f t="shared" si="69"/>
        <v>#VALUE!</v>
      </c>
    </row>
    <row r="531" spans="1:9" x14ac:dyDescent="0.25">
      <c r="A531" s="254">
        <f t="shared" si="74"/>
        <v>513</v>
      </c>
      <c r="B531" s="255" t="str">
        <f t="shared" si="67"/>
        <v/>
      </c>
      <c r="C531" s="256">
        <f t="shared" si="68"/>
        <v>3047.1172825179469</v>
      </c>
      <c r="D531" s="257" t="str">
        <f t="shared" si="70"/>
        <v/>
      </c>
      <c r="F531" s="257" t="str">
        <f t="shared" si="71"/>
        <v/>
      </c>
      <c r="G531" s="257" t="str">
        <f t="shared" si="72"/>
        <v/>
      </c>
      <c r="H531" s="257" t="str">
        <f t="shared" si="73"/>
        <v/>
      </c>
      <c r="I531" s="220" t="e">
        <f t="shared" si="69"/>
        <v>#VALUE!</v>
      </c>
    </row>
    <row r="532" spans="1:9" x14ac:dyDescent="0.25">
      <c r="A532" s="254">
        <f t="shared" si="74"/>
        <v>514</v>
      </c>
      <c r="B532" s="255" t="str">
        <f t="shared" ref="B532:B595" si="75">IF(A532&gt;$H$11,"",DATE(YEAR(B531),MONTH(B531)+1,1))</f>
        <v/>
      </c>
      <c r="C532" s="256">
        <f t="shared" ref="C532:C595" si="76">IF($H$15=0,-$D$14,IF(OR(A532=$H$11,A532=$H$14),G531+D532+E532,IF(B532="","",ROUND((B532-B531)*($H$9+$H$10*$I$10)*G531,2))))</f>
        <v>3047.1172825179469</v>
      </c>
      <c r="D532" s="257" t="str">
        <f t="shared" si="70"/>
        <v/>
      </c>
      <c r="F532" s="257" t="str">
        <f t="shared" si="71"/>
        <v/>
      </c>
      <c r="G532" s="257" t="str">
        <f t="shared" si="72"/>
        <v/>
      </c>
      <c r="H532" s="257" t="str">
        <f t="shared" si="73"/>
        <v/>
      </c>
      <c r="I532" s="220" t="e">
        <f t="shared" ref="I532:I595" si="77">YEAR(B532)</f>
        <v>#VALUE!</v>
      </c>
    </row>
    <row r="533" spans="1:9" x14ac:dyDescent="0.25">
      <c r="A533" s="254">
        <f t="shared" si="74"/>
        <v>515</v>
      </c>
      <c r="B533" s="255" t="str">
        <f t="shared" si="75"/>
        <v/>
      </c>
      <c r="C533" s="256">
        <f t="shared" si="76"/>
        <v>3047.1172825179469</v>
      </c>
      <c r="D533" s="257" t="str">
        <f t="shared" si="70"/>
        <v/>
      </c>
      <c r="F533" s="257" t="str">
        <f t="shared" si="71"/>
        <v/>
      </c>
      <c r="G533" s="257" t="str">
        <f t="shared" si="72"/>
        <v/>
      </c>
      <c r="H533" s="257" t="str">
        <f t="shared" si="73"/>
        <v/>
      </c>
      <c r="I533" s="220" t="e">
        <f t="shared" si="77"/>
        <v>#VALUE!</v>
      </c>
    </row>
    <row r="534" spans="1:9" x14ac:dyDescent="0.25">
      <c r="A534" s="254">
        <f t="shared" si="74"/>
        <v>516</v>
      </c>
      <c r="B534" s="255" t="str">
        <f t="shared" si="75"/>
        <v/>
      </c>
      <c r="C534" s="256">
        <f t="shared" si="76"/>
        <v>3047.1172825179469</v>
      </c>
      <c r="D534" s="257" t="str">
        <f t="shared" si="70"/>
        <v/>
      </c>
      <c r="F534" s="257" t="str">
        <f t="shared" si="71"/>
        <v/>
      </c>
      <c r="G534" s="257" t="str">
        <f t="shared" si="72"/>
        <v/>
      </c>
      <c r="H534" s="257" t="str">
        <f t="shared" si="73"/>
        <v/>
      </c>
      <c r="I534" s="220" t="e">
        <f t="shared" si="77"/>
        <v>#VALUE!</v>
      </c>
    </row>
    <row r="535" spans="1:9" x14ac:dyDescent="0.25">
      <c r="A535" s="254">
        <f t="shared" si="74"/>
        <v>517</v>
      </c>
      <c r="B535" s="255" t="str">
        <f t="shared" si="75"/>
        <v/>
      </c>
      <c r="C535" s="256">
        <f t="shared" si="76"/>
        <v>3047.1172825179469</v>
      </c>
      <c r="D535" s="257" t="str">
        <f t="shared" ref="D535:D598" si="78">IF(B535="","",ROUND((B535-B534)*$H$9*G534,2))</f>
        <v/>
      </c>
      <c r="F535" s="257" t="str">
        <f t="shared" ref="F535:F598" si="79">IF(B535="","",IF(C535&gt;F534+D535,0,F534+D535-C535))</f>
        <v/>
      </c>
      <c r="G535" s="257" t="str">
        <f t="shared" ref="G535:G598" si="80">IF(B535="","",IF(C535&gt;D535+F534,G534+F534+D535-C535,G534))</f>
        <v/>
      </c>
      <c r="H535" s="257" t="str">
        <f t="shared" ref="H535:H598" si="81">IF(B535="","",G535+F535)</f>
        <v/>
      </c>
      <c r="I535" s="220" t="e">
        <f t="shared" si="77"/>
        <v>#VALUE!</v>
      </c>
    </row>
    <row r="536" spans="1:9" x14ac:dyDescent="0.25">
      <c r="A536" s="254">
        <f t="shared" si="74"/>
        <v>518</v>
      </c>
      <c r="B536" s="255" t="str">
        <f t="shared" si="75"/>
        <v/>
      </c>
      <c r="C536" s="256">
        <f t="shared" si="76"/>
        <v>3047.1172825179469</v>
      </c>
      <c r="D536" s="257" t="str">
        <f t="shared" si="78"/>
        <v/>
      </c>
      <c r="F536" s="257" t="str">
        <f t="shared" si="79"/>
        <v/>
      </c>
      <c r="G536" s="257" t="str">
        <f t="shared" si="80"/>
        <v/>
      </c>
      <c r="H536" s="257" t="str">
        <f t="shared" si="81"/>
        <v/>
      </c>
      <c r="I536" s="220" t="e">
        <f t="shared" si="77"/>
        <v>#VALUE!</v>
      </c>
    </row>
    <row r="537" spans="1:9" x14ac:dyDescent="0.25">
      <c r="A537" s="254">
        <f t="shared" si="74"/>
        <v>519</v>
      </c>
      <c r="B537" s="255" t="str">
        <f t="shared" si="75"/>
        <v/>
      </c>
      <c r="C537" s="256">
        <f t="shared" si="76"/>
        <v>3047.1172825179469</v>
      </c>
      <c r="D537" s="257" t="str">
        <f t="shared" si="78"/>
        <v/>
      </c>
      <c r="F537" s="257" t="str">
        <f t="shared" si="79"/>
        <v/>
      </c>
      <c r="G537" s="257" t="str">
        <f t="shared" si="80"/>
        <v/>
      </c>
      <c r="H537" s="257" t="str">
        <f t="shared" si="81"/>
        <v/>
      </c>
      <c r="I537" s="220" t="e">
        <f t="shared" si="77"/>
        <v>#VALUE!</v>
      </c>
    </row>
    <row r="538" spans="1:9" x14ac:dyDescent="0.25">
      <c r="A538" s="254">
        <f t="shared" si="74"/>
        <v>520</v>
      </c>
      <c r="B538" s="255" t="str">
        <f t="shared" si="75"/>
        <v/>
      </c>
      <c r="C538" s="256">
        <f t="shared" si="76"/>
        <v>3047.1172825179469</v>
      </c>
      <c r="D538" s="257" t="str">
        <f t="shared" si="78"/>
        <v/>
      </c>
      <c r="F538" s="257" t="str">
        <f t="shared" si="79"/>
        <v/>
      </c>
      <c r="G538" s="257" t="str">
        <f t="shared" si="80"/>
        <v/>
      </c>
      <c r="H538" s="257" t="str">
        <f t="shared" si="81"/>
        <v/>
      </c>
      <c r="I538" s="220" t="e">
        <f t="shared" si="77"/>
        <v>#VALUE!</v>
      </c>
    </row>
    <row r="539" spans="1:9" x14ac:dyDescent="0.25">
      <c r="A539" s="254">
        <f t="shared" si="74"/>
        <v>521</v>
      </c>
      <c r="B539" s="255" t="str">
        <f t="shared" si="75"/>
        <v/>
      </c>
      <c r="C539" s="256">
        <f t="shared" si="76"/>
        <v>3047.1172825179469</v>
      </c>
      <c r="D539" s="257" t="str">
        <f t="shared" si="78"/>
        <v/>
      </c>
      <c r="F539" s="257" t="str">
        <f t="shared" si="79"/>
        <v/>
      </c>
      <c r="G539" s="257" t="str">
        <f t="shared" si="80"/>
        <v/>
      </c>
      <c r="H539" s="257" t="str">
        <f t="shared" si="81"/>
        <v/>
      </c>
      <c r="I539" s="220" t="e">
        <f t="shared" si="77"/>
        <v>#VALUE!</v>
      </c>
    </row>
    <row r="540" spans="1:9" x14ac:dyDescent="0.25">
      <c r="A540" s="254">
        <f t="shared" si="74"/>
        <v>522</v>
      </c>
      <c r="B540" s="255" t="str">
        <f t="shared" si="75"/>
        <v/>
      </c>
      <c r="C540" s="256">
        <f t="shared" si="76"/>
        <v>3047.1172825179469</v>
      </c>
      <c r="D540" s="257" t="str">
        <f t="shared" si="78"/>
        <v/>
      </c>
      <c r="F540" s="257" t="str">
        <f t="shared" si="79"/>
        <v/>
      </c>
      <c r="G540" s="257" t="str">
        <f t="shared" si="80"/>
        <v/>
      </c>
      <c r="H540" s="257" t="str">
        <f t="shared" si="81"/>
        <v/>
      </c>
      <c r="I540" s="220" t="e">
        <f t="shared" si="77"/>
        <v>#VALUE!</v>
      </c>
    </row>
    <row r="541" spans="1:9" x14ac:dyDescent="0.25">
      <c r="A541" s="254">
        <f t="shared" si="74"/>
        <v>523</v>
      </c>
      <c r="B541" s="255" t="str">
        <f t="shared" si="75"/>
        <v/>
      </c>
      <c r="C541" s="256">
        <f t="shared" si="76"/>
        <v>3047.1172825179469</v>
      </c>
      <c r="D541" s="257" t="str">
        <f t="shared" si="78"/>
        <v/>
      </c>
      <c r="F541" s="257" t="str">
        <f t="shared" si="79"/>
        <v/>
      </c>
      <c r="G541" s="257" t="str">
        <f t="shared" si="80"/>
        <v/>
      </c>
      <c r="H541" s="257" t="str">
        <f t="shared" si="81"/>
        <v/>
      </c>
      <c r="I541" s="220" t="e">
        <f t="shared" si="77"/>
        <v>#VALUE!</v>
      </c>
    </row>
    <row r="542" spans="1:9" x14ac:dyDescent="0.25">
      <c r="A542" s="254">
        <f t="shared" si="74"/>
        <v>524</v>
      </c>
      <c r="B542" s="255" t="str">
        <f t="shared" si="75"/>
        <v/>
      </c>
      <c r="C542" s="256">
        <f t="shared" si="76"/>
        <v>3047.1172825179469</v>
      </c>
      <c r="D542" s="257" t="str">
        <f t="shared" si="78"/>
        <v/>
      </c>
      <c r="F542" s="257" t="str">
        <f t="shared" si="79"/>
        <v/>
      </c>
      <c r="G542" s="257" t="str">
        <f t="shared" si="80"/>
        <v/>
      </c>
      <c r="H542" s="257" t="str">
        <f t="shared" si="81"/>
        <v/>
      </c>
      <c r="I542" s="220" t="e">
        <f t="shared" si="77"/>
        <v>#VALUE!</v>
      </c>
    </row>
    <row r="543" spans="1:9" x14ac:dyDescent="0.25">
      <c r="A543" s="254">
        <f t="shared" si="74"/>
        <v>525</v>
      </c>
      <c r="B543" s="255" t="str">
        <f t="shared" si="75"/>
        <v/>
      </c>
      <c r="C543" s="256">
        <f t="shared" si="76"/>
        <v>3047.1172825179469</v>
      </c>
      <c r="D543" s="257" t="str">
        <f t="shared" si="78"/>
        <v/>
      </c>
      <c r="F543" s="257" t="str">
        <f t="shared" si="79"/>
        <v/>
      </c>
      <c r="G543" s="257" t="str">
        <f t="shared" si="80"/>
        <v/>
      </c>
      <c r="H543" s="257" t="str">
        <f t="shared" si="81"/>
        <v/>
      </c>
      <c r="I543" s="220" t="e">
        <f t="shared" si="77"/>
        <v>#VALUE!</v>
      </c>
    </row>
    <row r="544" spans="1:9" x14ac:dyDescent="0.25">
      <c r="A544" s="254">
        <f t="shared" si="74"/>
        <v>526</v>
      </c>
      <c r="B544" s="255" t="str">
        <f t="shared" si="75"/>
        <v/>
      </c>
      <c r="C544" s="256">
        <f t="shared" si="76"/>
        <v>3047.1172825179469</v>
      </c>
      <c r="D544" s="257" t="str">
        <f t="shared" si="78"/>
        <v/>
      </c>
      <c r="F544" s="257" t="str">
        <f t="shared" si="79"/>
        <v/>
      </c>
      <c r="G544" s="257" t="str">
        <f t="shared" si="80"/>
        <v/>
      </c>
      <c r="H544" s="257" t="str">
        <f t="shared" si="81"/>
        <v/>
      </c>
      <c r="I544" s="220" t="e">
        <f t="shared" si="77"/>
        <v>#VALUE!</v>
      </c>
    </row>
    <row r="545" spans="1:9" x14ac:dyDescent="0.25">
      <c r="A545" s="254">
        <f t="shared" si="74"/>
        <v>527</v>
      </c>
      <c r="B545" s="255" t="str">
        <f t="shared" si="75"/>
        <v/>
      </c>
      <c r="C545" s="256">
        <f t="shared" si="76"/>
        <v>3047.1172825179469</v>
      </c>
      <c r="D545" s="257" t="str">
        <f t="shared" si="78"/>
        <v/>
      </c>
      <c r="F545" s="257" t="str">
        <f t="shared" si="79"/>
        <v/>
      </c>
      <c r="G545" s="257" t="str">
        <f t="shared" si="80"/>
        <v/>
      </c>
      <c r="H545" s="257" t="str">
        <f t="shared" si="81"/>
        <v/>
      </c>
      <c r="I545" s="220" t="e">
        <f t="shared" si="77"/>
        <v>#VALUE!</v>
      </c>
    </row>
    <row r="546" spans="1:9" x14ac:dyDescent="0.25">
      <c r="A546" s="254">
        <f t="shared" si="74"/>
        <v>528</v>
      </c>
      <c r="B546" s="255" t="str">
        <f t="shared" si="75"/>
        <v/>
      </c>
      <c r="C546" s="256">
        <f t="shared" si="76"/>
        <v>3047.1172825179469</v>
      </c>
      <c r="D546" s="257" t="str">
        <f t="shared" si="78"/>
        <v/>
      </c>
      <c r="F546" s="257" t="str">
        <f t="shared" si="79"/>
        <v/>
      </c>
      <c r="G546" s="257" t="str">
        <f t="shared" si="80"/>
        <v/>
      </c>
      <c r="H546" s="257" t="str">
        <f t="shared" si="81"/>
        <v/>
      </c>
      <c r="I546" s="220" t="e">
        <f t="shared" si="77"/>
        <v>#VALUE!</v>
      </c>
    </row>
    <row r="547" spans="1:9" x14ac:dyDescent="0.25">
      <c r="A547" s="254">
        <f t="shared" si="74"/>
        <v>529</v>
      </c>
      <c r="B547" s="255" t="str">
        <f t="shared" si="75"/>
        <v/>
      </c>
      <c r="C547" s="256">
        <f t="shared" si="76"/>
        <v>3047.1172825179469</v>
      </c>
      <c r="D547" s="257" t="str">
        <f t="shared" si="78"/>
        <v/>
      </c>
      <c r="F547" s="257" t="str">
        <f t="shared" si="79"/>
        <v/>
      </c>
      <c r="G547" s="257" t="str">
        <f t="shared" si="80"/>
        <v/>
      </c>
      <c r="H547" s="257" t="str">
        <f t="shared" si="81"/>
        <v/>
      </c>
      <c r="I547" s="220" t="e">
        <f t="shared" si="77"/>
        <v>#VALUE!</v>
      </c>
    </row>
    <row r="548" spans="1:9" x14ac:dyDescent="0.25">
      <c r="A548" s="254">
        <f t="shared" si="74"/>
        <v>530</v>
      </c>
      <c r="B548" s="255" t="str">
        <f t="shared" si="75"/>
        <v/>
      </c>
      <c r="C548" s="256">
        <f t="shared" si="76"/>
        <v>3047.1172825179469</v>
      </c>
      <c r="D548" s="257" t="str">
        <f t="shared" si="78"/>
        <v/>
      </c>
      <c r="F548" s="257" t="str">
        <f t="shared" si="79"/>
        <v/>
      </c>
      <c r="G548" s="257" t="str">
        <f t="shared" si="80"/>
        <v/>
      </c>
      <c r="H548" s="257" t="str">
        <f t="shared" si="81"/>
        <v/>
      </c>
      <c r="I548" s="220" t="e">
        <f t="shared" si="77"/>
        <v>#VALUE!</v>
      </c>
    </row>
    <row r="549" spans="1:9" x14ac:dyDescent="0.25">
      <c r="A549" s="254">
        <f t="shared" si="74"/>
        <v>531</v>
      </c>
      <c r="B549" s="255" t="str">
        <f t="shared" si="75"/>
        <v/>
      </c>
      <c r="C549" s="256">
        <f t="shared" si="76"/>
        <v>3047.1172825179469</v>
      </c>
      <c r="D549" s="257" t="str">
        <f t="shared" si="78"/>
        <v/>
      </c>
      <c r="F549" s="257" t="str">
        <f t="shared" si="79"/>
        <v/>
      </c>
      <c r="G549" s="257" t="str">
        <f t="shared" si="80"/>
        <v/>
      </c>
      <c r="H549" s="257" t="str">
        <f t="shared" si="81"/>
        <v/>
      </c>
      <c r="I549" s="220" t="e">
        <f t="shared" si="77"/>
        <v>#VALUE!</v>
      </c>
    </row>
    <row r="550" spans="1:9" x14ac:dyDescent="0.25">
      <c r="A550" s="254">
        <f t="shared" si="74"/>
        <v>532</v>
      </c>
      <c r="B550" s="255" t="str">
        <f t="shared" si="75"/>
        <v/>
      </c>
      <c r="C550" s="256">
        <f t="shared" si="76"/>
        <v>3047.1172825179469</v>
      </c>
      <c r="D550" s="257" t="str">
        <f t="shared" si="78"/>
        <v/>
      </c>
      <c r="F550" s="257" t="str">
        <f t="shared" si="79"/>
        <v/>
      </c>
      <c r="G550" s="257" t="str">
        <f t="shared" si="80"/>
        <v/>
      </c>
      <c r="H550" s="257" t="str">
        <f t="shared" si="81"/>
        <v/>
      </c>
      <c r="I550" s="220" t="e">
        <f t="shared" si="77"/>
        <v>#VALUE!</v>
      </c>
    </row>
    <row r="551" spans="1:9" x14ac:dyDescent="0.25">
      <c r="A551" s="254">
        <f t="shared" si="74"/>
        <v>533</v>
      </c>
      <c r="B551" s="255" t="str">
        <f t="shared" si="75"/>
        <v/>
      </c>
      <c r="C551" s="256">
        <f t="shared" si="76"/>
        <v>3047.1172825179469</v>
      </c>
      <c r="D551" s="257" t="str">
        <f t="shared" si="78"/>
        <v/>
      </c>
      <c r="F551" s="257" t="str">
        <f t="shared" si="79"/>
        <v/>
      </c>
      <c r="G551" s="257" t="str">
        <f t="shared" si="80"/>
        <v/>
      </c>
      <c r="H551" s="257" t="str">
        <f t="shared" si="81"/>
        <v/>
      </c>
      <c r="I551" s="220" t="e">
        <f t="shared" si="77"/>
        <v>#VALUE!</v>
      </c>
    </row>
    <row r="552" spans="1:9" x14ac:dyDescent="0.25">
      <c r="A552" s="254">
        <f t="shared" si="74"/>
        <v>534</v>
      </c>
      <c r="B552" s="255" t="str">
        <f t="shared" si="75"/>
        <v/>
      </c>
      <c r="C552" s="256">
        <f t="shared" si="76"/>
        <v>3047.1172825179469</v>
      </c>
      <c r="D552" s="257" t="str">
        <f t="shared" si="78"/>
        <v/>
      </c>
      <c r="F552" s="257" t="str">
        <f t="shared" si="79"/>
        <v/>
      </c>
      <c r="G552" s="257" t="str">
        <f t="shared" si="80"/>
        <v/>
      </c>
      <c r="H552" s="257" t="str">
        <f t="shared" si="81"/>
        <v/>
      </c>
      <c r="I552" s="220" t="e">
        <f t="shared" si="77"/>
        <v>#VALUE!</v>
      </c>
    </row>
    <row r="553" spans="1:9" x14ac:dyDescent="0.25">
      <c r="A553" s="254">
        <f t="shared" si="74"/>
        <v>535</v>
      </c>
      <c r="B553" s="255" t="str">
        <f t="shared" si="75"/>
        <v/>
      </c>
      <c r="C553" s="256">
        <f t="shared" si="76"/>
        <v>3047.1172825179469</v>
      </c>
      <c r="D553" s="257" t="str">
        <f t="shared" si="78"/>
        <v/>
      </c>
      <c r="F553" s="257" t="str">
        <f t="shared" si="79"/>
        <v/>
      </c>
      <c r="G553" s="257" t="str">
        <f t="shared" si="80"/>
        <v/>
      </c>
      <c r="H553" s="257" t="str">
        <f t="shared" si="81"/>
        <v/>
      </c>
      <c r="I553" s="220" t="e">
        <f t="shared" si="77"/>
        <v>#VALUE!</v>
      </c>
    </row>
    <row r="554" spans="1:9" x14ac:dyDescent="0.25">
      <c r="A554" s="254">
        <f t="shared" si="74"/>
        <v>536</v>
      </c>
      <c r="B554" s="255" t="str">
        <f t="shared" si="75"/>
        <v/>
      </c>
      <c r="C554" s="256">
        <f t="shared" si="76"/>
        <v>3047.1172825179469</v>
      </c>
      <c r="D554" s="257" t="str">
        <f t="shared" si="78"/>
        <v/>
      </c>
      <c r="F554" s="257" t="str">
        <f t="shared" si="79"/>
        <v/>
      </c>
      <c r="G554" s="257" t="str">
        <f t="shared" si="80"/>
        <v/>
      </c>
      <c r="H554" s="257" t="str">
        <f t="shared" si="81"/>
        <v/>
      </c>
      <c r="I554" s="220" t="e">
        <f t="shared" si="77"/>
        <v>#VALUE!</v>
      </c>
    </row>
    <row r="555" spans="1:9" x14ac:dyDescent="0.25">
      <c r="A555" s="254">
        <f t="shared" si="74"/>
        <v>537</v>
      </c>
      <c r="B555" s="255" t="str">
        <f t="shared" si="75"/>
        <v/>
      </c>
      <c r="C555" s="256">
        <f t="shared" si="76"/>
        <v>3047.1172825179469</v>
      </c>
      <c r="D555" s="257" t="str">
        <f t="shared" si="78"/>
        <v/>
      </c>
      <c r="F555" s="257" t="str">
        <f t="shared" si="79"/>
        <v/>
      </c>
      <c r="G555" s="257" t="str">
        <f t="shared" si="80"/>
        <v/>
      </c>
      <c r="H555" s="257" t="str">
        <f t="shared" si="81"/>
        <v/>
      </c>
      <c r="I555" s="220" t="e">
        <f t="shared" si="77"/>
        <v>#VALUE!</v>
      </c>
    </row>
    <row r="556" spans="1:9" x14ac:dyDescent="0.25">
      <c r="A556" s="254">
        <f t="shared" si="74"/>
        <v>538</v>
      </c>
      <c r="B556" s="255" t="str">
        <f t="shared" si="75"/>
        <v/>
      </c>
      <c r="C556" s="256">
        <f t="shared" si="76"/>
        <v>3047.1172825179469</v>
      </c>
      <c r="D556" s="257" t="str">
        <f t="shared" si="78"/>
        <v/>
      </c>
      <c r="F556" s="257" t="str">
        <f t="shared" si="79"/>
        <v/>
      </c>
      <c r="G556" s="257" t="str">
        <f t="shared" si="80"/>
        <v/>
      </c>
      <c r="H556" s="257" t="str">
        <f t="shared" si="81"/>
        <v/>
      </c>
      <c r="I556" s="220" t="e">
        <f t="shared" si="77"/>
        <v>#VALUE!</v>
      </c>
    </row>
    <row r="557" spans="1:9" x14ac:dyDescent="0.25">
      <c r="A557" s="254">
        <f t="shared" si="74"/>
        <v>539</v>
      </c>
      <c r="B557" s="255" t="str">
        <f t="shared" si="75"/>
        <v/>
      </c>
      <c r="C557" s="256">
        <f t="shared" si="76"/>
        <v>3047.1172825179469</v>
      </c>
      <c r="D557" s="257" t="str">
        <f t="shared" si="78"/>
        <v/>
      </c>
      <c r="F557" s="257" t="str">
        <f t="shared" si="79"/>
        <v/>
      </c>
      <c r="G557" s="257" t="str">
        <f t="shared" si="80"/>
        <v/>
      </c>
      <c r="H557" s="257" t="str">
        <f t="shared" si="81"/>
        <v/>
      </c>
      <c r="I557" s="220" t="e">
        <f t="shared" si="77"/>
        <v>#VALUE!</v>
      </c>
    </row>
    <row r="558" spans="1:9" x14ac:dyDescent="0.25">
      <c r="A558" s="254">
        <f t="shared" si="74"/>
        <v>540</v>
      </c>
      <c r="B558" s="255" t="str">
        <f t="shared" si="75"/>
        <v/>
      </c>
      <c r="C558" s="256">
        <f t="shared" si="76"/>
        <v>3047.1172825179469</v>
      </c>
      <c r="D558" s="257" t="str">
        <f t="shared" si="78"/>
        <v/>
      </c>
      <c r="F558" s="257" t="str">
        <f t="shared" si="79"/>
        <v/>
      </c>
      <c r="G558" s="257" t="str">
        <f t="shared" si="80"/>
        <v/>
      </c>
      <c r="H558" s="257" t="str">
        <f t="shared" si="81"/>
        <v/>
      </c>
      <c r="I558" s="220" t="e">
        <f t="shared" si="77"/>
        <v>#VALUE!</v>
      </c>
    </row>
    <row r="559" spans="1:9" x14ac:dyDescent="0.25">
      <c r="A559" s="254">
        <f t="shared" si="74"/>
        <v>541</v>
      </c>
      <c r="B559" s="255" t="str">
        <f t="shared" si="75"/>
        <v/>
      </c>
      <c r="C559" s="256">
        <f t="shared" si="76"/>
        <v>3047.1172825179469</v>
      </c>
      <c r="D559" s="257" t="str">
        <f t="shared" si="78"/>
        <v/>
      </c>
      <c r="F559" s="257" t="str">
        <f t="shared" si="79"/>
        <v/>
      </c>
      <c r="G559" s="257" t="str">
        <f t="shared" si="80"/>
        <v/>
      </c>
      <c r="H559" s="257" t="str">
        <f t="shared" si="81"/>
        <v/>
      </c>
      <c r="I559" s="220" t="e">
        <f t="shared" si="77"/>
        <v>#VALUE!</v>
      </c>
    </row>
    <row r="560" spans="1:9" x14ac:dyDescent="0.25">
      <c r="A560" s="254">
        <f t="shared" si="74"/>
        <v>542</v>
      </c>
      <c r="B560" s="255" t="str">
        <f t="shared" si="75"/>
        <v/>
      </c>
      <c r="C560" s="256">
        <f t="shared" si="76"/>
        <v>3047.1172825179469</v>
      </c>
      <c r="D560" s="257" t="str">
        <f t="shared" si="78"/>
        <v/>
      </c>
      <c r="F560" s="257" t="str">
        <f t="shared" si="79"/>
        <v/>
      </c>
      <c r="G560" s="257" t="str">
        <f t="shared" si="80"/>
        <v/>
      </c>
      <c r="H560" s="257" t="str">
        <f t="shared" si="81"/>
        <v/>
      </c>
      <c r="I560" s="220" t="e">
        <f t="shared" si="77"/>
        <v>#VALUE!</v>
      </c>
    </row>
    <row r="561" spans="1:9" x14ac:dyDescent="0.25">
      <c r="A561" s="254">
        <f t="shared" si="74"/>
        <v>543</v>
      </c>
      <c r="B561" s="255" t="str">
        <f t="shared" si="75"/>
        <v/>
      </c>
      <c r="C561" s="256">
        <f t="shared" si="76"/>
        <v>3047.1172825179469</v>
      </c>
      <c r="D561" s="257" t="str">
        <f t="shared" si="78"/>
        <v/>
      </c>
      <c r="F561" s="257" t="str">
        <f t="shared" si="79"/>
        <v/>
      </c>
      <c r="G561" s="257" t="str">
        <f t="shared" si="80"/>
        <v/>
      </c>
      <c r="H561" s="257" t="str">
        <f t="shared" si="81"/>
        <v/>
      </c>
      <c r="I561" s="220" t="e">
        <f t="shared" si="77"/>
        <v>#VALUE!</v>
      </c>
    </row>
    <row r="562" spans="1:9" x14ac:dyDescent="0.25">
      <c r="A562" s="254">
        <f t="shared" si="74"/>
        <v>544</v>
      </c>
      <c r="B562" s="255" t="str">
        <f t="shared" si="75"/>
        <v/>
      </c>
      <c r="C562" s="256">
        <f t="shared" si="76"/>
        <v>3047.1172825179469</v>
      </c>
      <c r="D562" s="257" t="str">
        <f t="shared" si="78"/>
        <v/>
      </c>
      <c r="F562" s="257" t="str">
        <f t="shared" si="79"/>
        <v/>
      </c>
      <c r="G562" s="257" t="str">
        <f t="shared" si="80"/>
        <v/>
      </c>
      <c r="H562" s="257" t="str">
        <f t="shared" si="81"/>
        <v/>
      </c>
      <c r="I562" s="220" t="e">
        <f t="shared" si="77"/>
        <v>#VALUE!</v>
      </c>
    </row>
    <row r="563" spans="1:9" x14ac:dyDescent="0.25">
      <c r="A563" s="254">
        <f t="shared" si="74"/>
        <v>545</v>
      </c>
      <c r="B563" s="255" t="str">
        <f t="shared" si="75"/>
        <v/>
      </c>
      <c r="C563" s="256">
        <f t="shared" si="76"/>
        <v>3047.1172825179469</v>
      </c>
      <c r="D563" s="257" t="str">
        <f t="shared" si="78"/>
        <v/>
      </c>
      <c r="F563" s="257" t="str">
        <f t="shared" si="79"/>
        <v/>
      </c>
      <c r="G563" s="257" t="str">
        <f t="shared" si="80"/>
        <v/>
      </c>
      <c r="H563" s="257" t="str">
        <f t="shared" si="81"/>
        <v/>
      </c>
      <c r="I563" s="220" t="e">
        <f t="shared" si="77"/>
        <v>#VALUE!</v>
      </c>
    </row>
    <row r="564" spans="1:9" x14ac:dyDescent="0.25">
      <c r="A564" s="254">
        <f t="shared" si="74"/>
        <v>546</v>
      </c>
      <c r="B564" s="255" t="str">
        <f t="shared" si="75"/>
        <v/>
      </c>
      <c r="C564" s="256">
        <f t="shared" si="76"/>
        <v>3047.1172825179469</v>
      </c>
      <c r="D564" s="257" t="str">
        <f t="shared" si="78"/>
        <v/>
      </c>
      <c r="F564" s="257" t="str">
        <f t="shared" si="79"/>
        <v/>
      </c>
      <c r="G564" s="257" t="str">
        <f t="shared" si="80"/>
        <v/>
      </c>
      <c r="H564" s="257" t="str">
        <f t="shared" si="81"/>
        <v/>
      </c>
      <c r="I564" s="220" t="e">
        <f t="shared" si="77"/>
        <v>#VALUE!</v>
      </c>
    </row>
    <row r="565" spans="1:9" x14ac:dyDescent="0.25">
      <c r="A565" s="254">
        <f t="shared" si="74"/>
        <v>547</v>
      </c>
      <c r="B565" s="255" t="str">
        <f t="shared" si="75"/>
        <v/>
      </c>
      <c r="C565" s="256">
        <f t="shared" si="76"/>
        <v>3047.1172825179469</v>
      </c>
      <c r="D565" s="257" t="str">
        <f t="shared" si="78"/>
        <v/>
      </c>
      <c r="F565" s="257" t="str">
        <f t="shared" si="79"/>
        <v/>
      </c>
      <c r="G565" s="257" t="str">
        <f t="shared" si="80"/>
        <v/>
      </c>
      <c r="H565" s="257" t="str">
        <f t="shared" si="81"/>
        <v/>
      </c>
      <c r="I565" s="220" t="e">
        <f t="shared" si="77"/>
        <v>#VALUE!</v>
      </c>
    </row>
    <row r="566" spans="1:9" x14ac:dyDescent="0.25">
      <c r="A566" s="254">
        <f t="shared" si="74"/>
        <v>548</v>
      </c>
      <c r="B566" s="255" t="str">
        <f t="shared" si="75"/>
        <v/>
      </c>
      <c r="C566" s="256">
        <f t="shared" si="76"/>
        <v>3047.1172825179469</v>
      </c>
      <c r="D566" s="257" t="str">
        <f t="shared" si="78"/>
        <v/>
      </c>
      <c r="F566" s="257" t="str">
        <f t="shared" si="79"/>
        <v/>
      </c>
      <c r="G566" s="257" t="str">
        <f t="shared" si="80"/>
        <v/>
      </c>
      <c r="H566" s="257" t="str">
        <f t="shared" si="81"/>
        <v/>
      </c>
      <c r="I566" s="220" t="e">
        <f t="shared" si="77"/>
        <v>#VALUE!</v>
      </c>
    </row>
    <row r="567" spans="1:9" x14ac:dyDescent="0.25">
      <c r="A567" s="254">
        <f t="shared" si="74"/>
        <v>549</v>
      </c>
      <c r="B567" s="255" t="str">
        <f t="shared" si="75"/>
        <v/>
      </c>
      <c r="C567" s="256">
        <f t="shared" si="76"/>
        <v>3047.1172825179469</v>
      </c>
      <c r="D567" s="257" t="str">
        <f t="shared" si="78"/>
        <v/>
      </c>
      <c r="F567" s="257" t="str">
        <f t="shared" si="79"/>
        <v/>
      </c>
      <c r="G567" s="257" t="str">
        <f t="shared" si="80"/>
        <v/>
      </c>
      <c r="H567" s="257" t="str">
        <f t="shared" si="81"/>
        <v/>
      </c>
      <c r="I567" s="220" t="e">
        <f t="shared" si="77"/>
        <v>#VALUE!</v>
      </c>
    </row>
    <row r="568" spans="1:9" x14ac:dyDescent="0.25">
      <c r="A568" s="254">
        <f t="shared" si="74"/>
        <v>550</v>
      </c>
      <c r="B568" s="255" t="str">
        <f t="shared" si="75"/>
        <v/>
      </c>
      <c r="C568" s="256">
        <f t="shared" si="76"/>
        <v>3047.1172825179469</v>
      </c>
      <c r="D568" s="257" t="str">
        <f t="shared" si="78"/>
        <v/>
      </c>
      <c r="F568" s="257" t="str">
        <f t="shared" si="79"/>
        <v/>
      </c>
      <c r="G568" s="257" t="str">
        <f t="shared" si="80"/>
        <v/>
      </c>
      <c r="H568" s="257" t="str">
        <f t="shared" si="81"/>
        <v/>
      </c>
      <c r="I568" s="220" t="e">
        <f t="shared" si="77"/>
        <v>#VALUE!</v>
      </c>
    </row>
    <row r="569" spans="1:9" x14ac:dyDescent="0.25">
      <c r="A569" s="254">
        <f t="shared" ref="A569:A632" si="82">A568+1</f>
        <v>551</v>
      </c>
      <c r="B569" s="255" t="str">
        <f t="shared" si="75"/>
        <v/>
      </c>
      <c r="C569" s="256">
        <f t="shared" si="76"/>
        <v>3047.1172825179469</v>
      </c>
      <c r="D569" s="257" t="str">
        <f t="shared" si="78"/>
        <v/>
      </c>
      <c r="F569" s="257" t="str">
        <f t="shared" si="79"/>
        <v/>
      </c>
      <c r="G569" s="257" t="str">
        <f t="shared" si="80"/>
        <v/>
      </c>
      <c r="H569" s="257" t="str">
        <f t="shared" si="81"/>
        <v/>
      </c>
      <c r="I569" s="220" t="e">
        <f t="shared" si="77"/>
        <v>#VALUE!</v>
      </c>
    </row>
    <row r="570" spans="1:9" x14ac:dyDescent="0.25">
      <c r="A570" s="254">
        <f t="shared" si="82"/>
        <v>552</v>
      </c>
      <c r="B570" s="255" t="str">
        <f t="shared" si="75"/>
        <v/>
      </c>
      <c r="C570" s="256">
        <f t="shared" si="76"/>
        <v>3047.1172825179469</v>
      </c>
      <c r="D570" s="257" t="str">
        <f t="shared" si="78"/>
        <v/>
      </c>
      <c r="F570" s="257" t="str">
        <f t="shared" si="79"/>
        <v/>
      </c>
      <c r="G570" s="257" t="str">
        <f t="shared" si="80"/>
        <v/>
      </c>
      <c r="H570" s="257" t="str">
        <f t="shared" si="81"/>
        <v/>
      </c>
      <c r="I570" s="220" t="e">
        <f t="shared" si="77"/>
        <v>#VALUE!</v>
      </c>
    </row>
    <row r="571" spans="1:9" x14ac:dyDescent="0.25">
      <c r="A571" s="254">
        <f t="shared" si="82"/>
        <v>553</v>
      </c>
      <c r="B571" s="255" t="str">
        <f t="shared" si="75"/>
        <v/>
      </c>
      <c r="C571" s="256">
        <f t="shared" si="76"/>
        <v>3047.1172825179469</v>
      </c>
      <c r="D571" s="257" t="str">
        <f t="shared" si="78"/>
        <v/>
      </c>
      <c r="F571" s="257" t="str">
        <f t="shared" si="79"/>
        <v/>
      </c>
      <c r="G571" s="257" t="str">
        <f t="shared" si="80"/>
        <v/>
      </c>
      <c r="H571" s="257" t="str">
        <f t="shared" si="81"/>
        <v/>
      </c>
      <c r="I571" s="220" t="e">
        <f t="shared" si="77"/>
        <v>#VALUE!</v>
      </c>
    </row>
    <row r="572" spans="1:9" x14ac:dyDescent="0.25">
      <c r="A572" s="254">
        <f t="shared" si="82"/>
        <v>554</v>
      </c>
      <c r="B572" s="255" t="str">
        <f t="shared" si="75"/>
        <v/>
      </c>
      <c r="C572" s="256">
        <f t="shared" si="76"/>
        <v>3047.1172825179469</v>
      </c>
      <c r="D572" s="257" t="str">
        <f t="shared" si="78"/>
        <v/>
      </c>
      <c r="F572" s="257" t="str">
        <f t="shared" si="79"/>
        <v/>
      </c>
      <c r="G572" s="257" t="str">
        <f t="shared" si="80"/>
        <v/>
      </c>
      <c r="H572" s="257" t="str">
        <f t="shared" si="81"/>
        <v/>
      </c>
      <c r="I572" s="220" t="e">
        <f t="shared" si="77"/>
        <v>#VALUE!</v>
      </c>
    </row>
    <row r="573" spans="1:9" x14ac:dyDescent="0.25">
      <c r="A573" s="254">
        <f t="shared" si="82"/>
        <v>555</v>
      </c>
      <c r="B573" s="255" t="str">
        <f t="shared" si="75"/>
        <v/>
      </c>
      <c r="C573" s="256">
        <f t="shared" si="76"/>
        <v>3047.1172825179469</v>
      </c>
      <c r="D573" s="257" t="str">
        <f t="shared" si="78"/>
        <v/>
      </c>
      <c r="F573" s="257" t="str">
        <f t="shared" si="79"/>
        <v/>
      </c>
      <c r="G573" s="257" t="str">
        <f t="shared" si="80"/>
        <v/>
      </c>
      <c r="H573" s="257" t="str">
        <f t="shared" si="81"/>
        <v/>
      </c>
      <c r="I573" s="220" t="e">
        <f t="shared" si="77"/>
        <v>#VALUE!</v>
      </c>
    </row>
    <row r="574" spans="1:9" x14ac:dyDescent="0.25">
      <c r="A574" s="254">
        <f t="shared" si="82"/>
        <v>556</v>
      </c>
      <c r="B574" s="255" t="str">
        <f t="shared" si="75"/>
        <v/>
      </c>
      <c r="C574" s="256">
        <f t="shared" si="76"/>
        <v>3047.1172825179469</v>
      </c>
      <c r="D574" s="257" t="str">
        <f t="shared" si="78"/>
        <v/>
      </c>
      <c r="F574" s="257" t="str">
        <f t="shared" si="79"/>
        <v/>
      </c>
      <c r="G574" s="257" t="str">
        <f t="shared" si="80"/>
        <v/>
      </c>
      <c r="H574" s="257" t="str">
        <f t="shared" si="81"/>
        <v/>
      </c>
      <c r="I574" s="220" t="e">
        <f t="shared" si="77"/>
        <v>#VALUE!</v>
      </c>
    </row>
    <row r="575" spans="1:9" x14ac:dyDescent="0.25">
      <c r="A575" s="254">
        <f t="shared" si="82"/>
        <v>557</v>
      </c>
      <c r="B575" s="255" t="str">
        <f t="shared" si="75"/>
        <v/>
      </c>
      <c r="C575" s="256">
        <f t="shared" si="76"/>
        <v>3047.1172825179469</v>
      </c>
      <c r="D575" s="257" t="str">
        <f t="shared" si="78"/>
        <v/>
      </c>
      <c r="F575" s="257" t="str">
        <f t="shared" si="79"/>
        <v/>
      </c>
      <c r="G575" s="257" t="str">
        <f t="shared" si="80"/>
        <v/>
      </c>
      <c r="H575" s="257" t="str">
        <f t="shared" si="81"/>
        <v/>
      </c>
      <c r="I575" s="220" t="e">
        <f t="shared" si="77"/>
        <v>#VALUE!</v>
      </c>
    </row>
    <row r="576" spans="1:9" x14ac:dyDescent="0.25">
      <c r="A576" s="254">
        <f t="shared" si="82"/>
        <v>558</v>
      </c>
      <c r="B576" s="255" t="str">
        <f t="shared" si="75"/>
        <v/>
      </c>
      <c r="C576" s="256">
        <f t="shared" si="76"/>
        <v>3047.1172825179469</v>
      </c>
      <c r="D576" s="257" t="str">
        <f t="shared" si="78"/>
        <v/>
      </c>
      <c r="F576" s="257" t="str">
        <f t="shared" si="79"/>
        <v/>
      </c>
      <c r="G576" s="257" t="str">
        <f t="shared" si="80"/>
        <v/>
      </c>
      <c r="H576" s="257" t="str">
        <f t="shared" si="81"/>
        <v/>
      </c>
      <c r="I576" s="220" t="e">
        <f t="shared" si="77"/>
        <v>#VALUE!</v>
      </c>
    </row>
    <row r="577" spans="1:9" x14ac:dyDescent="0.25">
      <c r="A577" s="254">
        <f t="shared" si="82"/>
        <v>559</v>
      </c>
      <c r="B577" s="255" t="str">
        <f t="shared" si="75"/>
        <v/>
      </c>
      <c r="C577" s="256">
        <f t="shared" si="76"/>
        <v>3047.1172825179469</v>
      </c>
      <c r="D577" s="257" t="str">
        <f t="shared" si="78"/>
        <v/>
      </c>
      <c r="F577" s="257" t="str">
        <f t="shared" si="79"/>
        <v/>
      </c>
      <c r="G577" s="257" t="str">
        <f t="shared" si="80"/>
        <v/>
      </c>
      <c r="H577" s="257" t="str">
        <f t="shared" si="81"/>
        <v/>
      </c>
      <c r="I577" s="220" t="e">
        <f t="shared" si="77"/>
        <v>#VALUE!</v>
      </c>
    </row>
    <row r="578" spans="1:9" x14ac:dyDescent="0.25">
      <c r="A578" s="254">
        <f t="shared" si="82"/>
        <v>560</v>
      </c>
      <c r="B578" s="255" t="str">
        <f t="shared" si="75"/>
        <v/>
      </c>
      <c r="C578" s="256">
        <f t="shared" si="76"/>
        <v>3047.1172825179469</v>
      </c>
      <c r="D578" s="257" t="str">
        <f t="shared" si="78"/>
        <v/>
      </c>
      <c r="F578" s="257" t="str">
        <f t="shared" si="79"/>
        <v/>
      </c>
      <c r="G578" s="257" t="str">
        <f t="shared" si="80"/>
        <v/>
      </c>
      <c r="H578" s="257" t="str">
        <f t="shared" si="81"/>
        <v/>
      </c>
      <c r="I578" s="220" t="e">
        <f t="shared" si="77"/>
        <v>#VALUE!</v>
      </c>
    </row>
    <row r="579" spans="1:9" x14ac:dyDescent="0.25">
      <c r="A579" s="254">
        <f t="shared" si="82"/>
        <v>561</v>
      </c>
      <c r="B579" s="255" t="str">
        <f t="shared" si="75"/>
        <v/>
      </c>
      <c r="C579" s="256">
        <f t="shared" si="76"/>
        <v>3047.1172825179469</v>
      </c>
      <c r="D579" s="257" t="str">
        <f t="shared" si="78"/>
        <v/>
      </c>
      <c r="F579" s="257" t="str">
        <f t="shared" si="79"/>
        <v/>
      </c>
      <c r="G579" s="257" t="str">
        <f t="shared" si="80"/>
        <v/>
      </c>
      <c r="H579" s="257" t="str">
        <f t="shared" si="81"/>
        <v/>
      </c>
      <c r="I579" s="220" t="e">
        <f t="shared" si="77"/>
        <v>#VALUE!</v>
      </c>
    </row>
    <row r="580" spans="1:9" x14ac:dyDescent="0.25">
      <c r="A580" s="254">
        <f t="shared" si="82"/>
        <v>562</v>
      </c>
      <c r="B580" s="255" t="str">
        <f t="shared" si="75"/>
        <v/>
      </c>
      <c r="C580" s="256">
        <f t="shared" si="76"/>
        <v>3047.1172825179469</v>
      </c>
      <c r="D580" s="257" t="str">
        <f t="shared" si="78"/>
        <v/>
      </c>
      <c r="F580" s="257" t="str">
        <f t="shared" si="79"/>
        <v/>
      </c>
      <c r="G580" s="257" t="str">
        <f t="shared" si="80"/>
        <v/>
      </c>
      <c r="H580" s="257" t="str">
        <f t="shared" si="81"/>
        <v/>
      </c>
      <c r="I580" s="220" t="e">
        <f t="shared" si="77"/>
        <v>#VALUE!</v>
      </c>
    </row>
    <row r="581" spans="1:9" x14ac:dyDescent="0.25">
      <c r="A581" s="254">
        <f t="shared" si="82"/>
        <v>563</v>
      </c>
      <c r="B581" s="255" t="str">
        <f t="shared" si="75"/>
        <v/>
      </c>
      <c r="C581" s="256">
        <f t="shared" si="76"/>
        <v>3047.1172825179469</v>
      </c>
      <c r="D581" s="257" t="str">
        <f t="shared" si="78"/>
        <v/>
      </c>
      <c r="F581" s="257" t="str">
        <f t="shared" si="79"/>
        <v/>
      </c>
      <c r="G581" s="257" t="str">
        <f t="shared" si="80"/>
        <v/>
      </c>
      <c r="H581" s="257" t="str">
        <f t="shared" si="81"/>
        <v/>
      </c>
      <c r="I581" s="220" t="e">
        <f t="shared" si="77"/>
        <v>#VALUE!</v>
      </c>
    </row>
    <row r="582" spans="1:9" x14ac:dyDescent="0.25">
      <c r="A582" s="254">
        <f t="shared" si="82"/>
        <v>564</v>
      </c>
      <c r="B582" s="255" t="str">
        <f t="shared" si="75"/>
        <v/>
      </c>
      <c r="C582" s="256">
        <f t="shared" si="76"/>
        <v>3047.1172825179469</v>
      </c>
      <c r="D582" s="257" t="str">
        <f t="shared" si="78"/>
        <v/>
      </c>
      <c r="F582" s="257" t="str">
        <f t="shared" si="79"/>
        <v/>
      </c>
      <c r="G582" s="257" t="str">
        <f t="shared" si="80"/>
        <v/>
      </c>
      <c r="H582" s="257" t="str">
        <f t="shared" si="81"/>
        <v/>
      </c>
      <c r="I582" s="220" t="e">
        <f t="shared" si="77"/>
        <v>#VALUE!</v>
      </c>
    </row>
    <row r="583" spans="1:9" x14ac:dyDescent="0.25">
      <c r="A583" s="254">
        <f t="shared" si="82"/>
        <v>565</v>
      </c>
      <c r="B583" s="255" t="str">
        <f t="shared" si="75"/>
        <v/>
      </c>
      <c r="C583" s="256">
        <f t="shared" si="76"/>
        <v>3047.1172825179469</v>
      </c>
      <c r="D583" s="257" t="str">
        <f t="shared" si="78"/>
        <v/>
      </c>
      <c r="F583" s="257" t="str">
        <f t="shared" si="79"/>
        <v/>
      </c>
      <c r="G583" s="257" t="str">
        <f t="shared" si="80"/>
        <v/>
      </c>
      <c r="H583" s="257" t="str">
        <f t="shared" si="81"/>
        <v/>
      </c>
      <c r="I583" s="220" t="e">
        <f t="shared" si="77"/>
        <v>#VALUE!</v>
      </c>
    </row>
    <row r="584" spans="1:9" x14ac:dyDescent="0.25">
      <c r="A584" s="254">
        <f t="shared" si="82"/>
        <v>566</v>
      </c>
      <c r="B584" s="255" t="str">
        <f t="shared" si="75"/>
        <v/>
      </c>
      <c r="C584" s="256">
        <f t="shared" si="76"/>
        <v>3047.1172825179469</v>
      </c>
      <c r="D584" s="257" t="str">
        <f t="shared" si="78"/>
        <v/>
      </c>
      <c r="F584" s="257" t="str">
        <f t="shared" si="79"/>
        <v/>
      </c>
      <c r="G584" s="257" t="str">
        <f t="shared" si="80"/>
        <v/>
      </c>
      <c r="H584" s="257" t="str">
        <f t="shared" si="81"/>
        <v/>
      </c>
      <c r="I584" s="220" t="e">
        <f t="shared" si="77"/>
        <v>#VALUE!</v>
      </c>
    </row>
    <row r="585" spans="1:9" x14ac:dyDescent="0.25">
      <c r="A585" s="254">
        <f t="shared" si="82"/>
        <v>567</v>
      </c>
      <c r="B585" s="255" t="str">
        <f t="shared" si="75"/>
        <v/>
      </c>
      <c r="C585" s="256">
        <f t="shared" si="76"/>
        <v>3047.1172825179469</v>
      </c>
      <c r="D585" s="257" t="str">
        <f t="shared" si="78"/>
        <v/>
      </c>
      <c r="F585" s="257" t="str">
        <f t="shared" si="79"/>
        <v/>
      </c>
      <c r="G585" s="257" t="str">
        <f t="shared" si="80"/>
        <v/>
      </c>
      <c r="H585" s="257" t="str">
        <f t="shared" si="81"/>
        <v/>
      </c>
      <c r="I585" s="220" t="e">
        <f t="shared" si="77"/>
        <v>#VALUE!</v>
      </c>
    </row>
    <row r="586" spans="1:9" x14ac:dyDescent="0.25">
      <c r="A586" s="254">
        <f t="shared" si="82"/>
        <v>568</v>
      </c>
      <c r="B586" s="255" t="str">
        <f t="shared" si="75"/>
        <v/>
      </c>
      <c r="C586" s="256">
        <f t="shared" si="76"/>
        <v>3047.1172825179469</v>
      </c>
      <c r="D586" s="257" t="str">
        <f t="shared" si="78"/>
        <v/>
      </c>
      <c r="F586" s="257" t="str">
        <f t="shared" si="79"/>
        <v/>
      </c>
      <c r="G586" s="257" t="str">
        <f t="shared" si="80"/>
        <v/>
      </c>
      <c r="H586" s="257" t="str">
        <f t="shared" si="81"/>
        <v/>
      </c>
      <c r="I586" s="220" t="e">
        <f t="shared" si="77"/>
        <v>#VALUE!</v>
      </c>
    </row>
    <row r="587" spans="1:9" x14ac:dyDescent="0.25">
      <c r="A587" s="254">
        <f t="shared" si="82"/>
        <v>569</v>
      </c>
      <c r="B587" s="255" t="str">
        <f t="shared" si="75"/>
        <v/>
      </c>
      <c r="C587" s="256">
        <f t="shared" si="76"/>
        <v>3047.1172825179469</v>
      </c>
      <c r="D587" s="257" t="str">
        <f t="shared" si="78"/>
        <v/>
      </c>
      <c r="F587" s="257" t="str">
        <f t="shared" si="79"/>
        <v/>
      </c>
      <c r="G587" s="257" t="str">
        <f t="shared" si="80"/>
        <v/>
      </c>
      <c r="H587" s="257" t="str">
        <f t="shared" si="81"/>
        <v/>
      </c>
      <c r="I587" s="220" t="e">
        <f t="shared" si="77"/>
        <v>#VALUE!</v>
      </c>
    </row>
    <row r="588" spans="1:9" x14ac:dyDescent="0.25">
      <c r="A588" s="254">
        <f t="shared" si="82"/>
        <v>570</v>
      </c>
      <c r="B588" s="255" t="str">
        <f t="shared" si="75"/>
        <v/>
      </c>
      <c r="C588" s="256">
        <f t="shared" si="76"/>
        <v>3047.1172825179469</v>
      </c>
      <c r="D588" s="257" t="str">
        <f t="shared" si="78"/>
        <v/>
      </c>
      <c r="F588" s="257" t="str">
        <f t="shared" si="79"/>
        <v/>
      </c>
      <c r="G588" s="257" t="str">
        <f t="shared" si="80"/>
        <v/>
      </c>
      <c r="H588" s="257" t="str">
        <f t="shared" si="81"/>
        <v/>
      </c>
      <c r="I588" s="220" t="e">
        <f t="shared" si="77"/>
        <v>#VALUE!</v>
      </c>
    </row>
    <row r="589" spans="1:9" x14ac:dyDescent="0.25">
      <c r="A589" s="254">
        <f t="shared" si="82"/>
        <v>571</v>
      </c>
      <c r="B589" s="255" t="str">
        <f t="shared" si="75"/>
        <v/>
      </c>
      <c r="C589" s="256">
        <f t="shared" si="76"/>
        <v>3047.1172825179469</v>
      </c>
      <c r="D589" s="257" t="str">
        <f t="shared" si="78"/>
        <v/>
      </c>
      <c r="F589" s="257" t="str">
        <f t="shared" si="79"/>
        <v/>
      </c>
      <c r="G589" s="257" t="str">
        <f t="shared" si="80"/>
        <v/>
      </c>
      <c r="H589" s="257" t="str">
        <f t="shared" si="81"/>
        <v/>
      </c>
      <c r="I589" s="220" t="e">
        <f t="shared" si="77"/>
        <v>#VALUE!</v>
      </c>
    </row>
    <row r="590" spans="1:9" x14ac:dyDescent="0.25">
      <c r="A590" s="254">
        <f t="shared" si="82"/>
        <v>572</v>
      </c>
      <c r="B590" s="255" t="str">
        <f t="shared" si="75"/>
        <v/>
      </c>
      <c r="C590" s="256">
        <f t="shared" si="76"/>
        <v>3047.1172825179469</v>
      </c>
      <c r="D590" s="257" t="str">
        <f t="shared" si="78"/>
        <v/>
      </c>
      <c r="F590" s="257" t="str">
        <f t="shared" si="79"/>
        <v/>
      </c>
      <c r="G590" s="257" t="str">
        <f t="shared" si="80"/>
        <v/>
      </c>
      <c r="H590" s="257" t="str">
        <f t="shared" si="81"/>
        <v/>
      </c>
      <c r="I590" s="220" t="e">
        <f t="shared" si="77"/>
        <v>#VALUE!</v>
      </c>
    </row>
    <row r="591" spans="1:9" x14ac:dyDescent="0.25">
      <c r="A591" s="254">
        <f t="shared" si="82"/>
        <v>573</v>
      </c>
      <c r="B591" s="255" t="str">
        <f t="shared" si="75"/>
        <v/>
      </c>
      <c r="C591" s="256">
        <f t="shared" si="76"/>
        <v>3047.1172825179469</v>
      </c>
      <c r="D591" s="257" t="str">
        <f t="shared" si="78"/>
        <v/>
      </c>
      <c r="F591" s="257" t="str">
        <f t="shared" si="79"/>
        <v/>
      </c>
      <c r="G591" s="257" t="str">
        <f t="shared" si="80"/>
        <v/>
      </c>
      <c r="H591" s="257" t="str">
        <f t="shared" si="81"/>
        <v/>
      </c>
      <c r="I591" s="220" t="e">
        <f t="shared" si="77"/>
        <v>#VALUE!</v>
      </c>
    </row>
    <row r="592" spans="1:9" x14ac:dyDescent="0.25">
      <c r="A592" s="254">
        <f t="shared" si="82"/>
        <v>574</v>
      </c>
      <c r="B592" s="255" t="str">
        <f t="shared" si="75"/>
        <v/>
      </c>
      <c r="C592" s="256">
        <f t="shared" si="76"/>
        <v>3047.1172825179469</v>
      </c>
      <c r="D592" s="257" t="str">
        <f t="shared" si="78"/>
        <v/>
      </c>
      <c r="F592" s="257" t="str">
        <f t="shared" si="79"/>
        <v/>
      </c>
      <c r="G592" s="257" t="str">
        <f t="shared" si="80"/>
        <v/>
      </c>
      <c r="H592" s="257" t="str">
        <f t="shared" si="81"/>
        <v/>
      </c>
      <c r="I592" s="220" t="e">
        <f t="shared" si="77"/>
        <v>#VALUE!</v>
      </c>
    </row>
    <row r="593" spans="1:9" x14ac:dyDescent="0.25">
      <c r="A593" s="254">
        <f t="shared" si="82"/>
        <v>575</v>
      </c>
      <c r="B593" s="255" t="str">
        <f t="shared" si="75"/>
        <v/>
      </c>
      <c r="C593" s="256">
        <f t="shared" si="76"/>
        <v>3047.1172825179469</v>
      </c>
      <c r="D593" s="257" t="str">
        <f t="shared" si="78"/>
        <v/>
      </c>
      <c r="F593" s="257" t="str">
        <f t="shared" si="79"/>
        <v/>
      </c>
      <c r="G593" s="257" t="str">
        <f t="shared" si="80"/>
        <v/>
      </c>
      <c r="H593" s="257" t="str">
        <f t="shared" si="81"/>
        <v/>
      </c>
      <c r="I593" s="220" t="e">
        <f t="shared" si="77"/>
        <v>#VALUE!</v>
      </c>
    </row>
    <row r="594" spans="1:9" x14ac:dyDescent="0.25">
      <c r="A594" s="254">
        <f t="shared" si="82"/>
        <v>576</v>
      </c>
      <c r="B594" s="255" t="str">
        <f t="shared" si="75"/>
        <v/>
      </c>
      <c r="C594" s="256">
        <f t="shared" si="76"/>
        <v>3047.1172825179469</v>
      </c>
      <c r="D594" s="257" t="str">
        <f t="shared" si="78"/>
        <v/>
      </c>
      <c r="F594" s="257" t="str">
        <f t="shared" si="79"/>
        <v/>
      </c>
      <c r="G594" s="257" t="str">
        <f t="shared" si="80"/>
        <v/>
      </c>
      <c r="H594" s="257" t="str">
        <f t="shared" si="81"/>
        <v/>
      </c>
      <c r="I594" s="220" t="e">
        <f t="shared" si="77"/>
        <v>#VALUE!</v>
      </c>
    </row>
    <row r="595" spans="1:9" x14ac:dyDescent="0.25">
      <c r="A595" s="254">
        <f t="shared" si="82"/>
        <v>577</v>
      </c>
      <c r="B595" s="255" t="str">
        <f t="shared" si="75"/>
        <v/>
      </c>
      <c r="C595" s="256">
        <f t="shared" si="76"/>
        <v>3047.1172825179469</v>
      </c>
      <c r="D595" s="257" t="str">
        <f t="shared" si="78"/>
        <v/>
      </c>
      <c r="F595" s="257" t="str">
        <f t="shared" si="79"/>
        <v/>
      </c>
      <c r="G595" s="257" t="str">
        <f t="shared" si="80"/>
        <v/>
      </c>
      <c r="H595" s="257" t="str">
        <f t="shared" si="81"/>
        <v/>
      </c>
      <c r="I595" s="220" t="e">
        <f t="shared" si="77"/>
        <v>#VALUE!</v>
      </c>
    </row>
    <row r="596" spans="1:9" x14ac:dyDescent="0.25">
      <c r="A596" s="254">
        <f t="shared" si="82"/>
        <v>578</v>
      </c>
      <c r="B596" s="255" t="str">
        <f t="shared" ref="B596:B659" si="83">IF(A596&gt;$H$11,"",DATE(YEAR(B595),MONTH(B595)+1,1))</f>
        <v/>
      </c>
      <c r="C596" s="256">
        <f t="shared" ref="C596:C659" si="84">IF($H$15=0,-$D$14,IF(OR(A596=$H$11,A596=$H$14),G595+D596+E596,IF(B596="","",ROUND((B596-B595)*($H$9+$H$10*$I$10)*G595,2))))</f>
        <v>3047.1172825179469</v>
      </c>
      <c r="D596" s="257" t="str">
        <f t="shared" si="78"/>
        <v/>
      </c>
      <c r="F596" s="257" t="str">
        <f t="shared" si="79"/>
        <v/>
      </c>
      <c r="G596" s="257" t="str">
        <f t="shared" si="80"/>
        <v/>
      </c>
      <c r="H596" s="257" t="str">
        <f t="shared" si="81"/>
        <v/>
      </c>
      <c r="I596" s="220" t="e">
        <f t="shared" ref="I596:I659" si="85">YEAR(B596)</f>
        <v>#VALUE!</v>
      </c>
    </row>
    <row r="597" spans="1:9" x14ac:dyDescent="0.25">
      <c r="A597" s="254">
        <f t="shared" si="82"/>
        <v>579</v>
      </c>
      <c r="B597" s="255" t="str">
        <f t="shared" si="83"/>
        <v/>
      </c>
      <c r="C597" s="256">
        <f t="shared" si="84"/>
        <v>3047.1172825179469</v>
      </c>
      <c r="D597" s="257" t="str">
        <f t="shared" si="78"/>
        <v/>
      </c>
      <c r="F597" s="257" t="str">
        <f t="shared" si="79"/>
        <v/>
      </c>
      <c r="G597" s="257" t="str">
        <f t="shared" si="80"/>
        <v/>
      </c>
      <c r="H597" s="257" t="str">
        <f t="shared" si="81"/>
        <v/>
      </c>
      <c r="I597" s="220" t="e">
        <f t="shared" si="85"/>
        <v>#VALUE!</v>
      </c>
    </row>
    <row r="598" spans="1:9" x14ac:dyDescent="0.25">
      <c r="A598" s="254">
        <f t="shared" si="82"/>
        <v>580</v>
      </c>
      <c r="B598" s="255" t="str">
        <f t="shared" si="83"/>
        <v/>
      </c>
      <c r="C598" s="256">
        <f t="shared" si="84"/>
        <v>3047.1172825179469</v>
      </c>
      <c r="D598" s="257" t="str">
        <f t="shared" si="78"/>
        <v/>
      </c>
      <c r="F598" s="257" t="str">
        <f t="shared" si="79"/>
        <v/>
      </c>
      <c r="G598" s="257" t="str">
        <f t="shared" si="80"/>
        <v/>
      </c>
      <c r="H598" s="257" t="str">
        <f t="shared" si="81"/>
        <v/>
      </c>
      <c r="I598" s="220" t="e">
        <f t="shared" si="85"/>
        <v>#VALUE!</v>
      </c>
    </row>
    <row r="599" spans="1:9" x14ac:dyDescent="0.25">
      <c r="A599" s="254">
        <f t="shared" si="82"/>
        <v>581</v>
      </c>
      <c r="B599" s="255" t="str">
        <f t="shared" si="83"/>
        <v/>
      </c>
      <c r="C599" s="256">
        <f t="shared" si="84"/>
        <v>3047.1172825179469</v>
      </c>
      <c r="D599" s="257" t="str">
        <f t="shared" ref="D599:D662" si="86">IF(B599="","",ROUND((B599-B598)*$H$9*G598,2))</f>
        <v/>
      </c>
      <c r="F599" s="257" t="str">
        <f t="shared" ref="F599:F662" si="87">IF(B599="","",IF(C599&gt;F598+D599,0,F598+D599-C599))</f>
        <v/>
      </c>
      <c r="G599" s="257" t="str">
        <f t="shared" ref="G599:G662" si="88">IF(B599="","",IF(C599&gt;D599+F598,G598+F598+D599-C599,G598))</f>
        <v/>
      </c>
      <c r="H599" s="257" t="str">
        <f t="shared" ref="H599:H662" si="89">IF(B599="","",G599+F599)</f>
        <v/>
      </c>
      <c r="I599" s="220" t="e">
        <f t="shared" si="85"/>
        <v>#VALUE!</v>
      </c>
    </row>
    <row r="600" spans="1:9" x14ac:dyDescent="0.25">
      <c r="A600" s="254">
        <f t="shared" si="82"/>
        <v>582</v>
      </c>
      <c r="B600" s="255" t="str">
        <f t="shared" si="83"/>
        <v/>
      </c>
      <c r="C600" s="256">
        <f t="shared" si="84"/>
        <v>3047.1172825179469</v>
      </c>
      <c r="D600" s="257" t="str">
        <f t="shared" si="86"/>
        <v/>
      </c>
      <c r="F600" s="257" t="str">
        <f t="shared" si="87"/>
        <v/>
      </c>
      <c r="G600" s="257" t="str">
        <f t="shared" si="88"/>
        <v/>
      </c>
      <c r="H600" s="257" t="str">
        <f t="shared" si="89"/>
        <v/>
      </c>
      <c r="I600" s="220" t="e">
        <f t="shared" si="85"/>
        <v>#VALUE!</v>
      </c>
    </row>
    <row r="601" spans="1:9" x14ac:dyDescent="0.25">
      <c r="A601" s="254">
        <f t="shared" si="82"/>
        <v>583</v>
      </c>
      <c r="B601" s="255" t="str">
        <f t="shared" si="83"/>
        <v/>
      </c>
      <c r="C601" s="256">
        <f t="shared" si="84"/>
        <v>3047.1172825179469</v>
      </c>
      <c r="D601" s="257" t="str">
        <f t="shared" si="86"/>
        <v/>
      </c>
      <c r="F601" s="257" t="str">
        <f t="shared" si="87"/>
        <v/>
      </c>
      <c r="G601" s="257" t="str">
        <f t="shared" si="88"/>
        <v/>
      </c>
      <c r="H601" s="257" t="str">
        <f t="shared" si="89"/>
        <v/>
      </c>
      <c r="I601" s="220" t="e">
        <f t="shared" si="85"/>
        <v>#VALUE!</v>
      </c>
    </row>
    <row r="602" spans="1:9" x14ac:dyDescent="0.25">
      <c r="A602" s="254">
        <f t="shared" si="82"/>
        <v>584</v>
      </c>
      <c r="B602" s="255" t="str">
        <f t="shared" si="83"/>
        <v/>
      </c>
      <c r="C602" s="256">
        <f t="shared" si="84"/>
        <v>3047.1172825179469</v>
      </c>
      <c r="D602" s="257" t="str">
        <f t="shared" si="86"/>
        <v/>
      </c>
      <c r="F602" s="257" t="str">
        <f t="shared" si="87"/>
        <v/>
      </c>
      <c r="G602" s="257" t="str">
        <f t="shared" si="88"/>
        <v/>
      </c>
      <c r="H602" s="257" t="str">
        <f t="shared" si="89"/>
        <v/>
      </c>
      <c r="I602" s="220" t="e">
        <f t="shared" si="85"/>
        <v>#VALUE!</v>
      </c>
    </row>
    <row r="603" spans="1:9" x14ac:dyDescent="0.25">
      <c r="A603" s="254">
        <f t="shared" si="82"/>
        <v>585</v>
      </c>
      <c r="B603" s="255" t="str">
        <f t="shared" si="83"/>
        <v/>
      </c>
      <c r="C603" s="256">
        <f t="shared" si="84"/>
        <v>3047.1172825179469</v>
      </c>
      <c r="D603" s="257" t="str">
        <f t="shared" si="86"/>
        <v/>
      </c>
      <c r="F603" s="257" t="str">
        <f t="shared" si="87"/>
        <v/>
      </c>
      <c r="G603" s="257" t="str">
        <f t="shared" si="88"/>
        <v/>
      </c>
      <c r="H603" s="257" t="str">
        <f t="shared" si="89"/>
        <v/>
      </c>
      <c r="I603" s="220" t="e">
        <f t="shared" si="85"/>
        <v>#VALUE!</v>
      </c>
    </row>
    <row r="604" spans="1:9" x14ac:dyDescent="0.25">
      <c r="A604" s="254">
        <f t="shared" si="82"/>
        <v>586</v>
      </c>
      <c r="B604" s="255" t="str">
        <f t="shared" si="83"/>
        <v/>
      </c>
      <c r="C604" s="256">
        <f t="shared" si="84"/>
        <v>3047.1172825179469</v>
      </c>
      <c r="D604" s="257" t="str">
        <f t="shared" si="86"/>
        <v/>
      </c>
      <c r="F604" s="257" t="str">
        <f t="shared" si="87"/>
        <v/>
      </c>
      <c r="G604" s="257" t="str">
        <f t="shared" si="88"/>
        <v/>
      </c>
      <c r="H604" s="257" t="str">
        <f t="shared" si="89"/>
        <v/>
      </c>
      <c r="I604" s="220" t="e">
        <f t="shared" si="85"/>
        <v>#VALUE!</v>
      </c>
    </row>
    <row r="605" spans="1:9" x14ac:dyDescent="0.25">
      <c r="A605" s="254">
        <f t="shared" si="82"/>
        <v>587</v>
      </c>
      <c r="B605" s="255" t="str">
        <f t="shared" si="83"/>
        <v/>
      </c>
      <c r="C605" s="256">
        <f t="shared" si="84"/>
        <v>3047.1172825179469</v>
      </c>
      <c r="D605" s="257" t="str">
        <f t="shared" si="86"/>
        <v/>
      </c>
      <c r="F605" s="257" t="str">
        <f t="shared" si="87"/>
        <v/>
      </c>
      <c r="G605" s="257" t="str">
        <f t="shared" si="88"/>
        <v/>
      </c>
      <c r="H605" s="257" t="str">
        <f t="shared" si="89"/>
        <v/>
      </c>
      <c r="I605" s="220" t="e">
        <f t="shared" si="85"/>
        <v>#VALUE!</v>
      </c>
    </row>
    <row r="606" spans="1:9" x14ac:dyDescent="0.25">
      <c r="A606" s="254">
        <f t="shared" si="82"/>
        <v>588</v>
      </c>
      <c r="B606" s="255" t="str">
        <f t="shared" si="83"/>
        <v/>
      </c>
      <c r="C606" s="256">
        <f t="shared" si="84"/>
        <v>3047.1172825179469</v>
      </c>
      <c r="D606" s="257" t="str">
        <f t="shared" si="86"/>
        <v/>
      </c>
      <c r="F606" s="257" t="str">
        <f t="shared" si="87"/>
        <v/>
      </c>
      <c r="G606" s="257" t="str">
        <f t="shared" si="88"/>
        <v/>
      </c>
      <c r="H606" s="257" t="str">
        <f t="shared" si="89"/>
        <v/>
      </c>
      <c r="I606" s="220" t="e">
        <f t="shared" si="85"/>
        <v>#VALUE!</v>
      </c>
    </row>
    <row r="607" spans="1:9" x14ac:dyDescent="0.25">
      <c r="A607" s="254">
        <f t="shared" si="82"/>
        <v>589</v>
      </c>
      <c r="B607" s="255" t="str">
        <f t="shared" si="83"/>
        <v/>
      </c>
      <c r="C607" s="256">
        <f t="shared" si="84"/>
        <v>3047.1172825179469</v>
      </c>
      <c r="D607" s="257" t="str">
        <f t="shared" si="86"/>
        <v/>
      </c>
      <c r="F607" s="257" t="str">
        <f t="shared" si="87"/>
        <v/>
      </c>
      <c r="G607" s="257" t="str">
        <f t="shared" si="88"/>
        <v/>
      </c>
      <c r="H607" s="257" t="str">
        <f t="shared" si="89"/>
        <v/>
      </c>
      <c r="I607" s="220" t="e">
        <f t="shared" si="85"/>
        <v>#VALUE!</v>
      </c>
    </row>
    <row r="608" spans="1:9" x14ac:dyDescent="0.25">
      <c r="A608" s="254">
        <f t="shared" si="82"/>
        <v>590</v>
      </c>
      <c r="B608" s="255" t="str">
        <f t="shared" si="83"/>
        <v/>
      </c>
      <c r="C608" s="256">
        <f t="shared" si="84"/>
        <v>3047.1172825179469</v>
      </c>
      <c r="D608" s="257" t="str">
        <f t="shared" si="86"/>
        <v/>
      </c>
      <c r="F608" s="257" t="str">
        <f t="shared" si="87"/>
        <v/>
      </c>
      <c r="G608" s="257" t="str">
        <f t="shared" si="88"/>
        <v/>
      </c>
      <c r="H608" s="257" t="str">
        <f t="shared" si="89"/>
        <v/>
      </c>
      <c r="I608" s="220" t="e">
        <f t="shared" si="85"/>
        <v>#VALUE!</v>
      </c>
    </row>
    <row r="609" spans="1:9" x14ac:dyDescent="0.25">
      <c r="A609" s="254">
        <f t="shared" si="82"/>
        <v>591</v>
      </c>
      <c r="B609" s="255" t="str">
        <f t="shared" si="83"/>
        <v/>
      </c>
      <c r="C609" s="256">
        <f t="shared" si="84"/>
        <v>3047.1172825179469</v>
      </c>
      <c r="D609" s="257" t="str">
        <f t="shared" si="86"/>
        <v/>
      </c>
      <c r="F609" s="257" t="str">
        <f t="shared" si="87"/>
        <v/>
      </c>
      <c r="G609" s="257" t="str">
        <f t="shared" si="88"/>
        <v/>
      </c>
      <c r="H609" s="257" t="str">
        <f t="shared" si="89"/>
        <v/>
      </c>
      <c r="I609" s="220" t="e">
        <f t="shared" si="85"/>
        <v>#VALUE!</v>
      </c>
    </row>
    <row r="610" spans="1:9" x14ac:dyDescent="0.25">
      <c r="A610" s="254">
        <f t="shared" si="82"/>
        <v>592</v>
      </c>
      <c r="B610" s="255" t="str">
        <f t="shared" si="83"/>
        <v/>
      </c>
      <c r="C610" s="256">
        <f t="shared" si="84"/>
        <v>3047.1172825179469</v>
      </c>
      <c r="D610" s="257" t="str">
        <f t="shared" si="86"/>
        <v/>
      </c>
      <c r="F610" s="257" t="str">
        <f t="shared" si="87"/>
        <v/>
      </c>
      <c r="G610" s="257" t="str">
        <f t="shared" si="88"/>
        <v/>
      </c>
      <c r="H610" s="257" t="str">
        <f t="shared" si="89"/>
        <v/>
      </c>
      <c r="I610" s="220" t="e">
        <f t="shared" si="85"/>
        <v>#VALUE!</v>
      </c>
    </row>
    <row r="611" spans="1:9" x14ac:dyDescent="0.25">
      <c r="A611" s="254">
        <f t="shared" si="82"/>
        <v>593</v>
      </c>
      <c r="B611" s="255" t="str">
        <f t="shared" si="83"/>
        <v/>
      </c>
      <c r="C611" s="256">
        <f t="shared" si="84"/>
        <v>3047.1172825179469</v>
      </c>
      <c r="D611" s="257" t="str">
        <f t="shared" si="86"/>
        <v/>
      </c>
      <c r="F611" s="257" t="str">
        <f t="shared" si="87"/>
        <v/>
      </c>
      <c r="G611" s="257" t="str">
        <f t="shared" si="88"/>
        <v/>
      </c>
      <c r="H611" s="257" t="str">
        <f t="shared" si="89"/>
        <v/>
      </c>
      <c r="I611" s="220" t="e">
        <f t="shared" si="85"/>
        <v>#VALUE!</v>
      </c>
    </row>
    <row r="612" spans="1:9" x14ac:dyDescent="0.25">
      <c r="A612" s="254">
        <f t="shared" si="82"/>
        <v>594</v>
      </c>
      <c r="B612" s="255" t="str">
        <f t="shared" si="83"/>
        <v/>
      </c>
      <c r="C612" s="256">
        <f t="shared" si="84"/>
        <v>3047.1172825179469</v>
      </c>
      <c r="D612" s="257" t="str">
        <f t="shared" si="86"/>
        <v/>
      </c>
      <c r="F612" s="257" t="str">
        <f t="shared" si="87"/>
        <v/>
      </c>
      <c r="G612" s="257" t="str">
        <f t="shared" si="88"/>
        <v/>
      </c>
      <c r="H612" s="257" t="str">
        <f t="shared" si="89"/>
        <v/>
      </c>
      <c r="I612" s="220" t="e">
        <f t="shared" si="85"/>
        <v>#VALUE!</v>
      </c>
    </row>
    <row r="613" spans="1:9" x14ac:dyDescent="0.25">
      <c r="A613" s="254">
        <f t="shared" si="82"/>
        <v>595</v>
      </c>
      <c r="B613" s="255" t="str">
        <f t="shared" si="83"/>
        <v/>
      </c>
      <c r="C613" s="256">
        <f t="shared" si="84"/>
        <v>3047.1172825179469</v>
      </c>
      <c r="D613" s="257" t="str">
        <f t="shared" si="86"/>
        <v/>
      </c>
      <c r="F613" s="257" t="str">
        <f t="shared" si="87"/>
        <v/>
      </c>
      <c r="G613" s="257" t="str">
        <f t="shared" si="88"/>
        <v/>
      </c>
      <c r="H613" s="257" t="str">
        <f t="shared" si="89"/>
        <v/>
      </c>
      <c r="I613" s="220" t="e">
        <f t="shared" si="85"/>
        <v>#VALUE!</v>
      </c>
    </row>
    <row r="614" spans="1:9" x14ac:dyDescent="0.25">
      <c r="A614" s="254">
        <f t="shared" si="82"/>
        <v>596</v>
      </c>
      <c r="B614" s="255" t="str">
        <f t="shared" si="83"/>
        <v/>
      </c>
      <c r="C614" s="256">
        <f t="shared" si="84"/>
        <v>3047.1172825179469</v>
      </c>
      <c r="D614" s="257" t="str">
        <f t="shared" si="86"/>
        <v/>
      </c>
      <c r="F614" s="257" t="str">
        <f t="shared" si="87"/>
        <v/>
      </c>
      <c r="G614" s="257" t="str">
        <f t="shared" si="88"/>
        <v/>
      </c>
      <c r="H614" s="257" t="str">
        <f t="shared" si="89"/>
        <v/>
      </c>
      <c r="I614" s="220" t="e">
        <f t="shared" si="85"/>
        <v>#VALUE!</v>
      </c>
    </row>
    <row r="615" spans="1:9" x14ac:dyDescent="0.25">
      <c r="A615" s="254">
        <f t="shared" si="82"/>
        <v>597</v>
      </c>
      <c r="B615" s="255" t="str">
        <f t="shared" si="83"/>
        <v/>
      </c>
      <c r="C615" s="256">
        <f t="shared" si="84"/>
        <v>3047.1172825179469</v>
      </c>
      <c r="D615" s="257" t="str">
        <f t="shared" si="86"/>
        <v/>
      </c>
      <c r="F615" s="257" t="str">
        <f t="shared" si="87"/>
        <v/>
      </c>
      <c r="G615" s="257" t="str">
        <f t="shared" si="88"/>
        <v/>
      </c>
      <c r="H615" s="257" t="str">
        <f t="shared" si="89"/>
        <v/>
      </c>
      <c r="I615" s="220" t="e">
        <f t="shared" si="85"/>
        <v>#VALUE!</v>
      </c>
    </row>
    <row r="616" spans="1:9" x14ac:dyDescent="0.25">
      <c r="A616" s="254">
        <f t="shared" si="82"/>
        <v>598</v>
      </c>
      <c r="B616" s="255" t="str">
        <f t="shared" si="83"/>
        <v/>
      </c>
      <c r="C616" s="256">
        <f t="shared" si="84"/>
        <v>3047.1172825179469</v>
      </c>
      <c r="D616" s="257" t="str">
        <f t="shared" si="86"/>
        <v/>
      </c>
      <c r="F616" s="257" t="str">
        <f t="shared" si="87"/>
        <v/>
      </c>
      <c r="G616" s="257" t="str">
        <f t="shared" si="88"/>
        <v/>
      </c>
      <c r="H616" s="257" t="str">
        <f t="shared" si="89"/>
        <v/>
      </c>
      <c r="I616" s="220" t="e">
        <f t="shared" si="85"/>
        <v>#VALUE!</v>
      </c>
    </row>
    <row r="617" spans="1:9" x14ac:dyDescent="0.25">
      <c r="A617" s="254">
        <f t="shared" si="82"/>
        <v>599</v>
      </c>
      <c r="B617" s="255" t="str">
        <f t="shared" si="83"/>
        <v/>
      </c>
      <c r="C617" s="256">
        <f t="shared" si="84"/>
        <v>3047.1172825179469</v>
      </c>
      <c r="D617" s="257" t="str">
        <f t="shared" si="86"/>
        <v/>
      </c>
      <c r="F617" s="257" t="str">
        <f t="shared" si="87"/>
        <v/>
      </c>
      <c r="G617" s="257" t="str">
        <f t="shared" si="88"/>
        <v/>
      </c>
      <c r="H617" s="257" t="str">
        <f t="shared" si="89"/>
        <v/>
      </c>
      <c r="I617" s="220" t="e">
        <f t="shared" si="85"/>
        <v>#VALUE!</v>
      </c>
    </row>
    <row r="618" spans="1:9" x14ac:dyDescent="0.25">
      <c r="A618" s="254">
        <f t="shared" si="82"/>
        <v>600</v>
      </c>
      <c r="B618" s="255" t="str">
        <f t="shared" si="83"/>
        <v/>
      </c>
      <c r="C618" s="256">
        <f t="shared" si="84"/>
        <v>3047.1172825179469</v>
      </c>
      <c r="D618" s="257" t="str">
        <f t="shared" si="86"/>
        <v/>
      </c>
      <c r="F618" s="257" t="str">
        <f t="shared" si="87"/>
        <v/>
      </c>
      <c r="G618" s="257" t="str">
        <f t="shared" si="88"/>
        <v/>
      </c>
      <c r="H618" s="257" t="str">
        <f t="shared" si="89"/>
        <v/>
      </c>
      <c r="I618" s="220" t="e">
        <f t="shared" si="85"/>
        <v>#VALUE!</v>
      </c>
    </row>
    <row r="619" spans="1:9" x14ac:dyDescent="0.25">
      <c r="A619" s="254">
        <f t="shared" si="82"/>
        <v>601</v>
      </c>
      <c r="B619" s="255" t="str">
        <f t="shared" si="83"/>
        <v/>
      </c>
      <c r="C619" s="256">
        <f t="shared" si="84"/>
        <v>3047.1172825179469</v>
      </c>
      <c r="D619" s="257" t="str">
        <f t="shared" si="86"/>
        <v/>
      </c>
      <c r="F619" s="257" t="str">
        <f t="shared" si="87"/>
        <v/>
      </c>
      <c r="G619" s="257" t="str">
        <f t="shared" si="88"/>
        <v/>
      </c>
      <c r="H619" s="257" t="str">
        <f t="shared" si="89"/>
        <v/>
      </c>
      <c r="I619" s="220" t="e">
        <f t="shared" si="85"/>
        <v>#VALUE!</v>
      </c>
    </row>
    <row r="620" spans="1:9" x14ac:dyDescent="0.25">
      <c r="A620" s="254">
        <f t="shared" si="82"/>
        <v>602</v>
      </c>
      <c r="B620" s="255" t="str">
        <f t="shared" si="83"/>
        <v/>
      </c>
      <c r="C620" s="256">
        <f t="shared" si="84"/>
        <v>3047.1172825179469</v>
      </c>
      <c r="D620" s="257" t="str">
        <f t="shared" si="86"/>
        <v/>
      </c>
      <c r="F620" s="257" t="str">
        <f t="shared" si="87"/>
        <v/>
      </c>
      <c r="G620" s="257" t="str">
        <f t="shared" si="88"/>
        <v/>
      </c>
      <c r="H620" s="257" t="str">
        <f t="shared" si="89"/>
        <v/>
      </c>
      <c r="I620" s="220" t="e">
        <f t="shared" si="85"/>
        <v>#VALUE!</v>
      </c>
    </row>
    <row r="621" spans="1:9" x14ac:dyDescent="0.25">
      <c r="A621" s="254">
        <f t="shared" si="82"/>
        <v>603</v>
      </c>
      <c r="B621" s="255" t="str">
        <f t="shared" si="83"/>
        <v/>
      </c>
      <c r="C621" s="256">
        <f t="shared" si="84"/>
        <v>3047.1172825179469</v>
      </c>
      <c r="D621" s="257" t="str">
        <f t="shared" si="86"/>
        <v/>
      </c>
      <c r="F621" s="257" t="str">
        <f t="shared" si="87"/>
        <v/>
      </c>
      <c r="G621" s="257" t="str">
        <f t="shared" si="88"/>
        <v/>
      </c>
      <c r="H621" s="257" t="str">
        <f t="shared" si="89"/>
        <v/>
      </c>
      <c r="I621" s="220" t="e">
        <f t="shared" si="85"/>
        <v>#VALUE!</v>
      </c>
    </row>
    <row r="622" spans="1:9" x14ac:dyDescent="0.25">
      <c r="A622" s="254">
        <f t="shared" si="82"/>
        <v>604</v>
      </c>
      <c r="B622" s="255" t="str">
        <f t="shared" si="83"/>
        <v/>
      </c>
      <c r="C622" s="256">
        <f t="shared" si="84"/>
        <v>3047.1172825179469</v>
      </c>
      <c r="D622" s="257" t="str">
        <f t="shared" si="86"/>
        <v/>
      </c>
      <c r="F622" s="257" t="str">
        <f t="shared" si="87"/>
        <v/>
      </c>
      <c r="G622" s="257" t="str">
        <f t="shared" si="88"/>
        <v/>
      </c>
      <c r="H622" s="257" t="str">
        <f t="shared" si="89"/>
        <v/>
      </c>
      <c r="I622" s="220" t="e">
        <f t="shared" si="85"/>
        <v>#VALUE!</v>
      </c>
    </row>
    <row r="623" spans="1:9" x14ac:dyDescent="0.25">
      <c r="A623" s="254">
        <f t="shared" si="82"/>
        <v>605</v>
      </c>
      <c r="B623" s="255" t="str">
        <f t="shared" si="83"/>
        <v/>
      </c>
      <c r="C623" s="256">
        <f t="shared" si="84"/>
        <v>3047.1172825179469</v>
      </c>
      <c r="D623" s="257" t="str">
        <f t="shared" si="86"/>
        <v/>
      </c>
      <c r="F623" s="257" t="str">
        <f t="shared" si="87"/>
        <v/>
      </c>
      <c r="G623" s="257" t="str">
        <f t="shared" si="88"/>
        <v/>
      </c>
      <c r="H623" s="257" t="str">
        <f t="shared" si="89"/>
        <v/>
      </c>
      <c r="I623" s="220" t="e">
        <f t="shared" si="85"/>
        <v>#VALUE!</v>
      </c>
    </row>
    <row r="624" spans="1:9" x14ac:dyDescent="0.25">
      <c r="A624" s="254">
        <f t="shared" si="82"/>
        <v>606</v>
      </c>
      <c r="B624" s="255" t="str">
        <f t="shared" si="83"/>
        <v/>
      </c>
      <c r="C624" s="256">
        <f t="shared" si="84"/>
        <v>3047.1172825179469</v>
      </c>
      <c r="D624" s="257" t="str">
        <f t="shared" si="86"/>
        <v/>
      </c>
      <c r="F624" s="257" t="str">
        <f t="shared" si="87"/>
        <v/>
      </c>
      <c r="G624" s="257" t="str">
        <f t="shared" si="88"/>
        <v/>
      </c>
      <c r="H624" s="257" t="str">
        <f t="shared" si="89"/>
        <v/>
      </c>
      <c r="I624" s="220" t="e">
        <f t="shared" si="85"/>
        <v>#VALUE!</v>
      </c>
    </row>
    <row r="625" spans="1:9" x14ac:dyDescent="0.25">
      <c r="A625" s="254">
        <f t="shared" si="82"/>
        <v>607</v>
      </c>
      <c r="B625" s="255" t="str">
        <f t="shared" si="83"/>
        <v/>
      </c>
      <c r="C625" s="256">
        <f t="shared" si="84"/>
        <v>3047.1172825179469</v>
      </c>
      <c r="D625" s="257" t="str">
        <f t="shared" si="86"/>
        <v/>
      </c>
      <c r="F625" s="257" t="str">
        <f t="shared" si="87"/>
        <v/>
      </c>
      <c r="G625" s="257" t="str">
        <f t="shared" si="88"/>
        <v/>
      </c>
      <c r="H625" s="257" t="str">
        <f t="shared" si="89"/>
        <v/>
      </c>
      <c r="I625" s="220" t="e">
        <f t="shared" si="85"/>
        <v>#VALUE!</v>
      </c>
    </row>
    <row r="626" spans="1:9" x14ac:dyDescent="0.25">
      <c r="A626" s="254">
        <f t="shared" si="82"/>
        <v>608</v>
      </c>
      <c r="B626" s="255" t="str">
        <f t="shared" si="83"/>
        <v/>
      </c>
      <c r="C626" s="256">
        <f t="shared" si="84"/>
        <v>3047.1172825179469</v>
      </c>
      <c r="D626" s="257" t="str">
        <f t="shared" si="86"/>
        <v/>
      </c>
      <c r="F626" s="257" t="str">
        <f t="shared" si="87"/>
        <v/>
      </c>
      <c r="G626" s="257" t="str">
        <f t="shared" si="88"/>
        <v/>
      </c>
      <c r="H626" s="257" t="str">
        <f t="shared" si="89"/>
        <v/>
      </c>
      <c r="I626" s="220" t="e">
        <f t="shared" si="85"/>
        <v>#VALUE!</v>
      </c>
    </row>
    <row r="627" spans="1:9" x14ac:dyDescent="0.25">
      <c r="A627" s="254">
        <f t="shared" si="82"/>
        <v>609</v>
      </c>
      <c r="B627" s="255" t="str">
        <f t="shared" si="83"/>
        <v/>
      </c>
      <c r="C627" s="256">
        <f t="shared" si="84"/>
        <v>3047.1172825179469</v>
      </c>
      <c r="D627" s="257" t="str">
        <f t="shared" si="86"/>
        <v/>
      </c>
      <c r="F627" s="257" t="str">
        <f t="shared" si="87"/>
        <v/>
      </c>
      <c r="G627" s="257" t="str">
        <f t="shared" si="88"/>
        <v/>
      </c>
      <c r="H627" s="257" t="str">
        <f t="shared" si="89"/>
        <v/>
      </c>
      <c r="I627" s="220" t="e">
        <f t="shared" si="85"/>
        <v>#VALUE!</v>
      </c>
    </row>
    <row r="628" spans="1:9" x14ac:dyDescent="0.25">
      <c r="A628" s="254">
        <f t="shared" si="82"/>
        <v>610</v>
      </c>
      <c r="B628" s="255" t="str">
        <f t="shared" si="83"/>
        <v/>
      </c>
      <c r="C628" s="256">
        <f t="shared" si="84"/>
        <v>3047.1172825179469</v>
      </c>
      <c r="D628" s="257" t="str">
        <f t="shared" si="86"/>
        <v/>
      </c>
      <c r="F628" s="257" t="str">
        <f t="shared" si="87"/>
        <v/>
      </c>
      <c r="G628" s="257" t="str">
        <f t="shared" si="88"/>
        <v/>
      </c>
      <c r="H628" s="257" t="str">
        <f t="shared" si="89"/>
        <v/>
      </c>
      <c r="I628" s="220" t="e">
        <f t="shared" si="85"/>
        <v>#VALUE!</v>
      </c>
    </row>
    <row r="629" spans="1:9" x14ac:dyDescent="0.25">
      <c r="A629" s="254">
        <f t="shared" si="82"/>
        <v>611</v>
      </c>
      <c r="B629" s="255" t="str">
        <f t="shared" si="83"/>
        <v/>
      </c>
      <c r="C629" s="256">
        <f t="shared" si="84"/>
        <v>3047.1172825179469</v>
      </c>
      <c r="D629" s="257" t="str">
        <f t="shared" si="86"/>
        <v/>
      </c>
      <c r="F629" s="257" t="str">
        <f t="shared" si="87"/>
        <v/>
      </c>
      <c r="G629" s="257" t="str">
        <f t="shared" si="88"/>
        <v/>
      </c>
      <c r="H629" s="257" t="str">
        <f t="shared" si="89"/>
        <v/>
      </c>
      <c r="I629" s="220" t="e">
        <f t="shared" si="85"/>
        <v>#VALUE!</v>
      </c>
    </row>
    <row r="630" spans="1:9" x14ac:dyDescent="0.25">
      <c r="A630" s="254">
        <f t="shared" si="82"/>
        <v>612</v>
      </c>
      <c r="B630" s="255" t="str">
        <f t="shared" si="83"/>
        <v/>
      </c>
      <c r="C630" s="256">
        <f t="shared" si="84"/>
        <v>3047.1172825179469</v>
      </c>
      <c r="D630" s="257" t="str">
        <f t="shared" si="86"/>
        <v/>
      </c>
      <c r="F630" s="257" t="str">
        <f t="shared" si="87"/>
        <v/>
      </c>
      <c r="G630" s="257" t="str">
        <f t="shared" si="88"/>
        <v/>
      </c>
      <c r="H630" s="257" t="str">
        <f t="shared" si="89"/>
        <v/>
      </c>
      <c r="I630" s="220" t="e">
        <f t="shared" si="85"/>
        <v>#VALUE!</v>
      </c>
    </row>
    <row r="631" spans="1:9" x14ac:dyDescent="0.25">
      <c r="A631" s="254">
        <f t="shared" si="82"/>
        <v>613</v>
      </c>
      <c r="B631" s="255" t="str">
        <f t="shared" si="83"/>
        <v/>
      </c>
      <c r="C631" s="256">
        <f t="shared" si="84"/>
        <v>3047.1172825179469</v>
      </c>
      <c r="D631" s="257" t="str">
        <f t="shared" si="86"/>
        <v/>
      </c>
      <c r="F631" s="257" t="str">
        <f t="shared" si="87"/>
        <v/>
      </c>
      <c r="G631" s="257" t="str">
        <f t="shared" si="88"/>
        <v/>
      </c>
      <c r="H631" s="257" t="str">
        <f t="shared" si="89"/>
        <v/>
      </c>
      <c r="I631" s="220" t="e">
        <f t="shared" si="85"/>
        <v>#VALUE!</v>
      </c>
    </row>
    <row r="632" spans="1:9" x14ac:dyDescent="0.25">
      <c r="A632" s="254">
        <f t="shared" si="82"/>
        <v>614</v>
      </c>
      <c r="B632" s="255" t="str">
        <f t="shared" si="83"/>
        <v/>
      </c>
      <c r="C632" s="256">
        <f t="shared" si="84"/>
        <v>3047.1172825179469</v>
      </c>
      <c r="D632" s="257" t="str">
        <f t="shared" si="86"/>
        <v/>
      </c>
      <c r="F632" s="257" t="str">
        <f t="shared" si="87"/>
        <v/>
      </c>
      <c r="G632" s="257" t="str">
        <f t="shared" si="88"/>
        <v/>
      </c>
      <c r="H632" s="257" t="str">
        <f t="shared" si="89"/>
        <v/>
      </c>
      <c r="I632" s="220" t="e">
        <f t="shared" si="85"/>
        <v>#VALUE!</v>
      </c>
    </row>
    <row r="633" spans="1:9" x14ac:dyDescent="0.25">
      <c r="A633" s="254">
        <f t="shared" ref="A633:A696" si="90">A632+1</f>
        <v>615</v>
      </c>
      <c r="B633" s="255" t="str">
        <f t="shared" si="83"/>
        <v/>
      </c>
      <c r="C633" s="256">
        <f t="shared" si="84"/>
        <v>3047.1172825179469</v>
      </c>
      <c r="D633" s="257" t="str">
        <f t="shared" si="86"/>
        <v/>
      </c>
      <c r="F633" s="257" t="str">
        <f t="shared" si="87"/>
        <v/>
      </c>
      <c r="G633" s="257" t="str">
        <f t="shared" si="88"/>
        <v/>
      </c>
      <c r="H633" s="257" t="str">
        <f t="shared" si="89"/>
        <v/>
      </c>
      <c r="I633" s="220" t="e">
        <f t="shared" si="85"/>
        <v>#VALUE!</v>
      </c>
    </row>
    <row r="634" spans="1:9" x14ac:dyDescent="0.25">
      <c r="A634" s="254">
        <f t="shared" si="90"/>
        <v>616</v>
      </c>
      <c r="B634" s="255" t="str">
        <f t="shared" si="83"/>
        <v/>
      </c>
      <c r="C634" s="256">
        <f t="shared" si="84"/>
        <v>3047.1172825179469</v>
      </c>
      <c r="D634" s="257" t="str">
        <f t="shared" si="86"/>
        <v/>
      </c>
      <c r="F634" s="257" t="str">
        <f t="shared" si="87"/>
        <v/>
      </c>
      <c r="G634" s="257" t="str">
        <f t="shared" si="88"/>
        <v/>
      </c>
      <c r="H634" s="257" t="str">
        <f t="shared" si="89"/>
        <v/>
      </c>
      <c r="I634" s="220" t="e">
        <f t="shared" si="85"/>
        <v>#VALUE!</v>
      </c>
    </row>
    <row r="635" spans="1:9" x14ac:dyDescent="0.25">
      <c r="A635" s="254">
        <f t="shared" si="90"/>
        <v>617</v>
      </c>
      <c r="B635" s="255" t="str">
        <f t="shared" si="83"/>
        <v/>
      </c>
      <c r="C635" s="256">
        <f t="shared" si="84"/>
        <v>3047.1172825179469</v>
      </c>
      <c r="D635" s="257" t="str">
        <f t="shared" si="86"/>
        <v/>
      </c>
      <c r="F635" s="257" t="str">
        <f t="shared" si="87"/>
        <v/>
      </c>
      <c r="G635" s="257" t="str">
        <f t="shared" si="88"/>
        <v/>
      </c>
      <c r="H635" s="257" t="str">
        <f t="shared" si="89"/>
        <v/>
      </c>
      <c r="I635" s="220" t="e">
        <f t="shared" si="85"/>
        <v>#VALUE!</v>
      </c>
    </row>
    <row r="636" spans="1:9" x14ac:dyDescent="0.25">
      <c r="A636" s="254">
        <f t="shared" si="90"/>
        <v>618</v>
      </c>
      <c r="B636" s="255" t="str">
        <f t="shared" si="83"/>
        <v/>
      </c>
      <c r="C636" s="256">
        <f t="shared" si="84"/>
        <v>3047.1172825179469</v>
      </c>
      <c r="D636" s="257" t="str">
        <f t="shared" si="86"/>
        <v/>
      </c>
      <c r="F636" s="257" t="str">
        <f t="shared" si="87"/>
        <v/>
      </c>
      <c r="G636" s="257" t="str">
        <f t="shared" si="88"/>
        <v/>
      </c>
      <c r="H636" s="257" t="str">
        <f t="shared" si="89"/>
        <v/>
      </c>
      <c r="I636" s="220" t="e">
        <f t="shared" si="85"/>
        <v>#VALUE!</v>
      </c>
    </row>
    <row r="637" spans="1:9" x14ac:dyDescent="0.25">
      <c r="A637" s="254">
        <f t="shared" si="90"/>
        <v>619</v>
      </c>
      <c r="B637" s="255" t="str">
        <f t="shared" si="83"/>
        <v/>
      </c>
      <c r="C637" s="256">
        <f t="shared" si="84"/>
        <v>3047.1172825179469</v>
      </c>
      <c r="D637" s="257" t="str">
        <f t="shared" si="86"/>
        <v/>
      </c>
      <c r="F637" s="257" t="str">
        <f t="shared" si="87"/>
        <v/>
      </c>
      <c r="G637" s="257" t="str">
        <f t="shared" si="88"/>
        <v/>
      </c>
      <c r="H637" s="257" t="str">
        <f t="shared" si="89"/>
        <v/>
      </c>
      <c r="I637" s="220" t="e">
        <f t="shared" si="85"/>
        <v>#VALUE!</v>
      </c>
    </row>
    <row r="638" spans="1:9" x14ac:dyDescent="0.25">
      <c r="A638" s="254">
        <f t="shared" si="90"/>
        <v>620</v>
      </c>
      <c r="B638" s="255" t="str">
        <f t="shared" si="83"/>
        <v/>
      </c>
      <c r="C638" s="256">
        <f t="shared" si="84"/>
        <v>3047.1172825179469</v>
      </c>
      <c r="D638" s="257" t="str">
        <f t="shared" si="86"/>
        <v/>
      </c>
      <c r="F638" s="257" t="str">
        <f t="shared" si="87"/>
        <v/>
      </c>
      <c r="G638" s="257" t="str">
        <f t="shared" si="88"/>
        <v/>
      </c>
      <c r="H638" s="257" t="str">
        <f t="shared" si="89"/>
        <v/>
      </c>
      <c r="I638" s="220" t="e">
        <f t="shared" si="85"/>
        <v>#VALUE!</v>
      </c>
    </row>
    <row r="639" spans="1:9" x14ac:dyDescent="0.25">
      <c r="A639" s="254">
        <f t="shared" si="90"/>
        <v>621</v>
      </c>
      <c r="B639" s="255" t="str">
        <f t="shared" si="83"/>
        <v/>
      </c>
      <c r="C639" s="256">
        <f t="shared" si="84"/>
        <v>3047.1172825179469</v>
      </c>
      <c r="D639" s="257" t="str">
        <f t="shared" si="86"/>
        <v/>
      </c>
      <c r="F639" s="257" t="str">
        <f t="shared" si="87"/>
        <v/>
      </c>
      <c r="G639" s="257" t="str">
        <f t="shared" si="88"/>
        <v/>
      </c>
      <c r="H639" s="257" t="str">
        <f t="shared" si="89"/>
        <v/>
      </c>
      <c r="I639" s="220" t="e">
        <f t="shared" si="85"/>
        <v>#VALUE!</v>
      </c>
    </row>
    <row r="640" spans="1:9" x14ac:dyDescent="0.25">
      <c r="A640" s="254">
        <f t="shared" si="90"/>
        <v>622</v>
      </c>
      <c r="B640" s="255" t="str">
        <f t="shared" si="83"/>
        <v/>
      </c>
      <c r="C640" s="256">
        <f t="shared" si="84"/>
        <v>3047.1172825179469</v>
      </c>
      <c r="D640" s="257" t="str">
        <f t="shared" si="86"/>
        <v/>
      </c>
      <c r="F640" s="257" t="str">
        <f t="shared" si="87"/>
        <v/>
      </c>
      <c r="G640" s="257" t="str">
        <f t="shared" si="88"/>
        <v/>
      </c>
      <c r="H640" s="257" t="str">
        <f t="shared" si="89"/>
        <v/>
      </c>
      <c r="I640" s="220" t="e">
        <f t="shared" si="85"/>
        <v>#VALUE!</v>
      </c>
    </row>
    <row r="641" spans="1:9" x14ac:dyDescent="0.25">
      <c r="A641" s="254">
        <f t="shared" si="90"/>
        <v>623</v>
      </c>
      <c r="B641" s="255" t="str">
        <f t="shared" si="83"/>
        <v/>
      </c>
      <c r="C641" s="256">
        <f t="shared" si="84"/>
        <v>3047.1172825179469</v>
      </c>
      <c r="D641" s="257" t="str">
        <f t="shared" si="86"/>
        <v/>
      </c>
      <c r="F641" s="257" t="str">
        <f t="shared" si="87"/>
        <v/>
      </c>
      <c r="G641" s="257" t="str">
        <f t="shared" si="88"/>
        <v/>
      </c>
      <c r="H641" s="257" t="str">
        <f t="shared" si="89"/>
        <v/>
      </c>
      <c r="I641" s="220" t="e">
        <f t="shared" si="85"/>
        <v>#VALUE!</v>
      </c>
    </row>
    <row r="642" spans="1:9" x14ac:dyDescent="0.25">
      <c r="A642" s="254">
        <f t="shared" si="90"/>
        <v>624</v>
      </c>
      <c r="B642" s="255" t="str">
        <f t="shared" si="83"/>
        <v/>
      </c>
      <c r="C642" s="256">
        <f t="shared" si="84"/>
        <v>3047.1172825179469</v>
      </c>
      <c r="D642" s="257" t="str">
        <f t="shared" si="86"/>
        <v/>
      </c>
      <c r="F642" s="257" t="str">
        <f t="shared" si="87"/>
        <v/>
      </c>
      <c r="G642" s="257" t="str">
        <f t="shared" si="88"/>
        <v/>
      </c>
      <c r="H642" s="257" t="str">
        <f t="shared" si="89"/>
        <v/>
      </c>
      <c r="I642" s="220" t="e">
        <f t="shared" si="85"/>
        <v>#VALUE!</v>
      </c>
    </row>
    <row r="643" spans="1:9" x14ac:dyDescent="0.25">
      <c r="A643" s="254">
        <f t="shared" si="90"/>
        <v>625</v>
      </c>
      <c r="B643" s="255" t="str">
        <f t="shared" si="83"/>
        <v/>
      </c>
      <c r="C643" s="256">
        <f t="shared" si="84"/>
        <v>3047.1172825179469</v>
      </c>
      <c r="D643" s="257" t="str">
        <f t="shared" si="86"/>
        <v/>
      </c>
      <c r="F643" s="257" t="str">
        <f t="shared" si="87"/>
        <v/>
      </c>
      <c r="G643" s="257" t="str">
        <f t="shared" si="88"/>
        <v/>
      </c>
      <c r="H643" s="257" t="str">
        <f t="shared" si="89"/>
        <v/>
      </c>
      <c r="I643" s="220" t="e">
        <f t="shared" si="85"/>
        <v>#VALUE!</v>
      </c>
    </row>
    <row r="644" spans="1:9" x14ac:dyDescent="0.25">
      <c r="A644" s="254">
        <f t="shared" si="90"/>
        <v>626</v>
      </c>
      <c r="B644" s="255" t="str">
        <f t="shared" si="83"/>
        <v/>
      </c>
      <c r="C644" s="256">
        <f t="shared" si="84"/>
        <v>3047.1172825179469</v>
      </c>
      <c r="D644" s="257" t="str">
        <f t="shared" si="86"/>
        <v/>
      </c>
      <c r="F644" s="257" t="str">
        <f t="shared" si="87"/>
        <v/>
      </c>
      <c r="G644" s="257" t="str">
        <f t="shared" si="88"/>
        <v/>
      </c>
      <c r="H644" s="257" t="str">
        <f t="shared" si="89"/>
        <v/>
      </c>
      <c r="I644" s="220" t="e">
        <f t="shared" si="85"/>
        <v>#VALUE!</v>
      </c>
    </row>
    <row r="645" spans="1:9" x14ac:dyDescent="0.25">
      <c r="A645" s="254">
        <f t="shared" si="90"/>
        <v>627</v>
      </c>
      <c r="B645" s="255" t="str">
        <f t="shared" si="83"/>
        <v/>
      </c>
      <c r="C645" s="256">
        <f t="shared" si="84"/>
        <v>3047.1172825179469</v>
      </c>
      <c r="D645" s="257" t="str">
        <f t="shared" si="86"/>
        <v/>
      </c>
      <c r="F645" s="257" t="str">
        <f t="shared" si="87"/>
        <v/>
      </c>
      <c r="G645" s="257" t="str">
        <f t="shared" si="88"/>
        <v/>
      </c>
      <c r="H645" s="257" t="str">
        <f t="shared" si="89"/>
        <v/>
      </c>
      <c r="I645" s="220" t="e">
        <f t="shared" si="85"/>
        <v>#VALUE!</v>
      </c>
    </row>
    <row r="646" spans="1:9" x14ac:dyDescent="0.25">
      <c r="A646" s="254">
        <f t="shared" si="90"/>
        <v>628</v>
      </c>
      <c r="B646" s="255" t="str">
        <f t="shared" si="83"/>
        <v/>
      </c>
      <c r="C646" s="256">
        <f t="shared" si="84"/>
        <v>3047.1172825179469</v>
      </c>
      <c r="D646" s="257" t="str">
        <f t="shared" si="86"/>
        <v/>
      </c>
      <c r="F646" s="257" t="str">
        <f t="shared" si="87"/>
        <v/>
      </c>
      <c r="G646" s="257" t="str">
        <f t="shared" si="88"/>
        <v/>
      </c>
      <c r="H646" s="257" t="str">
        <f t="shared" si="89"/>
        <v/>
      </c>
      <c r="I646" s="220" t="e">
        <f t="shared" si="85"/>
        <v>#VALUE!</v>
      </c>
    </row>
    <row r="647" spans="1:9" x14ac:dyDescent="0.25">
      <c r="A647" s="254">
        <f t="shared" si="90"/>
        <v>629</v>
      </c>
      <c r="B647" s="255" t="str">
        <f t="shared" si="83"/>
        <v/>
      </c>
      <c r="C647" s="256">
        <f t="shared" si="84"/>
        <v>3047.1172825179469</v>
      </c>
      <c r="D647" s="257" t="str">
        <f t="shared" si="86"/>
        <v/>
      </c>
      <c r="F647" s="257" t="str">
        <f t="shared" si="87"/>
        <v/>
      </c>
      <c r="G647" s="257" t="str">
        <f t="shared" si="88"/>
        <v/>
      </c>
      <c r="H647" s="257" t="str">
        <f t="shared" si="89"/>
        <v/>
      </c>
      <c r="I647" s="220" t="e">
        <f t="shared" si="85"/>
        <v>#VALUE!</v>
      </c>
    </row>
    <row r="648" spans="1:9" x14ac:dyDescent="0.25">
      <c r="A648" s="254">
        <f t="shared" si="90"/>
        <v>630</v>
      </c>
      <c r="B648" s="255" t="str">
        <f t="shared" si="83"/>
        <v/>
      </c>
      <c r="C648" s="256">
        <f t="shared" si="84"/>
        <v>3047.1172825179469</v>
      </c>
      <c r="D648" s="257" t="str">
        <f t="shared" si="86"/>
        <v/>
      </c>
      <c r="F648" s="257" t="str">
        <f t="shared" si="87"/>
        <v/>
      </c>
      <c r="G648" s="257" t="str">
        <f t="shared" si="88"/>
        <v/>
      </c>
      <c r="H648" s="257" t="str">
        <f t="shared" si="89"/>
        <v/>
      </c>
      <c r="I648" s="220" t="e">
        <f t="shared" si="85"/>
        <v>#VALUE!</v>
      </c>
    </row>
    <row r="649" spans="1:9" x14ac:dyDescent="0.25">
      <c r="A649" s="254">
        <f t="shared" si="90"/>
        <v>631</v>
      </c>
      <c r="B649" s="255" t="str">
        <f t="shared" si="83"/>
        <v/>
      </c>
      <c r="C649" s="256">
        <f t="shared" si="84"/>
        <v>3047.1172825179469</v>
      </c>
      <c r="D649" s="257" t="str">
        <f t="shared" si="86"/>
        <v/>
      </c>
      <c r="F649" s="257" t="str">
        <f t="shared" si="87"/>
        <v/>
      </c>
      <c r="G649" s="257" t="str">
        <f t="shared" si="88"/>
        <v/>
      </c>
      <c r="H649" s="257" t="str">
        <f t="shared" si="89"/>
        <v/>
      </c>
      <c r="I649" s="220" t="e">
        <f t="shared" si="85"/>
        <v>#VALUE!</v>
      </c>
    </row>
    <row r="650" spans="1:9" x14ac:dyDescent="0.25">
      <c r="A650" s="254">
        <f t="shared" si="90"/>
        <v>632</v>
      </c>
      <c r="B650" s="255" t="str">
        <f t="shared" si="83"/>
        <v/>
      </c>
      <c r="C650" s="256">
        <f t="shared" si="84"/>
        <v>3047.1172825179469</v>
      </c>
      <c r="D650" s="257" t="str">
        <f t="shared" si="86"/>
        <v/>
      </c>
      <c r="F650" s="257" t="str">
        <f t="shared" si="87"/>
        <v/>
      </c>
      <c r="G650" s="257" t="str">
        <f t="shared" si="88"/>
        <v/>
      </c>
      <c r="H650" s="257" t="str">
        <f t="shared" si="89"/>
        <v/>
      </c>
      <c r="I650" s="220" t="e">
        <f t="shared" si="85"/>
        <v>#VALUE!</v>
      </c>
    </row>
    <row r="651" spans="1:9" x14ac:dyDescent="0.25">
      <c r="A651" s="254">
        <f t="shared" si="90"/>
        <v>633</v>
      </c>
      <c r="B651" s="255" t="str">
        <f t="shared" si="83"/>
        <v/>
      </c>
      <c r="C651" s="256">
        <f t="shared" si="84"/>
        <v>3047.1172825179469</v>
      </c>
      <c r="D651" s="257" t="str">
        <f t="shared" si="86"/>
        <v/>
      </c>
      <c r="F651" s="257" t="str">
        <f t="shared" si="87"/>
        <v/>
      </c>
      <c r="G651" s="257" t="str">
        <f t="shared" si="88"/>
        <v/>
      </c>
      <c r="H651" s="257" t="str">
        <f t="shared" si="89"/>
        <v/>
      </c>
      <c r="I651" s="220" t="e">
        <f t="shared" si="85"/>
        <v>#VALUE!</v>
      </c>
    </row>
    <row r="652" spans="1:9" x14ac:dyDescent="0.25">
      <c r="A652" s="254">
        <f t="shared" si="90"/>
        <v>634</v>
      </c>
      <c r="B652" s="255" t="str">
        <f t="shared" si="83"/>
        <v/>
      </c>
      <c r="C652" s="256">
        <f t="shared" si="84"/>
        <v>3047.1172825179469</v>
      </c>
      <c r="D652" s="257" t="str">
        <f t="shared" si="86"/>
        <v/>
      </c>
      <c r="F652" s="257" t="str">
        <f t="shared" si="87"/>
        <v/>
      </c>
      <c r="G652" s="257" t="str">
        <f t="shared" si="88"/>
        <v/>
      </c>
      <c r="H652" s="257" t="str">
        <f t="shared" si="89"/>
        <v/>
      </c>
      <c r="I652" s="220" t="e">
        <f t="shared" si="85"/>
        <v>#VALUE!</v>
      </c>
    </row>
    <row r="653" spans="1:9" x14ac:dyDescent="0.25">
      <c r="A653" s="254">
        <f t="shared" si="90"/>
        <v>635</v>
      </c>
      <c r="B653" s="255" t="str">
        <f t="shared" si="83"/>
        <v/>
      </c>
      <c r="C653" s="256">
        <f t="shared" si="84"/>
        <v>3047.1172825179469</v>
      </c>
      <c r="D653" s="257" t="str">
        <f t="shared" si="86"/>
        <v/>
      </c>
      <c r="F653" s="257" t="str">
        <f t="shared" si="87"/>
        <v/>
      </c>
      <c r="G653" s="257" t="str">
        <f t="shared" si="88"/>
        <v/>
      </c>
      <c r="H653" s="257" t="str">
        <f t="shared" si="89"/>
        <v/>
      </c>
      <c r="I653" s="220" t="e">
        <f t="shared" si="85"/>
        <v>#VALUE!</v>
      </c>
    </row>
    <row r="654" spans="1:9" x14ac:dyDescent="0.25">
      <c r="A654" s="254">
        <f t="shared" si="90"/>
        <v>636</v>
      </c>
      <c r="B654" s="255" t="str">
        <f t="shared" si="83"/>
        <v/>
      </c>
      <c r="C654" s="256">
        <f t="shared" si="84"/>
        <v>3047.1172825179469</v>
      </c>
      <c r="D654" s="257" t="str">
        <f t="shared" si="86"/>
        <v/>
      </c>
      <c r="F654" s="257" t="str">
        <f t="shared" si="87"/>
        <v/>
      </c>
      <c r="G654" s="257" t="str">
        <f t="shared" si="88"/>
        <v/>
      </c>
      <c r="H654" s="257" t="str">
        <f t="shared" si="89"/>
        <v/>
      </c>
      <c r="I654" s="220" t="e">
        <f t="shared" si="85"/>
        <v>#VALUE!</v>
      </c>
    </row>
    <row r="655" spans="1:9" x14ac:dyDescent="0.25">
      <c r="A655" s="254">
        <f t="shared" si="90"/>
        <v>637</v>
      </c>
      <c r="B655" s="255" t="str">
        <f t="shared" si="83"/>
        <v/>
      </c>
      <c r="C655" s="256">
        <f t="shared" si="84"/>
        <v>3047.1172825179469</v>
      </c>
      <c r="D655" s="257" t="str">
        <f t="shared" si="86"/>
        <v/>
      </c>
      <c r="F655" s="257" t="str">
        <f t="shared" si="87"/>
        <v/>
      </c>
      <c r="G655" s="257" t="str">
        <f t="shared" si="88"/>
        <v/>
      </c>
      <c r="H655" s="257" t="str">
        <f t="shared" si="89"/>
        <v/>
      </c>
      <c r="I655" s="220" t="e">
        <f t="shared" si="85"/>
        <v>#VALUE!</v>
      </c>
    </row>
    <row r="656" spans="1:9" x14ac:dyDescent="0.25">
      <c r="A656" s="254">
        <f t="shared" si="90"/>
        <v>638</v>
      </c>
      <c r="B656" s="255" t="str">
        <f t="shared" si="83"/>
        <v/>
      </c>
      <c r="C656" s="256">
        <f t="shared" si="84"/>
        <v>3047.1172825179469</v>
      </c>
      <c r="D656" s="257" t="str">
        <f t="shared" si="86"/>
        <v/>
      </c>
      <c r="F656" s="257" t="str">
        <f t="shared" si="87"/>
        <v/>
      </c>
      <c r="G656" s="257" t="str">
        <f t="shared" si="88"/>
        <v/>
      </c>
      <c r="H656" s="257" t="str">
        <f t="shared" si="89"/>
        <v/>
      </c>
      <c r="I656" s="220" t="e">
        <f t="shared" si="85"/>
        <v>#VALUE!</v>
      </c>
    </row>
    <row r="657" spans="1:9" x14ac:dyDescent="0.25">
      <c r="A657" s="254">
        <f t="shared" si="90"/>
        <v>639</v>
      </c>
      <c r="B657" s="255" t="str">
        <f t="shared" si="83"/>
        <v/>
      </c>
      <c r="C657" s="256">
        <f t="shared" si="84"/>
        <v>3047.1172825179469</v>
      </c>
      <c r="D657" s="257" t="str">
        <f t="shared" si="86"/>
        <v/>
      </c>
      <c r="F657" s="257" t="str">
        <f t="shared" si="87"/>
        <v/>
      </c>
      <c r="G657" s="257" t="str">
        <f t="shared" si="88"/>
        <v/>
      </c>
      <c r="H657" s="257" t="str">
        <f t="shared" si="89"/>
        <v/>
      </c>
      <c r="I657" s="220" t="e">
        <f t="shared" si="85"/>
        <v>#VALUE!</v>
      </c>
    </row>
    <row r="658" spans="1:9" x14ac:dyDescent="0.25">
      <c r="A658" s="254">
        <f t="shared" si="90"/>
        <v>640</v>
      </c>
      <c r="B658" s="255" t="str">
        <f t="shared" si="83"/>
        <v/>
      </c>
      <c r="C658" s="256">
        <f t="shared" si="84"/>
        <v>3047.1172825179469</v>
      </c>
      <c r="D658" s="257" t="str">
        <f t="shared" si="86"/>
        <v/>
      </c>
      <c r="F658" s="257" t="str">
        <f t="shared" si="87"/>
        <v/>
      </c>
      <c r="G658" s="257" t="str">
        <f t="shared" si="88"/>
        <v/>
      </c>
      <c r="H658" s="257" t="str">
        <f t="shared" si="89"/>
        <v/>
      </c>
      <c r="I658" s="220" t="e">
        <f t="shared" si="85"/>
        <v>#VALUE!</v>
      </c>
    </row>
    <row r="659" spans="1:9" x14ac:dyDescent="0.25">
      <c r="A659" s="254">
        <f t="shared" si="90"/>
        <v>641</v>
      </c>
      <c r="B659" s="255" t="str">
        <f t="shared" si="83"/>
        <v/>
      </c>
      <c r="C659" s="256">
        <f t="shared" si="84"/>
        <v>3047.1172825179469</v>
      </c>
      <c r="D659" s="257" t="str">
        <f t="shared" si="86"/>
        <v/>
      </c>
      <c r="F659" s="257" t="str">
        <f t="shared" si="87"/>
        <v/>
      </c>
      <c r="G659" s="257" t="str">
        <f t="shared" si="88"/>
        <v/>
      </c>
      <c r="H659" s="257" t="str">
        <f t="shared" si="89"/>
        <v/>
      </c>
      <c r="I659" s="220" t="e">
        <f t="shared" si="85"/>
        <v>#VALUE!</v>
      </c>
    </row>
    <row r="660" spans="1:9" x14ac:dyDescent="0.25">
      <c r="A660" s="254">
        <f t="shared" si="90"/>
        <v>642</v>
      </c>
      <c r="B660" s="255" t="str">
        <f t="shared" ref="B660:B723" si="91">IF(A660&gt;$H$11,"",DATE(YEAR(B659),MONTH(B659)+1,1))</f>
        <v/>
      </c>
      <c r="C660" s="256">
        <f t="shared" ref="C660:C723" si="92">IF($H$15=0,-$D$14,IF(OR(A660=$H$11,A660=$H$14),G659+D660+E660,IF(B660="","",ROUND((B660-B659)*($H$9+$H$10*$I$10)*G659,2))))</f>
        <v>3047.1172825179469</v>
      </c>
      <c r="D660" s="257" t="str">
        <f t="shared" si="86"/>
        <v/>
      </c>
      <c r="F660" s="257" t="str">
        <f t="shared" si="87"/>
        <v/>
      </c>
      <c r="G660" s="257" t="str">
        <f t="shared" si="88"/>
        <v/>
      </c>
      <c r="H660" s="257" t="str">
        <f t="shared" si="89"/>
        <v/>
      </c>
      <c r="I660" s="220" t="e">
        <f t="shared" ref="I660:I723" si="93">YEAR(B660)</f>
        <v>#VALUE!</v>
      </c>
    </row>
    <row r="661" spans="1:9" x14ac:dyDescent="0.25">
      <c r="A661" s="254">
        <f t="shared" si="90"/>
        <v>643</v>
      </c>
      <c r="B661" s="255" t="str">
        <f t="shared" si="91"/>
        <v/>
      </c>
      <c r="C661" s="256">
        <f t="shared" si="92"/>
        <v>3047.1172825179469</v>
      </c>
      <c r="D661" s="257" t="str">
        <f t="shared" si="86"/>
        <v/>
      </c>
      <c r="F661" s="257" t="str">
        <f t="shared" si="87"/>
        <v/>
      </c>
      <c r="G661" s="257" t="str">
        <f t="shared" si="88"/>
        <v/>
      </c>
      <c r="H661" s="257" t="str">
        <f t="shared" si="89"/>
        <v/>
      </c>
      <c r="I661" s="220" t="e">
        <f t="shared" si="93"/>
        <v>#VALUE!</v>
      </c>
    </row>
    <row r="662" spans="1:9" x14ac:dyDescent="0.25">
      <c r="A662" s="254">
        <f t="shared" si="90"/>
        <v>644</v>
      </c>
      <c r="B662" s="255" t="str">
        <f t="shared" si="91"/>
        <v/>
      </c>
      <c r="C662" s="256">
        <f t="shared" si="92"/>
        <v>3047.1172825179469</v>
      </c>
      <c r="D662" s="257" t="str">
        <f t="shared" si="86"/>
        <v/>
      </c>
      <c r="F662" s="257" t="str">
        <f t="shared" si="87"/>
        <v/>
      </c>
      <c r="G662" s="257" t="str">
        <f t="shared" si="88"/>
        <v/>
      </c>
      <c r="H662" s="257" t="str">
        <f t="shared" si="89"/>
        <v/>
      </c>
      <c r="I662" s="220" t="e">
        <f t="shared" si="93"/>
        <v>#VALUE!</v>
      </c>
    </row>
    <row r="663" spans="1:9" x14ac:dyDescent="0.25">
      <c r="A663" s="254">
        <f t="shared" si="90"/>
        <v>645</v>
      </c>
      <c r="B663" s="255" t="str">
        <f t="shared" si="91"/>
        <v/>
      </c>
      <c r="C663" s="256">
        <f t="shared" si="92"/>
        <v>3047.1172825179469</v>
      </c>
      <c r="D663" s="257" t="str">
        <f t="shared" ref="D663:D726" si="94">IF(B663="","",ROUND((B663-B662)*$H$9*G662,2))</f>
        <v/>
      </c>
      <c r="F663" s="257" t="str">
        <f t="shared" ref="F663:F726" si="95">IF(B663="","",IF(C663&gt;F662+D663,0,F662+D663-C663))</f>
        <v/>
      </c>
      <c r="G663" s="257" t="str">
        <f t="shared" ref="G663:G726" si="96">IF(B663="","",IF(C663&gt;D663+F662,G662+F662+D663-C663,G662))</f>
        <v/>
      </c>
      <c r="H663" s="257" t="str">
        <f t="shared" ref="H663:H726" si="97">IF(B663="","",G663+F663)</f>
        <v/>
      </c>
      <c r="I663" s="220" t="e">
        <f t="shared" si="93"/>
        <v>#VALUE!</v>
      </c>
    </row>
    <row r="664" spans="1:9" x14ac:dyDescent="0.25">
      <c r="A664" s="254">
        <f t="shared" si="90"/>
        <v>646</v>
      </c>
      <c r="B664" s="255" t="str">
        <f t="shared" si="91"/>
        <v/>
      </c>
      <c r="C664" s="256">
        <f t="shared" si="92"/>
        <v>3047.1172825179469</v>
      </c>
      <c r="D664" s="257" t="str">
        <f t="shared" si="94"/>
        <v/>
      </c>
      <c r="F664" s="257" t="str">
        <f t="shared" si="95"/>
        <v/>
      </c>
      <c r="G664" s="257" t="str">
        <f t="shared" si="96"/>
        <v/>
      </c>
      <c r="H664" s="257" t="str">
        <f t="shared" si="97"/>
        <v/>
      </c>
      <c r="I664" s="220" t="e">
        <f t="shared" si="93"/>
        <v>#VALUE!</v>
      </c>
    </row>
    <row r="665" spans="1:9" x14ac:dyDescent="0.25">
      <c r="A665" s="254">
        <f t="shared" si="90"/>
        <v>647</v>
      </c>
      <c r="B665" s="255" t="str">
        <f t="shared" si="91"/>
        <v/>
      </c>
      <c r="C665" s="256">
        <f t="shared" si="92"/>
        <v>3047.1172825179469</v>
      </c>
      <c r="D665" s="257" t="str">
        <f t="shared" si="94"/>
        <v/>
      </c>
      <c r="F665" s="257" t="str">
        <f t="shared" si="95"/>
        <v/>
      </c>
      <c r="G665" s="257" t="str">
        <f t="shared" si="96"/>
        <v/>
      </c>
      <c r="H665" s="257" t="str">
        <f t="shared" si="97"/>
        <v/>
      </c>
      <c r="I665" s="220" t="e">
        <f t="shared" si="93"/>
        <v>#VALUE!</v>
      </c>
    </row>
    <row r="666" spans="1:9" x14ac:dyDescent="0.25">
      <c r="A666" s="254">
        <f t="shared" si="90"/>
        <v>648</v>
      </c>
      <c r="B666" s="255" t="str">
        <f t="shared" si="91"/>
        <v/>
      </c>
      <c r="C666" s="256">
        <f t="shared" si="92"/>
        <v>3047.1172825179469</v>
      </c>
      <c r="D666" s="257" t="str">
        <f t="shared" si="94"/>
        <v/>
      </c>
      <c r="F666" s="257" t="str">
        <f t="shared" si="95"/>
        <v/>
      </c>
      <c r="G666" s="257" t="str">
        <f t="shared" si="96"/>
        <v/>
      </c>
      <c r="H666" s="257" t="str">
        <f t="shared" si="97"/>
        <v/>
      </c>
      <c r="I666" s="220" t="e">
        <f t="shared" si="93"/>
        <v>#VALUE!</v>
      </c>
    </row>
    <row r="667" spans="1:9" x14ac:dyDescent="0.25">
      <c r="A667" s="254">
        <f t="shared" si="90"/>
        <v>649</v>
      </c>
      <c r="B667" s="255" t="str">
        <f t="shared" si="91"/>
        <v/>
      </c>
      <c r="C667" s="256">
        <f t="shared" si="92"/>
        <v>3047.1172825179469</v>
      </c>
      <c r="D667" s="257" t="str">
        <f t="shared" si="94"/>
        <v/>
      </c>
      <c r="F667" s="257" t="str">
        <f t="shared" si="95"/>
        <v/>
      </c>
      <c r="G667" s="257" t="str">
        <f t="shared" si="96"/>
        <v/>
      </c>
      <c r="H667" s="257" t="str">
        <f t="shared" si="97"/>
        <v/>
      </c>
      <c r="I667" s="220" t="e">
        <f t="shared" si="93"/>
        <v>#VALUE!</v>
      </c>
    </row>
    <row r="668" spans="1:9" x14ac:dyDescent="0.25">
      <c r="A668" s="254">
        <f t="shared" si="90"/>
        <v>650</v>
      </c>
      <c r="B668" s="255" t="str">
        <f t="shared" si="91"/>
        <v/>
      </c>
      <c r="C668" s="256">
        <f t="shared" si="92"/>
        <v>3047.1172825179469</v>
      </c>
      <c r="D668" s="257" t="str">
        <f t="shared" si="94"/>
        <v/>
      </c>
      <c r="F668" s="257" t="str">
        <f t="shared" si="95"/>
        <v/>
      </c>
      <c r="G668" s="257" t="str">
        <f t="shared" si="96"/>
        <v/>
      </c>
      <c r="H668" s="257" t="str">
        <f t="shared" si="97"/>
        <v/>
      </c>
      <c r="I668" s="220" t="e">
        <f t="shared" si="93"/>
        <v>#VALUE!</v>
      </c>
    </row>
    <row r="669" spans="1:9" x14ac:dyDescent="0.25">
      <c r="A669" s="254">
        <f t="shared" si="90"/>
        <v>651</v>
      </c>
      <c r="B669" s="255" t="str">
        <f t="shared" si="91"/>
        <v/>
      </c>
      <c r="C669" s="256">
        <f t="shared" si="92"/>
        <v>3047.1172825179469</v>
      </c>
      <c r="D669" s="257" t="str">
        <f t="shared" si="94"/>
        <v/>
      </c>
      <c r="F669" s="257" t="str">
        <f t="shared" si="95"/>
        <v/>
      </c>
      <c r="G669" s="257" t="str">
        <f t="shared" si="96"/>
        <v/>
      </c>
      <c r="H669" s="257" t="str">
        <f t="shared" si="97"/>
        <v/>
      </c>
      <c r="I669" s="220" t="e">
        <f t="shared" si="93"/>
        <v>#VALUE!</v>
      </c>
    </row>
    <row r="670" spans="1:9" x14ac:dyDescent="0.25">
      <c r="A670" s="254">
        <f t="shared" si="90"/>
        <v>652</v>
      </c>
      <c r="B670" s="255" t="str">
        <f t="shared" si="91"/>
        <v/>
      </c>
      <c r="C670" s="256">
        <f t="shared" si="92"/>
        <v>3047.1172825179469</v>
      </c>
      <c r="D670" s="257" t="str">
        <f t="shared" si="94"/>
        <v/>
      </c>
      <c r="F670" s="257" t="str">
        <f t="shared" si="95"/>
        <v/>
      </c>
      <c r="G670" s="257" t="str">
        <f t="shared" si="96"/>
        <v/>
      </c>
      <c r="H670" s="257" t="str">
        <f t="shared" si="97"/>
        <v/>
      </c>
      <c r="I670" s="220" t="e">
        <f t="shared" si="93"/>
        <v>#VALUE!</v>
      </c>
    </row>
    <row r="671" spans="1:9" x14ac:dyDescent="0.25">
      <c r="A671" s="254">
        <f t="shared" si="90"/>
        <v>653</v>
      </c>
      <c r="B671" s="255" t="str">
        <f t="shared" si="91"/>
        <v/>
      </c>
      <c r="C671" s="256">
        <f t="shared" si="92"/>
        <v>3047.1172825179469</v>
      </c>
      <c r="D671" s="257" t="str">
        <f t="shared" si="94"/>
        <v/>
      </c>
      <c r="F671" s="257" t="str">
        <f t="shared" si="95"/>
        <v/>
      </c>
      <c r="G671" s="257" t="str">
        <f t="shared" si="96"/>
        <v/>
      </c>
      <c r="H671" s="257" t="str">
        <f t="shared" si="97"/>
        <v/>
      </c>
      <c r="I671" s="220" t="e">
        <f t="shared" si="93"/>
        <v>#VALUE!</v>
      </c>
    </row>
    <row r="672" spans="1:9" x14ac:dyDescent="0.25">
      <c r="A672" s="254">
        <f t="shared" si="90"/>
        <v>654</v>
      </c>
      <c r="B672" s="255" t="str">
        <f t="shared" si="91"/>
        <v/>
      </c>
      <c r="C672" s="256">
        <f t="shared" si="92"/>
        <v>3047.1172825179469</v>
      </c>
      <c r="D672" s="257" t="str">
        <f t="shared" si="94"/>
        <v/>
      </c>
      <c r="F672" s="257" t="str">
        <f t="shared" si="95"/>
        <v/>
      </c>
      <c r="G672" s="257" t="str">
        <f t="shared" si="96"/>
        <v/>
      </c>
      <c r="H672" s="257" t="str">
        <f t="shared" si="97"/>
        <v/>
      </c>
      <c r="I672" s="220" t="e">
        <f t="shared" si="93"/>
        <v>#VALUE!</v>
      </c>
    </row>
    <row r="673" spans="1:9" x14ac:dyDescent="0.25">
      <c r="A673" s="254">
        <f t="shared" si="90"/>
        <v>655</v>
      </c>
      <c r="B673" s="255" t="str">
        <f t="shared" si="91"/>
        <v/>
      </c>
      <c r="C673" s="256">
        <f t="shared" si="92"/>
        <v>3047.1172825179469</v>
      </c>
      <c r="D673" s="257" t="str">
        <f t="shared" si="94"/>
        <v/>
      </c>
      <c r="F673" s="257" t="str">
        <f t="shared" si="95"/>
        <v/>
      </c>
      <c r="G673" s="257" t="str">
        <f t="shared" si="96"/>
        <v/>
      </c>
      <c r="H673" s="257" t="str">
        <f t="shared" si="97"/>
        <v/>
      </c>
      <c r="I673" s="220" t="e">
        <f t="shared" si="93"/>
        <v>#VALUE!</v>
      </c>
    </row>
    <row r="674" spans="1:9" x14ac:dyDescent="0.25">
      <c r="A674" s="254">
        <f t="shared" si="90"/>
        <v>656</v>
      </c>
      <c r="B674" s="255" t="str">
        <f t="shared" si="91"/>
        <v/>
      </c>
      <c r="C674" s="256">
        <f t="shared" si="92"/>
        <v>3047.1172825179469</v>
      </c>
      <c r="D674" s="257" t="str">
        <f t="shared" si="94"/>
        <v/>
      </c>
      <c r="F674" s="257" t="str">
        <f t="shared" si="95"/>
        <v/>
      </c>
      <c r="G674" s="257" t="str">
        <f t="shared" si="96"/>
        <v/>
      </c>
      <c r="H674" s="257" t="str">
        <f t="shared" si="97"/>
        <v/>
      </c>
      <c r="I674" s="220" t="e">
        <f t="shared" si="93"/>
        <v>#VALUE!</v>
      </c>
    </row>
    <row r="675" spans="1:9" x14ac:dyDescent="0.25">
      <c r="A675" s="254">
        <f t="shared" si="90"/>
        <v>657</v>
      </c>
      <c r="B675" s="255" t="str">
        <f t="shared" si="91"/>
        <v/>
      </c>
      <c r="C675" s="256">
        <f t="shared" si="92"/>
        <v>3047.1172825179469</v>
      </c>
      <c r="D675" s="257" t="str">
        <f t="shared" si="94"/>
        <v/>
      </c>
      <c r="F675" s="257" t="str">
        <f t="shared" si="95"/>
        <v/>
      </c>
      <c r="G675" s="257" t="str">
        <f t="shared" si="96"/>
        <v/>
      </c>
      <c r="H675" s="257" t="str">
        <f t="shared" si="97"/>
        <v/>
      </c>
      <c r="I675" s="220" t="e">
        <f t="shared" si="93"/>
        <v>#VALUE!</v>
      </c>
    </row>
    <row r="676" spans="1:9" x14ac:dyDescent="0.25">
      <c r="A676" s="254">
        <f t="shared" si="90"/>
        <v>658</v>
      </c>
      <c r="B676" s="255" t="str">
        <f t="shared" si="91"/>
        <v/>
      </c>
      <c r="C676" s="256">
        <f t="shared" si="92"/>
        <v>3047.1172825179469</v>
      </c>
      <c r="D676" s="257" t="str">
        <f t="shared" si="94"/>
        <v/>
      </c>
      <c r="F676" s="257" t="str">
        <f t="shared" si="95"/>
        <v/>
      </c>
      <c r="G676" s="257" t="str">
        <f t="shared" si="96"/>
        <v/>
      </c>
      <c r="H676" s="257" t="str">
        <f t="shared" si="97"/>
        <v/>
      </c>
      <c r="I676" s="220" t="e">
        <f t="shared" si="93"/>
        <v>#VALUE!</v>
      </c>
    </row>
    <row r="677" spans="1:9" x14ac:dyDescent="0.25">
      <c r="A677" s="254">
        <f t="shared" si="90"/>
        <v>659</v>
      </c>
      <c r="B677" s="255" t="str">
        <f t="shared" si="91"/>
        <v/>
      </c>
      <c r="C677" s="256">
        <f t="shared" si="92"/>
        <v>3047.1172825179469</v>
      </c>
      <c r="D677" s="257" t="str">
        <f t="shared" si="94"/>
        <v/>
      </c>
      <c r="F677" s="257" t="str">
        <f t="shared" si="95"/>
        <v/>
      </c>
      <c r="G677" s="257" t="str">
        <f t="shared" si="96"/>
        <v/>
      </c>
      <c r="H677" s="257" t="str">
        <f t="shared" si="97"/>
        <v/>
      </c>
      <c r="I677" s="220" t="e">
        <f t="shared" si="93"/>
        <v>#VALUE!</v>
      </c>
    </row>
    <row r="678" spans="1:9" x14ac:dyDescent="0.25">
      <c r="A678" s="254">
        <f t="shared" si="90"/>
        <v>660</v>
      </c>
      <c r="B678" s="255" t="str">
        <f t="shared" si="91"/>
        <v/>
      </c>
      <c r="C678" s="256">
        <f t="shared" si="92"/>
        <v>3047.1172825179469</v>
      </c>
      <c r="D678" s="257" t="str">
        <f t="shared" si="94"/>
        <v/>
      </c>
      <c r="F678" s="257" t="str">
        <f t="shared" si="95"/>
        <v/>
      </c>
      <c r="G678" s="257" t="str">
        <f t="shared" si="96"/>
        <v/>
      </c>
      <c r="H678" s="257" t="str">
        <f t="shared" si="97"/>
        <v/>
      </c>
      <c r="I678" s="220" t="e">
        <f t="shared" si="93"/>
        <v>#VALUE!</v>
      </c>
    </row>
    <row r="679" spans="1:9" x14ac:dyDescent="0.25">
      <c r="A679" s="254">
        <f t="shared" si="90"/>
        <v>661</v>
      </c>
      <c r="B679" s="255" t="str">
        <f t="shared" si="91"/>
        <v/>
      </c>
      <c r="C679" s="256">
        <f t="shared" si="92"/>
        <v>3047.1172825179469</v>
      </c>
      <c r="D679" s="257" t="str">
        <f t="shared" si="94"/>
        <v/>
      </c>
      <c r="F679" s="257" t="str">
        <f t="shared" si="95"/>
        <v/>
      </c>
      <c r="G679" s="257" t="str">
        <f t="shared" si="96"/>
        <v/>
      </c>
      <c r="H679" s="257" t="str">
        <f t="shared" si="97"/>
        <v/>
      </c>
      <c r="I679" s="220" t="e">
        <f t="shared" si="93"/>
        <v>#VALUE!</v>
      </c>
    </row>
    <row r="680" spans="1:9" x14ac:dyDescent="0.25">
      <c r="A680" s="254">
        <f t="shared" si="90"/>
        <v>662</v>
      </c>
      <c r="B680" s="255" t="str">
        <f t="shared" si="91"/>
        <v/>
      </c>
      <c r="C680" s="256">
        <f t="shared" si="92"/>
        <v>3047.1172825179469</v>
      </c>
      <c r="D680" s="257" t="str">
        <f t="shared" si="94"/>
        <v/>
      </c>
      <c r="F680" s="257" t="str">
        <f t="shared" si="95"/>
        <v/>
      </c>
      <c r="G680" s="257" t="str">
        <f t="shared" si="96"/>
        <v/>
      </c>
      <c r="H680" s="257" t="str">
        <f t="shared" si="97"/>
        <v/>
      </c>
      <c r="I680" s="220" t="e">
        <f t="shared" si="93"/>
        <v>#VALUE!</v>
      </c>
    </row>
    <row r="681" spans="1:9" x14ac:dyDescent="0.25">
      <c r="A681" s="254">
        <f t="shared" si="90"/>
        <v>663</v>
      </c>
      <c r="B681" s="255" t="str">
        <f t="shared" si="91"/>
        <v/>
      </c>
      <c r="C681" s="256">
        <f t="shared" si="92"/>
        <v>3047.1172825179469</v>
      </c>
      <c r="D681" s="257" t="str">
        <f t="shared" si="94"/>
        <v/>
      </c>
      <c r="F681" s="257" t="str">
        <f t="shared" si="95"/>
        <v/>
      </c>
      <c r="G681" s="257" t="str">
        <f t="shared" si="96"/>
        <v/>
      </c>
      <c r="H681" s="257" t="str">
        <f t="shared" si="97"/>
        <v/>
      </c>
      <c r="I681" s="220" t="e">
        <f t="shared" si="93"/>
        <v>#VALUE!</v>
      </c>
    </row>
    <row r="682" spans="1:9" x14ac:dyDescent="0.25">
      <c r="A682" s="254">
        <f t="shared" si="90"/>
        <v>664</v>
      </c>
      <c r="B682" s="255" t="str">
        <f t="shared" si="91"/>
        <v/>
      </c>
      <c r="C682" s="256">
        <f t="shared" si="92"/>
        <v>3047.1172825179469</v>
      </c>
      <c r="D682" s="257" t="str">
        <f t="shared" si="94"/>
        <v/>
      </c>
      <c r="F682" s="257" t="str">
        <f t="shared" si="95"/>
        <v/>
      </c>
      <c r="G682" s="257" t="str">
        <f t="shared" si="96"/>
        <v/>
      </c>
      <c r="H682" s="257" t="str">
        <f t="shared" si="97"/>
        <v/>
      </c>
      <c r="I682" s="220" t="e">
        <f t="shared" si="93"/>
        <v>#VALUE!</v>
      </c>
    </row>
    <row r="683" spans="1:9" x14ac:dyDescent="0.25">
      <c r="A683" s="254">
        <f t="shared" si="90"/>
        <v>665</v>
      </c>
      <c r="B683" s="255" t="str">
        <f t="shared" si="91"/>
        <v/>
      </c>
      <c r="C683" s="256">
        <f t="shared" si="92"/>
        <v>3047.1172825179469</v>
      </c>
      <c r="D683" s="257" t="str">
        <f t="shared" si="94"/>
        <v/>
      </c>
      <c r="F683" s="257" t="str">
        <f t="shared" si="95"/>
        <v/>
      </c>
      <c r="G683" s="257" t="str">
        <f t="shared" si="96"/>
        <v/>
      </c>
      <c r="H683" s="257" t="str">
        <f t="shared" si="97"/>
        <v/>
      </c>
      <c r="I683" s="220" t="e">
        <f t="shared" si="93"/>
        <v>#VALUE!</v>
      </c>
    </row>
    <row r="684" spans="1:9" x14ac:dyDescent="0.25">
      <c r="A684" s="254">
        <f t="shared" si="90"/>
        <v>666</v>
      </c>
      <c r="B684" s="255" t="str">
        <f t="shared" si="91"/>
        <v/>
      </c>
      <c r="C684" s="256">
        <f t="shared" si="92"/>
        <v>3047.1172825179469</v>
      </c>
      <c r="D684" s="257" t="str">
        <f t="shared" si="94"/>
        <v/>
      </c>
      <c r="F684" s="257" t="str">
        <f t="shared" si="95"/>
        <v/>
      </c>
      <c r="G684" s="257" t="str">
        <f t="shared" si="96"/>
        <v/>
      </c>
      <c r="H684" s="257" t="str">
        <f t="shared" si="97"/>
        <v/>
      </c>
      <c r="I684" s="220" t="e">
        <f t="shared" si="93"/>
        <v>#VALUE!</v>
      </c>
    </row>
    <row r="685" spans="1:9" x14ac:dyDescent="0.25">
      <c r="A685" s="254">
        <f t="shared" si="90"/>
        <v>667</v>
      </c>
      <c r="B685" s="255" t="str">
        <f t="shared" si="91"/>
        <v/>
      </c>
      <c r="C685" s="256">
        <f t="shared" si="92"/>
        <v>3047.1172825179469</v>
      </c>
      <c r="D685" s="257" t="str">
        <f t="shared" si="94"/>
        <v/>
      </c>
      <c r="F685" s="257" t="str">
        <f t="shared" si="95"/>
        <v/>
      </c>
      <c r="G685" s="257" t="str">
        <f t="shared" si="96"/>
        <v/>
      </c>
      <c r="H685" s="257" t="str">
        <f t="shared" si="97"/>
        <v/>
      </c>
      <c r="I685" s="220" t="e">
        <f t="shared" si="93"/>
        <v>#VALUE!</v>
      </c>
    </row>
    <row r="686" spans="1:9" x14ac:dyDescent="0.25">
      <c r="A686" s="254">
        <f t="shared" si="90"/>
        <v>668</v>
      </c>
      <c r="B686" s="255" t="str">
        <f t="shared" si="91"/>
        <v/>
      </c>
      <c r="C686" s="256">
        <f t="shared" si="92"/>
        <v>3047.1172825179469</v>
      </c>
      <c r="D686" s="257" t="str">
        <f t="shared" si="94"/>
        <v/>
      </c>
      <c r="F686" s="257" t="str">
        <f t="shared" si="95"/>
        <v/>
      </c>
      <c r="G686" s="257" t="str">
        <f t="shared" si="96"/>
        <v/>
      </c>
      <c r="H686" s="257" t="str">
        <f t="shared" si="97"/>
        <v/>
      </c>
      <c r="I686" s="220" t="e">
        <f t="shared" si="93"/>
        <v>#VALUE!</v>
      </c>
    </row>
    <row r="687" spans="1:9" x14ac:dyDescent="0.25">
      <c r="A687" s="254">
        <f t="shared" si="90"/>
        <v>669</v>
      </c>
      <c r="B687" s="255" t="str">
        <f t="shared" si="91"/>
        <v/>
      </c>
      <c r="C687" s="256">
        <f t="shared" si="92"/>
        <v>3047.1172825179469</v>
      </c>
      <c r="D687" s="257" t="str">
        <f t="shared" si="94"/>
        <v/>
      </c>
      <c r="F687" s="257" t="str">
        <f t="shared" si="95"/>
        <v/>
      </c>
      <c r="G687" s="257" t="str">
        <f t="shared" si="96"/>
        <v/>
      </c>
      <c r="H687" s="257" t="str">
        <f t="shared" si="97"/>
        <v/>
      </c>
      <c r="I687" s="220" t="e">
        <f t="shared" si="93"/>
        <v>#VALUE!</v>
      </c>
    </row>
    <row r="688" spans="1:9" x14ac:dyDescent="0.25">
      <c r="A688" s="254">
        <f t="shared" si="90"/>
        <v>670</v>
      </c>
      <c r="B688" s="255" t="str">
        <f t="shared" si="91"/>
        <v/>
      </c>
      <c r="C688" s="256">
        <f t="shared" si="92"/>
        <v>3047.1172825179469</v>
      </c>
      <c r="D688" s="257" t="str">
        <f t="shared" si="94"/>
        <v/>
      </c>
      <c r="F688" s="257" t="str">
        <f t="shared" si="95"/>
        <v/>
      </c>
      <c r="G688" s="257" t="str">
        <f t="shared" si="96"/>
        <v/>
      </c>
      <c r="H688" s="257" t="str">
        <f t="shared" si="97"/>
        <v/>
      </c>
      <c r="I688" s="220" t="e">
        <f t="shared" si="93"/>
        <v>#VALUE!</v>
      </c>
    </row>
    <row r="689" spans="1:9" x14ac:dyDescent="0.25">
      <c r="A689" s="254">
        <f t="shared" si="90"/>
        <v>671</v>
      </c>
      <c r="B689" s="255" t="str">
        <f t="shared" si="91"/>
        <v/>
      </c>
      <c r="C689" s="256">
        <f t="shared" si="92"/>
        <v>3047.1172825179469</v>
      </c>
      <c r="D689" s="257" t="str">
        <f t="shared" si="94"/>
        <v/>
      </c>
      <c r="F689" s="257" t="str">
        <f t="shared" si="95"/>
        <v/>
      </c>
      <c r="G689" s="257" t="str">
        <f t="shared" si="96"/>
        <v/>
      </c>
      <c r="H689" s="257" t="str">
        <f t="shared" si="97"/>
        <v/>
      </c>
      <c r="I689" s="220" t="e">
        <f t="shared" si="93"/>
        <v>#VALUE!</v>
      </c>
    </row>
    <row r="690" spans="1:9" x14ac:dyDescent="0.25">
      <c r="A690" s="254">
        <f t="shared" si="90"/>
        <v>672</v>
      </c>
      <c r="B690" s="255" t="str">
        <f t="shared" si="91"/>
        <v/>
      </c>
      <c r="C690" s="256">
        <f t="shared" si="92"/>
        <v>3047.1172825179469</v>
      </c>
      <c r="D690" s="257" t="str">
        <f t="shared" si="94"/>
        <v/>
      </c>
      <c r="F690" s="257" t="str">
        <f t="shared" si="95"/>
        <v/>
      </c>
      <c r="G690" s="257" t="str">
        <f t="shared" si="96"/>
        <v/>
      </c>
      <c r="H690" s="257" t="str">
        <f t="shared" si="97"/>
        <v/>
      </c>
      <c r="I690" s="220" t="e">
        <f t="shared" si="93"/>
        <v>#VALUE!</v>
      </c>
    </row>
    <row r="691" spans="1:9" x14ac:dyDescent="0.25">
      <c r="A691" s="254">
        <f t="shared" si="90"/>
        <v>673</v>
      </c>
      <c r="B691" s="255" t="str">
        <f t="shared" si="91"/>
        <v/>
      </c>
      <c r="C691" s="256">
        <f t="shared" si="92"/>
        <v>3047.1172825179469</v>
      </c>
      <c r="D691" s="257" t="str">
        <f t="shared" si="94"/>
        <v/>
      </c>
      <c r="F691" s="257" t="str">
        <f t="shared" si="95"/>
        <v/>
      </c>
      <c r="G691" s="257" t="str">
        <f t="shared" si="96"/>
        <v/>
      </c>
      <c r="H691" s="257" t="str">
        <f t="shared" si="97"/>
        <v/>
      </c>
      <c r="I691" s="220" t="e">
        <f t="shared" si="93"/>
        <v>#VALUE!</v>
      </c>
    </row>
    <row r="692" spans="1:9" x14ac:dyDescent="0.25">
      <c r="A692" s="254">
        <f t="shared" si="90"/>
        <v>674</v>
      </c>
      <c r="B692" s="255" t="str">
        <f t="shared" si="91"/>
        <v/>
      </c>
      <c r="C692" s="256">
        <f t="shared" si="92"/>
        <v>3047.1172825179469</v>
      </c>
      <c r="D692" s="257" t="str">
        <f t="shared" si="94"/>
        <v/>
      </c>
      <c r="F692" s="257" t="str">
        <f t="shared" si="95"/>
        <v/>
      </c>
      <c r="G692" s="257" t="str">
        <f t="shared" si="96"/>
        <v/>
      </c>
      <c r="H692" s="257" t="str">
        <f t="shared" si="97"/>
        <v/>
      </c>
      <c r="I692" s="220" t="e">
        <f t="shared" si="93"/>
        <v>#VALUE!</v>
      </c>
    </row>
    <row r="693" spans="1:9" x14ac:dyDescent="0.25">
      <c r="A693" s="254">
        <f t="shared" si="90"/>
        <v>675</v>
      </c>
      <c r="B693" s="255" t="str">
        <f t="shared" si="91"/>
        <v/>
      </c>
      <c r="C693" s="256">
        <f t="shared" si="92"/>
        <v>3047.1172825179469</v>
      </c>
      <c r="D693" s="257" t="str">
        <f t="shared" si="94"/>
        <v/>
      </c>
      <c r="F693" s="257" t="str">
        <f t="shared" si="95"/>
        <v/>
      </c>
      <c r="G693" s="257" t="str">
        <f t="shared" si="96"/>
        <v/>
      </c>
      <c r="H693" s="257" t="str">
        <f t="shared" si="97"/>
        <v/>
      </c>
      <c r="I693" s="220" t="e">
        <f t="shared" si="93"/>
        <v>#VALUE!</v>
      </c>
    </row>
    <row r="694" spans="1:9" x14ac:dyDescent="0.25">
      <c r="A694" s="254">
        <f t="shared" si="90"/>
        <v>676</v>
      </c>
      <c r="B694" s="255" t="str">
        <f t="shared" si="91"/>
        <v/>
      </c>
      <c r="C694" s="256">
        <f t="shared" si="92"/>
        <v>3047.1172825179469</v>
      </c>
      <c r="D694" s="257" t="str">
        <f t="shared" si="94"/>
        <v/>
      </c>
      <c r="F694" s="257" t="str">
        <f t="shared" si="95"/>
        <v/>
      </c>
      <c r="G694" s="257" t="str">
        <f t="shared" si="96"/>
        <v/>
      </c>
      <c r="H694" s="257" t="str">
        <f t="shared" si="97"/>
        <v/>
      </c>
      <c r="I694" s="220" t="e">
        <f t="shared" si="93"/>
        <v>#VALUE!</v>
      </c>
    </row>
    <row r="695" spans="1:9" x14ac:dyDescent="0.25">
      <c r="A695" s="254">
        <f t="shared" si="90"/>
        <v>677</v>
      </c>
      <c r="B695" s="255" t="str">
        <f t="shared" si="91"/>
        <v/>
      </c>
      <c r="C695" s="256">
        <f t="shared" si="92"/>
        <v>3047.1172825179469</v>
      </c>
      <c r="D695" s="257" t="str">
        <f t="shared" si="94"/>
        <v/>
      </c>
      <c r="F695" s="257" t="str">
        <f t="shared" si="95"/>
        <v/>
      </c>
      <c r="G695" s="257" t="str">
        <f t="shared" si="96"/>
        <v/>
      </c>
      <c r="H695" s="257" t="str">
        <f t="shared" si="97"/>
        <v/>
      </c>
      <c r="I695" s="220" t="e">
        <f t="shared" si="93"/>
        <v>#VALUE!</v>
      </c>
    </row>
    <row r="696" spans="1:9" x14ac:dyDescent="0.25">
      <c r="A696" s="254">
        <f t="shared" si="90"/>
        <v>678</v>
      </c>
      <c r="B696" s="255" t="str">
        <f t="shared" si="91"/>
        <v/>
      </c>
      <c r="C696" s="256">
        <f t="shared" si="92"/>
        <v>3047.1172825179469</v>
      </c>
      <c r="D696" s="257" t="str">
        <f t="shared" si="94"/>
        <v/>
      </c>
      <c r="F696" s="257" t="str">
        <f t="shared" si="95"/>
        <v/>
      </c>
      <c r="G696" s="257" t="str">
        <f t="shared" si="96"/>
        <v/>
      </c>
      <c r="H696" s="257" t="str">
        <f t="shared" si="97"/>
        <v/>
      </c>
      <c r="I696" s="220" t="e">
        <f t="shared" si="93"/>
        <v>#VALUE!</v>
      </c>
    </row>
    <row r="697" spans="1:9" x14ac:dyDescent="0.25">
      <c r="A697" s="254">
        <f t="shared" ref="A697:A760" si="98">A696+1</f>
        <v>679</v>
      </c>
      <c r="B697" s="255" t="str">
        <f t="shared" si="91"/>
        <v/>
      </c>
      <c r="C697" s="256">
        <f t="shared" si="92"/>
        <v>3047.1172825179469</v>
      </c>
      <c r="D697" s="257" t="str">
        <f t="shared" si="94"/>
        <v/>
      </c>
      <c r="F697" s="257" t="str">
        <f t="shared" si="95"/>
        <v/>
      </c>
      <c r="G697" s="257" t="str">
        <f t="shared" si="96"/>
        <v/>
      </c>
      <c r="H697" s="257" t="str">
        <f t="shared" si="97"/>
        <v/>
      </c>
      <c r="I697" s="220" t="e">
        <f t="shared" si="93"/>
        <v>#VALUE!</v>
      </c>
    </row>
    <row r="698" spans="1:9" x14ac:dyDescent="0.25">
      <c r="A698" s="254">
        <f t="shared" si="98"/>
        <v>680</v>
      </c>
      <c r="B698" s="255" t="str">
        <f t="shared" si="91"/>
        <v/>
      </c>
      <c r="C698" s="256">
        <f t="shared" si="92"/>
        <v>3047.1172825179469</v>
      </c>
      <c r="D698" s="257" t="str">
        <f t="shared" si="94"/>
        <v/>
      </c>
      <c r="F698" s="257" t="str">
        <f t="shared" si="95"/>
        <v/>
      </c>
      <c r="G698" s="257" t="str">
        <f t="shared" si="96"/>
        <v/>
      </c>
      <c r="H698" s="257" t="str">
        <f t="shared" si="97"/>
        <v/>
      </c>
      <c r="I698" s="220" t="e">
        <f t="shared" si="93"/>
        <v>#VALUE!</v>
      </c>
    </row>
    <row r="699" spans="1:9" x14ac:dyDescent="0.25">
      <c r="A699" s="254">
        <f t="shared" si="98"/>
        <v>681</v>
      </c>
      <c r="B699" s="255" t="str">
        <f t="shared" si="91"/>
        <v/>
      </c>
      <c r="C699" s="256">
        <f t="shared" si="92"/>
        <v>3047.1172825179469</v>
      </c>
      <c r="D699" s="257" t="str">
        <f t="shared" si="94"/>
        <v/>
      </c>
      <c r="F699" s="257" t="str">
        <f t="shared" si="95"/>
        <v/>
      </c>
      <c r="G699" s="257" t="str">
        <f t="shared" si="96"/>
        <v/>
      </c>
      <c r="H699" s="257" t="str">
        <f t="shared" si="97"/>
        <v/>
      </c>
      <c r="I699" s="220" t="e">
        <f t="shared" si="93"/>
        <v>#VALUE!</v>
      </c>
    </row>
    <row r="700" spans="1:9" x14ac:dyDescent="0.25">
      <c r="A700" s="254">
        <f t="shared" si="98"/>
        <v>682</v>
      </c>
      <c r="B700" s="255" t="str">
        <f t="shared" si="91"/>
        <v/>
      </c>
      <c r="C700" s="256">
        <f t="shared" si="92"/>
        <v>3047.1172825179469</v>
      </c>
      <c r="D700" s="257" t="str">
        <f t="shared" si="94"/>
        <v/>
      </c>
      <c r="F700" s="257" t="str">
        <f t="shared" si="95"/>
        <v/>
      </c>
      <c r="G700" s="257" t="str">
        <f t="shared" si="96"/>
        <v/>
      </c>
      <c r="H700" s="257" t="str">
        <f t="shared" si="97"/>
        <v/>
      </c>
      <c r="I700" s="220" t="e">
        <f t="shared" si="93"/>
        <v>#VALUE!</v>
      </c>
    </row>
    <row r="701" spans="1:9" x14ac:dyDescent="0.25">
      <c r="A701" s="254">
        <f t="shared" si="98"/>
        <v>683</v>
      </c>
      <c r="B701" s="255" t="str">
        <f t="shared" si="91"/>
        <v/>
      </c>
      <c r="C701" s="256">
        <f t="shared" si="92"/>
        <v>3047.1172825179469</v>
      </c>
      <c r="D701" s="257" t="str">
        <f t="shared" si="94"/>
        <v/>
      </c>
      <c r="F701" s="257" t="str">
        <f t="shared" si="95"/>
        <v/>
      </c>
      <c r="G701" s="257" t="str">
        <f t="shared" si="96"/>
        <v/>
      </c>
      <c r="H701" s="257" t="str">
        <f t="shared" si="97"/>
        <v/>
      </c>
      <c r="I701" s="220" t="e">
        <f t="shared" si="93"/>
        <v>#VALUE!</v>
      </c>
    </row>
    <row r="702" spans="1:9" x14ac:dyDescent="0.25">
      <c r="A702" s="254">
        <f t="shared" si="98"/>
        <v>684</v>
      </c>
      <c r="B702" s="255" t="str">
        <f t="shared" si="91"/>
        <v/>
      </c>
      <c r="C702" s="256">
        <f t="shared" si="92"/>
        <v>3047.1172825179469</v>
      </c>
      <c r="D702" s="257" t="str">
        <f t="shared" si="94"/>
        <v/>
      </c>
      <c r="F702" s="257" t="str">
        <f t="shared" si="95"/>
        <v/>
      </c>
      <c r="G702" s="257" t="str">
        <f t="shared" si="96"/>
        <v/>
      </c>
      <c r="H702" s="257" t="str">
        <f t="shared" si="97"/>
        <v/>
      </c>
      <c r="I702" s="220" t="e">
        <f t="shared" si="93"/>
        <v>#VALUE!</v>
      </c>
    </row>
    <row r="703" spans="1:9" x14ac:dyDescent="0.25">
      <c r="A703" s="254">
        <f t="shared" si="98"/>
        <v>685</v>
      </c>
      <c r="B703" s="255" t="str">
        <f t="shared" si="91"/>
        <v/>
      </c>
      <c r="C703" s="256">
        <f t="shared" si="92"/>
        <v>3047.1172825179469</v>
      </c>
      <c r="D703" s="257" t="str">
        <f t="shared" si="94"/>
        <v/>
      </c>
      <c r="F703" s="257" t="str">
        <f t="shared" si="95"/>
        <v/>
      </c>
      <c r="G703" s="257" t="str">
        <f t="shared" si="96"/>
        <v/>
      </c>
      <c r="H703" s="257" t="str">
        <f t="shared" si="97"/>
        <v/>
      </c>
      <c r="I703" s="220" t="e">
        <f t="shared" si="93"/>
        <v>#VALUE!</v>
      </c>
    </row>
    <row r="704" spans="1:9" x14ac:dyDescent="0.25">
      <c r="A704" s="254">
        <f t="shared" si="98"/>
        <v>686</v>
      </c>
      <c r="B704" s="255" t="str">
        <f t="shared" si="91"/>
        <v/>
      </c>
      <c r="C704" s="256">
        <f t="shared" si="92"/>
        <v>3047.1172825179469</v>
      </c>
      <c r="D704" s="257" t="str">
        <f t="shared" si="94"/>
        <v/>
      </c>
      <c r="F704" s="257" t="str">
        <f t="shared" si="95"/>
        <v/>
      </c>
      <c r="G704" s="257" t="str">
        <f t="shared" si="96"/>
        <v/>
      </c>
      <c r="H704" s="257" t="str">
        <f t="shared" si="97"/>
        <v/>
      </c>
      <c r="I704" s="220" t="e">
        <f t="shared" si="93"/>
        <v>#VALUE!</v>
      </c>
    </row>
    <row r="705" spans="1:9" x14ac:dyDescent="0.25">
      <c r="A705" s="254">
        <f t="shared" si="98"/>
        <v>687</v>
      </c>
      <c r="B705" s="255" t="str">
        <f t="shared" si="91"/>
        <v/>
      </c>
      <c r="C705" s="256">
        <f t="shared" si="92"/>
        <v>3047.1172825179469</v>
      </c>
      <c r="D705" s="257" t="str">
        <f t="shared" si="94"/>
        <v/>
      </c>
      <c r="F705" s="257" t="str">
        <f t="shared" si="95"/>
        <v/>
      </c>
      <c r="G705" s="257" t="str">
        <f t="shared" si="96"/>
        <v/>
      </c>
      <c r="H705" s="257" t="str">
        <f t="shared" si="97"/>
        <v/>
      </c>
      <c r="I705" s="220" t="e">
        <f t="shared" si="93"/>
        <v>#VALUE!</v>
      </c>
    </row>
    <row r="706" spans="1:9" x14ac:dyDescent="0.25">
      <c r="A706" s="254">
        <f t="shared" si="98"/>
        <v>688</v>
      </c>
      <c r="B706" s="255" t="str">
        <f t="shared" si="91"/>
        <v/>
      </c>
      <c r="C706" s="256">
        <f t="shared" si="92"/>
        <v>3047.1172825179469</v>
      </c>
      <c r="D706" s="257" t="str">
        <f t="shared" si="94"/>
        <v/>
      </c>
      <c r="F706" s="257" t="str">
        <f t="shared" si="95"/>
        <v/>
      </c>
      <c r="G706" s="257" t="str">
        <f t="shared" si="96"/>
        <v/>
      </c>
      <c r="H706" s="257" t="str">
        <f t="shared" si="97"/>
        <v/>
      </c>
      <c r="I706" s="220" t="e">
        <f t="shared" si="93"/>
        <v>#VALUE!</v>
      </c>
    </row>
    <row r="707" spans="1:9" x14ac:dyDescent="0.25">
      <c r="A707" s="254">
        <f t="shared" si="98"/>
        <v>689</v>
      </c>
      <c r="B707" s="255" t="str">
        <f t="shared" si="91"/>
        <v/>
      </c>
      <c r="C707" s="256">
        <f t="shared" si="92"/>
        <v>3047.1172825179469</v>
      </c>
      <c r="D707" s="257" t="str">
        <f t="shared" si="94"/>
        <v/>
      </c>
      <c r="F707" s="257" t="str">
        <f t="shared" si="95"/>
        <v/>
      </c>
      <c r="G707" s="257" t="str">
        <f t="shared" si="96"/>
        <v/>
      </c>
      <c r="H707" s="257" t="str">
        <f t="shared" si="97"/>
        <v/>
      </c>
      <c r="I707" s="220" t="e">
        <f t="shared" si="93"/>
        <v>#VALUE!</v>
      </c>
    </row>
    <row r="708" spans="1:9" x14ac:dyDescent="0.25">
      <c r="A708" s="254">
        <f t="shared" si="98"/>
        <v>690</v>
      </c>
      <c r="B708" s="255" t="str">
        <f t="shared" si="91"/>
        <v/>
      </c>
      <c r="C708" s="256">
        <f t="shared" si="92"/>
        <v>3047.1172825179469</v>
      </c>
      <c r="D708" s="257" t="str">
        <f t="shared" si="94"/>
        <v/>
      </c>
      <c r="F708" s="257" t="str">
        <f t="shared" si="95"/>
        <v/>
      </c>
      <c r="G708" s="257" t="str">
        <f t="shared" si="96"/>
        <v/>
      </c>
      <c r="H708" s="257" t="str">
        <f t="shared" si="97"/>
        <v/>
      </c>
      <c r="I708" s="220" t="e">
        <f t="shared" si="93"/>
        <v>#VALUE!</v>
      </c>
    </row>
    <row r="709" spans="1:9" x14ac:dyDescent="0.25">
      <c r="A709" s="254">
        <f t="shared" si="98"/>
        <v>691</v>
      </c>
      <c r="B709" s="255" t="str">
        <f t="shared" si="91"/>
        <v/>
      </c>
      <c r="C709" s="256">
        <f t="shared" si="92"/>
        <v>3047.1172825179469</v>
      </c>
      <c r="D709" s="257" t="str">
        <f t="shared" si="94"/>
        <v/>
      </c>
      <c r="F709" s="257" t="str">
        <f t="shared" si="95"/>
        <v/>
      </c>
      <c r="G709" s="257" t="str">
        <f t="shared" si="96"/>
        <v/>
      </c>
      <c r="H709" s="257" t="str">
        <f t="shared" si="97"/>
        <v/>
      </c>
      <c r="I709" s="220" t="e">
        <f t="shared" si="93"/>
        <v>#VALUE!</v>
      </c>
    </row>
    <row r="710" spans="1:9" x14ac:dyDescent="0.25">
      <c r="A710" s="254">
        <f t="shared" si="98"/>
        <v>692</v>
      </c>
      <c r="B710" s="255" t="str">
        <f t="shared" si="91"/>
        <v/>
      </c>
      <c r="C710" s="256">
        <f t="shared" si="92"/>
        <v>3047.1172825179469</v>
      </c>
      <c r="D710" s="257" t="str">
        <f t="shared" si="94"/>
        <v/>
      </c>
      <c r="F710" s="257" t="str">
        <f t="shared" si="95"/>
        <v/>
      </c>
      <c r="G710" s="257" t="str">
        <f t="shared" si="96"/>
        <v/>
      </c>
      <c r="H710" s="257" t="str">
        <f t="shared" si="97"/>
        <v/>
      </c>
      <c r="I710" s="220" t="e">
        <f t="shared" si="93"/>
        <v>#VALUE!</v>
      </c>
    </row>
    <row r="711" spans="1:9" x14ac:dyDescent="0.25">
      <c r="A711" s="254">
        <f t="shared" si="98"/>
        <v>693</v>
      </c>
      <c r="B711" s="255" t="str">
        <f t="shared" si="91"/>
        <v/>
      </c>
      <c r="C711" s="256">
        <f t="shared" si="92"/>
        <v>3047.1172825179469</v>
      </c>
      <c r="D711" s="257" t="str">
        <f t="shared" si="94"/>
        <v/>
      </c>
      <c r="F711" s="257" t="str">
        <f t="shared" si="95"/>
        <v/>
      </c>
      <c r="G711" s="257" t="str">
        <f t="shared" si="96"/>
        <v/>
      </c>
      <c r="H711" s="257" t="str">
        <f t="shared" si="97"/>
        <v/>
      </c>
      <c r="I711" s="220" t="e">
        <f t="shared" si="93"/>
        <v>#VALUE!</v>
      </c>
    </row>
    <row r="712" spans="1:9" x14ac:dyDescent="0.25">
      <c r="A712" s="254">
        <f t="shared" si="98"/>
        <v>694</v>
      </c>
      <c r="B712" s="255" t="str">
        <f t="shared" si="91"/>
        <v/>
      </c>
      <c r="C712" s="256">
        <f t="shared" si="92"/>
        <v>3047.1172825179469</v>
      </c>
      <c r="D712" s="257" t="str">
        <f t="shared" si="94"/>
        <v/>
      </c>
      <c r="F712" s="257" t="str">
        <f t="shared" si="95"/>
        <v/>
      </c>
      <c r="G712" s="257" t="str">
        <f t="shared" si="96"/>
        <v/>
      </c>
      <c r="H712" s="257" t="str">
        <f t="shared" si="97"/>
        <v/>
      </c>
      <c r="I712" s="220" t="e">
        <f t="shared" si="93"/>
        <v>#VALUE!</v>
      </c>
    </row>
    <row r="713" spans="1:9" x14ac:dyDescent="0.25">
      <c r="A713" s="254">
        <f t="shared" si="98"/>
        <v>695</v>
      </c>
      <c r="B713" s="255" t="str">
        <f t="shared" si="91"/>
        <v/>
      </c>
      <c r="C713" s="256">
        <f t="shared" si="92"/>
        <v>3047.1172825179469</v>
      </c>
      <c r="D713" s="257" t="str">
        <f t="shared" si="94"/>
        <v/>
      </c>
      <c r="F713" s="257" t="str">
        <f t="shared" si="95"/>
        <v/>
      </c>
      <c r="G713" s="257" t="str">
        <f t="shared" si="96"/>
        <v/>
      </c>
      <c r="H713" s="257" t="str">
        <f t="shared" si="97"/>
        <v/>
      </c>
      <c r="I713" s="220" t="e">
        <f t="shared" si="93"/>
        <v>#VALUE!</v>
      </c>
    </row>
    <row r="714" spans="1:9" x14ac:dyDescent="0.25">
      <c r="A714" s="254">
        <f t="shared" si="98"/>
        <v>696</v>
      </c>
      <c r="B714" s="255" t="str">
        <f t="shared" si="91"/>
        <v/>
      </c>
      <c r="C714" s="256">
        <f t="shared" si="92"/>
        <v>3047.1172825179469</v>
      </c>
      <c r="D714" s="257" t="str">
        <f t="shared" si="94"/>
        <v/>
      </c>
      <c r="F714" s="257" t="str">
        <f t="shared" si="95"/>
        <v/>
      </c>
      <c r="G714" s="257" t="str">
        <f t="shared" si="96"/>
        <v/>
      </c>
      <c r="H714" s="257" t="str">
        <f t="shared" si="97"/>
        <v/>
      </c>
      <c r="I714" s="220" t="e">
        <f t="shared" si="93"/>
        <v>#VALUE!</v>
      </c>
    </row>
    <row r="715" spans="1:9" x14ac:dyDescent="0.25">
      <c r="A715" s="254">
        <f t="shared" si="98"/>
        <v>697</v>
      </c>
      <c r="B715" s="255" t="str">
        <f t="shared" si="91"/>
        <v/>
      </c>
      <c r="C715" s="256">
        <f t="shared" si="92"/>
        <v>3047.1172825179469</v>
      </c>
      <c r="D715" s="257" t="str">
        <f t="shared" si="94"/>
        <v/>
      </c>
      <c r="F715" s="257" t="str">
        <f t="shared" si="95"/>
        <v/>
      </c>
      <c r="G715" s="257" t="str">
        <f t="shared" si="96"/>
        <v/>
      </c>
      <c r="H715" s="257" t="str">
        <f t="shared" si="97"/>
        <v/>
      </c>
      <c r="I715" s="220" t="e">
        <f t="shared" si="93"/>
        <v>#VALUE!</v>
      </c>
    </row>
    <row r="716" spans="1:9" x14ac:dyDescent="0.25">
      <c r="A716" s="254">
        <f t="shared" si="98"/>
        <v>698</v>
      </c>
      <c r="B716" s="255" t="str">
        <f t="shared" si="91"/>
        <v/>
      </c>
      <c r="C716" s="256">
        <f t="shared" si="92"/>
        <v>3047.1172825179469</v>
      </c>
      <c r="D716" s="257" t="str">
        <f t="shared" si="94"/>
        <v/>
      </c>
      <c r="F716" s="257" t="str">
        <f t="shared" si="95"/>
        <v/>
      </c>
      <c r="G716" s="257" t="str">
        <f t="shared" si="96"/>
        <v/>
      </c>
      <c r="H716" s="257" t="str">
        <f t="shared" si="97"/>
        <v/>
      </c>
      <c r="I716" s="220" t="e">
        <f t="shared" si="93"/>
        <v>#VALUE!</v>
      </c>
    </row>
    <row r="717" spans="1:9" x14ac:dyDescent="0.25">
      <c r="A717" s="254">
        <f t="shared" si="98"/>
        <v>699</v>
      </c>
      <c r="B717" s="255" t="str">
        <f t="shared" si="91"/>
        <v/>
      </c>
      <c r="C717" s="256">
        <f t="shared" si="92"/>
        <v>3047.1172825179469</v>
      </c>
      <c r="D717" s="257" t="str">
        <f t="shared" si="94"/>
        <v/>
      </c>
      <c r="F717" s="257" t="str">
        <f t="shared" si="95"/>
        <v/>
      </c>
      <c r="G717" s="257" t="str">
        <f t="shared" si="96"/>
        <v/>
      </c>
      <c r="H717" s="257" t="str">
        <f t="shared" si="97"/>
        <v/>
      </c>
      <c r="I717" s="220" t="e">
        <f t="shared" si="93"/>
        <v>#VALUE!</v>
      </c>
    </row>
    <row r="718" spans="1:9" x14ac:dyDescent="0.25">
      <c r="A718" s="254">
        <f t="shared" si="98"/>
        <v>700</v>
      </c>
      <c r="B718" s="255" t="str">
        <f t="shared" si="91"/>
        <v/>
      </c>
      <c r="C718" s="256">
        <f t="shared" si="92"/>
        <v>3047.1172825179469</v>
      </c>
      <c r="D718" s="257" t="str">
        <f t="shared" si="94"/>
        <v/>
      </c>
      <c r="F718" s="257" t="str">
        <f t="shared" si="95"/>
        <v/>
      </c>
      <c r="G718" s="257" t="str">
        <f t="shared" si="96"/>
        <v/>
      </c>
      <c r="H718" s="257" t="str">
        <f t="shared" si="97"/>
        <v/>
      </c>
      <c r="I718" s="220" t="e">
        <f t="shared" si="93"/>
        <v>#VALUE!</v>
      </c>
    </row>
    <row r="719" spans="1:9" x14ac:dyDescent="0.25">
      <c r="A719" s="254">
        <f t="shared" si="98"/>
        <v>701</v>
      </c>
      <c r="B719" s="255" t="str">
        <f t="shared" si="91"/>
        <v/>
      </c>
      <c r="C719" s="256">
        <f t="shared" si="92"/>
        <v>3047.1172825179469</v>
      </c>
      <c r="D719" s="257" t="str">
        <f t="shared" si="94"/>
        <v/>
      </c>
      <c r="F719" s="257" t="str">
        <f t="shared" si="95"/>
        <v/>
      </c>
      <c r="G719" s="257" t="str">
        <f t="shared" si="96"/>
        <v/>
      </c>
      <c r="H719" s="257" t="str">
        <f t="shared" si="97"/>
        <v/>
      </c>
      <c r="I719" s="220" t="e">
        <f t="shared" si="93"/>
        <v>#VALUE!</v>
      </c>
    </row>
    <row r="720" spans="1:9" x14ac:dyDescent="0.25">
      <c r="A720" s="254">
        <f t="shared" si="98"/>
        <v>702</v>
      </c>
      <c r="B720" s="255" t="str">
        <f t="shared" si="91"/>
        <v/>
      </c>
      <c r="C720" s="256">
        <f t="shared" si="92"/>
        <v>3047.1172825179469</v>
      </c>
      <c r="D720" s="257" t="str">
        <f t="shared" si="94"/>
        <v/>
      </c>
      <c r="F720" s="257" t="str">
        <f t="shared" si="95"/>
        <v/>
      </c>
      <c r="G720" s="257" t="str">
        <f t="shared" si="96"/>
        <v/>
      </c>
      <c r="H720" s="257" t="str">
        <f t="shared" si="97"/>
        <v/>
      </c>
      <c r="I720" s="220" t="e">
        <f t="shared" si="93"/>
        <v>#VALUE!</v>
      </c>
    </row>
    <row r="721" spans="1:9" x14ac:dyDescent="0.25">
      <c r="A721" s="254">
        <f t="shared" si="98"/>
        <v>703</v>
      </c>
      <c r="B721" s="255" t="str">
        <f t="shared" si="91"/>
        <v/>
      </c>
      <c r="C721" s="256">
        <f t="shared" si="92"/>
        <v>3047.1172825179469</v>
      </c>
      <c r="D721" s="257" t="str">
        <f t="shared" si="94"/>
        <v/>
      </c>
      <c r="F721" s="257" t="str">
        <f t="shared" si="95"/>
        <v/>
      </c>
      <c r="G721" s="257" t="str">
        <f t="shared" si="96"/>
        <v/>
      </c>
      <c r="H721" s="257" t="str">
        <f t="shared" si="97"/>
        <v/>
      </c>
      <c r="I721" s="220" t="e">
        <f t="shared" si="93"/>
        <v>#VALUE!</v>
      </c>
    </row>
    <row r="722" spans="1:9" x14ac:dyDescent="0.25">
      <c r="A722" s="254">
        <f t="shared" si="98"/>
        <v>704</v>
      </c>
      <c r="B722" s="255" t="str">
        <f t="shared" si="91"/>
        <v/>
      </c>
      <c r="C722" s="256">
        <f t="shared" si="92"/>
        <v>3047.1172825179469</v>
      </c>
      <c r="D722" s="257" t="str">
        <f t="shared" si="94"/>
        <v/>
      </c>
      <c r="F722" s="257" t="str">
        <f t="shared" si="95"/>
        <v/>
      </c>
      <c r="G722" s="257" t="str">
        <f t="shared" si="96"/>
        <v/>
      </c>
      <c r="H722" s="257" t="str">
        <f t="shared" si="97"/>
        <v/>
      </c>
      <c r="I722" s="220" t="e">
        <f t="shared" si="93"/>
        <v>#VALUE!</v>
      </c>
    </row>
    <row r="723" spans="1:9" x14ac:dyDescent="0.25">
      <c r="A723" s="254">
        <f t="shared" si="98"/>
        <v>705</v>
      </c>
      <c r="B723" s="255" t="str">
        <f t="shared" si="91"/>
        <v/>
      </c>
      <c r="C723" s="256">
        <f t="shared" si="92"/>
        <v>3047.1172825179469</v>
      </c>
      <c r="D723" s="257" t="str">
        <f t="shared" si="94"/>
        <v/>
      </c>
      <c r="F723" s="257" t="str">
        <f t="shared" si="95"/>
        <v/>
      </c>
      <c r="G723" s="257" t="str">
        <f t="shared" si="96"/>
        <v/>
      </c>
      <c r="H723" s="257" t="str">
        <f t="shared" si="97"/>
        <v/>
      </c>
      <c r="I723" s="220" t="e">
        <f t="shared" si="93"/>
        <v>#VALUE!</v>
      </c>
    </row>
    <row r="724" spans="1:9" x14ac:dyDescent="0.25">
      <c r="A724" s="254">
        <f t="shared" si="98"/>
        <v>706</v>
      </c>
      <c r="B724" s="255" t="str">
        <f t="shared" ref="B724:B787" si="99">IF(A724&gt;$H$11,"",DATE(YEAR(B723),MONTH(B723)+1,1))</f>
        <v/>
      </c>
      <c r="C724" s="256">
        <f t="shared" ref="C724:C787" si="100">IF($H$15=0,-$D$14,IF(OR(A724=$H$11,A724=$H$14),G723+D724+E724,IF(B724="","",ROUND((B724-B723)*($H$9+$H$10*$I$10)*G723,2))))</f>
        <v>3047.1172825179469</v>
      </c>
      <c r="D724" s="257" t="str">
        <f t="shared" si="94"/>
        <v/>
      </c>
      <c r="F724" s="257" t="str">
        <f t="shared" si="95"/>
        <v/>
      </c>
      <c r="G724" s="257" t="str">
        <f t="shared" si="96"/>
        <v/>
      </c>
      <c r="H724" s="257" t="str">
        <f t="shared" si="97"/>
        <v/>
      </c>
      <c r="I724" s="220" t="e">
        <f t="shared" ref="I724:I787" si="101">YEAR(B724)</f>
        <v>#VALUE!</v>
      </c>
    </row>
    <row r="725" spans="1:9" x14ac:dyDescent="0.25">
      <c r="A725" s="254">
        <f t="shared" si="98"/>
        <v>707</v>
      </c>
      <c r="B725" s="255" t="str">
        <f t="shared" si="99"/>
        <v/>
      </c>
      <c r="C725" s="256">
        <f t="shared" si="100"/>
        <v>3047.1172825179469</v>
      </c>
      <c r="D725" s="257" t="str">
        <f t="shared" si="94"/>
        <v/>
      </c>
      <c r="F725" s="257" t="str">
        <f t="shared" si="95"/>
        <v/>
      </c>
      <c r="G725" s="257" t="str">
        <f t="shared" si="96"/>
        <v/>
      </c>
      <c r="H725" s="257" t="str">
        <f t="shared" si="97"/>
        <v/>
      </c>
      <c r="I725" s="220" t="e">
        <f t="shared" si="101"/>
        <v>#VALUE!</v>
      </c>
    </row>
    <row r="726" spans="1:9" x14ac:dyDescent="0.25">
      <c r="A726" s="254">
        <f t="shared" si="98"/>
        <v>708</v>
      </c>
      <c r="B726" s="255" t="str">
        <f t="shared" si="99"/>
        <v/>
      </c>
      <c r="C726" s="256">
        <f t="shared" si="100"/>
        <v>3047.1172825179469</v>
      </c>
      <c r="D726" s="257" t="str">
        <f t="shared" si="94"/>
        <v/>
      </c>
      <c r="F726" s="257" t="str">
        <f t="shared" si="95"/>
        <v/>
      </c>
      <c r="G726" s="257" t="str">
        <f t="shared" si="96"/>
        <v/>
      </c>
      <c r="H726" s="257" t="str">
        <f t="shared" si="97"/>
        <v/>
      </c>
      <c r="I726" s="220" t="e">
        <f t="shared" si="101"/>
        <v>#VALUE!</v>
      </c>
    </row>
    <row r="727" spans="1:9" x14ac:dyDescent="0.25">
      <c r="A727" s="254">
        <f t="shared" si="98"/>
        <v>709</v>
      </c>
      <c r="B727" s="255" t="str">
        <f t="shared" si="99"/>
        <v/>
      </c>
      <c r="C727" s="256">
        <f t="shared" si="100"/>
        <v>3047.1172825179469</v>
      </c>
      <c r="D727" s="257" t="str">
        <f t="shared" ref="D727:D790" si="102">IF(B727="","",ROUND((B727-B726)*$H$9*G726,2))</f>
        <v/>
      </c>
      <c r="F727" s="257" t="str">
        <f t="shared" ref="F727:F790" si="103">IF(B727="","",IF(C727&gt;F726+D727,0,F726+D727-C727))</f>
        <v/>
      </c>
      <c r="G727" s="257" t="str">
        <f t="shared" ref="G727:G790" si="104">IF(B727="","",IF(C727&gt;D727+F726,G726+F726+D727-C727,G726))</f>
        <v/>
      </c>
      <c r="H727" s="257" t="str">
        <f t="shared" ref="H727:H790" si="105">IF(B727="","",G727+F727)</f>
        <v/>
      </c>
      <c r="I727" s="220" t="e">
        <f t="shared" si="101"/>
        <v>#VALUE!</v>
      </c>
    </row>
    <row r="728" spans="1:9" x14ac:dyDescent="0.25">
      <c r="A728" s="254">
        <f t="shared" si="98"/>
        <v>710</v>
      </c>
      <c r="B728" s="255" t="str">
        <f t="shared" si="99"/>
        <v/>
      </c>
      <c r="C728" s="256">
        <f t="shared" si="100"/>
        <v>3047.1172825179469</v>
      </c>
      <c r="D728" s="257" t="str">
        <f t="shared" si="102"/>
        <v/>
      </c>
      <c r="F728" s="257" t="str">
        <f t="shared" si="103"/>
        <v/>
      </c>
      <c r="G728" s="257" t="str">
        <f t="shared" si="104"/>
        <v/>
      </c>
      <c r="H728" s="257" t="str">
        <f t="shared" si="105"/>
        <v/>
      </c>
      <c r="I728" s="220" t="e">
        <f t="shared" si="101"/>
        <v>#VALUE!</v>
      </c>
    </row>
    <row r="729" spans="1:9" x14ac:dyDescent="0.25">
      <c r="A729" s="254">
        <f t="shared" si="98"/>
        <v>711</v>
      </c>
      <c r="B729" s="255" t="str">
        <f t="shared" si="99"/>
        <v/>
      </c>
      <c r="C729" s="256">
        <f t="shared" si="100"/>
        <v>3047.1172825179469</v>
      </c>
      <c r="D729" s="257" t="str">
        <f t="shared" si="102"/>
        <v/>
      </c>
      <c r="F729" s="257" t="str">
        <f t="shared" si="103"/>
        <v/>
      </c>
      <c r="G729" s="257" t="str">
        <f t="shared" si="104"/>
        <v/>
      </c>
      <c r="H729" s="257" t="str">
        <f t="shared" si="105"/>
        <v/>
      </c>
      <c r="I729" s="220" t="e">
        <f t="shared" si="101"/>
        <v>#VALUE!</v>
      </c>
    </row>
    <row r="730" spans="1:9" x14ac:dyDescent="0.25">
      <c r="A730" s="254">
        <f t="shared" si="98"/>
        <v>712</v>
      </c>
      <c r="B730" s="255" t="str">
        <f t="shared" si="99"/>
        <v/>
      </c>
      <c r="C730" s="256">
        <f t="shared" si="100"/>
        <v>3047.1172825179469</v>
      </c>
      <c r="D730" s="257" t="str">
        <f t="shared" si="102"/>
        <v/>
      </c>
      <c r="F730" s="257" t="str">
        <f t="shared" si="103"/>
        <v/>
      </c>
      <c r="G730" s="257" t="str">
        <f t="shared" si="104"/>
        <v/>
      </c>
      <c r="H730" s="257" t="str">
        <f t="shared" si="105"/>
        <v/>
      </c>
      <c r="I730" s="220" t="e">
        <f t="shared" si="101"/>
        <v>#VALUE!</v>
      </c>
    </row>
    <row r="731" spans="1:9" x14ac:dyDescent="0.25">
      <c r="A731" s="254">
        <f t="shared" si="98"/>
        <v>713</v>
      </c>
      <c r="B731" s="255" t="str">
        <f t="shared" si="99"/>
        <v/>
      </c>
      <c r="C731" s="256">
        <f t="shared" si="100"/>
        <v>3047.1172825179469</v>
      </c>
      <c r="D731" s="257" t="str">
        <f t="shared" si="102"/>
        <v/>
      </c>
      <c r="F731" s="257" t="str">
        <f t="shared" si="103"/>
        <v/>
      </c>
      <c r="G731" s="257" t="str">
        <f t="shared" si="104"/>
        <v/>
      </c>
      <c r="H731" s="257" t="str">
        <f t="shared" si="105"/>
        <v/>
      </c>
      <c r="I731" s="220" t="e">
        <f t="shared" si="101"/>
        <v>#VALUE!</v>
      </c>
    </row>
    <row r="732" spans="1:9" x14ac:dyDescent="0.25">
      <c r="A732" s="254">
        <f t="shared" si="98"/>
        <v>714</v>
      </c>
      <c r="B732" s="255" t="str">
        <f t="shared" si="99"/>
        <v/>
      </c>
      <c r="C732" s="256">
        <f t="shared" si="100"/>
        <v>3047.1172825179469</v>
      </c>
      <c r="D732" s="257" t="str">
        <f t="shared" si="102"/>
        <v/>
      </c>
      <c r="F732" s="257" t="str">
        <f t="shared" si="103"/>
        <v/>
      </c>
      <c r="G732" s="257" t="str">
        <f t="shared" si="104"/>
        <v/>
      </c>
      <c r="H732" s="257" t="str">
        <f t="shared" si="105"/>
        <v/>
      </c>
      <c r="I732" s="220" t="e">
        <f t="shared" si="101"/>
        <v>#VALUE!</v>
      </c>
    </row>
    <row r="733" spans="1:9" x14ac:dyDescent="0.25">
      <c r="A733" s="254">
        <f t="shared" si="98"/>
        <v>715</v>
      </c>
      <c r="B733" s="255" t="str">
        <f t="shared" si="99"/>
        <v/>
      </c>
      <c r="C733" s="256">
        <f t="shared" si="100"/>
        <v>3047.1172825179469</v>
      </c>
      <c r="D733" s="257" t="str">
        <f t="shared" si="102"/>
        <v/>
      </c>
      <c r="F733" s="257" t="str">
        <f t="shared" si="103"/>
        <v/>
      </c>
      <c r="G733" s="257" t="str">
        <f t="shared" si="104"/>
        <v/>
      </c>
      <c r="H733" s="257" t="str">
        <f t="shared" si="105"/>
        <v/>
      </c>
      <c r="I733" s="220" t="e">
        <f t="shared" si="101"/>
        <v>#VALUE!</v>
      </c>
    </row>
    <row r="734" spans="1:9" x14ac:dyDescent="0.25">
      <c r="A734" s="254">
        <f t="shared" si="98"/>
        <v>716</v>
      </c>
      <c r="B734" s="255" t="str">
        <f t="shared" si="99"/>
        <v/>
      </c>
      <c r="C734" s="256">
        <f t="shared" si="100"/>
        <v>3047.1172825179469</v>
      </c>
      <c r="D734" s="257" t="str">
        <f t="shared" si="102"/>
        <v/>
      </c>
      <c r="F734" s="257" t="str">
        <f t="shared" si="103"/>
        <v/>
      </c>
      <c r="G734" s="257" t="str">
        <f t="shared" si="104"/>
        <v/>
      </c>
      <c r="H734" s="257" t="str">
        <f t="shared" si="105"/>
        <v/>
      </c>
      <c r="I734" s="220" t="e">
        <f t="shared" si="101"/>
        <v>#VALUE!</v>
      </c>
    </row>
    <row r="735" spans="1:9" x14ac:dyDescent="0.25">
      <c r="A735" s="254">
        <f t="shared" si="98"/>
        <v>717</v>
      </c>
      <c r="B735" s="255" t="str">
        <f t="shared" si="99"/>
        <v/>
      </c>
      <c r="C735" s="256">
        <f t="shared" si="100"/>
        <v>3047.1172825179469</v>
      </c>
      <c r="D735" s="257" t="str">
        <f t="shared" si="102"/>
        <v/>
      </c>
      <c r="F735" s="257" t="str">
        <f t="shared" si="103"/>
        <v/>
      </c>
      <c r="G735" s="257" t="str">
        <f t="shared" si="104"/>
        <v/>
      </c>
      <c r="H735" s="257" t="str">
        <f t="shared" si="105"/>
        <v/>
      </c>
      <c r="I735" s="220" t="e">
        <f t="shared" si="101"/>
        <v>#VALUE!</v>
      </c>
    </row>
    <row r="736" spans="1:9" x14ac:dyDescent="0.25">
      <c r="A736" s="254">
        <f t="shared" si="98"/>
        <v>718</v>
      </c>
      <c r="B736" s="255" t="str">
        <f t="shared" si="99"/>
        <v/>
      </c>
      <c r="C736" s="256">
        <f t="shared" si="100"/>
        <v>3047.1172825179469</v>
      </c>
      <c r="D736" s="257" t="str">
        <f t="shared" si="102"/>
        <v/>
      </c>
      <c r="F736" s="257" t="str">
        <f t="shared" si="103"/>
        <v/>
      </c>
      <c r="G736" s="257" t="str">
        <f t="shared" si="104"/>
        <v/>
      </c>
      <c r="H736" s="257" t="str">
        <f t="shared" si="105"/>
        <v/>
      </c>
      <c r="I736" s="220" t="e">
        <f t="shared" si="101"/>
        <v>#VALUE!</v>
      </c>
    </row>
    <row r="737" spans="1:9" x14ac:dyDescent="0.25">
      <c r="A737" s="254">
        <f t="shared" si="98"/>
        <v>719</v>
      </c>
      <c r="B737" s="255" t="str">
        <f t="shared" si="99"/>
        <v/>
      </c>
      <c r="C737" s="256">
        <f t="shared" si="100"/>
        <v>3047.1172825179469</v>
      </c>
      <c r="D737" s="257" t="str">
        <f t="shared" si="102"/>
        <v/>
      </c>
      <c r="F737" s="257" t="str">
        <f t="shared" si="103"/>
        <v/>
      </c>
      <c r="G737" s="257" t="str">
        <f t="shared" si="104"/>
        <v/>
      </c>
      <c r="H737" s="257" t="str">
        <f t="shared" si="105"/>
        <v/>
      </c>
      <c r="I737" s="220" t="e">
        <f t="shared" si="101"/>
        <v>#VALUE!</v>
      </c>
    </row>
    <row r="738" spans="1:9" x14ac:dyDescent="0.25">
      <c r="A738" s="254">
        <f t="shared" si="98"/>
        <v>720</v>
      </c>
      <c r="B738" s="255" t="str">
        <f t="shared" si="99"/>
        <v/>
      </c>
      <c r="C738" s="256">
        <f t="shared" si="100"/>
        <v>3047.1172825179469</v>
      </c>
      <c r="D738" s="257" t="str">
        <f t="shared" si="102"/>
        <v/>
      </c>
      <c r="F738" s="257" t="str">
        <f t="shared" si="103"/>
        <v/>
      </c>
      <c r="G738" s="257" t="str">
        <f t="shared" si="104"/>
        <v/>
      </c>
      <c r="H738" s="257" t="str">
        <f t="shared" si="105"/>
        <v/>
      </c>
      <c r="I738" s="220" t="e">
        <f t="shared" si="101"/>
        <v>#VALUE!</v>
      </c>
    </row>
    <row r="739" spans="1:9" x14ac:dyDescent="0.25">
      <c r="A739" s="254">
        <f t="shared" si="98"/>
        <v>721</v>
      </c>
      <c r="B739" s="255" t="str">
        <f t="shared" si="99"/>
        <v/>
      </c>
      <c r="C739" s="256">
        <f t="shared" si="100"/>
        <v>3047.1172825179469</v>
      </c>
      <c r="D739" s="257" t="str">
        <f t="shared" si="102"/>
        <v/>
      </c>
      <c r="F739" s="257" t="str">
        <f t="shared" si="103"/>
        <v/>
      </c>
      <c r="G739" s="257" t="str">
        <f t="shared" si="104"/>
        <v/>
      </c>
      <c r="H739" s="257" t="str">
        <f t="shared" si="105"/>
        <v/>
      </c>
      <c r="I739" s="220" t="e">
        <f t="shared" si="101"/>
        <v>#VALUE!</v>
      </c>
    </row>
    <row r="740" spans="1:9" x14ac:dyDescent="0.25">
      <c r="A740" s="254">
        <f t="shared" si="98"/>
        <v>722</v>
      </c>
      <c r="B740" s="255" t="str">
        <f t="shared" si="99"/>
        <v/>
      </c>
      <c r="C740" s="256">
        <f t="shared" si="100"/>
        <v>3047.1172825179469</v>
      </c>
      <c r="D740" s="257" t="str">
        <f t="shared" si="102"/>
        <v/>
      </c>
      <c r="F740" s="257" t="str">
        <f t="shared" si="103"/>
        <v/>
      </c>
      <c r="G740" s="257" t="str">
        <f t="shared" si="104"/>
        <v/>
      </c>
      <c r="H740" s="257" t="str">
        <f t="shared" si="105"/>
        <v/>
      </c>
      <c r="I740" s="220" t="e">
        <f t="shared" si="101"/>
        <v>#VALUE!</v>
      </c>
    </row>
    <row r="741" spans="1:9" x14ac:dyDescent="0.25">
      <c r="A741" s="254">
        <f t="shared" si="98"/>
        <v>723</v>
      </c>
      <c r="B741" s="255" t="str">
        <f t="shared" si="99"/>
        <v/>
      </c>
      <c r="C741" s="256">
        <f t="shared" si="100"/>
        <v>3047.1172825179469</v>
      </c>
      <c r="D741" s="257" t="str">
        <f t="shared" si="102"/>
        <v/>
      </c>
      <c r="F741" s="257" t="str">
        <f t="shared" si="103"/>
        <v/>
      </c>
      <c r="G741" s="257" t="str">
        <f t="shared" si="104"/>
        <v/>
      </c>
      <c r="H741" s="257" t="str">
        <f t="shared" si="105"/>
        <v/>
      </c>
      <c r="I741" s="220" t="e">
        <f t="shared" si="101"/>
        <v>#VALUE!</v>
      </c>
    </row>
    <row r="742" spans="1:9" x14ac:dyDescent="0.25">
      <c r="A742" s="254">
        <f t="shared" si="98"/>
        <v>724</v>
      </c>
      <c r="B742" s="255" t="str">
        <f t="shared" si="99"/>
        <v/>
      </c>
      <c r="C742" s="256">
        <f t="shared" si="100"/>
        <v>3047.1172825179469</v>
      </c>
      <c r="D742" s="257" t="str">
        <f t="shared" si="102"/>
        <v/>
      </c>
      <c r="F742" s="257" t="str">
        <f t="shared" si="103"/>
        <v/>
      </c>
      <c r="G742" s="257" t="str">
        <f t="shared" si="104"/>
        <v/>
      </c>
      <c r="H742" s="257" t="str">
        <f t="shared" si="105"/>
        <v/>
      </c>
      <c r="I742" s="220" t="e">
        <f t="shared" si="101"/>
        <v>#VALUE!</v>
      </c>
    </row>
    <row r="743" spans="1:9" x14ac:dyDescent="0.25">
      <c r="A743" s="254">
        <f t="shared" si="98"/>
        <v>725</v>
      </c>
      <c r="B743" s="255" t="str">
        <f t="shared" si="99"/>
        <v/>
      </c>
      <c r="C743" s="256">
        <f t="shared" si="100"/>
        <v>3047.1172825179469</v>
      </c>
      <c r="D743" s="257" t="str">
        <f t="shared" si="102"/>
        <v/>
      </c>
      <c r="F743" s="257" t="str">
        <f t="shared" si="103"/>
        <v/>
      </c>
      <c r="G743" s="257" t="str">
        <f t="shared" si="104"/>
        <v/>
      </c>
      <c r="H743" s="257" t="str">
        <f t="shared" si="105"/>
        <v/>
      </c>
      <c r="I743" s="220" t="e">
        <f t="shared" si="101"/>
        <v>#VALUE!</v>
      </c>
    </row>
    <row r="744" spans="1:9" x14ac:dyDescent="0.25">
      <c r="A744" s="254">
        <f t="shared" si="98"/>
        <v>726</v>
      </c>
      <c r="B744" s="255" t="str">
        <f t="shared" si="99"/>
        <v/>
      </c>
      <c r="C744" s="256">
        <f t="shared" si="100"/>
        <v>3047.1172825179469</v>
      </c>
      <c r="D744" s="257" t="str">
        <f t="shared" si="102"/>
        <v/>
      </c>
      <c r="F744" s="257" t="str">
        <f t="shared" si="103"/>
        <v/>
      </c>
      <c r="G744" s="257" t="str">
        <f t="shared" si="104"/>
        <v/>
      </c>
      <c r="H744" s="257" t="str">
        <f t="shared" si="105"/>
        <v/>
      </c>
      <c r="I744" s="220" t="e">
        <f t="shared" si="101"/>
        <v>#VALUE!</v>
      </c>
    </row>
    <row r="745" spans="1:9" x14ac:dyDescent="0.25">
      <c r="A745" s="254">
        <f t="shared" si="98"/>
        <v>727</v>
      </c>
      <c r="B745" s="255" t="str">
        <f t="shared" si="99"/>
        <v/>
      </c>
      <c r="C745" s="256">
        <f t="shared" si="100"/>
        <v>3047.1172825179469</v>
      </c>
      <c r="D745" s="257" t="str">
        <f t="shared" si="102"/>
        <v/>
      </c>
      <c r="F745" s="257" t="str">
        <f t="shared" si="103"/>
        <v/>
      </c>
      <c r="G745" s="257" t="str">
        <f t="shared" si="104"/>
        <v/>
      </c>
      <c r="H745" s="257" t="str">
        <f t="shared" si="105"/>
        <v/>
      </c>
      <c r="I745" s="220" t="e">
        <f t="shared" si="101"/>
        <v>#VALUE!</v>
      </c>
    </row>
    <row r="746" spans="1:9" x14ac:dyDescent="0.25">
      <c r="A746" s="254">
        <f t="shared" si="98"/>
        <v>728</v>
      </c>
      <c r="B746" s="255" t="str">
        <f t="shared" si="99"/>
        <v/>
      </c>
      <c r="C746" s="256">
        <f t="shared" si="100"/>
        <v>3047.1172825179469</v>
      </c>
      <c r="D746" s="257" t="str">
        <f t="shared" si="102"/>
        <v/>
      </c>
      <c r="F746" s="257" t="str">
        <f t="shared" si="103"/>
        <v/>
      </c>
      <c r="G746" s="257" t="str">
        <f t="shared" si="104"/>
        <v/>
      </c>
      <c r="H746" s="257" t="str">
        <f t="shared" si="105"/>
        <v/>
      </c>
      <c r="I746" s="220" t="e">
        <f t="shared" si="101"/>
        <v>#VALUE!</v>
      </c>
    </row>
    <row r="747" spans="1:9" x14ac:dyDescent="0.25">
      <c r="A747" s="254">
        <f t="shared" si="98"/>
        <v>729</v>
      </c>
      <c r="B747" s="255" t="str">
        <f t="shared" si="99"/>
        <v/>
      </c>
      <c r="C747" s="256">
        <f t="shared" si="100"/>
        <v>3047.1172825179469</v>
      </c>
      <c r="D747" s="257" t="str">
        <f t="shared" si="102"/>
        <v/>
      </c>
      <c r="F747" s="257" t="str">
        <f t="shared" si="103"/>
        <v/>
      </c>
      <c r="G747" s="257" t="str">
        <f t="shared" si="104"/>
        <v/>
      </c>
      <c r="H747" s="257" t="str">
        <f t="shared" si="105"/>
        <v/>
      </c>
      <c r="I747" s="220" t="e">
        <f t="shared" si="101"/>
        <v>#VALUE!</v>
      </c>
    </row>
    <row r="748" spans="1:9" x14ac:dyDescent="0.25">
      <c r="A748" s="254">
        <f t="shared" si="98"/>
        <v>730</v>
      </c>
      <c r="B748" s="255" t="str">
        <f t="shared" si="99"/>
        <v/>
      </c>
      <c r="C748" s="256">
        <f t="shared" si="100"/>
        <v>3047.1172825179469</v>
      </c>
      <c r="D748" s="257" t="str">
        <f t="shared" si="102"/>
        <v/>
      </c>
      <c r="F748" s="257" t="str">
        <f t="shared" si="103"/>
        <v/>
      </c>
      <c r="G748" s="257" t="str">
        <f t="shared" si="104"/>
        <v/>
      </c>
      <c r="H748" s="257" t="str">
        <f t="shared" si="105"/>
        <v/>
      </c>
      <c r="I748" s="220" t="e">
        <f t="shared" si="101"/>
        <v>#VALUE!</v>
      </c>
    </row>
    <row r="749" spans="1:9" x14ac:dyDescent="0.25">
      <c r="A749" s="254">
        <f t="shared" si="98"/>
        <v>731</v>
      </c>
      <c r="B749" s="255" t="str">
        <f t="shared" si="99"/>
        <v/>
      </c>
      <c r="C749" s="256">
        <f t="shared" si="100"/>
        <v>3047.1172825179469</v>
      </c>
      <c r="D749" s="257" t="str">
        <f t="shared" si="102"/>
        <v/>
      </c>
      <c r="F749" s="257" t="str">
        <f t="shared" si="103"/>
        <v/>
      </c>
      <c r="G749" s="257" t="str">
        <f t="shared" si="104"/>
        <v/>
      </c>
      <c r="H749" s="257" t="str">
        <f t="shared" si="105"/>
        <v/>
      </c>
      <c r="I749" s="220" t="e">
        <f t="shared" si="101"/>
        <v>#VALUE!</v>
      </c>
    </row>
    <row r="750" spans="1:9" x14ac:dyDescent="0.25">
      <c r="A750" s="254">
        <f t="shared" si="98"/>
        <v>732</v>
      </c>
      <c r="B750" s="255" t="str">
        <f t="shared" si="99"/>
        <v/>
      </c>
      <c r="C750" s="256">
        <f t="shared" si="100"/>
        <v>3047.1172825179469</v>
      </c>
      <c r="D750" s="257" t="str">
        <f t="shared" si="102"/>
        <v/>
      </c>
      <c r="F750" s="257" t="str">
        <f t="shared" si="103"/>
        <v/>
      </c>
      <c r="G750" s="257" t="str">
        <f t="shared" si="104"/>
        <v/>
      </c>
      <c r="H750" s="257" t="str">
        <f t="shared" si="105"/>
        <v/>
      </c>
      <c r="I750" s="220" t="e">
        <f t="shared" si="101"/>
        <v>#VALUE!</v>
      </c>
    </row>
    <row r="751" spans="1:9" x14ac:dyDescent="0.25">
      <c r="A751" s="254">
        <f t="shared" si="98"/>
        <v>733</v>
      </c>
      <c r="B751" s="255" t="str">
        <f t="shared" si="99"/>
        <v/>
      </c>
      <c r="C751" s="256">
        <f t="shared" si="100"/>
        <v>3047.1172825179469</v>
      </c>
      <c r="D751" s="257" t="str">
        <f t="shared" si="102"/>
        <v/>
      </c>
      <c r="F751" s="257" t="str">
        <f t="shared" si="103"/>
        <v/>
      </c>
      <c r="G751" s="257" t="str">
        <f t="shared" si="104"/>
        <v/>
      </c>
      <c r="H751" s="257" t="str">
        <f t="shared" si="105"/>
        <v/>
      </c>
      <c r="I751" s="220" t="e">
        <f t="shared" si="101"/>
        <v>#VALUE!</v>
      </c>
    </row>
    <row r="752" spans="1:9" x14ac:dyDescent="0.25">
      <c r="A752" s="254">
        <f t="shared" si="98"/>
        <v>734</v>
      </c>
      <c r="B752" s="255" t="str">
        <f t="shared" si="99"/>
        <v/>
      </c>
      <c r="C752" s="256">
        <f t="shared" si="100"/>
        <v>3047.1172825179469</v>
      </c>
      <c r="D752" s="257" t="str">
        <f t="shared" si="102"/>
        <v/>
      </c>
      <c r="F752" s="257" t="str">
        <f t="shared" si="103"/>
        <v/>
      </c>
      <c r="G752" s="257" t="str">
        <f t="shared" si="104"/>
        <v/>
      </c>
      <c r="H752" s="257" t="str">
        <f t="shared" si="105"/>
        <v/>
      </c>
      <c r="I752" s="220" t="e">
        <f t="shared" si="101"/>
        <v>#VALUE!</v>
      </c>
    </row>
    <row r="753" spans="1:9" x14ac:dyDescent="0.25">
      <c r="A753" s="254">
        <f t="shared" si="98"/>
        <v>735</v>
      </c>
      <c r="B753" s="255" t="str">
        <f t="shared" si="99"/>
        <v/>
      </c>
      <c r="C753" s="256">
        <f t="shared" si="100"/>
        <v>3047.1172825179469</v>
      </c>
      <c r="D753" s="257" t="str">
        <f t="shared" si="102"/>
        <v/>
      </c>
      <c r="F753" s="257" t="str">
        <f t="shared" si="103"/>
        <v/>
      </c>
      <c r="G753" s="257" t="str">
        <f t="shared" si="104"/>
        <v/>
      </c>
      <c r="H753" s="257" t="str">
        <f t="shared" si="105"/>
        <v/>
      </c>
      <c r="I753" s="220" t="e">
        <f t="shared" si="101"/>
        <v>#VALUE!</v>
      </c>
    </row>
    <row r="754" spans="1:9" x14ac:dyDescent="0.25">
      <c r="A754" s="254">
        <f t="shared" si="98"/>
        <v>736</v>
      </c>
      <c r="B754" s="255" t="str">
        <f t="shared" si="99"/>
        <v/>
      </c>
      <c r="C754" s="256">
        <f t="shared" si="100"/>
        <v>3047.1172825179469</v>
      </c>
      <c r="D754" s="257" t="str">
        <f t="shared" si="102"/>
        <v/>
      </c>
      <c r="F754" s="257" t="str">
        <f t="shared" si="103"/>
        <v/>
      </c>
      <c r="G754" s="257" t="str">
        <f t="shared" si="104"/>
        <v/>
      </c>
      <c r="H754" s="257" t="str">
        <f t="shared" si="105"/>
        <v/>
      </c>
      <c r="I754" s="220" t="e">
        <f t="shared" si="101"/>
        <v>#VALUE!</v>
      </c>
    </row>
    <row r="755" spans="1:9" x14ac:dyDescent="0.25">
      <c r="A755" s="254">
        <f t="shared" si="98"/>
        <v>737</v>
      </c>
      <c r="B755" s="255" t="str">
        <f t="shared" si="99"/>
        <v/>
      </c>
      <c r="C755" s="256">
        <f t="shared" si="100"/>
        <v>3047.1172825179469</v>
      </c>
      <c r="D755" s="257" t="str">
        <f t="shared" si="102"/>
        <v/>
      </c>
      <c r="F755" s="257" t="str">
        <f t="shared" si="103"/>
        <v/>
      </c>
      <c r="G755" s="257" t="str">
        <f t="shared" si="104"/>
        <v/>
      </c>
      <c r="H755" s="257" t="str">
        <f t="shared" si="105"/>
        <v/>
      </c>
      <c r="I755" s="220" t="e">
        <f t="shared" si="101"/>
        <v>#VALUE!</v>
      </c>
    </row>
    <row r="756" spans="1:9" x14ac:dyDescent="0.25">
      <c r="A756" s="254">
        <f t="shared" si="98"/>
        <v>738</v>
      </c>
      <c r="B756" s="255" t="str">
        <f t="shared" si="99"/>
        <v/>
      </c>
      <c r="C756" s="256">
        <f t="shared" si="100"/>
        <v>3047.1172825179469</v>
      </c>
      <c r="D756" s="257" t="str">
        <f t="shared" si="102"/>
        <v/>
      </c>
      <c r="F756" s="257" t="str">
        <f t="shared" si="103"/>
        <v/>
      </c>
      <c r="G756" s="257" t="str">
        <f t="shared" si="104"/>
        <v/>
      </c>
      <c r="H756" s="257" t="str">
        <f t="shared" si="105"/>
        <v/>
      </c>
      <c r="I756" s="220" t="e">
        <f t="shared" si="101"/>
        <v>#VALUE!</v>
      </c>
    </row>
    <row r="757" spans="1:9" x14ac:dyDescent="0.25">
      <c r="A757" s="254">
        <f t="shared" si="98"/>
        <v>739</v>
      </c>
      <c r="B757" s="255" t="str">
        <f t="shared" si="99"/>
        <v/>
      </c>
      <c r="C757" s="256">
        <f t="shared" si="100"/>
        <v>3047.1172825179469</v>
      </c>
      <c r="D757" s="257" t="str">
        <f t="shared" si="102"/>
        <v/>
      </c>
      <c r="F757" s="257" t="str">
        <f t="shared" si="103"/>
        <v/>
      </c>
      <c r="G757" s="257" t="str">
        <f t="shared" si="104"/>
        <v/>
      </c>
      <c r="H757" s="257" t="str">
        <f t="shared" si="105"/>
        <v/>
      </c>
      <c r="I757" s="220" t="e">
        <f t="shared" si="101"/>
        <v>#VALUE!</v>
      </c>
    </row>
    <row r="758" spans="1:9" x14ac:dyDescent="0.25">
      <c r="A758" s="254">
        <f t="shared" si="98"/>
        <v>740</v>
      </c>
      <c r="B758" s="255" t="str">
        <f t="shared" si="99"/>
        <v/>
      </c>
      <c r="C758" s="256">
        <f t="shared" si="100"/>
        <v>3047.1172825179469</v>
      </c>
      <c r="D758" s="257" t="str">
        <f t="shared" si="102"/>
        <v/>
      </c>
      <c r="F758" s="257" t="str">
        <f t="shared" si="103"/>
        <v/>
      </c>
      <c r="G758" s="257" t="str">
        <f t="shared" si="104"/>
        <v/>
      </c>
      <c r="H758" s="257" t="str">
        <f t="shared" si="105"/>
        <v/>
      </c>
      <c r="I758" s="220" t="e">
        <f t="shared" si="101"/>
        <v>#VALUE!</v>
      </c>
    </row>
    <row r="759" spans="1:9" x14ac:dyDescent="0.25">
      <c r="A759" s="254">
        <f t="shared" si="98"/>
        <v>741</v>
      </c>
      <c r="B759" s="255" t="str">
        <f t="shared" si="99"/>
        <v/>
      </c>
      <c r="C759" s="256">
        <f t="shared" si="100"/>
        <v>3047.1172825179469</v>
      </c>
      <c r="D759" s="257" t="str">
        <f t="shared" si="102"/>
        <v/>
      </c>
      <c r="F759" s="257" t="str">
        <f t="shared" si="103"/>
        <v/>
      </c>
      <c r="G759" s="257" t="str">
        <f t="shared" si="104"/>
        <v/>
      </c>
      <c r="H759" s="257" t="str">
        <f t="shared" si="105"/>
        <v/>
      </c>
      <c r="I759" s="220" t="e">
        <f t="shared" si="101"/>
        <v>#VALUE!</v>
      </c>
    </row>
    <row r="760" spans="1:9" x14ac:dyDescent="0.25">
      <c r="A760" s="254">
        <f t="shared" si="98"/>
        <v>742</v>
      </c>
      <c r="B760" s="255" t="str">
        <f t="shared" si="99"/>
        <v/>
      </c>
      <c r="C760" s="256">
        <f t="shared" si="100"/>
        <v>3047.1172825179469</v>
      </c>
      <c r="D760" s="257" t="str">
        <f t="shared" si="102"/>
        <v/>
      </c>
      <c r="F760" s="257" t="str">
        <f t="shared" si="103"/>
        <v/>
      </c>
      <c r="G760" s="257" t="str">
        <f t="shared" si="104"/>
        <v/>
      </c>
      <c r="H760" s="257" t="str">
        <f t="shared" si="105"/>
        <v/>
      </c>
      <c r="I760" s="220" t="e">
        <f t="shared" si="101"/>
        <v>#VALUE!</v>
      </c>
    </row>
    <row r="761" spans="1:9" x14ac:dyDescent="0.25">
      <c r="A761" s="254">
        <f t="shared" ref="A761:A798" si="106">A760+1</f>
        <v>743</v>
      </c>
      <c r="B761" s="255" t="str">
        <f t="shared" si="99"/>
        <v/>
      </c>
      <c r="C761" s="256">
        <f t="shared" si="100"/>
        <v>3047.1172825179469</v>
      </c>
      <c r="D761" s="257" t="str">
        <f t="shared" si="102"/>
        <v/>
      </c>
      <c r="F761" s="257" t="str">
        <f t="shared" si="103"/>
        <v/>
      </c>
      <c r="G761" s="257" t="str">
        <f t="shared" si="104"/>
        <v/>
      </c>
      <c r="H761" s="257" t="str">
        <f t="shared" si="105"/>
        <v/>
      </c>
      <c r="I761" s="220" t="e">
        <f t="shared" si="101"/>
        <v>#VALUE!</v>
      </c>
    </row>
    <row r="762" spans="1:9" x14ac:dyDescent="0.25">
      <c r="A762" s="254">
        <f t="shared" si="106"/>
        <v>744</v>
      </c>
      <c r="B762" s="255" t="str">
        <f t="shared" si="99"/>
        <v/>
      </c>
      <c r="C762" s="256">
        <f t="shared" si="100"/>
        <v>3047.1172825179469</v>
      </c>
      <c r="D762" s="257" t="str">
        <f t="shared" si="102"/>
        <v/>
      </c>
      <c r="F762" s="257" t="str">
        <f t="shared" si="103"/>
        <v/>
      </c>
      <c r="G762" s="257" t="str">
        <f t="shared" si="104"/>
        <v/>
      </c>
      <c r="H762" s="257" t="str">
        <f t="shared" si="105"/>
        <v/>
      </c>
      <c r="I762" s="220" t="e">
        <f t="shared" si="101"/>
        <v>#VALUE!</v>
      </c>
    </row>
    <row r="763" spans="1:9" x14ac:dyDescent="0.25">
      <c r="A763" s="254">
        <f t="shared" si="106"/>
        <v>745</v>
      </c>
      <c r="B763" s="255" t="str">
        <f t="shared" si="99"/>
        <v/>
      </c>
      <c r="C763" s="256">
        <f t="shared" si="100"/>
        <v>3047.1172825179469</v>
      </c>
      <c r="D763" s="257" t="str">
        <f t="shared" si="102"/>
        <v/>
      </c>
      <c r="F763" s="257" t="str">
        <f t="shared" si="103"/>
        <v/>
      </c>
      <c r="G763" s="257" t="str">
        <f t="shared" si="104"/>
        <v/>
      </c>
      <c r="H763" s="257" t="str">
        <f t="shared" si="105"/>
        <v/>
      </c>
      <c r="I763" s="220" t="e">
        <f t="shared" si="101"/>
        <v>#VALUE!</v>
      </c>
    </row>
    <row r="764" spans="1:9" x14ac:dyDescent="0.25">
      <c r="A764" s="254">
        <f t="shared" si="106"/>
        <v>746</v>
      </c>
      <c r="B764" s="255" t="str">
        <f t="shared" si="99"/>
        <v/>
      </c>
      <c r="C764" s="256">
        <f t="shared" si="100"/>
        <v>3047.1172825179469</v>
      </c>
      <c r="D764" s="257" t="str">
        <f t="shared" si="102"/>
        <v/>
      </c>
      <c r="F764" s="257" t="str">
        <f t="shared" si="103"/>
        <v/>
      </c>
      <c r="G764" s="257" t="str">
        <f t="shared" si="104"/>
        <v/>
      </c>
      <c r="H764" s="257" t="str">
        <f t="shared" si="105"/>
        <v/>
      </c>
      <c r="I764" s="220" t="e">
        <f t="shared" si="101"/>
        <v>#VALUE!</v>
      </c>
    </row>
    <row r="765" spans="1:9" x14ac:dyDescent="0.25">
      <c r="A765" s="254">
        <f t="shared" si="106"/>
        <v>747</v>
      </c>
      <c r="B765" s="255" t="str">
        <f t="shared" si="99"/>
        <v/>
      </c>
      <c r="C765" s="256">
        <f t="shared" si="100"/>
        <v>3047.1172825179469</v>
      </c>
      <c r="D765" s="257" t="str">
        <f t="shared" si="102"/>
        <v/>
      </c>
      <c r="F765" s="257" t="str">
        <f t="shared" si="103"/>
        <v/>
      </c>
      <c r="G765" s="257" t="str">
        <f t="shared" si="104"/>
        <v/>
      </c>
      <c r="H765" s="257" t="str">
        <f t="shared" si="105"/>
        <v/>
      </c>
      <c r="I765" s="220" t="e">
        <f t="shared" si="101"/>
        <v>#VALUE!</v>
      </c>
    </row>
    <row r="766" spans="1:9" x14ac:dyDescent="0.25">
      <c r="A766" s="254">
        <f t="shared" si="106"/>
        <v>748</v>
      </c>
      <c r="B766" s="255" t="str">
        <f t="shared" si="99"/>
        <v/>
      </c>
      <c r="C766" s="256">
        <f t="shared" si="100"/>
        <v>3047.1172825179469</v>
      </c>
      <c r="D766" s="257" t="str">
        <f t="shared" si="102"/>
        <v/>
      </c>
      <c r="F766" s="257" t="str">
        <f t="shared" si="103"/>
        <v/>
      </c>
      <c r="G766" s="257" t="str">
        <f t="shared" si="104"/>
        <v/>
      </c>
      <c r="H766" s="257" t="str">
        <f t="shared" si="105"/>
        <v/>
      </c>
      <c r="I766" s="220" t="e">
        <f t="shared" si="101"/>
        <v>#VALUE!</v>
      </c>
    </row>
    <row r="767" spans="1:9" x14ac:dyDescent="0.25">
      <c r="A767" s="254">
        <f t="shared" si="106"/>
        <v>749</v>
      </c>
      <c r="B767" s="255" t="str">
        <f t="shared" si="99"/>
        <v/>
      </c>
      <c r="C767" s="256">
        <f t="shared" si="100"/>
        <v>3047.1172825179469</v>
      </c>
      <c r="D767" s="257" t="str">
        <f t="shared" si="102"/>
        <v/>
      </c>
      <c r="F767" s="257" t="str">
        <f t="shared" si="103"/>
        <v/>
      </c>
      <c r="G767" s="257" t="str">
        <f t="shared" si="104"/>
        <v/>
      </c>
      <c r="H767" s="257" t="str">
        <f t="shared" si="105"/>
        <v/>
      </c>
      <c r="I767" s="220" t="e">
        <f t="shared" si="101"/>
        <v>#VALUE!</v>
      </c>
    </row>
    <row r="768" spans="1:9" x14ac:dyDescent="0.25">
      <c r="A768" s="254">
        <f t="shared" si="106"/>
        <v>750</v>
      </c>
      <c r="B768" s="255" t="str">
        <f t="shared" si="99"/>
        <v/>
      </c>
      <c r="C768" s="256">
        <f t="shared" si="100"/>
        <v>3047.1172825179469</v>
      </c>
      <c r="D768" s="257" t="str">
        <f t="shared" si="102"/>
        <v/>
      </c>
      <c r="F768" s="257" t="str">
        <f t="shared" si="103"/>
        <v/>
      </c>
      <c r="G768" s="257" t="str">
        <f t="shared" si="104"/>
        <v/>
      </c>
      <c r="H768" s="257" t="str">
        <f t="shared" si="105"/>
        <v/>
      </c>
      <c r="I768" s="220" t="e">
        <f t="shared" si="101"/>
        <v>#VALUE!</v>
      </c>
    </row>
    <row r="769" spans="1:9" x14ac:dyDescent="0.25">
      <c r="A769" s="254">
        <f t="shared" si="106"/>
        <v>751</v>
      </c>
      <c r="B769" s="255" t="str">
        <f t="shared" si="99"/>
        <v/>
      </c>
      <c r="C769" s="256">
        <f t="shared" si="100"/>
        <v>3047.1172825179469</v>
      </c>
      <c r="D769" s="257" t="str">
        <f t="shared" si="102"/>
        <v/>
      </c>
      <c r="F769" s="257" t="str">
        <f t="shared" si="103"/>
        <v/>
      </c>
      <c r="G769" s="257" t="str">
        <f t="shared" si="104"/>
        <v/>
      </c>
      <c r="H769" s="257" t="str">
        <f t="shared" si="105"/>
        <v/>
      </c>
      <c r="I769" s="220" t="e">
        <f t="shared" si="101"/>
        <v>#VALUE!</v>
      </c>
    </row>
    <row r="770" spans="1:9" x14ac:dyDescent="0.25">
      <c r="A770" s="254">
        <f t="shared" si="106"/>
        <v>752</v>
      </c>
      <c r="B770" s="255" t="str">
        <f t="shared" si="99"/>
        <v/>
      </c>
      <c r="C770" s="256">
        <f t="shared" si="100"/>
        <v>3047.1172825179469</v>
      </c>
      <c r="D770" s="257" t="str">
        <f t="shared" si="102"/>
        <v/>
      </c>
      <c r="F770" s="257" t="str">
        <f t="shared" si="103"/>
        <v/>
      </c>
      <c r="G770" s="257" t="str">
        <f t="shared" si="104"/>
        <v/>
      </c>
      <c r="H770" s="257" t="str">
        <f t="shared" si="105"/>
        <v/>
      </c>
      <c r="I770" s="220" t="e">
        <f t="shared" si="101"/>
        <v>#VALUE!</v>
      </c>
    </row>
    <row r="771" spans="1:9" x14ac:dyDescent="0.25">
      <c r="A771" s="254">
        <f t="shared" si="106"/>
        <v>753</v>
      </c>
      <c r="B771" s="255" t="str">
        <f t="shared" si="99"/>
        <v/>
      </c>
      <c r="C771" s="256">
        <f t="shared" si="100"/>
        <v>3047.1172825179469</v>
      </c>
      <c r="D771" s="257" t="str">
        <f t="shared" si="102"/>
        <v/>
      </c>
      <c r="F771" s="257" t="str">
        <f t="shared" si="103"/>
        <v/>
      </c>
      <c r="G771" s="257" t="str">
        <f t="shared" si="104"/>
        <v/>
      </c>
      <c r="H771" s="257" t="str">
        <f t="shared" si="105"/>
        <v/>
      </c>
      <c r="I771" s="220" t="e">
        <f t="shared" si="101"/>
        <v>#VALUE!</v>
      </c>
    </row>
    <row r="772" spans="1:9" x14ac:dyDescent="0.25">
      <c r="A772" s="254">
        <f t="shared" si="106"/>
        <v>754</v>
      </c>
      <c r="B772" s="255" t="str">
        <f t="shared" si="99"/>
        <v/>
      </c>
      <c r="C772" s="256">
        <f t="shared" si="100"/>
        <v>3047.1172825179469</v>
      </c>
      <c r="D772" s="257" t="str">
        <f t="shared" si="102"/>
        <v/>
      </c>
      <c r="F772" s="257" t="str">
        <f t="shared" si="103"/>
        <v/>
      </c>
      <c r="G772" s="257" t="str">
        <f t="shared" si="104"/>
        <v/>
      </c>
      <c r="H772" s="257" t="str">
        <f t="shared" si="105"/>
        <v/>
      </c>
      <c r="I772" s="220" t="e">
        <f t="shared" si="101"/>
        <v>#VALUE!</v>
      </c>
    </row>
    <row r="773" spans="1:9" x14ac:dyDescent="0.25">
      <c r="A773" s="254">
        <f t="shared" si="106"/>
        <v>755</v>
      </c>
      <c r="B773" s="255" t="str">
        <f t="shared" si="99"/>
        <v/>
      </c>
      <c r="C773" s="256">
        <f t="shared" si="100"/>
        <v>3047.1172825179469</v>
      </c>
      <c r="D773" s="257" t="str">
        <f t="shared" si="102"/>
        <v/>
      </c>
      <c r="F773" s="257" t="str">
        <f t="shared" si="103"/>
        <v/>
      </c>
      <c r="G773" s="257" t="str">
        <f t="shared" si="104"/>
        <v/>
      </c>
      <c r="H773" s="257" t="str">
        <f t="shared" si="105"/>
        <v/>
      </c>
      <c r="I773" s="220" t="e">
        <f t="shared" si="101"/>
        <v>#VALUE!</v>
      </c>
    </row>
    <row r="774" spans="1:9" x14ac:dyDescent="0.25">
      <c r="A774" s="254">
        <f t="shared" si="106"/>
        <v>756</v>
      </c>
      <c r="B774" s="255" t="str">
        <f t="shared" si="99"/>
        <v/>
      </c>
      <c r="C774" s="256">
        <f t="shared" si="100"/>
        <v>3047.1172825179469</v>
      </c>
      <c r="D774" s="257" t="str">
        <f t="shared" si="102"/>
        <v/>
      </c>
      <c r="F774" s="257" t="str">
        <f t="shared" si="103"/>
        <v/>
      </c>
      <c r="G774" s="257" t="str">
        <f t="shared" si="104"/>
        <v/>
      </c>
      <c r="H774" s="257" t="str">
        <f t="shared" si="105"/>
        <v/>
      </c>
      <c r="I774" s="220" t="e">
        <f t="shared" si="101"/>
        <v>#VALUE!</v>
      </c>
    </row>
    <row r="775" spans="1:9" x14ac:dyDescent="0.25">
      <c r="A775" s="254">
        <f t="shared" si="106"/>
        <v>757</v>
      </c>
      <c r="B775" s="255" t="str">
        <f t="shared" si="99"/>
        <v/>
      </c>
      <c r="C775" s="256">
        <f t="shared" si="100"/>
        <v>3047.1172825179469</v>
      </c>
      <c r="D775" s="257" t="str">
        <f t="shared" si="102"/>
        <v/>
      </c>
      <c r="F775" s="257" t="str">
        <f t="shared" si="103"/>
        <v/>
      </c>
      <c r="G775" s="257" t="str">
        <f t="shared" si="104"/>
        <v/>
      </c>
      <c r="H775" s="257" t="str">
        <f t="shared" si="105"/>
        <v/>
      </c>
      <c r="I775" s="220" t="e">
        <f t="shared" si="101"/>
        <v>#VALUE!</v>
      </c>
    </row>
    <row r="776" spans="1:9" x14ac:dyDescent="0.25">
      <c r="A776" s="254">
        <f t="shared" si="106"/>
        <v>758</v>
      </c>
      <c r="B776" s="255" t="str">
        <f t="shared" si="99"/>
        <v/>
      </c>
      <c r="C776" s="256">
        <f t="shared" si="100"/>
        <v>3047.1172825179469</v>
      </c>
      <c r="D776" s="257" t="str">
        <f t="shared" si="102"/>
        <v/>
      </c>
      <c r="F776" s="257" t="str">
        <f t="shared" si="103"/>
        <v/>
      </c>
      <c r="G776" s="257" t="str">
        <f t="shared" si="104"/>
        <v/>
      </c>
      <c r="H776" s="257" t="str">
        <f t="shared" si="105"/>
        <v/>
      </c>
      <c r="I776" s="220" t="e">
        <f t="shared" si="101"/>
        <v>#VALUE!</v>
      </c>
    </row>
    <row r="777" spans="1:9" x14ac:dyDescent="0.25">
      <c r="A777" s="254">
        <f t="shared" si="106"/>
        <v>759</v>
      </c>
      <c r="B777" s="255" t="str">
        <f t="shared" si="99"/>
        <v/>
      </c>
      <c r="C777" s="256">
        <f t="shared" si="100"/>
        <v>3047.1172825179469</v>
      </c>
      <c r="D777" s="257" t="str">
        <f t="shared" si="102"/>
        <v/>
      </c>
      <c r="F777" s="257" t="str">
        <f t="shared" si="103"/>
        <v/>
      </c>
      <c r="G777" s="257" t="str">
        <f t="shared" si="104"/>
        <v/>
      </c>
      <c r="H777" s="257" t="str">
        <f t="shared" si="105"/>
        <v/>
      </c>
      <c r="I777" s="220" t="e">
        <f t="shared" si="101"/>
        <v>#VALUE!</v>
      </c>
    </row>
    <row r="778" spans="1:9" x14ac:dyDescent="0.25">
      <c r="A778" s="254">
        <f t="shared" si="106"/>
        <v>760</v>
      </c>
      <c r="B778" s="255" t="str">
        <f t="shared" si="99"/>
        <v/>
      </c>
      <c r="C778" s="256">
        <f t="shared" si="100"/>
        <v>3047.1172825179469</v>
      </c>
      <c r="D778" s="257" t="str">
        <f t="shared" si="102"/>
        <v/>
      </c>
      <c r="F778" s="257" t="str">
        <f t="shared" si="103"/>
        <v/>
      </c>
      <c r="G778" s="257" t="str">
        <f t="shared" si="104"/>
        <v/>
      </c>
      <c r="H778" s="257" t="str">
        <f t="shared" si="105"/>
        <v/>
      </c>
      <c r="I778" s="220" t="e">
        <f t="shared" si="101"/>
        <v>#VALUE!</v>
      </c>
    </row>
    <row r="779" spans="1:9" x14ac:dyDescent="0.25">
      <c r="A779" s="254">
        <f t="shared" si="106"/>
        <v>761</v>
      </c>
      <c r="B779" s="255" t="str">
        <f t="shared" si="99"/>
        <v/>
      </c>
      <c r="C779" s="256">
        <f t="shared" si="100"/>
        <v>3047.1172825179469</v>
      </c>
      <c r="D779" s="257" t="str">
        <f t="shared" si="102"/>
        <v/>
      </c>
      <c r="F779" s="257" t="str">
        <f t="shared" si="103"/>
        <v/>
      </c>
      <c r="G779" s="257" t="str">
        <f t="shared" si="104"/>
        <v/>
      </c>
      <c r="H779" s="257" t="str">
        <f t="shared" si="105"/>
        <v/>
      </c>
      <c r="I779" s="220" t="e">
        <f t="shared" si="101"/>
        <v>#VALUE!</v>
      </c>
    </row>
    <row r="780" spans="1:9" x14ac:dyDescent="0.25">
      <c r="A780" s="254">
        <f t="shared" si="106"/>
        <v>762</v>
      </c>
      <c r="B780" s="255" t="str">
        <f t="shared" si="99"/>
        <v/>
      </c>
      <c r="C780" s="256">
        <f t="shared" si="100"/>
        <v>3047.1172825179469</v>
      </c>
      <c r="D780" s="257" t="str">
        <f t="shared" si="102"/>
        <v/>
      </c>
      <c r="F780" s="257" t="str">
        <f t="shared" si="103"/>
        <v/>
      </c>
      <c r="G780" s="257" t="str">
        <f t="shared" si="104"/>
        <v/>
      </c>
      <c r="H780" s="257" t="str">
        <f t="shared" si="105"/>
        <v/>
      </c>
      <c r="I780" s="220" t="e">
        <f t="shared" si="101"/>
        <v>#VALUE!</v>
      </c>
    </row>
    <row r="781" spans="1:9" x14ac:dyDescent="0.25">
      <c r="A781" s="254">
        <f t="shared" si="106"/>
        <v>763</v>
      </c>
      <c r="B781" s="255" t="str">
        <f t="shared" si="99"/>
        <v/>
      </c>
      <c r="C781" s="256">
        <f t="shared" si="100"/>
        <v>3047.1172825179469</v>
      </c>
      <c r="D781" s="257" t="str">
        <f t="shared" si="102"/>
        <v/>
      </c>
      <c r="F781" s="257" t="str">
        <f t="shared" si="103"/>
        <v/>
      </c>
      <c r="G781" s="257" t="str">
        <f t="shared" si="104"/>
        <v/>
      </c>
      <c r="H781" s="257" t="str">
        <f t="shared" si="105"/>
        <v/>
      </c>
      <c r="I781" s="220" t="e">
        <f t="shared" si="101"/>
        <v>#VALUE!</v>
      </c>
    </row>
    <row r="782" spans="1:9" x14ac:dyDescent="0.25">
      <c r="A782" s="254">
        <f t="shared" si="106"/>
        <v>764</v>
      </c>
      <c r="B782" s="255" t="str">
        <f t="shared" si="99"/>
        <v/>
      </c>
      <c r="C782" s="256">
        <f t="shared" si="100"/>
        <v>3047.1172825179469</v>
      </c>
      <c r="D782" s="257" t="str">
        <f t="shared" si="102"/>
        <v/>
      </c>
      <c r="F782" s="257" t="str">
        <f t="shared" si="103"/>
        <v/>
      </c>
      <c r="G782" s="257" t="str">
        <f t="shared" si="104"/>
        <v/>
      </c>
      <c r="H782" s="257" t="str">
        <f t="shared" si="105"/>
        <v/>
      </c>
      <c r="I782" s="220" t="e">
        <f t="shared" si="101"/>
        <v>#VALUE!</v>
      </c>
    </row>
    <row r="783" spans="1:9" x14ac:dyDescent="0.25">
      <c r="A783" s="254">
        <f t="shared" si="106"/>
        <v>765</v>
      </c>
      <c r="B783" s="255" t="str">
        <f t="shared" si="99"/>
        <v/>
      </c>
      <c r="C783" s="256">
        <f t="shared" si="100"/>
        <v>3047.1172825179469</v>
      </c>
      <c r="D783" s="257" t="str">
        <f t="shared" si="102"/>
        <v/>
      </c>
      <c r="F783" s="257" t="str">
        <f t="shared" si="103"/>
        <v/>
      </c>
      <c r="G783" s="257" t="str">
        <f t="shared" si="104"/>
        <v/>
      </c>
      <c r="H783" s="257" t="str">
        <f t="shared" si="105"/>
        <v/>
      </c>
      <c r="I783" s="220" t="e">
        <f t="shared" si="101"/>
        <v>#VALUE!</v>
      </c>
    </row>
    <row r="784" spans="1:9" x14ac:dyDescent="0.25">
      <c r="A784" s="254">
        <f t="shared" si="106"/>
        <v>766</v>
      </c>
      <c r="B784" s="255" t="str">
        <f t="shared" si="99"/>
        <v/>
      </c>
      <c r="C784" s="256">
        <f t="shared" si="100"/>
        <v>3047.1172825179469</v>
      </c>
      <c r="D784" s="257" t="str">
        <f t="shared" si="102"/>
        <v/>
      </c>
      <c r="F784" s="257" t="str">
        <f t="shared" si="103"/>
        <v/>
      </c>
      <c r="G784" s="257" t="str">
        <f t="shared" si="104"/>
        <v/>
      </c>
      <c r="H784" s="257" t="str">
        <f t="shared" si="105"/>
        <v/>
      </c>
      <c r="I784" s="220" t="e">
        <f t="shared" si="101"/>
        <v>#VALUE!</v>
      </c>
    </row>
    <row r="785" spans="1:9" x14ac:dyDescent="0.25">
      <c r="A785" s="254">
        <f t="shared" si="106"/>
        <v>767</v>
      </c>
      <c r="B785" s="255" t="str">
        <f t="shared" si="99"/>
        <v/>
      </c>
      <c r="C785" s="256">
        <f t="shared" si="100"/>
        <v>3047.1172825179469</v>
      </c>
      <c r="D785" s="257" t="str">
        <f t="shared" si="102"/>
        <v/>
      </c>
      <c r="F785" s="257" t="str">
        <f t="shared" si="103"/>
        <v/>
      </c>
      <c r="G785" s="257" t="str">
        <f t="shared" si="104"/>
        <v/>
      </c>
      <c r="H785" s="257" t="str">
        <f t="shared" si="105"/>
        <v/>
      </c>
      <c r="I785" s="220" t="e">
        <f t="shared" si="101"/>
        <v>#VALUE!</v>
      </c>
    </row>
    <row r="786" spans="1:9" x14ac:dyDescent="0.25">
      <c r="A786" s="254">
        <f t="shared" si="106"/>
        <v>768</v>
      </c>
      <c r="B786" s="255" t="str">
        <f t="shared" si="99"/>
        <v/>
      </c>
      <c r="C786" s="256">
        <f t="shared" si="100"/>
        <v>3047.1172825179469</v>
      </c>
      <c r="D786" s="257" t="str">
        <f t="shared" si="102"/>
        <v/>
      </c>
      <c r="F786" s="257" t="str">
        <f t="shared" si="103"/>
        <v/>
      </c>
      <c r="G786" s="257" t="str">
        <f t="shared" si="104"/>
        <v/>
      </c>
      <c r="H786" s="257" t="str">
        <f t="shared" si="105"/>
        <v/>
      </c>
      <c r="I786" s="220" t="e">
        <f t="shared" si="101"/>
        <v>#VALUE!</v>
      </c>
    </row>
    <row r="787" spans="1:9" x14ac:dyDescent="0.25">
      <c r="A787" s="254">
        <f t="shared" si="106"/>
        <v>769</v>
      </c>
      <c r="B787" s="255" t="str">
        <f t="shared" si="99"/>
        <v/>
      </c>
      <c r="C787" s="256">
        <f t="shared" si="100"/>
        <v>3047.1172825179469</v>
      </c>
      <c r="D787" s="257" t="str">
        <f t="shared" si="102"/>
        <v/>
      </c>
      <c r="F787" s="257" t="str">
        <f t="shared" si="103"/>
        <v/>
      </c>
      <c r="G787" s="257" t="str">
        <f t="shared" si="104"/>
        <v/>
      </c>
      <c r="H787" s="257" t="str">
        <f t="shared" si="105"/>
        <v/>
      </c>
      <c r="I787" s="220" t="e">
        <f t="shared" si="101"/>
        <v>#VALUE!</v>
      </c>
    </row>
    <row r="788" spans="1:9" x14ac:dyDescent="0.25">
      <c r="A788" s="254">
        <f t="shared" si="106"/>
        <v>770</v>
      </c>
      <c r="B788" s="255" t="str">
        <f t="shared" ref="B788:B798" si="107">IF(A788&gt;$H$11,"",DATE(YEAR(B787),MONTH(B787)+1,1))</f>
        <v/>
      </c>
      <c r="C788" s="256">
        <f t="shared" ref="C788:C798" si="108">IF($H$15=0,-$D$14,IF(OR(A788=$H$11,A788=$H$14),G787+D788+E788,IF(B788="","",ROUND((B788-B787)*($H$9+$H$10*$I$10)*G787,2))))</f>
        <v>3047.1172825179469</v>
      </c>
      <c r="D788" s="257" t="str">
        <f t="shared" si="102"/>
        <v/>
      </c>
      <c r="F788" s="257" t="str">
        <f t="shared" si="103"/>
        <v/>
      </c>
      <c r="G788" s="257" t="str">
        <f t="shared" si="104"/>
        <v/>
      </c>
      <c r="H788" s="257" t="str">
        <f t="shared" si="105"/>
        <v/>
      </c>
      <c r="I788" s="220" t="e">
        <f t="shared" ref="I788:I798" si="109">YEAR(B788)</f>
        <v>#VALUE!</v>
      </c>
    </row>
    <row r="789" spans="1:9" x14ac:dyDescent="0.25">
      <c r="A789" s="254">
        <f t="shared" si="106"/>
        <v>771</v>
      </c>
      <c r="B789" s="255" t="str">
        <f t="shared" si="107"/>
        <v/>
      </c>
      <c r="C789" s="256">
        <f t="shared" si="108"/>
        <v>3047.1172825179469</v>
      </c>
      <c r="D789" s="257" t="str">
        <f t="shared" si="102"/>
        <v/>
      </c>
      <c r="F789" s="257" t="str">
        <f t="shared" si="103"/>
        <v/>
      </c>
      <c r="G789" s="257" t="str">
        <f t="shared" si="104"/>
        <v/>
      </c>
      <c r="H789" s="257" t="str">
        <f t="shared" si="105"/>
        <v/>
      </c>
      <c r="I789" s="220" t="e">
        <f t="shared" si="109"/>
        <v>#VALUE!</v>
      </c>
    </row>
    <row r="790" spans="1:9" x14ac:dyDescent="0.25">
      <c r="A790" s="254">
        <f t="shared" si="106"/>
        <v>772</v>
      </c>
      <c r="B790" s="255" t="str">
        <f t="shared" si="107"/>
        <v/>
      </c>
      <c r="C790" s="256">
        <f t="shared" si="108"/>
        <v>3047.1172825179469</v>
      </c>
      <c r="D790" s="257" t="str">
        <f t="shared" si="102"/>
        <v/>
      </c>
      <c r="F790" s="257" t="str">
        <f t="shared" si="103"/>
        <v/>
      </c>
      <c r="G790" s="257" t="str">
        <f t="shared" si="104"/>
        <v/>
      </c>
      <c r="H790" s="257" t="str">
        <f t="shared" si="105"/>
        <v/>
      </c>
      <c r="I790" s="220" t="e">
        <f t="shared" si="109"/>
        <v>#VALUE!</v>
      </c>
    </row>
    <row r="791" spans="1:9" x14ac:dyDescent="0.25">
      <c r="A791" s="254">
        <f t="shared" si="106"/>
        <v>773</v>
      </c>
      <c r="B791" s="255" t="str">
        <f t="shared" si="107"/>
        <v/>
      </c>
      <c r="C791" s="256">
        <f t="shared" si="108"/>
        <v>3047.1172825179469</v>
      </c>
      <c r="D791" s="257" t="str">
        <f t="shared" ref="D791:D798" si="110">IF(B791="","",ROUND((B791-B790)*$H$9*G790,2))</f>
        <v/>
      </c>
      <c r="F791" s="257" t="str">
        <f t="shared" ref="F791:F798" si="111">IF(B791="","",IF(C791&gt;F790+D791,0,F790+D791-C791))</f>
        <v/>
      </c>
      <c r="G791" s="257" t="str">
        <f t="shared" ref="G791:G798" si="112">IF(B791="","",IF(C791&gt;D791+F790,G790+F790+D791-C791,G790))</f>
        <v/>
      </c>
      <c r="H791" s="257" t="str">
        <f t="shared" ref="H791:H798" si="113">IF(B791="","",G791+F791)</f>
        <v/>
      </c>
      <c r="I791" s="220" t="e">
        <f t="shared" si="109"/>
        <v>#VALUE!</v>
      </c>
    </row>
    <row r="792" spans="1:9" x14ac:dyDescent="0.25">
      <c r="A792" s="254">
        <f t="shared" si="106"/>
        <v>774</v>
      </c>
      <c r="B792" s="255" t="str">
        <f t="shared" si="107"/>
        <v/>
      </c>
      <c r="C792" s="256">
        <f t="shared" si="108"/>
        <v>3047.1172825179469</v>
      </c>
      <c r="D792" s="257" t="str">
        <f t="shared" si="110"/>
        <v/>
      </c>
      <c r="F792" s="257" t="str">
        <f t="shared" si="111"/>
        <v/>
      </c>
      <c r="G792" s="257" t="str">
        <f t="shared" si="112"/>
        <v/>
      </c>
      <c r="H792" s="257" t="str">
        <f t="shared" si="113"/>
        <v/>
      </c>
      <c r="I792" s="220" t="e">
        <f t="shared" si="109"/>
        <v>#VALUE!</v>
      </c>
    </row>
    <row r="793" spans="1:9" x14ac:dyDescent="0.25">
      <c r="A793" s="254">
        <f t="shared" si="106"/>
        <v>775</v>
      </c>
      <c r="B793" s="255" t="str">
        <f t="shared" si="107"/>
        <v/>
      </c>
      <c r="C793" s="256">
        <f t="shared" si="108"/>
        <v>3047.1172825179469</v>
      </c>
      <c r="D793" s="257" t="str">
        <f t="shared" si="110"/>
        <v/>
      </c>
      <c r="F793" s="257" t="str">
        <f t="shared" si="111"/>
        <v/>
      </c>
      <c r="G793" s="257" t="str">
        <f t="shared" si="112"/>
        <v/>
      </c>
      <c r="H793" s="257" t="str">
        <f t="shared" si="113"/>
        <v/>
      </c>
      <c r="I793" s="220" t="e">
        <f t="shared" si="109"/>
        <v>#VALUE!</v>
      </c>
    </row>
    <row r="794" spans="1:9" x14ac:dyDescent="0.25">
      <c r="A794" s="254">
        <f t="shared" si="106"/>
        <v>776</v>
      </c>
      <c r="B794" s="255" t="str">
        <f t="shared" si="107"/>
        <v/>
      </c>
      <c r="C794" s="256">
        <f t="shared" si="108"/>
        <v>3047.1172825179469</v>
      </c>
      <c r="D794" s="257" t="str">
        <f t="shared" si="110"/>
        <v/>
      </c>
      <c r="F794" s="257" t="str">
        <f t="shared" si="111"/>
        <v/>
      </c>
      <c r="G794" s="257" t="str">
        <f t="shared" si="112"/>
        <v/>
      </c>
      <c r="H794" s="257" t="str">
        <f t="shared" si="113"/>
        <v/>
      </c>
      <c r="I794" s="220" t="e">
        <f t="shared" si="109"/>
        <v>#VALUE!</v>
      </c>
    </row>
    <row r="795" spans="1:9" x14ac:dyDescent="0.25">
      <c r="A795" s="254">
        <f t="shared" si="106"/>
        <v>777</v>
      </c>
      <c r="B795" s="255" t="str">
        <f t="shared" si="107"/>
        <v/>
      </c>
      <c r="C795" s="256">
        <f t="shared" si="108"/>
        <v>3047.1172825179469</v>
      </c>
      <c r="D795" s="257" t="str">
        <f t="shared" si="110"/>
        <v/>
      </c>
      <c r="F795" s="257" t="str">
        <f t="shared" si="111"/>
        <v/>
      </c>
      <c r="G795" s="257" t="str">
        <f t="shared" si="112"/>
        <v/>
      </c>
      <c r="H795" s="257" t="str">
        <f t="shared" si="113"/>
        <v/>
      </c>
      <c r="I795" s="220" t="e">
        <f t="shared" si="109"/>
        <v>#VALUE!</v>
      </c>
    </row>
    <row r="796" spans="1:9" x14ac:dyDescent="0.25">
      <c r="A796" s="254">
        <f t="shared" si="106"/>
        <v>778</v>
      </c>
      <c r="B796" s="255" t="str">
        <f t="shared" si="107"/>
        <v/>
      </c>
      <c r="C796" s="256">
        <f t="shared" si="108"/>
        <v>3047.1172825179469</v>
      </c>
      <c r="D796" s="257" t="str">
        <f t="shared" si="110"/>
        <v/>
      </c>
      <c r="F796" s="257" t="str">
        <f t="shared" si="111"/>
        <v/>
      </c>
      <c r="G796" s="257" t="str">
        <f t="shared" si="112"/>
        <v/>
      </c>
      <c r="H796" s="257" t="str">
        <f t="shared" si="113"/>
        <v/>
      </c>
      <c r="I796" s="220" t="e">
        <f t="shared" si="109"/>
        <v>#VALUE!</v>
      </c>
    </row>
    <row r="797" spans="1:9" x14ac:dyDescent="0.25">
      <c r="A797" s="254">
        <f t="shared" si="106"/>
        <v>779</v>
      </c>
      <c r="B797" s="255" t="str">
        <f t="shared" si="107"/>
        <v/>
      </c>
      <c r="C797" s="256">
        <f t="shared" si="108"/>
        <v>3047.1172825179469</v>
      </c>
      <c r="D797" s="257" t="str">
        <f t="shared" si="110"/>
        <v/>
      </c>
      <c r="F797" s="257" t="str">
        <f t="shared" si="111"/>
        <v/>
      </c>
      <c r="G797" s="257" t="str">
        <f t="shared" si="112"/>
        <v/>
      </c>
      <c r="H797" s="257" t="str">
        <f t="shared" si="113"/>
        <v/>
      </c>
      <c r="I797" s="220" t="e">
        <f t="shared" si="109"/>
        <v>#VALUE!</v>
      </c>
    </row>
    <row r="798" spans="1:9" x14ac:dyDescent="0.25">
      <c r="A798" s="254">
        <f t="shared" si="106"/>
        <v>780</v>
      </c>
      <c r="B798" s="255" t="str">
        <f t="shared" si="107"/>
        <v/>
      </c>
      <c r="C798" s="256">
        <f t="shared" si="108"/>
        <v>3047.1172825179469</v>
      </c>
      <c r="D798" s="257" t="str">
        <f t="shared" si="110"/>
        <v/>
      </c>
      <c r="F798" s="257" t="str">
        <f t="shared" si="111"/>
        <v/>
      </c>
      <c r="G798" s="257" t="str">
        <f t="shared" si="112"/>
        <v/>
      </c>
      <c r="H798" s="257" t="str">
        <f t="shared" si="113"/>
        <v/>
      </c>
      <c r="I798" s="220" t="e">
        <f t="shared" si="109"/>
        <v>#VALUE!</v>
      </c>
    </row>
    <row r="799" spans="1:9" x14ac:dyDescent="0.25">
      <c r="A799" s="264" t="s">
        <v>355</v>
      </c>
      <c r="B799" s="264"/>
      <c r="C799" s="264"/>
      <c r="D799" s="265"/>
      <c r="E799" s="265"/>
      <c r="F799" s="265"/>
      <c r="G799" s="265"/>
      <c r="H799" s="265"/>
    </row>
  </sheetData>
  <mergeCells count="3">
    <mergeCell ref="K2:K15"/>
    <mergeCell ref="C4:D4"/>
    <mergeCell ref="A16:D16"/>
  </mergeCells>
  <hyperlinks>
    <hyperlink ref="A2" r:id="rId1" xr:uid="{E0878BED-477B-47C6-A979-6873EE7B53C4}"/>
  </hyperlinks>
  <printOptions horizontalCentered="1"/>
  <pageMargins left="0.5" right="0.5" top="0.5" bottom="0.5" header="0.25" footer="0.25"/>
  <pageSetup orientation="portrait" copies="3" r:id="rId2"/>
  <headerFooter differentFirst="1" scaleWithDoc="0">
    <oddFooter>&amp;L&amp;8http://www.vertex42.com/Calculators/simple-interest-loan.html&amp;R&amp;8Page &amp;P of &amp;N</oddFooter>
    <firstFooter>&amp;R&amp;8Page &amp;P of &amp;N</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CE3F7-8B8D-4B82-8E6E-C3FA8B349F57}">
  <sheetPr codeName="Sheet6"/>
  <dimension ref="A3:A59"/>
  <sheetViews>
    <sheetView topLeftCell="A23" workbookViewId="0">
      <selection activeCell="A24" sqref="A24:A59"/>
    </sheetView>
  </sheetViews>
  <sheetFormatPr defaultColWidth="8.88671875" defaultRowHeight="14.4" x14ac:dyDescent="0.3"/>
  <cols>
    <col min="1" max="1" width="23.88671875" bestFit="1" customWidth="1"/>
  </cols>
  <sheetData>
    <row r="3" spans="1:1" x14ac:dyDescent="0.3">
      <c r="A3" s="15" t="s">
        <v>71</v>
      </c>
    </row>
    <row r="4" spans="1:1" x14ac:dyDescent="0.3">
      <c r="A4" t="s">
        <v>73</v>
      </c>
    </row>
    <row r="5" spans="1:1" x14ac:dyDescent="0.3">
      <c r="A5" t="s">
        <v>74</v>
      </c>
    </row>
    <row r="6" spans="1:1" x14ac:dyDescent="0.3">
      <c r="A6" t="s">
        <v>75</v>
      </c>
    </row>
    <row r="7" spans="1:1" x14ac:dyDescent="0.3">
      <c r="A7" t="s">
        <v>76</v>
      </c>
    </row>
    <row r="8" spans="1:1" x14ac:dyDescent="0.3">
      <c r="A8" t="s">
        <v>77</v>
      </c>
    </row>
    <row r="9" spans="1:1" x14ac:dyDescent="0.3">
      <c r="A9" s="15" t="s">
        <v>124</v>
      </c>
    </row>
    <row r="10" spans="1:1" x14ac:dyDescent="0.3">
      <c r="A10" t="s">
        <v>78</v>
      </c>
    </row>
    <row r="11" spans="1:1" x14ac:dyDescent="0.3">
      <c r="A11" t="s">
        <v>79</v>
      </c>
    </row>
    <row r="12" spans="1:1" x14ac:dyDescent="0.3">
      <c r="A12" t="s">
        <v>80</v>
      </c>
    </row>
    <row r="13" spans="1:1" x14ac:dyDescent="0.3">
      <c r="A13" t="s">
        <v>81</v>
      </c>
    </row>
    <row r="14" spans="1:1" x14ac:dyDescent="0.3">
      <c r="A14" t="s">
        <v>82</v>
      </c>
    </row>
    <row r="15" spans="1:1" x14ac:dyDescent="0.3">
      <c r="A15" s="15" t="s">
        <v>72</v>
      </c>
    </row>
    <row r="16" spans="1:1" x14ac:dyDescent="0.3">
      <c r="A16" t="s">
        <v>83</v>
      </c>
    </row>
    <row r="17" spans="1:1" x14ac:dyDescent="0.3">
      <c r="A17" t="s">
        <v>84</v>
      </c>
    </row>
    <row r="18" spans="1:1" x14ac:dyDescent="0.3">
      <c r="A18" t="s">
        <v>85</v>
      </c>
    </row>
    <row r="19" spans="1:1" x14ac:dyDescent="0.3">
      <c r="A19" t="s">
        <v>86</v>
      </c>
    </row>
    <row r="20" spans="1:1" x14ac:dyDescent="0.3">
      <c r="A20" t="s">
        <v>87</v>
      </c>
    </row>
    <row r="21" spans="1:1" x14ac:dyDescent="0.3">
      <c r="A21" t="s">
        <v>88</v>
      </c>
    </row>
    <row r="22" spans="1:1" x14ac:dyDescent="0.3">
      <c r="A22" t="s">
        <v>89</v>
      </c>
    </row>
    <row r="23" spans="1:1" x14ac:dyDescent="0.3">
      <c r="A23" t="s">
        <v>90</v>
      </c>
    </row>
    <row r="24" spans="1:1" x14ac:dyDescent="0.3">
      <c r="A24" s="15" t="s">
        <v>125</v>
      </c>
    </row>
    <row r="25" spans="1:1" x14ac:dyDescent="0.3">
      <c r="A25" t="s">
        <v>91</v>
      </c>
    </row>
    <row r="26" spans="1:1" x14ac:dyDescent="0.3">
      <c r="A26" t="s">
        <v>92</v>
      </c>
    </row>
    <row r="27" spans="1:1" x14ac:dyDescent="0.3">
      <c r="A27" t="s">
        <v>93</v>
      </c>
    </row>
    <row r="28" spans="1:1" x14ac:dyDescent="0.3">
      <c r="A28" t="s">
        <v>94</v>
      </c>
    </row>
    <row r="29" spans="1:1" x14ac:dyDescent="0.3">
      <c r="A29" t="s">
        <v>95</v>
      </c>
    </row>
    <row r="30" spans="1:1" x14ac:dyDescent="0.3">
      <c r="A30" t="s">
        <v>96</v>
      </c>
    </row>
    <row r="31" spans="1:1" x14ac:dyDescent="0.3">
      <c r="A31" s="15" t="s">
        <v>126</v>
      </c>
    </row>
    <row r="32" spans="1:1" x14ac:dyDescent="0.3">
      <c r="A32" t="s">
        <v>97</v>
      </c>
    </row>
    <row r="33" spans="1:1" x14ac:dyDescent="0.3">
      <c r="A33" t="s">
        <v>98</v>
      </c>
    </row>
    <row r="34" spans="1:1" x14ac:dyDescent="0.3">
      <c r="A34" t="s">
        <v>99</v>
      </c>
    </row>
    <row r="35" spans="1:1" x14ac:dyDescent="0.3">
      <c r="A35" t="s">
        <v>100</v>
      </c>
    </row>
    <row r="36" spans="1:1" x14ac:dyDescent="0.3">
      <c r="A36" t="s">
        <v>101</v>
      </c>
    </row>
    <row r="37" spans="1:1" x14ac:dyDescent="0.3">
      <c r="A37" t="s">
        <v>102</v>
      </c>
    </row>
    <row r="38" spans="1:1" x14ac:dyDescent="0.3">
      <c r="A38" t="s">
        <v>103</v>
      </c>
    </row>
    <row r="39" spans="1:1" x14ac:dyDescent="0.3">
      <c r="A39" t="s">
        <v>104</v>
      </c>
    </row>
    <row r="40" spans="1:1" x14ac:dyDescent="0.3">
      <c r="A40" s="15" t="s">
        <v>127</v>
      </c>
    </row>
    <row r="41" spans="1:1" x14ac:dyDescent="0.3">
      <c r="A41" t="s">
        <v>105</v>
      </c>
    </row>
    <row r="42" spans="1:1" x14ac:dyDescent="0.3">
      <c r="A42" t="s">
        <v>106</v>
      </c>
    </row>
    <row r="43" spans="1:1" x14ac:dyDescent="0.3">
      <c r="A43" t="s">
        <v>107</v>
      </c>
    </row>
    <row r="44" spans="1:1" x14ac:dyDescent="0.3">
      <c r="A44" t="s">
        <v>108</v>
      </c>
    </row>
    <row r="45" spans="1:1" x14ac:dyDescent="0.3">
      <c r="A45" t="s">
        <v>109</v>
      </c>
    </row>
    <row r="46" spans="1:1" x14ac:dyDescent="0.3">
      <c r="A46" t="s">
        <v>110</v>
      </c>
    </row>
    <row r="47" spans="1:1" x14ac:dyDescent="0.3">
      <c r="A47" t="s">
        <v>111</v>
      </c>
    </row>
    <row r="48" spans="1:1" x14ac:dyDescent="0.3">
      <c r="A48" t="s">
        <v>112</v>
      </c>
    </row>
    <row r="49" spans="1:1" x14ac:dyDescent="0.3">
      <c r="A49" t="s">
        <v>113</v>
      </c>
    </row>
    <row r="50" spans="1:1" x14ac:dyDescent="0.3">
      <c r="A50" t="s">
        <v>114</v>
      </c>
    </row>
    <row r="51" spans="1:1" x14ac:dyDescent="0.3">
      <c r="A51" t="s">
        <v>115</v>
      </c>
    </row>
    <row r="52" spans="1:1" x14ac:dyDescent="0.3">
      <c r="A52" t="s">
        <v>116</v>
      </c>
    </row>
    <row r="53" spans="1:1" x14ac:dyDescent="0.3">
      <c r="A53" t="s">
        <v>117</v>
      </c>
    </row>
    <row r="54" spans="1:1" x14ac:dyDescent="0.3">
      <c r="A54" t="s">
        <v>118</v>
      </c>
    </row>
    <row r="55" spans="1:1" x14ac:dyDescent="0.3">
      <c r="A55" t="s">
        <v>119</v>
      </c>
    </row>
    <row r="56" spans="1:1" x14ac:dyDescent="0.3">
      <c r="A56" t="s">
        <v>120</v>
      </c>
    </row>
    <row r="57" spans="1:1" x14ac:dyDescent="0.3">
      <c r="A57" t="s">
        <v>121</v>
      </c>
    </row>
    <row r="58" spans="1:1" x14ac:dyDescent="0.3">
      <c r="A58" t="s">
        <v>122</v>
      </c>
    </row>
    <row r="59" spans="1:1" x14ac:dyDescent="0.3">
      <c r="A59" t="s">
        <v>123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CFA546C84EA945ACFD34DFBA00D00A" ma:contentTypeVersion="12" ma:contentTypeDescription="Create a new document." ma:contentTypeScope="" ma:versionID="0c012a706e7c4b3f67c6f526089b44de">
  <xsd:schema xmlns:xsd="http://www.w3.org/2001/XMLSchema" xmlns:xs="http://www.w3.org/2001/XMLSchema" xmlns:p="http://schemas.microsoft.com/office/2006/metadata/properties" xmlns:ns2="a54026e4-4d2a-4e39-b7e2-44d55c7d774d" xmlns:ns3="ac0e8793-3055-4219-ac64-7956f70f5975" targetNamespace="http://schemas.microsoft.com/office/2006/metadata/properties" ma:root="true" ma:fieldsID="9f0b17a3a581098d5e4fff3d2f7a28f8" ns2:_="" ns3:_="">
    <xsd:import namespace="a54026e4-4d2a-4e39-b7e2-44d55c7d774d"/>
    <xsd:import namespace="ac0e8793-3055-4219-ac64-7956f70f597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4026e4-4d2a-4e39-b7e2-44d55c7d774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c0e8793-3055-4219-ac64-7956f70f5975"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0B9D97-BC03-4358-8157-1F56CFC46F85}">
  <ds:schemaRefs>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ac0e8793-3055-4219-ac64-7956f70f5975"/>
    <ds:schemaRef ds:uri="a54026e4-4d2a-4e39-b7e2-44d55c7d774d"/>
  </ds:schemaRefs>
</ds:datastoreItem>
</file>

<file path=customXml/itemProps2.xml><?xml version="1.0" encoding="utf-8"?>
<ds:datastoreItem xmlns:ds="http://schemas.openxmlformats.org/officeDocument/2006/customXml" ds:itemID="{4CCAB367-5325-4159-9FFB-6E9ACE8219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4026e4-4d2a-4e39-b7e2-44d55c7d774d"/>
    <ds:schemaRef ds:uri="ac0e8793-3055-4219-ac64-7956f70f59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8BE230-3EF6-473C-8977-29E950A1F98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MXD P&amp;L</vt:lpstr>
      <vt:lpstr>MXD BS</vt:lpstr>
      <vt:lpstr>HEC Financials</vt:lpstr>
      <vt:lpstr>Branch P&amp;L</vt:lpstr>
      <vt:lpstr>All Statements</vt:lpstr>
      <vt:lpstr>Sources and Uses</vt:lpstr>
      <vt:lpstr>Monthly Summary</vt:lpstr>
      <vt:lpstr>Debt Schedules--&gt;</vt:lpstr>
      <vt:lpstr>HEC 1L Debt</vt:lpstr>
      <vt:lpstr>Brnch 1L Debt</vt:lpstr>
      <vt:lpstr>HEC Seller Debt</vt:lpstr>
      <vt:lpstr>Brnch Seller Debt</vt:lpstr>
      <vt:lpstr>Brnch Sub Debt</vt:lpstr>
      <vt:lpstr>Legacy Tabs --&gt;</vt:lpstr>
      <vt:lpstr>Rev and COGS</vt:lpstr>
      <vt:lpstr>Operations</vt:lpstr>
      <vt:lpstr>Sales &amp; Mktg</vt:lpstr>
      <vt:lpstr>Innovation</vt:lpstr>
      <vt:lpstr>Admin-Finance</vt:lpstr>
      <vt:lpstr>2020 Financials</vt:lpstr>
      <vt:lpstr>Sheet1</vt:lpstr>
      <vt:lpstr>Bart Anderson Loan</vt:lpstr>
      <vt:lpstr>PNC 2020 Equipment Loan</vt:lpstr>
      <vt:lpstr>PNC 2021 Equipment Loan</vt:lpstr>
      <vt:lpstr>Payroll Detail</vt:lpstr>
      <vt:lpstr>'PNC 2020 Equipment Loan'!ColumnTitle1</vt:lpstr>
      <vt:lpstr>'PNC 2020 Equipment Loan'!End_Bal</vt:lpstr>
      <vt:lpstr>'PNC 2020 Equipment Loan'!ExtraPayments</vt:lpstr>
      <vt:lpstr>'PNC 2020 Equipment Loan'!InterestRate</vt:lpstr>
      <vt:lpstr>'PNC 2020 Equipment Loan'!LenderName</vt:lpstr>
      <vt:lpstr>'PNC 2020 Equipment Loan'!LoanAmount</vt:lpstr>
      <vt:lpstr>'PNC 2020 Equipment Loan'!LoanPeriod</vt:lpstr>
      <vt:lpstr>'PNC 2020 Equipment Loan'!LoanStartDate</vt:lpstr>
      <vt:lpstr>'PNC 2020 Equipment Loan'!PaymentsPerYear</vt:lpstr>
      <vt:lpstr>'HEC Financials'!Print_Titles</vt:lpstr>
      <vt:lpstr>'PNC 2020 Equipment Loan'!Print_Titles</vt:lpstr>
      <vt:lpstr>'PNC 2020 Equipment Loan'!RowTitleRegion1..E9</vt:lpstr>
      <vt:lpstr>'PNC 2020 Equipment Loan'!RowTitleRegion2..I7</vt:lpstr>
      <vt:lpstr>'PNC 2020 Equipment Loan'!RowTitleRegion3..E9</vt:lpstr>
      <vt:lpstr>'PNC 2020 Equipment Loan'!RowTitleRegion4..H9</vt:lpstr>
      <vt:lpstr>'PNC 2020 Equipment Loan'!ScheduledNumberOfPayments</vt:lpstr>
      <vt:lpstr>'PNC 2020 Equipment Loan'!ScheduledPayment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Tricia.Haines</dc:creator>
  <cp:lastModifiedBy>Jeremy Carter</cp:lastModifiedBy>
  <dcterms:created xsi:type="dcterms:W3CDTF">2022-06-21T23:14:16Z</dcterms:created>
  <dcterms:modified xsi:type="dcterms:W3CDTF">2024-06-13T19:00:54Z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0x01010080CFA546C84EA945ACFD34DFBA00D00A</vt:lpwstr>
  </property>
</Properties>
</file>